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sharedStrings.xml" ContentType="application/vnd.openxmlformats-officedocument.spreadsheetml.sharedStrings+xml"/>
  <Override PartName="/xl/sharedlinks.xml" ContentType="application/vnd.ms-excel.sharedlinks+xml"/>
  <Override PartName="/xl/slicerCaches/slicerCache1.xml" ContentType="application/vnd.ms-excel.slicerCache+xml"/>
  <Override PartName="/xl/slicerCaches/slicerCache10.xml" ContentType="application/vnd.ms-excel.slicerCache+xml"/>
  <Override PartName="/xl/slicerCaches/slicerCache11.xml" ContentType="application/vnd.ms-excel.slicerCache+xml"/>
  <Override PartName="/xl/slicerCaches/slicerCache12.xml" ContentType="application/vnd.ms-excel.slicerCache+xml"/>
  <Override PartName="/xl/slicerCaches/slicerCache13.xml" ContentType="application/vnd.ms-excel.slicerCache+xml"/>
  <Override PartName="/xl/slicerCaches/slicerCache14.xml" ContentType="application/vnd.ms-excel.slicerCache+xml"/>
  <Override PartName="/xl/slicerCaches/slicerCache15.xml" ContentType="application/vnd.ms-excel.slicerCache+xml"/>
  <Override PartName="/xl/slicerCaches/slicerCache16.xml" ContentType="application/vnd.ms-excel.slicerCache+xml"/>
  <Override PartName="/xl/slicerCaches/slicerCache17.xml" ContentType="application/vnd.ms-excel.slicerCache+xml"/>
  <Override PartName="/xl/slicerCaches/slicerCache18.xml" ContentType="application/vnd.ms-excel.slicerCache+xml"/>
  <Override PartName="/xl/slicerCaches/slicerCache19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slicerCaches/slicerCache8.xml" ContentType="application/vnd.ms-excel.slicerCache+xml"/>
  <Override PartName="/xl/slicerCaches/slicerCache9.xml" ContentType="application/vnd.ms-excel.slicerCache+xml"/>
  <Override PartName="/xl/slicers/slicer1.xml" ContentType="application/vnd.ms-excel.slicer+xml"/>
  <Override PartName="/xl/slicers/slicer2.xml" ContentType="application/vnd.ms-excel.slicer+xml"/>
  <Override PartName="/xl/slicers/slicer3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 activeTab="1"/>
  </bookViews>
  <sheets>
    <sheet name="2025数据" sheetId="1" r:id="rId1"/>
    <sheet name="2025整理" sheetId="2" r:id="rId2"/>
    <sheet name="2025统计" sheetId="3" r:id="rId3"/>
    <sheet name="分析" sheetId="4" r:id="rId4"/>
    <sheet name="BI" sheetId="5" r:id="rId5"/>
    <sheet name="2024统计" sheetId="6" r:id="rId6"/>
    <sheet name="2024整理" sheetId="7" r:id="rId7"/>
    <sheet name="2024数据" sheetId="8" r:id="rId8"/>
  </sheets>
  <definedNames>
    <definedName name="SlicerCache_Table_2_Col_1">#N/A</definedName>
    <definedName name="SlicerCache_Table_2_Col_2">#N/A</definedName>
    <definedName name="SlicerCache_Table_2_Col_3">#N/A</definedName>
    <definedName name="SlicerCache_Table_2_Col_4">#N/A</definedName>
    <definedName name="SlicerCache_Table_2_Col_5">#N/A</definedName>
    <definedName name="SlicerCache_Table_4_Col_1">#N/A</definedName>
    <definedName name="SlicerCache_Table_4_Col_3">#N/A</definedName>
    <definedName name="SlicerCache_Table_6_Col_1">#N/A</definedName>
    <definedName name="SlicerCache_Table_6_Col_3">#N/A</definedName>
    <definedName name="SlicerCache_Table_8_Col_1">#N/A</definedName>
    <definedName name="SlicerCache_Table_8_Col_3">#N/A</definedName>
    <definedName name="SlicerCache_Table_9_Col_1">#N/A</definedName>
    <definedName name="SlicerCache_Table_9_Col_2">#N/A</definedName>
    <definedName name="SlicerCache_Table_9_Col_3">#N/A</definedName>
    <definedName name="SlicerCache_Table_11_Col_1">#N/A</definedName>
    <definedName name="SlicerCache_Table_11_Col_2">#N/A</definedName>
    <definedName name="SlicerCache_Table_11_Col_3">#N/A</definedName>
    <definedName name="SlicerCache_Table_11_Col_4">#N/A</definedName>
    <definedName name="SlicerCache_Table_11_Col_5">#N/A</definedName>
    <definedName name="Z_2DC6DF81_3091_4B69_B551_220C410A6C56_.wvu.FilterData" localSheetId="6" hidden="1">'2024整理'!$A$2:$Q$2116</definedName>
    <definedName name="Z_2DC6DF81_3091_4B69_B551_220C410A6C56_.wvu.FilterData" localSheetId="1" hidden="1">'2025整理'!$A$1:$Q$2196</definedName>
    <definedName name="Z_2DC6DF81_3091_4B69_B551_220C410A6C56_.wvu.FilterData" localSheetId="3" hidden="1">分析!$W$2:$AK$34</definedName>
    <definedName name="切片器_变动情况">#REF!</definedName>
    <definedName name="切片器_单位">#REF!</definedName>
    <definedName name="切片器_单位5">#REF!</definedName>
    <definedName name="切片器_评审阶段">#REF!</definedName>
    <definedName name="切片器_评审阶段3">#REF!</definedName>
    <definedName name="切片器_设计阶段">#REF!</definedName>
    <definedName name="切片器_设计阶段1">#REF!</definedName>
    <definedName name="切片器_设计阶段10">#REF!</definedName>
    <definedName name="切片器_设计阶段2">#REF!</definedName>
    <definedName name="切片器_设计阶段3">#REF!</definedName>
    <definedName name="切片器_设计阶段4">#REF!</definedName>
    <definedName name="切片器_设计阶段5">#REF!</definedName>
    <definedName name="切片器_设计阶段6">#REF!</definedName>
    <definedName name="切片器_设计阶段8">#REF!</definedName>
    <definedName name="切片器_时间">#REF!</definedName>
    <definedName name="切片器_时间2">#REF!</definedName>
    <definedName name="切片器_时间5">#REF!</definedName>
    <definedName name="切片器_统计模式">#REF!</definedName>
    <definedName name="切片器_统计模式11">#REF!</definedName>
    <definedName name="切片器_统计模式3">#REF!</definedName>
    <definedName name="切片器_统计模式6">#REF!</definedName>
    <definedName name="切片器_统计模式7">#REF!</definedName>
    <definedName name="切片器_统计模式8">#REF!</definedName>
    <definedName name="切片器_统计模式9">#REF!</definedName>
    <definedName name="切片器_统计维度">#REF!</definedName>
    <definedName name="切片器_统计维度4">#REF!</definedName>
    <definedName name="切片器_统计项目">#REF!</definedName>
    <definedName name="切片器_统计项目6">#REF!</definedName>
  </definedNames>
  <calcPr calcId="191029"/>
  <customWorkbookViews>
    <customWorkbookView name="篩選器 1" guid="{2DC6DF81-3091-4B69-B551-220C410A6C56}" maximized="1" windowWidth="0" windowHeight="0" activeSheetId="0"/>
  </customWorkbookViews>
  <pivotCaches>
    <pivotCache cacheId="0" r:id="rId10"/>
    <pivotCache cacheId="1" r:id="rId11"/>
  </pivotCaches>
  <extLst>
    <ext xmlns:x15="http://schemas.microsoft.com/office/spreadsheetml/2010/11/main" uri="{46BE6895-7355-4a93-B00E-2C351335B9C9}">
      <x15:slicerCaches xmlns:x14="http://schemas.microsoft.com/office/spreadsheetml/2009/9/main">
        <x14:slicerCache r:id="rId30"/>
        <x14:slicerCache r:id="rId29"/>
        <x14:slicerCache r:id="rId28"/>
        <x14:slicerCache r:id="rId27"/>
        <x14:slicerCache r:id="rId26"/>
        <x14:slicerCache r:id="rId25"/>
        <x14:slicerCache r:id="rId24"/>
        <x14:slicerCache r:id="rId23"/>
        <x14:slicerCache r:id="rId22"/>
        <x14:slicerCache r:id="rId21"/>
        <x14:slicerCache r:id="rId20"/>
        <x14:slicerCache r:id="rId19"/>
        <x14:slicerCache r:id="rId18"/>
        <x14:slicerCache r:id="rId17"/>
        <x14:slicerCache r:id="rId16"/>
        <x14:slicerCache r:id="rId15"/>
        <x14:slicerCache r:id="rId14"/>
        <x14:slicerCache r:id="rId13"/>
        <x14:slicerCache r:id="rId12"/>
      </x15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AG4" authorId="0">
      <text>
        <r>
          <rPr>
            <sz val="11"/>
            <color rgb="FF000000"/>
            <rFont val="Calibri"/>
            <scheme val="minor"/>
            <charset val="1"/>
          </rPr>
          <t>======
ID#AAABwZ_v59o
陆汉东    (2025-12-28 13:27:34)
衡佳灵</t>
        </r>
      </text>
    </comment>
    <comment ref="L5" authorId="0">
      <text>
        <r>
          <rPr>
            <sz val="11"/>
            <color rgb="FF000000"/>
            <rFont val="Calibri"/>
            <scheme val="minor"/>
            <charset val="1"/>
          </rPr>
          <t>======
ID#AAABwZ_v54Q
陆汉东    (2025-12-28 13:27:34)
2025年11月7日批复</t>
        </r>
      </text>
    </comment>
    <comment ref="D8" authorId="0">
      <text>
        <r>
          <rPr>
            <sz val="11"/>
            <color rgb="FF000000"/>
            <rFont val="Calibri"/>
            <scheme val="minor"/>
            <charset val="1"/>
          </rPr>
          <t>======
ID#AAABwZ_v53w
陆汉东    (2025-12-28 13:27:34)
2025年9月10日批复</t>
        </r>
      </text>
    </comment>
    <comment ref="AG8" authorId="0">
      <text>
        <r>
          <rPr>
            <sz val="11"/>
            <color rgb="FF000000"/>
            <rFont val="Calibri"/>
            <scheme val="minor"/>
            <charset val="1"/>
          </rPr>
          <t>======
ID#AAABwZ_v53s
陆汉东    (2025-12-28 13:27:34)
衡佳灵</t>
        </r>
      </text>
    </comment>
    <comment ref="B9" authorId="0">
      <text>
        <r>
          <rPr>
            <sz val="11"/>
            <color rgb="FF000000"/>
            <rFont val="Calibri"/>
            <scheme val="minor"/>
            <charset val="1"/>
          </rPr>
          <t>======
ID#AAABwZ_v5zs
陆汉东    (2025-12-28 13:27:34)
广州院线路部分</t>
        </r>
      </text>
    </comment>
    <comment ref="D9" authorId="0">
      <text>
        <r>
          <rPr>
            <sz val="11"/>
            <color rgb="FF000000"/>
            <rFont val="Calibri"/>
            <scheme val="minor"/>
            <charset val="1"/>
          </rPr>
          <t>======
ID#AAABwZ_v50E
陆汉东    (2025-12-28 13:27:34)
2025年3月3日批复</t>
        </r>
      </text>
    </comment>
    <comment ref="A10" authorId="0">
      <text>
        <r>
          <rPr>
            <sz val="11"/>
            <color rgb="FF000000"/>
            <rFont val="Calibri"/>
            <scheme val="minor"/>
            <charset val="1"/>
          </rPr>
          <t>======
ID#AAABwZ_v6DY
陆汉东    (2025-12-28 13:27:34)
业绩考核责任书8.30</t>
        </r>
      </text>
    </comment>
    <comment ref="D11" authorId="0">
      <text>
        <r>
          <rPr>
            <sz val="11"/>
            <color rgb="FF000000"/>
            <rFont val="Calibri"/>
            <scheme val="minor"/>
            <charset val="1"/>
          </rPr>
          <t>======
ID#AAABwZ_v6Dc
陆汉东    (2025-12-28 13:27:34)
2025年2月13日批复</t>
        </r>
      </text>
    </comment>
    <comment ref="L11" authorId="0">
      <text>
        <r>
          <rPr>
            <sz val="11"/>
            <color rgb="FF000000"/>
            <rFont val="Calibri"/>
            <scheme val="minor"/>
            <charset val="1"/>
          </rPr>
          <t>======
ID#AAABwZ_v5yE
陆汉东    (2025-12-28 13:27:34)
2025年6月23日批复</t>
        </r>
      </text>
    </comment>
    <comment ref="D12" authorId="0">
      <text>
        <r>
          <rPr>
            <sz val="11"/>
            <color rgb="FF000000"/>
            <rFont val="Calibri"/>
            <scheme val="minor"/>
            <charset val="1"/>
          </rPr>
          <t>======
ID#AAABwZ_v55o
陆汉东    (2025-12-28 13:27:34)
2025年1月22日批复</t>
        </r>
      </text>
    </comment>
    <comment ref="L12" authorId="0">
      <text>
        <r>
          <rPr>
            <sz val="11"/>
            <color rgb="FF000000"/>
            <rFont val="Calibri"/>
            <scheme val="minor"/>
            <charset val="1"/>
          </rPr>
          <t>======
ID#AAABwZ_v52w
陆汉东    (2025-12-28 13:27:34)
2025年2月14日批复</t>
        </r>
      </text>
    </comment>
    <comment ref="T12" authorId="0">
      <text>
        <r>
          <rPr>
            <sz val="11"/>
            <color rgb="FF000000"/>
            <rFont val="Calibri"/>
            <scheme val="minor"/>
            <charset val="1"/>
          </rPr>
          <t>======
ID#AAABwZ_v6Bo
陆汉东    (2025-12-28 13:27:34)
2025年4月7日批复</t>
        </r>
      </text>
    </comment>
    <comment ref="D13" authorId="0">
      <text>
        <r>
          <rPr>
            <sz val="11"/>
            <color rgb="FF000000"/>
            <rFont val="Calibri"/>
            <scheme val="minor"/>
            <charset val="1"/>
          </rPr>
          <t>======
ID#AAABwZ_v5-8
陆汉东    (2025-12-28 13:27:34)
2025年8月14日批复</t>
        </r>
      </text>
    </comment>
    <comment ref="AG13" authorId="0">
      <text>
        <r>
          <rPr>
            <sz val="11"/>
            <color rgb="FF000000"/>
            <rFont val="Calibri"/>
            <scheme val="minor"/>
            <charset val="1"/>
          </rPr>
          <t>======
ID#AAABwZ_v5zw
陆汉东    (2025-12-28 13:27:34)
衡佳灵</t>
        </r>
      </text>
    </comment>
    <comment ref="D14" authorId="0">
      <text>
        <r>
          <rPr>
            <sz val="11"/>
            <color rgb="FF000000"/>
            <rFont val="Calibri"/>
            <scheme val="minor"/>
            <charset val="1"/>
          </rPr>
          <t>======
ID#AAABwZ_v5-I
陆汉东    (2025-12-28 13:27:34)
2025年3月18日批复</t>
        </r>
      </text>
    </comment>
    <comment ref="L14" authorId="0">
      <text>
        <r>
          <rPr>
            <sz val="11"/>
            <color rgb="FF000000"/>
            <rFont val="Calibri"/>
            <scheme val="minor"/>
            <charset val="1"/>
          </rPr>
          <t>======
ID#AAABwZ_v590
陆汉东    (2025-12-28 13:27:34)
2025年8月25日批复</t>
        </r>
      </text>
    </comment>
    <comment ref="T14" authorId="0">
      <text>
        <r>
          <rPr>
            <sz val="11"/>
            <color rgb="FF000000"/>
            <rFont val="Calibri"/>
            <scheme val="minor"/>
            <charset val="1"/>
          </rPr>
          <t>======
ID#AAABwZ_v6Bg
陆汉东    (2025-12-28 13:27:34)
2025年11月4日批复</t>
        </r>
      </text>
    </comment>
    <comment ref="AG14" authorId="0">
      <text>
        <r>
          <rPr>
            <sz val="11"/>
            <color rgb="FF000000"/>
            <rFont val="Calibri"/>
            <scheme val="minor"/>
            <charset val="1"/>
          </rPr>
          <t>======
ID#AAABwZ_v5zk
陆汉东    (2025-12-28 13:27:34)
衡佳灵</t>
        </r>
      </text>
    </comment>
    <comment ref="D15" authorId="0">
      <text>
        <r>
          <rPr>
            <sz val="11"/>
            <color rgb="FF000000"/>
            <rFont val="Calibri"/>
            <scheme val="minor"/>
            <charset val="1"/>
          </rPr>
          <t>======
ID#AAABwZ_v530
陆汉东    (2025-12-28 13:27:34)
2025年2月17日批复</t>
        </r>
      </text>
    </comment>
    <comment ref="L15" authorId="0">
      <text>
        <r>
          <rPr>
            <sz val="11"/>
            <color rgb="FF000000"/>
            <rFont val="Calibri"/>
            <scheme val="minor"/>
            <charset val="1"/>
          </rPr>
          <t>======
ID#AAABwZ_v5xE
陆汉东    (2025-12-28 13:27:34)
2025年7月7日批复</t>
        </r>
      </text>
    </comment>
    <comment ref="T15" authorId="0">
      <text>
        <r>
          <rPr>
            <sz val="11"/>
            <color rgb="FF000000"/>
            <rFont val="Calibri"/>
            <scheme val="minor"/>
            <charset val="1"/>
          </rPr>
          <t>======
ID#AAABwZ_v56M
陆汉东    (2025-12-28 13:27:34)
2025年10月10日批复</t>
        </r>
      </text>
    </comment>
    <comment ref="D16" authorId="0">
      <text>
        <r>
          <rPr>
            <sz val="11"/>
            <color rgb="FF000000"/>
            <rFont val="Calibri"/>
            <scheme val="minor"/>
            <charset val="1"/>
          </rPr>
          <t>======
ID#AAABwZ_v5wA
陆汉东    (2025-12-28 13:27:34)
2025年2月11日批复</t>
        </r>
      </text>
    </comment>
    <comment ref="L16" authorId="0">
      <text>
        <r>
          <rPr>
            <sz val="11"/>
            <color rgb="FF000000"/>
            <rFont val="Calibri"/>
            <scheme val="minor"/>
            <charset val="1"/>
          </rPr>
          <t>======
ID#AAABwZ_v51Y
陆汉东    (2025-12-28 13:27:34)
9月19日设计未确定怎么修改，导致技经未收口，9月22日技经收口
陆汉东:
2025年10月22日批复</t>
        </r>
      </text>
    </comment>
    <comment ref="AE16" authorId="0">
      <text>
        <r>
          <rPr>
            <sz val="11"/>
            <color rgb="FF000000"/>
            <rFont val="Calibri"/>
            <scheme val="minor"/>
            <charset val="1"/>
          </rPr>
          <t>======
ID#AAABwZ_v57k
陆汉东    (2025-12-28 13:27:34)
衡佳灵</t>
        </r>
      </text>
    </comment>
    <comment ref="AG16" authorId="0">
      <text>
        <r>
          <rPr>
            <sz val="11"/>
            <color rgb="FF000000"/>
            <rFont val="Calibri"/>
            <scheme val="minor"/>
            <charset val="1"/>
          </rPr>
          <t>======
ID#AAABwZ_v6Ao
陆汉东    (2025-12-28 13:27:34)
衡佳灵</t>
        </r>
      </text>
    </comment>
    <comment ref="D17" authorId="0">
      <text>
        <r>
          <rPr>
            <sz val="11"/>
            <color rgb="FF000000"/>
            <rFont val="Calibri"/>
            <scheme val="minor"/>
            <charset val="1"/>
          </rPr>
          <t>======
ID#AAABwZ_v6Bs
陆汉东    (2025-12-28 13:27:34)
2025年6月4日批复</t>
        </r>
      </text>
    </comment>
    <comment ref="L17" authorId="0">
      <text>
        <r>
          <rPr>
            <sz val="11"/>
            <color rgb="FF000000"/>
            <rFont val="Calibri"/>
            <scheme val="minor"/>
            <charset val="1"/>
          </rPr>
          <t>======
ID#AAABwZ_v6EQ
陆汉东    (2025-12-28 13:27:34)
2025年10月21日批复</t>
        </r>
      </text>
    </comment>
    <comment ref="AG17" authorId="0">
      <text>
        <r>
          <rPr>
            <sz val="11"/>
            <color rgb="FF000000"/>
            <rFont val="Calibri"/>
            <scheme val="minor"/>
            <charset val="1"/>
          </rPr>
          <t>======
ID#AAABwZ_v5_A
陆汉东    (2025-12-28 13:27:34)
衡佳灵</t>
        </r>
      </text>
    </comment>
    <comment ref="D18" authorId="0">
      <text>
        <r>
          <rPr>
            <sz val="11"/>
            <color rgb="FF000000"/>
            <rFont val="Calibri"/>
            <scheme val="minor"/>
            <charset val="1"/>
          </rPr>
          <t>======
ID#AAABwZ_v52g
陆汉东    (2025-12-28 13:27:34)
2025年11月19日批复</t>
        </r>
      </text>
    </comment>
    <comment ref="AG18" authorId="0">
      <text>
        <r>
          <rPr>
            <sz val="11"/>
            <color rgb="FF000000"/>
            <rFont val="Calibri"/>
            <scheme val="minor"/>
            <charset val="1"/>
          </rPr>
          <t>======
ID#AAABwZ_v5zc
陆汉东    (2025-12-28 13:27:34)
衡佳灵</t>
        </r>
      </text>
    </comment>
    <comment ref="A19" authorId="0">
      <text>
        <r>
          <rPr>
            <sz val="11"/>
            <color rgb="FF000000"/>
            <rFont val="Calibri"/>
            <scheme val="minor"/>
            <charset val="1"/>
          </rPr>
          <t>======
ID#AAABwZ_v6CE
陆汉东    (2025-12-28 13:27:34)
业绩考核责任书9.30</t>
        </r>
      </text>
    </comment>
    <comment ref="D19" authorId="0">
      <text>
        <r>
          <rPr>
            <sz val="11"/>
            <color rgb="FF000000"/>
            <rFont val="Calibri"/>
            <scheme val="minor"/>
            <charset val="1"/>
          </rPr>
          <t>======
ID#AAABwZ_v6Ds
陆汉东    (2025-12-28 13:27:34)
2025年8月1日批复</t>
        </r>
      </text>
    </comment>
    <comment ref="L19" authorId="0">
      <text>
        <r>
          <rPr>
            <sz val="11"/>
            <color rgb="FF000000"/>
            <rFont val="Calibri"/>
            <scheme val="minor"/>
            <charset val="1"/>
          </rPr>
          <t>======
ID#AAABwZ_v5yY
陆汉东    (2025-12-28 13:27:34)
2025年9月26日批复</t>
        </r>
      </text>
    </comment>
    <comment ref="T19" authorId="0">
      <text>
        <r>
          <rPr>
            <sz val="11"/>
            <color rgb="FF000000"/>
            <rFont val="Calibri"/>
            <scheme val="minor"/>
            <charset val="1"/>
          </rPr>
          <t>======
ID#AAABwZ_v59g
陆汉东    (2025-12-28 13:27:34)
2025年11月24日批复</t>
        </r>
      </text>
    </comment>
    <comment ref="AG19" authorId="0">
      <text>
        <r>
          <rPr>
            <sz val="11"/>
            <color rgb="FF000000"/>
            <rFont val="Calibri"/>
            <scheme val="minor"/>
            <charset val="1"/>
          </rPr>
          <t>======
ID#AAABwZ_v6EI
陆汉东    (2025-12-28 13:27:34)
衡佳灵</t>
        </r>
      </text>
    </comment>
    <comment ref="D20" authorId="0">
      <text>
        <r>
          <rPr>
            <sz val="11"/>
            <color rgb="FF000000"/>
            <rFont val="Calibri"/>
            <scheme val="minor"/>
            <charset val="1"/>
          </rPr>
          <t>======
ID#AAABwZ_v5_8
陆汉东    (2025-12-28 13:27:34)
2025年7月4日批复</t>
        </r>
      </text>
    </comment>
    <comment ref="AG20" authorId="0">
      <text>
        <r>
          <rPr>
            <sz val="11"/>
            <color rgb="FF000000"/>
            <rFont val="Calibri"/>
            <scheme val="minor"/>
            <charset val="1"/>
          </rPr>
          <t>======
ID#AAABwZ_v5zM
陆汉东    (2025-12-28 13:27:34)
衡佳灵</t>
        </r>
      </text>
    </comment>
    <comment ref="A21" authorId="0">
      <text>
        <r>
          <rPr>
            <sz val="11"/>
            <color rgb="FF000000"/>
            <rFont val="Calibri"/>
            <scheme val="minor"/>
            <charset val="1"/>
          </rPr>
          <t>======
ID#AAABwZ_v58Y
陆汉东    (2025-12-28 13:27:34)
业绩考核责任书8.30</t>
        </r>
      </text>
    </comment>
    <comment ref="D21" authorId="0">
      <text>
        <r>
          <rPr>
            <sz val="11"/>
            <color rgb="FF000000"/>
            <rFont val="Calibri"/>
            <scheme val="minor"/>
            <charset val="1"/>
          </rPr>
          <t>======
ID#AAABwZ_v5w8
陆汉东    (2025-12-28 13:27:34)
2025年10月17日批复</t>
        </r>
      </text>
    </comment>
    <comment ref="L21" authorId="0">
      <text>
        <r>
          <rPr>
            <sz val="11"/>
            <color rgb="FF000000"/>
            <rFont val="Calibri"/>
            <scheme val="minor"/>
            <charset val="1"/>
          </rPr>
          <t>======
ID#AAABwZ_v53g
陆汉东    (2025-12-28 13:27:34)
2025年11月20日批复</t>
        </r>
      </text>
    </comment>
    <comment ref="L22" authorId="0">
      <text>
        <r>
          <rPr>
            <sz val="11"/>
            <color rgb="FF000000"/>
            <rFont val="Calibri"/>
            <scheme val="minor"/>
            <charset val="1"/>
          </rPr>
          <t>======
ID#AAABwZ_v5-o
陆汉东    (2025-12-28 13:27:34)
2025年4月18日批复</t>
        </r>
      </text>
    </comment>
    <comment ref="T22" authorId="0">
      <text>
        <r>
          <rPr>
            <sz val="11"/>
            <color rgb="FF000000"/>
            <rFont val="Calibri"/>
            <scheme val="minor"/>
            <charset val="1"/>
          </rPr>
          <t>======
ID#AAABwZ_v5xM
陆汉东    (2025-12-28 13:27:34)
2025年12月16日批复</t>
        </r>
      </text>
    </comment>
    <comment ref="L23" authorId="0">
      <text>
        <r>
          <rPr>
            <sz val="11"/>
            <color rgb="FF000000"/>
            <rFont val="Calibri"/>
            <scheme val="minor"/>
            <charset val="1"/>
          </rPr>
          <t>======
ID#AAABwZ_v53k
陆汉东    (2025-12-28 13:27:34)
2025年10月10日批复</t>
        </r>
      </text>
    </comment>
    <comment ref="AG23" authorId="0">
      <text>
        <r>
          <rPr>
            <sz val="11"/>
            <color rgb="FF000000"/>
            <rFont val="Calibri"/>
            <scheme val="minor"/>
            <charset val="1"/>
          </rPr>
          <t>======
ID#AAABwZ_v6DA
陆汉东    (2025-12-28 13:27:34)
衡佳灵</t>
        </r>
      </text>
    </comment>
    <comment ref="L25" authorId="0">
      <text>
        <r>
          <rPr>
            <sz val="11"/>
            <color rgb="FF000000"/>
            <rFont val="Calibri"/>
            <scheme val="minor"/>
            <charset val="1"/>
          </rPr>
          <t>======
ID#AAABwZ_v5w0
陆汉东    (2025-12-28 13:27:34)
2025年2月26日批复</t>
        </r>
      </text>
    </comment>
    <comment ref="T25" authorId="0">
      <text>
        <r>
          <rPr>
            <sz val="11"/>
            <color rgb="FF000000"/>
            <rFont val="Calibri"/>
            <scheme val="minor"/>
            <charset val="1"/>
          </rPr>
          <t>======
ID#AAABwZ_v54o
陆汉东    (2025-12-28 13:27:34)
2025年9月12日批复</t>
        </r>
      </text>
    </comment>
    <comment ref="L26" authorId="0">
      <text>
        <r>
          <rPr>
            <sz val="11"/>
            <color rgb="FF000000"/>
            <rFont val="Calibri"/>
            <scheme val="minor"/>
            <charset val="1"/>
          </rPr>
          <t>======
ID#AAABwZ_v500
陆汉东    (2025-12-28 13:27:34)
2025年2月14日批复</t>
        </r>
      </text>
    </comment>
    <comment ref="T26" authorId="0">
      <text>
        <r>
          <rPr>
            <sz val="11"/>
            <color rgb="FF000000"/>
            <rFont val="Calibri"/>
            <scheme val="minor"/>
            <charset val="1"/>
          </rPr>
          <t>======
ID#AAABwZ_v6E0
陆汉东    (2025-12-28 13:27:34)
2025年7月7日批复</t>
        </r>
      </text>
    </comment>
    <comment ref="L27" authorId="0">
      <text>
        <r>
          <rPr>
            <sz val="11"/>
            <color rgb="FF000000"/>
            <rFont val="Calibri"/>
            <scheme val="minor"/>
            <charset val="1"/>
          </rPr>
          <t>======
ID#AAABwZ_v56Q
陆汉东    (2025-12-28 13:27:34)
2025年2月11日批复</t>
        </r>
      </text>
    </comment>
    <comment ref="T27" authorId="0">
      <text>
        <r>
          <rPr>
            <sz val="11"/>
            <color rgb="FF000000"/>
            <rFont val="Calibri"/>
            <scheme val="minor"/>
            <charset val="1"/>
          </rPr>
          <t>======
ID#AAABwZ_v58c
陆汉东    (2025-12-28 13:27:34)
2025年10月10日批复</t>
        </r>
      </text>
    </comment>
    <comment ref="L28" authorId="0">
      <text>
        <r>
          <rPr>
            <sz val="11"/>
            <color rgb="FF000000"/>
            <rFont val="Calibri"/>
            <scheme val="minor"/>
            <charset val="1"/>
          </rPr>
          <t>======
ID#AAABwZ_v52Q
陆汉东    (2025-12-28 13:27:34)
2025年3月3日批复</t>
        </r>
      </text>
    </comment>
    <comment ref="T28" authorId="0">
      <text>
        <r>
          <rPr>
            <sz val="11"/>
            <color rgb="FF000000"/>
            <rFont val="Calibri"/>
            <scheme val="minor"/>
            <charset val="1"/>
          </rPr>
          <t>======
ID#AAABwZ_v6AQ
陆汉东    (2025-12-28 13:27:34)
2025年8月15日批复</t>
        </r>
      </text>
    </comment>
    <comment ref="AE28" authorId="0">
      <text>
        <r>
          <rPr>
            <sz val="11"/>
            <color rgb="FF000000"/>
            <rFont val="Calibri"/>
            <scheme val="minor"/>
            <charset val="1"/>
          </rPr>
          <t>======
ID#AAABwZ_v5zE
陆汉东    (2025-12-28 13:27:34)
衡佳灵</t>
        </r>
      </text>
    </comment>
    <comment ref="AG28" authorId="0">
      <text>
        <r>
          <rPr>
            <sz val="11"/>
            <color rgb="FF000000"/>
            <rFont val="Calibri"/>
            <scheme val="minor"/>
            <charset val="1"/>
          </rPr>
          <t>======
ID#AAABwZ_v5wM
陆汉东    (2025-12-28 13:27:34)
衡佳灵</t>
        </r>
      </text>
    </comment>
    <comment ref="L29" authorId="0">
      <text>
        <r>
          <rPr>
            <sz val="11"/>
            <color rgb="FF000000"/>
            <rFont val="Calibri"/>
            <scheme val="minor"/>
            <charset val="1"/>
          </rPr>
          <t>======
ID#AAABwZ_v56U
陆汉东    (2025-12-28 13:27:34)
2025年3月25日批复</t>
        </r>
      </text>
    </comment>
    <comment ref="T29" authorId="0">
      <text>
        <r>
          <rPr>
            <sz val="11"/>
            <color rgb="FF000000"/>
            <rFont val="Calibri"/>
            <scheme val="minor"/>
            <charset val="1"/>
          </rPr>
          <t>======
ID#AAABwZ_v6Co
陆汉东    (2025-12-28 13:27:34)
2025年9月26日批复</t>
        </r>
      </text>
    </comment>
    <comment ref="L30" authorId="0">
      <text>
        <r>
          <rPr>
            <sz val="11"/>
            <color rgb="FF000000"/>
            <rFont val="Calibri"/>
            <scheme val="minor"/>
            <charset val="1"/>
          </rPr>
          <t>======
ID#AAABwZ_v6DU
陆汉东    (2025-12-28 13:27:34)
2025年5月9日批复</t>
        </r>
      </text>
    </comment>
    <comment ref="AG30" authorId="0">
      <text>
        <r>
          <rPr>
            <sz val="11"/>
            <color rgb="FF000000"/>
            <rFont val="Calibri"/>
            <scheme val="minor"/>
            <charset val="1"/>
          </rPr>
          <t>======
ID#AAABwZ_v6EA
陆汉东    (2025-12-28 13:27:34)
衡佳灵</t>
        </r>
      </text>
    </comment>
    <comment ref="D31" authorId="0">
      <text>
        <r>
          <rPr>
            <sz val="11"/>
            <color rgb="FF000000"/>
            <rFont val="Calibri"/>
            <scheme val="minor"/>
            <charset val="1"/>
          </rPr>
          <t>======
ID#AAABwZ_v578
陆汉东    (2025-12-28 13:27:34)
2025年10月13日批复</t>
        </r>
      </text>
    </comment>
    <comment ref="AG31" authorId="0">
      <text>
        <r>
          <rPr>
            <sz val="11"/>
            <color rgb="FF000000"/>
            <rFont val="Calibri"/>
            <scheme val="minor"/>
            <charset val="1"/>
          </rPr>
          <t>======
ID#AAABwZ_v52k
陆汉东    (2025-12-28 13:27:34)
衡佳灵</t>
        </r>
      </text>
    </comment>
    <comment ref="S33" authorId="0">
      <text>
        <r>
          <rPr>
            <sz val="11"/>
            <color rgb="FF000000"/>
            <rFont val="Calibri"/>
            <scheme val="minor"/>
            <charset val="1"/>
          </rPr>
          <t>======
ID#AAABwZ_v59A
陆汉东    (2025-12-28 13:27:34)
第二次审查</t>
        </r>
      </text>
    </comment>
    <comment ref="T33" authorId="0">
      <text>
        <r>
          <rPr>
            <sz val="11"/>
            <color rgb="FF000000"/>
            <rFont val="Calibri"/>
            <scheme val="minor"/>
            <charset val="1"/>
          </rPr>
          <t>======
ID#AAABwZ_v57E
陆汉东    (2025-12-28 13:27:34)
2025年7月7日批复</t>
        </r>
      </text>
    </comment>
    <comment ref="T34" authorId="0">
      <text>
        <r>
          <rPr>
            <sz val="11"/>
            <color rgb="FF000000"/>
            <rFont val="Calibri"/>
            <scheme val="minor"/>
            <charset val="1"/>
          </rPr>
          <t>======
ID#AAABwZ_v5ws
陆汉东    (2025-12-28 13:27:34)
2025年3月4日批复</t>
        </r>
      </text>
    </comment>
    <comment ref="T35" authorId="0">
      <text>
        <r>
          <rPr>
            <sz val="11"/>
            <color rgb="FF000000"/>
            <rFont val="Calibri"/>
            <scheme val="minor"/>
            <charset val="1"/>
          </rPr>
          <t>======
ID#AAABwZ_v6AY
陆汉东    (2025-12-28 13:27:34)
2025年3月25日批复</t>
        </r>
      </text>
    </comment>
    <comment ref="T36" authorId="0">
      <text>
        <r>
          <rPr>
            <sz val="11"/>
            <color rgb="FF000000"/>
            <rFont val="Calibri"/>
            <scheme val="minor"/>
            <charset val="1"/>
          </rPr>
          <t>======
ID#AAABwZ_v5xU
陆汉东    (2025-12-28 13:27:34)
2025年2月19日批复</t>
        </r>
      </text>
    </comment>
    <comment ref="D37" authorId="0">
      <text>
        <r>
          <rPr>
            <sz val="11"/>
            <color rgb="FF000000"/>
            <rFont val="Calibri"/>
            <scheme val="minor"/>
            <charset val="1"/>
          </rPr>
          <t>======
ID#AAABwZ_v554
陆汉东    (2025-12-28 13:27:34)
2024年7月3日批复</t>
        </r>
      </text>
    </comment>
    <comment ref="P37" authorId="0">
      <text>
        <r>
          <rPr>
            <sz val="11"/>
            <color rgb="FF000000"/>
            <rFont val="Calibri"/>
            <scheme val="minor"/>
            <charset val="1"/>
          </rPr>
          <t>======
ID#AAABwZ_v520
陆汉东    (2025-12-28 13:27:34)
2024年11月14日批复</t>
        </r>
      </text>
    </comment>
    <comment ref="T37" authorId="0">
      <text>
        <r>
          <rPr>
            <sz val="11"/>
            <color rgb="FF000000"/>
            <rFont val="Calibri"/>
            <scheme val="minor"/>
            <charset val="1"/>
          </rPr>
          <t>======
ID#AAABwZ_v6DI
陆汉东    (2025-12-28 13:27:34)
2025年2月19日批复</t>
        </r>
      </text>
    </comment>
    <comment ref="T38" authorId="0">
      <text>
        <r>
          <rPr>
            <sz val="11"/>
            <color rgb="FF000000"/>
            <rFont val="Calibri"/>
            <scheme val="minor"/>
            <charset val="1"/>
          </rPr>
          <t>======
ID#AAABwZ_v56s
陆汉东    (2025-12-28 13:27:34)
2025年3月17日批复</t>
        </r>
      </text>
    </comment>
    <comment ref="T39" authorId="0">
      <text>
        <r>
          <rPr>
            <sz val="11"/>
            <color rgb="FF000000"/>
            <rFont val="Calibri"/>
            <scheme val="minor"/>
            <charset val="1"/>
          </rPr>
          <t>======
ID#AAABwZ_v6Ck
陆汉东    (2025-12-28 13:27:34)
2025年2月19日批复</t>
        </r>
      </text>
    </comment>
    <comment ref="T40" authorId="0">
      <text>
        <r>
          <rPr>
            <sz val="11"/>
            <color rgb="FF000000"/>
            <rFont val="Calibri"/>
            <scheme val="minor"/>
            <charset val="1"/>
          </rPr>
          <t>======
ID#AAABwZ_v524
陆汉东    (2025-12-28 13:27:34)
2025年8月21日批复</t>
        </r>
      </text>
    </comment>
    <comment ref="AV40" authorId="0">
      <text>
        <r>
          <rPr>
            <sz val="11"/>
            <color rgb="FF000000"/>
            <rFont val="Calibri"/>
            <scheme val="minor"/>
            <charset val="1"/>
          </rPr>
          <t>======
ID#AAABwZ_v5zU
陆汉东    (2025-12-28 13:27:34)
对应展厅施工图评审部分</t>
        </r>
      </text>
    </comment>
    <comment ref="O41" authorId="0">
      <text>
        <r>
          <rPr>
            <sz val="11"/>
            <color rgb="FF000000"/>
            <rFont val="Calibri"/>
            <scheme val="minor"/>
            <charset val="1"/>
          </rPr>
          <t>======
ID#AAABwZ_v5-4
陆汉东    (2025-12-28 13:27:34)
第二次初设调整</t>
        </r>
      </text>
    </comment>
    <comment ref="P41" authorId="0">
      <text>
        <r>
          <rPr>
            <sz val="11"/>
            <color rgb="FF000000"/>
            <rFont val="Calibri"/>
            <scheme val="minor"/>
            <charset val="1"/>
          </rPr>
          <t>======
ID#AAABwZ_v5wo
陆汉东    (2025-12-28 13:27:34)
2025年10月13日批复</t>
        </r>
      </text>
    </comment>
    <comment ref="AE44" authorId="0">
      <text>
        <r>
          <rPr>
            <sz val="11"/>
            <color rgb="FF000000"/>
            <rFont val="Calibri"/>
            <scheme val="minor"/>
            <charset val="1"/>
          </rPr>
          <t>======
ID#AAABwZ_v53E
陆汉东    (2025-12-28 13:27:34)
衡佳灵</t>
        </r>
      </text>
    </comment>
    <comment ref="AG44" authorId="0">
      <text>
        <r>
          <rPr>
            <sz val="11"/>
            <color rgb="FF000000"/>
            <rFont val="Calibri"/>
            <scheme val="minor"/>
            <charset val="1"/>
          </rPr>
          <t>======
ID#AAABwZ_v55U
陆汉东    (2025-12-28 13:27:34)
衡佳灵</t>
        </r>
      </text>
    </comment>
    <comment ref="AA45" authorId="0">
      <text>
        <r>
          <rPr>
            <sz val="11"/>
            <color rgb="FF000000"/>
            <rFont val="Calibri"/>
            <scheme val="minor"/>
            <charset val="1"/>
          </rPr>
          <t>======
ID#AAABwZ_v6BE
陆汉东    (2025-12-28 13:27:34)
挂绿至荔城重大变更</t>
        </r>
      </text>
    </comment>
    <comment ref="AG45" authorId="0">
      <text>
        <r>
          <rPr>
            <sz val="11"/>
            <color rgb="FF000000"/>
            <rFont val="Calibri"/>
            <scheme val="minor"/>
            <charset val="1"/>
          </rPr>
          <t>======
ID#AAABwZ_v594
陆汉东    (2025-12-28 13:27:34)
衡佳灵</t>
        </r>
      </text>
    </comment>
    <comment ref="AE46" authorId="0">
      <text>
        <r>
          <rPr>
            <sz val="11"/>
            <color rgb="FF000000"/>
            <rFont val="Calibri"/>
            <scheme val="minor"/>
            <charset val="1"/>
          </rPr>
          <t>======
ID#AAABwZ_v52Y
陆汉东    (2025-12-28 13:27:34)
衡佳灵</t>
        </r>
      </text>
    </comment>
    <comment ref="AG46" authorId="0">
      <text>
        <r>
          <rPr>
            <sz val="11"/>
            <color rgb="FF000000"/>
            <rFont val="Calibri"/>
            <scheme val="minor"/>
            <charset val="1"/>
          </rPr>
          <t>======
ID#AAABwZ_v5yc
陆汉东    (2025-12-28 13:27:34)
衡佳灵</t>
        </r>
      </text>
    </comment>
    <comment ref="P47" authorId="0">
      <text>
        <r>
          <rPr>
            <sz val="11"/>
            <color rgb="FF000000"/>
            <rFont val="Calibri"/>
            <scheme val="minor"/>
            <charset val="1"/>
          </rPr>
          <t>======
ID#AAABwZ_v6Fg
陆汉东    (2025-12-28 13:27:34)
2025年2月21日批复</t>
        </r>
      </text>
    </comment>
    <comment ref="T47" authorId="0">
      <text>
        <r>
          <rPr>
            <sz val="11"/>
            <color rgb="FF000000"/>
            <rFont val="Calibri"/>
            <scheme val="minor"/>
            <charset val="1"/>
          </rPr>
          <t>======
ID#AAABwZ_v5-Y
陆汉东    (2025-12-28 13:27:34)
2025年6月9日批复</t>
        </r>
      </text>
    </comment>
    <comment ref="BI47" authorId="0">
      <text>
        <r>
          <rPr>
            <sz val="11"/>
            <color rgb="FF000000"/>
            <rFont val="Calibri"/>
            <scheme val="minor"/>
            <charset val="1"/>
          </rPr>
          <t>======
ID#AAABwZ_v588
陆汉东    (2025-12-28 13:27:34)
对应初设动态投资25908.26 万元</t>
        </r>
      </text>
    </comment>
    <comment ref="BK47" authorId="0">
      <text>
        <r>
          <rPr>
            <sz val="11"/>
            <color rgb="FF000000"/>
            <rFont val="Calibri"/>
            <scheme val="minor"/>
            <charset val="1"/>
          </rPr>
          <t>======
ID#AAABwZ_v5y0
陆汉东    (2025-12-28 13:27:34)
对应初设静态投资25490.89 万元</t>
        </r>
      </text>
    </comment>
    <comment ref="D49" authorId="0">
      <text>
        <r>
          <rPr>
            <sz val="11"/>
            <color rgb="FF000000"/>
            <rFont val="Calibri"/>
            <scheme val="minor"/>
            <charset val="1"/>
          </rPr>
          <t>======
ID#AAABwZ_v53o
陆汉东    (2025-12-28 13:27:34)
2025年4月28日批复</t>
        </r>
      </text>
    </comment>
    <comment ref="L49" authorId="0">
      <text>
        <r>
          <rPr>
            <sz val="11"/>
            <color rgb="FF000000"/>
            <rFont val="Calibri"/>
            <scheme val="minor"/>
            <charset val="1"/>
          </rPr>
          <t>======
ID#AAABwZ_v51M
陆汉东    (2025-12-28 13:27:34)
2025年9月20日批复</t>
        </r>
      </text>
    </comment>
    <comment ref="AG49" authorId="0">
      <text>
        <r>
          <rPr>
            <sz val="11"/>
            <color rgb="FF000000"/>
            <rFont val="Calibri"/>
            <scheme val="minor"/>
            <charset val="1"/>
          </rPr>
          <t>======
ID#AAABwZ_v58s
陆汉东    (2025-12-28 13:27:34)
衡佳灵</t>
        </r>
      </text>
    </comment>
    <comment ref="H50" authorId="0">
      <text>
        <r>
          <rPr>
            <sz val="11"/>
            <color rgb="FF000000"/>
            <rFont val="Calibri"/>
            <scheme val="minor"/>
            <charset val="1"/>
          </rPr>
          <t>======
ID#AAABwZ_v6Cs
陆汉东    (2025-12-28 13:27:34)
2025年3月11日批复</t>
        </r>
      </text>
    </comment>
    <comment ref="P50" authorId="0">
      <text>
        <r>
          <rPr>
            <sz val="11"/>
            <color rgb="FF000000"/>
            <rFont val="Calibri"/>
            <scheme val="minor"/>
            <charset val="1"/>
          </rPr>
          <t>======
ID#AAABwZ_v6DM
陆汉东    (2025-12-28 13:27:34)
5月23日技术收口，5月23日技经反馈图纸未按调整后规模描述，期间厚德、界观二分册两项紧急项目审查，6月4日出技经收口意见，6月9日发文
陆汉东:
2025年7月4日批复</t>
        </r>
      </text>
    </comment>
    <comment ref="L52" authorId="0">
      <text>
        <r>
          <rPr>
            <sz val="11"/>
            <color rgb="FF000000"/>
            <rFont val="Calibri"/>
            <scheme val="minor"/>
            <charset val="1"/>
          </rPr>
          <t>======
ID#AAABwZ_v59s
陆汉东    (2025-12-28 13:27:34)
2025年2月14日批复</t>
        </r>
      </text>
    </comment>
    <comment ref="T52" authorId="0">
      <text>
        <r>
          <rPr>
            <sz val="11"/>
            <color rgb="FF000000"/>
            <rFont val="Calibri"/>
            <scheme val="minor"/>
            <charset val="1"/>
          </rPr>
          <t>======
ID#AAABwZ_v57M
Aiolos Luk    (2025-12-28 13:27:34)
5月30日技术收口，提交资料给技经。
6月17日技经收口，问题：设计造价外委，评审意见发出后修改周期长，首次形成清单审核报告，需要与省规划中心、局基建部沟通。
陆汉东:
2025年7月7日批复</t>
        </r>
      </text>
    </comment>
    <comment ref="H53" authorId="0">
      <text>
        <r>
          <rPr>
            <sz val="11"/>
            <color rgb="FF000000"/>
            <rFont val="Calibri"/>
            <scheme val="minor"/>
            <charset val="1"/>
          </rPr>
          <t>======
ID#AAABwZ_v6Cc
陆汉东    (2025-12-28 13:27:34)
2025年11月7日批复</t>
        </r>
      </text>
    </comment>
    <comment ref="D54" authorId="0">
      <text>
        <r>
          <rPr>
            <sz val="11"/>
            <color rgb="FF000000"/>
            <rFont val="Calibri"/>
            <scheme val="minor"/>
            <charset val="1"/>
          </rPr>
          <t>======
ID#AAABwZ_v5xw
陆汉东    (2025-12-28 13:27:34)
4月29日组长确认收口，4月30日技经群里发收口评审意见，5月8日组长提出修改，5月9日提出第一版修改稿，5月13日定稿，5月13日评审意见发文</t>
        </r>
      </text>
    </comment>
    <comment ref="T55" authorId="0">
      <text>
        <r>
          <rPr>
            <sz val="11"/>
            <color rgb="FF000000"/>
            <rFont val="Calibri"/>
            <scheme val="minor"/>
            <charset val="1"/>
          </rPr>
          <t>======
ID#AAABwZ_v54Y
陆汉东    (2025-12-28 13:27:34)
2025年3月17日批复</t>
        </r>
      </text>
    </comment>
    <comment ref="BY57" authorId="0">
      <text>
        <r>
          <rPr>
            <sz val="11"/>
            <color rgb="FF000000"/>
            <rFont val="Calibri"/>
            <scheme val="minor"/>
            <charset val="1"/>
          </rPr>
          <t>======
ID#AAABwZ_v6Aw
陆汉东    (2025-12-28 13:27:34)
核减费用的变更</t>
        </r>
      </text>
    </comment>
    <comment ref="D58" authorId="0">
      <text>
        <r>
          <rPr>
            <sz val="11"/>
            <color rgb="FF000000"/>
            <rFont val="Calibri"/>
            <scheme val="minor"/>
            <charset val="1"/>
          </rPr>
          <t>======
ID#AAABwZ_v59Q
陆汉东    (2025-12-28 13:27:34)
2025年2月19日批复
陆汉东:
2025年3月25日批复</t>
        </r>
      </text>
    </comment>
    <comment ref="D59" authorId="0">
      <text>
        <r>
          <rPr>
            <sz val="11"/>
            <color rgb="FF000000"/>
            <rFont val="Calibri"/>
            <scheme val="minor"/>
            <charset val="1"/>
          </rPr>
          <t>======
ID#AAABwZ_v52E
陆汉东    (2025-12-28 13:27:34)
2025年6月16日批复</t>
        </r>
      </text>
    </comment>
    <comment ref="AG59" authorId="0">
      <text>
        <r>
          <rPr>
            <sz val="11"/>
            <color rgb="FF000000"/>
            <rFont val="Calibri"/>
            <scheme val="minor"/>
            <charset val="1"/>
          </rPr>
          <t>======
ID#AAABwZ_v5-w
陆汉东    (2025-12-28 13:27:34)
衡佳灵</t>
        </r>
      </text>
    </comment>
    <comment ref="T61" authorId="0">
      <text>
        <r>
          <rPr>
            <sz val="11"/>
            <color rgb="FF000000"/>
            <rFont val="Calibri"/>
            <scheme val="minor"/>
            <charset val="1"/>
          </rPr>
          <t>======
ID#AAABwZ_v5_M
Aiolos Luk    (2025-12-28 13:27:34)
2025年7月18日批复</t>
        </r>
      </text>
    </comment>
    <comment ref="AE63" authorId="0">
      <text>
        <r>
          <rPr>
            <sz val="11"/>
            <color rgb="FF000000"/>
            <rFont val="Calibri"/>
            <scheme val="minor"/>
            <charset val="1"/>
          </rPr>
          <t>======
ID#AAABwZ_v6D4
陆汉东    (2025-12-28 13:27:34)
衡佳灵</t>
        </r>
      </text>
    </comment>
    <comment ref="AG63" authorId="0">
      <text>
        <r>
          <rPr>
            <sz val="11"/>
            <color rgb="FF000000"/>
            <rFont val="Calibri"/>
            <scheme val="minor"/>
            <charset val="1"/>
          </rPr>
          <t>======
ID#AAABwZ_v53A
陆汉东    (2025-12-28 13:27:34)
衡佳灵</t>
        </r>
      </text>
    </comment>
    <comment ref="BU63" authorId="0">
      <text>
        <r>
          <rPr>
            <sz val="11"/>
            <color rgb="FF000000"/>
            <rFont val="Calibri"/>
            <scheme val="minor"/>
            <charset val="1"/>
          </rPr>
          <t>======
ID#AAABwZ_v6CQ
陆汉东    (2025-12-28 13:27:34)
调减</t>
        </r>
      </text>
    </comment>
    <comment ref="BV63" authorId="0">
      <text>
        <r>
          <rPr>
            <sz val="11"/>
            <color rgb="FF000000"/>
            <rFont val="Calibri"/>
            <scheme val="minor"/>
            <charset val="1"/>
          </rPr>
          <t>======
ID#AAABwZ_v6D8
陆汉东    (2025-12-28 13:27:34)
调减</t>
        </r>
      </text>
    </comment>
    <comment ref="BY64" authorId="0">
      <text>
        <r>
          <rPr>
            <sz val="11"/>
            <color rgb="FF000000"/>
            <rFont val="Calibri"/>
            <scheme val="minor"/>
            <charset val="1"/>
          </rPr>
          <t>======
ID#AAABwZ_v6FA
陆汉东    (2025-12-28 13:27:34)
核减费用的变更</t>
        </r>
      </text>
    </comment>
    <comment ref="L65" authorId="0">
      <text>
        <r>
          <rPr>
            <sz val="11"/>
            <color rgb="FF000000"/>
            <rFont val="Calibri"/>
            <scheme val="minor"/>
            <charset val="1"/>
          </rPr>
          <t>======
ID#AAABwZ_v58A
陆汉东    (2025-12-28 13:27:34)
2025年9月12日批复</t>
        </r>
      </text>
    </comment>
    <comment ref="L66" authorId="0">
      <text>
        <r>
          <rPr>
            <sz val="11"/>
            <color rgb="FF000000"/>
            <rFont val="Calibri"/>
            <scheme val="minor"/>
            <charset val="1"/>
          </rPr>
          <t>======
ID#AAABwZ_v6FI
陆汉东    (2025-12-28 13:27:34)
2025年4月27日批复</t>
        </r>
      </text>
    </comment>
    <comment ref="S66" authorId="0">
      <text>
        <r>
          <rPr>
            <sz val="11"/>
            <color rgb="FF000000"/>
            <rFont val="Calibri"/>
            <scheme val="minor"/>
            <charset val="1"/>
          </rPr>
          <t>======
ID#AAABwZ_v55c
陆汉东    (2025-12-28 13:27:34)
9月28日收口，10月16日提出补充技术方面费用</t>
        </r>
      </text>
    </comment>
    <comment ref="T66" authorId="0">
      <text>
        <r>
          <rPr>
            <sz val="11"/>
            <color rgb="FF000000"/>
            <rFont val="Calibri"/>
            <scheme val="minor"/>
            <charset val="1"/>
          </rPr>
          <t>======
ID#AAABwZ_v58M
陆汉东    (2025-12-28 13:27:34)
2025年11月4日批复</t>
        </r>
      </text>
    </comment>
    <comment ref="AG66" authorId="0">
      <text>
        <r>
          <rPr>
            <sz val="11"/>
            <color rgb="FF000000"/>
            <rFont val="Calibri"/>
            <scheme val="minor"/>
            <charset val="1"/>
          </rPr>
          <t>======
ID#AAABwZ_v5wI
陆汉东    (2025-12-28 13:27:34)
衡佳灵</t>
        </r>
      </text>
    </comment>
    <comment ref="P68" authorId="0">
      <text>
        <r>
          <rPr>
            <sz val="11"/>
            <color rgb="FF000000"/>
            <rFont val="Calibri"/>
            <scheme val="minor"/>
            <charset val="1"/>
          </rPr>
          <t>======
ID#AAABwZ_v51Q
陆汉东    (2025-12-28 13:27:34)
2025年8月11日批复</t>
        </r>
      </text>
    </comment>
    <comment ref="B69" authorId="0">
      <text>
        <r>
          <rPr>
            <sz val="11"/>
            <color rgb="FF000000"/>
            <rFont val="Calibri"/>
            <scheme val="minor"/>
            <charset val="1"/>
          </rPr>
          <t>======
ID#AAABwZ_v6Ag
Aiolos Luk    (2025-12-28 13:27:34)
广东寰球广业工程有限公司</t>
        </r>
      </text>
    </comment>
    <comment ref="L69" authorId="0">
      <text>
        <r>
          <rPr>
            <sz val="11"/>
            <color rgb="FF000000"/>
            <rFont val="Calibri"/>
            <scheme val="minor"/>
            <charset val="1"/>
          </rPr>
          <t>======
ID#AAABwZ_v5yI
陆汉东    (2025-12-28 13:27:34)
2025年5月23日批复</t>
        </r>
      </text>
    </comment>
    <comment ref="T69" authorId="0">
      <text>
        <r>
          <rPr>
            <sz val="11"/>
            <color rgb="FF000000"/>
            <rFont val="Calibri"/>
            <scheme val="minor"/>
            <charset val="1"/>
          </rPr>
          <t>======
ID#AAABwZ_v5vw
陆汉东    (2025-12-28 13:27:34)
2025年9月15日批复</t>
        </r>
      </text>
    </comment>
    <comment ref="T70" authorId="0">
      <text>
        <r>
          <rPr>
            <sz val="11"/>
            <color rgb="FF000000"/>
            <rFont val="Calibri"/>
            <scheme val="minor"/>
            <charset val="1"/>
          </rPr>
          <t>======
ID#AAABwZ_v580
陆汉东    (2025-12-28 13:27:34)
2025年5月23日批复</t>
        </r>
      </text>
    </comment>
    <comment ref="L71" authorId="0">
      <text>
        <r>
          <rPr>
            <sz val="11"/>
            <color rgb="FF000000"/>
            <rFont val="Calibri"/>
            <scheme val="minor"/>
            <charset val="1"/>
          </rPr>
          <t>======
ID#AAABwZ_v57I
陆汉东    (2025-12-28 13:27:34)
2025年4月29日批复</t>
        </r>
      </text>
    </comment>
    <comment ref="S71" authorId="0">
      <text>
        <r>
          <rPr>
            <sz val="11"/>
            <color rgb="FF000000"/>
            <rFont val="Calibri"/>
            <scheme val="minor"/>
            <charset val="1"/>
          </rPr>
          <t>======
ID#AAABwZ_v5yw
陆汉东    (2025-12-28 13:27:34)
原计划2025/8/14</t>
        </r>
      </text>
    </comment>
    <comment ref="L72" authorId="0">
      <text>
        <r>
          <rPr>
            <sz val="11"/>
            <color rgb="FF000000"/>
            <rFont val="Calibri"/>
            <scheme val="minor"/>
            <charset val="1"/>
          </rPr>
          <t>======
ID#AAABwZ_v54s
陆汉东    (2025-12-28 13:27:34)
4月17日群里通知技术已收口，4月28日消防水池修改，5月6日高压水雾消防系统修改，5月9日补围墙图纸，5月12日技经收口，5月13日发评审意见文。
陆汉东:
2025年5月28日批复</t>
        </r>
      </text>
    </comment>
    <comment ref="T72" authorId="0">
      <text>
        <r>
          <rPr>
            <sz val="11"/>
            <color rgb="FF000000"/>
            <rFont val="Calibri"/>
            <scheme val="minor"/>
            <charset val="1"/>
          </rPr>
          <t>======
ID#AAABwZ_v50w
陆汉东    (2025-12-28 13:27:34)
2025年10月27日批复</t>
        </r>
      </text>
    </comment>
    <comment ref="L73" authorId="0">
      <text>
        <r>
          <rPr>
            <sz val="11"/>
            <color rgb="FF000000"/>
            <rFont val="Calibri"/>
            <scheme val="minor"/>
            <charset val="1"/>
          </rPr>
          <t>======
ID#AAABwZ_v50g
陆汉东    (2025-12-28 13:27:34)
2025年7月21日批复</t>
        </r>
      </text>
    </comment>
    <comment ref="T73" authorId="0">
      <text>
        <r>
          <rPr>
            <sz val="11"/>
            <color rgb="FF000000"/>
            <rFont val="Calibri"/>
            <scheme val="minor"/>
            <charset val="1"/>
          </rPr>
          <t>======
ID#AAABwZ_v50Q
陆汉东    (2025-12-28 13:27:34)
2025年10月21日批复</t>
        </r>
      </text>
    </comment>
    <comment ref="AG73" authorId="0">
      <text>
        <r>
          <rPr>
            <sz val="11"/>
            <color rgb="FF000000"/>
            <rFont val="Calibri"/>
            <scheme val="minor"/>
            <charset val="1"/>
          </rPr>
          <t>======
ID#AAABwZ_v53M
陆汉东    (2025-12-28 13:27:34)
衡佳灵</t>
        </r>
      </text>
    </comment>
    <comment ref="A75" authorId="0">
      <text>
        <r>
          <rPr>
            <sz val="11"/>
            <color rgb="FF000000"/>
            <rFont val="Calibri"/>
            <scheme val="minor"/>
            <charset val="1"/>
          </rPr>
          <t>======
ID#AAABwZ_v564
Aiolos Luk    (2025-12-28 13:27:34)
含储能
陆汉东:
业绩考核责任书6.30</t>
        </r>
      </text>
    </comment>
    <comment ref="C75" authorId="0">
      <text>
        <r>
          <rPr>
            <sz val="11"/>
            <color rgb="FF000000"/>
            <rFont val="Calibri"/>
            <scheme val="minor"/>
            <charset val="1"/>
          </rPr>
          <t>======
ID#AAABwZ_v5y8
陆汉东    (2025-12-28 13:27:34)
原计划2025/7/3</t>
        </r>
      </text>
    </comment>
    <comment ref="P76" authorId="0">
      <text>
        <r>
          <rPr>
            <sz val="11"/>
            <color rgb="FF000000"/>
            <rFont val="Calibri"/>
            <scheme val="minor"/>
            <charset val="1"/>
          </rPr>
          <t>======
ID#AAABwZ_v544
陆汉东    (2025-12-28 13:27:34)
2025年8月15日批复</t>
        </r>
      </text>
    </comment>
    <comment ref="A78" authorId="0">
      <text>
        <r>
          <rPr>
            <sz val="11"/>
            <color rgb="FF000000"/>
            <rFont val="Calibri"/>
            <scheme val="minor"/>
            <charset val="1"/>
          </rPr>
          <t>======
ID#AAABwZ_v54M
陆汉东    (2025-12-28 13:27:34)
初设完成一期工程评审</t>
        </r>
      </text>
    </comment>
    <comment ref="L78" authorId="0">
      <text>
        <r>
          <rPr>
            <sz val="11"/>
            <color rgb="FF000000"/>
            <rFont val="Calibri"/>
            <scheme val="minor"/>
            <charset val="1"/>
          </rPr>
          <t>======
ID#AAABwZ_v57Q
陆汉东    (2025-12-28 13:27:34)
2025年5月23日批复</t>
        </r>
      </text>
    </comment>
    <comment ref="AI78" authorId="0">
      <text>
        <r>
          <rPr>
            <sz val="11"/>
            <color rgb="FF000000"/>
            <rFont val="Calibri"/>
            <scheme val="minor"/>
            <charset val="1"/>
          </rPr>
          <t>======
ID#AAABwZ_v58U
陆汉东    (2025-12-28 13:27:34)
减去一期动态投资数</t>
        </r>
      </text>
    </comment>
    <comment ref="AK78" authorId="0">
      <text>
        <r>
          <rPr>
            <sz val="11"/>
            <color rgb="FF000000"/>
            <rFont val="Calibri"/>
            <scheme val="minor"/>
            <charset val="1"/>
          </rPr>
          <t>======
ID#AAABwZ_v6Dg
陆汉东    (2025-12-28 13:27:34)
暂无一期静态投资数据，按动态平移</t>
        </r>
      </text>
    </comment>
    <comment ref="T79" authorId="0">
      <text>
        <r>
          <rPr>
            <sz val="11"/>
            <color rgb="FF000000"/>
            <rFont val="Calibri"/>
            <scheme val="minor"/>
            <charset val="1"/>
          </rPr>
          <t>======
ID#AAABwZ_v5yQ
陆汉东    (2025-12-28 13:27:34)
2025年10月21日批复</t>
        </r>
      </text>
    </comment>
    <comment ref="D80" authorId="0">
      <text>
        <r>
          <rPr>
            <sz val="11"/>
            <color rgb="FF000000"/>
            <rFont val="Calibri"/>
            <scheme val="minor"/>
            <charset val="1"/>
          </rPr>
          <t>======
ID#AAABwZ_v6C0
陆汉东    (2025-12-28 13:27:34)
2025年4月28日批复</t>
        </r>
      </text>
    </comment>
    <comment ref="L80" authorId="0">
      <text>
        <r>
          <rPr>
            <sz val="11"/>
            <color rgb="FF000000"/>
            <rFont val="Calibri"/>
            <scheme val="minor"/>
            <charset val="1"/>
          </rPr>
          <t>======
ID#AAABwZ_v6Dw
陆汉东    (2025-12-28 13:27:34)
2025年10月27日批复</t>
        </r>
      </text>
    </comment>
    <comment ref="AG81" authorId="0">
      <text>
        <r>
          <rPr>
            <sz val="11"/>
            <color rgb="FF000000"/>
            <rFont val="Calibri"/>
            <scheme val="minor"/>
            <charset val="1"/>
          </rPr>
          <t>======
ID#AAABwZ_v51c
陆汉东    (2025-12-28 13:27:34)
衡佳灵</t>
        </r>
      </text>
    </comment>
    <comment ref="AG82" authorId="0">
      <text>
        <r>
          <rPr>
            <sz val="11"/>
            <color rgb="FF000000"/>
            <rFont val="Calibri"/>
            <scheme val="minor"/>
            <charset val="1"/>
          </rPr>
          <t>======
ID#AAABwZ_v6D0
陆汉东    (2025-12-28 13:27:34)
衡佳灵</t>
        </r>
      </text>
    </comment>
    <comment ref="T83" authorId="0">
      <text>
        <r>
          <rPr>
            <sz val="11"/>
            <color rgb="FF000000"/>
            <rFont val="Calibri"/>
            <scheme val="minor"/>
            <charset val="1"/>
          </rPr>
          <t>======
ID#AAABwZ_v550
陆汉东    (2025-12-28 13:27:34)
2025年7月7日批复</t>
        </r>
      </text>
    </comment>
    <comment ref="D84" authorId="0">
      <text>
        <r>
          <rPr>
            <sz val="11"/>
            <color rgb="FF000000"/>
            <rFont val="Calibri"/>
            <scheme val="minor"/>
            <charset val="1"/>
          </rPr>
          <t>======
ID#AAABwZ_v5_c
陆汉东    (2025-12-28 13:27:34)
2025年5月28日批复</t>
        </r>
      </text>
    </comment>
    <comment ref="L84" authorId="0">
      <text>
        <r>
          <rPr>
            <sz val="11"/>
            <color rgb="FF000000"/>
            <rFont val="Calibri"/>
            <scheme val="minor"/>
            <charset val="1"/>
          </rPr>
          <t>======
ID#AAABwZ_v50o
陆汉东    (2025-12-28 13:27:34)
2025年11月4日批复</t>
        </r>
      </text>
    </comment>
    <comment ref="AG84" authorId="0">
      <text>
        <r>
          <rPr>
            <sz val="11"/>
            <color rgb="FF000000"/>
            <rFont val="Calibri"/>
            <scheme val="minor"/>
            <charset val="1"/>
          </rPr>
          <t>======
ID#AAABwZ_v59I
陆汉东    (2025-12-28 13:27:34)
衡佳灵</t>
        </r>
      </text>
    </comment>
    <comment ref="D85" authorId="0">
      <text>
        <r>
          <rPr>
            <sz val="11"/>
            <color rgb="FF000000"/>
            <rFont val="Calibri"/>
            <scheme val="minor"/>
            <charset val="1"/>
          </rPr>
          <t>======
ID#AAABwZ_v56E
陆汉东    (2025-12-28 13:27:34)
2025年5月9日批复</t>
        </r>
      </text>
    </comment>
    <comment ref="L85" authorId="0">
      <text>
        <r>
          <rPr>
            <sz val="11"/>
            <color rgb="FF000000"/>
            <rFont val="Calibri"/>
            <scheme val="minor"/>
            <charset val="1"/>
          </rPr>
          <t>======
ID#AAABwZ_v59U
陆汉东    (2025-12-28 13:27:34)
2025年9月23日批复</t>
        </r>
      </text>
    </comment>
    <comment ref="S86" authorId="0">
      <text>
        <r>
          <rPr>
            <sz val="11"/>
            <color rgb="FF000000"/>
            <rFont val="Calibri"/>
            <scheme val="minor"/>
            <charset val="1"/>
          </rPr>
          <t>======
ID#AAABwZ_v58g
陆汉东    (2025-12-28 13:27:34)
5月12日群里报技术收口</t>
        </r>
      </text>
    </comment>
    <comment ref="T86" authorId="0">
      <text>
        <r>
          <rPr>
            <sz val="11"/>
            <color rgb="FF000000"/>
            <rFont val="Calibri"/>
            <scheme val="minor"/>
            <charset val="1"/>
          </rPr>
          <t>======
ID#AAABwZ_v510
陆汉东    (2025-12-28 13:27:34)
2025年4月23日反馈缺少交通疏解设计图，5月12日群里反馈技术已收口，土建、通信、二次专业出意见，5月13日设计技经收口，5月14日建筑设备专业出意见，5月14日技经收口出意见，同日发文。
陆汉东:
2025年6月4日批复</t>
        </r>
      </text>
    </comment>
    <comment ref="AG86" authorId="0">
      <text>
        <r>
          <rPr>
            <sz val="11"/>
            <color rgb="FF000000"/>
            <rFont val="Calibri"/>
            <scheme val="minor"/>
            <charset val="1"/>
          </rPr>
          <t>======
ID#AAABwZ_v52A
陆汉东    (2025-12-28 13:27:34)
衡佳灵</t>
        </r>
      </text>
    </comment>
    <comment ref="P88" authorId="0">
      <text>
        <r>
          <rPr>
            <sz val="11"/>
            <color rgb="FF000000"/>
            <rFont val="Calibri"/>
            <scheme val="minor"/>
            <charset val="1"/>
          </rPr>
          <t>======
ID#AAABwZ_v5yA
陆汉东    (2025-12-28 13:27:34)
2025年5月9日批复</t>
        </r>
      </text>
    </comment>
    <comment ref="L90" authorId="0">
      <text>
        <r>
          <rPr>
            <sz val="11"/>
            <color rgb="FF000000"/>
            <rFont val="Calibri"/>
            <scheme val="minor"/>
            <charset val="1"/>
          </rPr>
          <t>======
ID#AAABwZ_v6DE
陆汉东    (2025-12-28 13:27:34)
2025年4月15日批复</t>
        </r>
      </text>
    </comment>
    <comment ref="T90" authorId="0">
      <text>
        <r>
          <rPr>
            <sz val="11"/>
            <color rgb="FF000000"/>
            <rFont val="Calibri"/>
            <scheme val="minor"/>
            <charset val="1"/>
          </rPr>
          <t>======
ID#AAABwZ_v5_E
陆汉东    (2025-12-28 13:27:34)
2025年4月27日批复</t>
        </r>
      </text>
    </comment>
    <comment ref="T91" authorId="0">
      <text>
        <r>
          <rPr>
            <sz val="11"/>
            <color rgb="FF000000"/>
            <rFont val="Calibri"/>
            <scheme val="minor"/>
            <charset val="1"/>
          </rPr>
          <t>======
ID#AAABwZ_v514
陆汉东    (2025-12-28 13:27:34)
2025年6月4日批复
陆汉东:
5月13日技术收口，5月16日技经收口，5月21日根据技术修改后技经出意见</t>
        </r>
      </text>
    </comment>
    <comment ref="B92" authorId="0">
      <text>
        <r>
          <rPr>
            <sz val="11"/>
            <color rgb="FF000000"/>
            <rFont val="Calibri"/>
            <scheme val="minor"/>
            <charset val="1"/>
          </rPr>
          <t>======
ID#AAABwZ_v6Ec
陆汉东    (2025-12-28 13:27:34)
中铁第一勘察设计院</t>
        </r>
      </text>
    </comment>
    <comment ref="L93" authorId="0">
      <text>
        <r>
          <rPr>
            <sz val="11"/>
            <color rgb="FF000000"/>
            <rFont val="Calibri"/>
            <scheme val="minor"/>
            <charset val="1"/>
          </rPr>
          <t>======
ID#AAABwZ_v5y4
陆汉东    (2025-12-28 13:27:34)
4月29日设计单位反馈已按意见修改，5月8日一次群里反馈评审意见，5与9日二次群里反馈评审意见，5月12日土建群里反馈意见，5月13日建筑设备群里反馈意见，5月13日下午评审意见发文。
陆汉东:
2025年6月4日批复</t>
        </r>
      </text>
    </comment>
    <comment ref="T93" authorId="0">
      <text>
        <r>
          <rPr>
            <sz val="11"/>
            <color rgb="FF000000"/>
            <rFont val="Calibri"/>
            <scheme val="minor"/>
            <charset val="1"/>
          </rPr>
          <t>======
ID#AAABwZ_v6CY
陆汉东    (2025-12-28 13:27:34)
2025年9月12日批复</t>
        </r>
      </text>
    </comment>
    <comment ref="T96" authorId="0">
      <text>
        <r>
          <rPr>
            <sz val="11"/>
            <color rgb="FF000000"/>
            <rFont val="Calibri"/>
            <scheme val="minor"/>
            <charset val="1"/>
          </rPr>
          <t>======
ID#AAABwZ_v51A
陆汉东    (2025-12-28 13:27:34)
2025年4月21日批复</t>
        </r>
      </text>
    </comment>
    <comment ref="D97" authorId="0">
      <text>
        <r>
          <rPr>
            <sz val="11"/>
            <color rgb="FF000000"/>
            <rFont val="Calibri"/>
            <scheme val="minor"/>
            <charset val="1"/>
          </rPr>
          <t>======
ID#AAABwZ_v5-s
陆汉东    (2025-12-28 13:27:34)
4月22日变电技经反馈意见，4月23日线路技经、土建、系统、线路反馈意见，4月27日群里发技术收口资料，4月29日通信收口，4月30日系统专业表示还在核对，5月6日技经反馈意见给设计单位修改，5月8日组长收集各专业收口意见，5月9日，线路、一次反馈收口意见，5月11日土建、系统、二次反馈收口意见，5月12日完成收口意见收集后技经填写前期数据收集表，5月13日修改了收口意见内容，5月14日发文。
陆汉东:
2025年6月6日批复</t>
        </r>
      </text>
    </comment>
    <comment ref="AG97" authorId="0">
      <text>
        <r>
          <rPr>
            <sz val="11"/>
            <color rgb="FF000000"/>
            <rFont val="Calibri"/>
            <scheme val="minor"/>
            <charset val="1"/>
          </rPr>
          <t>======
ID#AAABwZ_v6EE
陆汉东    (2025-12-28 13:27:34)
衡佳灵</t>
        </r>
      </text>
    </comment>
    <comment ref="L98" authorId="0">
      <text>
        <r>
          <rPr>
            <sz val="11"/>
            <color rgb="FF000000"/>
            <rFont val="Calibri"/>
            <scheme val="minor"/>
            <charset val="1"/>
          </rPr>
          <t>======
ID#AAABwZ_v51s
陆汉东    (2025-12-28 13:27:34)
2025年8月6日批复</t>
        </r>
      </text>
    </comment>
    <comment ref="D99" authorId="0">
      <text>
        <r>
          <rPr>
            <sz val="11"/>
            <color rgb="FF000000"/>
            <rFont val="Calibri"/>
            <scheme val="minor"/>
            <charset val="1"/>
          </rPr>
          <t>======
ID#AAABwZ_v52M
陆汉东    (2025-12-28 13:27:34)
5月12日设计单位反馈技术与技经完成收口，5月13日系统出评审意见，5月14日二次出意见，群里通知技术收口
陆汉东:
2025年6月6日批复</t>
        </r>
      </text>
    </comment>
    <comment ref="AG101" authorId="0">
      <text>
        <r>
          <rPr>
            <sz val="11"/>
            <color rgb="FF000000"/>
            <rFont val="Calibri"/>
            <scheme val="minor"/>
            <charset val="1"/>
          </rPr>
          <t>======
ID#AAABwZ_v5x4
陆汉东    (2025-12-28 13:27:34)
衡佳灵</t>
        </r>
      </text>
    </comment>
    <comment ref="T103" authorId="0">
      <text>
        <r>
          <rPr>
            <sz val="11"/>
            <color rgb="FF000000"/>
            <rFont val="Calibri"/>
            <scheme val="minor"/>
            <charset val="1"/>
          </rPr>
          <t>======
ID#AAABwZ_v5wY
陆汉东    (2025-12-28 13:27:34)
2025年10月10日批复</t>
        </r>
      </text>
    </comment>
    <comment ref="T104" authorId="0">
      <text>
        <r>
          <rPr>
            <sz val="11"/>
            <color rgb="FF000000"/>
            <rFont val="Calibri"/>
            <scheme val="minor"/>
            <charset val="1"/>
          </rPr>
          <t>======
ID#AAABwZ_v5z4
陆汉东    (2025-12-28 13:27:34)
2025年9月26日批复</t>
        </r>
      </text>
    </comment>
    <comment ref="AG104" authorId="0">
      <text>
        <r>
          <rPr>
            <sz val="11"/>
            <color rgb="FF000000"/>
            <rFont val="Calibri"/>
            <scheme val="minor"/>
            <charset val="1"/>
          </rPr>
          <t>======
ID#AAABwZ_v6CU
陆汉东    (2025-12-28 13:27:34)
衡佳灵</t>
        </r>
      </text>
    </comment>
    <comment ref="C105" authorId="0">
      <text>
        <r>
          <rPr>
            <sz val="11"/>
            <color rgb="FF000000"/>
            <rFont val="Calibri"/>
            <scheme val="minor"/>
            <charset val="1"/>
          </rPr>
          <t>======
ID#AAABwZ_v53I
陆汉东    (2025-12-28 13:27:34)
会议要求8.21技术收口，8.25整体收口
陆汉东:
2025/7/25评审会</t>
        </r>
      </text>
    </comment>
    <comment ref="AG106" authorId="0">
      <text>
        <r>
          <rPr>
            <sz val="11"/>
            <color rgb="FF000000"/>
            <rFont val="Calibri"/>
            <scheme val="minor"/>
            <charset val="1"/>
          </rPr>
          <t>======
ID#AAABwZ_v6EU
陆汉东    (2025-12-28 13:27:34)
衡佳灵</t>
        </r>
      </text>
    </comment>
    <comment ref="BY106" authorId="0">
      <text>
        <r>
          <rPr>
            <sz val="11"/>
            <color rgb="FF000000"/>
            <rFont val="Calibri"/>
            <scheme val="minor"/>
            <charset val="1"/>
          </rPr>
          <t>======
ID#AAABwZ_v6BY
陆汉东    (2025-12-28 13:27:34)
核减费用的变更</t>
        </r>
      </text>
    </comment>
    <comment ref="D107" authorId="0">
      <text>
        <r>
          <rPr>
            <sz val="11"/>
            <color rgb="FF000000"/>
            <rFont val="Calibri"/>
            <scheme val="minor"/>
            <charset val="1"/>
          </rPr>
          <t>======
ID#AAABwZ_v59Y
陆汉东    (2025-12-28 13:27:34)
2025年6月12日批复</t>
        </r>
      </text>
    </comment>
    <comment ref="L107" authorId="0">
      <text>
        <r>
          <rPr>
            <sz val="11"/>
            <color rgb="FF000000"/>
            <rFont val="Calibri"/>
            <scheme val="minor"/>
            <charset val="1"/>
          </rPr>
          <t>======
ID#AAABwZ_v6EY
陆汉东    (2025-12-28 13:27:34)
2025年11月7日批复</t>
        </r>
      </text>
    </comment>
    <comment ref="H108" authorId="0">
      <text>
        <r>
          <rPr>
            <sz val="11"/>
            <color rgb="FF000000"/>
            <rFont val="Calibri"/>
            <scheme val="minor"/>
            <charset val="1"/>
          </rPr>
          <t>======
ID#AAABwZ_v55s
陆汉东    (2025-12-28 13:27:34)
2025年10月13日批复</t>
        </r>
      </text>
    </comment>
    <comment ref="P108" authorId="0">
      <text>
        <r>
          <rPr>
            <sz val="11"/>
            <color rgb="FF000000"/>
            <rFont val="Calibri"/>
            <scheme val="minor"/>
            <charset val="1"/>
          </rPr>
          <t>======
ID#AAABwZ_v58I
陆汉东    (2025-12-28 13:27:34)
2025年11月26日批复</t>
        </r>
      </text>
    </comment>
    <comment ref="L109" authorId="0">
      <text>
        <r>
          <rPr>
            <sz val="11"/>
            <color rgb="FF000000"/>
            <rFont val="Calibri"/>
            <scheme val="minor"/>
            <charset val="1"/>
          </rPr>
          <t>======
ID#AAABwZ_v5xg
陆汉东    (2025-12-28 13:27:34)
2025年6月30日批复</t>
        </r>
      </text>
    </comment>
    <comment ref="T109" authorId="0">
      <text>
        <r>
          <rPr>
            <sz val="11"/>
            <color rgb="FF000000"/>
            <rFont val="Calibri"/>
            <scheme val="minor"/>
            <charset val="1"/>
          </rPr>
          <t>======
ID#AAABwZ_v5_s
陆汉东    (2025-12-28 13:27:34)
10.17土方量需要设计核实修改
陆汉东:
2025年11月12日批复</t>
        </r>
      </text>
    </comment>
    <comment ref="AE111" authorId="0">
      <text>
        <r>
          <rPr>
            <sz val="11"/>
            <color rgb="FF000000"/>
            <rFont val="Calibri"/>
            <scheme val="minor"/>
            <charset val="1"/>
          </rPr>
          <t>======
ID#AAABwZ_v6Ew
陆汉东    (2025-12-28 13:27:34)
衡佳灵</t>
        </r>
      </text>
    </comment>
    <comment ref="AG111" authorId="0">
      <text>
        <r>
          <rPr>
            <sz val="11"/>
            <color rgb="FF000000"/>
            <rFont val="Calibri"/>
            <scheme val="minor"/>
            <charset val="1"/>
          </rPr>
          <t>======
ID#AAABwZ_v6Do
陆汉东    (2025-12-28 13:27:34)
衡佳灵</t>
        </r>
      </text>
    </comment>
    <comment ref="D114" authorId="0">
      <text>
        <r>
          <rPr>
            <sz val="11"/>
            <color rgb="FF000000"/>
            <rFont val="Calibri"/>
            <scheme val="minor"/>
            <charset val="1"/>
          </rPr>
          <t>======
ID#AAABwZ_v558
陆汉东    (2025-12-28 13:27:34)
2025年12月2日批复</t>
        </r>
      </text>
    </comment>
    <comment ref="AG114" authorId="0">
      <text>
        <r>
          <rPr>
            <sz val="11"/>
            <color rgb="FF000000"/>
            <rFont val="Calibri"/>
            <scheme val="minor"/>
            <charset val="1"/>
          </rPr>
          <t>======
ID#AAABwZ_v57o
陆汉东    (2025-12-28 13:27:34)
衡佳灵</t>
        </r>
      </text>
    </comment>
    <comment ref="T115" authorId="0">
      <text>
        <r>
          <rPr>
            <sz val="11"/>
            <color rgb="FF000000"/>
            <rFont val="Calibri"/>
            <scheme val="minor"/>
            <charset val="1"/>
          </rPr>
          <t>======
ID#AAABwZ_v5zg
陆汉东    (2025-12-28 13:27:34)
2025年6月13日批复</t>
        </r>
      </text>
    </comment>
    <comment ref="L116" authorId="0">
      <text>
        <r>
          <rPr>
            <sz val="11"/>
            <color rgb="FF000000"/>
            <rFont val="Calibri"/>
            <scheme val="minor"/>
            <charset val="1"/>
          </rPr>
          <t>======
ID#AAABwZ_v56w
陆汉东    (2025-12-28 13:27:34)
2025年7月17日批复</t>
        </r>
      </text>
    </comment>
    <comment ref="P117" authorId="0">
      <text>
        <r>
          <rPr>
            <sz val="11"/>
            <color rgb="FF000000"/>
            <rFont val="Calibri"/>
            <scheme val="minor"/>
            <charset val="1"/>
          </rPr>
          <t>======
ID#AAABwZ_v58k
陆汉东    (2025-12-28 13:27:34)
2025年7月7日批复</t>
        </r>
      </text>
    </comment>
    <comment ref="D118" authorId="0">
      <text>
        <r>
          <rPr>
            <sz val="11"/>
            <color rgb="FF000000"/>
            <rFont val="Calibri"/>
            <scheme val="minor"/>
            <charset val="1"/>
          </rPr>
          <t>======
ID#AAABwZ_v51E
陆汉东    (2025-12-28 13:27:34)
2025年8月7日批复</t>
        </r>
      </text>
    </comment>
    <comment ref="A119" authorId="0">
      <text>
        <r>
          <rPr>
            <sz val="11"/>
            <color rgb="FF000000"/>
            <rFont val="Calibri"/>
            <scheme val="minor"/>
            <charset val="1"/>
          </rPr>
          <t>======
ID#AAABwZ_v55g
陆汉东    (2025-12-28 13:27:34)
业绩考核责任书10.30</t>
        </r>
      </text>
    </comment>
    <comment ref="L120" authorId="0">
      <text>
        <r>
          <rPr>
            <sz val="11"/>
            <color rgb="FF000000"/>
            <rFont val="Calibri"/>
            <scheme val="minor"/>
            <charset val="1"/>
          </rPr>
          <t>======
ID#AAABwZ_v57A
陆汉东    (2025-12-28 13:27:34)
2025年11月4日批复</t>
        </r>
      </text>
    </comment>
    <comment ref="T121" authorId="0">
      <text>
        <r>
          <rPr>
            <sz val="11"/>
            <color rgb="FF000000"/>
            <rFont val="Calibri"/>
            <scheme val="minor"/>
            <charset val="1"/>
          </rPr>
          <t>======
ID#AAABwZ_v55w
陆汉东    (2025-12-28 13:27:34)
2025年7月25日批复</t>
        </r>
      </text>
    </comment>
    <comment ref="T122" authorId="0">
      <text>
        <r>
          <rPr>
            <sz val="11"/>
            <color rgb="FF000000"/>
            <rFont val="Calibri"/>
            <scheme val="minor"/>
            <charset val="1"/>
          </rPr>
          <t>======
ID#AAABwZ_v57c
陆汉东    (2025-12-28 13:27:34)
2025年8月19日批复</t>
        </r>
      </text>
    </comment>
    <comment ref="AG122" authorId="0">
      <text>
        <r>
          <rPr>
            <sz val="11"/>
            <color rgb="FF000000"/>
            <rFont val="Calibri"/>
            <scheme val="minor"/>
            <charset val="1"/>
          </rPr>
          <t>======
ID#AAABwZ_v57g
陆汉东    (2025-12-28 13:27:34)
衡佳灵</t>
        </r>
      </text>
    </comment>
    <comment ref="C124" authorId="0">
      <text>
        <r>
          <rPr>
            <sz val="11"/>
            <color rgb="FF000000"/>
            <rFont val="Calibri"/>
            <scheme val="minor"/>
            <charset val="1"/>
          </rPr>
          <t>======
ID#AAABwZ_v5yo
陆汉东    (2025-12-28 13:27:34)
7月1日审查后中止</t>
        </r>
      </text>
    </comment>
    <comment ref="D124" authorId="0">
      <text>
        <r>
          <rPr>
            <sz val="11"/>
            <color rgb="FF000000"/>
            <rFont val="Calibri"/>
            <scheme val="minor"/>
            <charset val="1"/>
          </rPr>
          <t>======
ID#AAABwZ_v5-A
陆汉东    (2025-12-28 13:27:34)
2025年10月9日批复</t>
        </r>
      </text>
    </comment>
    <comment ref="AG124" authorId="0">
      <text>
        <r>
          <rPr>
            <sz val="11"/>
            <color rgb="FF000000"/>
            <rFont val="Calibri"/>
            <scheme val="minor"/>
            <charset val="1"/>
          </rPr>
          <t>======
ID#AAABwZ_v53Y
陆汉东    (2025-12-28 13:27:34)
衡佳灵</t>
        </r>
      </text>
    </comment>
    <comment ref="D125" authorId="0">
      <text>
        <r>
          <rPr>
            <sz val="11"/>
            <color rgb="FF000000"/>
            <rFont val="Calibri"/>
            <scheme val="minor"/>
            <charset val="1"/>
          </rPr>
          <t>======
ID#AAABwZ_v6AM
陆汉东    (2025-12-28 13:27:34)
2025年8月18日批复</t>
        </r>
      </text>
    </comment>
    <comment ref="AG125" authorId="0">
      <text>
        <r>
          <rPr>
            <sz val="11"/>
            <color rgb="FF000000"/>
            <rFont val="Calibri"/>
            <scheme val="minor"/>
            <charset val="1"/>
          </rPr>
          <t>======
ID#AAABwZ_v6Dk
陆汉东    (2025-12-28 13:27:34)
衡佳灵</t>
        </r>
      </text>
    </comment>
    <comment ref="L126" authorId="0">
      <text>
        <r>
          <rPr>
            <sz val="11"/>
            <color rgb="FF000000"/>
            <rFont val="Calibri"/>
            <scheme val="minor"/>
            <charset val="1"/>
          </rPr>
          <t>======
ID#AAABwZ_v56I
陆汉东    (2025-12-28 13:27:34)
2025年8月11日批复</t>
        </r>
      </text>
    </comment>
    <comment ref="C128" authorId="0">
      <text>
        <r>
          <rPr>
            <sz val="11"/>
            <color rgb="FF000000"/>
            <rFont val="Calibri"/>
            <scheme val="minor"/>
            <charset val="1"/>
          </rPr>
          <t>======
ID#AAABwZ_v53c
陆汉东    (2025-12-28 13:27:34)
第一次会议2025/4/22</t>
        </r>
      </text>
    </comment>
    <comment ref="D128" authorId="0">
      <text>
        <r>
          <rPr>
            <sz val="11"/>
            <color rgb="FF000000"/>
            <rFont val="Calibri"/>
            <scheme val="minor"/>
            <charset val="1"/>
          </rPr>
          <t>======
ID#AAABwZ_v5ww
陆汉东    (2025-12-28 13:27:34)
2025年7月23日批复</t>
        </r>
      </text>
    </comment>
    <comment ref="D129" authorId="0">
      <text>
        <r>
          <rPr>
            <sz val="11"/>
            <color rgb="FF000000"/>
            <rFont val="Calibri"/>
            <scheme val="minor"/>
            <charset val="1"/>
          </rPr>
          <t>======
ID#AAABwZ_v5_0
陆汉东    (2025-12-28 13:27:34)
2025年8月19日批复</t>
        </r>
      </text>
    </comment>
    <comment ref="L129" authorId="0">
      <text>
        <r>
          <rPr>
            <sz val="11"/>
            <color rgb="FF000000"/>
            <rFont val="Calibri"/>
            <scheme val="minor"/>
            <charset val="1"/>
          </rPr>
          <t>======
ID#AAABwZ_v5yU
陆汉东    (2025-12-28 13:27:34)
2025年12月19日批复</t>
        </r>
      </text>
    </comment>
    <comment ref="AG129" authorId="0">
      <text>
        <r>
          <rPr>
            <sz val="11"/>
            <color rgb="FF000000"/>
            <rFont val="Calibri"/>
            <scheme val="minor"/>
            <charset val="1"/>
          </rPr>
          <t>======
ID#AAABwZ_v5yg
陆汉东    (2025-12-28 13:27:34)
衡佳灵</t>
        </r>
      </text>
    </comment>
    <comment ref="C130" authorId="0">
      <text>
        <r>
          <rPr>
            <sz val="11"/>
            <color rgb="FF000000"/>
            <rFont val="Calibri"/>
            <scheme val="minor"/>
            <charset val="1"/>
          </rPr>
          <t>======
ID#AAABwZ_v56g
陆汉东    (2025-12-28 13:27:34)
8.15 基建部反馈电缆线路暂不考虑光纤振动监测装置</t>
        </r>
      </text>
    </comment>
    <comment ref="D130" authorId="0">
      <text>
        <r>
          <rPr>
            <sz val="11"/>
            <color rgb="FF000000"/>
            <rFont val="Calibri"/>
            <scheme val="minor"/>
            <charset val="1"/>
          </rPr>
          <t>======
ID#AAABwZ_v5yM
陆汉东    (2025-12-28 13:27:34)
2025年10月10日批复</t>
        </r>
      </text>
    </comment>
    <comment ref="AG130" authorId="0">
      <text>
        <r>
          <rPr>
            <sz val="11"/>
            <color rgb="FF000000"/>
            <rFont val="Calibri"/>
            <scheme val="minor"/>
            <charset val="1"/>
          </rPr>
          <t>======
ID#AAABwZ_v54g
陆汉东    (2025-12-28 13:27:34)
衡佳灵</t>
        </r>
      </text>
    </comment>
    <comment ref="AG131" authorId="0">
      <text>
        <r>
          <rPr>
            <sz val="11"/>
            <color rgb="FF000000"/>
            <rFont val="Calibri"/>
            <scheme val="minor"/>
            <charset val="1"/>
          </rPr>
          <t>======
ID#AAABwZ_v5w4
陆汉东    (2025-12-28 13:27:34)
衡佳灵</t>
        </r>
      </text>
    </comment>
    <comment ref="D132" authorId="0">
      <text>
        <r>
          <rPr>
            <sz val="11"/>
            <color rgb="FF000000"/>
            <rFont val="Calibri"/>
            <scheme val="minor"/>
            <charset val="1"/>
          </rPr>
          <t>======
ID#AAABwZ_v5xk
陆汉东    (2025-12-28 13:27:34)
2025年9月10日批复</t>
        </r>
      </text>
    </comment>
    <comment ref="AG133" authorId="0">
      <text>
        <r>
          <rPr>
            <sz val="11"/>
            <color rgb="FF000000"/>
            <rFont val="Calibri"/>
            <scheme val="minor"/>
            <charset val="1"/>
          </rPr>
          <t>======
ID#AAABwZ_v54w
陆汉东    (2025-12-28 13:27:34)
衡佳灵</t>
        </r>
      </text>
    </comment>
    <comment ref="L134" authorId="0">
      <text>
        <r>
          <rPr>
            <sz val="11"/>
            <color rgb="FF000000"/>
            <rFont val="Calibri"/>
            <scheme val="minor"/>
            <charset val="1"/>
          </rPr>
          <t>======
ID#AAABwZ_v54A
陆汉东    (2025-12-28 13:27:34)
2025年9月15日批复</t>
        </r>
      </text>
    </comment>
    <comment ref="AG134" authorId="0">
      <text>
        <r>
          <rPr>
            <sz val="11"/>
            <color rgb="FF000000"/>
            <rFont val="Calibri"/>
            <scheme val="minor"/>
            <charset val="1"/>
          </rPr>
          <t>======
ID#AAABwZ_v52s
陆汉东    (2025-12-28 13:27:34)
衡佳灵</t>
        </r>
      </text>
    </comment>
    <comment ref="AE135" authorId="0">
      <text>
        <r>
          <rPr>
            <sz val="11"/>
            <color rgb="FF000000"/>
            <rFont val="Calibri"/>
            <scheme val="minor"/>
            <charset val="1"/>
          </rPr>
          <t>======
ID#AAABwZ_v6AU
陆汉东    (2025-12-28 13:27:34)
衡佳灵</t>
        </r>
      </text>
    </comment>
    <comment ref="AG135" authorId="0">
      <text>
        <r>
          <rPr>
            <sz val="11"/>
            <color rgb="FF000000"/>
            <rFont val="Calibri"/>
            <scheme val="minor"/>
            <charset val="1"/>
          </rPr>
          <t>======
ID#AAABwZ_v51k
陆汉东    (2025-12-28 13:27:34)
衡佳灵</t>
        </r>
      </text>
    </comment>
    <comment ref="T136" authorId="0">
      <text>
        <r>
          <rPr>
            <sz val="11"/>
            <color rgb="FF000000"/>
            <rFont val="Calibri"/>
            <scheme val="minor"/>
            <charset val="1"/>
          </rPr>
          <t>======
ID#AAABwZ_v538
陆汉东    (2025-12-28 13:27:34)
2025年9月12日批复</t>
        </r>
      </text>
    </comment>
    <comment ref="AE137" authorId="0">
      <text>
        <r>
          <rPr>
            <sz val="11"/>
            <color rgb="FF000000"/>
            <rFont val="Calibri"/>
            <scheme val="minor"/>
            <charset val="1"/>
          </rPr>
          <t>======
ID#AAABwZ_v58Q
陆汉东    (2025-12-28 13:27:34)
衡佳灵</t>
        </r>
      </text>
    </comment>
    <comment ref="AG137" authorId="0">
      <text>
        <r>
          <rPr>
            <sz val="11"/>
            <color rgb="FF000000"/>
            <rFont val="Calibri"/>
            <scheme val="minor"/>
            <charset val="1"/>
          </rPr>
          <t>======
ID#AAABwZ_v56k
陆汉东    (2025-12-28 13:27:34)
衡佳灵</t>
        </r>
      </text>
    </comment>
    <comment ref="L139" authorId="0">
      <text>
        <r>
          <rPr>
            <sz val="11"/>
            <color rgb="FF000000"/>
            <rFont val="Calibri"/>
            <scheme val="minor"/>
            <charset val="1"/>
          </rPr>
          <t>======
ID#AAABwZ_v55A
陆汉东    (2025-12-28 13:27:34)
2025年7月29日批复</t>
        </r>
      </text>
    </comment>
    <comment ref="T140" authorId="0">
      <text>
        <r>
          <rPr>
            <sz val="11"/>
            <color rgb="FF000000"/>
            <rFont val="Calibri"/>
            <scheme val="minor"/>
            <charset val="1"/>
          </rPr>
          <t>======
ID#AAABwZ_v6FE
陆汉东    (2025-12-28 13:27:34)
2025年9月12日批复</t>
        </r>
      </text>
    </comment>
    <comment ref="BY140" authorId="0">
      <text>
        <r>
          <rPr>
            <sz val="11"/>
            <color rgb="FF000000"/>
            <rFont val="Calibri"/>
            <scheme val="minor"/>
            <charset val="1"/>
          </rPr>
          <t>======
ID#AAABwZ_v5_4
陆汉东    (2025-12-28 13:27:34)
核减费用的变更</t>
        </r>
      </text>
    </comment>
    <comment ref="BV141" authorId="0">
      <text>
        <r>
          <rPr>
            <sz val="11"/>
            <color rgb="FF000000"/>
            <rFont val="Calibri"/>
            <scheme val="minor"/>
            <charset val="1"/>
          </rPr>
          <t>======
ID#AAABwZ_v5ys
陆汉东    (2025-12-28 13:27:34)
取消 220kV 乌番甲乙线升高改造部分
架空线路，核减庆盛枢纽站 110kV 架空线路部分工程量</t>
        </r>
      </text>
    </comment>
    <comment ref="D142" authorId="0">
      <text>
        <r>
          <rPr>
            <sz val="11"/>
            <color rgb="FF000000"/>
            <rFont val="Calibri"/>
            <scheme val="minor"/>
            <charset val="1"/>
          </rPr>
          <t>======
ID#AAABwZ_v6C4
陆汉东    (2025-12-28 13:27:34)
2025年10月13日批复</t>
        </r>
      </text>
    </comment>
    <comment ref="AE142" authorId="0">
      <text>
        <r>
          <rPr>
            <sz val="11"/>
            <color rgb="FF000000"/>
            <rFont val="Calibri"/>
            <scheme val="minor"/>
            <charset val="1"/>
          </rPr>
          <t>======
ID#AAABwZ_v6B8
陆汉东    (2025-12-28 13:27:34)
衡佳灵</t>
        </r>
      </text>
    </comment>
    <comment ref="AG142" authorId="0">
      <text>
        <r>
          <rPr>
            <sz val="11"/>
            <color rgb="FF000000"/>
            <rFont val="Calibri"/>
            <scheme val="minor"/>
            <charset val="1"/>
          </rPr>
          <t>======
ID#AAABwZ_v59k
陆汉东    (2025-12-28 13:27:34)
衡佳灵</t>
        </r>
      </text>
    </comment>
    <comment ref="A144" authorId="0">
      <text>
        <r>
          <rPr>
            <sz val="11"/>
            <color rgb="FF000000"/>
            <rFont val="Calibri"/>
            <scheme val="minor"/>
            <charset val="1"/>
          </rPr>
          <t>======
ID#AAABwZ_v6AA
陆汉东    (2025-12-28 13:27:34)
业绩考核责任书9.30</t>
        </r>
      </text>
    </comment>
    <comment ref="D144" authorId="0">
      <text>
        <r>
          <rPr>
            <sz val="11"/>
            <color rgb="FF000000"/>
            <rFont val="Calibri"/>
            <scheme val="minor"/>
            <charset val="1"/>
          </rPr>
          <t>======
ID#AAABwZ_v6A4
陆汉东    (2025-12-28 13:27:34)
2025/9/26批复</t>
        </r>
      </text>
    </comment>
    <comment ref="L144" authorId="0">
      <text>
        <r>
          <rPr>
            <sz val="11"/>
            <color rgb="FF000000"/>
            <rFont val="Calibri"/>
            <scheme val="minor"/>
            <charset val="1"/>
          </rPr>
          <t>======
ID#AAABwZ_v5xY
陆汉东    (2025-12-28 13:27:34)
2025年11月18日批复</t>
        </r>
      </text>
    </comment>
    <comment ref="AE145" authorId="0">
      <text>
        <r>
          <rPr>
            <sz val="11"/>
            <color rgb="FF000000"/>
            <rFont val="Calibri"/>
            <scheme val="minor"/>
            <charset val="1"/>
          </rPr>
          <t>======
ID#AAABwZ_v52c
陆汉东    (2025-12-28 13:27:34)
衡佳灵</t>
        </r>
      </text>
    </comment>
    <comment ref="AG145" authorId="0">
      <text>
        <r>
          <rPr>
            <sz val="11"/>
            <color rgb="FF000000"/>
            <rFont val="Calibri"/>
            <scheme val="minor"/>
            <charset val="1"/>
          </rPr>
          <t>======
ID#AAABwZ_v5-g
陆汉东    (2025-12-28 13:27:34)
衡佳灵</t>
        </r>
      </text>
    </comment>
    <comment ref="K146" authorId="0">
      <text>
        <r>
          <rPr>
            <sz val="11"/>
            <color rgb="FF000000"/>
            <rFont val="Calibri"/>
            <scheme val="minor"/>
            <charset val="1"/>
          </rPr>
          <t>======
ID#AAABwZ_v6B0
陆汉东    (2025-12-28 13:27:34)
原计划2025/8/14</t>
        </r>
      </text>
    </comment>
    <comment ref="A147" authorId="0">
      <text>
        <r>
          <rPr>
            <sz val="11"/>
            <color rgb="FF000000"/>
            <rFont val="Calibri"/>
            <scheme val="minor"/>
            <charset val="1"/>
          </rPr>
          <t>======
ID#AAABwZ_v6CA
陆汉东    (2025-12-28 13:27:34)
业绩考核责任书7.30</t>
        </r>
      </text>
    </comment>
    <comment ref="D147" authorId="0">
      <text>
        <r>
          <rPr>
            <sz val="11"/>
            <color rgb="FF000000"/>
            <rFont val="Calibri"/>
            <scheme val="minor"/>
            <charset val="1"/>
          </rPr>
          <t>======
ID#AAABwZ_v6DQ
陆汉东    (2025-12-28 13:27:34)
2025年12月2日批复</t>
        </r>
      </text>
    </comment>
    <comment ref="D148" authorId="0">
      <text>
        <r>
          <rPr>
            <sz val="11"/>
            <color rgb="FF000000"/>
            <rFont val="Calibri"/>
            <scheme val="minor"/>
            <charset val="1"/>
          </rPr>
          <t>======
ID#AAABwZ_v51U
陆汉东    (2025-12-28 13:27:34)
2025年12月2日批复</t>
        </r>
      </text>
    </comment>
    <comment ref="AG148" authorId="0">
      <text>
        <r>
          <rPr>
            <sz val="11"/>
            <color rgb="FF000000"/>
            <rFont val="Calibri"/>
            <scheme val="minor"/>
            <charset val="1"/>
          </rPr>
          <t>======
ID#AAABwZ_v5x0
陆汉东    (2025-12-28 13:27:34)
衡佳灵</t>
        </r>
      </text>
    </comment>
    <comment ref="A149" authorId="0">
      <text>
        <r>
          <rPr>
            <sz val="11"/>
            <color rgb="FF000000"/>
            <rFont val="Calibri"/>
            <scheme val="minor"/>
            <charset val="1"/>
          </rPr>
          <t>======
ID#AAABwZ_v6BM
陆汉东    (2025-12-28 13:27:34)
业绩考核责任书12.30</t>
        </r>
      </text>
    </comment>
    <comment ref="A150" authorId="0">
      <text>
        <r>
          <rPr>
            <sz val="11"/>
            <color rgb="FF000000"/>
            <rFont val="Calibri"/>
            <scheme val="minor"/>
            <charset val="1"/>
          </rPr>
          <t>======
ID#AAABwZ_v5xc
陆汉东    (2025-12-28 13:27:34)
业绩考核责任书9.30</t>
        </r>
      </text>
    </comment>
    <comment ref="AG150" authorId="0">
      <text>
        <r>
          <rPr>
            <sz val="11"/>
            <color rgb="FF000000"/>
            <rFont val="Calibri"/>
            <scheme val="minor"/>
            <charset val="1"/>
          </rPr>
          <t>======
ID#AAABwZ_v6Cg
陆汉东    (2025-12-28 13:27:34)
衡佳灵</t>
        </r>
      </text>
    </comment>
    <comment ref="A151" authorId="0">
      <text>
        <r>
          <rPr>
            <sz val="11"/>
            <color rgb="FF000000"/>
            <rFont val="Calibri"/>
            <scheme val="minor"/>
            <charset val="1"/>
          </rPr>
          <t>======
ID#AAABwZ_v5v4
陆汉东    (2025-12-28 13:27:34)
业绩考核责任书9.30</t>
        </r>
      </text>
    </comment>
    <comment ref="A152" authorId="0">
      <text>
        <r>
          <rPr>
            <sz val="11"/>
            <color rgb="FF000000"/>
            <rFont val="Calibri"/>
            <scheme val="minor"/>
            <charset val="1"/>
          </rPr>
          <t>======
ID#AAABwZ_v6C8
陆汉东    (2025-12-28 13:27:34)
业绩考核责任书8.30</t>
        </r>
      </text>
    </comment>
    <comment ref="A153" authorId="0">
      <text>
        <r>
          <rPr>
            <sz val="11"/>
            <color rgb="FF000000"/>
            <rFont val="Calibri"/>
            <scheme val="minor"/>
            <charset val="1"/>
          </rPr>
          <t>======
ID#AAABwZ_v51w
陆汉东    (2025-12-28 13:27:34)
业绩考核责任书8.30</t>
        </r>
      </text>
    </comment>
    <comment ref="AG153" authorId="0">
      <text>
        <r>
          <rPr>
            <sz val="11"/>
            <color rgb="FF000000"/>
            <rFont val="Calibri"/>
            <scheme val="minor"/>
            <charset val="1"/>
          </rPr>
          <t>======
ID#AAABwZ_v518
陆汉东    (2025-12-28 13:27:34)
衡佳灵</t>
        </r>
      </text>
    </comment>
    <comment ref="H162" authorId="0">
      <text>
        <r>
          <rPr>
            <sz val="11"/>
            <color rgb="FF000000"/>
            <rFont val="Calibri"/>
            <scheme val="minor"/>
            <charset val="1"/>
          </rPr>
          <t>======
ID#AAABwZ_v5xQ
陆汉东    (2025-12-28 13:27:34)
2025年11约12日批复</t>
        </r>
      </text>
    </comment>
    <comment ref="AE166" authorId="0">
      <text>
        <r>
          <rPr>
            <sz val="11"/>
            <color rgb="FF000000"/>
            <rFont val="Calibri"/>
            <scheme val="minor"/>
            <charset val="1"/>
          </rPr>
          <t>======
ID#AAABwZ_v6Eg
陆汉东    (2025-12-28 13:27:34)
衡佳灵</t>
        </r>
      </text>
    </comment>
    <comment ref="AG166" authorId="0">
      <text>
        <r>
          <rPr>
            <sz val="11"/>
            <color rgb="FF000000"/>
            <rFont val="Calibri"/>
            <scheme val="minor"/>
            <charset val="1"/>
          </rPr>
          <t>======
ID#AAABwZ_v6FY
陆汉东    (2025-12-28 13:27:34)
衡佳灵</t>
        </r>
      </text>
    </comment>
    <comment ref="BY167" authorId="0">
      <text>
        <r>
          <rPr>
            <sz val="11"/>
            <color rgb="FF000000"/>
            <rFont val="Calibri"/>
            <scheme val="minor"/>
            <charset val="1"/>
          </rPr>
          <t>======
ID#AAABwZ_v5_Q
陆汉东    (2025-12-28 13:27:34)
核减费用的变更</t>
        </r>
      </text>
    </comment>
    <comment ref="D168" authorId="0">
      <text>
        <r>
          <rPr>
            <sz val="11"/>
            <color rgb="FF000000"/>
            <rFont val="Calibri"/>
            <scheme val="minor"/>
            <charset val="1"/>
          </rPr>
          <t>======
ID#AAABwZ_v52U
陆汉东    (2025-12-28 13:27:34)
2025年12月19日批复</t>
        </r>
      </text>
    </comment>
    <comment ref="BY170" authorId="0">
      <text>
        <r>
          <rPr>
            <sz val="11"/>
            <color rgb="FF000000"/>
            <rFont val="Calibri"/>
            <scheme val="minor"/>
            <charset val="1"/>
          </rPr>
          <t>======
ID#AAABwZ_v6Cw
陆汉东    (2025-12-28 13:27:34)
申报变更核减费用，审核后为核增费用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L3" authorId="0">
      <text>
        <r>
          <rPr>
            <sz val="11"/>
            <color rgb="FF000000"/>
            <rFont val="Calibri"/>
            <scheme val="minor"/>
            <charset val="1"/>
          </rPr>
          <t>======
ID#AAABwZ_v56Y
陆汉东    (2025-12-28 13:27:34)
9月6日批复</t>
        </r>
      </text>
    </comment>
    <comment ref="AE5" authorId="0">
      <text>
        <r>
          <rPr>
            <sz val="11"/>
            <color rgb="FF000000"/>
            <rFont val="Calibri"/>
            <scheme val="minor"/>
            <charset val="1"/>
          </rPr>
          <t>======
ID#AAABwZ_v528
陆汉东    (2025-12-28 13:27:34)
衡佳灵</t>
        </r>
      </text>
    </comment>
    <comment ref="AG5" authorId="0">
      <text>
        <r>
          <rPr>
            <sz val="11"/>
            <color rgb="FF000000"/>
            <rFont val="Calibri"/>
            <scheme val="minor"/>
            <charset val="1"/>
          </rPr>
          <t>======
ID#AAABwZ_v57w
陆汉东    (2025-12-28 13:27:34)
衡佳灵</t>
        </r>
      </text>
    </comment>
    <comment ref="H6" authorId="0">
      <text>
        <r>
          <rPr>
            <sz val="11"/>
            <color rgb="FF000000"/>
            <rFont val="Calibri"/>
            <scheme val="minor"/>
            <charset val="1"/>
          </rPr>
          <t>======
ID#AAABwZ_v5_g
陆汉东    (2025-12-28 13:27:34)
2025/2/12批复</t>
        </r>
      </text>
    </comment>
    <comment ref="T7" authorId="0">
      <text>
        <r>
          <rPr>
            <sz val="11"/>
            <color rgb="FF000000"/>
            <rFont val="Calibri"/>
            <scheme val="minor"/>
            <charset val="1"/>
          </rPr>
          <t>======
ID#AAABwZ_v5v0
黄小珈    (2025-12-28 13:27:34)
7月29日批复</t>
        </r>
      </text>
    </comment>
    <comment ref="AV7" authorId="0">
      <text>
        <r>
          <rPr>
            <sz val="11"/>
            <color rgb="FF000000"/>
            <rFont val="Calibri"/>
            <scheme val="minor"/>
            <charset val="1"/>
          </rPr>
          <t>======
ID#AAABwZ_v57U
陆汉东    (2025-12-28 13:27:34)
按调整后对应的单项计算</t>
        </r>
      </text>
    </comment>
    <comment ref="AX7" authorId="0">
      <text>
        <r>
          <rPr>
            <sz val="11"/>
            <color rgb="FF000000"/>
            <rFont val="Calibri"/>
            <scheme val="minor"/>
            <charset val="1"/>
          </rPr>
          <t>======
ID#AAABwZ_v6FQ
陆汉东    (2025-12-28 13:27:34)
按调整后对应的单项计算</t>
        </r>
      </text>
    </comment>
    <comment ref="A8" authorId="0">
      <text>
        <r>
          <rPr>
            <sz val="11"/>
            <color rgb="FF000000"/>
            <rFont val="Calibri"/>
            <scheme val="minor"/>
            <charset val="1"/>
          </rPr>
          <t>======
ID#AAABwZ_v6Ak
陆汉东    (2025-12-28 13:27:34)
地铁项目</t>
        </r>
      </text>
    </comment>
    <comment ref="AG10" authorId="0">
      <text>
        <r>
          <rPr>
            <sz val="11"/>
            <color rgb="FF000000"/>
            <rFont val="Calibri"/>
            <scheme val="minor"/>
            <charset val="1"/>
          </rPr>
          <t>======
ID#AAABwZ_v5xI
陆汉东    (2025-12-28 13:27:34)
衡佳灵</t>
        </r>
      </text>
    </comment>
    <comment ref="L13" authorId="0">
      <text>
        <r>
          <rPr>
            <sz val="11"/>
            <color rgb="FF000000"/>
            <rFont val="Calibri"/>
            <scheme val="minor"/>
            <charset val="1"/>
          </rPr>
          <t>======
ID#AAABwZ_v6BA
陆汉东    (2025-12-28 13:27:34)
2025年11月7日批复</t>
        </r>
      </text>
    </comment>
    <comment ref="T15" authorId="0">
      <text>
        <r>
          <rPr>
            <sz val="11"/>
            <color rgb="FF000000"/>
            <rFont val="Calibri"/>
            <scheme val="minor"/>
            <charset val="1"/>
          </rPr>
          <t>======
ID#AAABwZ_v55E
黄小珈    (2025-12-28 13:27:34)
7月29日批复</t>
        </r>
      </text>
    </comment>
    <comment ref="T16" authorId="0">
      <text>
        <r>
          <rPr>
            <sz val="11"/>
            <color rgb="FF000000"/>
            <rFont val="Calibri"/>
            <scheme val="minor"/>
            <charset val="1"/>
          </rPr>
          <t>======
ID#AAABwZ_v5zA
陆汉东    (2025-12-28 13:27:34)
8月28日批复</t>
        </r>
      </text>
    </comment>
    <comment ref="T23" authorId="0">
      <text>
        <r>
          <rPr>
            <sz val="11"/>
            <color rgb="FF000000"/>
            <rFont val="Calibri"/>
            <scheme val="minor"/>
            <charset val="1"/>
          </rPr>
          <t>======
ID#AAABwZ_v5_I
陆汉东    (2025-12-28 13:27:34)
7月24日批复</t>
        </r>
      </text>
    </comment>
    <comment ref="T24" authorId="0">
      <text>
        <r>
          <rPr>
            <sz val="11"/>
            <color rgb="FF000000"/>
            <rFont val="Calibri"/>
            <scheme val="minor"/>
            <charset val="1"/>
          </rPr>
          <t>======
ID#AAABwZ_v5_k
陆汉东    (2025-12-28 13:27:34)
6月27日批复</t>
        </r>
      </text>
    </comment>
    <comment ref="T27" authorId="0">
      <text>
        <r>
          <rPr>
            <sz val="11"/>
            <color rgb="FF000000"/>
            <rFont val="Calibri"/>
            <scheme val="minor"/>
            <charset val="1"/>
          </rPr>
          <t>======
ID#AAABwZ_v55k
黄小珈    (2025-12-28 13:27:34)
8月15日批复。</t>
        </r>
      </text>
    </comment>
    <comment ref="AH27" authorId="0">
      <text>
        <r>
          <rPr>
            <sz val="11"/>
            <color rgb="FF000000"/>
            <rFont val="Calibri"/>
            <scheme val="minor"/>
            <charset val="1"/>
          </rPr>
          <t>======
ID#AAABwZ_v5_w
陆汉东    (2025-12-28 13:27:34)
1700.53</t>
        </r>
      </text>
    </comment>
    <comment ref="AJ27" authorId="0">
      <text>
        <r>
          <rPr>
            <sz val="11"/>
            <color rgb="FF000000"/>
            <rFont val="Calibri"/>
            <scheme val="minor"/>
            <charset val="1"/>
          </rPr>
          <t>======
ID#AAABwZ_v6E4
陆汉东    (2025-12-28 13:27:34)
1671.34</t>
        </r>
      </text>
    </comment>
    <comment ref="T28" authorId="0">
      <text>
        <r>
          <rPr>
            <sz val="11"/>
            <color rgb="FF000000"/>
            <rFont val="Calibri"/>
            <scheme val="minor"/>
            <charset val="1"/>
          </rPr>
          <t>======
ID#AAABwZ_v50U
陆汉东    (2025-12-28 13:27:34)
10月28日批复</t>
        </r>
      </text>
    </comment>
    <comment ref="H29" authorId="0">
      <text>
        <r>
          <rPr>
            <sz val="11"/>
            <color rgb="FF000000"/>
            <rFont val="Calibri"/>
            <scheme val="minor"/>
            <charset val="1"/>
          </rPr>
          <t>======
ID#AAABwZ_v6A0
陆汉东    (2025-12-28 13:27:34)
3月20日批复</t>
        </r>
      </text>
    </comment>
    <comment ref="T29" authorId="0">
      <text>
        <r>
          <rPr>
            <sz val="11"/>
            <color rgb="FF000000"/>
            <rFont val="Calibri"/>
            <scheme val="minor"/>
            <charset val="1"/>
          </rPr>
          <t>======
ID#AAABwZ_v56o
陆汉东    (2025-12-28 13:27:34)
11月1日批复</t>
        </r>
      </text>
    </comment>
    <comment ref="L31" authorId="0">
      <text>
        <r>
          <rPr>
            <sz val="11"/>
            <color rgb="FF000000"/>
            <rFont val="Calibri"/>
            <scheme val="minor"/>
            <charset val="1"/>
          </rPr>
          <t>======
ID#AAABwZ_v5zo
陆汉东    (2025-12-28 13:27:34)
6月27日批复</t>
        </r>
      </text>
    </comment>
    <comment ref="D32" authorId="0">
      <text>
        <r>
          <rPr>
            <sz val="11"/>
            <color rgb="FF000000"/>
            <rFont val="Calibri"/>
            <scheme val="minor"/>
            <charset val="1"/>
          </rPr>
          <t>======
ID#AAABwZ_v6Ek
陆汉东    (2025-12-28 13:27:34)
4月12日批复</t>
        </r>
      </text>
    </comment>
    <comment ref="T32" authorId="0">
      <text>
        <r>
          <rPr>
            <sz val="11"/>
            <color rgb="FF000000"/>
            <rFont val="Calibri"/>
            <scheme val="minor"/>
            <charset val="1"/>
          </rPr>
          <t>======
ID#AAABwZ_v5-k
陆汉东    (2025-12-28 13:27:34)
11月21日批复
陆汉东:
11月29日批复</t>
        </r>
      </text>
    </comment>
    <comment ref="D33" authorId="0">
      <text>
        <r>
          <rPr>
            <sz val="11"/>
            <color rgb="FF000000"/>
            <rFont val="Calibri"/>
            <scheme val="minor"/>
            <charset val="1"/>
          </rPr>
          <t>======
ID#AAABwZ_v574
陆汉东    (2025-12-28 13:27:34)
5月16日批复</t>
        </r>
      </text>
    </comment>
    <comment ref="L33" authorId="0">
      <text>
        <r>
          <rPr>
            <sz val="11"/>
            <color rgb="FF000000"/>
            <rFont val="Calibri"/>
            <scheme val="minor"/>
            <charset val="1"/>
          </rPr>
          <t>======
ID#AAABwZ_v6FM
陆汉东    (2025-12-28 13:27:34)
8月26日批复</t>
        </r>
      </text>
    </comment>
    <comment ref="AE34" authorId="0">
      <text>
        <r>
          <rPr>
            <sz val="11"/>
            <color rgb="FF000000"/>
            <rFont val="Calibri"/>
            <scheme val="minor"/>
            <charset val="1"/>
          </rPr>
          <t>======
ID#AAABwZ_v55M
陆汉东    (2025-12-28 13:27:34)
衡佳灵</t>
        </r>
      </text>
    </comment>
    <comment ref="AG34" authorId="0">
      <text>
        <r>
          <rPr>
            <sz val="11"/>
            <color rgb="FF000000"/>
            <rFont val="Calibri"/>
            <scheme val="minor"/>
            <charset val="1"/>
          </rPr>
          <t>======
ID#AAABwZ_v57Y
陆汉东    (2025-12-28 13:27:34)
衡佳灵</t>
        </r>
      </text>
    </comment>
    <comment ref="H35" authorId="0">
      <text>
        <r>
          <rPr>
            <sz val="11"/>
            <color rgb="FF000000"/>
            <rFont val="Calibri"/>
            <scheme val="minor"/>
            <charset val="1"/>
          </rPr>
          <t>======
ID#AAABwZ_v54U
陆汉东    (2025-12-28 13:27:34)
6月20日批复</t>
        </r>
      </text>
    </comment>
    <comment ref="L35" authorId="0">
      <text>
        <r>
          <rPr>
            <sz val="11"/>
            <color rgb="FF000000"/>
            <rFont val="Calibri"/>
            <scheme val="minor"/>
            <charset val="1"/>
          </rPr>
          <t>======
ID#AAABwZ_v6BU
黄小珈    (2025-12-28 13:27:34)
7月31日批复</t>
        </r>
      </text>
    </comment>
    <comment ref="T35" authorId="0">
      <text>
        <r>
          <rPr>
            <sz val="11"/>
            <color rgb="FF000000"/>
            <rFont val="Calibri"/>
            <scheme val="minor"/>
            <charset val="1"/>
          </rPr>
          <t>======
ID#AAABwZ_v5-c
陆汉东    (2025-12-28 13:27:34)
9月27日批复</t>
        </r>
      </text>
    </comment>
    <comment ref="L36" authorId="0">
      <text>
        <r>
          <rPr>
            <sz val="11"/>
            <color rgb="FF000000"/>
            <rFont val="Calibri"/>
            <scheme val="minor"/>
            <charset val="1"/>
          </rPr>
          <t>======
ID#AAABwZ_v5vs
黄小珈    (2025-12-28 13:27:34)
8月12日批复</t>
        </r>
      </text>
    </comment>
    <comment ref="T36" authorId="0">
      <text>
        <r>
          <rPr>
            <sz val="11"/>
            <color rgb="FF000000"/>
            <rFont val="Calibri"/>
            <scheme val="minor"/>
            <charset val="1"/>
          </rPr>
          <t>======
ID#AAABwZ_v5zY
陆汉东    (2025-12-28 13:27:34)
11月26日批复</t>
        </r>
      </text>
    </comment>
    <comment ref="L37" authorId="0">
      <text>
        <r>
          <rPr>
            <sz val="11"/>
            <color rgb="FF000000"/>
            <rFont val="Calibri"/>
            <scheme val="minor"/>
            <charset val="1"/>
          </rPr>
          <t>======
ID#AAABwZ_v5_Y
陆汉东    (2025-12-28 13:27:34)
8月26日批复</t>
        </r>
      </text>
    </comment>
    <comment ref="T37" authorId="0">
      <text>
        <r>
          <rPr>
            <sz val="11"/>
            <color rgb="FF000000"/>
            <rFont val="Calibri"/>
            <scheme val="minor"/>
            <charset val="1"/>
          </rPr>
          <t>======
ID#AAABwZ_v54E
陆汉东    (2025-12-28 13:27:34)
12月10日批复</t>
        </r>
      </text>
    </comment>
    <comment ref="L38" authorId="0">
      <text>
        <r>
          <rPr>
            <sz val="11"/>
            <color rgb="FF000000"/>
            <rFont val="Calibri"/>
            <scheme val="minor"/>
            <charset val="1"/>
          </rPr>
          <t>======
ID#AAABwZ_v6B4
陆汉东    (2025-12-28 13:27:34)
8月30日批复</t>
        </r>
      </text>
    </comment>
    <comment ref="AG39" authorId="0">
      <text>
        <r>
          <rPr>
            <sz val="11"/>
            <color rgb="FF000000"/>
            <rFont val="Calibri"/>
            <scheme val="minor"/>
            <charset val="1"/>
          </rPr>
          <t>======
ID#AAABwZ_v5-U
陆汉东    (2025-12-28 13:27:34)
衡佳灵</t>
        </r>
      </text>
    </comment>
    <comment ref="D40" authorId="0">
      <text>
        <r>
          <rPr>
            <sz val="11"/>
            <color rgb="FF000000"/>
            <rFont val="Calibri"/>
            <scheme val="minor"/>
            <charset val="1"/>
          </rPr>
          <t>======
ID#AAABwZ_v50Y
陆汉东    (2025-12-28 13:27:34)
5月29日批复</t>
        </r>
      </text>
    </comment>
    <comment ref="L40" authorId="0">
      <text>
        <r>
          <rPr>
            <sz val="11"/>
            <color rgb="FF000000"/>
            <rFont val="Calibri"/>
            <scheme val="minor"/>
            <charset val="1"/>
          </rPr>
          <t>======
ID#AAABwZ_v5wg
陆汉东    (2025-12-28 13:27:34)
9月27日批复</t>
        </r>
      </text>
    </comment>
    <comment ref="D41" authorId="0">
      <text>
        <r>
          <rPr>
            <sz val="11"/>
            <color rgb="FF000000"/>
            <rFont val="Calibri"/>
            <scheme val="minor"/>
            <charset val="1"/>
          </rPr>
          <t>======
ID#AAABwZ_v56c
陆汉东    (2025-12-28 13:27:34)
7月18日批复</t>
        </r>
      </text>
    </comment>
    <comment ref="L41" authorId="0">
      <text>
        <r>
          <rPr>
            <sz val="11"/>
            <color rgb="FF000000"/>
            <rFont val="Calibri"/>
            <scheme val="minor"/>
            <charset val="1"/>
          </rPr>
          <t>======
ID#AAABwZ_v59M
陆汉东    (2025-12-28 13:27:34)
9月18日批复</t>
        </r>
      </text>
    </comment>
    <comment ref="D43" authorId="0">
      <text>
        <r>
          <rPr>
            <sz val="11"/>
            <color rgb="FF000000"/>
            <rFont val="Calibri"/>
            <scheme val="minor"/>
            <charset val="1"/>
          </rPr>
          <t>======
ID#AAABwZ_v5z0
陆汉东    (2025-12-28 13:27:34)
5月7日批复</t>
        </r>
      </text>
    </comment>
    <comment ref="L43" authorId="0">
      <text>
        <r>
          <rPr>
            <sz val="11"/>
            <color rgb="FF000000"/>
            <rFont val="Calibri"/>
            <scheme val="minor"/>
            <charset val="1"/>
          </rPr>
          <t>======
ID#AAABwZ_v504
陆汉东    (2025-12-28 13:27:34)
10月8日批复</t>
        </r>
      </text>
    </comment>
    <comment ref="D44" authorId="0">
      <text>
        <r>
          <rPr>
            <sz val="11"/>
            <color rgb="FF000000"/>
            <rFont val="Calibri"/>
            <scheme val="minor"/>
            <charset val="1"/>
          </rPr>
          <t>======
ID#AAABwZ_v6AE
陆汉东    (2025-12-28 13:27:34)
5月6日批复</t>
        </r>
      </text>
    </comment>
    <comment ref="L44" authorId="0">
      <text>
        <r>
          <rPr>
            <sz val="11"/>
            <color rgb="FF000000"/>
            <rFont val="Calibri"/>
            <scheme val="minor"/>
            <charset val="1"/>
          </rPr>
          <t>======
ID#AAABwZ_v5_U
陆汉东    (2025-12-28 13:27:34)
10月9日批复</t>
        </r>
      </text>
    </comment>
    <comment ref="D45" authorId="0">
      <text>
        <r>
          <rPr>
            <sz val="11"/>
            <color rgb="FF000000"/>
            <rFont val="Calibri"/>
            <scheme val="minor"/>
            <charset val="1"/>
          </rPr>
          <t>======
ID#AAABwZ_v52o
陆汉东    (2025-12-28 13:27:34)
5月27日批复</t>
        </r>
      </text>
    </comment>
    <comment ref="L47" authorId="0">
      <text>
        <r>
          <rPr>
            <sz val="11"/>
            <color rgb="FF000000"/>
            <rFont val="Calibri"/>
            <scheme val="minor"/>
            <charset val="1"/>
          </rPr>
          <t>======
ID#AAABwZ_v59c
陆汉东    (2025-12-28 13:27:34)
11月1日批复</t>
        </r>
      </text>
    </comment>
    <comment ref="D48" authorId="0">
      <text>
        <r>
          <rPr>
            <sz val="11"/>
            <color rgb="FF000000"/>
            <rFont val="Calibri"/>
            <scheme val="minor"/>
            <charset val="1"/>
          </rPr>
          <t>======
ID#AAABwZ_v6Bk
陆汉东    (2025-12-28 13:27:34)
6月3日批复</t>
        </r>
      </text>
    </comment>
    <comment ref="D49" authorId="0">
      <text>
        <r>
          <rPr>
            <sz val="11"/>
            <color rgb="FF000000"/>
            <rFont val="Calibri"/>
            <scheme val="minor"/>
            <charset val="1"/>
          </rPr>
          <t>======
ID#AAABwZ_v5x8
陆汉东    (2025-12-28 13:27:34)
6月27日批复</t>
        </r>
      </text>
    </comment>
    <comment ref="L49" authorId="0">
      <text>
        <r>
          <rPr>
            <sz val="11"/>
            <color rgb="FF000000"/>
            <rFont val="Calibri"/>
            <scheme val="minor"/>
            <charset val="1"/>
          </rPr>
          <t>======
ID#AAABwZ_v598
陆汉东    (2025-12-28 13:27:34)
11月25日批复</t>
        </r>
      </text>
    </comment>
    <comment ref="L50" authorId="0">
      <text>
        <r>
          <rPr>
            <sz val="11"/>
            <color rgb="FF000000"/>
            <rFont val="Calibri"/>
            <scheme val="minor"/>
            <charset val="1"/>
          </rPr>
          <t>======
ID#AAABwZ_v6E8
陆汉东    (2025-12-28 13:27:34)
10月16日批复</t>
        </r>
      </text>
    </comment>
    <comment ref="A54" authorId="0">
      <text>
        <r>
          <rPr>
            <sz val="11"/>
            <color rgb="FF000000"/>
            <rFont val="Calibri"/>
            <scheme val="minor"/>
            <charset val="1"/>
          </rPr>
          <t>======
ID#AAABwZ_v5wc
陆汉东    (2025-12-28 13:27:34)
初设完成一期工程评审</t>
        </r>
      </text>
    </comment>
    <comment ref="D54" authorId="0">
      <text>
        <r>
          <rPr>
            <sz val="11"/>
            <color rgb="FF000000"/>
            <rFont val="Calibri"/>
            <scheme val="minor"/>
            <charset val="1"/>
          </rPr>
          <t>======
ID#AAABwZ_v6A8
陆汉东    (2025-12-28 13:27:34)
6月27日批复</t>
        </r>
      </text>
    </comment>
    <comment ref="D57" authorId="0">
      <text>
        <r>
          <rPr>
            <sz val="11"/>
            <color rgb="FF000000"/>
            <rFont val="Calibri"/>
            <scheme val="minor"/>
            <charset val="1"/>
          </rPr>
          <t>======
ID#AAABwZ_v53Q
陆汉东    (2025-12-28 13:27:34)
7月19日批复</t>
        </r>
      </text>
    </comment>
    <comment ref="L57" authorId="0">
      <text>
        <r>
          <rPr>
            <sz val="11"/>
            <color rgb="FF000000"/>
            <rFont val="Calibri"/>
            <scheme val="minor"/>
            <charset val="1"/>
          </rPr>
          <t>======
ID#AAABwZ_v51o
陆汉东    (2025-12-28 13:27:34)
11月12日批复</t>
        </r>
      </text>
    </comment>
    <comment ref="D58" authorId="0">
      <text>
        <r>
          <rPr>
            <sz val="11"/>
            <color rgb="FF000000"/>
            <rFont val="Calibri"/>
            <scheme val="minor"/>
            <charset val="1"/>
          </rPr>
          <t>======
ID#AAABwZ_v50M
陆汉东    (2025-12-28 13:27:34)
3月28日批复</t>
        </r>
      </text>
    </comment>
    <comment ref="D59" authorId="0">
      <text>
        <r>
          <rPr>
            <sz val="11"/>
            <color rgb="FF000000"/>
            <rFont val="Calibri"/>
            <scheme val="minor"/>
            <charset val="1"/>
          </rPr>
          <t>======
ID#AAABwZ_v55Q
陆汉东    (2025-12-28 13:27:34)
6月5日批复</t>
        </r>
      </text>
    </comment>
    <comment ref="D60" authorId="0">
      <text>
        <r>
          <rPr>
            <sz val="11"/>
            <color rgb="FF000000"/>
            <rFont val="Calibri"/>
            <scheme val="minor"/>
            <charset val="1"/>
          </rPr>
          <t>======
ID#AAABwZ_v6BQ
陆汉东    (2025-12-28 13:27:34)
11月29日批复</t>
        </r>
      </text>
    </comment>
    <comment ref="D61" authorId="0">
      <text>
        <r>
          <rPr>
            <sz val="11"/>
            <color rgb="FF000000"/>
            <rFont val="Calibri"/>
            <scheme val="minor"/>
            <charset val="1"/>
          </rPr>
          <t>======
ID#AAABwZ_v5xs
陆汉东    (2025-12-28 13:27:34)
5月7日批复</t>
        </r>
      </text>
    </comment>
    <comment ref="L61" authorId="0">
      <text>
        <r>
          <rPr>
            <sz val="11"/>
            <color rgb="FF000000"/>
            <rFont val="Calibri"/>
            <scheme val="minor"/>
            <charset val="1"/>
          </rPr>
          <t>======
ID#AAABwZ_v5-0
陆汉东    (2025-12-28 13:27:34)
11月14日批复</t>
        </r>
      </text>
    </comment>
    <comment ref="AG62" authorId="0">
      <text>
        <r>
          <rPr>
            <sz val="11"/>
            <color rgb="FF000000"/>
            <rFont val="Calibri"/>
            <scheme val="minor"/>
            <charset val="1"/>
          </rPr>
          <t>======
ID#AAABwZ_v50k
陆汉东    (2025-12-28 13:27:34)
衡佳灵</t>
        </r>
      </text>
    </comment>
    <comment ref="D64" authorId="0">
      <text>
        <r>
          <rPr>
            <sz val="11"/>
            <color rgb="FF000000"/>
            <rFont val="Calibri"/>
            <scheme val="minor"/>
            <charset val="1"/>
          </rPr>
          <t>======
ID#AAABwZ_v6AI
陆汉东    (2025-12-28 13:27:34)
7月3日批复</t>
        </r>
      </text>
    </comment>
    <comment ref="L64" authorId="0">
      <text>
        <r>
          <rPr>
            <sz val="11"/>
            <color rgb="FF000000"/>
            <rFont val="Calibri"/>
            <scheme val="minor"/>
            <charset val="1"/>
          </rPr>
          <t>======
ID#AAABwZ_v6Fc
陆汉东    (2025-12-28 13:27:34)
11月14日批复</t>
        </r>
      </text>
    </comment>
    <comment ref="P64" authorId="0">
      <text>
        <r>
          <rPr>
            <sz val="11"/>
            <color rgb="FF000000"/>
            <rFont val="Calibri"/>
            <scheme val="minor"/>
            <charset val="1"/>
          </rPr>
          <t>======
ID#AAABwZ_v6EM
陆汉东    (2025-12-28 13:27:34)
11月14日批复</t>
        </r>
      </text>
    </comment>
    <comment ref="D65" authorId="0">
      <text>
        <r>
          <rPr>
            <sz val="11"/>
            <color rgb="FF000000"/>
            <rFont val="Calibri"/>
            <scheme val="minor"/>
            <charset val="1"/>
          </rPr>
          <t>======
ID#AAABwZ_v51I
陆汉东    (2025-12-28 13:27:34)
7月23日批复</t>
        </r>
      </text>
    </comment>
    <comment ref="D66" authorId="0">
      <text>
        <r>
          <rPr>
            <sz val="11"/>
            <color rgb="FF000000"/>
            <rFont val="Calibri"/>
            <scheme val="minor"/>
            <charset val="1"/>
          </rPr>
          <t>======
ID#AAABwZ_v6Eo
陆汉东    (2025-12-28 13:27:34)
8月28日批复</t>
        </r>
      </text>
    </comment>
    <comment ref="D67" authorId="0">
      <text>
        <r>
          <rPr>
            <sz val="11"/>
            <color rgb="FF000000"/>
            <rFont val="Calibri"/>
            <scheme val="minor"/>
            <charset val="1"/>
          </rPr>
          <t>======
ID#AAABwZ_v55Y
陆汉东    (2025-12-28 13:27:34)
8月28日批复</t>
        </r>
      </text>
    </comment>
    <comment ref="D68" authorId="0">
      <text>
        <r>
          <rPr>
            <sz val="11"/>
            <color rgb="FF000000"/>
            <rFont val="Calibri"/>
            <scheme val="minor"/>
            <charset val="1"/>
          </rPr>
          <t>======
ID#AAABwZ_v54c
陆汉东    (2025-12-28 13:27:34)
9月19日批复</t>
        </r>
      </text>
    </comment>
    <comment ref="D69" authorId="0">
      <text>
        <r>
          <rPr>
            <sz val="11"/>
            <color rgb="FF000000"/>
            <rFont val="Calibri"/>
            <scheme val="minor"/>
            <charset val="1"/>
          </rPr>
          <t>======
ID#AAABwZ_v584
陆汉东    (2025-12-28 13:27:34)
8月6日批复</t>
        </r>
      </text>
    </comment>
    <comment ref="D70" authorId="0">
      <text>
        <r>
          <rPr>
            <sz val="11"/>
            <color rgb="FF000000"/>
            <rFont val="Calibri"/>
            <scheme val="minor"/>
            <charset val="1"/>
          </rPr>
          <t>======
ID#AAABwZ_v55I
陆汉东    (2025-12-28 13:27:34)
9月19日批复</t>
        </r>
      </text>
    </comment>
    <comment ref="D71" authorId="0">
      <text>
        <r>
          <rPr>
            <sz val="11"/>
            <color rgb="FF000000"/>
            <rFont val="Calibri"/>
            <scheme val="minor"/>
            <charset val="1"/>
          </rPr>
          <t>======
ID#AAABwZ_v58w
陆汉东    (2025-12-28 13:27:34)
9月10日批复</t>
        </r>
      </text>
    </comment>
    <comment ref="D72" authorId="0">
      <text>
        <r>
          <rPr>
            <sz val="11"/>
            <color rgb="FF000000"/>
            <rFont val="Calibri"/>
            <scheme val="minor"/>
            <charset val="1"/>
          </rPr>
          <t>======
ID#AAABwZ_v5_o
陆汉东    (2025-12-28 13:27:34)
8月28日批复</t>
        </r>
      </text>
    </comment>
    <comment ref="D73" authorId="0">
      <text>
        <r>
          <rPr>
            <sz val="11"/>
            <color rgb="FF000000"/>
            <rFont val="Calibri"/>
            <scheme val="minor"/>
            <charset val="1"/>
          </rPr>
          <t>======
ID#AAABwZ_v6FU
陆汉东    (2025-12-28 13:27:34)
9月18日批复</t>
        </r>
      </text>
    </comment>
    <comment ref="L73" authorId="0">
      <text>
        <r>
          <rPr>
            <sz val="11"/>
            <color rgb="FF000000"/>
            <rFont val="Calibri"/>
            <scheme val="minor"/>
            <charset val="1"/>
          </rPr>
          <t>======
ID#AAABwZ_v5yk
陆汉东    (2025-12-28 13:27:34)
12月4日批复</t>
        </r>
      </text>
    </comment>
    <comment ref="AG73" authorId="0">
      <text>
        <r>
          <rPr>
            <sz val="11"/>
            <color rgb="FF000000"/>
            <rFont val="Calibri"/>
            <scheme val="minor"/>
            <charset val="1"/>
          </rPr>
          <t>======
ID#AAABwZ_v5wQ
陆汉东    (2025-12-28 13:27:34)
衡佳灵</t>
        </r>
      </text>
    </comment>
    <comment ref="D74" authorId="0">
      <text>
        <r>
          <rPr>
            <sz val="11"/>
            <color rgb="FF000000"/>
            <rFont val="Calibri"/>
            <scheme val="minor"/>
            <charset val="1"/>
          </rPr>
          <t>======
ID#AAABwZ_v6BI
陆汉东    (2025-12-28 13:27:34)
9约19日批复</t>
        </r>
      </text>
    </comment>
    <comment ref="AE75" authorId="0">
      <text>
        <r>
          <rPr>
            <sz val="11"/>
            <color rgb="FF000000"/>
            <rFont val="Calibri"/>
            <scheme val="minor"/>
            <charset val="1"/>
          </rPr>
          <t>======
ID#AAABwZ_v560
陆汉东    (2025-12-28 13:27:34)
衡佳灵</t>
        </r>
      </text>
    </comment>
    <comment ref="AG75" authorId="0">
      <text>
        <r>
          <rPr>
            <sz val="11"/>
            <color rgb="FF000000"/>
            <rFont val="Calibri"/>
            <scheme val="minor"/>
            <charset val="1"/>
          </rPr>
          <t>======
ID#AAABwZ_v56A
陆汉东    (2025-12-28 13:27:34)
衡佳灵</t>
        </r>
      </text>
    </comment>
    <comment ref="D76" authorId="0">
      <text>
        <r>
          <rPr>
            <sz val="11"/>
            <color rgb="FF000000"/>
            <rFont val="Calibri"/>
            <scheme val="minor"/>
            <charset val="1"/>
          </rPr>
          <t>======
ID#AAABwZ_v548
陆汉东    (2025-12-28 13:27:34)
9月27日批复</t>
        </r>
      </text>
    </comment>
    <comment ref="D77" authorId="0">
      <text>
        <r>
          <rPr>
            <sz val="11"/>
            <color rgb="FF000000"/>
            <rFont val="Calibri"/>
            <scheme val="minor"/>
            <charset val="1"/>
          </rPr>
          <t>======
ID#AAABwZ_v540
陆汉东    (2025-12-28 13:27:34)
9月27日批复</t>
        </r>
      </text>
    </comment>
    <comment ref="A78" authorId="0">
      <text>
        <r>
          <rPr>
            <sz val="11"/>
            <color rgb="FF000000"/>
            <rFont val="Calibri"/>
            <scheme val="minor"/>
            <charset val="1"/>
          </rPr>
          <t>======
ID#AAABwZ_v6CI
陆汉东    (2025-12-28 13:27:34)
110千伏小派线高滩甲支线、正小派线高滩乙支线改造工程</t>
        </r>
      </text>
    </comment>
    <comment ref="D78" authorId="0">
      <text>
        <r>
          <rPr>
            <sz val="11"/>
            <color rgb="FF000000"/>
            <rFont val="Calibri"/>
            <scheme val="minor"/>
            <charset val="1"/>
          </rPr>
          <t>======
ID#AAABwZ_v5xA
陆汉东    (2025-12-28 13:27:34)
10月9日批复</t>
        </r>
      </text>
    </comment>
    <comment ref="D79" authorId="0">
      <text>
        <r>
          <rPr>
            <sz val="11"/>
            <color rgb="FF000000"/>
            <rFont val="Calibri"/>
            <scheme val="minor"/>
            <charset val="1"/>
          </rPr>
          <t>======
ID#AAABwZ_v508
陆汉东    (2025-12-28 13:27:34)
10月9日批复</t>
        </r>
      </text>
    </comment>
    <comment ref="L79" authorId="0">
      <text>
        <r>
          <rPr>
            <sz val="11"/>
            <color rgb="FF000000"/>
            <rFont val="Calibri"/>
            <scheme val="minor"/>
            <charset val="1"/>
          </rPr>
          <t>======
ID#AAABwZ_v50c
陆汉东    (2025-12-28 13:27:34)
11月29日批复</t>
        </r>
      </text>
    </comment>
    <comment ref="T79" authorId="0">
      <text>
        <r>
          <rPr>
            <sz val="11"/>
            <color rgb="FF000000"/>
            <rFont val="Calibri"/>
            <scheme val="minor"/>
            <charset val="1"/>
          </rPr>
          <t>======
ID#AAABwZ_v5xo
陆汉东    (2025-12-28 13:27:34)
12月20日批复</t>
        </r>
      </text>
    </comment>
    <comment ref="D81" authorId="0">
      <text>
        <r>
          <rPr>
            <sz val="11"/>
            <color rgb="FF000000"/>
            <rFont val="Calibri"/>
            <scheme val="minor"/>
            <charset val="1"/>
          </rPr>
          <t>======
ID#AAABwZ_v59E
陆汉东    (2025-12-28 13:27:34)
10月22日批复</t>
        </r>
      </text>
    </comment>
    <comment ref="L81" authorId="0">
      <text>
        <r>
          <rPr>
            <sz val="11"/>
            <color rgb="FF000000"/>
            <rFont val="Calibri"/>
            <scheme val="minor"/>
            <charset val="1"/>
          </rPr>
          <t>======
ID#AAABwZ_v5-M
陆汉东    (2025-12-28 13:27:34)
11月13日批复</t>
        </r>
      </text>
    </comment>
    <comment ref="T81" authorId="0">
      <text>
        <r>
          <rPr>
            <sz val="11"/>
            <color rgb="FF000000"/>
            <rFont val="Calibri"/>
            <scheme val="minor"/>
            <charset val="1"/>
          </rPr>
          <t>======
ID#AAABwZ_v5-Q
陆汉东    (2025-12-28 13:27:34)
11月28日批复</t>
        </r>
      </text>
    </comment>
    <comment ref="D82" authorId="0">
      <text>
        <r>
          <rPr>
            <sz val="11"/>
            <color rgb="FF000000"/>
            <rFont val="Calibri"/>
            <scheme val="minor"/>
            <charset val="1"/>
          </rPr>
          <t>======
ID#AAABwZ_v52I
陆汉东    (2025-12-28 13:27:34)
12月12日批复</t>
        </r>
      </text>
    </comment>
    <comment ref="T87" authorId="0">
      <text>
        <r>
          <rPr>
            <sz val="11"/>
            <color rgb="FF000000"/>
            <rFont val="Calibri"/>
            <scheme val="minor"/>
            <charset val="1"/>
          </rPr>
          <t>======
ID#AAABwZ_v6Ac
陆汉东    (2025-12-28 13:27:34)
7月10日批复</t>
        </r>
      </text>
    </comment>
    <comment ref="T90" authorId="0">
      <text>
        <r>
          <rPr>
            <sz val="11"/>
            <color rgb="FF000000"/>
            <rFont val="Calibri"/>
            <scheme val="minor"/>
            <charset val="1"/>
          </rPr>
          <t>======
ID#AAABwZ_v568
陆汉东    (2025-12-28 13:27:34)
6月27日批复</t>
        </r>
      </text>
    </comment>
    <comment ref="AA96" authorId="0">
      <text>
        <r>
          <rPr>
            <sz val="11"/>
            <color rgb="FF000000"/>
            <rFont val="Calibri"/>
            <scheme val="minor"/>
            <charset val="1"/>
          </rPr>
          <t>======
ID#AAABwZ_v54I
陆汉东    (2025-12-28 13:27:34)
溶洞处理</t>
        </r>
      </text>
    </comment>
    <comment ref="B104" authorId="0">
      <text>
        <r>
          <rPr>
            <sz val="11"/>
            <color rgb="FF000000"/>
            <rFont val="Calibri"/>
            <scheme val="minor"/>
            <charset val="1"/>
          </rPr>
          <t>======
ID#AAABwZ_v50s
Aiolos Luk    (2025-12-28 13:27:34)
广东寰球广业工程有限公司</t>
        </r>
      </text>
    </comment>
    <comment ref="H104" authorId="0">
      <text>
        <r>
          <rPr>
            <sz val="11"/>
            <color rgb="FF000000"/>
            <rFont val="Calibri"/>
            <scheme val="minor"/>
            <charset val="1"/>
          </rPr>
          <t>======
ID#AAABwZ_v5vg
陆汉东    (2025-12-28 13:27:34)
4月27日批复</t>
        </r>
      </text>
    </comment>
    <comment ref="H106" authorId="0">
      <text>
        <r>
          <rPr>
            <sz val="11"/>
            <color rgb="FF000000"/>
            <rFont val="Calibri"/>
            <scheme val="minor"/>
            <charset val="1"/>
          </rPr>
          <t>======
ID#AAABwZ_v5wk
陆汉东    (2025-12-28 13:27:34)
5月27日批复</t>
        </r>
      </text>
    </comment>
    <comment ref="AG107" authorId="0">
      <text>
        <r>
          <rPr>
            <sz val="11"/>
            <color rgb="FF000000"/>
            <rFont val="Calibri"/>
            <scheme val="minor"/>
            <charset val="1"/>
          </rPr>
          <t>======
ID#AAABwZ_v6Bc
陆汉东    (2025-12-28 13:27:34)
衡佳灵</t>
        </r>
      </text>
    </comment>
    <comment ref="AU107" authorId="0">
      <text>
        <r>
          <rPr>
            <sz val="11"/>
            <color rgb="FF000000"/>
            <rFont val="Calibri"/>
            <scheme val="minor"/>
            <charset val="1"/>
          </rPr>
          <t>======
ID#AAABwZ_v5wU
陆汉东    (2025-12-28 13:27:34)
25148</t>
        </r>
      </text>
    </comment>
    <comment ref="AW107" authorId="0">
      <text>
        <r>
          <rPr>
            <sz val="11"/>
            <color rgb="FF000000"/>
            <rFont val="Calibri"/>
            <scheme val="minor"/>
            <charset val="1"/>
          </rPr>
          <t>======
ID#AAABwZ_v6CM
陆汉东    (2025-12-28 13:27:34)
24758.83</t>
        </r>
      </text>
    </comment>
    <comment ref="AA108" authorId="0">
      <text>
        <r>
          <rPr>
            <sz val="11"/>
            <color rgb="FF000000"/>
            <rFont val="Calibri"/>
            <scheme val="minor"/>
            <charset val="1"/>
          </rPr>
          <t>======
ID#AAABwZ_v534
陆汉东    (2025-12-28 13:27:34)
衡佳灵负责</t>
        </r>
      </text>
    </comment>
    <comment ref="H117" authorId="0">
      <text>
        <r>
          <rPr>
            <sz val="11"/>
            <color rgb="FF000000"/>
            <rFont val="Calibri"/>
            <scheme val="minor"/>
            <charset val="1"/>
          </rPr>
          <t>======
ID#AAABwZ_v54k
黄小珈    (2025-12-28 13:27:34)
7月26日批复</t>
        </r>
      </text>
    </comment>
    <comment ref="L117" authorId="0">
      <text>
        <r>
          <rPr>
            <sz val="11"/>
            <color rgb="FF000000"/>
            <rFont val="Calibri"/>
            <scheme val="minor"/>
            <charset val="1"/>
          </rPr>
          <t>======
ID#AAABwZ_v58o
陆汉东    (2025-12-28 13:27:34)
10月9日批复</t>
        </r>
      </text>
    </comment>
    <comment ref="P117" authorId="0">
      <text>
        <r>
          <rPr>
            <sz val="11"/>
            <color rgb="FF000000"/>
            <rFont val="Calibri"/>
            <scheme val="minor"/>
            <charset val="1"/>
          </rPr>
          <t>======
ID#AAABwZ_v51g
陆汉东    (2025-12-28 13:27:34)
10月9日批复</t>
        </r>
      </text>
    </comment>
    <comment ref="T118" authorId="0">
      <text>
        <r>
          <rPr>
            <sz val="11"/>
            <color rgb="FF000000"/>
            <rFont val="Calibri"/>
            <scheme val="minor"/>
            <charset val="1"/>
          </rPr>
          <t>======
ID#AAABwZ_v5vk
陆汉东    (2025-12-28 13:27:34)
7月10日批复</t>
        </r>
      </text>
    </comment>
    <comment ref="P120" authorId="0">
      <text>
        <r>
          <rPr>
            <sz val="11"/>
            <color rgb="FF000000"/>
            <rFont val="Calibri"/>
            <scheme val="minor"/>
            <charset val="1"/>
          </rPr>
          <t>======
ID#AAABwZ_v50I
黄小珈    (2025-12-28 13:27:34)
7月29日批复</t>
        </r>
      </text>
    </comment>
    <comment ref="T121" authorId="0">
      <text>
        <r>
          <rPr>
            <sz val="11"/>
            <color rgb="FF000000"/>
            <rFont val="Calibri"/>
            <scheme val="minor"/>
            <charset val="1"/>
          </rPr>
          <t>======
ID#AAABwZ_v5v8
陆汉东    (2025-12-28 13:27:34)
7月10日批复</t>
        </r>
      </text>
    </comment>
    <comment ref="L127" authorId="0">
      <text>
        <r>
          <rPr>
            <sz val="11"/>
            <color rgb="FF000000"/>
            <rFont val="Calibri"/>
            <scheme val="minor"/>
            <charset val="1"/>
          </rPr>
          <t>======
ID#AAABwZ_v6As
陆汉东    (2025-12-28 13:27:34)
11月14日批复</t>
        </r>
      </text>
    </comment>
    <comment ref="H135" authorId="0">
      <text>
        <r>
          <rPr>
            <sz val="11"/>
            <color rgb="FF000000"/>
            <rFont val="Calibri"/>
            <scheme val="minor"/>
            <charset val="1"/>
          </rPr>
          <t>======
ID#AAABwZ_v5wE
陆汉东    (2025-12-28 13:27:34)
11月14日批复</t>
        </r>
      </text>
    </comment>
    <comment ref="L140" authorId="0">
      <text>
        <r>
          <rPr>
            <sz val="11"/>
            <color rgb="FF000000"/>
            <rFont val="Calibri"/>
            <scheme val="minor"/>
            <charset val="1"/>
          </rPr>
          <t>======
ID#AAABwZ_v570
陆汉东    (2025-12-28 13:27:34)
12月12日批复</t>
        </r>
      </text>
    </comment>
    <comment ref="P141" authorId="0">
      <text>
        <r>
          <rPr>
            <sz val="11"/>
            <color rgb="FF000000"/>
            <rFont val="Calibri"/>
            <scheme val="minor"/>
            <charset val="1"/>
          </rPr>
          <t>======
ID#AAABwZ_v58E
陆汉东    (2025-12-28 13:27:34)
11月25日批复</t>
        </r>
      </text>
    </comment>
    <comment ref="K143" authorId="0">
      <text>
        <r>
          <rPr>
            <sz val="11"/>
            <color rgb="FF000000"/>
            <rFont val="Calibri"/>
            <scheme val="minor"/>
            <charset val="1"/>
          </rPr>
          <t>======
ID#AAABwZ_v5z8
陆汉东    (2025-12-28 13:27:34)
分期建设</t>
        </r>
      </text>
    </comment>
    <comment ref="L143" authorId="0">
      <text>
        <r>
          <rPr>
            <sz val="11"/>
            <color rgb="FF000000"/>
            <rFont val="Calibri"/>
            <scheme val="minor"/>
            <charset val="1"/>
          </rPr>
          <t>======
ID#AAABwZ_v57s
陆汉东    (2025-12-28 13:27:34)
11月26日批复</t>
        </r>
      </text>
    </comment>
    <comment ref="AG145" authorId="0">
      <text>
        <r>
          <rPr>
            <sz val="11"/>
            <color rgb="FF000000"/>
            <rFont val="Calibri"/>
            <scheme val="minor"/>
            <charset val="1"/>
          </rPr>
          <t>======
ID#AAABwZ_v6Bw
陆汉东    (2025-12-28 13:27:34)
衡佳灵</t>
        </r>
      </text>
    </comment>
    <comment ref="AE148" authorId="0">
      <text>
        <r>
          <rPr>
            <sz val="11"/>
            <color rgb="FF000000"/>
            <rFont val="Calibri"/>
            <scheme val="minor"/>
            <charset val="1"/>
          </rPr>
          <t>======
ID#AAABwZ_v6Es
陆汉东    (2025-12-28 13:27:34)
衡佳灵</t>
        </r>
      </text>
    </comment>
    <comment ref="AG148" authorId="0">
      <text>
        <r>
          <rPr>
            <sz val="11"/>
            <color rgb="FF000000"/>
            <rFont val="Calibri"/>
            <scheme val="minor"/>
            <charset val="1"/>
          </rPr>
          <t>======
ID#AAABwZ_v5vo
陆汉东    (2025-12-28 13:27:34)
衡佳灵</t>
        </r>
      </text>
    </comment>
    <comment ref="AE150" authorId="0">
      <text>
        <r>
          <rPr>
            <sz val="11"/>
            <color rgb="FF000000"/>
            <rFont val="Calibri"/>
            <scheme val="minor"/>
            <charset val="1"/>
          </rPr>
          <t>======
ID#AAABwZ_v50A
陆汉东    (2025-12-28 13:27:34)
衡佳灵</t>
        </r>
      </text>
    </comment>
    <comment ref="AG150" authorId="0">
      <text>
        <r>
          <rPr>
            <sz val="11"/>
            <color rgb="FF000000"/>
            <rFont val="Calibri"/>
            <scheme val="minor"/>
            <charset val="1"/>
          </rPr>
          <t>======
ID#AAABwZ_v5zI
陆汉东    (2025-12-28 13:27:34)
衡佳灵</t>
        </r>
      </text>
    </comment>
    <comment ref="AE151" authorId="0">
      <text>
        <r>
          <rPr>
            <sz val="11"/>
            <color rgb="FF000000"/>
            <rFont val="Calibri"/>
            <scheme val="minor"/>
            <charset val="1"/>
          </rPr>
          <t>======
ID#AAABwZ_v5zQ
陆汉东    (2025-12-28 13:27:34)
衡佳灵</t>
        </r>
      </text>
    </comment>
    <comment ref="AG151" authorId="0">
      <text>
        <r>
          <rPr>
            <sz val="11"/>
            <color rgb="FF000000"/>
            <rFont val="Calibri"/>
            <scheme val="minor"/>
            <charset val="1"/>
          </rPr>
          <t>======
ID#AAABwZ_v5-E
陆汉东    (2025-12-28 13:27:34)
衡佳灵</t>
        </r>
      </text>
    </comment>
    <comment ref="AE152" authorId="0">
      <text>
        <r>
          <rPr>
            <sz val="11"/>
            <color rgb="FF000000"/>
            <rFont val="Calibri"/>
            <scheme val="minor"/>
            <charset val="1"/>
          </rPr>
          <t>======
ID#AAABwZ_v53U
陆汉东    (2025-12-28 13:27:34)
衡佳灵</t>
        </r>
      </text>
    </comment>
    <comment ref="AG152" authorId="0">
      <text>
        <r>
          <rPr>
            <sz val="11"/>
            <color rgb="FF000000"/>
            <rFont val="Calibri"/>
            <scheme val="minor"/>
            <charset val="1"/>
          </rPr>
          <t>======
ID#AAABwZ_v59w
陆汉东    (2025-12-28 13:27:34)
衡佳灵</t>
        </r>
      </text>
    </comment>
  </commentList>
</comments>
</file>

<file path=xl/sharedStrings.xml><?xml version="1.0" encoding="utf-8"?>
<sst xmlns="http://schemas.openxmlformats.org/spreadsheetml/2006/main" count="24754" uniqueCount="522">
  <si>
    <t>主网项目评审明细表（2025年）</t>
  </si>
  <si>
    <t>项目名称</t>
  </si>
  <si>
    <t>设计单位</t>
  </si>
  <si>
    <t>可研评审时间</t>
  </si>
  <si>
    <t>可研发文时间</t>
  </si>
  <si>
    <t>是否完成可研审查</t>
  </si>
  <si>
    <t>可研评审时长</t>
  </si>
  <si>
    <t>可研调整评审时间</t>
  </si>
  <si>
    <t>可研调整发文时间</t>
  </si>
  <si>
    <t>是否完成可研调整审查</t>
  </si>
  <si>
    <t>可研成调整评审时长</t>
  </si>
  <si>
    <t>初设评审时间</t>
  </si>
  <si>
    <t>初设发文时间</t>
  </si>
  <si>
    <t>是否完成初设审查</t>
  </si>
  <si>
    <t>初设评审时长</t>
  </si>
  <si>
    <t>初设调整评审时间</t>
  </si>
  <si>
    <t>初设调整发文时间</t>
  </si>
  <si>
    <t>是否完成初设调整审查</t>
  </si>
  <si>
    <t>初设调整评审时长</t>
  </si>
  <si>
    <t>施工图评审时间</t>
  </si>
  <si>
    <t>施工图发文时间</t>
  </si>
  <si>
    <t>是否完成施工图审查</t>
  </si>
  <si>
    <t>施工图预算评审时长</t>
  </si>
  <si>
    <t>施工图预算调整评审时间</t>
  </si>
  <si>
    <t>施工图预算调整发文时间</t>
  </si>
  <si>
    <t>是否完成预算调整审查</t>
  </si>
  <si>
    <t>施工图预算调整评审时长</t>
  </si>
  <si>
    <t>重大设计变更评审时间</t>
  </si>
  <si>
    <t>重大设计变更发文时间</t>
  </si>
  <si>
    <t>是否完成重大设计变更审查</t>
  </si>
  <si>
    <t>设计变更评审时长</t>
  </si>
  <si>
    <t>负责人</t>
  </si>
  <si>
    <t>变电</t>
  </si>
  <si>
    <t>线路</t>
  </si>
  <si>
    <t>可研估算送审动态投资</t>
  </si>
  <si>
    <t>可研估算审定动态投资</t>
  </si>
  <si>
    <t>可研估算送审静态投资</t>
  </si>
  <si>
    <t>可研估算审定静态投资</t>
  </si>
  <si>
    <t>可研估算校正（静态）</t>
  </si>
  <si>
    <t>审定-送审（动态）可研估算</t>
  </si>
  <si>
    <t>审定-送审（静态）可研估算</t>
  </si>
  <si>
    <t>估算调整送审动态投资</t>
  </si>
  <si>
    <t>估算调整审定动态投资</t>
  </si>
  <si>
    <t>估算调整送审静态投资</t>
  </si>
  <si>
    <t>估算调整审定静态投资</t>
  </si>
  <si>
    <t>可研调整估算校正</t>
  </si>
  <si>
    <t>审定-送审（静态）调整估算</t>
  </si>
  <si>
    <t>初设概算送审动态投资</t>
  </si>
  <si>
    <t>初设概算审定动态投资</t>
  </si>
  <si>
    <t>初设概算送审静态投资</t>
  </si>
  <si>
    <t>初设概算审定静态投资</t>
  </si>
  <si>
    <t>初设概算校正</t>
  </si>
  <si>
    <t>审定-送审（静态）初设概算</t>
  </si>
  <si>
    <t>概算-估算（动态）</t>
  </si>
  <si>
    <t>概算调整送审动态投资</t>
  </si>
  <si>
    <t>概算调整审定动态投资</t>
  </si>
  <si>
    <t>概算调整送审静态投资</t>
  </si>
  <si>
    <t>概算调整审定静态投资</t>
  </si>
  <si>
    <t>初设调整概算校正</t>
  </si>
  <si>
    <t>审定-送审（静态）概算调整</t>
  </si>
  <si>
    <t>施工图预算送审动态投资</t>
  </si>
  <si>
    <t>施工图预算审定动态投资</t>
  </si>
  <si>
    <t>施工图预算送审静态投资</t>
  </si>
  <si>
    <t>施工图预算审定静态投资</t>
  </si>
  <si>
    <t>施工图预算校正</t>
  </si>
  <si>
    <t>审定-送审（静态）施工图预算</t>
  </si>
  <si>
    <t>预算-概算（动态）</t>
  </si>
  <si>
    <t>预算调整预算送审动态投资</t>
  </si>
  <si>
    <t>预算调整预算审定动态投资</t>
  </si>
  <si>
    <t>预算调整预算送审静态投资</t>
  </si>
  <si>
    <t>预算调整预算审定静态投资</t>
  </si>
  <si>
    <t>施工图调整预算校正</t>
  </si>
  <si>
    <t>审定-送审（静态）预算调整</t>
  </si>
  <si>
    <t>重大设计变更送审动态投资</t>
  </si>
  <si>
    <t>重大设计变更审定动态投资</t>
  </si>
  <si>
    <t>重大设计变更送审静态投资</t>
  </si>
  <si>
    <t>重大设计变更审定静态投资</t>
  </si>
  <si>
    <t>重大设计变更校正</t>
  </si>
  <si>
    <t>审定-送审（静态）重大变更</t>
  </si>
  <si>
    <t>非工作日</t>
  </si>
  <si>
    <t>110kV田美（食品）输变电工程（电气分册）</t>
  </si>
  <si>
    <t>汇隽院</t>
  </si>
  <si>
    <t>谢瑞莲</t>
  </si>
  <si>
    <t>王志会</t>
  </si>
  <si>
    <t>110kV榕村站扩建第三台主变工程</t>
  </si>
  <si>
    <t>工程院</t>
  </si>
  <si>
    <t>樊心田</t>
  </si>
  <si>
    <t>黄小珈</t>
  </si>
  <si>
    <t>110kV茶东站扩建主变工程</t>
  </si>
  <si>
    <t>110kV富城输变电工程（土建分册）</t>
  </si>
  <si>
    <t>方明</t>
  </si>
  <si>
    <t>-</t>
  </si>
  <si>
    <t>110 kV运东输变电工程土建分册</t>
  </si>
  <si>
    <t>广州院</t>
  </si>
  <si>
    <t>110 kV上岭输变电工程</t>
  </si>
  <si>
    <t>海珠站配套220kV线路工程</t>
  </si>
  <si>
    <t>省院</t>
  </si>
  <si>
    <t>陈伟哲</t>
  </si>
  <si>
    <t>广州海珠站配套 220 kV线路工程（附属用房部分）</t>
  </si>
  <si>
    <t>500kV傍海（番南）站配套220kV线路工程（第一分册）</t>
  </si>
  <si>
    <t>220kV花地站配合牵引站接入工程</t>
  </si>
  <si>
    <t>220kV昌岗站第三台主变扩工程</t>
  </si>
  <si>
    <t>110kV太平扩建第三台主变工程</t>
  </si>
  <si>
    <t>220kV白鹅潭输变电工程（第一分册）</t>
  </si>
  <si>
    <t>110kV凫洲至保税线路工程</t>
  </si>
  <si>
    <t>110 kV旗坊输变电工程</t>
  </si>
  <si>
    <t>110kV水南站扩建第三台主变工程</t>
  </si>
  <si>
    <t>110kV志诚输变电工程（第一分册）</t>
  </si>
  <si>
    <t>110kV南方输变电工程（第二分册）</t>
  </si>
  <si>
    <t>220kV花地站扩建第三台主变工程（第一分册）</t>
  </si>
  <si>
    <t>220kV教育城输变电工程（第二分册）</t>
  </si>
  <si>
    <t>110kV黄阁站扩建第三台主变工程</t>
  </si>
  <si>
    <t>220kV康祥输变电工程</t>
  </si>
  <si>
    <t>220kV界观（大沥）输变电工程（第二分册）</t>
  </si>
  <si>
    <t>110kV湖石（源北）输变电工程（土建分册）</t>
  </si>
  <si>
    <t>110 kV中元输变电工程</t>
  </si>
  <si>
    <t>220kV蚌湖输变电工程（第二分册）</t>
  </si>
  <si>
    <t>110kV广场输变电工程（电气分册）</t>
  </si>
  <si>
    <t>医药港110kV出线至冲口线路工程</t>
  </si>
  <si>
    <t>110kV南景园输变电工程（电气分册）</t>
  </si>
  <si>
    <t>110kV智信输变电工程</t>
  </si>
  <si>
    <t>梨园变电站对侧及线路第二分册（嘉禾侧）</t>
  </si>
  <si>
    <t>110kV板头输变电工程(变电站部分)</t>
  </si>
  <si>
    <t>110kV白沙（良沙）输变电工程</t>
  </si>
  <si>
    <t>110千伏中市输变电工程（土建分册）</t>
  </si>
  <si>
    <t>110kV群结输变电工程（土建分册）</t>
  </si>
  <si>
    <t>110kV较场站第三台主变扩建工程</t>
  </si>
  <si>
    <t>220kV伟业输变电工程（土建分册）</t>
  </si>
  <si>
    <t>面向特大城市电网能源互联网示范项目（110kV尖峰变电站二期配套工程）</t>
  </si>
  <si>
    <t>220kV医药港-泮塘线路工程</t>
  </si>
  <si>
    <t>110kV小埗输变电工程（土建分册）</t>
  </si>
  <si>
    <t>220kV庆盛枢纽输变电工程(重大设计变更二)</t>
  </si>
  <si>
    <t>220kV集丰（翟洞）输变电工程（第三分册）</t>
  </si>
  <si>
    <t>220kV挂绿输变电工程（第二分册）</t>
  </si>
  <si>
    <t>110kV明经输变电工程</t>
  </si>
  <si>
    <t xml:space="preserve"> 220kV员热站第二通道线路工程</t>
  </si>
  <si>
    <t>220kV洋田输变电工程</t>
  </si>
  <si>
    <t>110kV滨水（金融）输变电工程（电气第二分册）</t>
  </si>
  <si>
    <t>110kV冯马输变电工程</t>
  </si>
  <si>
    <t>南方电网主干OTN网扩容(广东电网广州供电局)工程</t>
  </si>
  <si>
    <t>220kV厚德站第三台主变扩建工程</t>
  </si>
  <si>
    <t>0</t>
  </si>
  <si>
    <t>110kV穗和输变电工程</t>
  </si>
  <si>
    <t>海珠西片区老旧电缆改造工程</t>
  </si>
  <si>
    <t>220kV凫洲输变电工程（第二分册）</t>
  </si>
  <si>
    <t>110kV高埔输变电工程</t>
  </si>
  <si>
    <t>110kV上漖变电站改造工程</t>
  </si>
  <si>
    <t>110kV陈家林输变电工程（电气分册）</t>
  </si>
  <si>
    <t>110kV珠二输变电工程</t>
  </si>
  <si>
    <t>梁为</t>
  </si>
  <si>
    <t>不变</t>
  </si>
  <si>
    <t>220kV磨碟洲至柳园线路工程（第二分册）</t>
  </si>
  <si>
    <t>220kV教育城输变电工程（第一分册）</t>
  </si>
  <si>
    <t>110kV宝珠输变电工程</t>
  </si>
  <si>
    <t>500kV沙狮甲乙线莲花山大跨越、狮子洋大跨越改造工程（广州段）</t>
  </si>
  <si>
    <t>110kV新隆沙输变电工程（电气分册）</t>
  </si>
  <si>
    <t>110kV北兴站第三台主变扩建工程</t>
  </si>
  <si>
    <t>110kV三凤输变电工程（土建分册）</t>
  </si>
  <si>
    <t>110kV仰忠输变电工程（土建分册）</t>
  </si>
  <si>
    <t>广州电氢一体化低碳示范项目（一期）第一分册</t>
  </si>
  <si>
    <t>其他</t>
  </si>
  <si>
    <t>110kV星汇输变电工程</t>
  </si>
  <si>
    <t>110kV文武输变电工程</t>
  </si>
  <si>
    <t>110kV长红（红路）输变电工程（土建分册）</t>
  </si>
  <si>
    <t>110kV黄金围输变电工程（电气分册）</t>
  </si>
  <si>
    <t>110kV松园输变电工程（土建分册）</t>
  </si>
  <si>
    <t>110kV神山站扩建工程</t>
  </si>
  <si>
    <t>220kV凫洲输变电工程</t>
  </si>
  <si>
    <t>110kV凤江输变电工程（土建分册）</t>
  </si>
  <si>
    <t>奥林220kV出线工程（第二分册）</t>
  </si>
  <si>
    <t>奥林220kV出线工程（一期）</t>
  </si>
  <si>
    <t>110kV汇景站扩建第三台主变工程</t>
  </si>
  <si>
    <t>110kV海滨输变电工程</t>
  </si>
  <si>
    <t>110kV中船II输变电工程</t>
  </si>
  <si>
    <t>110kV万顷沙站第三台主变扩建工程</t>
  </si>
  <si>
    <t>110kV松园输变电工程（电气分册）</t>
  </si>
  <si>
    <t>110kV石围塘输变电工程（土建分册）</t>
  </si>
  <si>
    <t>110kV绿湖输变电工程（电气分册）</t>
  </si>
  <si>
    <t>110kV石吓输变电工程（电气分册）</t>
  </si>
  <si>
    <t>220kV粤电花都天然气热电项目配套送出线路工程(第二分册)</t>
  </si>
  <si>
    <t>220kV航云至永福线路工程（电气部分）</t>
  </si>
  <si>
    <t>500kV狮南甲线#62（乙线#61）塔防撞设施升级改造工程</t>
  </si>
  <si>
    <t>恒运东区燃气热电联产项目及配套送出线路工程（第三分册）</t>
  </si>
  <si>
    <t>广州市流花湖电力隧道</t>
  </si>
  <si>
    <t>220 kV车城站第 3 台主变扩建工程</t>
  </si>
  <si>
    <t>220kV航云永福线路工程白云段</t>
  </si>
  <si>
    <t>恒运东区燃气热电联产项目及配套送出线路工程（第二分册）</t>
  </si>
  <si>
    <t>110kV礼村II（植村）输变电工程（电气分册）</t>
  </si>
  <si>
    <t>220kV南沙港铁路牵引站配套线路工程（第二分册）</t>
  </si>
  <si>
    <t>110kV茶东扩建主变工程</t>
  </si>
  <si>
    <t>110kV乐新输变电工程（土建分册）</t>
  </si>
  <si>
    <t>220kV蚌湖输变电工程（电气第一分册）</t>
  </si>
  <si>
    <t>220kV梨园输变电工程（电缆隧道工程）</t>
  </si>
  <si>
    <t>110kV草河扩建主变工程</t>
  </si>
  <si>
    <t>110kV光明扩建主变工程</t>
  </si>
  <si>
    <t>110kV花果山输变电工程（土建分册）</t>
  </si>
  <si>
    <t>110kV陈头岗（飞鸟）输变电工程（电气分册）</t>
  </si>
  <si>
    <t>110kV上涌公园输变电工程（土建分册）</t>
  </si>
  <si>
    <t>110kV龙津扩建第三台主变工程</t>
  </si>
  <si>
    <t>110kV都会输变电工程（土建分册）</t>
  </si>
  <si>
    <t>220kV空港站第3台主变扩建工程</t>
  </si>
  <si>
    <t>220kV黄埔电厂气代煤发电送出线路工程</t>
  </si>
  <si>
    <t>220kV口岸开关站工程（土建分册）</t>
  </si>
  <si>
    <t>220千伏化龙站第三台主变扩建工程</t>
  </si>
  <si>
    <t>110千伏立信扩建第三台主变工程</t>
  </si>
  <si>
    <t>110千伏长福（将军）输变电工程土建分册</t>
  </si>
  <si>
    <t>110kV金桥站扩建主变工程</t>
  </si>
  <si>
    <t>220kV界观（大沥）输变电工程（第一分册）</t>
  </si>
  <si>
    <t>110kV湾顶输变电工程（土建分册）</t>
  </si>
  <si>
    <t>傍海（番南）站配套 220 千伏线路工程（第二分册）</t>
  </si>
  <si>
    <t>110kV东漖输变电工程（电气分册）</t>
  </si>
  <si>
    <t>110kV三凤输变电工程（电气分册）</t>
  </si>
  <si>
    <t>110kV小埗输变电工程（电气分册）</t>
  </si>
  <si>
    <t>220千伏珠江110千伏线路工程</t>
  </si>
  <si>
    <t>110千伏欧岗输变电工程</t>
  </si>
  <si>
    <t>110千伏怡景输变电工程</t>
  </si>
  <si>
    <t>110千伏羊晚（车陂）输变电工程 （土建分册）</t>
  </si>
  <si>
    <t>110千伏思科输变电工程</t>
  </si>
  <si>
    <t>110千伏科高甲乙线增容改造工程</t>
  </si>
  <si>
    <t>110kV湖石（源北）输变电工程（电气分册）</t>
  </si>
  <si>
    <t>110kV启学输变电工程（电气分册）</t>
  </si>
  <si>
    <t>110kV领馆站第三台变扩建工程</t>
  </si>
  <si>
    <t>梨园 110 千伏出线至鹤边线路工程</t>
  </si>
  <si>
    <t>220千伏围福输变电工程（电气分册）</t>
  </si>
  <si>
    <t>110千伏桥兴扩建主变工程</t>
  </si>
  <si>
    <t>110kV勒竹（依利安达）输变电工程</t>
  </si>
  <si>
    <t>110kV龙岐输变电工程</t>
  </si>
  <si>
    <t>110千伏罗南线电缆改造工程</t>
  </si>
  <si>
    <t>110 千伏天体林燕麒线（林燕段）电缆更换工程</t>
  </si>
  <si>
    <t>220 千伏围福输变电工程（土建分册）</t>
  </si>
  <si>
    <t>110千伏冯马输变电工程（架空线路部分）</t>
  </si>
  <si>
    <t>220kV庆盛枢纽输变电工程(重大设计变更三)</t>
  </si>
  <si>
    <t>芳村至白云机场城际配套线路工程</t>
  </si>
  <si>
    <t>110千伏长隆输变电工程（电气分册）</t>
  </si>
  <si>
    <t>220千伏梨园变电站扩建第三台主变工程</t>
  </si>
  <si>
    <t>220 千伏挂绿至穗东双回线路工程（第二分册设计变更）</t>
  </si>
  <si>
    <t>110 千伏万博（沙北）变电工程（电气分册）</t>
  </si>
  <si>
    <t>220千伏口岸输变电工程（电气部分）</t>
  </si>
  <si>
    <t>110千伏蝴蝶洲站扩建第三台主变工程</t>
  </si>
  <si>
    <t>从西配套出线网架完善</t>
  </si>
  <si>
    <t>220kV伟业输变电工程（电气分册）</t>
  </si>
  <si>
    <t>220千伏三向输变电工程</t>
  </si>
  <si>
    <t>220千伏广州北输变电工程</t>
  </si>
  <si>
    <t>110千伏鸭湖塘输变电工程</t>
  </si>
  <si>
    <t>110千伏穗和输变电工程(重大设计变更2)</t>
  </si>
  <si>
    <t>110千伏书香输变电工程（电气分册）</t>
  </si>
  <si>
    <t>110千伏三枝变电站扩建第三台主变工程</t>
  </si>
  <si>
    <t>110千伏都会输变电工程（电气分册）</t>
  </si>
  <si>
    <t>110千伏德兴变电站扩建第三台主变工程</t>
  </si>
  <si>
    <t>220kV集丰（翟洞）输变电工程（第四分册）</t>
  </si>
  <si>
    <t>110千伏书香输变电工程（土建分册）</t>
  </si>
  <si>
    <t>220千伏合景输变电工程</t>
  </si>
  <si>
    <t>110 千伏菠萝山输变电工程(电气第一分册)</t>
  </si>
  <si>
    <t>110千伏名美输变电工程（电气分册）</t>
  </si>
  <si>
    <t>110kV沙滘扩建第三台主变工程</t>
  </si>
  <si>
    <t>110千伏夏浦输变电工程</t>
  </si>
  <si>
    <t>110kV 厚德～上漖送电线路工程</t>
  </si>
  <si>
    <t>医药港110kV出线至昌岗线路</t>
  </si>
  <si>
    <t>220千伏员热第三台主变扩建工程</t>
  </si>
  <si>
    <t>220千伏软件园输变电工程</t>
  </si>
  <si>
    <t>220kV磨碟洲至柳园线路工程（第一分册）</t>
  </si>
  <si>
    <t>220千伏环西输变电工程（第三分册）</t>
  </si>
  <si>
    <t>110千伏智造输变电工程（土建分册）</t>
  </si>
  <si>
    <t>110千伏文冲站第三台主变扩建工程</t>
  </si>
  <si>
    <t>110千伏千叶输变电工程</t>
  </si>
  <si>
    <t>220kV庆盛枢纽输变电工程</t>
  </si>
  <si>
    <t>110千伏珠东输变电工程（电气分册）</t>
  </si>
  <si>
    <t>广州知识城恒运天然气发电项目配套线路工程</t>
  </si>
  <si>
    <t>110kV锦汉输变电工程</t>
  </si>
  <si>
    <t>110千伏潮田（桥仕）输变电工程</t>
  </si>
  <si>
    <t>110kV新庙乙线、庙湾线跳通线路工程</t>
  </si>
  <si>
    <t>500kV广南变电站220kV GIS设备改造工程</t>
  </si>
  <si>
    <t>设计阶段</t>
  </si>
  <si>
    <t>评审阶段</t>
  </si>
  <si>
    <t>统计维度</t>
  </si>
  <si>
    <t>单位</t>
  </si>
  <si>
    <t>统计项目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</si>
  <si>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</si>
  <si>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</si>
  <si>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</si>
  <si>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</si>
  <si>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</si>
  <si>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</si>
  <si>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</si>
  <si>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</si>
  <si>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</si>
  <si>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</si>
  <si>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</si>
  <si>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</si>
  <si>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可研</t>
  </si>
  <si>
    <t>计划评审</t>
  </si>
  <si>
    <t>每月数量</t>
  </si>
  <si>
    <t>广州局</t>
  </si>
  <si>
    <t>每月计划</t>
  </si>
  <si>
    <t>设计</t>
  </si>
  <si>
    <t>变电每月计划</t>
  </si>
  <si>
    <t>变电负责人</t>
  </si>
  <si>
    <t>线路每月计划</t>
  </si>
  <si>
    <t>线路负责人</t>
  </si>
  <si>
    <t>完成评审</t>
  </si>
  <si>
    <t>每月完成</t>
  </si>
  <si>
    <t>核减</t>
  </si>
  <si>
    <t>核增</t>
  </si>
  <si>
    <t>每月核减</t>
  </si>
  <si>
    <t>每月核增</t>
  </si>
  <si>
    <t>每月不变</t>
  </si>
  <si>
    <t>变电每月完成</t>
  </si>
  <si>
    <t>线路每月完成</t>
  </si>
  <si>
    <t>正在评审</t>
  </si>
  <si>
    <t>当月存量</t>
  </si>
  <si>
    <t>当月评审</t>
  </si>
  <si>
    <t>工作量占比</t>
  </si>
  <si>
    <t>变电当月评审</t>
  </si>
  <si>
    <t>变电工作量占比</t>
  </si>
  <si>
    <t>线路当月评审</t>
  </si>
  <si>
    <t>线路工作量占比</t>
  </si>
  <si>
    <t>累计数量</t>
  </si>
  <si>
    <t>累计计划</t>
  </si>
  <si>
    <t>变电累计计划</t>
  </si>
  <si>
    <t>线路累计计划</t>
  </si>
  <si>
    <t>累计完成</t>
  </si>
  <si>
    <t>完成占比</t>
  </si>
  <si>
    <t>变电累计完成</t>
  </si>
  <si>
    <t>变电完成占比</t>
  </si>
  <si>
    <t>线路累计完成</t>
  </si>
  <si>
    <t>线路完成占比</t>
  </si>
  <si>
    <t>累计核减</t>
  </si>
  <si>
    <t>累计核增</t>
  </si>
  <si>
    <t>累计不变</t>
  </si>
  <si>
    <t>累计完成率</t>
  </si>
  <si>
    <t>完成率</t>
  </si>
  <si>
    <t>变电完成率</t>
  </si>
  <si>
    <t>线路完成率</t>
  </si>
  <si>
    <t>每月静态投资</t>
  </si>
  <si>
    <t>每月静态送审投资</t>
  </si>
  <si>
    <t>累计静态送审投资</t>
  </si>
  <si>
    <t>每月动态投资</t>
  </si>
  <si>
    <t>项目核减</t>
  </si>
  <si>
    <t>项目核增</t>
  </si>
  <si>
    <t>项目不变</t>
  </si>
  <si>
    <t>核减项目投资</t>
  </si>
  <si>
    <t>核增项目投资</t>
  </si>
  <si>
    <t>不变项目投资</t>
  </si>
  <si>
    <t>累计静态投资</t>
  </si>
  <si>
    <t>累计动态投资</t>
  </si>
  <si>
    <t>可研调整</t>
  </si>
  <si>
    <t>初设</t>
  </si>
  <si>
    <t>初设调整</t>
  </si>
  <si>
    <t>施工图及预算</t>
  </si>
  <si>
    <t>施工图预算调整</t>
  </si>
  <si>
    <t>重大设计变更</t>
  </si>
  <si>
    <t>规划中心维度</t>
  </si>
  <si>
    <t>技经部维度</t>
  </si>
  <si>
    <t>设计单位维度</t>
  </si>
  <si>
    <t>(全部)</t>
  </si>
  <si>
    <t>(多项)</t>
  </si>
  <si>
    <t>总计</t>
  </si>
  <si>
    <t>2025年1月</t>
  </si>
  <si>
    <t>2025年2月</t>
  </si>
  <si>
    <t>2025年3月</t>
  </si>
  <si>
    <t>2025年4月</t>
  </si>
  <si>
    <t>2025年5月</t>
  </si>
  <si>
    <t>2025年6月</t>
  </si>
  <si>
    <t>2025年7月</t>
  </si>
  <si>
    <t>2025年8月</t>
  </si>
  <si>
    <t>2025年9月</t>
  </si>
  <si>
    <t>2025年10月</t>
  </si>
  <si>
    <t>2025年11月</t>
  </si>
  <si>
    <t>2025年12月</t>
  </si>
  <si>
    <t>评审项目数量情况</t>
  </si>
  <si>
    <t>评审项目数量同比环比分析</t>
  </si>
  <si>
    <t>时间</t>
  </si>
  <si>
    <t>统计模式</t>
  </si>
  <si>
    <t>2024年</t>
  </si>
  <si>
    <t>每月</t>
  </si>
  <si>
    <t>2025年</t>
  </si>
  <si>
    <t>同比</t>
  </si>
  <si>
    <t>累计</t>
  </si>
  <si>
    <t>同比%</t>
  </si>
  <si>
    <t>环比</t>
  </si>
  <si>
    <t>环比%</t>
  </si>
  <si>
    <t>合计</t>
  </si>
  <si>
    <t>2023年</t>
  </si>
  <si>
    <t>评审项目投资情况</t>
  </si>
  <si>
    <t>评审项目投资同比环比分析</t>
  </si>
  <si>
    <t>评审项目时长情况</t>
  </si>
  <si>
    <t>评审项目时长同比环比</t>
  </si>
  <si>
    <t>当月</t>
  </si>
  <si>
    <t>平均</t>
  </si>
  <si>
    <t>评审项目核增核减对比</t>
  </si>
  <si>
    <t>变动情况</t>
  </si>
  <si>
    <t>每月核减率</t>
  </si>
  <si>
    <t>累计核减率</t>
  </si>
  <si>
    <t>每月核增率</t>
  </si>
  <si>
    <t>累计核增率</t>
  </si>
  <si>
    <t>报评审部汇总数据</t>
  </si>
  <si>
    <t>送审</t>
  </si>
  <si>
    <t>审定</t>
  </si>
  <si>
    <t>核减投资</t>
  </si>
  <si>
    <t>核减率</t>
  </si>
  <si>
    <t>核增投资</t>
  </si>
  <si>
    <t>核增率</t>
  </si>
  <si>
    <t>平均时长</t>
  </si>
  <si>
    <t>合  计</t>
  </si>
  <si>
    <t>当月审定可研投资</t>
  </si>
  <si>
    <t>同比增加</t>
  </si>
  <si>
    <t>方  明</t>
  </si>
  <si>
    <t>2024年1月</t>
  </si>
  <si>
    <t>2024年2月</t>
  </si>
  <si>
    <t>2024年3月</t>
  </si>
  <si>
    <t>2024年4月</t>
  </si>
  <si>
    <t>2024年5月</t>
  </si>
  <si>
    <t>2024年6月</t>
  </si>
  <si>
    <t>2024年7月</t>
  </si>
  <si>
    <t>2024年8月</t>
  </si>
  <si>
    <t>2024年9月</t>
  </si>
  <si>
    <t>2024年10月</t>
  </si>
  <si>
    <t>2024年11月</t>
  </si>
  <si>
    <t>2024年12月</t>
  </si>
  <si>
    <t>主网项目评审明细表（2024年）</t>
  </si>
  <si>
    <t>公众假期</t>
  </si>
  <si>
    <t>110kV绿湖输变电工程电气分册</t>
  </si>
  <si>
    <t>220kV医药港～泮塘线路工程（医药港站110kV出线部分）</t>
  </si>
  <si>
    <t>110kV官湖主变电站</t>
  </si>
  <si>
    <t>110kV柯庄输变电工程（土建分册）</t>
  </si>
  <si>
    <t>110kV滨水（金融）输变电工程（电气第一分册）</t>
  </si>
  <si>
    <t>110kV笔岗输变电工程（土建分册）</t>
  </si>
  <si>
    <t>110kV广船输变电工程土建分册</t>
  </si>
  <si>
    <t>110kV花穗站扩建工程</t>
  </si>
  <si>
    <t>广州供电局备用调度配套通信系统建设项目</t>
  </si>
  <si>
    <t>220kV绿洲站第3台主变扩建工程</t>
  </si>
  <si>
    <t>220kV犀牛站第3台主变扩建工程</t>
  </si>
  <si>
    <t>110kV棠氮线等线路改造工程</t>
  </si>
  <si>
    <t>220kV棠下站电抗器改造工程</t>
  </si>
  <si>
    <t>110kV黄金围输变电工程（土建分册）</t>
  </si>
  <si>
    <t>110kV南方输变电工程第一分册</t>
  </si>
  <si>
    <t>220kV恒德输变电工程（第一分册）</t>
  </si>
  <si>
    <t>110kV人和站扩建工程</t>
  </si>
  <si>
    <t>110kV振兴站第三台主变扩建工程</t>
  </si>
  <si>
    <t>110kV仰忠输变电工程（电气分册）</t>
  </si>
  <si>
    <t>广州供电局220kV浔峰站等站点传输新A网优化改造工程</t>
  </si>
  <si>
    <t>110kV横塱输变电工程（土建分册）</t>
  </si>
  <si>
    <t>220kV芳村站第3台主变扩建工程</t>
  </si>
  <si>
    <t>广州旺隆气电配套线路工程</t>
  </si>
  <si>
    <t>110kV南涌输变电工程（土建分册）</t>
  </si>
  <si>
    <t>110kV龙津站扩建第三台主变工程</t>
  </si>
  <si>
    <t>110kV黄阁站第三台变扩建工程</t>
  </si>
  <si>
    <t>110kV小埗输变电工程电气分册</t>
  </si>
  <si>
    <t>110kV珠东输变电工程土建分册</t>
  </si>
  <si>
    <t>110kV草河站扩建主变工程</t>
  </si>
  <si>
    <t>220kV磨碟洲～柳园线路工程（第二分册）</t>
  </si>
  <si>
    <t>110kV广船输变电工程电气分册</t>
  </si>
  <si>
    <t>110kV黄阁扩建第三台主变工程</t>
  </si>
  <si>
    <t>奥林220kV出线工程</t>
  </si>
  <si>
    <t>罗涌片区老旧电缆改造工程</t>
  </si>
  <si>
    <t>110kV珠吉站扩建第三台主变</t>
  </si>
  <si>
    <t>220kV红旗输变电工程（土建分册）</t>
  </si>
  <si>
    <t>110kV万顷沙变电站第三台主变扩建工程</t>
  </si>
  <si>
    <t>110kV群结输变电（土建分册）</t>
  </si>
  <si>
    <t>220kV围福输变电工程（土建分册）</t>
  </si>
  <si>
    <t>110kV新隆沙输变电工程电气分册</t>
  </si>
  <si>
    <t>110kV中旅线路工程</t>
  </si>
  <si>
    <t>110kV中旅扩建第三台主变工程</t>
  </si>
  <si>
    <t>110kV桥兴扩建主变工程</t>
  </si>
  <si>
    <t>110kV小派线高滩甲支线、110kV正派小线高滩乙支线改造工程</t>
  </si>
  <si>
    <t>110kV森良乙线改造工程</t>
  </si>
  <si>
    <t>220kV厚瑞甲乙线增容改造工程</t>
  </si>
  <si>
    <t>110kV美维线路工程（美维至迁岗）（中止）</t>
  </si>
  <si>
    <t>110kV依利安达输变电工程</t>
  </si>
  <si>
    <t>110kV鹤边站扩建线路工程</t>
  </si>
  <si>
    <t>110kV祈福Ⅱ输变电工程</t>
  </si>
  <si>
    <t>110kV友好站扩建工程</t>
  </si>
  <si>
    <t>穗东换流站配套220kV线路工程（第一部分）</t>
  </si>
  <si>
    <t>110kV清湖输变电工程</t>
  </si>
  <si>
    <t>110kV谷围扩建第三台主变工程</t>
  </si>
  <si>
    <t>220kV白云恒运燃气发电送出线路工程</t>
  </si>
  <si>
    <t>通信网及业务系统调整项目</t>
  </si>
  <si>
    <t>广东电网保底通信网建设（二期）工程（广州供电局）项目</t>
  </si>
  <si>
    <t>110kV大埔输变电工程（溶洞处理）</t>
  </si>
  <si>
    <t>220kV茶山站扩建（梨园对侧）工程</t>
  </si>
  <si>
    <t>110kV振华输变电工程</t>
  </si>
  <si>
    <t>110kV上漖站扩建工程</t>
  </si>
  <si>
    <t>110kV梅山输变电工程（土建部分）</t>
  </si>
  <si>
    <t>110kV宝岗变电站第三台主变扩建工程</t>
  </si>
  <si>
    <t>110kV启学输变电工程（土建分册）</t>
  </si>
  <si>
    <t>110kV南德输变电工程</t>
  </si>
  <si>
    <t>220kV员热第二通道线路工程（隧道部分）</t>
  </si>
  <si>
    <t>110kV厚德至上漖线路工程（海珠段）</t>
  </si>
  <si>
    <t>110kV新庙乙线、庙湾线跳通线路工程（临时跳通方案）</t>
  </si>
  <si>
    <t>110kV思科输变电工程</t>
  </si>
  <si>
    <t>110kV保利输变电工程-琶洲电力隧道部分</t>
  </si>
  <si>
    <t>110kV龙歧输变电工程</t>
  </si>
  <si>
    <t>穗东换流站配套220kV线路工程（第二部分）</t>
  </si>
  <si>
    <t>110kV名美（易为）输变电工程（土建分册）</t>
  </si>
  <si>
    <t>220kV珠江输变电工程</t>
  </si>
  <si>
    <t>110kV南德工程道路修复重大设计变更</t>
  </si>
  <si>
    <t>220kV员热输变电工程</t>
  </si>
  <si>
    <t>110kV揽月（大壮）变电站工程（土建分册）</t>
  </si>
  <si>
    <t>110kV禾丰输变电工程（土建分册）</t>
  </si>
  <si>
    <t>220kV庆盛枢纽输变电工程(重大设计变更)</t>
  </si>
  <si>
    <t>220kV梨园输变电工程</t>
  </si>
  <si>
    <t>110kV同安输变电工程</t>
  </si>
  <si>
    <t>110kV云生（丝路）输变电工程</t>
  </si>
  <si>
    <t>110kV板头输变电工程</t>
  </si>
  <si>
    <t>110kV鱼码头输变电工程</t>
  </si>
  <si>
    <t>110kV开发区输变电工程</t>
  </si>
  <si>
    <t>220kV挂绿输变电工程（第一分册）</t>
  </si>
  <si>
    <t>110kV广北牵引站增容配套线路工程</t>
  </si>
  <si>
    <t>220kV挂绿输变电工程（第一分册）第二次重大设计变更</t>
  </si>
  <si>
    <t>220kV凫洲电力隧道工程（通风专业）</t>
  </si>
  <si>
    <t>110kV思科输变电工程重大设计变更</t>
  </si>
  <si>
    <t>瓜岭站110kV出线工程</t>
  </si>
  <si>
    <t>220kV医药港至泮塘线路工程（第二次调可研）</t>
  </si>
  <si>
    <t>110kV中市站初设（土建分册）</t>
  </si>
  <si>
    <t>220kV医药港（东沙）输变电工程</t>
  </si>
  <si>
    <t>220kV凫洲电力隧道工程（消防专业）</t>
  </si>
  <si>
    <t>110 kV长福（将军）输变电工程（土建分册）</t>
  </si>
  <si>
    <t>110kV红港输变电工程</t>
  </si>
  <si>
    <t>面向特大城市电网能源互联网示范项目（110kV尖峰变电站二期配套工程）土建部分</t>
  </si>
  <si>
    <t>110千伏红港输变电工程（电缆线路工程土建部分）</t>
  </si>
  <si>
    <t>110千伏保税输变电工程</t>
  </si>
  <si>
    <t>110千伏红港输变电工程（土建部分）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</si>
</sst>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3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yyyy/mm"/>
    <numFmt numFmtId="178" formatCode="0.00_ "/>
    <numFmt numFmtId="179" formatCode="0.0%"/>
    <numFmt numFmtId="180" formatCode="0.0_ "/>
    <numFmt numFmtId="181" formatCode="0.000_ "/>
    <numFmt numFmtId="182" formatCode="0.00_);[Red]\(0.00\)"/>
    <numFmt numFmtId="183" formatCode="0.0000000000000000000"/>
    <numFmt numFmtId="184" formatCode="0.000000000000000000000000_ "/>
  </numFmts>
  <fonts count="59">
    <font>
      <sz val="11"/>
      <color theme="1"/>
      <name val="Calibri"/>
      <charset val="134"/>
      <scheme val="minor"/>
    </font>
    <font>
      <b/>
      <sz val="16"/>
      <color theme="1"/>
      <name val="Microsoft Yahei"/>
      <charset val="134"/>
    </font>
    <font>
      <sz val="10"/>
      <color rgb="FFFFFFFF"/>
      <name val="微软雅黑 Light"/>
      <charset val="134"/>
    </font>
    <font>
      <sz val="10"/>
      <color rgb="FFFF0000"/>
      <name val="微软雅黑 Light"/>
      <charset val="134"/>
    </font>
    <font>
      <sz val="9"/>
      <color rgb="FF000000"/>
      <name val="微软雅黑 Light"/>
      <charset val="134"/>
    </font>
    <font>
      <sz val="10"/>
      <color theme="1"/>
      <name val="微软雅黑 Light"/>
      <charset val="134"/>
    </font>
    <font>
      <b/>
      <sz val="10"/>
      <color rgb="FFFF0000"/>
      <name val="微软雅黑 Light"/>
      <charset val="134"/>
    </font>
    <font>
      <sz val="9"/>
      <color theme="1"/>
      <name val="SimSun"/>
      <charset val="134"/>
    </font>
    <font>
      <sz val="10"/>
      <color rgb="FF000000"/>
      <name val="微软雅黑 Light"/>
      <charset val="134"/>
    </font>
    <font>
      <sz val="9"/>
      <color rgb="FF000000"/>
      <name val="SimSun"/>
      <charset val="134"/>
    </font>
    <font>
      <sz val="9"/>
      <color rgb="FF666666"/>
      <name val="Microsoft Yahei"/>
      <charset val="134"/>
    </font>
    <font>
      <sz val="11"/>
      <color theme="1"/>
      <name val="SimSun"/>
      <charset val="134"/>
    </font>
    <font>
      <sz val="6"/>
      <color theme="1"/>
      <name val="微软雅黑 Light"/>
      <charset val="134"/>
    </font>
    <font>
      <sz val="9"/>
      <color theme="1"/>
      <name val="微软雅黑 Light"/>
      <charset val="134"/>
    </font>
    <font>
      <sz val="8"/>
      <color theme="1"/>
      <name val="微软雅黑 Light"/>
      <charset val="134"/>
    </font>
    <font>
      <b/>
      <sz val="10"/>
      <color theme="0"/>
      <name val="微软雅黑 Light"/>
      <charset val="134"/>
    </font>
    <font>
      <b/>
      <sz val="10"/>
      <color theme="1"/>
      <name val="微软雅黑 Light"/>
      <charset val="134"/>
    </font>
    <font>
      <b/>
      <sz val="11"/>
      <color theme="1"/>
      <name val="SimSun"/>
      <charset val="134"/>
    </font>
    <font>
      <b/>
      <sz val="14"/>
      <color theme="1"/>
      <name val="Microsoft Yahei"/>
      <charset val="134"/>
    </font>
    <font>
      <sz val="11"/>
      <color theme="1"/>
      <name val="Microsoft Yahei"/>
      <charset val="134"/>
    </font>
    <font>
      <sz val="11"/>
      <name val="Calibri"/>
      <charset val="134"/>
    </font>
    <font>
      <sz val="10"/>
      <color theme="1"/>
      <name val="Microsoft Yahei"/>
      <charset val="134"/>
    </font>
    <font>
      <sz val="11"/>
      <color rgb="FFFFFFFF"/>
      <name val="Microsoft Yahei"/>
      <charset val="134"/>
    </font>
    <font>
      <b/>
      <sz val="11"/>
      <color theme="1"/>
      <name val="Microsoft Yahei"/>
      <charset val="134"/>
    </font>
    <font>
      <sz val="11"/>
      <color theme="1"/>
      <name val="微软雅黑 Light"/>
      <charset val="134"/>
    </font>
    <font>
      <sz val="11"/>
      <color rgb="FFFFFFFF"/>
      <name val="Calibri"/>
      <charset val="134"/>
      <scheme val="minor"/>
    </font>
    <font>
      <b/>
      <sz val="10"/>
      <color rgb="FFFFFFFF"/>
      <name val="Microsoft Yahei"/>
      <charset val="134"/>
    </font>
    <font>
      <b/>
      <sz val="10"/>
      <color theme="0"/>
      <name val="Microsoft Yahei"/>
      <charset val="134"/>
    </font>
    <font>
      <b/>
      <sz val="16"/>
      <color rgb="FFFF0000"/>
      <name val="Microsoft Yahei"/>
      <charset val="134"/>
    </font>
    <font>
      <sz val="10"/>
      <color rgb="FF00B0F0"/>
      <name val="Microsoft Yahei"/>
      <charset val="134"/>
    </font>
    <font>
      <sz val="10"/>
      <color rgb="FFFF0000"/>
      <name val="Microsoft Yahei"/>
      <charset val="134"/>
    </font>
    <font>
      <sz val="10"/>
      <color theme="0"/>
      <name val="微软雅黑 Light"/>
      <charset val="134"/>
    </font>
    <font>
      <sz val="10"/>
      <name val="微软雅黑 Light"/>
      <charset val="134"/>
    </font>
    <font>
      <sz val="10"/>
      <color rgb="FF5B9BD5"/>
      <name val="微软雅黑 Light"/>
      <charset val="134"/>
    </font>
    <font>
      <b/>
      <sz val="10"/>
      <color theme="1"/>
      <name val="Microsoft Yahei"/>
      <charset val="134"/>
    </font>
    <font>
      <sz val="8"/>
      <color rgb="FF000000"/>
      <name val="Microsoft Yahei"/>
      <charset val="134"/>
    </font>
    <font>
      <sz val="10"/>
      <color rgb="FFC00000"/>
      <name val="微软雅黑 Light"/>
      <charset val="134"/>
    </font>
    <font>
      <sz val="10"/>
      <color rgb="FF417FF9"/>
      <name val="微软雅黑 Light"/>
      <charset val="134"/>
    </font>
    <font>
      <sz val="9"/>
      <color rgb="FFFF0000"/>
      <name val="微软雅黑 Light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000000"/>
      <name val="Calibri"/>
      <charset val="1"/>
      <scheme val="minor"/>
    </font>
  </fonts>
  <fills count="66">
    <fill>
      <patternFill patternType="none"/>
    </fill>
    <fill>
      <patternFill patternType="gray125"/>
    </fill>
    <fill>
      <patternFill patternType="solid">
        <fgColor rgb="FF833C0B"/>
        <bgColor rgb="FF833C0B"/>
      </patternFill>
    </fill>
    <fill>
      <patternFill patternType="solid">
        <fgColor rgb="FFFFFF00"/>
        <bgColor rgb="FFFFFF00"/>
      </patternFill>
    </fill>
    <fill>
      <patternFill patternType="solid">
        <fgColor rgb="FFDAE3F3"/>
        <bgColor rgb="FFDAE3F3"/>
      </patternFill>
    </fill>
    <fill>
      <patternFill patternType="solid">
        <fgColor rgb="FFA5A5A5"/>
        <bgColor rgb="FFA5A5A5"/>
      </patternFill>
    </fill>
    <fill>
      <patternFill patternType="solid">
        <fgColor rgb="FF92D050"/>
        <bgColor rgb="FF92D050"/>
      </patternFill>
    </fill>
    <fill>
      <patternFill patternType="solid">
        <fgColor rgb="FFD9E2F3"/>
        <bgColor rgb="FFD9E2F3"/>
      </patternFill>
    </fill>
    <fill>
      <patternFill patternType="solid">
        <fgColor rgb="FFFFF2CC"/>
        <bgColor rgb="FFFFF2CC"/>
      </patternFill>
    </fill>
    <fill>
      <patternFill patternType="solid">
        <fgColor rgb="FF00B0F0"/>
        <bgColor rgb="FF00B0F0"/>
      </patternFill>
    </fill>
    <fill>
      <patternFill patternType="solid">
        <fgColor rgb="FFC55A11"/>
        <bgColor rgb="FFC55A11"/>
      </patternFill>
    </fill>
    <fill>
      <patternFill patternType="solid">
        <fgColor rgb="FFFFD965"/>
        <bgColor rgb="FFFFD965"/>
      </patternFill>
    </fill>
    <fill>
      <patternFill patternType="solid">
        <fgColor rgb="FFD9E1F2"/>
        <bgColor rgb="FFD9E1F2"/>
      </patternFill>
    </fill>
    <fill>
      <patternFill patternType="solid">
        <fgColor rgb="FF7F6000"/>
        <bgColor rgb="FF7F6000"/>
      </patternFill>
    </fill>
    <fill>
      <patternFill patternType="solid">
        <fgColor rgb="FFBF9000"/>
        <bgColor rgb="FFBF9000"/>
      </patternFill>
    </fill>
    <fill>
      <patternFill patternType="solid">
        <fgColor rgb="FF385623"/>
        <bgColor rgb="FF385623"/>
      </patternFill>
    </fill>
    <fill>
      <patternFill patternType="solid">
        <fgColor rgb="FF548135"/>
        <bgColor rgb="FF548135"/>
      </patternFill>
    </fill>
    <fill>
      <patternFill patternType="solid">
        <fgColor rgb="FF2F5496"/>
        <bgColor rgb="FF2F5496"/>
      </patternFill>
    </fill>
    <fill>
      <patternFill patternType="solid">
        <fgColor rgb="FFFFF2CB"/>
        <bgColor rgb="FFFFF2CB"/>
      </patternFill>
    </fill>
    <fill>
      <patternFill patternType="solid">
        <fgColor rgb="FFE2EFD9"/>
        <bgColor rgb="FFE2EFD9"/>
      </patternFill>
    </fill>
    <fill>
      <patternFill patternType="solid">
        <fgColor rgb="FF7030A0"/>
        <bgColor rgb="FF7030A0"/>
      </patternFill>
    </fill>
    <fill>
      <patternFill patternType="solid">
        <fgColor theme="7"/>
        <bgColor theme="7"/>
      </patternFill>
    </fill>
    <fill>
      <patternFill patternType="solid">
        <fgColor rgb="FFFF0000"/>
        <bgColor rgb="FFFF0000"/>
      </patternFill>
    </fill>
    <fill>
      <patternFill patternType="solid">
        <fgColor theme="5"/>
        <bgColor theme="5"/>
      </patternFill>
    </fill>
    <fill>
      <patternFill patternType="solid">
        <fgColor rgb="FFFFC000"/>
        <bgColor rgb="FFFFC000"/>
      </patternFill>
    </fill>
    <fill>
      <patternFill patternType="solid">
        <fgColor theme="4"/>
        <bgColor theme="4"/>
      </patternFill>
    </fill>
    <fill>
      <patternFill patternType="solid">
        <fgColor rgb="FFDEEAF6"/>
        <bgColor rgb="FFDEEAF6"/>
      </patternFill>
    </fill>
    <fill>
      <patternFill patternType="solid">
        <fgColor rgb="FFF7CAAC"/>
        <bgColor rgb="FFF7CAAC"/>
      </patternFill>
    </fill>
    <fill>
      <patternFill patternType="solid">
        <fgColor theme="9"/>
        <bgColor theme="9"/>
      </patternFill>
    </fill>
    <fill>
      <patternFill patternType="solid">
        <fgColor rgb="FFF4B083"/>
        <bgColor rgb="FFF4B083"/>
      </patternFill>
    </fill>
    <fill>
      <patternFill patternType="solid">
        <fgColor rgb="FFC5E0B3"/>
        <bgColor rgb="FFC5E0B3"/>
      </patternFill>
    </fill>
    <fill>
      <patternFill patternType="solid">
        <fgColor rgb="FF53198A"/>
        <bgColor rgb="FF53198A"/>
      </patternFill>
    </fill>
    <fill>
      <patternFill patternType="solid">
        <fgColor rgb="FF2E75B5"/>
        <bgColor rgb="FF2E75B5"/>
      </patternFill>
    </fill>
    <fill>
      <patternFill patternType="solid">
        <fgColor rgb="FF002060"/>
        <bgColor rgb="FF002060"/>
      </patternFill>
    </fill>
    <fill>
      <patternFill patternType="solid">
        <fgColor rgb="FFFFD966"/>
        <bgColor rgb="FFFFD96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rgb="FF5B9BD5"/>
      </top>
      <bottom style="thin">
        <color rgb="FF5B9BD5"/>
      </bottom>
      <diagonal/>
    </border>
    <border>
      <left style="thin">
        <color theme="0"/>
      </left>
      <right style="thin">
        <color theme="0"/>
      </right>
      <top style="thin">
        <color rgb="FFF4B083"/>
      </top>
      <bottom style="thick">
        <color theme="0"/>
      </bottom>
      <diagonal/>
    </border>
    <border>
      <left style="thin">
        <color theme="0"/>
      </left>
      <right style="thin">
        <color rgb="FFF4B083"/>
      </right>
      <top style="thin">
        <color rgb="FFF4B083"/>
      </top>
      <bottom style="thick">
        <color theme="0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/>
      <right/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/>
      <top/>
      <bottom style="thin">
        <color rgb="FFABABAB"/>
      </bottom>
      <diagonal/>
    </border>
    <border>
      <left/>
      <right/>
      <top/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 style="thin">
        <color rgb="FFABABAB"/>
      </right>
      <top/>
      <bottom style="thin">
        <color rgb="FFABABAB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medium">
        <color theme="9"/>
      </bottom>
      <diagonal/>
    </border>
    <border>
      <left style="thin">
        <color theme="9"/>
      </left>
      <right style="thin">
        <color theme="9"/>
      </right>
      <top style="medium">
        <color theme="9"/>
      </top>
      <bottom/>
      <diagonal/>
    </border>
    <border>
      <left style="thin">
        <color theme="9"/>
      </left>
      <right style="thin">
        <color theme="9"/>
      </right>
      <top style="medium">
        <color theme="9"/>
      </top>
      <bottom style="thin">
        <color theme="9"/>
      </bottom>
      <diagonal/>
    </border>
    <border>
      <left style="thin">
        <color theme="9"/>
      </left>
      <right style="thin">
        <color theme="9"/>
      </right>
      <top/>
      <bottom/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9"/>
      </left>
      <right style="thin">
        <color theme="9"/>
      </right>
      <top/>
      <bottom style="thin">
        <color theme="9"/>
      </bottom>
      <diagonal/>
    </border>
    <border>
      <left style="thin">
        <color theme="9"/>
      </left>
      <right style="thin">
        <color theme="9"/>
      </right>
      <top style="thin">
        <color theme="9"/>
      </top>
      <bottom/>
      <diagonal/>
    </border>
    <border>
      <left style="thin">
        <color theme="9"/>
      </left>
      <right style="thin">
        <color theme="9"/>
      </right>
      <top style="medium">
        <color theme="9"/>
      </top>
      <bottom style="thin">
        <color rgb="FF9CC2E5"/>
      </bottom>
      <diagonal/>
    </border>
    <border>
      <left style="thin">
        <color theme="9"/>
      </left>
      <right style="thin">
        <color theme="9"/>
      </right>
      <top style="thin">
        <color rgb="FF9CC2E5"/>
      </top>
      <bottom style="thin">
        <color rgb="FF9CC2E5"/>
      </bottom>
      <diagonal/>
    </border>
    <border>
      <left style="thin">
        <color theme="9"/>
      </left>
      <right style="thin">
        <color theme="9"/>
      </right>
      <top style="thin">
        <color rgb="FF9CC2E5"/>
      </top>
      <bottom style="thin">
        <color theme="9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0" fillId="35" borderId="26" applyNumberFormat="0" applyFont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27" applyNumberFormat="0" applyFill="0" applyAlignment="0" applyProtection="0">
      <alignment vertical="center"/>
    </xf>
    <xf numFmtId="0" fontId="45" fillId="0" borderId="27" applyNumberFormat="0" applyFill="0" applyAlignment="0" applyProtection="0">
      <alignment vertical="center"/>
    </xf>
    <xf numFmtId="0" fontId="46" fillId="0" borderId="28" applyNumberFormat="0" applyFill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36" borderId="29" applyNumberFormat="0" applyAlignment="0" applyProtection="0">
      <alignment vertical="center"/>
    </xf>
    <xf numFmtId="0" fontId="48" fillId="37" borderId="30" applyNumberFormat="0" applyAlignment="0" applyProtection="0">
      <alignment vertical="center"/>
    </xf>
    <xf numFmtId="0" fontId="49" fillId="37" borderId="29" applyNumberFormat="0" applyAlignment="0" applyProtection="0">
      <alignment vertical="center"/>
    </xf>
    <xf numFmtId="0" fontId="50" fillId="38" borderId="31" applyNumberFormat="0" applyAlignment="0" applyProtection="0">
      <alignment vertical="center"/>
    </xf>
    <xf numFmtId="0" fontId="51" fillId="0" borderId="32" applyNumberFormat="0" applyFill="0" applyAlignment="0" applyProtection="0">
      <alignment vertical="center"/>
    </xf>
    <xf numFmtId="0" fontId="52" fillId="0" borderId="33" applyNumberFormat="0" applyFill="0" applyAlignment="0" applyProtection="0">
      <alignment vertical="center"/>
    </xf>
    <xf numFmtId="0" fontId="53" fillId="39" borderId="0" applyNumberFormat="0" applyBorder="0" applyAlignment="0" applyProtection="0">
      <alignment vertical="center"/>
    </xf>
    <xf numFmtId="0" fontId="54" fillId="40" borderId="0" applyNumberFormat="0" applyBorder="0" applyAlignment="0" applyProtection="0">
      <alignment vertical="center"/>
    </xf>
    <xf numFmtId="0" fontId="55" fillId="41" borderId="0" applyNumberFormat="0" applyBorder="0" applyAlignment="0" applyProtection="0">
      <alignment vertical="center"/>
    </xf>
    <xf numFmtId="0" fontId="56" fillId="42" borderId="0" applyNumberFormat="0" applyBorder="0" applyAlignment="0" applyProtection="0">
      <alignment vertical="center"/>
    </xf>
    <xf numFmtId="0" fontId="57" fillId="43" borderId="0" applyNumberFormat="0" applyBorder="0" applyAlignment="0" applyProtection="0">
      <alignment vertical="center"/>
    </xf>
    <xf numFmtId="0" fontId="57" fillId="44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56" fillId="46" borderId="0" applyNumberFormat="0" applyBorder="0" applyAlignment="0" applyProtection="0">
      <alignment vertical="center"/>
    </xf>
    <xf numFmtId="0" fontId="57" fillId="47" borderId="0" applyNumberFormat="0" applyBorder="0" applyAlignment="0" applyProtection="0">
      <alignment vertical="center"/>
    </xf>
    <xf numFmtId="0" fontId="57" fillId="48" borderId="0" applyNumberFormat="0" applyBorder="0" applyAlignment="0" applyProtection="0">
      <alignment vertical="center"/>
    </xf>
    <xf numFmtId="0" fontId="56" fillId="49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57" fillId="51" borderId="0" applyNumberFormat="0" applyBorder="0" applyAlignment="0" applyProtection="0">
      <alignment vertical="center"/>
    </xf>
    <xf numFmtId="0" fontId="57" fillId="52" borderId="0" applyNumberFormat="0" applyBorder="0" applyAlignment="0" applyProtection="0">
      <alignment vertical="center"/>
    </xf>
    <xf numFmtId="0" fontId="56" fillId="53" borderId="0" applyNumberFormat="0" applyBorder="0" applyAlignment="0" applyProtection="0">
      <alignment vertical="center"/>
    </xf>
    <xf numFmtId="0" fontId="56" fillId="54" borderId="0" applyNumberFormat="0" applyBorder="0" applyAlignment="0" applyProtection="0">
      <alignment vertical="center"/>
    </xf>
    <xf numFmtId="0" fontId="57" fillId="55" borderId="0" applyNumberFormat="0" applyBorder="0" applyAlignment="0" applyProtection="0">
      <alignment vertical="center"/>
    </xf>
    <xf numFmtId="0" fontId="57" fillId="56" borderId="0" applyNumberFormat="0" applyBorder="0" applyAlignment="0" applyProtection="0">
      <alignment vertical="center"/>
    </xf>
    <xf numFmtId="0" fontId="56" fillId="57" borderId="0" applyNumberFormat="0" applyBorder="0" applyAlignment="0" applyProtection="0">
      <alignment vertical="center"/>
    </xf>
    <xf numFmtId="0" fontId="56" fillId="58" borderId="0" applyNumberFormat="0" applyBorder="0" applyAlignment="0" applyProtection="0">
      <alignment vertical="center"/>
    </xf>
    <xf numFmtId="0" fontId="57" fillId="59" borderId="0" applyNumberFormat="0" applyBorder="0" applyAlignment="0" applyProtection="0">
      <alignment vertical="center"/>
    </xf>
    <xf numFmtId="0" fontId="57" fillId="60" borderId="0" applyNumberFormat="0" applyBorder="0" applyAlignment="0" applyProtection="0">
      <alignment vertical="center"/>
    </xf>
    <xf numFmtId="0" fontId="56" fillId="61" borderId="0" applyNumberFormat="0" applyBorder="0" applyAlignment="0" applyProtection="0">
      <alignment vertical="center"/>
    </xf>
    <xf numFmtId="0" fontId="56" fillId="62" borderId="0" applyNumberFormat="0" applyBorder="0" applyAlignment="0" applyProtection="0">
      <alignment vertical="center"/>
    </xf>
    <xf numFmtId="0" fontId="57" fillId="63" borderId="0" applyNumberFormat="0" applyBorder="0" applyAlignment="0" applyProtection="0">
      <alignment vertical="center"/>
    </xf>
    <xf numFmtId="0" fontId="57" fillId="64" borderId="0" applyNumberFormat="0" applyBorder="0" applyAlignment="0" applyProtection="0">
      <alignment vertical="center"/>
    </xf>
    <xf numFmtId="0" fontId="56" fillId="65" borderId="0" applyNumberFormat="0" applyBorder="0" applyAlignment="0" applyProtection="0">
      <alignment vertical="center"/>
    </xf>
  </cellStyleXfs>
  <cellXfs count="265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3" fillId="3" borderId="0" xfId="0" applyFont="1" applyFill="1" applyBorder="1" applyAlignment="1">
      <alignment vertical="center"/>
    </xf>
    <xf numFmtId="0" fontId="4" fillId="0" borderId="0" xfId="0" applyFont="1" applyAlignment="1">
      <alignment horizontal="center" vertical="center"/>
    </xf>
    <xf numFmtId="14" fontId="5" fillId="0" borderId="0" xfId="0" applyNumberFormat="1" applyFont="1" applyAlignment="1">
      <alignment vertical="center" shrinkToFit="1"/>
    </xf>
    <xf numFmtId="14" fontId="5" fillId="4" borderId="0" xfId="0" applyNumberFormat="1" applyFont="1" applyFill="1" applyBorder="1" applyAlignment="1">
      <alignment vertical="center" shrinkToFit="1"/>
    </xf>
    <xf numFmtId="0" fontId="3" fillId="5" borderId="0" xfId="0" applyFont="1" applyFill="1" applyBorder="1" applyAlignment="1">
      <alignment vertical="center"/>
    </xf>
    <xf numFmtId="14" fontId="5" fillId="3" borderId="0" xfId="0" applyNumberFormat="1" applyFont="1" applyFill="1" applyBorder="1" applyAlignment="1">
      <alignment vertical="center" shrinkToFit="1"/>
    </xf>
    <xf numFmtId="0" fontId="3" fillId="6" borderId="0" xfId="0" applyFont="1" applyFill="1" applyBorder="1" applyAlignment="1">
      <alignment vertical="center"/>
    </xf>
    <xf numFmtId="0" fontId="4" fillId="6" borderId="0" xfId="0" applyFont="1" applyFill="1" applyBorder="1" applyAlignment="1">
      <alignment horizontal="center" vertical="center"/>
    </xf>
    <xf numFmtId="14" fontId="5" fillId="0" borderId="0" xfId="0" applyNumberFormat="1" applyFont="1" applyAlignment="1">
      <alignment horizontal="center" vertical="center" shrinkToFit="1"/>
    </xf>
    <xf numFmtId="0" fontId="6" fillId="3" borderId="0" xfId="0" applyFont="1" applyFill="1" applyBorder="1" applyAlignment="1">
      <alignment vertical="center"/>
    </xf>
    <xf numFmtId="0" fontId="7" fillId="0" borderId="0" xfId="0" applyFont="1" applyAlignment="1">
      <alignment horizontal="center" vertical="center"/>
    </xf>
    <xf numFmtId="14" fontId="5" fillId="7" borderId="0" xfId="0" applyNumberFormat="1" applyFont="1" applyFill="1" applyBorder="1" applyAlignment="1">
      <alignment vertical="center" shrinkToFit="1"/>
    </xf>
    <xf numFmtId="14" fontId="8" fillId="0" borderId="0" xfId="0" applyNumberFormat="1" applyFont="1" applyAlignment="1">
      <alignment vertical="center" shrinkToFit="1"/>
    </xf>
    <xf numFmtId="0" fontId="9" fillId="0" borderId="0" xfId="0" applyFont="1" applyAlignment="1">
      <alignment horizontal="center" vertical="center"/>
    </xf>
    <xf numFmtId="0" fontId="5" fillId="6" borderId="0" xfId="0" applyFont="1" applyFill="1" applyBorder="1" applyAlignment="1">
      <alignment vertical="center"/>
    </xf>
    <xf numFmtId="0" fontId="5" fillId="8" borderId="0" xfId="0" applyFont="1" applyFill="1" applyBorder="1" applyAlignment="1">
      <alignment vertical="center"/>
    </xf>
    <xf numFmtId="0" fontId="4" fillId="8" borderId="0" xfId="0" applyFont="1" applyFill="1" applyBorder="1" applyAlignment="1">
      <alignment horizontal="center" vertical="center"/>
    </xf>
    <xf numFmtId="0" fontId="5" fillId="9" borderId="0" xfId="0" applyFont="1" applyFill="1" applyBorder="1" applyAlignment="1">
      <alignment vertical="center"/>
    </xf>
    <xf numFmtId="0" fontId="8" fillId="6" borderId="0" xfId="0" applyFont="1" applyFill="1" applyBorder="1" applyAlignment="1">
      <alignment vertical="center"/>
    </xf>
    <xf numFmtId="0" fontId="4" fillId="9" borderId="0" xfId="0" applyFont="1" applyFill="1" applyBorder="1" applyAlignment="1">
      <alignment horizontal="center" vertical="center"/>
    </xf>
    <xf numFmtId="0" fontId="8" fillId="8" borderId="0" xfId="0" applyFont="1" applyFill="1" applyBorder="1" applyAlignment="1">
      <alignment vertical="center"/>
    </xf>
    <xf numFmtId="0" fontId="8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2" fillId="10" borderId="0" xfId="0" applyFont="1" applyFill="1" applyBorder="1" applyAlignment="1">
      <alignment horizontal="center" vertical="center" wrapText="1"/>
    </xf>
    <xf numFmtId="176" fontId="11" fillId="11" borderId="0" xfId="0" applyNumberFormat="1" applyFont="1" applyFill="1" applyBorder="1" applyAlignment="1">
      <alignment vertical="center"/>
    </xf>
    <xf numFmtId="176" fontId="5" fillId="7" borderId="0" xfId="0" applyNumberFormat="1" applyFont="1" applyFill="1" applyBorder="1" applyAlignment="1">
      <alignment horizontal="center" vertical="center"/>
    </xf>
    <xf numFmtId="14" fontId="5" fillId="7" borderId="0" xfId="0" applyNumberFormat="1" applyFont="1" applyFill="1" applyBorder="1" applyAlignment="1">
      <alignment horizontal="center" vertical="center" shrinkToFit="1"/>
    </xf>
    <xf numFmtId="176" fontId="5" fillId="11" borderId="0" xfId="0" applyNumberFormat="1" applyFont="1" applyFill="1" applyBorder="1" applyAlignment="1">
      <alignment horizontal="center" vertical="center"/>
    </xf>
    <xf numFmtId="14" fontId="8" fillId="0" borderId="0" xfId="0" applyNumberFormat="1" applyFont="1" applyAlignment="1">
      <alignment horizontal="center" vertical="center" shrinkToFit="1"/>
    </xf>
    <xf numFmtId="14" fontId="8" fillId="12" borderId="0" xfId="0" applyNumberFormat="1" applyFont="1" applyFill="1" applyBorder="1" applyAlignment="1">
      <alignment horizontal="center" vertical="center" shrinkToFit="1"/>
    </xf>
    <xf numFmtId="14" fontId="5" fillId="4" borderId="0" xfId="0" applyNumberFormat="1" applyFont="1" applyFill="1" applyBorder="1" applyAlignment="1">
      <alignment horizontal="center" vertical="center" shrinkToFit="1"/>
    </xf>
    <xf numFmtId="0" fontId="2" fillId="13" borderId="0" xfId="0" applyFont="1" applyFill="1" applyBorder="1" applyAlignment="1">
      <alignment horizontal="center" vertical="center" wrapText="1"/>
    </xf>
    <xf numFmtId="0" fontId="11" fillId="11" borderId="0" xfId="0" applyFont="1" applyFill="1" applyBorder="1" applyAlignment="1">
      <alignment horizontal="center" vertical="center"/>
    </xf>
    <xf numFmtId="177" fontId="5" fillId="11" borderId="0" xfId="0" applyNumberFormat="1" applyFont="1" applyFill="1" applyBorder="1" applyAlignment="1">
      <alignment horizontal="center" vertical="center"/>
    </xf>
    <xf numFmtId="0" fontId="2" fillId="14" borderId="0" xfId="0" applyFont="1" applyFill="1" applyBorder="1" applyAlignment="1">
      <alignment horizontal="center" vertical="center" wrapText="1"/>
    </xf>
    <xf numFmtId="0" fontId="5" fillId="11" borderId="0" xfId="0" applyFont="1" applyFill="1" applyBorder="1" applyAlignment="1">
      <alignment horizontal="center" vertical="center"/>
    </xf>
    <xf numFmtId="14" fontId="3" fillId="0" borderId="0" xfId="0" applyNumberFormat="1" applyFont="1" applyAlignment="1">
      <alignment horizontal="center" vertical="center" shrinkToFit="1"/>
    </xf>
    <xf numFmtId="0" fontId="2" fillId="15" borderId="0" xfId="0" applyFont="1" applyFill="1" applyBorder="1" applyAlignment="1">
      <alignment horizontal="center" vertical="center" wrapText="1"/>
    </xf>
    <xf numFmtId="0" fontId="2" fillId="16" borderId="0" xfId="0" applyFont="1" applyFill="1" applyBorder="1" applyAlignment="1">
      <alignment horizontal="center" vertical="center" wrapText="1"/>
    </xf>
    <xf numFmtId="14" fontId="8" fillId="7" borderId="0" xfId="0" applyNumberFormat="1" applyFont="1" applyFill="1" applyBorder="1" applyAlignment="1">
      <alignment horizontal="center" vertical="center" shrinkToFit="1"/>
    </xf>
    <xf numFmtId="0" fontId="2" fillId="17" borderId="0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5" fillId="18" borderId="0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8" fillId="18" borderId="0" xfId="0" applyFont="1" applyFill="1" applyBorder="1" applyAlignment="1">
      <alignment horizontal="center" vertical="center"/>
    </xf>
    <xf numFmtId="0" fontId="8" fillId="19" borderId="0" xfId="0" applyFont="1" applyFill="1" applyBorder="1" applyAlignment="1">
      <alignment horizontal="center" vertical="center"/>
    </xf>
    <xf numFmtId="178" fontId="5" fillId="0" borderId="0" xfId="0" applyNumberFormat="1" applyFont="1" applyAlignment="1">
      <alignment horizontal="center" vertical="center"/>
    </xf>
    <xf numFmtId="178" fontId="5" fillId="7" borderId="0" xfId="0" applyNumberFormat="1" applyFont="1" applyFill="1" applyBorder="1" applyAlignment="1">
      <alignment horizontal="center" vertical="center"/>
    </xf>
    <xf numFmtId="0" fontId="5" fillId="19" borderId="0" xfId="0" applyFont="1" applyFill="1" applyBorder="1" applyAlignment="1">
      <alignment horizontal="center" vertical="center"/>
    </xf>
    <xf numFmtId="0" fontId="2" fillId="20" borderId="0" xfId="0" applyFont="1" applyFill="1" applyBorder="1" applyAlignment="1">
      <alignment horizontal="center" vertical="center" wrapText="1"/>
    </xf>
    <xf numFmtId="178" fontId="5" fillId="11" borderId="0" xfId="0" applyNumberFormat="1" applyFont="1" applyFill="1" applyBorder="1" applyAlignment="1">
      <alignment horizontal="center" vertical="center"/>
    </xf>
    <xf numFmtId="0" fontId="5" fillId="7" borderId="0" xfId="0" applyFont="1" applyFill="1" applyBorder="1" applyAlignment="1">
      <alignment horizontal="center" vertical="center"/>
    </xf>
    <xf numFmtId="178" fontId="5" fillId="0" borderId="1" xfId="0" applyNumberFormat="1" applyFont="1" applyBorder="1" applyAlignment="1">
      <alignment horizontal="center" vertical="center"/>
    </xf>
    <xf numFmtId="178" fontId="5" fillId="7" borderId="1" xfId="0" applyNumberFormat="1" applyFont="1" applyFill="1" applyBorder="1" applyAlignment="1">
      <alignment horizontal="center" vertical="center"/>
    </xf>
    <xf numFmtId="178" fontId="8" fillId="0" borderId="0" xfId="0" applyNumberFormat="1" applyFont="1" applyAlignment="1">
      <alignment horizontal="center" vertical="center" wrapText="1"/>
    </xf>
    <xf numFmtId="178" fontId="8" fillId="0" borderId="0" xfId="0" applyNumberFormat="1" applyFont="1" applyAlignment="1">
      <alignment horizontal="right" vertical="center" shrinkToFit="1"/>
    </xf>
    <xf numFmtId="178" fontId="8" fillId="12" borderId="0" xfId="0" applyNumberFormat="1" applyFont="1" applyFill="1" applyBorder="1" applyAlignment="1">
      <alignment horizontal="right" vertical="center" shrinkToFit="1"/>
    </xf>
    <xf numFmtId="0" fontId="2" fillId="6" borderId="0" xfId="0" applyFont="1" applyFill="1" applyBorder="1" applyAlignment="1">
      <alignment horizontal="center" vertical="center" wrapText="1"/>
    </xf>
    <xf numFmtId="178" fontId="3" fillId="11" borderId="0" xfId="0" applyNumberFormat="1" applyFont="1" applyFill="1" applyBorder="1" applyAlignment="1">
      <alignment horizontal="center" vertical="center"/>
    </xf>
    <xf numFmtId="178" fontId="5" fillId="18" borderId="0" xfId="0" applyNumberFormat="1" applyFont="1" applyFill="1" applyBorder="1" applyAlignment="1">
      <alignment horizontal="center" vertical="center"/>
    </xf>
    <xf numFmtId="178" fontId="8" fillId="0" borderId="1" xfId="0" applyNumberFormat="1" applyFont="1" applyBorder="1" applyAlignment="1">
      <alignment horizontal="center" vertical="center" shrinkToFit="1"/>
    </xf>
    <xf numFmtId="178" fontId="8" fillId="12" borderId="1" xfId="0" applyNumberFormat="1" applyFont="1" applyFill="1" applyBorder="1" applyAlignment="1">
      <alignment horizontal="center" vertical="center" shrinkToFit="1"/>
    </xf>
    <xf numFmtId="0" fontId="11" fillId="0" borderId="0" xfId="0" applyFont="1" applyAlignment="1">
      <alignment vertical="center"/>
    </xf>
    <xf numFmtId="0" fontId="12" fillId="21" borderId="0" xfId="0" applyFont="1" applyFill="1" applyBorder="1" applyAlignment="1">
      <alignment horizontal="center" vertical="center"/>
    </xf>
    <xf numFmtId="0" fontId="8" fillId="5" borderId="0" xfId="0" applyFont="1" applyFill="1" applyBorder="1" applyAlignment="1">
      <alignment vertical="center"/>
    </xf>
    <xf numFmtId="0" fontId="13" fillId="0" borderId="0" xfId="0" applyFont="1" applyAlignment="1">
      <alignment horizontal="center" vertical="center"/>
    </xf>
    <xf numFmtId="14" fontId="8" fillId="7" borderId="0" xfId="0" applyNumberFormat="1" applyFont="1" applyFill="1" applyBorder="1" applyAlignment="1">
      <alignment vertical="center" shrinkToFit="1"/>
    </xf>
    <xf numFmtId="178" fontId="14" fillId="0" borderId="0" xfId="0" applyNumberFormat="1" applyFont="1" applyAlignment="1">
      <alignment horizontal="center" vertical="center"/>
    </xf>
    <xf numFmtId="178" fontId="14" fillId="7" borderId="0" xfId="0" applyNumberFormat="1" applyFont="1" applyFill="1" applyBorder="1" applyAlignment="1">
      <alignment horizontal="center" vertical="center"/>
    </xf>
    <xf numFmtId="178" fontId="8" fillId="0" borderId="0" xfId="0" applyNumberFormat="1" applyFont="1" applyAlignment="1">
      <alignment horizontal="center" vertical="center"/>
    </xf>
    <xf numFmtId="178" fontId="8" fillId="7" borderId="0" xfId="0" applyNumberFormat="1" applyFont="1" applyFill="1" applyBorder="1" applyAlignment="1">
      <alignment horizontal="center" vertical="center"/>
    </xf>
    <xf numFmtId="178" fontId="8" fillId="12" borderId="0" xfId="0" applyNumberFormat="1" applyFont="1" applyFill="1" applyBorder="1" applyAlignment="1">
      <alignment horizontal="center" vertical="center"/>
    </xf>
    <xf numFmtId="0" fontId="8" fillId="3" borderId="0" xfId="0" applyFont="1" applyFill="1" applyBorder="1" applyAlignment="1">
      <alignment vertical="center"/>
    </xf>
    <xf numFmtId="0" fontId="8" fillId="0" borderId="0" xfId="0" applyFont="1" applyAlignment="1">
      <alignment horizontal="left" vertical="center"/>
    </xf>
    <xf numFmtId="0" fontId="13" fillId="8" borderId="0" xfId="0" applyFont="1" applyFill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 shrinkToFit="1"/>
    </xf>
    <xf numFmtId="14" fontId="5" fillId="7" borderId="1" xfId="0" applyNumberFormat="1" applyFont="1" applyFill="1" applyBorder="1" applyAlignment="1">
      <alignment horizontal="center" vertical="center" shrinkToFit="1"/>
    </xf>
    <xf numFmtId="178" fontId="3" fillId="0" borderId="0" xfId="0" applyNumberFormat="1" applyFont="1" applyAlignment="1">
      <alignment horizontal="center" vertical="center"/>
    </xf>
    <xf numFmtId="178" fontId="3" fillId="7" borderId="0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5" fillId="22" borderId="0" xfId="0" applyFont="1" applyFill="1" applyBorder="1" applyAlignment="1">
      <alignment horizontal="center" vertical="center"/>
    </xf>
    <xf numFmtId="0" fontId="8" fillId="12" borderId="0" xfId="0" applyFont="1" applyFill="1" applyBorder="1" applyAlignment="1">
      <alignment horizontal="center" vertical="center"/>
    </xf>
    <xf numFmtId="0" fontId="5" fillId="23" borderId="0" xfId="0" applyFont="1" applyFill="1" applyBorder="1" applyAlignment="1">
      <alignment vertical="center"/>
    </xf>
    <xf numFmtId="176" fontId="11" fillId="18" borderId="0" xfId="0" applyNumberFormat="1" applyFont="1" applyFill="1" applyBorder="1" applyAlignment="1">
      <alignment vertical="center"/>
    </xf>
    <xf numFmtId="0" fontId="11" fillId="18" borderId="0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1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7" borderId="0" xfId="0" applyFont="1" applyFill="1" applyBorder="1" applyAlignment="1">
      <alignment horizontal="center" vertical="center"/>
    </xf>
    <xf numFmtId="0" fontId="11" fillId="24" borderId="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15" fillId="25" borderId="0" xfId="0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26" borderId="0" xfId="0" applyFont="1" applyFill="1" applyBorder="1" applyAlignment="1">
      <alignment horizontal="center" vertical="center"/>
    </xf>
    <xf numFmtId="0" fontId="5" fillId="24" borderId="0" xfId="0" applyFont="1" applyFill="1" applyBorder="1" applyAlignment="1">
      <alignment horizontal="center" vertical="center"/>
    </xf>
    <xf numFmtId="0" fontId="15" fillId="23" borderId="2" xfId="0" applyFont="1" applyFill="1" applyBorder="1" applyAlignment="1">
      <alignment horizontal="center" vertical="center"/>
    </xf>
    <xf numFmtId="0" fontId="15" fillId="23" borderId="2" xfId="0" applyFont="1" applyFill="1" applyBorder="1" applyAlignment="1">
      <alignment horizontal="center" vertical="center" wrapText="1"/>
    </xf>
    <xf numFmtId="41" fontId="16" fillId="26" borderId="0" xfId="0" applyNumberFormat="1" applyFont="1" applyFill="1" applyBorder="1" applyAlignment="1">
      <alignment horizontal="center" vertical="center"/>
    </xf>
    <xf numFmtId="41" fontId="5" fillId="0" borderId="0" xfId="0" applyNumberFormat="1" applyFont="1" applyAlignment="1">
      <alignment horizontal="center" vertical="center"/>
    </xf>
    <xf numFmtId="41" fontId="5" fillId="18" borderId="0" xfId="0" applyNumberFormat="1" applyFont="1" applyFill="1" applyBorder="1" applyAlignment="1">
      <alignment horizontal="center" vertical="center"/>
    </xf>
    <xf numFmtId="0" fontId="15" fillId="23" borderId="3" xfId="0" applyFont="1" applyFill="1" applyBorder="1" applyAlignment="1">
      <alignment horizontal="center" vertical="center" wrapText="1"/>
    </xf>
    <xf numFmtId="0" fontId="5" fillId="3" borderId="0" xfId="0" applyFont="1" applyFill="1" applyBorder="1" applyAlignment="1">
      <alignment horizontal="center" vertical="center"/>
    </xf>
    <xf numFmtId="0" fontId="17" fillId="0" borderId="0" xfId="0" applyFont="1" applyAlignment="1">
      <alignment vertical="center"/>
    </xf>
    <xf numFmtId="0" fontId="3" fillId="19" borderId="0" xfId="0" applyFont="1" applyFill="1" applyBorder="1" applyAlignment="1">
      <alignment horizontal="center" vertical="center"/>
    </xf>
    <xf numFmtId="41" fontId="5" fillId="19" borderId="0" xfId="0" applyNumberFormat="1" applyFont="1" applyFill="1" applyBorder="1" applyAlignment="1">
      <alignment horizontal="center" vertical="center"/>
    </xf>
    <xf numFmtId="179" fontId="5" fillId="0" borderId="0" xfId="0" applyNumberFormat="1" applyFont="1" applyAlignment="1">
      <alignment horizontal="center" vertical="center"/>
    </xf>
    <xf numFmtId="0" fontId="16" fillId="27" borderId="0" xfId="0" applyFont="1" applyFill="1" applyBorder="1" applyAlignment="1">
      <alignment horizontal="center" vertical="center"/>
    </xf>
    <xf numFmtId="0" fontId="16" fillId="28" borderId="0" xfId="0" applyFont="1" applyFill="1" applyBorder="1" applyAlignment="1">
      <alignment horizontal="center" vertical="center"/>
    </xf>
    <xf numFmtId="179" fontId="16" fillId="27" borderId="0" xfId="0" applyNumberFormat="1" applyFont="1" applyFill="1" applyBorder="1" applyAlignment="1">
      <alignment horizontal="center" vertical="center"/>
    </xf>
    <xf numFmtId="0" fontId="5" fillId="27" borderId="0" xfId="0" applyFont="1" applyFill="1" applyBorder="1" applyAlignment="1">
      <alignment horizontal="center" vertical="center"/>
    </xf>
    <xf numFmtId="179" fontId="5" fillId="27" borderId="0" xfId="0" applyNumberFormat="1" applyFont="1" applyFill="1" applyBorder="1" applyAlignment="1">
      <alignment horizontal="center" vertical="center"/>
    </xf>
    <xf numFmtId="0" fontId="5" fillId="29" borderId="0" xfId="0" applyFont="1" applyFill="1" applyBorder="1" applyAlignment="1">
      <alignment horizontal="center" vertical="center"/>
    </xf>
    <xf numFmtId="179" fontId="5" fillId="29" borderId="0" xfId="0" applyNumberFormat="1" applyFont="1" applyFill="1" applyBorder="1" applyAlignment="1">
      <alignment horizontal="center" vertical="center"/>
    </xf>
    <xf numFmtId="43" fontId="16" fillId="28" borderId="0" xfId="0" applyNumberFormat="1" applyFont="1" applyFill="1" applyBorder="1" applyAlignment="1">
      <alignment horizontal="center" vertical="center"/>
    </xf>
    <xf numFmtId="43" fontId="5" fillId="0" borderId="0" xfId="0" applyNumberFormat="1" applyFont="1" applyAlignment="1">
      <alignment horizontal="center" vertical="center"/>
    </xf>
    <xf numFmtId="0" fontId="5" fillId="30" borderId="0" xfId="0" applyFont="1" applyFill="1" applyBorder="1" applyAlignment="1">
      <alignment horizontal="center" vertical="center"/>
    </xf>
    <xf numFmtId="43" fontId="5" fillId="19" borderId="0" xfId="0" applyNumberFormat="1" applyFont="1" applyFill="1" applyBorder="1" applyAlignment="1">
      <alignment horizontal="center" vertical="center"/>
    </xf>
    <xf numFmtId="43" fontId="5" fillId="30" borderId="0" xfId="0" applyNumberFormat="1" applyFont="1" applyFill="1" applyBorder="1" applyAlignment="1">
      <alignment horizontal="center" vertical="center"/>
    </xf>
    <xf numFmtId="43" fontId="5" fillId="18" borderId="0" xfId="0" applyNumberFormat="1" applyFont="1" applyFill="1" applyBorder="1" applyAlignment="1">
      <alignment horizontal="center" vertical="center"/>
    </xf>
    <xf numFmtId="179" fontId="5" fillId="18" borderId="0" xfId="0" applyNumberFormat="1" applyFont="1" applyFill="1" applyBorder="1" applyAlignment="1">
      <alignment horizontal="center" vertical="center"/>
    </xf>
    <xf numFmtId="0" fontId="18" fillId="21" borderId="0" xfId="0" applyFont="1" applyFill="1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19" fillId="0" borderId="0" xfId="0" applyFont="1" applyAlignment="1">
      <alignment horizontal="center"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  <xf numFmtId="0" fontId="1" fillId="11" borderId="0" xfId="0" applyFont="1" applyFill="1" applyBorder="1" applyAlignment="1">
      <alignment horizontal="left" vertical="center"/>
    </xf>
    <xf numFmtId="0" fontId="20" fillId="0" borderId="0" xfId="0" applyFont="1" applyBorder="1" applyAlignment="1">
      <alignment vertical="center"/>
    </xf>
    <xf numFmtId="0" fontId="19" fillId="0" borderId="0" xfId="0" applyFont="1" applyAlignment="1">
      <alignment horizontal="left" vertical="center" wrapText="1"/>
    </xf>
    <xf numFmtId="14" fontId="21" fillId="3" borderId="0" xfId="0" applyNumberFormat="1" applyFont="1" applyFill="1" applyBorder="1" applyAlignment="1">
      <alignment vertical="center"/>
    </xf>
    <xf numFmtId="0" fontId="22" fillId="0" borderId="0" xfId="0" applyFont="1" applyAlignment="1">
      <alignment horizontal="center" vertical="center"/>
    </xf>
    <xf numFmtId="176" fontId="19" fillId="0" borderId="0" xfId="0" applyNumberFormat="1" applyFont="1" applyAlignment="1">
      <alignment horizontal="center" vertical="center"/>
    </xf>
    <xf numFmtId="178" fontId="19" fillId="0" borderId="0" xfId="0" applyNumberFormat="1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176" fontId="23" fillId="0" borderId="0" xfId="0" applyNumberFormat="1" applyFont="1" applyAlignment="1">
      <alignment horizontal="center" vertical="center"/>
    </xf>
    <xf numFmtId="178" fontId="23" fillId="0" borderId="0" xfId="0" applyNumberFormat="1" applyFont="1" applyAlignment="1">
      <alignment horizontal="center" vertical="center"/>
    </xf>
    <xf numFmtId="0" fontId="24" fillId="0" borderId="0" xfId="0" applyFont="1" applyAlignment="1">
      <alignment vertical="center"/>
    </xf>
    <xf numFmtId="0" fontId="24" fillId="3" borderId="0" xfId="0" applyFont="1" applyFill="1" applyBorder="1" applyAlignment="1">
      <alignment horizontal="right" vertical="center"/>
    </xf>
    <xf numFmtId="0" fontId="24" fillId="3" borderId="0" xfId="0" applyFont="1" applyFill="1" applyBorder="1" applyAlignment="1">
      <alignment horizontal="center" vertical="center"/>
    </xf>
    <xf numFmtId="178" fontId="24" fillId="3" borderId="0" xfId="0" applyNumberFormat="1" applyFont="1" applyFill="1" applyBorder="1" applyAlignment="1">
      <alignment vertical="center"/>
    </xf>
    <xf numFmtId="10" fontId="24" fillId="3" borderId="0" xfId="0" applyNumberFormat="1" applyFont="1" applyFill="1" applyBorder="1" applyAlignment="1">
      <alignment horizontal="center" vertical="center"/>
    </xf>
    <xf numFmtId="179" fontId="19" fillId="0" borderId="0" xfId="0" applyNumberFormat="1" applyFont="1" applyAlignment="1">
      <alignment horizontal="center" vertical="center"/>
    </xf>
    <xf numFmtId="179" fontId="23" fillId="0" borderId="0" xfId="0" applyNumberFormat="1" applyFont="1" applyAlignment="1">
      <alignment horizontal="center" vertical="center"/>
    </xf>
    <xf numFmtId="0" fontId="25" fillId="0" borderId="0" xfId="0" applyFont="1" applyAlignment="1">
      <alignment vertical="center"/>
    </xf>
    <xf numFmtId="0" fontId="24" fillId="0" borderId="0" xfId="0" applyFont="1" applyAlignment="1">
      <alignment horizontal="center" vertical="center"/>
    </xf>
    <xf numFmtId="180" fontId="24" fillId="0" borderId="0" xfId="0" applyNumberFormat="1" applyFont="1" applyAlignment="1">
      <alignment horizontal="center" vertical="center"/>
    </xf>
    <xf numFmtId="178" fontId="24" fillId="0" borderId="0" xfId="0" applyNumberFormat="1" applyFont="1" applyAlignment="1">
      <alignment horizontal="center" vertical="center"/>
    </xf>
    <xf numFmtId="0" fontId="26" fillId="0" borderId="15" xfId="0" applyFont="1" applyBorder="1" applyAlignment="1">
      <alignment horizontal="center" vertical="center"/>
    </xf>
    <xf numFmtId="0" fontId="21" fillId="19" borderId="16" xfId="0" applyFont="1" applyFill="1" applyBorder="1" applyAlignment="1">
      <alignment horizontal="center" vertical="center"/>
    </xf>
    <xf numFmtId="0" fontId="21" fillId="19" borderId="17" xfId="0" applyFont="1" applyFill="1" applyBorder="1" applyAlignment="1">
      <alignment horizontal="center" vertical="center"/>
    </xf>
    <xf numFmtId="176" fontId="21" fillId="19" borderId="17" xfId="0" applyNumberFormat="1" applyFont="1" applyFill="1" applyBorder="1" applyAlignment="1">
      <alignment horizontal="center" vertical="center"/>
    </xf>
    <xf numFmtId="0" fontId="21" fillId="19" borderId="18" xfId="0" applyFont="1" applyFill="1" applyBorder="1" applyAlignment="1">
      <alignment horizontal="center" vertical="center"/>
    </xf>
    <xf numFmtId="0" fontId="21" fillId="0" borderId="19" xfId="0" applyFont="1" applyBorder="1" applyAlignment="1">
      <alignment horizontal="center" vertical="center"/>
    </xf>
    <xf numFmtId="176" fontId="21" fillId="0" borderId="19" xfId="0" applyNumberFormat="1" applyFont="1" applyBorder="1" applyAlignment="1">
      <alignment horizontal="center" vertical="center"/>
    </xf>
    <xf numFmtId="0" fontId="21" fillId="19" borderId="19" xfId="0" applyFont="1" applyFill="1" applyBorder="1" applyAlignment="1">
      <alignment horizontal="center" vertical="center"/>
    </xf>
    <xf numFmtId="176" fontId="21" fillId="18" borderId="19" xfId="0" applyNumberFormat="1" applyFont="1" applyFill="1" applyBorder="1" applyAlignment="1">
      <alignment horizontal="center" vertical="center"/>
    </xf>
    <xf numFmtId="0" fontId="21" fillId="19" borderId="20" xfId="0" applyFont="1" applyFill="1" applyBorder="1" applyAlignment="1">
      <alignment horizontal="center" vertical="center"/>
    </xf>
    <xf numFmtId="176" fontId="21" fillId="19" borderId="19" xfId="0" applyNumberFormat="1" applyFont="1" applyFill="1" applyBorder="1" applyAlignment="1">
      <alignment horizontal="center" vertical="center"/>
    </xf>
    <xf numFmtId="0" fontId="21" fillId="19" borderId="21" xfId="0" applyFont="1" applyFill="1" applyBorder="1" applyAlignment="1">
      <alignment horizontal="center" vertical="center"/>
    </xf>
    <xf numFmtId="176" fontId="21" fillId="0" borderId="19" xfId="0" applyNumberFormat="1" applyFont="1" applyBorder="1" applyAlignment="1">
      <alignment horizontal="center" vertical="center" wrapText="1"/>
    </xf>
    <xf numFmtId="10" fontId="21" fillId="0" borderId="19" xfId="0" applyNumberFormat="1" applyFont="1" applyBorder="1" applyAlignment="1">
      <alignment horizontal="center" vertical="center"/>
    </xf>
    <xf numFmtId="178" fontId="21" fillId="0" borderId="19" xfId="0" applyNumberFormat="1" applyFont="1" applyBorder="1" applyAlignment="1">
      <alignment horizontal="center" vertical="center"/>
    </xf>
    <xf numFmtId="178" fontId="21" fillId="18" borderId="19" xfId="0" applyNumberFormat="1" applyFont="1" applyFill="1" applyBorder="1" applyAlignment="1">
      <alignment horizontal="center" vertical="center"/>
    </xf>
    <xf numFmtId="178" fontId="21" fillId="0" borderId="0" xfId="0" applyNumberFormat="1" applyFont="1" applyAlignment="1">
      <alignment horizontal="center" vertical="center"/>
    </xf>
    <xf numFmtId="178" fontId="21" fillId="19" borderId="17" xfId="0" applyNumberFormat="1" applyFont="1" applyFill="1" applyBorder="1" applyAlignment="1">
      <alignment horizontal="center" vertical="center"/>
    </xf>
    <xf numFmtId="178" fontId="21" fillId="19" borderId="19" xfId="0" applyNumberFormat="1" applyFont="1" applyFill="1" applyBorder="1" applyAlignment="1">
      <alignment horizontal="center" vertical="center"/>
    </xf>
    <xf numFmtId="178" fontId="21" fillId="0" borderId="19" xfId="0" applyNumberFormat="1" applyFont="1" applyBorder="1" applyAlignment="1">
      <alignment horizontal="center" vertical="center" wrapText="1"/>
    </xf>
    <xf numFmtId="0" fontId="27" fillId="0" borderId="15" xfId="0" applyFont="1" applyBorder="1" applyAlignment="1">
      <alignment horizontal="center" vertical="center"/>
    </xf>
    <xf numFmtId="0" fontId="21" fillId="19" borderId="22" xfId="0" applyFont="1" applyFill="1" applyBorder="1" applyAlignment="1">
      <alignment horizontal="center" vertical="center"/>
    </xf>
    <xf numFmtId="0" fontId="5" fillId="19" borderId="17" xfId="0" applyFont="1" applyFill="1" applyBorder="1" applyAlignment="1">
      <alignment horizontal="center" vertical="center"/>
    </xf>
    <xf numFmtId="180" fontId="5" fillId="19" borderId="17" xfId="0" applyNumberFormat="1" applyFont="1" applyFill="1" applyBorder="1" applyAlignment="1">
      <alignment horizontal="center" vertical="center"/>
    </xf>
    <xf numFmtId="0" fontId="21" fillId="19" borderId="23" xfId="0" applyFont="1" applyFill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180" fontId="5" fillId="0" borderId="19" xfId="0" applyNumberFormat="1" applyFont="1" applyBorder="1" applyAlignment="1">
      <alignment horizontal="center" vertical="center"/>
    </xf>
    <xf numFmtId="0" fontId="5" fillId="19" borderId="19" xfId="0" applyFont="1" applyFill="1" applyBorder="1" applyAlignment="1">
      <alignment horizontal="center" vertical="center"/>
    </xf>
    <xf numFmtId="180" fontId="24" fillId="19" borderId="17" xfId="0" applyNumberFormat="1" applyFont="1" applyFill="1" applyBorder="1" applyAlignment="1">
      <alignment horizontal="center" vertical="center" wrapText="1"/>
    </xf>
    <xf numFmtId="0" fontId="21" fillId="19" borderId="24" xfId="0" applyFont="1" applyFill="1" applyBorder="1" applyAlignment="1">
      <alignment horizontal="center" vertical="center"/>
    </xf>
    <xf numFmtId="180" fontId="24" fillId="19" borderId="17" xfId="0" applyNumberFormat="1" applyFont="1" applyFill="1" applyBorder="1" applyAlignment="1">
      <alignment horizontal="center" vertical="center"/>
    </xf>
    <xf numFmtId="180" fontId="24" fillId="0" borderId="19" xfId="0" applyNumberFormat="1" applyFont="1" applyBorder="1" applyAlignment="1">
      <alignment horizontal="center" vertical="center"/>
    </xf>
    <xf numFmtId="0" fontId="11" fillId="0" borderId="0" xfId="0" applyFont="1" applyAlignment="1">
      <alignment vertical="center" wrapText="1"/>
    </xf>
    <xf numFmtId="176" fontId="11" fillId="0" borderId="0" xfId="0" applyNumberFormat="1" applyFont="1" applyAlignment="1">
      <alignment vertical="center"/>
    </xf>
    <xf numFmtId="180" fontId="21" fillId="19" borderId="17" xfId="0" applyNumberFormat="1" applyFont="1" applyFill="1" applyBorder="1" applyAlignment="1">
      <alignment horizontal="center" vertical="center"/>
    </xf>
    <xf numFmtId="0" fontId="28" fillId="11" borderId="0" xfId="0" applyFont="1" applyFill="1" applyBorder="1" applyAlignment="1">
      <alignment horizontal="left" vertical="center"/>
    </xf>
    <xf numFmtId="0" fontId="29" fillId="19" borderId="19" xfId="0" applyFont="1" applyFill="1" applyBorder="1" applyAlignment="1">
      <alignment horizontal="center" vertical="center"/>
    </xf>
    <xf numFmtId="10" fontId="21" fillId="19" borderId="17" xfId="0" applyNumberFormat="1" applyFont="1" applyFill="1" applyBorder="1" applyAlignment="1">
      <alignment horizontal="center" vertical="center"/>
    </xf>
    <xf numFmtId="178" fontId="21" fillId="19" borderId="17" xfId="0" applyNumberFormat="1" applyFont="1" applyFill="1" applyBorder="1" applyAlignment="1">
      <alignment horizontal="center" vertical="center" wrapText="1"/>
    </xf>
    <xf numFmtId="10" fontId="21" fillId="19" borderId="17" xfId="0" applyNumberFormat="1" applyFont="1" applyFill="1" applyBorder="1" applyAlignment="1">
      <alignment horizontal="center" vertical="center" wrapText="1"/>
    </xf>
    <xf numFmtId="0" fontId="30" fillId="19" borderId="19" xfId="0" applyFont="1" applyFill="1" applyBorder="1" applyAlignment="1">
      <alignment horizontal="center" vertical="center"/>
    </xf>
    <xf numFmtId="181" fontId="21" fillId="19" borderId="17" xfId="0" applyNumberFormat="1" applyFont="1" applyFill="1" applyBorder="1" applyAlignment="1">
      <alignment horizontal="center" vertical="center"/>
    </xf>
    <xf numFmtId="10" fontId="11" fillId="0" borderId="0" xfId="0" applyNumberFormat="1" applyFont="1" applyAlignment="1">
      <alignment vertical="center"/>
    </xf>
    <xf numFmtId="176" fontId="5" fillId="26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Alignment="1">
      <alignment horizontal="center" vertical="center"/>
    </xf>
    <xf numFmtId="176" fontId="5" fillId="18" borderId="0" xfId="0" applyNumberFormat="1" applyFont="1" applyFill="1" applyBorder="1" applyAlignment="1">
      <alignment horizontal="center" vertical="center"/>
    </xf>
    <xf numFmtId="176" fontId="11" fillId="0" borderId="0" xfId="0" applyNumberFormat="1" applyFont="1" applyAlignment="1">
      <alignment horizontal="center" vertical="center"/>
    </xf>
    <xf numFmtId="176" fontId="11" fillId="18" borderId="0" xfId="0" applyNumberFormat="1" applyFont="1" applyFill="1" applyBorder="1" applyAlignment="1">
      <alignment horizontal="center" vertical="center"/>
    </xf>
    <xf numFmtId="14" fontId="21" fillId="0" borderId="0" xfId="0" applyNumberFormat="1" applyFont="1" applyAlignment="1">
      <alignment vertical="center"/>
    </xf>
    <xf numFmtId="176" fontId="5" fillId="19" borderId="0" xfId="0" applyNumberFormat="1" applyFont="1" applyFill="1" applyBorder="1" applyAlignment="1">
      <alignment horizontal="center" vertical="center"/>
    </xf>
    <xf numFmtId="0" fontId="16" fillId="3" borderId="0" xfId="0" applyFont="1" applyFill="1" applyBorder="1" applyAlignment="1">
      <alignment horizontal="center" vertical="center"/>
    </xf>
    <xf numFmtId="176" fontId="11" fillId="19" borderId="0" xfId="0" applyNumberFormat="1" applyFont="1" applyFill="1" applyBorder="1" applyAlignment="1">
      <alignment horizontal="center" vertical="center"/>
    </xf>
    <xf numFmtId="0" fontId="15" fillId="31" borderId="0" xfId="0" applyFont="1" applyFill="1" applyBorder="1" applyAlignment="1">
      <alignment horizontal="center" vertical="center"/>
    </xf>
    <xf numFmtId="0" fontId="31" fillId="32" borderId="0" xfId="0" applyFont="1" applyFill="1" applyBorder="1" applyAlignment="1">
      <alignment horizontal="center" vertical="center"/>
    </xf>
    <xf numFmtId="178" fontId="16" fillId="28" borderId="0" xfId="0" applyNumberFormat="1" applyFont="1" applyFill="1" applyBorder="1" applyAlignment="1">
      <alignment horizontal="center" vertical="center"/>
    </xf>
    <xf numFmtId="178" fontId="15" fillId="31" borderId="0" xfId="0" applyNumberFormat="1" applyFont="1" applyFill="1" applyBorder="1" applyAlignment="1">
      <alignment horizontal="center" vertical="center"/>
    </xf>
    <xf numFmtId="178" fontId="11" fillId="0" borderId="0" xfId="0" applyNumberFormat="1" applyFont="1" applyAlignment="1">
      <alignment horizontal="center" vertical="center"/>
    </xf>
    <xf numFmtId="0" fontId="15" fillId="33" borderId="0" xfId="0" applyFont="1" applyFill="1" applyBorder="1" applyAlignment="1">
      <alignment horizontal="center" vertical="center"/>
    </xf>
    <xf numFmtId="178" fontId="5" fillId="19" borderId="0" xfId="0" applyNumberFormat="1" applyFont="1" applyFill="1" applyBorder="1" applyAlignment="1">
      <alignment horizontal="center" vertical="center"/>
    </xf>
    <xf numFmtId="0" fontId="31" fillId="33" borderId="0" xfId="0" applyFont="1" applyFill="1" applyBorder="1" applyAlignment="1">
      <alignment horizontal="center" vertical="center"/>
    </xf>
    <xf numFmtId="178" fontId="5" fillId="33" borderId="0" xfId="0" applyNumberFormat="1" applyFont="1" applyFill="1" applyBorder="1" applyAlignment="1">
      <alignment horizontal="center" vertical="center"/>
    </xf>
    <xf numFmtId="178" fontId="31" fillId="33" borderId="0" xfId="0" applyNumberFormat="1" applyFont="1" applyFill="1" applyBorder="1" applyAlignment="1">
      <alignment horizontal="center" vertical="center"/>
    </xf>
    <xf numFmtId="178" fontId="5" fillId="30" borderId="0" xfId="0" applyNumberFormat="1" applyFont="1" applyFill="1" applyBorder="1" applyAlignment="1">
      <alignment horizontal="center" vertical="center"/>
    </xf>
    <xf numFmtId="178" fontId="11" fillId="19" borderId="0" xfId="0" applyNumberFormat="1" applyFont="1" applyFill="1" applyBorder="1" applyAlignment="1">
      <alignment horizontal="center" vertical="center"/>
    </xf>
    <xf numFmtId="178" fontId="11" fillId="33" borderId="0" xfId="0" applyNumberFormat="1" applyFont="1" applyFill="1" applyBorder="1" applyAlignment="1">
      <alignment horizontal="center" vertical="center"/>
    </xf>
    <xf numFmtId="178" fontId="11" fillId="30" borderId="0" xfId="0" applyNumberFormat="1" applyFont="1" applyFill="1" applyBorder="1" applyAlignment="1">
      <alignment horizontal="center" vertical="center"/>
    </xf>
    <xf numFmtId="182" fontId="5" fillId="19" borderId="0" xfId="0" applyNumberFormat="1" applyFont="1" applyFill="1" applyBorder="1" applyAlignment="1">
      <alignment horizontal="center" vertical="center"/>
    </xf>
    <xf numFmtId="178" fontId="11" fillId="0" borderId="0" xfId="0" applyNumberFormat="1" applyFont="1" applyAlignment="1">
      <alignment vertical="center"/>
    </xf>
    <xf numFmtId="181" fontId="5" fillId="19" borderId="0" xfId="0" applyNumberFormat="1" applyFont="1" applyFill="1" applyBorder="1" applyAlignment="1">
      <alignment horizontal="center" vertical="center"/>
    </xf>
    <xf numFmtId="178" fontId="32" fillId="19" borderId="0" xfId="0" applyNumberFormat="1" applyFont="1" applyFill="1" applyBorder="1" applyAlignment="1">
      <alignment horizontal="center" vertical="center"/>
    </xf>
    <xf numFmtId="178" fontId="3" fillId="19" borderId="0" xfId="0" applyNumberFormat="1" applyFont="1" applyFill="1" applyBorder="1" applyAlignment="1">
      <alignment horizontal="center" vertical="center"/>
    </xf>
    <xf numFmtId="183" fontId="0" fillId="0" borderId="0" xfId="0" applyNumberFormat="1" applyAlignment="1">
      <alignment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right" vertical="center"/>
    </xf>
    <xf numFmtId="0" fontId="24" fillId="0" borderId="0" xfId="0" applyFont="1" applyAlignment="1">
      <alignment horizontal="right" vertical="center"/>
    </xf>
    <xf numFmtId="14" fontId="3" fillId="3" borderId="0" xfId="0" applyNumberFormat="1" applyFont="1" applyFill="1" applyBorder="1" applyAlignment="1">
      <alignment vertical="center" shrinkToFit="1"/>
    </xf>
    <xf numFmtId="0" fontId="33" fillId="3" borderId="0" xfId="0" applyFont="1" applyFill="1" applyBorder="1" applyAlignment="1">
      <alignment vertical="center"/>
    </xf>
    <xf numFmtId="14" fontId="8" fillId="4" borderId="0" xfId="0" applyNumberFormat="1" applyFont="1" applyFill="1" applyBorder="1" applyAlignment="1">
      <alignment vertical="center" shrinkToFit="1"/>
    </xf>
    <xf numFmtId="10" fontId="34" fillId="0" borderId="0" xfId="0" applyNumberFormat="1" applyFont="1" applyAlignment="1">
      <alignment horizontal="center" vertical="center"/>
    </xf>
    <xf numFmtId="0" fontId="35" fillId="0" borderId="0" xfId="0" applyFont="1" applyAlignment="1">
      <alignment horizontal="center" vertical="center"/>
    </xf>
    <xf numFmtId="14" fontId="3" fillId="0" borderId="0" xfId="0" applyNumberFormat="1" applyFont="1" applyAlignment="1">
      <alignment vertical="center" shrinkToFit="1"/>
    </xf>
    <xf numFmtId="176" fontId="36" fillId="7" borderId="0" xfId="0" applyNumberFormat="1" applyFont="1" applyFill="1" applyBorder="1" applyAlignment="1">
      <alignment horizontal="center" vertical="center"/>
    </xf>
    <xf numFmtId="14" fontId="8" fillId="0" borderId="25" xfId="0" applyNumberFormat="1" applyFont="1" applyBorder="1" applyAlignment="1">
      <alignment vertical="center" shrinkToFit="1"/>
    </xf>
    <xf numFmtId="14" fontId="8" fillId="4" borderId="25" xfId="0" applyNumberFormat="1" applyFont="1" applyFill="1" applyBorder="1" applyAlignment="1">
      <alignment vertical="center" shrinkToFit="1"/>
    </xf>
    <xf numFmtId="14" fontId="8" fillId="0" borderId="25" xfId="0" applyNumberFormat="1" applyFont="1" applyBorder="1" applyAlignment="1">
      <alignment horizontal="center" vertical="center" shrinkToFit="1"/>
    </xf>
    <xf numFmtId="14" fontId="8" fillId="12" borderId="25" xfId="0" applyNumberFormat="1" applyFont="1" applyFill="1" applyBorder="1" applyAlignment="1">
      <alignment horizontal="center" vertical="center" shrinkToFit="1"/>
    </xf>
    <xf numFmtId="0" fontId="0" fillId="0" borderId="0" xfId="0" applyFont="1" applyAlignment="1">
      <alignment vertical="center"/>
    </xf>
    <xf numFmtId="4" fontId="5" fillId="7" borderId="0" xfId="0" applyNumberFormat="1" applyFont="1" applyFill="1" applyBorder="1" applyAlignment="1">
      <alignment horizontal="center" vertical="center"/>
    </xf>
    <xf numFmtId="182" fontId="5" fillId="0" borderId="0" xfId="0" applyNumberFormat="1" applyFont="1" applyAlignment="1">
      <alignment horizontal="center" vertical="center"/>
    </xf>
    <xf numFmtId="182" fontId="5" fillId="7" borderId="0" xfId="0" applyNumberFormat="1" applyFont="1" applyFill="1" applyBorder="1" applyAlignment="1">
      <alignment horizontal="center" vertical="center"/>
    </xf>
    <xf numFmtId="178" fontId="3" fillId="12" borderId="25" xfId="0" applyNumberFormat="1" applyFont="1" applyFill="1" applyBorder="1" applyAlignment="1">
      <alignment horizontal="center" vertical="center"/>
    </xf>
    <xf numFmtId="178" fontId="8" fillId="0" borderId="25" xfId="0" applyNumberFormat="1" applyFont="1" applyBorder="1" applyAlignment="1">
      <alignment horizontal="center" vertical="center"/>
    </xf>
    <xf numFmtId="0" fontId="3" fillId="11" borderId="0" xfId="0" applyFont="1" applyFill="1" applyBorder="1" applyAlignment="1">
      <alignment horizontal="center" vertical="center"/>
    </xf>
    <xf numFmtId="178" fontId="8" fillId="12" borderId="25" xfId="0" applyNumberFormat="1" applyFont="1" applyFill="1" applyBorder="1" applyAlignment="1">
      <alignment horizontal="center" vertical="center"/>
    </xf>
    <xf numFmtId="0" fontId="8" fillId="34" borderId="25" xfId="0" applyFont="1" applyFill="1" applyBorder="1" applyAlignment="1">
      <alignment horizontal="center" vertical="center"/>
    </xf>
    <xf numFmtId="178" fontId="8" fillId="34" borderId="25" xfId="0" applyNumberFormat="1" applyFont="1" applyFill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12" borderId="25" xfId="0" applyFont="1" applyFill="1" applyBorder="1" applyAlignment="1">
      <alignment horizontal="center" vertical="center"/>
    </xf>
    <xf numFmtId="178" fontId="8" fillId="8" borderId="25" xfId="0" applyNumberFormat="1" applyFont="1" applyFill="1" applyBorder="1" applyAlignment="1">
      <alignment horizontal="center" vertical="center"/>
    </xf>
    <xf numFmtId="178" fontId="37" fillId="0" borderId="0" xfId="0" applyNumberFormat="1" applyFont="1" applyAlignment="1">
      <alignment horizontal="center" vertical="center"/>
    </xf>
    <xf numFmtId="178" fontId="37" fillId="7" borderId="0" xfId="0" applyNumberFormat="1" applyFont="1" applyFill="1" applyBorder="1" applyAlignment="1">
      <alignment horizontal="center" vertical="center"/>
    </xf>
    <xf numFmtId="14" fontId="5" fillId="0" borderId="0" xfId="0" applyNumberFormat="1" applyFont="1" applyAlignment="1">
      <alignment vertical="center"/>
    </xf>
    <xf numFmtId="0" fontId="38" fillId="0" borderId="0" xfId="0" applyFont="1" applyAlignment="1">
      <alignment horizontal="center" vertical="center"/>
    </xf>
    <xf numFmtId="184" fontId="0" fillId="0" borderId="0" xfId="0" applyNumberForma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348"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color rgb="FF9C0006"/>
      </font>
      <fill>
        <patternFill patternType="none"/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1"/>
          <bgColor theme="1"/>
        </patternFill>
      </fill>
    </dxf>
  </dxfs>
  <tableStyles count="13">
    <tableStyle name="2025数据-style" pivot="0" count="3" xr9:uid="{977B89C1-3745-2588-EE0D-5269BF69B5B3}">
      <tableStyleElement type="headerRow" dxfId="311"/>
      <tableStyleElement type="firstRowStripe" dxfId="310"/>
      <tableStyleElement type="secondRowStripe" dxfId="309"/>
    </tableStyle>
    <tableStyle name="2025整理-style" pivot="0" count="3" xr9:uid="{CA38FA6B-7921-AF81-EE0D-52690DE38109}">
      <tableStyleElement type="headerRow" dxfId="314"/>
      <tableStyleElement type="firstRowStripe" dxfId="313"/>
      <tableStyleElement type="secondRowStripe" dxfId="312"/>
    </tableStyle>
    <tableStyle name="分析-style" pivot="0" count="3" xr9:uid="{0DCE6C74-2D66-F101-EE0D-52698AC43432}">
      <tableStyleElement type="headerRow" dxfId="317"/>
      <tableStyleElement type="firstRowStripe" dxfId="316"/>
      <tableStyleElement type="secondRowStripe" dxfId="315"/>
    </tableStyle>
    <tableStyle name="分析-style 2" pivot="0" count="3" xr9:uid="{77AC6DB5-D7D9-20C4-EE0D-52697966F7B8}">
      <tableStyleElement type="headerRow" dxfId="320"/>
      <tableStyleElement type="firstRowStripe" dxfId="319"/>
      <tableStyleElement type="secondRowStripe" dxfId="318"/>
    </tableStyle>
    <tableStyle name="分析-style 3" pivot="0" count="3" xr9:uid="{228BFB19-9341-0C6C-EE0D-5269846FF2BE}">
      <tableStyleElement type="headerRow" dxfId="323"/>
      <tableStyleElement type="firstRowStripe" dxfId="322"/>
      <tableStyleElement type="secondRowStripe" dxfId="321"/>
    </tableStyle>
    <tableStyle name="分析-style 4" pivot="0" count="3" xr9:uid="{F91CDFAD-855D-6FE0-EE0D-52694D9A0409}">
      <tableStyleElement type="headerRow" dxfId="326"/>
      <tableStyleElement type="firstRowStripe" dxfId="325"/>
      <tableStyleElement type="secondRowStripe" dxfId="324"/>
    </tableStyle>
    <tableStyle name="分析-style 5" pivot="0" count="3" xr9:uid="{1F5701C6-34B1-41E0-EE0D-5269C00F9744}">
      <tableStyleElement type="headerRow" dxfId="329"/>
      <tableStyleElement type="firstRowStripe" dxfId="328"/>
      <tableStyleElement type="secondRowStripe" dxfId="327"/>
    </tableStyle>
    <tableStyle name="分析-style 6" pivot="0" count="3" xr9:uid="{6BCB5EB7-EC9F-8F8B-EE0D-526967D787D9}">
      <tableStyleElement type="headerRow" dxfId="332"/>
      <tableStyleElement type="firstRowStripe" dxfId="331"/>
      <tableStyleElement type="secondRowStripe" dxfId="330"/>
    </tableStyle>
    <tableStyle name="分析-style 7" pivot="0" count="3" xr9:uid="{C1550433-4C6E-DCAE-EE0D-52693C24708E}">
      <tableStyleElement type="headerRow" dxfId="335"/>
      <tableStyleElement type="firstRowStripe" dxfId="334"/>
      <tableStyleElement type="secondRowStripe" dxfId="333"/>
    </tableStyle>
    <tableStyle name="BI-style" pivot="0" count="3" xr9:uid="{6E285521-EA66-20F9-EE0D-5269541AB709}">
      <tableStyleElement type="headerRow" dxfId="338"/>
      <tableStyleElement type="firstRowStripe" dxfId="337"/>
      <tableStyleElement type="secondRowStripe" dxfId="336"/>
    </tableStyle>
    <tableStyle name="2024整理-style" pivot="0" count="3" xr9:uid="{31BCF16B-B81E-575D-EE0D-5269896A86C0}">
      <tableStyleElement type="headerRow" dxfId="341"/>
      <tableStyleElement type="firstRowStripe" dxfId="340"/>
      <tableStyleElement type="secondRowStripe" dxfId="339"/>
    </tableStyle>
    <tableStyle name="2024数据-style" pivot="0" count="3" xr9:uid="{8EB8AD3A-EA3E-5049-EE0D-526924AB5461}">
      <tableStyleElement type="headerRow" dxfId="344"/>
      <tableStyleElement type="firstRowStripe" dxfId="343"/>
      <tableStyleElement type="secondRowStripe" dxfId="342"/>
    </tableStyle>
    <tableStyle name="2024数据-style 2" pivot="0" count="3" xr9:uid="{DED65879-089A-93B1-EE0D-526977F08B5C}">
      <tableStyleElement type="headerRow" dxfId="347"/>
      <tableStyleElement type="firstRowStripe" dxfId="346"/>
      <tableStyleElement type="secondRowStripe" dxfId="345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25186" dbFileVersion="0">
    <open main="2435" threadCnt="1"/>
    <sheetInfos>
      <sheetInfo cellCmpFml="845" sheetStid="1">
        <open main="142" threadCnt="1"/>
      </sheetInfo>
      <sheetInfo cellCmpFml="13219" sheetStid="2">
        <open main="1000" threadCnt="1"/>
      </sheetInfo>
      <sheetInfo cellCmpFml="0" sheetStid="3">
        <open main="73" threadCnt="1"/>
      </sheetInfo>
      <sheetInfo cellCmpFml="1247" sheetStid="4">
        <open main="115" threadCnt="1"/>
      </sheetInfo>
      <sheetInfo cellCmpFml="81" sheetStid="5">
        <open main="5" threadCnt="1"/>
      </sheetInfo>
      <sheetInfo cellCmpFml="0" sheetStid="6">
        <open main="58" threadCnt="1"/>
      </sheetInfo>
      <sheetInfo cellCmpFml="9310" sheetStid="7">
        <open main="538" threadCnt="1"/>
      </sheetInfo>
      <sheetInfo cellCmpFml="484" sheetStid="8">
        <open main="90"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9" Type="http://www.wps.cn/officeDocument/2023/relationships/woinfos" Target="woinfos.xml"/><Relationship Id="rId38" Type="http://schemas.openxmlformats.org/officeDocument/2006/relationships/styles" Target="styles.xml"/><Relationship Id="rId37" Type="http://schemas.openxmlformats.org/officeDocument/2006/relationships/customXml" Target="../customXml/item4.xml"/><Relationship Id="rId36" Type="http://schemas.openxmlformats.org/officeDocument/2006/relationships/customXml" Target="../customXml/item3.xml"/><Relationship Id="rId35" Type="http://schemas.openxmlformats.org/officeDocument/2006/relationships/customXml" Target="../customXml/item2.xml"/><Relationship Id="rId34" Type="http://schemas.openxmlformats.org/officeDocument/2006/relationships/sharedStrings" Target="sharedStrings.xml"/><Relationship Id="rId33" Type="http://schemas.openxmlformats.org/officeDocument/2006/relationships/theme" Target="theme/theme1.xml"/><Relationship Id="rId32" Type="http://schemas.openxmlformats.org/officeDocument/2006/relationships/customXml" Target="../customXml/item1.xml"/><Relationship Id="rId31" Type="http://www.wps.cn/officeDocument/2021/sharedlinks" Target="sharedlinks.xml"/><Relationship Id="rId30" Type="http://schemas.microsoft.com/office/2007/relationships/slicerCache" Target="slicerCaches/slicerCache19.xml"/><Relationship Id="rId3" Type="http://schemas.openxmlformats.org/officeDocument/2006/relationships/worksheet" Target="worksheets/sheet3.xml"/><Relationship Id="rId29" Type="http://schemas.microsoft.com/office/2007/relationships/slicerCache" Target="slicerCaches/slicerCache18.xml"/><Relationship Id="rId28" Type="http://schemas.microsoft.com/office/2007/relationships/slicerCache" Target="slicerCaches/slicerCache17.xml"/><Relationship Id="rId27" Type="http://schemas.microsoft.com/office/2007/relationships/slicerCache" Target="slicerCaches/slicerCache16.xml"/><Relationship Id="rId26" Type="http://schemas.microsoft.com/office/2007/relationships/slicerCache" Target="slicerCaches/slicerCache15.xml"/><Relationship Id="rId25" Type="http://schemas.microsoft.com/office/2007/relationships/slicerCache" Target="slicerCaches/slicerCache14.xml"/><Relationship Id="rId24" Type="http://schemas.microsoft.com/office/2007/relationships/slicerCache" Target="slicerCaches/slicerCache13.xml"/><Relationship Id="rId23" Type="http://schemas.microsoft.com/office/2007/relationships/slicerCache" Target="slicerCaches/slicerCache12.xml"/><Relationship Id="rId22" Type="http://schemas.microsoft.com/office/2007/relationships/slicerCache" Target="slicerCaches/slicerCache11.xml"/><Relationship Id="rId21" Type="http://schemas.microsoft.com/office/2007/relationships/slicerCache" Target="slicerCaches/slicerCache10.xml"/><Relationship Id="rId20" Type="http://schemas.microsoft.com/office/2007/relationships/slicerCache" Target="slicerCaches/slicerCache9.xml"/><Relationship Id="rId2" Type="http://schemas.openxmlformats.org/officeDocument/2006/relationships/worksheet" Target="worksheets/sheet2.xml"/><Relationship Id="rId19" Type="http://schemas.microsoft.com/office/2007/relationships/slicerCache" Target="slicerCaches/slicerCache8.xml"/><Relationship Id="rId18" Type="http://schemas.microsoft.com/office/2007/relationships/slicerCache" Target="slicerCaches/slicerCache7.xml"/><Relationship Id="rId17" Type="http://schemas.microsoft.com/office/2007/relationships/slicerCache" Target="slicerCaches/slicerCache6.xml"/><Relationship Id="rId16" Type="http://schemas.microsoft.com/office/2007/relationships/slicerCache" Target="slicerCaches/slicerCache5.xml"/><Relationship Id="rId15" Type="http://schemas.microsoft.com/office/2007/relationships/slicerCache" Target="slicerCaches/slicerCache4.xml"/><Relationship Id="rId14" Type="http://schemas.microsoft.com/office/2007/relationships/slicerCache" Target="slicerCaches/slicerCache3.xml"/><Relationship Id="rId13" Type="http://schemas.microsoft.com/office/2007/relationships/slicerCache" Target="slicerCaches/slicerCache2.xml"/><Relationship Id="rId12" Type="http://schemas.microsoft.com/office/2007/relationships/slicerCache" Target="slicerCaches/slicerCache1.xml"/><Relationship Id="rId11" Type="http://schemas.openxmlformats.org/officeDocument/2006/relationships/pivotCacheDefinition" Target="pivotCache/pivotCacheDefinition2.xml"/><Relationship Id="rId10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zh-CN" sz="1000" b="0" i="0" u="none" strike="noStrike" kern="1200" baseline="0">
                <a:solidFill>
                  <a:srgbClr val="7F7F7F"/>
                </a:solidFill>
                <a:latin typeface="微软雅黑" panose="020B0503020204020204" charset="-122"/>
                <a:ea typeface="+mn-ea"/>
                <a:cs typeface="+mn-cs"/>
              </a:defRPr>
            </a:pPr>
            <a:r>
              <a:rPr lang="zh-CN" altLang="en-US" sz="1000" b="0" i="0">
                <a:solidFill>
                  <a:srgbClr val="7F7F7F"/>
                </a:solidFill>
                <a:latin typeface="微软雅黑" panose="020B0503020204020204" charset="-122"/>
              </a:rPr>
              <a:t>主网项目完成评审情况</a:t>
            </a:r>
            <a:endParaRPr lang="zh-CN" altLang="en-US" sz="1000" b="0" i="0">
              <a:solidFill>
                <a:srgbClr val="7F7F7F"/>
              </a:solidFill>
              <a:latin typeface="微软雅黑" panose="020B0503020204020204" charset="-122"/>
            </a:endParaRPr>
          </a:p>
        </c:rich>
      </c:tx>
      <c:layout>
        <c:manualLayout>
          <c:xMode val="edge"/>
          <c:yMode val="edge"/>
          <c:x val="0.426145846271861"/>
          <c:y val="0.0322136984880506"/>
        </c:manualLayout>
      </c:layout>
      <c:overlay val="0"/>
    </c:title>
    <c:autoTitleDeleted val="0"/>
    <c:plotArea>
      <c:layout>
        <c:manualLayout>
          <c:xMode val="edge"/>
          <c:yMode val="edge"/>
          <c:x val="0.0229703451628585"/>
          <c:y val="0.0741264391032115"/>
          <c:w val="0.949987846378221"/>
          <c:h val="0.728822460109069"/>
        </c:manualLayout>
      </c:layout>
      <c:lineChart>
        <c:grouping val="standard"/>
        <c:varyColors val="1"/>
        <c:ser>
          <c:idx val="0"/>
          <c:order val="0"/>
          <c:tx>
            <c:strRef>
              <c:f>"可研"</c:f>
              <c:strCache>
                <c:ptCount val="1"/>
                <c:pt idx="0">
                  <c:v>可研</c:v>
                </c:pt>
              </c:strCache>
            </c:strRef>
          </c:tx>
          <c:spPr>
            <a:ln w="19050" cap="rnd" cmpd="sng" algn="ctr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17"/>
            <c:spPr>
              <a:solidFill>
                <a:schemeClr val="accent2"/>
              </a:solidFill>
              <a:ln w="6350" cap="flat" cmpd="sng" algn="ctr">
                <a:solidFill>
                  <a:schemeClr val="accent2"/>
                </a:solidFill>
                <a:prstDash val="solid"/>
                <a:round/>
              </a:ln>
            </c:spPr>
          </c:marker>
          <c:dLbls>
            <c:numFmt formatCode="0&quot;项&quot;" sourceLinked="0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800" b="1" i="0" u="none" strike="noStrike" kern="1200" baseline="0">
                    <a:solidFill>
                      <a:srgbClr val="ED7D31"/>
                    </a:solidFill>
                    <a:latin typeface="微软雅黑" panose="020B0503020204020204" charset="-122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'2025统计'!$A$9:$A$20</c:f>
              <c:strCache>
                <c:ptCount val="12"/>
                <c:pt idx="0">
                  <c:v>2025年1月</c:v>
                </c:pt>
                <c:pt idx="1">
                  <c:v>2025年2月</c:v>
                </c:pt>
                <c:pt idx="2">
                  <c:v>2025年3月</c:v>
                </c:pt>
                <c:pt idx="3">
                  <c:v>2025年4月</c:v>
                </c:pt>
                <c:pt idx="4">
                  <c:v>2025年5月</c:v>
                </c:pt>
                <c:pt idx="5">
                  <c:v>2025年6月</c:v>
                </c:pt>
                <c:pt idx="6">
                  <c:v>2025年7月</c:v>
                </c:pt>
                <c:pt idx="7">
                  <c:v>2025年8月</c:v>
                </c:pt>
                <c:pt idx="8">
                  <c:v>2025年9月</c:v>
                </c:pt>
                <c:pt idx="9">
                  <c:v>2025年10月</c:v>
                </c:pt>
                <c:pt idx="10">
                  <c:v>2025年11月</c:v>
                </c:pt>
                <c:pt idx="11">
                  <c:v>2025年12月</c:v>
                </c:pt>
              </c:strCache>
            </c:strRef>
          </c:cat>
          <c:val>
            <c:numRef>
              <c:f>'2025统计'!$B$9:$B$20</c:f>
              <c:numCache>
                <c:formatCode>General</c:formatCode>
                <c:ptCount val="12"/>
                <c:pt idx="0">
                  <c:v>4</c:v>
                </c:pt>
                <c:pt idx="1">
                  <c:v>6</c:v>
                </c:pt>
                <c:pt idx="2">
                  <c:v>7</c:v>
                </c:pt>
                <c:pt idx="3">
                  <c:v>12</c:v>
                </c:pt>
                <c:pt idx="4">
                  <c:v>17</c:v>
                </c:pt>
                <c:pt idx="5">
                  <c:v>19</c:v>
                </c:pt>
                <c:pt idx="6">
                  <c:v>25</c:v>
                </c:pt>
                <c:pt idx="7">
                  <c:v>29</c:v>
                </c:pt>
                <c:pt idx="8">
                  <c:v>33</c:v>
                </c:pt>
                <c:pt idx="9">
                  <c:v>34</c:v>
                </c:pt>
                <c:pt idx="10">
                  <c:v>40</c:v>
                </c:pt>
                <c:pt idx="11">
                  <c:v>42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"可研调整"</c:f>
              <c:strCache>
                <c:ptCount val="1"/>
                <c:pt idx="0">
                  <c:v>可研调整</c:v>
                </c:pt>
              </c:strCache>
            </c:strRef>
          </c:tx>
          <c:spPr>
            <a:ln w="9525" cap="rnd" cmpd="sng" algn="ctr">
              <a:solidFill>
                <a:schemeClr val="accent2"/>
              </a:solidFill>
              <a:prstDash val="lgDash"/>
              <a:round/>
            </a:ln>
          </c:spPr>
          <c:marker>
            <c:symbol val="circle"/>
            <c:size val="17"/>
            <c:spPr>
              <a:solidFill>
                <a:schemeClr val="accent2"/>
              </a:solidFill>
              <a:ln w="6350" cap="flat" cmpd="sng" algn="ctr">
                <a:solidFill>
                  <a:schemeClr val="accent2"/>
                </a:solidFill>
                <a:prstDash val="solid"/>
                <a:round/>
              </a:ln>
            </c:spPr>
          </c:marker>
          <c:dLbls>
            <c:numFmt formatCode="0&quot;项&quot;" sourceLinked="0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800" b="1" i="0" u="none" strike="noStrike" kern="1200" baseline="0">
                    <a:solidFill>
                      <a:srgbClr val="ED7D31"/>
                    </a:solidFill>
                    <a:latin typeface="微软雅黑" panose="020B0503020204020204" charset="-122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'2025统计'!$A$9:$A$20</c:f>
              <c:strCache>
                <c:ptCount val="12"/>
                <c:pt idx="0">
                  <c:v>2025年1月</c:v>
                </c:pt>
                <c:pt idx="1">
                  <c:v>2025年2月</c:v>
                </c:pt>
                <c:pt idx="2">
                  <c:v>2025年3月</c:v>
                </c:pt>
                <c:pt idx="3">
                  <c:v>2025年4月</c:v>
                </c:pt>
                <c:pt idx="4">
                  <c:v>2025年5月</c:v>
                </c:pt>
                <c:pt idx="5">
                  <c:v>2025年6月</c:v>
                </c:pt>
                <c:pt idx="6">
                  <c:v>2025年7月</c:v>
                </c:pt>
                <c:pt idx="7">
                  <c:v>2025年8月</c:v>
                </c:pt>
                <c:pt idx="8">
                  <c:v>2025年9月</c:v>
                </c:pt>
                <c:pt idx="9">
                  <c:v>2025年10月</c:v>
                </c:pt>
                <c:pt idx="10">
                  <c:v>2025年11月</c:v>
                </c:pt>
                <c:pt idx="11">
                  <c:v>2025年12月</c:v>
                </c:pt>
              </c:strCache>
            </c:strRef>
          </c:cat>
          <c:val>
            <c:numRef>
              <c:f>'2025统计'!$C$9:$C$20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2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"初设"</c:f>
              <c:strCache>
                <c:ptCount val="1"/>
                <c:pt idx="0">
                  <c:v>初设</c:v>
                </c:pt>
              </c:strCache>
            </c:strRef>
          </c:tx>
          <c:spPr>
            <a:ln w="19050" cap="rnd" cmpd="sng" algn="ctr">
              <a:solidFill>
                <a:schemeClr val="accent5"/>
              </a:solidFill>
              <a:prstDash val="solid"/>
              <a:round/>
            </a:ln>
          </c:spPr>
          <c:marker>
            <c:symbol val="circle"/>
            <c:size val="17"/>
            <c:spPr>
              <a:solidFill>
                <a:schemeClr val="accent5"/>
              </a:solidFill>
              <a:ln w="6350" cap="flat" cmpd="sng" algn="ctr">
                <a:solidFill>
                  <a:schemeClr val="accent5"/>
                </a:solidFill>
                <a:prstDash val="solid"/>
                <a:round/>
              </a:ln>
            </c:spPr>
          </c:marker>
          <c:dLbls>
            <c:numFmt formatCode="0&quot;项&quot;" sourceLinked="0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800" b="1" i="0" u="none" strike="noStrike" kern="1200" baseline="0">
                    <a:solidFill>
                      <a:srgbClr val="4472C4"/>
                    </a:solidFill>
                    <a:latin typeface="微软雅黑" panose="020B0503020204020204" charset="-122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'2025统计'!$A$9:$A$20</c:f>
              <c:strCache>
                <c:ptCount val="12"/>
                <c:pt idx="0">
                  <c:v>2025年1月</c:v>
                </c:pt>
                <c:pt idx="1">
                  <c:v>2025年2月</c:v>
                </c:pt>
                <c:pt idx="2">
                  <c:v>2025年3月</c:v>
                </c:pt>
                <c:pt idx="3">
                  <c:v>2025年4月</c:v>
                </c:pt>
                <c:pt idx="4">
                  <c:v>2025年5月</c:v>
                </c:pt>
                <c:pt idx="5">
                  <c:v>2025年6月</c:v>
                </c:pt>
                <c:pt idx="6">
                  <c:v>2025年7月</c:v>
                </c:pt>
                <c:pt idx="7">
                  <c:v>2025年8月</c:v>
                </c:pt>
                <c:pt idx="8">
                  <c:v>2025年9月</c:v>
                </c:pt>
                <c:pt idx="9">
                  <c:v>2025年10月</c:v>
                </c:pt>
                <c:pt idx="10">
                  <c:v>2025年11月</c:v>
                </c:pt>
                <c:pt idx="11">
                  <c:v>2025年12月</c:v>
                </c:pt>
              </c:strCache>
            </c:strRef>
          </c:cat>
          <c:val>
            <c:numRef>
              <c:f>'2025统计'!$D$9:$D$20</c:f>
              <c:numCache>
                <c:formatCode>General</c:formatCode>
                <c:ptCount val="12"/>
                <c:pt idx="0">
                  <c:v>6</c:v>
                </c:pt>
                <c:pt idx="1">
                  <c:v>6</c:v>
                </c:pt>
                <c:pt idx="2">
                  <c:v>7</c:v>
                </c:pt>
                <c:pt idx="3">
                  <c:v>15</c:v>
                </c:pt>
                <c:pt idx="4">
                  <c:v>18</c:v>
                </c:pt>
                <c:pt idx="5">
                  <c:v>21</c:v>
                </c:pt>
                <c:pt idx="6">
                  <c:v>25</c:v>
                </c:pt>
                <c:pt idx="7">
                  <c:v>31</c:v>
                </c:pt>
                <c:pt idx="8">
                  <c:v>35</c:v>
                </c:pt>
                <c:pt idx="9">
                  <c:v>39</c:v>
                </c:pt>
                <c:pt idx="10">
                  <c:v>41</c:v>
                </c:pt>
                <c:pt idx="11">
                  <c:v>46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"初设调整"</c:f>
              <c:strCache>
                <c:ptCount val="1"/>
                <c:pt idx="0">
                  <c:v>初设调整</c:v>
                </c:pt>
              </c:strCache>
            </c:strRef>
          </c:tx>
          <c:spPr>
            <a:ln w="9525" cap="rnd" cmpd="sng" algn="ctr">
              <a:solidFill>
                <a:schemeClr val="accent5"/>
              </a:solidFill>
              <a:prstDash val="lgDash"/>
              <a:round/>
            </a:ln>
          </c:spPr>
          <c:marker>
            <c:symbol val="circle"/>
            <c:size val="17"/>
            <c:spPr>
              <a:solidFill>
                <a:schemeClr val="accent5"/>
              </a:solidFill>
              <a:ln w="6350" cap="flat" cmpd="sng" algn="ctr">
                <a:solidFill>
                  <a:schemeClr val="accent5"/>
                </a:solidFill>
                <a:prstDash val="solid"/>
                <a:round/>
              </a:ln>
            </c:spPr>
          </c:marker>
          <c:dLbls>
            <c:numFmt formatCode="0&quot;项&quot;" sourceLinked="0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800" b="1" i="0" u="none" strike="noStrike" kern="1200" baseline="0">
                    <a:solidFill>
                      <a:srgbClr val="4472C4"/>
                    </a:solidFill>
                    <a:latin typeface="微软雅黑" panose="020B0503020204020204" charset="-122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'2025统计'!$A$9:$A$20</c:f>
              <c:strCache>
                <c:ptCount val="12"/>
                <c:pt idx="0">
                  <c:v>2025年1月</c:v>
                </c:pt>
                <c:pt idx="1">
                  <c:v>2025年2月</c:v>
                </c:pt>
                <c:pt idx="2">
                  <c:v>2025年3月</c:v>
                </c:pt>
                <c:pt idx="3">
                  <c:v>2025年4月</c:v>
                </c:pt>
                <c:pt idx="4">
                  <c:v>2025年5月</c:v>
                </c:pt>
                <c:pt idx="5">
                  <c:v>2025年6月</c:v>
                </c:pt>
                <c:pt idx="6">
                  <c:v>2025年7月</c:v>
                </c:pt>
                <c:pt idx="7">
                  <c:v>2025年8月</c:v>
                </c:pt>
                <c:pt idx="8">
                  <c:v>2025年9月</c:v>
                </c:pt>
                <c:pt idx="9">
                  <c:v>2025年10月</c:v>
                </c:pt>
                <c:pt idx="10">
                  <c:v>2025年11月</c:v>
                </c:pt>
                <c:pt idx="11">
                  <c:v>2025年12月</c:v>
                </c:pt>
              </c:strCache>
            </c:strRef>
          </c:cat>
          <c:val>
            <c:numRef>
              <c:f>'2025统计'!$E$9:$E$20</c:f>
              <c:numCache>
                <c:formatCode>General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9</c:v>
                </c:pt>
                <c:pt idx="9">
                  <c:v>9</c:v>
                </c:pt>
                <c:pt idx="10">
                  <c:v>10</c:v>
                </c:pt>
                <c:pt idx="11">
                  <c:v>10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"施工图及预算"</c:f>
              <c:strCache>
                <c:ptCount val="1"/>
                <c:pt idx="0">
                  <c:v>施工图及预算</c:v>
                </c:pt>
              </c:strCache>
            </c:strRef>
          </c:tx>
          <c:spPr>
            <a:ln w="19050" cap="rnd" cmpd="sng" algn="ctr">
              <a:solidFill>
                <a:schemeClr val="accent6"/>
              </a:solidFill>
              <a:prstDash val="solid"/>
              <a:round/>
            </a:ln>
          </c:spPr>
          <c:marker>
            <c:symbol val="circle"/>
            <c:size val="17"/>
            <c:spPr>
              <a:solidFill>
                <a:schemeClr val="accent6"/>
              </a:solidFill>
              <a:ln w="6350" cap="flat" cmpd="sng" algn="ctr">
                <a:solidFill>
                  <a:schemeClr val="accent6"/>
                </a:solidFill>
                <a:prstDash val="solid"/>
                <a:round/>
              </a:ln>
            </c:spPr>
          </c:marker>
          <c:dLbls>
            <c:numFmt formatCode="0&quot;项&quot;" sourceLinked="0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800" b="1" i="0" u="none" strike="noStrike" kern="1200" baseline="0">
                    <a:solidFill>
                      <a:srgbClr val="70AD47"/>
                    </a:solidFill>
                    <a:latin typeface="微软雅黑" panose="020B0503020204020204" charset="-122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'2025统计'!$A$9:$A$20</c:f>
              <c:strCache>
                <c:ptCount val="12"/>
                <c:pt idx="0">
                  <c:v>2025年1月</c:v>
                </c:pt>
                <c:pt idx="1">
                  <c:v>2025年2月</c:v>
                </c:pt>
                <c:pt idx="2">
                  <c:v>2025年3月</c:v>
                </c:pt>
                <c:pt idx="3">
                  <c:v>2025年4月</c:v>
                </c:pt>
                <c:pt idx="4">
                  <c:v>2025年5月</c:v>
                </c:pt>
                <c:pt idx="5">
                  <c:v>2025年6月</c:v>
                </c:pt>
                <c:pt idx="6">
                  <c:v>2025年7月</c:v>
                </c:pt>
                <c:pt idx="7">
                  <c:v>2025年8月</c:v>
                </c:pt>
                <c:pt idx="8">
                  <c:v>2025年9月</c:v>
                </c:pt>
                <c:pt idx="9">
                  <c:v>2025年10月</c:v>
                </c:pt>
                <c:pt idx="10">
                  <c:v>2025年11月</c:v>
                </c:pt>
                <c:pt idx="11">
                  <c:v>2025年12月</c:v>
                </c:pt>
              </c:strCache>
            </c:strRef>
          </c:cat>
          <c:val>
            <c:numRef>
              <c:f>'2025统计'!$F$9:$F$20</c:f>
              <c:numCache>
                <c:formatCode>General</c:formatCode>
                <c:ptCount val="12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16</c:v>
                </c:pt>
                <c:pt idx="5">
                  <c:v>21</c:v>
                </c:pt>
                <c:pt idx="6">
                  <c:v>24</c:v>
                </c:pt>
                <c:pt idx="7">
                  <c:v>32</c:v>
                </c:pt>
                <c:pt idx="8">
                  <c:v>37</c:v>
                </c:pt>
                <c:pt idx="9">
                  <c:v>42</c:v>
                </c:pt>
                <c:pt idx="10">
                  <c:v>43</c:v>
                </c:pt>
                <c:pt idx="11">
                  <c:v>48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"施工图预算调整"</c:f>
              <c:strCache>
                <c:ptCount val="1"/>
                <c:pt idx="0">
                  <c:v>施工图预算调整</c:v>
                </c:pt>
              </c:strCache>
            </c:strRef>
          </c:tx>
          <c:spPr>
            <a:ln w="9525" cap="rnd" cmpd="sng" algn="ctr">
              <a:solidFill>
                <a:srgbClr val="00B050">
                  <a:alpha val="100000"/>
                </a:srgbClr>
              </a:solidFill>
              <a:prstDash val="lgDash"/>
              <a:round/>
            </a:ln>
          </c:spPr>
          <c:marker>
            <c:symbol val="circle"/>
            <c:size val="17"/>
            <c:spPr>
              <a:solidFill>
                <a:srgbClr val="00B050">
                  <a:alpha val="100000"/>
                </a:srgbClr>
              </a:solidFill>
              <a:ln w="6350" cap="flat" cmpd="sng" algn="ctr">
                <a:solidFill>
                  <a:srgbClr val="00B050">
                    <a:alpha val="100000"/>
                  </a:srgbClr>
                </a:solidFill>
                <a:prstDash val="solid"/>
                <a:round/>
              </a:ln>
            </c:spPr>
          </c:marker>
          <c:dLbls>
            <c:numFmt formatCode="0&quot;项&quot;" sourceLinked="0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800" b="1" i="0" u="none" strike="noStrike" kern="1200" baseline="0">
                    <a:solidFill>
                      <a:srgbClr val="00B050"/>
                    </a:solidFill>
                    <a:latin typeface="微软雅黑" panose="020B0503020204020204" charset="-122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'2025统计'!$A$9:$A$20</c:f>
              <c:strCache>
                <c:ptCount val="12"/>
                <c:pt idx="0">
                  <c:v>2025年1月</c:v>
                </c:pt>
                <c:pt idx="1">
                  <c:v>2025年2月</c:v>
                </c:pt>
                <c:pt idx="2">
                  <c:v>2025年3月</c:v>
                </c:pt>
                <c:pt idx="3">
                  <c:v>2025年4月</c:v>
                </c:pt>
                <c:pt idx="4">
                  <c:v>2025年5月</c:v>
                </c:pt>
                <c:pt idx="5">
                  <c:v>2025年6月</c:v>
                </c:pt>
                <c:pt idx="6">
                  <c:v>2025年7月</c:v>
                </c:pt>
                <c:pt idx="7">
                  <c:v>2025年8月</c:v>
                </c:pt>
                <c:pt idx="8">
                  <c:v>2025年9月</c:v>
                </c:pt>
                <c:pt idx="9">
                  <c:v>2025年10月</c:v>
                </c:pt>
                <c:pt idx="10">
                  <c:v>2025年11月</c:v>
                </c:pt>
                <c:pt idx="11">
                  <c:v>2025年12月</c:v>
                </c:pt>
              </c:strCache>
            </c:strRef>
          </c:cat>
          <c:val>
            <c:numRef>
              <c:f>'2025统计'!$G$9:$G$20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  <c:pt idx="7">
                  <c:v>4</c:v>
                </c:pt>
                <c:pt idx="8">
                  <c:v>6</c:v>
                </c:pt>
                <c:pt idx="9">
                  <c:v>8</c:v>
                </c:pt>
                <c:pt idx="10">
                  <c:v>9</c:v>
                </c:pt>
                <c:pt idx="11">
                  <c:v>9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"重大设计变更"</c:f>
              <c:strCache>
                <c:ptCount val="1"/>
                <c:pt idx="0">
                  <c:v>重大设计变更</c:v>
                </c:pt>
              </c:strCache>
            </c:strRef>
          </c:tx>
          <c:spPr>
            <a:ln w="9525" cap="rnd" cmpd="sng" algn="ctr">
              <a:solidFill>
                <a:srgbClr val="C00000">
                  <a:alpha val="100000"/>
                </a:srgbClr>
              </a:solidFill>
              <a:prstDash val="dash"/>
              <a:round/>
            </a:ln>
          </c:spPr>
          <c:marker>
            <c:symbol val="circle"/>
            <c:size val="17"/>
            <c:spPr>
              <a:solidFill>
                <a:srgbClr val="C00000">
                  <a:alpha val="100000"/>
                </a:srgbClr>
              </a:solidFill>
              <a:ln w="6350" cap="flat" cmpd="sng" algn="ctr">
                <a:solidFill>
                  <a:srgbClr val="C00000">
                    <a:alpha val="100000"/>
                  </a:srgbClr>
                </a:solidFill>
                <a:prstDash val="solid"/>
                <a:round/>
              </a:ln>
            </c:spPr>
          </c:marker>
          <c:dLbls>
            <c:numFmt formatCode="0&quot;项&quot;" sourceLinked="0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800" b="1" i="0" u="none" strike="noStrike" kern="1200" baseline="0">
                    <a:solidFill>
                      <a:srgbClr val="C00000"/>
                    </a:solidFill>
                    <a:latin typeface="微软雅黑" panose="020B0503020204020204" charset="-122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'2025统计'!$A$9:$A$20</c:f>
              <c:strCache>
                <c:ptCount val="12"/>
                <c:pt idx="0">
                  <c:v>2025年1月</c:v>
                </c:pt>
                <c:pt idx="1">
                  <c:v>2025年2月</c:v>
                </c:pt>
                <c:pt idx="2">
                  <c:v>2025年3月</c:v>
                </c:pt>
                <c:pt idx="3">
                  <c:v>2025年4月</c:v>
                </c:pt>
                <c:pt idx="4">
                  <c:v>2025年5月</c:v>
                </c:pt>
                <c:pt idx="5">
                  <c:v>2025年6月</c:v>
                </c:pt>
                <c:pt idx="6">
                  <c:v>2025年7月</c:v>
                </c:pt>
                <c:pt idx="7">
                  <c:v>2025年8月</c:v>
                </c:pt>
                <c:pt idx="8">
                  <c:v>2025年9月</c:v>
                </c:pt>
                <c:pt idx="9">
                  <c:v>2025年10月</c:v>
                </c:pt>
                <c:pt idx="10">
                  <c:v>2025年11月</c:v>
                </c:pt>
                <c:pt idx="11">
                  <c:v>2025年12月</c:v>
                </c:pt>
              </c:strCache>
            </c:strRef>
          </c:cat>
          <c:val>
            <c:numRef>
              <c:f>'2025统计'!$H$9:$H$20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8</c:v>
                </c:pt>
                <c:pt idx="3">
                  <c:v>9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16</c:v>
                </c:pt>
                <c:pt idx="8">
                  <c:v>16</c:v>
                </c:pt>
                <c:pt idx="9">
                  <c:v>19</c:v>
                </c:pt>
                <c:pt idx="10">
                  <c:v>21</c:v>
                </c:pt>
                <c:pt idx="11">
                  <c:v>21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18906138"/>
        <c:axId val="1409179345"/>
      </c:lineChart>
      <c:catAx>
        <c:axId val="1618906138"/>
        <c:scaling>
          <c:orientation val="minMax"/>
        </c:scaling>
        <c:delete val="0"/>
        <c:axPos val="b"/>
        <c:title>
          <c:layout/>
          <c:overlay val="0"/>
          <c:tx>
            <c:rich>
              <a:bodyPr/>
              <a:lstStyle/>
              <a:p>
                <a:pPr>
                  <a:defRPr/>
                </a:pPr>
              </a:p>
            </c:rich>
          </c:tx>
        </c:title>
        <c:numFmt formatCode="General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dk1"/>
                </a:solidFill>
                <a:latin typeface="微软雅黑" panose="020B0503020204020204" charset="-122"/>
                <a:ea typeface="+mn-ea"/>
                <a:cs typeface="+mn-cs"/>
              </a:defRPr>
            </a:pPr>
          </a:p>
        </c:txPr>
        <c:crossAx val="1409179345"/>
        <c:crosses val="autoZero"/>
        <c:auto val="1"/>
        <c:lblAlgn val="ctr"/>
        <c:lblOffset val="100"/>
        <c:noMultiLvlLbl val="1"/>
      </c:catAx>
      <c:valAx>
        <c:axId val="1409179345"/>
        <c:scaling>
          <c:orientation val="minMax"/>
        </c:scaling>
        <c:delete val="0"/>
        <c:axPos val="l"/>
        <c:title>
          <c:layout/>
          <c:overlay val="0"/>
          <c:tx>
            <c:rich>
              <a:bodyPr/>
              <a:lstStyle/>
              <a:p>
                <a:pPr>
                  <a:defRPr/>
                </a:pPr>
              </a:p>
            </c:rich>
          </c:tx>
        </c:title>
        <c:numFmt formatCode="General" sourceLinked="1"/>
        <c:majorTickMark val="none"/>
        <c:minorTickMark val="none"/>
        <c:tickLblPos val="nextTo"/>
        <c:spPr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dk1"/>
                </a:solidFill>
                <a:latin typeface="微软雅黑" panose="020B0503020204020204" charset="-122"/>
                <a:ea typeface="+mn-ea"/>
                <a:cs typeface="+mn-cs"/>
              </a:defRPr>
            </a:pPr>
          </a:p>
        </c:txPr>
        <c:crossAx val="1618906138"/>
        <c:crosses val="autoZero"/>
        <c:crossBetween val="between"/>
      </c:valAx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000000"/>
                </a:solidFill>
                <a:latin typeface="微软雅黑" panose="020B0503020204020204" charset="-122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000000"/>
                </a:solidFill>
                <a:latin typeface="微软雅黑" panose="020B0503020204020204" charset="-122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000000"/>
                </a:solidFill>
                <a:latin typeface="微软雅黑" panose="020B0503020204020204" charset="-122"/>
                <a:ea typeface="+mn-ea"/>
                <a:cs typeface="+mn-cs"/>
              </a:defRPr>
            </a:pPr>
          </a:p>
        </c:txPr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000000"/>
                </a:solidFill>
                <a:latin typeface="微软雅黑" panose="020B0503020204020204" charset="-122"/>
                <a:ea typeface="+mn-ea"/>
                <a:cs typeface="+mn-cs"/>
              </a:defRPr>
            </a:pPr>
          </a:p>
        </c:txPr>
      </c:legendEntry>
      <c:legendEntry>
        <c:idx val="4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000000"/>
                </a:solidFill>
                <a:latin typeface="微软雅黑" panose="020B0503020204020204" charset="-122"/>
                <a:ea typeface="+mn-ea"/>
                <a:cs typeface="+mn-cs"/>
              </a:defRPr>
            </a:pPr>
          </a:p>
        </c:txPr>
      </c:legendEntry>
      <c:legendEntry>
        <c:idx val="5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000000"/>
                </a:solidFill>
                <a:latin typeface="微软雅黑" panose="020B0503020204020204" charset="-122"/>
                <a:ea typeface="+mn-ea"/>
                <a:cs typeface="+mn-cs"/>
              </a:defRPr>
            </a:pPr>
          </a:p>
        </c:txPr>
      </c:legendEntry>
      <c:legendEntry>
        <c:idx val="6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000000"/>
                </a:solidFill>
                <a:latin typeface="微软雅黑" panose="020B0503020204020204" charset="-122"/>
                <a:ea typeface="+mn-ea"/>
                <a:cs typeface="+mn-cs"/>
              </a:defRPr>
            </a:pPr>
          </a:p>
        </c:txPr>
      </c:legendEntry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800" b="0" i="0" u="none" strike="noStrike" kern="1200" baseline="0">
              <a:solidFill>
                <a:schemeClr val="dk1"/>
              </a:solidFill>
              <a:latin typeface="微软雅黑" panose="020B0503020204020204" charset="-122"/>
              <a:ea typeface="+mn-ea"/>
              <a:cs typeface="+mn-cs"/>
            </a:defRPr>
          </a:pPr>
        </a:p>
      </c:txPr>
    </c:legend>
    <c:plotVisOnly val="1"/>
    <c:dispBlanksAs val="zero"/>
    <c:showDLblsOverMax val="1"/>
    <c:extLst>
      <c:ext uri="{0b15fc19-7d7d-44ad-8c2d-2c3a37ce22c3}">
        <chartProps xmlns="https://web.wps.cn/et/2018/main" chartId="{3a987104-7c28-461a-87e8-df35780ecd77}"/>
      </c:ext>
    </c:extLst>
  </c:chart>
  <c:spPr>
    <a:solidFill>
      <a:schemeClr val="lt1"/>
    </a:solidFill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zh-CN" sz="1000" b="0" i="0" u="none" strike="noStrike" kern="1200" baseline="0">
                <a:solidFill>
                  <a:srgbClr val="7F7F7F"/>
                </a:solidFill>
                <a:latin typeface="微软雅黑" panose="020B0503020204020204" charset="-122"/>
                <a:ea typeface="+mn-ea"/>
                <a:cs typeface="+mn-cs"/>
              </a:defRPr>
            </a:pPr>
            <a:r>
              <a:rPr lang="zh-CN" altLang="en-US" sz="1000" b="0" i="0">
                <a:solidFill>
                  <a:srgbClr val="7F7F7F"/>
                </a:solidFill>
                <a:latin typeface="微软雅黑" panose="020B0503020204020204" charset="-122"/>
              </a:rPr>
              <a:t>技术经济部人员评审情况</a:t>
            </a:r>
            <a:endParaRPr lang="zh-CN" altLang="en-US" sz="1000" b="0" i="0">
              <a:solidFill>
                <a:srgbClr val="7F7F7F"/>
              </a:solidFill>
              <a:latin typeface="微软雅黑" panose="020B0503020204020204" charset="-122"/>
            </a:endParaRPr>
          </a:p>
        </c:rich>
      </c:tx>
      <c:layout/>
      <c:overlay val="0"/>
    </c:title>
    <c:autoTitleDeleted val="0"/>
    <c:plotArea>
      <c:layout>
        <c:manualLayout>
          <c:xMode val="edge"/>
          <c:yMode val="edge"/>
          <c:x val="0.0482630601962344"/>
          <c:y val="0.0756417793454831"/>
          <c:w val="0.909639352956775"/>
          <c:h val="0.768645894571821"/>
        </c:manualLayout>
      </c:layout>
      <c:lineChart>
        <c:grouping val="standard"/>
        <c:varyColors val="1"/>
        <c:ser>
          <c:idx val="0"/>
          <c:order val="0"/>
          <c:tx>
            <c:strRef>
              <c:f>"樊心田"</c:f>
              <c:strCache>
                <c:ptCount val="1"/>
                <c:pt idx="0">
                  <c:v>樊心田</c:v>
                </c:pt>
              </c:strCache>
            </c:strRef>
          </c:tx>
          <c:spPr>
            <a:ln w="19050" cap="rnd" cmpd="sng" algn="ctr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17"/>
            <c:spPr>
              <a:solidFill>
                <a:schemeClr val="accent2"/>
              </a:solidFill>
              <a:ln w="6350" cap="flat" cmpd="sng" algn="ctr">
                <a:solidFill>
                  <a:schemeClr val="accent2"/>
                </a:solidFill>
                <a:prstDash val="solid"/>
                <a:round/>
              </a:ln>
            </c:spPr>
          </c:marker>
          <c:dLbls>
            <c:numFmt formatCode="0&quot;项&quot;" sourceLinked="0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800" b="1" i="0" u="none" strike="noStrike" kern="1200" baseline="0">
                    <a:solidFill>
                      <a:srgbClr val="ED7D31"/>
                    </a:solidFill>
                    <a:latin typeface="微软雅黑" panose="020B0503020204020204" charset="-122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'2025统计'!$K$9:$K$20</c:f>
              <c:strCache>
                <c:ptCount val="12"/>
                <c:pt idx="0">
                  <c:v>2025年1月</c:v>
                </c:pt>
                <c:pt idx="1">
                  <c:v>2025年2月</c:v>
                </c:pt>
                <c:pt idx="2">
                  <c:v>2025年3月</c:v>
                </c:pt>
                <c:pt idx="3">
                  <c:v>2025年4月</c:v>
                </c:pt>
                <c:pt idx="4">
                  <c:v>2025年5月</c:v>
                </c:pt>
                <c:pt idx="5">
                  <c:v>2025年6月</c:v>
                </c:pt>
                <c:pt idx="6">
                  <c:v>2025年7月</c:v>
                </c:pt>
                <c:pt idx="7">
                  <c:v>2025年8月</c:v>
                </c:pt>
                <c:pt idx="8">
                  <c:v>2025年9月</c:v>
                </c:pt>
                <c:pt idx="9">
                  <c:v>2025年10月</c:v>
                </c:pt>
                <c:pt idx="10">
                  <c:v>2025年11月</c:v>
                </c:pt>
                <c:pt idx="11">
                  <c:v>2025年12月</c:v>
                </c:pt>
              </c:strCache>
            </c:strRef>
          </c:cat>
          <c:val>
            <c:numRef>
              <c:f>'2025统计'!$L$9:$L$20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2</c:v>
                </c:pt>
                <c:pt idx="4">
                  <c:v>2</c:v>
                </c:pt>
                <c:pt idx="5">
                  <c:v>1</c:v>
                </c:pt>
                <c:pt idx="6">
                  <c:v>4</c:v>
                </c:pt>
                <c:pt idx="7">
                  <c:v>3</c:v>
                </c:pt>
                <c:pt idx="8">
                  <c:v>8</c:v>
                </c:pt>
                <c:pt idx="9">
                  <c:v>3</c:v>
                </c:pt>
                <c:pt idx="10">
                  <c:v>5</c:v>
                </c:pt>
                <c:pt idx="11">
                  <c:v>12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"方明"</c:f>
              <c:strCache>
                <c:ptCount val="1"/>
                <c:pt idx="0">
                  <c:v>方明</c:v>
                </c:pt>
              </c:strCache>
            </c:strRef>
          </c:tx>
          <c:spPr>
            <a:ln w="19050" cap="rnd" cmpd="sng" algn="ctr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17"/>
            <c:spPr>
              <a:solidFill>
                <a:schemeClr val="accent2"/>
              </a:solidFill>
              <a:ln w="6350" cap="flat" cmpd="sng" algn="ctr">
                <a:solidFill>
                  <a:schemeClr val="accent2"/>
                </a:solidFill>
                <a:prstDash val="solid"/>
                <a:round/>
              </a:ln>
            </c:spPr>
          </c:marker>
          <c:dLbls>
            <c:numFmt formatCode="0&quot;项&quot;" sourceLinked="0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800" b="1" i="0" u="none" strike="noStrike" kern="1200" baseline="0">
                    <a:solidFill>
                      <a:srgbClr val="ED7D31"/>
                    </a:solidFill>
                    <a:latin typeface="微软雅黑" panose="020B0503020204020204" charset="-122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'2025统计'!$K$9:$K$20</c:f>
              <c:strCache>
                <c:ptCount val="12"/>
                <c:pt idx="0">
                  <c:v>2025年1月</c:v>
                </c:pt>
                <c:pt idx="1">
                  <c:v>2025年2月</c:v>
                </c:pt>
                <c:pt idx="2">
                  <c:v>2025年3月</c:v>
                </c:pt>
                <c:pt idx="3">
                  <c:v>2025年4月</c:v>
                </c:pt>
                <c:pt idx="4">
                  <c:v>2025年5月</c:v>
                </c:pt>
                <c:pt idx="5">
                  <c:v>2025年6月</c:v>
                </c:pt>
                <c:pt idx="6">
                  <c:v>2025年7月</c:v>
                </c:pt>
                <c:pt idx="7">
                  <c:v>2025年8月</c:v>
                </c:pt>
                <c:pt idx="8">
                  <c:v>2025年9月</c:v>
                </c:pt>
                <c:pt idx="9">
                  <c:v>2025年10月</c:v>
                </c:pt>
                <c:pt idx="10">
                  <c:v>2025年11月</c:v>
                </c:pt>
                <c:pt idx="11">
                  <c:v>2025年12月</c:v>
                </c:pt>
              </c:strCache>
            </c:strRef>
          </c:cat>
          <c:val>
            <c:numRef>
              <c:f>'2025统计'!$M$9:$M$20</c:f>
              <c:numCache>
                <c:formatCode>General</c:formatCode>
                <c:ptCount val="12"/>
                <c:pt idx="0">
                  <c:v>2</c:v>
                </c:pt>
                <c:pt idx="1">
                  <c:v>0</c:v>
                </c:pt>
                <c:pt idx="2">
                  <c:v>3</c:v>
                </c:pt>
                <c:pt idx="3">
                  <c:v>5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4</c:v>
                </c:pt>
                <c:pt idx="8">
                  <c:v>5</c:v>
                </c:pt>
                <c:pt idx="9">
                  <c:v>7</c:v>
                </c:pt>
                <c:pt idx="10">
                  <c:v>11</c:v>
                </c:pt>
                <c:pt idx="11">
                  <c:v>13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"谢瑞莲"</c:f>
              <c:strCache>
                <c:ptCount val="1"/>
                <c:pt idx="0">
                  <c:v>谢瑞莲</c:v>
                </c:pt>
              </c:strCache>
            </c:strRef>
          </c:tx>
          <c:spPr>
            <a:ln w="19050" cap="rnd" cmpd="sng" algn="ctr">
              <a:solidFill>
                <a:schemeClr val="accent4"/>
              </a:solidFill>
              <a:prstDash val="solid"/>
              <a:round/>
            </a:ln>
          </c:spPr>
          <c:marker>
            <c:symbol val="circle"/>
            <c:size val="17"/>
            <c:spPr>
              <a:solidFill>
                <a:schemeClr val="accent4"/>
              </a:solidFill>
              <a:ln w="6350" cap="flat" cmpd="sng" algn="ctr">
                <a:solidFill>
                  <a:schemeClr val="accent4"/>
                </a:solidFill>
                <a:prstDash val="solid"/>
                <a:round/>
              </a:ln>
            </c:spPr>
          </c:marker>
          <c:dLbls>
            <c:numFmt formatCode="0&quot;项&quot;" sourceLinked="0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800" b="1" i="0" u="none" strike="noStrike" kern="1200" baseline="0">
                    <a:solidFill>
                      <a:srgbClr val="FFC000"/>
                    </a:solidFill>
                    <a:latin typeface="微软雅黑" panose="020B0503020204020204" charset="-122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'2025统计'!$K$9:$K$20</c:f>
              <c:strCache>
                <c:ptCount val="12"/>
                <c:pt idx="0">
                  <c:v>2025年1月</c:v>
                </c:pt>
                <c:pt idx="1">
                  <c:v>2025年2月</c:v>
                </c:pt>
                <c:pt idx="2">
                  <c:v>2025年3月</c:v>
                </c:pt>
                <c:pt idx="3">
                  <c:v>2025年4月</c:v>
                </c:pt>
                <c:pt idx="4">
                  <c:v>2025年5月</c:v>
                </c:pt>
                <c:pt idx="5">
                  <c:v>2025年6月</c:v>
                </c:pt>
                <c:pt idx="6">
                  <c:v>2025年7月</c:v>
                </c:pt>
                <c:pt idx="7">
                  <c:v>2025年8月</c:v>
                </c:pt>
                <c:pt idx="8">
                  <c:v>2025年9月</c:v>
                </c:pt>
                <c:pt idx="9">
                  <c:v>2025年10月</c:v>
                </c:pt>
                <c:pt idx="10">
                  <c:v>2025年11月</c:v>
                </c:pt>
                <c:pt idx="11">
                  <c:v>2025年12月</c:v>
                </c:pt>
              </c:strCache>
            </c:strRef>
          </c:cat>
          <c:val>
            <c:numRef>
              <c:f>'2025统计'!$N$9:$N$20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  <c:pt idx="7">
                  <c:v>3</c:v>
                </c:pt>
                <c:pt idx="8">
                  <c:v>3</c:v>
                </c:pt>
                <c:pt idx="9">
                  <c:v>6</c:v>
                </c:pt>
                <c:pt idx="10">
                  <c:v>11</c:v>
                </c:pt>
                <c:pt idx="11">
                  <c:v>8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"陈伟哲"</c:f>
              <c:strCache>
                <c:ptCount val="1"/>
                <c:pt idx="0">
                  <c:v>陈伟哲</c:v>
                </c:pt>
              </c:strCache>
            </c:strRef>
          </c:tx>
          <c:spPr>
            <a:ln w="19050" cap="rnd" cmpd="sng" algn="ctr">
              <a:solidFill>
                <a:srgbClr val="FFC000"/>
              </a:solidFill>
              <a:prstDash val="solid"/>
              <a:round/>
            </a:ln>
          </c:spPr>
          <c:marker>
            <c:symbol val="circle"/>
            <c:size val="17"/>
            <c:spPr>
              <a:solidFill>
                <a:srgbClr val="FFC000"/>
              </a:solidFill>
              <a:ln w="6350" cap="flat" cmpd="sng" algn="ctr">
                <a:solidFill>
                  <a:srgbClr val="FFC000"/>
                </a:solidFill>
                <a:prstDash val="solid"/>
                <a:round/>
              </a:ln>
            </c:spPr>
          </c:marker>
          <c:dLbls>
            <c:numFmt formatCode="0&quot;项&quot;" sourceLinked="0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800" b="1" i="0" u="none" strike="noStrike" kern="1200" baseline="0">
                    <a:solidFill>
                      <a:srgbClr val="002060"/>
                    </a:solidFill>
                    <a:latin typeface="微软雅黑" panose="020B0503020204020204" charset="-122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'2025统计'!$K$9:$K$20</c:f>
              <c:strCache>
                <c:ptCount val="12"/>
                <c:pt idx="0">
                  <c:v>2025年1月</c:v>
                </c:pt>
                <c:pt idx="1">
                  <c:v>2025年2月</c:v>
                </c:pt>
                <c:pt idx="2">
                  <c:v>2025年3月</c:v>
                </c:pt>
                <c:pt idx="3">
                  <c:v>2025年4月</c:v>
                </c:pt>
                <c:pt idx="4">
                  <c:v>2025年5月</c:v>
                </c:pt>
                <c:pt idx="5">
                  <c:v>2025年6月</c:v>
                </c:pt>
                <c:pt idx="6">
                  <c:v>2025年7月</c:v>
                </c:pt>
                <c:pt idx="7">
                  <c:v>2025年8月</c:v>
                </c:pt>
                <c:pt idx="8">
                  <c:v>2025年9月</c:v>
                </c:pt>
                <c:pt idx="9">
                  <c:v>2025年10月</c:v>
                </c:pt>
                <c:pt idx="10">
                  <c:v>2025年11月</c:v>
                </c:pt>
                <c:pt idx="11">
                  <c:v>2025年12月</c:v>
                </c:pt>
              </c:strCache>
            </c:strRef>
          </c:cat>
          <c:val>
            <c:numRef>
              <c:f>'2025统计'!$O$9:$O$20</c:f>
              <c:numCache>
                <c:formatCode>General</c:formatCode>
                <c:ptCount val="12"/>
                <c:pt idx="0">
                  <c:v>1</c:v>
                </c:pt>
                <c:pt idx="1">
                  <c:v>4</c:v>
                </c:pt>
                <c:pt idx="2">
                  <c:v>5</c:v>
                </c:pt>
                <c:pt idx="3">
                  <c:v>4</c:v>
                </c:pt>
                <c:pt idx="4">
                  <c:v>2</c:v>
                </c:pt>
                <c:pt idx="5">
                  <c:v>2</c:v>
                </c:pt>
                <c:pt idx="6">
                  <c:v>3</c:v>
                </c:pt>
                <c:pt idx="7">
                  <c:v>3</c:v>
                </c:pt>
                <c:pt idx="8">
                  <c:v>2</c:v>
                </c:pt>
                <c:pt idx="9">
                  <c:v>6</c:v>
                </c:pt>
                <c:pt idx="10">
                  <c:v>10</c:v>
                </c:pt>
                <c:pt idx="11">
                  <c:v>8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"黄小珈"</c:f>
              <c:strCache>
                <c:ptCount val="1"/>
                <c:pt idx="0">
                  <c:v>黄小珈</c:v>
                </c:pt>
              </c:strCache>
            </c:strRef>
          </c:tx>
          <c:spPr>
            <a:ln w="19050" cap="rnd" cmpd="sng" algn="ctr">
              <a:solidFill>
                <a:schemeClr val="accent5"/>
              </a:solidFill>
              <a:prstDash val="solid"/>
              <a:round/>
            </a:ln>
          </c:spPr>
          <c:marker>
            <c:symbol val="circle"/>
            <c:size val="17"/>
            <c:spPr>
              <a:solidFill>
                <a:schemeClr val="accent5"/>
              </a:solidFill>
              <a:ln w="6350" cap="flat" cmpd="sng" algn="ctr">
                <a:solidFill>
                  <a:schemeClr val="accent5"/>
                </a:solidFill>
                <a:prstDash val="solid"/>
                <a:round/>
              </a:ln>
            </c:spPr>
          </c:marker>
          <c:dLbls>
            <c:numFmt formatCode="0&quot;项&quot;" sourceLinked="0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800" b="1" i="0" u="none" strike="noStrike" kern="1200" baseline="0">
                    <a:solidFill>
                      <a:srgbClr val="4472C4"/>
                    </a:solidFill>
                    <a:latin typeface="微软雅黑" panose="020B0503020204020204" charset="-122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'2025统计'!$K$9:$K$20</c:f>
              <c:strCache>
                <c:ptCount val="12"/>
                <c:pt idx="0">
                  <c:v>2025年1月</c:v>
                </c:pt>
                <c:pt idx="1">
                  <c:v>2025年2月</c:v>
                </c:pt>
                <c:pt idx="2">
                  <c:v>2025年3月</c:v>
                </c:pt>
                <c:pt idx="3">
                  <c:v>2025年4月</c:v>
                </c:pt>
                <c:pt idx="4">
                  <c:v>2025年5月</c:v>
                </c:pt>
                <c:pt idx="5">
                  <c:v>2025年6月</c:v>
                </c:pt>
                <c:pt idx="6">
                  <c:v>2025年7月</c:v>
                </c:pt>
                <c:pt idx="7">
                  <c:v>2025年8月</c:v>
                </c:pt>
                <c:pt idx="8">
                  <c:v>2025年9月</c:v>
                </c:pt>
                <c:pt idx="9">
                  <c:v>2025年10月</c:v>
                </c:pt>
                <c:pt idx="10">
                  <c:v>2025年11月</c:v>
                </c:pt>
                <c:pt idx="11">
                  <c:v>2025年12月</c:v>
                </c:pt>
              </c:strCache>
            </c:strRef>
          </c:cat>
          <c:val>
            <c:numRef>
              <c:f>'2025统计'!$P$9:$P$20</c:f>
              <c:numCache>
                <c:formatCode>General</c:formatCode>
                <c:ptCount val="12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3</c:v>
                </c:pt>
                <c:pt idx="4">
                  <c:v>0</c:v>
                </c:pt>
                <c:pt idx="5">
                  <c:v>3</c:v>
                </c:pt>
                <c:pt idx="6">
                  <c:v>7</c:v>
                </c:pt>
                <c:pt idx="7">
                  <c:v>4</c:v>
                </c:pt>
                <c:pt idx="8">
                  <c:v>6</c:v>
                </c:pt>
                <c:pt idx="9">
                  <c:v>6</c:v>
                </c:pt>
                <c:pt idx="10">
                  <c:v>9</c:v>
                </c:pt>
                <c:pt idx="11">
                  <c:v>15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"王志会"</c:f>
              <c:strCache>
                <c:ptCount val="1"/>
                <c:pt idx="0">
                  <c:v>王志会</c:v>
                </c:pt>
              </c:strCache>
            </c:strRef>
          </c:tx>
          <c:spPr>
            <a:ln w="19050" cap="rnd" cmpd="sng" algn="ctr">
              <a:solidFill>
                <a:schemeClr val="accent6"/>
              </a:solidFill>
              <a:prstDash val="solid"/>
              <a:round/>
            </a:ln>
          </c:spPr>
          <c:marker>
            <c:symbol val="circle"/>
            <c:size val="17"/>
            <c:spPr>
              <a:solidFill>
                <a:schemeClr val="accent6"/>
              </a:solidFill>
              <a:ln w="6350" cap="flat" cmpd="sng" algn="ctr">
                <a:solidFill>
                  <a:schemeClr val="accent6"/>
                </a:solidFill>
                <a:prstDash val="solid"/>
                <a:round/>
              </a:ln>
            </c:spPr>
          </c:marker>
          <c:dLbls>
            <c:numFmt formatCode="0&quot;项&quot;" sourceLinked="0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800" b="1" i="0" u="none" strike="noStrike" kern="1200" baseline="0">
                    <a:solidFill>
                      <a:srgbClr val="70AD47"/>
                    </a:solidFill>
                    <a:latin typeface="微软雅黑" panose="020B0503020204020204" charset="-122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'2025统计'!$K$9:$K$20</c:f>
              <c:strCache>
                <c:ptCount val="12"/>
                <c:pt idx="0">
                  <c:v>2025年1月</c:v>
                </c:pt>
                <c:pt idx="1">
                  <c:v>2025年2月</c:v>
                </c:pt>
                <c:pt idx="2">
                  <c:v>2025年3月</c:v>
                </c:pt>
                <c:pt idx="3">
                  <c:v>2025年4月</c:v>
                </c:pt>
                <c:pt idx="4">
                  <c:v>2025年5月</c:v>
                </c:pt>
                <c:pt idx="5">
                  <c:v>2025年6月</c:v>
                </c:pt>
                <c:pt idx="6">
                  <c:v>2025年7月</c:v>
                </c:pt>
                <c:pt idx="7">
                  <c:v>2025年8月</c:v>
                </c:pt>
                <c:pt idx="8">
                  <c:v>2025年9月</c:v>
                </c:pt>
                <c:pt idx="9">
                  <c:v>2025年10月</c:v>
                </c:pt>
                <c:pt idx="10">
                  <c:v>2025年11月</c:v>
                </c:pt>
                <c:pt idx="11">
                  <c:v>2025年12月</c:v>
                </c:pt>
              </c:strCache>
            </c:strRef>
          </c:cat>
          <c:val>
            <c:numRef>
              <c:f>'2025统计'!$Q$9:$Q$20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"梁为"</c:f>
              <c:strCache>
                <c:ptCount val="1"/>
                <c:pt idx="0">
                  <c:v>梁为</c:v>
                </c:pt>
              </c:strCache>
            </c:strRef>
          </c:tx>
          <c:spPr>
            <a:ln w="19050" cap="rnd" cmpd="sng" algn="ctr">
              <a:solidFill>
                <a:srgbClr val="7030A0">
                  <a:alpha val="100000"/>
                </a:srgbClr>
              </a:solidFill>
              <a:prstDash val="solid"/>
              <a:round/>
            </a:ln>
          </c:spPr>
          <c:marker>
            <c:symbol val="circle"/>
            <c:size val="17"/>
            <c:spPr>
              <a:solidFill>
                <a:srgbClr val="7030A0">
                  <a:alpha val="100000"/>
                </a:srgbClr>
              </a:solidFill>
              <a:ln w="6350" cap="flat" cmpd="sng" algn="ctr">
                <a:solidFill>
                  <a:srgbClr val="7030A0">
                    <a:alpha val="100000"/>
                  </a:srgbClr>
                </a:solidFill>
                <a:prstDash val="solid"/>
                <a:round/>
              </a:ln>
            </c:spPr>
          </c:marker>
          <c:dLbls>
            <c:numFmt formatCode="0&quot;项&quot;" sourceLinked="0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800" b="1" i="0" u="none" strike="noStrike" kern="1200" baseline="0">
                    <a:solidFill>
                      <a:srgbClr val="7030A0"/>
                    </a:solidFill>
                    <a:latin typeface="微软雅黑" panose="020B0503020204020204" charset="-122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'2025统计'!$K$9:$K$20</c:f>
              <c:strCache>
                <c:ptCount val="12"/>
                <c:pt idx="0">
                  <c:v>2025年1月</c:v>
                </c:pt>
                <c:pt idx="1">
                  <c:v>2025年2月</c:v>
                </c:pt>
                <c:pt idx="2">
                  <c:v>2025年3月</c:v>
                </c:pt>
                <c:pt idx="3">
                  <c:v>2025年4月</c:v>
                </c:pt>
                <c:pt idx="4">
                  <c:v>2025年5月</c:v>
                </c:pt>
                <c:pt idx="5">
                  <c:v>2025年6月</c:v>
                </c:pt>
                <c:pt idx="6">
                  <c:v>2025年7月</c:v>
                </c:pt>
                <c:pt idx="7">
                  <c:v>2025年8月</c:v>
                </c:pt>
                <c:pt idx="8">
                  <c:v>2025年9月</c:v>
                </c:pt>
                <c:pt idx="9">
                  <c:v>2025年10月</c:v>
                </c:pt>
                <c:pt idx="10">
                  <c:v>2025年11月</c:v>
                </c:pt>
                <c:pt idx="11">
                  <c:v>2025年12月</c:v>
                </c:pt>
              </c:strCache>
            </c:strRef>
          </c:cat>
          <c:val>
            <c:numRef>
              <c:f>'2025统计'!$R$9:$R$20</c:f>
              <c:numCache>
                <c:formatCode>General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  <c:pt idx="7">
                  <c:v>2</c:v>
                </c:pt>
                <c:pt idx="8">
                  <c:v>6</c:v>
                </c:pt>
                <c:pt idx="9">
                  <c:v>4</c:v>
                </c:pt>
                <c:pt idx="10">
                  <c:v>5</c:v>
                </c:pt>
                <c:pt idx="11">
                  <c:v>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62104891"/>
        <c:axId val="862175201"/>
      </c:lineChart>
      <c:catAx>
        <c:axId val="1262104891"/>
        <c:scaling>
          <c:orientation val="minMax"/>
        </c:scaling>
        <c:delete val="0"/>
        <c:axPos val="b"/>
        <c:title>
          <c:layout/>
          <c:overlay val="0"/>
          <c:tx>
            <c:rich>
              <a:bodyPr/>
              <a:lstStyle/>
              <a:p>
                <a:pPr>
                  <a:defRPr/>
                </a:pPr>
              </a:p>
            </c:rich>
          </c:tx>
        </c:title>
        <c:numFmt formatCode="General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dk1"/>
                </a:solidFill>
                <a:latin typeface="微软雅黑" panose="020B0503020204020204" charset="-122"/>
                <a:ea typeface="+mn-ea"/>
                <a:cs typeface="+mn-cs"/>
              </a:defRPr>
            </a:pPr>
          </a:p>
        </c:txPr>
        <c:crossAx val="862175201"/>
        <c:crosses val="autoZero"/>
        <c:auto val="1"/>
        <c:lblAlgn val="ctr"/>
        <c:lblOffset val="100"/>
        <c:noMultiLvlLbl val="1"/>
      </c:catAx>
      <c:valAx>
        <c:axId val="862175201"/>
        <c:scaling>
          <c:orientation val="minMax"/>
        </c:scaling>
        <c:delete val="0"/>
        <c:axPos val="l"/>
        <c:title>
          <c:layout/>
          <c:overlay val="0"/>
          <c:tx>
            <c:rich>
              <a:bodyPr/>
              <a:lstStyle/>
              <a:p>
                <a:pPr>
                  <a:defRPr/>
                </a:pPr>
              </a:p>
            </c:rich>
          </c:tx>
        </c:title>
        <c:numFmt formatCode="0_);[Red]\(0\)" sourceLinked="0"/>
        <c:majorTickMark val="none"/>
        <c:minorTickMark val="none"/>
        <c:tickLblPos val="nextTo"/>
        <c:spPr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dk1"/>
                </a:solidFill>
                <a:latin typeface="微软雅黑" panose="020B0503020204020204" charset="-122"/>
                <a:ea typeface="+mn-ea"/>
                <a:cs typeface="+mn-cs"/>
              </a:defRPr>
            </a:pPr>
          </a:p>
        </c:txPr>
        <c:crossAx val="1262104891"/>
        <c:crosses val="autoZero"/>
        <c:crossBetween val="between"/>
      </c:valAx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000000"/>
                </a:solidFill>
                <a:latin typeface="微软雅黑" panose="020B0503020204020204" charset="-122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000000"/>
                </a:solidFill>
                <a:latin typeface="微软雅黑" panose="020B0503020204020204" charset="-122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000000"/>
                </a:solidFill>
                <a:latin typeface="微软雅黑" panose="020B0503020204020204" charset="-122"/>
                <a:ea typeface="+mn-ea"/>
                <a:cs typeface="+mn-cs"/>
              </a:defRPr>
            </a:pPr>
          </a:p>
        </c:txPr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000000"/>
                </a:solidFill>
                <a:latin typeface="微软雅黑" panose="020B0503020204020204" charset="-122"/>
                <a:ea typeface="+mn-ea"/>
                <a:cs typeface="+mn-cs"/>
              </a:defRPr>
            </a:pPr>
          </a:p>
        </c:txPr>
      </c:legendEntry>
      <c:legendEntry>
        <c:idx val="4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000000"/>
                </a:solidFill>
                <a:latin typeface="微软雅黑" panose="020B0503020204020204" charset="-122"/>
                <a:ea typeface="+mn-ea"/>
                <a:cs typeface="+mn-cs"/>
              </a:defRPr>
            </a:pPr>
          </a:p>
        </c:txPr>
      </c:legendEntry>
      <c:legendEntry>
        <c:idx val="5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000000"/>
                </a:solidFill>
                <a:latin typeface="微软雅黑" panose="020B0503020204020204" charset="-122"/>
                <a:ea typeface="+mn-ea"/>
                <a:cs typeface="+mn-cs"/>
              </a:defRPr>
            </a:pPr>
          </a:p>
        </c:txPr>
      </c:legendEntry>
      <c:legendEntry>
        <c:idx val="6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000000"/>
                </a:solidFill>
                <a:latin typeface="微软雅黑" panose="020B0503020204020204" charset="-122"/>
                <a:ea typeface="+mn-ea"/>
                <a:cs typeface="+mn-cs"/>
              </a:defRPr>
            </a:pPr>
          </a:p>
        </c:txPr>
      </c:legendEntry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800" b="0" i="0" u="none" strike="noStrike" kern="1200" baseline="0">
              <a:solidFill>
                <a:schemeClr val="dk1"/>
              </a:solidFill>
              <a:latin typeface="微软雅黑" panose="020B0503020204020204" charset="-122"/>
              <a:ea typeface="+mn-ea"/>
              <a:cs typeface="+mn-cs"/>
            </a:defRPr>
          </a:pPr>
        </a:p>
      </c:txPr>
    </c:legend>
    <c:plotVisOnly val="1"/>
    <c:dispBlanksAs val="zero"/>
    <c:showDLblsOverMax val="1"/>
    <c:extLst>
      <c:ext uri="{0b15fc19-7d7d-44ad-8c2d-2c3a37ce22c3}">
        <chartProps xmlns="https://web.wps.cn/et/2018/main" chartId="{b154f92e-1032-4484-ad90-cabf2b99a325}"/>
      </c:ext>
    </c:extLst>
  </c:chart>
  <c:spPr>
    <a:solidFill>
      <a:schemeClr val="lt1"/>
    </a:solidFill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zh-CN" sz="1000" b="0" i="0" u="none" strike="noStrike" kern="1200" baseline="0">
                <a:solidFill>
                  <a:srgbClr val="7F7F7F"/>
                </a:solidFill>
                <a:latin typeface="微软雅黑" panose="020B0503020204020204" charset="-122"/>
                <a:ea typeface="+mn-ea"/>
                <a:cs typeface="+mn-cs"/>
              </a:defRPr>
            </a:pPr>
            <a:r>
              <a:rPr lang="zh-CN" altLang="en-US" sz="1000" b="0" i="0">
                <a:solidFill>
                  <a:srgbClr val="7F7F7F"/>
                </a:solidFill>
                <a:latin typeface="微软雅黑" panose="020B0503020204020204" charset="-122"/>
              </a:rPr>
              <a:t>设计单位评审项目情况</a:t>
            </a:r>
            <a:endParaRPr lang="zh-CN" altLang="en-US" sz="1000" b="0" i="0">
              <a:solidFill>
                <a:srgbClr val="7F7F7F"/>
              </a:solidFill>
              <a:latin typeface="微软雅黑" panose="020B0503020204020204" charset="-122"/>
            </a:endParaRPr>
          </a:p>
        </c:rich>
      </c:tx>
      <c:layout/>
      <c:overlay val="0"/>
    </c:title>
    <c:autoTitleDeleted val="0"/>
    <c:plotArea>
      <c:layout>
        <c:manualLayout>
          <c:xMode val="edge"/>
          <c:yMode val="edge"/>
          <c:x val="0.0174471019022253"/>
          <c:y val="0.0589859932925626"/>
          <c:w val="0.967180341524365"/>
          <c:h val="0.758413888340896"/>
        </c:manualLayout>
      </c:layout>
      <c:lineChart>
        <c:grouping val="standard"/>
        <c:varyColors val="1"/>
        <c:ser>
          <c:idx val="0"/>
          <c:order val="0"/>
          <c:tx>
            <c:strRef>
              <c:f>"广州院"</c:f>
              <c:strCache>
                <c:ptCount val="1"/>
                <c:pt idx="0">
                  <c:v>广州院</c:v>
                </c:pt>
              </c:strCache>
            </c:strRef>
          </c:tx>
          <c:spPr>
            <a:ln w="19050" cap="rnd" cmpd="sng" algn="ctr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17"/>
            <c:spPr>
              <a:solidFill>
                <a:schemeClr val="accent2"/>
              </a:solidFill>
              <a:ln w="6350" cap="flat" cmpd="sng" algn="ctr">
                <a:solidFill>
                  <a:schemeClr val="accent2"/>
                </a:solidFill>
                <a:prstDash val="solid"/>
                <a:round/>
              </a:ln>
            </c:spPr>
          </c:marker>
          <c:dLbls>
            <c:numFmt formatCode="0.00&quot;亿元&quot;" sourceLinked="0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800" b="1" i="0" u="none" strike="noStrike" kern="1200" baseline="0">
                    <a:solidFill>
                      <a:srgbClr val="ED7D31"/>
                    </a:solidFill>
                    <a:latin typeface="微软雅黑" panose="020B0503020204020204" charset="-122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'2025统计'!$U$9:$U$20</c:f>
              <c:strCache>
                <c:ptCount val="12"/>
                <c:pt idx="0">
                  <c:v>2025年1月</c:v>
                </c:pt>
                <c:pt idx="1">
                  <c:v>2025年2月</c:v>
                </c:pt>
                <c:pt idx="2">
                  <c:v>2025年3月</c:v>
                </c:pt>
                <c:pt idx="3">
                  <c:v>2025年4月</c:v>
                </c:pt>
                <c:pt idx="4">
                  <c:v>2025年5月</c:v>
                </c:pt>
                <c:pt idx="5">
                  <c:v>2025年6月</c:v>
                </c:pt>
                <c:pt idx="6">
                  <c:v>2025年7月</c:v>
                </c:pt>
                <c:pt idx="7">
                  <c:v>2025年8月</c:v>
                </c:pt>
                <c:pt idx="8">
                  <c:v>2025年9月</c:v>
                </c:pt>
                <c:pt idx="9">
                  <c:v>2025年10月</c:v>
                </c:pt>
                <c:pt idx="10">
                  <c:v>2025年11月</c:v>
                </c:pt>
                <c:pt idx="11">
                  <c:v>2025年12月</c:v>
                </c:pt>
              </c:strCache>
            </c:strRef>
          </c:cat>
          <c:val>
            <c:numRef>
              <c:f>'2025统计'!$V$9:$V$20</c:f>
              <c:numCache>
                <c:formatCode>General</c:formatCode>
                <c:ptCount val="12"/>
                <c:pt idx="0">
                  <c:v>2.02501</c:v>
                </c:pt>
                <c:pt idx="1">
                  <c:v>2.110069</c:v>
                </c:pt>
                <c:pt idx="2">
                  <c:v>2.112774</c:v>
                </c:pt>
                <c:pt idx="3">
                  <c:v>2.130488</c:v>
                </c:pt>
                <c:pt idx="4">
                  <c:v>2.291459</c:v>
                </c:pt>
                <c:pt idx="5">
                  <c:v>2.689123</c:v>
                </c:pt>
                <c:pt idx="6">
                  <c:v>2.772868</c:v>
                </c:pt>
                <c:pt idx="7">
                  <c:v>3.586044</c:v>
                </c:pt>
                <c:pt idx="8">
                  <c:v>3.981362</c:v>
                </c:pt>
                <c:pt idx="9">
                  <c:v>4.047463</c:v>
                </c:pt>
                <c:pt idx="10">
                  <c:v>4.216098</c:v>
                </c:pt>
                <c:pt idx="11">
                  <c:v>4.224302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"工程院"</c:f>
              <c:strCache>
                <c:ptCount val="1"/>
                <c:pt idx="0">
                  <c:v>工程院</c:v>
                </c:pt>
              </c:strCache>
            </c:strRef>
          </c:tx>
          <c:spPr>
            <a:ln w="19050" cap="rnd" cmpd="sng" algn="ctr">
              <a:solidFill>
                <a:schemeClr val="accent4"/>
              </a:solidFill>
              <a:prstDash val="solid"/>
              <a:round/>
            </a:ln>
          </c:spPr>
          <c:marker>
            <c:symbol val="circle"/>
            <c:size val="17"/>
            <c:spPr>
              <a:solidFill>
                <a:schemeClr val="accent4"/>
              </a:solidFill>
              <a:ln w="6350" cap="flat" cmpd="sng" algn="ctr">
                <a:solidFill>
                  <a:schemeClr val="accent4"/>
                </a:solidFill>
                <a:prstDash val="solid"/>
                <a:round/>
              </a:ln>
            </c:spPr>
          </c:marker>
          <c:dLbls>
            <c:numFmt formatCode="0.00&quot;亿元&quot;" sourceLinked="0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800" b="1" i="0" u="none" strike="noStrike" kern="1200" baseline="0">
                    <a:solidFill>
                      <a:srgbClr val="FFC000"/>
                    </a:solidFill>
                    <a:latin typeface="微软雅黑" panose="020B0503020204020204" charset="-122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'2025统计'!$U$9:$U$20</c:f>
              <c:strCache>
                <c:ptCount val="12"/>
                <c:pt idx="0">
                  <c:v>2025年1月</c:v>
                </c:pt>
                <c:pt idx="1">
                  <c:v>2025年2月</c:v>
                </c:pt>
                <c:pt idx="2">
                  <c:v>2025年3月</c:v>
                </c:pt>
                <c:pt idx="3">
                  <c:v>2025年4月</c:v>
                </c:pt>
                <c:pt idx="4">
                  <c:v>2025年5月</c:v>
                </c:pt>
                <c:pt idx="5">
                  <c:v>2025年6月</c:v>
                </c:pt>
                <c:pt idx="6">
                  <c:v>2025年7月</c:v>
                </c:pt>
                <c:pt idx="7">
                  <c:v>2025年8月</c:v>
                </c:pt>
                <c:pt idx="8">
                  <c:v>2025年9月</c:v>
                </c:pt>
                <c:pt idx="9">
                  <c:v>2025年10月</c:v>
                </c:pt>
                <c:pt idx="10">
                  <c:v>2025年11月</c:v>
                </c:pt>
                <c:pt idx="11">
                  <c:v>2025年12月</c:v>
                </c:pt>
              </c:strCache>
            </c:strRef>
          </c:cat>
          <c:val>
            <c:numRef>
              <c:f>'2025统计'!$W$9:$W$20</c:f>
              <c:numCache>
                <c:formatCode>General</c:formatCode>
                <c:ptCount val="12"/>
                <c:pt idx="0">
                  <c:v>0.346698</c:v>
                </c:pt>
                <c:pt idx="1">
                  <c:v>0.346698</c:v>
                </c:pt>
                <c:pt idx="2">
                  <c:v>0.346698</c:v>
                </c:pt>
                <c:pt idx="3">
                  <c:v>0.454772</c:v>
                </c:pt>
                <c:pt idx="4">
                  <c:v>4.45219</c:v>
                </c:pt>
                <c:pt idx="5">
                  <c:v>4.453679</c:v>
                </c:pt>
                <c:pt idx="6">
                  <c:v>4.677412</c:v>
                </c:pt>
                <c:pt idx="7">
                  <c:v>4.812615</c:v>
                </c:pt>
                <c:pt idx="8">
                  <c:v>4.817577</c:v>
                </c:pt>
                <c:pt idx="9">
                  <c:v>4.896077</c:v>
                </c:pt>
                <c:pt idx="10">
                  <c:v>4.968803</c:v>
                </c:pt>
                <c:pt idx="11">
                  <c:v>6.089119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"汇隽院"</c:f>
              <c:strCache>
                <c:ptCount val="1"/>
                <c:pt idx="0">
                  <c:v>汇隽院</c:v>
                </c:pt>
              </c:strCache>
            </c:strRef>
          </c:tx>
          <c:spPr>
            <a:ln w="19050" cap="rnd" cmpd="sng" algn="ctr">
              <a:solidFill>
                <a:schemeClr val="accent4"/>
              </a:solidFill>
              <a:prstDash val="solid"/>
              <a:round/>
            </a:ln>
          </c:spPr>
          <c:marker>
            <c:symbol val="circle"/>
            <c:size val="17"/>
            <c:spPr>
              <a:solidFill>
                <a:schemeClr val="accent4"/>
              </a:solidFill>
              <a:ln w="6350" cap="flat" cmpd="sng" algn="ctr">
                <a:solidFill>
                  <a:schemeClr val="accent4"/>
                </a:solidFill>
                <a:prstDash val="solid"/>
                <a:round/>
              </a:ln>
            </c:spPr>
          </c:marker>
          <c:dLbls>
            <c:numFmt formatCode="0.00&quot;亿元&quot;" sourceLinked="0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800" b="1" i="0" u="none" strike="noStrike" kern="1200" baseline="0">
                    <a:solidFill>
                      <a:srgbClr val="FFC000"/>
                    </a:solidFill>
                    <a:latin typeface="微软雅黑" panose="020B0503020204020204" charset="-122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'2025统计'!$U$9:$U$20</c:f>
              <c:strCache>
                <c:ptCount val="12"/>
                <c:pt idx="0">
                  <c:v>2025年1月</c:v>
                </c:pt>
                <c:pt idx="1">
                  <c:v>2025年2月</c:v>
                </c:pt>
                <c:pt idx="2">
                  <c:v>2025年3月</c:v>
                </c:pt>
                <c:pt idx="3">
                  <c:v>2025年4月</c:v>
                </c:pt>
                <c:pt idx="4">
                  <c:v>2025年5月</c:v>
                </c:pt>
                <c:pt idx="5">
                  <c:v>2025年6月</c:v>
                </c:pt>
                <c:pt idx="6">
                  <c:v>2025年7月</c:v>
                </c:pt>
                <c:pt idx="7">
                  <c:v>2025年8月</c:v>
                </c:pt>
                <c:pt idx="8">
                  <c:v>2025年9月</c:v>
                </c:pt>
                <c:pt idx="9">
                  <c:v>2025年10月</c:v>
                </c:pt>
                <c:pt idx="10">
                  <c:v>2025年11月</c:v>
                </c:pt>
                <c:pt idx="11">
                  <c:v>2025年12月</c:v>
                </c:pt>
              </c:strCache>
            </c:strRef>
          </c:cat>
          <c:val>
            <c:numRef>
              <c:f>'2025统计'!$X$9:$X$20</c:f>
              <c:numCache>
                <c:formatCode>General</c:formatCode>
                <c:ptCount val="12"/>
                <c:pt idx="0">
                  <c:v>0.079978</c:v>
                </c:pt>
                <c:pt idx="1">
                  <c:v>0.079978</c:v>
                </c:pt>
                <c:pt idx="2">
                  <c:v>0.079978</c:v>
                </c:pt>
                <c:pt idx="3">
                  <c:v>0.080596</c:v>
                </c:pt>
                <c:pt idx="4">
                  <c:v>0.121925</c:v>
                </c:pt>
                <c:pt idx="5">
                  <c:v>0.131441</c:v>
                </c:pt>
                <c:pt idx="6">
                  <c:v>0.216809</c:v>
                </c:pt>
                <c:pt idx="7">
                  <c:v>0.269204</c:v>
                </c:pt>
                <c:pt idx="8">
                  <c:v>0.342941</c:v>
                </c:pt>
                <c:pt idx="9">
                  <c:v>0.355944</c:v>
                </c:pt>
                <c:pt idx="10">
                  <c:v>0.394006</c:v>
                </c:pt>
                <c:pt idx="11">
                  <c:v>0.395135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"省院"</c:f>
              <c:strCache>
                <c:ptCount val="1"/>
                <c:pt idx="0">
                  <c:v>省院</c:v>
                </c:pt>
              </c:strCache>
            </c:strRef>
          </c:tx>
          <c:spPr>
            <a:ln w="19050" cap="rnd" cmpd="sng" algn="ctr">
              <a:solidFill>
                <a:schemeClr val="accent5"/>
              </a:solidFill>
              <a:prstDash val="solid"/>
              <a:round/>
            </a:ln>
          </c:spPr>
          <c:marker>
            <c:symbol val="circle"/>
            <c:size val="17"/>
            <c:spPr>
              <a:solidFill>
                <a:schemeClr val="accent5"/>
              </a:solidFill>
              <a:ln w="6350" cap="flat" cmpd="sng" algn="ctr">
                <a:solidFill>
                  <a:schemeClr val="accent5"/>
                </a:solidFill>
                <a:prstDash val="solid"/>
                <a:round/>
              </a:ln>
            </c:spPr>
          </c:marker>
          <c:dLbls>
            <c:numFmt formatCode="0.00&quot;亿元&quot;" sourceLinked="0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800" b="1" i="0" u="none" strike="noStrike" kern="1200" baseline="0">
                    <a:solidFill>
                      <a:srgbClr val="4472C4"/>
                    </a:solidFill>
                    <a:latin typeface="微软雅黑" panose="020B0503020204020204" charset="-122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'2025统计'!$U$9:$U$20</c:f>
              <c:strCache>
                <c:ptCount val="12"/>
                <c:pt idx="0">
                  <c:v>2025年1月</c:v>
                </c:pt>
                <c:pt idx="1">
                  <c:v>2025年2月</c:v>
                </c:pt>
                <c:pt idx="2">
                  <c:v>2025年3月</c:v>
                </c:pt>
                <c:pt idx="3">
                  <c:v>2025年4月</c:v>
                </c:pt>
                <c:pt idx="4">
                  <c:v>2025年5月</c:v>
                </c:pt>
                <c:pt idx="5">
                  <c:v>2025年6月</c:v>
                </c:pt>
                <c:pt idx="6">
                  <c:v>2025年7月</c:v>
                </c:pt>
                <c:pt idx="7">
                  <c:v>2025年8月</c:v>
                </c:pt>
                <c:pt idx="8">
                  <c:v>2025年9月</c:v>
                </c:pt>
                <c:pt idx="9">
                  <c:v>2025年10月</c:v>
                </c:pt>
                <c:pt idx="10">
                  <c:v>2025年11月</c:v>
                </c:pt>
                <c:pt idx="11">
                  <c:v>2025年12月</c:v>
                </c:pt>
              </c:strCache>
            </c:strRef>
          </c:cat>
          <c:val>
            <c:numRef>
              <c:f>'2025统计'!$Y$9:$Y$20</c:f>
              <c:numCache>
                <c:formatCode>General</c:formatCode>
                <c:ptCount val="12"/>
                <c:pt idx="0">
                  <c:v>0</c:v>
                </c:pt>
                <c:pt idx="1">
                  <c:v>0.334588</c:v>
                </c:pt>
                <c:pt idx="2">
                  <c:v>0.366323</c:v>
                </c:pt>
                <c:pt idx="3">
                  <c:v>0.366323</c:v>
                </c:pt>
                <c:pt idx="4">
                  <c:v>0.366323</c:v>
                </c:pt>
                <c:pt idx="5">
                  <c:v>0.529757000000001</c:v>
                </c:pt>
                <c:pt idx="6">
                  <c:v>0.529757000000001</c:v>
                </c:pt>
                <c:pt idx="7">
                  <c:v>0.529757000000001</c:v>
                </c:pt>
                <c:pt idx="8">
                  <c:v>0.529757000000001</c:v>
                </c:pt>
                <c:pt idx="9">
                  <c:v>0.529757000000001</c:v>
                </c:pt>
                <c:pt idx="10">
                  <c:v>0.529757000000001</c:v>
                </c:pt>
                <c:pt idx="11">
                  <c:v>0.529757000000001</c:v>
                </c:pt>
              </c:numCache>
            </c:numRef>
          </c:val>
          <c:smooth val="1"/>
        </c:ser>
        <c:ser>
          <c:idx val="4"/>
          <c:order val="4"/>
          <c:tx>
            <c:strRef>
              <c:f>"其他"</c:f>
              <c:strCache>
                <c:ptCount val="1"/>
                <c:pt idx="0">
                  <c:v>其他</c:v>
                </c:pt>
              </c:strCache>
            </c:strRef>
          </c:tx>
          <c:spPr>
            <a:ln w="19050" cap="rnd" cmpd="sng" algn="ctr">
              <a:solidFill>
                <a:schemeClr val="accent6"/>
              </a:solidFill>
              <a:prstDash val="solid"/>
              <a:round/>
            </a:ln>
          </c:spPr>
          <c:marker>
            <c:symbol val="circle"/>
            <c:size val="17"/>
            <c:spPr>
              <a:solidFill>
                <a:schemeClr val="accent6"/>
              </a:solidFill>
              <a:ln w="6350" cap="flat" cmpd="sng" algn="ctr">
                <a:solidFill>
                  <a:schemeClr val="accent6"/>
                </a:solidFill>
                <a:prstDash val="solid"/>
                <a:round/>
              </a:ln>
            </c:spPr>
          </c:marker>
          <c:dLbls>
            <c:numFmt formatCode="0.00&quot;亿元&quot;" sourceLinked="0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800" b="1" i="0" u="none" strike="noStrike" kern="1200" baseline="0">
                    <a:solidFill>
                      <a:srgbClr val="70AD47"/>
                    </a:solidFill>
                    <a:latin typeface="微软雅黑" panose="020B0503020204020204" charset="-122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'2025统计'!$U$9:$U$20</c:f>
              <c:strCache>
                <c:ptCount val="12"/>
                <c:pt idx="0">
                  <c:v>2025年1月</c:v>
                </c:pt>
                <c:pt idx="1">
                  <c:v>2025年2月</c:v>
                </c:pt>
                <c:pt idx="2">
                  <c:v>2025年3月</c:v>
                </c:pt>
                <c:pt idx="3">
                  <c:v>2025年4月</c:v>
                </c:pt>
                <c:pt idx="4">
                  <c:v>2025年5月</c:v>
                </c:pt>
                <c:pt idx="5">
                  <c:v>2025年6月</c:v>
                </c:pt>
                <c:pt idx="6">
                  <c:v>2025年7月</c:v>
                </c:pt>
                <c:pt idx="7">
                  <c:v>2025年8月</c:v>
                </c:pt>
                <c:pt idx="8">
                  <c:v>2025年9月</c:v>
                </c:pt>
                <c:pt idx="9">
                  <c:v>2025年10月</c:v>
                </c:pt>
                <c:pt idx="10">
                  <c:v>2025年11月</c:v>
                </c:pt>
                <c:pt idx="11">
                  <c:v>2025年12月</c:v>
                </c:pt>
              </c:strCache>
            </c:strRef>
          </c:cat>
          <c:val>
            <c:numRef>
              <c:f>'2025统计'!$Z$9:$Z$20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0.018914</c:v>
                </c:pt>
                <c:pt idx="5">
                  <c:v>0.018914</c:v>
                </c:pt>
                <c:pt idx="6">
                  <c:v>0.018914</c:v>
                </c:pt>
                <c:pt idx="7">
                  <c:v>0.051395</c:v>
                </c:pt>
                <c:pt idx="8">
                  <c:v>0.051395</c:v>
                </c:pt>
                <c:pt idx="9">
                  <c:v>0.051395</c:v>
                </c:pt>
                <c:pt idx="10">
                  <c:v>0.051395</c:v>
                </c:pt>
                <c:pt idx="11">
                  <c:v>0.051395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1"/>
        <c:axId val="1942959810"/>
        <c:axId val="311962678"/>
      </c:lineChart>
      <c:catAx>
        <c:axId val="1942959810"/>
        <c:scaling>
          <c:orientation val="minMax"/>
        </c:scaling>
        <c:delete val="0"/>
        <c:axPos val="b"/>
        <c:title>
          <c:layout/>
          <c:overlay val="0"/>
          <c:tx>
            <c:rich>
              <a:bodyPr/>
              <a:lstStyle/>
              <a:p>
                <a:pPr>
                  <a:defRPr/>
                </a:pPr>
              </a:p>
            </c:rich>
          </c:tx>
        </c:title>
        <c:numFmt formatCode="General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dk1"/>
                </a:solidFill>
                <a:latin typeface="微软雅黑" panose="020B0503020204020204" charset="-122"/>
                <a:ea typeface="+mn-ea"/>
                <a:cs typeface="+mn-cs"/>
              </a:defRPr>
            </a:pPr>
          </a:p>
        </c:txPr>
        <c:crossAx val="311962678"/>
        <c:crosses val="autoZero"/>
        <c:auto val="1"/>
        <c:lblAlgn val="ctr"/>
        <c:lblOffset val="100"/>
        <c:noMultiLvlLbl val="1"/>
      </c:catAx>
      <c:valAx>
        <c:axId val="311962678"/>
        <c:scaling>
          <c:orientation val="minMax"/>
        </c:scaling>
        <c:delete val="0"/>
        <c:axPos val="l"/>
        <c:title>
          <c:layout/>
          <c:overlay val="0"/>
          <c:tx>
            <c:rich>
              <a:bodyPr/>
              <a:lstStyle/>
              <a:p>
                <a:pPr>
                  <a:defRPr/>
                </a:pPr>
              </a:p>
            </c:rich>
          </c:tx>
        </c:title>
        <c:numFmt formatCode="General" sourceLinked="1"/>
        <c:majorTickMark val="none"/>
        <c:minorTickMark val="none"/>
        <c:tickLblPos val="nextTo"/>
        <c:spPr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dk1"/>
                </a:solidFill>
                <a:latin typeface="微软雅黑" panose="020B0503020204020204" charset="-122"/>
                <a:ea typeface="+mn-ea"/>
                <a:cs typeface="+mn-cs"/>
              </a:defRPr>
            </a:pPr>
          </a:p>
        </c:txPr>
        <c:crossAx val="1942959810"/>
        <c:crosses val="autoZero"/>
        <c:crossBetween val="between"/>
      </c:valAx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000000"/>
                </a:solidFill>
                <a:latin typeface="微软雅黑" panose="020B0503020204020204" charset="-122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000000"/>
                </a:solidFill>
                <a:latin typeface="微软雅黑" panose="020B0503020204020204" charset="-122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000000"/>
                </a:solidFill>
                <a:latin typeface="微软雅黑" panose="020B0503020204020204" charset="-122"/>
                <a:ea typeface="+mn-ea"/>
                <a:cs typeface="+mn-cs"/>
              </a:defRPr>
            </a:pPr>
          </a:p>
        </c:txPr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000000"/>
                </a:solidFill>
                <a:latin typeface="微软雅黑" panose="020B0503020204020204" charset="-122"/>
                <a:ea typeface="+mn-ea"/>
                <a:cs typeface="+mn-cs"/>
              </a:defRPr>
            </a:pPr>
          </a:p>
        </c:txPr>
      </c:legendEntry>
      <c:legendEntry>
        <c:idx val="4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000000"/>
                </a:solidFill>
                <a:latin typeface="微软雅黑" panose="020B0503020204020204" charset="-122"/>
                <a:ea typeface="+mn-ea"/>
                <a:cs typeface="+mn-cs"/>
              </a:defRPr>
            </a:pPr>
          </a:p>
        </c:txPr>
      </c:legendEntry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800" b="0" i="0" u="none" strike="noStrike" kern="1200" baseline="0">
              <a:solidFill>
                <a:schemeClr val="dk1"/>
              </a:solidFill>
              <a:latin typeface="微软雅黑" panose="020B0503020204020204" charset="-122"/>
              <a:ea typeface="+mn-ea"/>
              <a:cs typeface="+mn-cs"/>
            </a:defRPr>
          </a:pPr>
        </a:p>
      </c:txPr>
    </c:legend>
    <c:plotVisOnly val="1"/>
    <c:dispBlanksAs val="zero"/>
    <c:showDLblsOverMax val="1"/>
    <c:extLst>
      <c:ext uri="{0b15fc19-7d7d-44ad-8c2d-2c3a37ce22c3}">
        <chartProps xmlns="https://web.wps.cn/et/2018/main" chartId="{e3de8058-8117-466d-b277-c776aec0dfa1}"/>
      </c:ext>
    </c:extLst>
  </c:chart>
  <c:spPr>
    <a:solidFill>
      <a:schemeClr val="lt1"/>
    </a:solidFill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zh-CN" sz="1000" b="0" i="0" u="none" strike="noStrike" kern="1200" baseline="0">
                <a:solidFill>
                  <a:srgbClr val="757575"/>
                </a:solidFill>
                <a:latin typeface="微软雅黑" panose="020B0503020204020204" charset="-122"/>
                <a:ea typeface="+mn-ea"/>
                <a:cs typeface="+mn-cs"/>
              </a:defRPr>
            </a:pPr>
            <a:r>
              <a:rPr lang="zh-CN" altLang="en-US" sz="1000" b="0" i="0">
                <a:solidFill>
                  <a:srgbClr val="757575"/>
                </a:solidFill>
                <a:latin typeface="微软雅黑" panose="020B0503020204020204" charset="-122"/>
              </a:rPr>
              <a:t>技术经济部完成评审项目情况</a:t>
            </a:r>
            <a:endParaRPr lang="zh-CN" altLang="en-US" sz="1000" b="0" i="0">
              <a:solidFill>
                <a:srgbClr val="757575"/>
              </a:solidFill>
              <a:latin typeface="微软雅黑" panose="020B0503020204020204" charset="-122"/>
            </a:endParaRPr>
          </a:p>
        </c:rich>
      </c:tx>
      <c:layout>
        <c:manualLayout>
          <c:xMode val="edge"/>
          <c:yMode val="edge"/>
          <c:x val="0.393838349745322"/>
          <c:y val="0.0104165220855663"/>
        </c:manualLayout>
      </c:layout>
      <c:overlay val="0"/>
    </c:title>
    <c:autoTitleDeleted val="0"/>
    <c:plotArea>
      <c:layout/>
      <c:areaChart>
        <c:grouping val="percentStacked"/>
        <c:varyColors val="1"/>
        <c:ser>
          <c:idx val="0"/>
          <c:order val="0"/>
          <c:tx>
            <c:strRef>
              <c:f>"樊心田"</c:f>
              <c:strCache>
                <c:ptCount val="1"/>
                <c:pt idx="0">
                  <c:v>樊心田</c:v>
                </c:pt>
              </c:strCache>
            </c:strRef>
          </c:tx>
          <c:spPr>
            <a:solidFill>
              <a:srgbClr val="FFC000">
                <a:alpha val="30000"/>
              </a:srgbClr>
            </a:solidFill>
            <a:ln cmpd="sng">
              <a:solidFill>
                <a:srgbClr val="FFC000"/>
              </a:solidFill>
            </a:ln>
          </c:spPr>
          <c:dLbls>
            <c:numFmt formatCode="0&quot;项&quot;" sourceLinked="0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800" b="0" i="0" u="none" strike="noStrike" kern="1200" baseline="0">
                    <a:solidFill>
                      <a:schemeClr val="tx1"/>
                    </a:solidFill>
                    <a:latin typeface="微软雅黑" panose="020B0503020204020204" charset="-122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'2025统计'!$K$43:$K$54</c:f>
              <c:strCache>
                <c:ptCount val="12"/>
                <c:pt idx="0">
                  <c:v>2025年1月</c:v>
                </c:pt>
                <c:pt idx="1">
                  <c:v>2025年2月</c:v>
                </c:pt>
                <c:pt idx="2">
                  <c:v>2025年3月</c:v>
                </c:pt>
                <c:pt idx="3">
                  <c:v>2025年4月</c:v>
                </c:pt>
                <c:pt idx="4">
                  <c:v>2025年5月</c:v>
                </c:pt>
                <c:pt idx="5">
                  <c:v>2025年6月</c:v>
                </c:pt>
                <c:pt idx="6">
                  <c:v>2025年7月</c:v>
                </c:pt>
                <c:pt idx="7">
                  <c:v>2025年8月</c:v>
                </c:pt>
                <c:pt idx="8">
                  <c:v>2025年9月</c:v>
                </c:pt>
                <c:pt idx="9">
                  <c:v>2025年10月</c:v>
                </c:pt>
                <c:pt idx="10">
                  <c:v>2025年11月</c:v>
                </c:pt>
                <c:pt idx="11">
                  <c:v>2025年12月</c:v>
                </c:pt>
              </c:strCache>
            </c:strRef>
          </c:cat>
          <c:val>
            <c:numRef>
              <c:f>'2025统计'!$L$43:$L$54</c:f>
              <c:numCache>
                <c:formatCode>General</c:formatCode>
                <c:ptCount val="12"/>
                <c:pt idx="0">
                  <c:v>3</c:v>
                </c:pt>
                <c:pt idx="1">
                  <c:v>5</c:v>
                </c:pt>
                <c:pt idx="2">
                  <c:v>8</c:v>
                </c:pt>
                <c:pt idx="3">
                  <c:v>15</c:v>
                </c:pt>
                <c:pt idx="4">
                  <c:v>18</c:v>
                </c:pt>
                <c:pt idx="5">
                  <c:v>23</c:v>
                </c:pt>
                <c:pt idx="6">
                  <c:v>26</c:v>
                </c:pt>
                <c:pt idx="7">
                  <c:v>34</c:v>
                </c:pt>
                <c:pt idx="8">
                  <c:v>39</c:v>
                </c:pt>
                <c:pt idx="9">
                  <c:v>49</c:v>
                </c:pt>
                <c:pt idx="10">
                  <c:v>52</c:v>
                </c:pt>
                <c:pt idx="11">
                  <c:v>56</c:v>
                </c:pt>
              </c:numCache>
            </c:numRef>
          </c:val>
        </c:ser>
        <c:ser>
          <c:idx val="1"/>
          <c:order val="1"/>
          <c:tx>
            <c:strRef>
              <c:f>"方明"</c:f>
              <c:strCache>
                <c:ptCount val="1"/>
                <c:pt idx="0">
                  <c:v>方明</c:v>
                </c:pt>
              </c:strCache>
            </c:strRef>
          </c:tx>
          <c:spPr>
            <a:solidFill>
              <a:srgbClr val="FFC000">
                <a:alpha val="30000"/>
              </a:srgbClr>
            </a:solidFill>
            <a:ln cmpd="sng">
              <a:solidFill>
                <a:srgbClr val="FFC000"/>
              </a:solidFill>
            </a:ln>
          </c:spPr>
          <c:dLbls>
            <c:numFmt formatCode="0&quot;项&quot;" sourceLinked="0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800" b="0" i="0" u="none" strike="noStrike" kern="1200" baseline="0">
                    <a:solidFill>
                      <a:schemeClr val="tx1"/>
                    </a:solidFill>
                    <a:latin typeface="微软雅黑" panose="020B0503020204020204" charset="-122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'2025统计'!$K$43:$K$54</c:f>
              <c:strCache>
                <c:ptCount val="12"/>
                <c:pt idx="0">
                  <c:v>2025年1月</c:v>
                </c:pt>
                <c:pt idx="1">
                  <c:v>2025年2月</c:v>
                </c:pt>
                <c:pt idx="2">
                  <c:v>2025年3月</c:v>
                </c:pt>
                <c:pt idx="3">
                  <c:v>2025年4月</c:v>
                </c:pt>
                <c:pt idx="4">
                  <c:v>2025年5月</c:v>
                </c:pt>
                <c:pt idx="5">
                  <c:v>2025年6月</c:v>
                </c:pt>
                <c:pt idx="6">
                  <c:v>2025年7月</c:v>
                </c:pt>
                <c:pt idx="7">
                  <c:v>2025年8月</c:v>
                </c:pt>
                <c:pt idx="8">
                  <c:v>2025年9月</c:v>
                </c:pt>
                <c:pt idx="9">
                  <c:v>2025年10月</c:v>
                </c:pt>
                <c:pt idx="10">
                  <c:v>2025年11月</c:v>
                </c:pt>
                <c:pt idx="11">
                  <c:v>2025年12月</c:v>
                </c:pt>
              </c:strCache>
            </c:strRef>
          </c:cat>
          <c:val>
            <c:numRef>
              <c:f>'2025统计'!$M$43:$M$54</c:f>
              <c:numCache>
                <c:formatCode>General</c:formatCode>
                <c:ptCount val="12"/>
                <c:pt idx="0">
                  <c:v>6</c:v>
                </c:pt>
                <c:pt idx="1">
                  <c:v>9</c:v>
                </c:pt>
                <c:pt idx="2">
                  <c:v>12</c:v>
                </c:pt>
                <c:pt idx="3">
                  <c:v>16</c:v>
                </c:pt>
                <c:pt idx="4">
                  <c:v>22</c:v>
                </c:pt>
                <c:pt idx="5">
                  <c:v>26</c:v>
                </c:pt>
                <c:pt idx="6">
                  <c:v>32</c:v>
                </c:pt>
                <c:pt idx="7">
                  <c:v>40</c:v>
                </c:pt>
                <c:pt idx="8">
                  <c:v>47</c:v>
                </c:pt>
                <c:pt idx="9">
                  <c:v>52</c:v>
                </c:pt>
                <c:pt idx="10">
                  <c:v>57</c:v>
                </c:pt>
                <c:pt idx="11">
                  <c:v>59</c:v>
                </c:pt>
              </c:numCache>
            </c:numRef>
          </c:val>
        </c:ser>
        <c:ser>
          <c:idx val="2"/>
          <c:order val="2"/>
          <c:tx>
            <c:strRef>
              <c:f>"谢瑞莲"</c:f>
              <c:strCache>
                <c:ptCount val="1"/>
                <c:pt idx="0">
                  <c:v>谢瑞莲</c:v>
                </c:pt>
              </c:strCache>
            </c:strRef>
          </c:tx>
          <c:spPr>
            <a:solidFill>
              <a:srgbClr val="FFFF00">
                <a:alpha val="30000"/>
              </a:srgbClr>
            </a:solidFill>
            <a:ln cmpd="sng">
              <a:solidFill>
                <a:srgbClr val="FFFF00"/>
              </a:solidFill>
            </a:ln>
          </c:spPr>
          <c:dLbls>
            <c:numFmt formatCode="0&quot;项&quot;" sourceLinked="0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800" b="0" i="0" u="none" strike="noStrike" kern="1200" baseline="0">
                    <a:solidFill>
                      <a:schemeClr val="tx1"/>
                    </a:solidFill>
                    <a:latin typeface="微软雅黑" panose="020B0503020204020204" charset="-122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'2025统计'!$K$43:$K$54</c:f>
              <c:strCache>
                <c:ptCount val="12"/>
                <c:pt idx="0">
                  <c:v>2025年1月</c:v>
                </c:pt>
                <c:pt idx="1">
                  <c:v>2025年2月</c:v>
                </c:pt>
                <c:pt idx="2">
                  <c:v>2025年3月</c:v>
                </c:pt>
                <c:pt idx="3">
                  <c:v>2025年4月</c:v>
                </c:pt>
                <c:pt idx="4">
                  <c:v>2025年5月</c:v>
                </c:pt>
                <c:pt idx="5">
                  <c:v>2025年6月</c:v>
                </c:pt>
                <c:pt idx="6">
                  <c:v>2025年7月</c:v>
                </c:pt>
                <c:pt idx="7">
                  <c:v>2025年8月</c:v>
                </c:pt>
                <c:pt idx="8">
                  <c:v>2025年9月</c:v>
                </c:pt>
                <c:pt idx="9">
                  <c:v>2025年10月</c:v>
                </c:pt>
                <c:pt idx="10">
                  <c:v>2025年11月</c:v>
                </c:pt>
                <c:pt idx="11">
                  <c:v>2025年12月</c:v>
                </c:pt>
              </c:strCache>
            </c:strRef>
          </c:cat>
          <c:val>
            <c:numRef>
              <c:f>'2025统计'!$N$43:$N$54</c:f>
              <c:numCache>
                <c:formatCode>General</c:formatCode>
                <c:ptCount val="12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11</c:v>
                </c:pt>
                <c:pt idx="4">
                  <c:v>15</c:v>
                </c:pt>
                <c:pt idx="5">
                  <c:v>18</c:v>
                </c:pt>
                <c:pt idx="6">
                  <c:v>22</c:v>
                </c:pt>
                <c:pt idx="7">
                  <c:v>27</c:v>
                </c:pt>
                <c:pt idx="8">
                  <c:v>33</c:v>
                </c:pt>
                <c:pt idx="9">
                  <c:v>35</c:v>
                </c:pt>
                <c:pt idx="10">
                  <c:v>37</c:v>
                </c:pt>
                <c:pt idx="11">
                  <c:v>42</c:v>
                </c:pt>
              </c:numCache>
            </c:numRef>
          </c:val>
        </c:ser>
        <c:ser>
          <c:idx val="3"/>
          <c:order val="3"/>
          <c:tx>
            <c:strRef>
              <c:f>"陈伟哲"</c:f>
              <c:strCache>
                <c:ptCount val="1"/>
                <c:pt idx="0">
                  <c:v>陈伟哲</c:v>
                </c:pt>
              </c:strCache>
            </c:strRef>
          </c:tx>
          <c:spPr>
            <a:solidFill>
              <a:srgbClr val="4472C4">
                <a:alpha val="30000"/>
              </a:srgbClr>
            </a:solidFill>
            <a:ln cmpd="sng">
              <a:solidFill>
                <a:srgbClr val="4472C4"/>
              </a:solidFill>
            </a:ln>
          </c:spPr>
          <c:dLbls>
            <c:numFmt formatCode="0&quot;项&quot;" sourceLinked="0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800" b="0" i="0" u="none" strike="noStrike" kern="1200" baseline="0">
                    <a:solidFill>
                      <a:schemeClr val="tx1"/>
                    </a:solidFill>
                    <a:latin typeface="微软雅黑" panose="020B0503020204020204" charset="-122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'2025统计'!$K$43:$K$54</c:f>
              <c:strCache>
                <c:ptCount val="12"/>
                <c:pt idx="0">
                  <c:v>2025年1月</c:v>
                </c:pt>
                <c:pt idx="1">
                  <c:v>2025年2月</c:v>
                </c:pt>
                <c:pt idx="2">
                  <c:v>2025年3月</c:v>
                </c:pt>
                <c:pt idx="3">
                  <c:v>2025年4月</c:v>
                </c:pt>
                <c:pt idx="4">
                  <c:v>2025年5月</c:v>
                </c:pt>
                <c:pt idx="5">
                  <c:v>2025年6月</c:v>
                </c:pt>
                <c:pt idx="6">
                  <c:v>2025年7月</c:v>
                </c:pt>
                <c:pt idx="7">
                  <c:v>2025年8月</c:v>
                </c:pt>
                <c:pt idx="8">
                  <c:v>2025年9月</c:v>
                </c:pt>
                <c:pt idx="9">
                  <c:v>2025年10月</c:v>
                </c:pt>
                <c:pt idx="10">
                  <c:v>2025年11月</c:v>
                </c:pt>
                <c:pt idx="11">
                  <c:v>2025年12月</c:v>
                </c:pt>
              </c:strCache>
            </c:strRef>
          </c:cat>
          <c:val>
            <c:numRef>
              <c:f>'2025统计'!$O$43:$O$54</c:f>
              <c:numCache>
                <c:formatCode>General</c:formatCode>
                <c:ptCount val="12"/>
                <c:pt idx="0">
                  <c:v>4</c:v>
                </c:pt>
                <c:pt idx="1">
                  <c:v>7</c:v>
                </c:pt>
                <c:pt idx="2">
                  <c:v>12</c:v>
                </c:pt>
                <c:pt idx="3">
                  <c:v>19</c:v>
                </c:pt>
                <c:pt idx="4">
                  <c:v>25</c:v>
                </c:pt>
                <c:pt idx="5">
                  <c:v>31</c:v>
                </c:pt>
                <c:pt idx="6">
                  <c:v>33</c:v>
                </c:pt>
                <c:pt idx="7">
                  <c:v>39</c:v>
                </c:pt>
                <c:pt idx="8">
                  <c:v>44</c:v>
                </c:pt>
                <c:pt idx="9">
                  <c:v>46</c:v>
                </c:pt>
                <c:pt idx="10">
                  <c:v>51</c:v>
                </c:pt>
                <c:pt idx="11">
                  <c:v>56</c:v>
                </c:pt>
              </c:numCache>
            </c:numRef>
          </c:val>
        </c:ser>
        <c:ser>
          <c:idx val="4"/>
          <c:order val="4"/>
          <c:tx>
            <c:strRef>
              <c:f>"黄小珈"</c:f>
              <c:strCache>
                <c:ptCount val="1"/>
                <c:pt idx="0">
                  <c:v>黄小珈</c:v>
                </c:pt>
              </c:strCache>
            </c:strRef>
          </c:tx>
          <c:spPr>
            <a:solidFill>
              <a:srgbClr val="5B9BD5">
                <a:alpha val="30000"/>
              </a:srgbClr>
            </a:solidFill>
            <a:ln cmpd="sng">
              <a:solidFill>
                <a:srgbClr val="5B9BD5"/>
              </a:solidFill>
            </a:ln>
          </c:spPr>
          <c:dLbls>
            <c:numFmt formatCode="0&quot;项&quot;" sourceLinked="0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800" b="0" i="0" u="none" strike="noStrike" kern="1200" baseline="0">
                    <a:solidFill>
                      <a:schemeClr val="tx1"/>
                    </a:solidFill>
                    <a:latin typeface="微软雅黑" panose="020B0503020204020204" charset="-122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'2025统计'!$K$43:$K$54</c:f>
              <c:strCache>
                <c:ptCount val="12"/>
                <c:pt idx="0">
                  <c:v>2025年1月</c:v>
                </c:pt>
                <c:pt idx="1">
                  <c:v>2025年2月</c:v>
                </c:pt>
                <c:pt idx="2">
                  <c:v>2025年3月</c:v>
                </c:pt>
                <c:pt idx="3">
                  <c:v>2025年4月</c:v>
                </c:pt>
                <c:pt idx="4">
                  <c:v>2025年5月</c:v>
                </c:pt>
                <c:pt idx="5">
                  <c:v>2025年6月</c:v>
                </c:pt>
                <c:pt idx="6">
                  <c:v>2025年7月</c:v>
                </c:pt>
                <c:pt idx="7">
                  <c:v>2025年8月</c:v>
                </c:pt>
                <c:pt idx="8">
                  <c:v>2025年9月</c:v>
                </c:pt>
                <c:pt idx="9">
                  <c:v>2025年10月</c:v>
                </c:pt>
                <c:pt idx="10">
                  <c:v>2025年11月</c:v>
                </c:pt>
                <c:pt idx="11">
                  <c:v>2025年12月</c:v>
                </c:pt>
              </c:strCache>
            </c:strRef>
          </c:cat>
          <c:val>
            <c:numRef>
              <c:f>'2025统计'!$P$43:$P$54</c:f>
              <c:numCache>
                <c:formatCode>General</c:formatCode>
                <c:ptCount val="12"/>
                <c:pt idx="0">
                  <c:v>3</c:v>
                </c:pt>
                <c:pt idx="1">
                  <c:v>3</c:v>
                </c:pt>
                <c:pt idx="2">
                  <c:v>6</c:v>
                </c:pt>
                <c:pt idx="3">
                  <c:v>12</c:v>
                </c:pt>
                <c:pt idx="4">
                  <c:v>16</c:v>
                </c:pt>
                <c:pt idx="5">
                  <c:v>17</c:v>
                </c:pt>
                <c:pt idx="6">
                  <c:v>25</c:v>
                </c:pt>
                <c:pt idx="7">
                  <c:v>37</c:v>
                </c:pt>
                <c:pt idx="8">
                  <c:v>46</c:v>
                </c:pt>
                <c:pt idx="9">
                  <c:v>50</c:v>
                </c:pt>
                <c:pt idx="10">
                  <c:v>55</c:v>
                </c:pt>
                <c:pt idx="11">
                  <c:v>59</c:v>
                </c:pt>
              </c:numCache>
            </c:numRef>
          </c:val>
        </c:ser>
        <c:ser>
          <c:idx val="5"/>
          <c:order val="5"/>
          <c:tx>
            <c:strRef>
              <c:f>"王志会"</c:f>
              <c:strCache>
                <c:ptCount val="1"/>
                <c:pt idx="0">
                  <c:v>王志会</c:v>
                </c:pt>
              </c:strCache>
            </c:strRef>
          </c:tx>
          <c:spPr>
            <a:solidFill>
              <a:srgbClr val="4472C4">
                <a:alpha val="30000"/>
              </a:srgbClr>
            </a:solidFill>
            <a:ln cmpd="sng">
              <a:solidFill>
                <a:srgbClr val="4472C4"/>
              </a:solidFill>
            </a:ln>
          </c:spPr>
          <c:dLbls>
            <c:numFmt formatCode="0&quot;项&quot;" sourceLinked="0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800" b="0" i="0" u="none" strike="noStrike" kern="1200" baseline="0">
                    <a:solidFill>
                      <a:schemeClr val="tx1"/>
                    </a:solidFill>
                    <a:latin typeface="微软雅黑" panose="020B0503020204020204" charset="-122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'2025统计'!$K$43:$K$54</c:f>
              <c:strCache>
                <c:ptCount val="12"/>
                <c:pt idx="0">
                  <c:v>2025年1月</c:v>
                </c:pt>
                <c:pt idx="1">
                  <c:v>2025年2月</c:v>
                </c:pt>
                <c:pt idx="2">
                  <c:v>2025年3月</c:v>
                </c:pt>
                <c:pt idx="3">
                  <c:v>2025年4月</c:v>
                </c:pt>
                <c:pt idx="4">
                  <c:v>2025年5月</c:v>
                </c:pt>
                <c:pt idx="5">
                  <c:v>2025年6月</c:v>
                </c:pt>
                <c:pt idx="6">
                  <c:v>2025年7月</c:v>
                </c:pt>
                <c:pt idx="7">
                  <c:v>2025年8月</c:v>
                </c:pt>
                <c:pt idx="8">
                  <c:v>2025年9月</c:v>
                </c:pt>
                <c:pt idx="9">
                  <c:v>2025年10月</c:v>
                </c:pt>
                <c:pt idx="10">
                  <c:v>2025年11月</c:v>
                </c:pt>
                <c:pt idx="11">
                  <c:v>2025年12月</c:v>
                </c:pt>
              </c:strCache>
            </c:strRef>
          </c:cat>
          <c:val>
            <c:numRef>
              <c:f>'2025统计'!$Q$43:$Q$54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  <c:pt idx="6">
                  <c:v>3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</c:numCache>
            </c:numRef>
          </c:val>
        </c:ser>
        <c:ser>
          <c:idx val="6"/>
          <c:order val="6"/>
          <c:tx>
            <c:strRef>
              <c:f>"梁为"</c:f>
              <c:strCache>
                <c:ptCount val="1"/>
                <c:pt idx="0">
                  <c:v>梁为</c:v>
                </c:pt>
              </c:strCache>
            </c:strRef>
          </c:tx>
          <c:spPr>
            <a:solidFill>
              <a:srgbClr val="7030A0">
                <a:alpha val="30000"/>
              </a:srgbClr>
            </a:solidFill>
            <a:ln cmpd="sng">
              <a:solidFill>
                <a:srgbClr val="7030A0"/>
              </a:solidFill>
            </a:ln>
          </c:spPr>
          <c:dLbls>
            <c:numFmt formatCode="0&quot;项&quot;" sourceLinked="0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800" b="0" i="0" u="none" strike="noStrike" kern="1200" baseline="0">
                    <a:solidFill>
                      <a:schemeClr val="tx1"/>
                    </a:solidFill>
                    <a:latin typeface="微软雅黑" panose="020B0503020204020204" charset="-122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'2025统计'!$K$43:$K$54</c:f>
              <c:strCache>
                <c:ptCount val="12"/>
                <c:pt idx="0">
                  <c:v>2025年1月</c:v>
                </c:pt>
                <c:pt idx="1">
                  <c:v>2025年2月</c:v>
                </c:pt>
                <c:pt idx="2">
                  <c:v>2025年3月</c:v>
                </c:pt>
                <c:pt idx="3">
                  <c:v>2025年4月</c:v>
                </c:pt>
                <c:pt idx="4">
                  <c:v>2025年5月</c:v>
                </c:pt>
                <c:pt idx="5">
                  <c:v>2025年6月</c:v>
                </c:pt>
                <c:pt idx="6">
                  <c:v>2025年7月</c:v>
                </c:pt>
                <c:pt idx="7">
                  <c:v>2025年8月</c:v>
                </c:pt>
                <c:pt idx="8">
                  <c:v>2025年9月</c:v>
                </c:pt>
                <c:pt idx="9">
                  <c:v>2025年10月</c:v>
                </c:pt>
                <c:pt idx="10">
                  <c:v>2025年11月</c:v>
                </c:pt>
                <c:pt idx="11">
                  <c:v>2025年12月</c:v>
                </c:pt>
              </c:strCache>
            </c:strRef>
          </c:cat>
          <c:val>
            <c:numRef>
              <c:f>'2025统计'!$R$43:$R$54</c:f>
              <c:numCache>
                <c:formatCode>General</c:formatCode>
                <c:ptCount val="12"/>
                <c:pt idx="0">
                  <c:v>2</c:v>
                </c:pt>
                <c:pt idx="1">
                  <c:v>3</c:v>
                </c:pt>
                <c:pt idx="2">
                  <c:v>3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11</c:v>
                </c:pt>
                <c:pt idx="7">
                  <c:v>14</c:v>
                </c:pt>
                <c:pt idx="8">
                  <c:v>15</c:v>
                </c:pt>
                <c:pt idx="9">
                  <c:v>21</c:v>
                </c:pt>
                <c:pt idx="10">
                  <c:v>23</c:v>
                </c:pt>
                <c:pt idx="11">
                  <c:v>23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082587"/>
        <c:axId val="2104997560"/>
      </c:areaChart>
      <c:catAx>
        <c:axId val="30082587"/>
        <c:scaling>
          <c:orientation val="minMax"/>
        </c:scaling>
        <c:delete val="0"/>
        <c:axPos val="b"/>
        <c:title>
          <c:layout/>
          <c:overlay val="0"/>
          <c:tx>
            <c:rich>
              <a:bodyPr/>
              <a:lstStyle/>
              <a:p>
                <a:pPr>
                  <a:defRPr/>
                </a:pPr>
              </a:p>
            </c:rich>
          </c:tx>
        </c:title>
        <c:numFmt formatCode="General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rgbClr val="000000"/>
                </a:solidFill>
                <a:latin typeface="微软雅黑" panose="020B0503020204020204" charset="-122"/>
                <a:ea typeface="+mn-ea"/>
                <a:cs typeface="+mn-cs"/>
              </a:defRPr>
            </a:pPr>
          </a:p>
        </c:txPr>
        <c:crossAx val="2104997560"/>
        <c:crosses val="autoZero"/>
        <c:auto val="1"/>
        <c:lblAlgn val="ctr"/>
        <c:lblOffset val="100"/>
        <c:noMultiLvlLbl val="1"/>
      </c:catAx>
      <c:valAx>
        <c:axId val="2104997560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</c:spPr>
        </c:majorGridlines>
        <c:title>
          <c:layout/>
          <c:overlay val="0"/>
          <c:tx>
            <c:rich>
              <a:bodyPr/>
              <a:lstStyle/>
              <a:p>
                <a:pPr>
                  <a:defRPr/>
                </a:pPr>
              </a:p>
            </c:rich>
          </c:tx>
        </c:title>
        <c:numFmt formatCode="0%" sourceLinked="1"/>
        <c:majorTickMark val="none"/>
        <c:minorTickMark val="none"/>
        <c:tickLblPos val="nextTo"/>
        <c:spPr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rgbClr val="000000"/>
                </a:solidFill>
                <a:latin typeface="微软雅黑" panose="020B0503020204020204" charset="-122"/>
                <a:ea typeface="+mn-ea"/>
                <a:cs typeface="+mn-cs"/>
              </a:defRPr>
            </a:pPr>
          </a:p>
        </c:txPr>
        <c:crossAx val="30082587"/>
        <c:crosses val="autoZero"/>
        <c:crossBetween val="midCat"/>
      </c:valAx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1A1A1A"/>
                </a:solidFill>
                <a:latin typeface="微软雅黑" panose="020B0503020204020204" charset="-122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1A1A1A"/>
                </a:solidFill>
                <a:latin typeface="微软雅黑" panose="020B0503020204020204" charset="-122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1A1A1A"/>
                </a:solidFill>
                <a:latin typeface="微软雅黑" panose="020B0503020204020204" charset="-122"/>
                <a:ea typeface="+mn-ea"/>
                <a:cs typeface="+mn-cs"/>
              </a:defRPr>
            </a:pPr>
          </a:p>
        </c:txPr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1A1A1A"/>
                </a:solidFill>
                <a:latin typeface="微软雅黑" panose="020B0503020204020204" charset="-122"/>
                <a:ea typeface="+mn-ea"/>
                <a:cs typeface="+mn-cs"/>
              </a:defRPr>
            </a:pPr>
          </a:p>
        </c:txPr>
      </c:legendEntry>
      <c:legendEntry>
        <c:idx val="4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1A1A1A"/>
                </a:solidFill>
                <a:latin typeface="微软雅黑" panose="020B0503020204020204" charset="-122"/>
                <a:ea typeface="+mn-ea"/>
                <a:cs typeface="+mn-cs"/>
              </a:defRPr>
            </a:pPr>
          </a:p>
        </c:txPr>
      </c:legendEntry>
      <c:legendEntry>
        <c:idx val="5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1A1A1A"/>
                </a:solidFill>
                <a:latin typeface="微软雅黑" panose="020B0503020204020204" charset="-122"/>
                <a:ea typeface="+mn-ea"/>
                <a:cs typeface="+mn-cs"/>
              </a:defRPr>
            </a:pPr>
          </a:p>
        </c:txPr>
      </c:legendEntry>
      <c:legendEntry>
        <c:idx val="6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1A1A1A"/>
                </a:solidFill>
                <a:latin typeface="微软雅黑" panose="020B0503020204020204" charset="-122"/>
                <a:ea typeface="+mn-ea"/>
                <a:cs typeface="+mn-cs"/>
              </a:defRPr>
            </a:pPr>
          </a:p>
        </c:txPr>
      </c:legendEntry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800" b="0" i="0" u="none" strike="noStrike" kern="1200" baseline="0">
              <a:solidFill>
                <a:srgbClr val="1A1A1A"/>
              </a:solidFill>
              <a:latin typeface="微软雅黑" panose="020B0503020204020204" charset="-122"/>
              <a:ea typeface="+mn-ea"/>
              <a:cs typeface="+mn-cs"/>
            </a:defRPr>
          </a:pPr>
        </a:p>
      </c:txPr>
    </c:legend>
    <c:plotVisOnly val="1"/>
    <c:dispBlanksAs val="zero"/>
    <c:showDLblsOverMax val="1"/>
    <c:extLst>
      <c:ext uri="{0b15fc19-7d7d-44ad-8c2d-2c3a37ce22c3}">
        <chartProps xmlns="https://web.wps.cn/et/2018/main" chartId="{b1e852d5-b0de-40a5-b500-9c3702bbc80b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zh-CN" sz="1000" b="1" i="0" u="none" strike="noStrike" kern="1200" baseline="0">
                <a:solidFill>
                  <a:srgbClr val="757575"/>
                </a:solidFill>
                <a:latin typeface="微软雅黑" panose="020B0503020204020204" charset="-122"/>
                <a:ea typeface="+mn-ea"/>
                <a:cs typeface="+mn-cs"/>
              </a:defRPr>
            </a:pPr>
            <a:r>
              <a:rPr lang="zh-CN" altLang="en-US" sz="1000" b="1" i="0">
                <a:solidFill>
                  <a:srgbClr val="757575"/>
                </a:solidFill>
                <a:latin typeface="微软雅黑" panose="020B0503020204020204" charset="-122"/>
              </a:rPr>
              <a:t>规划中心主网项目评审工作量</a:t>
            </a:r>
            <a:endParaRPr lang="zh-CN" altLang="en-US" sz="1000" b="1" i="0">
              <a:solidFill>
                <a:srgbClr val="757575"/>
              </a:solidFill>
              <a:latin typeface="微软雅黑" panose="020B0503020204020204" charset="-122"/>
            </a:endParaRPr>
          </a:p>
        </c:rich>
      </c:tx>
      <c:layout/>
      <c:overlay val="0"/>
    </c:title>
    <c:autoTitleDeleted val="0"/>
    <c:plotArea>
      <c:layout>
        <c:manualLayout>
          <c:xMode val="edge"/>
          <c:yMode val="edge"/>
          <c:x val="0.0520712231536438"/>
          <c:y val="0.171434811094125"/>
          <c:w val="0.905464113075935"/>
          <c:h val="0.609172308364272"/>
        </c:manualLayout>
      </c:layout>
      <c:areaChart>
        <c:grouping val="stacked"/>
        <c:varyColors val="1"/>
        <c:ser>
          <c:idx val="0"/>
          <c:order val="0"/>
          <c:tx>
            <c:strRef>
              <c:f>"可研"</c:f>
              <c:strCache>
                <c:ptCount val="1"/>
                <c:pt idx="0">
                  <c:v>可研</c:v>
                </c:pt>
              </c:strCache>
            </c:strRef>
          </c:tx>
          <c:spPr>
            <a:solidFill>
              <a:srgbClr val="ED7D31">
                <a:alpha val="30000"/>
              </a:srgbClr>
            </a:solidFill>
            <a:ln cmpd="sng">
              <a:solidFill>
                <a:srgbClr val="ED7D31"/>
              </a:solidFill>
            </a:ln>
          </c:spPr>
          <c:dLbls>
            <c:numFmt formatCode="0&quot;项&quot;" sourceLinked="0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800" b="0" i="0" u="none" strike="noStrike" kern="1200" baseline="0">
                    <a:solidFill>
                      <a:schemeClr val="tx1"/>
                    </a:solidFill>
                    <a:latin typeface="微软雅黑" panose="020B0503020204020204" charset="-122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'2025统计'!$A$43:$A$54</c:f>
              <c:strCache>
                <c:ptCount val="12"/>
                <c:pt idx="0">
                  <c:v>2025年1月</c:v>
                </c:pt>
                <c:pt idx="1">
                  <c:v>2025年2月</c:v>
                </c:pt>
                <c:pt idx="2">
                  <c:v>2025年3月</c:v>
                </c:pt>
                <c:pt idx="3">
                  <c:v>2025年4月</c:v>
                </c:pt>
                <c:pt idx="4">
                  <c:v>2025年5月</c:v>
                </c:pt>
                <c:pt idx="5">
                  <c:v>2025年6月</c:v>
                </c:pt>
                <c:pt idx="6">
                  <c:v>2025年7月</c:v>
                </c:pt>
                <c:pt idx="7">
                  <c:v>2025年8月</c:v>
                </c:pt>
                <c:pt idx="8">
                  <c:v>2025年9月</c:v>
                </c:pt>
                <c:pt idx="9">
                  <c:v>2025年10月</c:v>
                </c:pt>
                <c:pt idx="10">
                  <c:v>2025年11月</c:v>
                </c:pt>
                <c:pt idx="11">
                  <c:v>2025年12月</c:v>
                </c:pt>
              </c:strCache>
            </c:strRef>
          </c:cat>
          <c:val>
            <c:numRef>
              <c:f>'2025统计'!$B$43:$B$54</c:f>
              <c:numCache>
                <c:formatCode>General</c:formatCode>
                <c:ptCount val="12"/>
                <c:pt idx="0">
                  <c:v>2</c:v>
                </c:pt>
                <c:pt idx="1">
                  <c:v>1</c:v>
                </c:pt>
                <c:pt idx="2">
                  <c:v>4</c:v>
                </c:pt>
                <c:pt idx="3">
                  <c:v>4</c:v>
                </c:pt>
                <c:pt idx="4">
                  <c:v>0</c:v>
                </c:pt>
                <c:pt idx="5">
                  <c:v>3</c:v>
                </c:pt>
                <c:pt idx="6">
                  <c:v>3</c:v>
                </c:pt>
                <c:pt idx="7">
                  <c:v>4</c:v>
                </c:pt>
                <c:pt idx="8">
                  <c:v>5</c:v>
                </c:pt>
                <c:pt idx="9">
                  <c:v>11</c:v>
                </c:pt>
                <c:pt idx="10">
                  <c:v>14</c:v>
                </c:pt>
                <c:pt idx="11">
                  <c:v>14</c:v>
                </c:pt>
              </c:numCache>
            </c:numRef>
          </c:val>
        </c:ser>
        <c:ser>
          <c:idx val="1"/>
          <c:order val="1"/>
          <c:tx>
            <c:strRef>
              <c:f>"可研调整"</c:f>
              <c:strCache>
                <c:ptCount val="1"/>
                <c:pt idx="0">
                  <c:v>可研调整</c:v>
                </c:pt>
              </c:strCache>
            </c:strRef>
          </c:tx>
          <c:spPr>
            <a:solidFill>
              <a:srgbClr val="FFC000">
                <a:alpha val="30000"/>
              </a:srgbClr>
            </a:solidFill>
            <a:ln cmpd="sng">
              <a:solidFill>
                <a:srgbClr val="FFC000"/>
              </a:solidFill>
            </a:ln>
          </c:spPr>
          <c:dLbls>
            <c:numFmt formatCode="0&quot;项&quot;" sourceLinked="0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800" b="0" i="0" u="none" strike="noStrike" kern="1200" baseline="0">
                    <a:solidFill>
                      <a:schemeClr val="tx1"/>
                    </a:solidFill>
                    <a:latin typeface="微软雅黑" panose="020B0503020204020204" charset="-122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'2025统计'!$A$43:$A$54</c:f>
              <c:strCache>
                <c:ptCount val="12"/>
                <c:pt idx="0">
                  <c:v>2025年1月</c:v>
                </c:pt>
                <c:pt idx="1">
                  <c:v>2025年2月</c:v>
                </c:pt>
                <c:pt idx="2">
                  <c:v>2025年3月</c:v>
                </c:pt>
                <c:pt idx="3">
                  <c:v>2025年4月</c:v>
                </c:pt>
                <c:pt idx="4">
                  <c:v>2025年5月</c:v>
                </c:pt>
                <c:pt idx="5">
                  <c:v>2025年6月</c:v>
                </c:pt>
                <c:pt idx="6">
                  <c:v>2025年7月</c:v>
                </c:pt>
                <c:pt idx="7">
                  <c:v>2025年8月</c:v>
                </c:pt>
                <c:pt idx="8">
                  <c:v>2025年9月</c:v>
                </c:pt>
                <c:pt idx="9">
                  <c:v>2025年10月</c:v>
                </c:pt>
                <c:pt idx="10">
                  <c:v>2025年11月</c:v>
                </c:pt>
                <c:pt idx="11">
                  <c:v>2025年12月</c:v>
                </c:pt>
              </c:strCache>
            </c:strRef>
          </c:cat>
          <c:val>
            <c:numRef>
              <c:f>'2025统计'!$C$43:$C$54</c:f>
              <c:numCache>
                <c:formatCode>General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</c:v>
                </c:pt>
                <c:pt idx="8">
                  <c:v>2</c:v>
                </c:pt>
                <c:pt idx="9">
                  <c:v>0</c:v>
                </c:pt>
                <c:pt idx="10">
                  <c:v>2</c:v>
                </c:pt>
                <c:pt idx="11">
                  <c:v>6</c:v>
                </c:pt>
              </c:numCache>
            </c:numRef>
          </c:val>
        </c:ser>
        <c:ser>
          <c:idx val="2"/>
          <c:order val="2"/>
          <c:tx>
            <c:strRef>
              <c:f>"初设"</c:f>
              <c:strCache>
                <c:ptCount val="1"/>
                <c:pt idx="0">
                  <c:v>初设</c:v>
                </c:pt>
              </c:strCache>
            </c:strRef>
          </c:tx>
          <c:spPr>
            <a:solidFill>
              <a:srgbClr val="4472C4">
                <a:alpha val="30000"/>
              </a:srgbClr>
            </a:solidFill>
            <a:ln cmpd="sng">
              <a:solidFill>
                <a:srgbClr val="4472C4"/>
              </a:solidFill>
            </a:ln>
          </c:spPr>
          <c:dLbls>
            <c:numFmt formatCode="0&quot;项&quot;" sourceLinked="0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800" b="0" i="0" u="none" strike="noStrike" kern="1200" baseline="0">
                    <a:solidFill>
                      <a:schemeClr val="tx1"/>
                    </a:solidFill>
                    <a:latin typeface="微软雅黑" panose="020B0503020204020204" charset="-122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'2025统计'!$A$43:$A$54</c:f>
              <c:strCache>
                <c:ptCount val="12"/>
                <c:pt idx="0">
                  <c:v>2025年1月</c:v>
                </c:pt>
                <c:pt idx="1">
                  <c:v>2025年2月</c:v>
                </c:pt>
                <c:pt idx="2">
                  <c:v>2025年3月</c:v>
                </c:pt>
                <c:pt idx="3">
                  <c:v>2025年4月</c:v>
                </c:pt>
                <c:pt idx="4">
                  <c:v>2025年5月</c:v>
                </c:pt>
                <c:pt idx="5">
                  <c:v>2025年6月</c:v>
                </c:pt>
                <c:pt idx="6">
                  <c:v>2025年7月</c:v>
                </c:pt>
                <c:pt idx="7">
                  <c:v>2025年8月</c:v>
                </c:pt>
                <c:pt idx="8">
                  <c:v>2025年9月</c:v>
                </c:pt>
                <c:pt idx="9">
                  <c:v>2025年10月</c:v>
                </c:pt>
                <c:pt idx="10">
                  <c:v>2025年11月</c:v>
                </c:pt>
                <c:pt idx="11">
                  <c:v>2025年12月</c:v>
                </c:pt>
              </c:strCache>
            </c:strRef>
          </c:cat>
          <c:val>
            <c:numRef>
              <c:f>'2025统计'!$D$43:$D$54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6</c:v>
                </c:pt>
                <c:pt idx="3">
                  <c:v>3</c:v>
                </c:pt>
                <c:pt idx="4">
                  <c:v>1</c:v>
                </c:pt>
                <c:pt idx="5">
                  <c:v>1</c:v>
                </c:pt>
                <c:pt idx="6">
                  <c:v>3</c:v>
                </c:pt>
                <c:pt idx="7">
                  <c:v>2</c:v>
                </c:pt>
                <c:pt idx="8">
                  <c:v>2</c:v>
                </c:pt>
                <c:pt idx="9">
                  <c:v>1</c:v>
                </c:pt>
                <c:pt idx="10">
                  <c:v>5</c:v>
                </c:pt>
                <c:pt idx="11">
                  <c:v>6</c:v>
                </c:pt>
              </c:numCache>
            </c:numRef>
          </c:val>
        </c:ser>
        <c:ser>
          <c:idx val="3"/>
          <c:order val="3"/>
          <c:tx>
            <c:strRef>
              <c:f>"初设调整"</c:f>
              <c:strCache>
                <c:ptCount val="1"/>
                <c:pt idx="0">
                  <c:v>初设调整</c:v>
                </c:pt>
              </c:strCache>
            </c:strRef>
          </c:tx>
          <c:spPr>
            <a:solidFill>
              <a:srgbClr val="5B9BD5">
                <a:alpha val="30000"/>
              </a:srgbClr>
            </a:solidFill>
            <a:ln cmpd="sng">
              <a:solidFill>
                <a:srgbClr val="5B9BD5"/>
              </a:solidFill>
            </a:ln>
          </c:spPr>
          <c:dLbls>
            <c:numFmt formatCode="0&quot;项&quot;" sourceLinked="0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800" b="0" i="0" u="none" strike="noStrike" kern="1200" baseline="0">
                    <a:solidFill>
                      <a:schemeClr val="tx1"/>
                    </a:solidFill>
                    <a:latin typeface="微软雅黑" panose="020B0503020204020204" charset="-122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'2025统计'!$A$43:$A$54</c:f>
              <c:strCache>
                <c:ptCount val="12"/>
                <c:pt idx="0">
                  <c:v>2025年1月</c:v>
                </c:pt>
                <c:pt idx="1">
                  <c:v>2025年2月</c:v>
                </c:pt>
                <c:pt idx="2">
                  <c:v>2025年3月</c:v>
                </c:pt>
                <c:pt idx="3">
                  <c:v>2025年4月</c:v>
                </c:pt>
                <c:pt idx="4">
                  <c:v>2025年5月</c:v>
                </c:pt>
                <c:pt idx="5">
                  <c:v>2025年6月</c:v>
                </c:pt>
                <c:pt idx="6">
                  <c:v>2025年7月</c:v>
                </c:pt>
                <c:pt idx="7">
                  <c:v>2025年8月</c:v>
                </c:pt>
                <c:pt idx="8">
                  <c:v>2025年9月</c:v>
                </c:pt>
                <c:pt idx="9">
                  <c:v>2025年10月</c:v>
                </c:pt>
                <c:pt idx="10">
                  <c:v>2025年11月</c:v>
                </c:pt>
                <c:pt idx="11">
                  <c:v>2025年12月</c:v>
                </c:pt>
              </c:strCache>
            </c:strRef>
          </c:cat>
          <c:val>
            <c:numRef>
              <c:f>'2025统计'!$E$43:$E$54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</c:ser>
        <c:ser>
          <c:idx val="4"/>
          <c:order val="4"/>
          <c:tx>
            <c:strRef>
              <c:f>"施工图及预算"</c:f>
              <c:strCache>
                <c:ptCount val="1"/>
                <c:pt idx="0">
                  <c:v>施工图及预算</c:v>
                </c:pt>
              </c:strCache>
            </c:strRef>
          </c:tx>
          <c:spPr>
            <a:solidFill>
              <a:srgbClr val="70AD47">
                <a:alpha val="30000"/>
              </a:srgbClr>
            </a:solidFill>
            <a:ln cmpd="sng">
              <a:solidFill>
                <a:srgbClr val="70AD47"/>
              </a:solidFill>
            </a:ln>
          </c:spPr>
          <c:dLbls>
            <c:numFmt formatCode="0&quot;项&quot;" sourceLinked="0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800" b="0" i="0" u="none" strike="noStrike" kern="1200" baseline="0">
                    <a:solidFill>
                      <a:schemeClr val="tx1"/>
                    </a:solidFill>
                    <a:latin typeface="微软雅黑" panose="020B0503020204020204" charset="-122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'2025统计'!$A$43:$A$54</c:f>
              <c:strCache>
                <c:ptCount val="12"/>
                <c:pt idx="0">
                  <c:v>2025年1月</c:v>
                </c:pt>
                <c:pt idx="1">
                  <c:v>2025年2月</c:v>
                </c:pt>
                <c:pt idx="2">
                  <c:v>2025年3月</c:v>
                </c:pt>
                <c:pt idx="3">
                  <c:v>2025年4月</c:v>
                </c:pt>
                <c:pt idx="4">
                  <c:v>2025年5月</c:v>
                </c:pt>
                <c:pt idx="5">
                  <c:v>2025年6月</c:v>
                </c:pt>
                <c:pt idx="6">
                  <c:v>2025年7月</c:v>
                </c:pt>
                <c:pt idx="7">
                  <c:v>2025年8月</c:v>
                </c:pt>
                <c:pt idx="8">
                  <c:v>2025年9月</c:v>
                </c:pt>
                <c:pt idx="9">
                  <c:v>2025年10月</c:v>
                </c:pt>
                <c:pt idx="10">
                  <c:v>2025年11月</c:v>
                </c:pt>
                <c:pt idx="11">
                  <c:v>2025年12月</c:v>
                </c:pt>
              </c:strCache>
            </c:strRef>
          </c:cat>
          <c:val>
            <c:numRef>
              <c:f>'2025统计'!$F$43:$F$54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5</c:v>
                </c:pt>
                <c:pt idx="7">
                  <c:v>2</c:v>
                </c:pt>
                <c:pt idx="8">
                  <c:v>4</c:v>
                </c:pt>
                <c:pt idx="9">
                  <c:v>2</c:v>
                </c:pt>
                <c:pt idx="10">
                  <c:v>5</c:v>
                </c:pt>
                <c:pt idx="11">
                  <c:v>6</c:v>
                </c:pt>
              </c:numCache>
            </c:numRef>
          </c:val>
        </c:ser>
        <c:ser>
          <c:idx val="5"/>
          <c:order val="5"/>
          <c:tx>
            <c:strRef>
              <c:f>"施工图预算调整"</c:f>
              <c:strCache>
                <c:ptCount val="1"/>
                <c:pt idx="0">
                  <c:v>施工图预算调整</c:v>
                </c:pt>
              </c:strCache>
            </c:strRef>
          </c:tx>
          <c:spPr>
            <a:solidFill>
              <a:srgbClr val="70AD47">
                <a:alpha val="30000"/>
              </a:srgbClr>
            </a:solidFill>
            <a:ln cmpd="sng">
              <a:solidFill>
                <a:srgbClr val="70AD47"/>
              </a:solidFill>
            </a:ln>
          </c:spPr>
          <c:dLbls>
            <c:numFmt formatCode="0&quot;项&quot;" sourceLinked="0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800" b="0" i="0" u="none" strike="noStrike" kern="1200" baseline="0">
                    <a:solidFill>
                      <a:schemeClr val="tx1"/>
                    </a:solidFill>
                    <a:latin typeface="微软雅黑" panose="020B0503020204020204" charset="-122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'2025统计'!$A$43:$A$54</c:f>
              <c:strCache>
                <c:ptCount val="12"/>
                <c:pt idx="0">
                  <c:v>2025年1月</c:v>
                </c:pt>
                <c:pt idx="1">
                  <c:v>2025年2月</c:v>
                </c:pt>
                <c:pt idx="2">
                  <c:v>2025年3月</c:v>
                </c:pt>
                <c:pt idx="3">
                  <c:v>2025年4月</c:v>
                </c:pt>
                <c:pt idx="4">
                  <c:v>2025年5月</c:v>
                </c:pt>
                <c:pt idx="5">
                  <c:v>2025年6月</c:v>
                </c:pt>
                <c:pt idx="6">
                  <c:v>2025年7月</c:v>
                </c:pt>
                <c:pt idx="7">
                  <c:v>2025年8月</c:v>
                </c:pt>
                <c:pt idx="8">
                  <c:v>2025年9月</c:v>
                </c:pt>
                <c:pt idx="9">
                  <c:v>2025年10月</c:v>
                </c:pt>
                <c:pt idx="10">
                  <c:v>2025年11月</c:v>
                </c:pt>
                <c:pt idx="11">
                  <c:v>2025年12月</c:v>
                </c:pt>
              </c:strCache>
            </c:strRef>
          </c:cat>
          <c:val>
            <c:numRef>
              <c:f>'2025统计'!$G$43:$G$54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6"/>
          <c:order val="6"/>
          <c:tx>
            <c:strRef>
              <c:f>"重大设计变更"</c:f>
              <c:strCache>
                <c:ptCount val="1"/>
                <c:pt idx="0">
                  <c:v>重大设计变更</c:v>
                </c:pt>
              </c:strCache>
            </c:strRef>
          </c:tx>
          <c:spPr>
            <a:solidFill>
              <a:srgbClr val="C00000">
                <a:alpha val="30000"/>
              </a:srgbClr>
            </a:solidFill>
            <a:ln cmpd="sng">
              <a:solidFill>
                <a:srgbClr val="C00000"/>
              </a:solidFill>
            </a:ln>
          </c:spPr>
          <c:dLbls>
            <c:numFmt formatCode="0&quot;项&quot;" sourceLinked="0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800" b="0" i="0" u="none" strike="noStrike" kern="1200" baseline="0">
                    <a:solidFill>
                      <a:schemeClr val="tx1"/>
                    </a:solidFill>
                    <a:latin typeface="微软雅黑" panose="020B0503020204020204" charset="-122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'2025统计'!$A$43:$A$54</c:f>
              <c:strCache>
                <c:ptCount val="12"/>
                <c:pt idx="0">
                  <c:v>2025年1月</c:v>
                </c:pt>
                <c:pt idx="1">
                  <c:v>2025年2月</c:v>
                </c:pt>
                <c:pt idx="2">
                  <c:v>2025年3月</c:v>
                </c:pt>
                <c:pt idx="3">
                  <c:v>2025年4月</c:v>
                </c:pt>
                <c:pt idx="4">
                  <c:v>2025年5月</c:v>
                </c:pt>
                <c:pt idx="5">
                  <c:v>2025年6月</c:v>
                </c:pt>
                <c:pt idx="6">
                  <c:v>2025年7月</c:v>
                </c:pt>
                <c:pt idx="7">
                  <c:v>2025年8月</c:v>
                </c:pt>
                <c:pt idx="8">
                  <c:v>2025年9月</c:v>
                </c:pt>
                <c:pt idx="9">
                  <c:v>2025年10月</c:v>
                </c:pt>
                <c:pt idx="10">
                  <c:v>2025年11月</c:v>
                </c:pt>
                <c:pt idx="11">
                  <c:v>2025年12月</c:v>
                </c:pt>
              </c:strCache>
            </c:strRef>
          </c:cat>
          <c:val>
            <c:numRef>
              <c:f>'2025统计'!$H$43:$H$54</c:f>
              <c:numCache>
                <c:formatCode>General</c:formatCode>
                <c:ptCount val="12"/>
                <c:pt idx="0">
                  <c:v>0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</c:v>
                </c:pt>
                <c:pt idx="9">
                  <c:v>2</c:v>
                </c:pt>
                <c:pt idx="10">
                  <c:v>2</c:v>
                </c:pt>
                <c:pt idx="11">
                  <c:v>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0057451"/>
        <c:axId val="1909268154"/>
      </c:areaChart>
      <c:catAx>
        <c:axId val="1140057451"/>
        <c:scaling>
          <c:orientation val="minMax"/>
        </c:scaling>
        <c:delete val="0"/>
        <c:axPos val="b"/>
        <c:title>
          <c:layout/>
          <c:overlay val="0"/>
          <c:tx>
            <c:rich>
              <a:bodyPr/>
              <a:lstStyle/>
              <a:p>
                <a:pPr>
                  <a:defRPr/>
                </a:pPr>
              </a:p>
            </c:rich>
          </c:tx>
        </c:title>
        <c:numFmt formatCode="General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rgbClr val="000000"/>
                </a:solidFill>
                <a:latin typeface="微软雅黑" panose="020B0503020204020204" charset="-122"/>
                <a:ea typeface="+mn-ea"/>
                <a:cs typeface="+mn-cs"/>
              </a:defRPr>
            </a:pPr>
          </a:p>
        </c:txPr>
        <c:crossAx val="1909268154"/>
        <c:crosses val="autoZero"/>
        <c:auto val="1"/>
        <c:lblAlgn val="ctr"/>
        <c:lblOffset val="100"/>
        <c:noMultiLvlLbl val="1"/>
      </c:catAx>
      <c:valAx>
        <c:axId val="1909268154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</c:spPr>
        </c:majorGridlines>
        <c:title>
          <c:layout/>
          <c:overlay val="0"/>
          <c:tx>
            <c:rich>
              <a:bodyPr/>
              <a:lstStyle/>
              <a:p>
                <a:pPr>
                  <a:defRPr/>
                </a:pPr>
              </a:p>
            </c:rich>
          </c:tx>
        </c:title>
        <c:numFmt formatCode="General" sourceLinked="1"/>
        <c:majorTickMark val="out"/>
        <c:minorTickMark val="none"/>
        <c:tickLblPos val="nextTo"/>
        <c:spPr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/>
                </a:solidFill>
                <a:latin typeface="微软雅黑" panose="020B0503020204020204" charset="-122"/>
                <a:ea typeface="+mn-ea"/>
                <a:cs typeface="+mn-cs"/>
              </a:defRPr>
            </a:pPr>
          </a:p>
        </c:txPr>
        <c:crossAx val="1140057451"/>
        <c:crosses val="autoZero"/>
        <c:crossBetween val="midCat"/>
      </c:valAx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1A1A1A"/>
                </a:solidFill>
                <a:latin typeface="微软雅黑" panose="020B0503020204020204" charset="-122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1A1A1A"/>
                </a:solidFill>
                <a:latin typeface="微软雅黑" panose="020B0503020204020204" charset="-122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1A1A1A"/>
                </a:solidFill>
                <a:latin typeface="微软雅黑" panose="020B0503020204020204" charset="-122"/>
                <a:ea typeface="+mn-ea"/>
                <a:cs typeface="+mn-cs"/>
              </a:defRPr>
            </a:pPr>
          </a:p>
        </c:txPr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1A1A1A"/>
                </a:solidFill>
                <a:latin typeface="微软雅黑" panose="020B0503020204020204" charset="-122"/>
                <a:ea typeface="+mn-ea"/>
                <a:cs typeface="+mn-cs"/>
              </a:defRPr>
            </a:pPr>
          </a:p>
        </c:txPr>
      </c:legendEntry>
      <c:legendEntry>
        <c:idx val="4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1A1A1A"/>
                </a:solidFill>
                <a:latin typeface="微软雅黑" panose="020B0503020204020204" charset="-122"/>
                <a:ea typeface="+mn-ea"/>
                <a:cs typeface="+mn-cs"/>
              </a:defRPr>
            </a:pPr>
          </a:p>
        </c:txPr>
      </c:legendEntry>
      <c:legendEntry>
        <c:idx val="5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1A1A1A"/>
                </a:solidFill>
                <a:latin typeface="微软雅黑" panose="020B0503020204020204" charset="-122"/>
                <a:ea typeface="+mn-ea"/>
                <a:cs typeface="+mn-cs"/>
              </a:defRPr>
            </a:pPr>
          </a:p>
        </c:txPr>
      </c:legendEntry>
      <c:legendEntry>
        <c:idx val="6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1A1A1A"/>
                </a:solidFill>
                <a:latin typeface="微软雅黑" panose="020B0503020204020204" charset="-122"/>
                <a:ea typeface="+mn-ea"/>
                <a:cs typeface="+mn-cs"/>
              </a:defRPr>
            </a:pPr>
          </a:p>
        </c:txPr>
      </c:legendEntry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800" b="0" i="0" u="none" strike="noStrike" kern="1200" baseline="0">
              <a:solidFill>
                <a:srgbClr val="1A1A1A"/>
              </a:solidFill>
              <a:latin typeface="微软雅黑" panose="020B0503020204020204" charset="-122"/>
              <a:ea typeface="+mn-ea"/>
              <a:cs typeface="+mn-cs"/>
            </a:defRPr>
          </a:pPr>
        </a:p>
      </c:txPr>
    </c:legend>
    <c:plotVisOnly val="1"/>
    <c:dispBlanksAs val="zero"/>
    <c:showDLblsOverMax val="1"/>
    <c:extLst>
      <c:ext uri="{0b15fc19-7d7d-44ad-8c2d-2c3a37ce22c3}">
        <chartProps xmlns="https://web.wps.cn/et/2018/main" chartId="{5a728c21-d50c-4fb1-ae06-dfeab531b840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zh-CN" sz="1000" b="0" i="0" u="none" strike="noStrike" kern="1200" baseline="0">
                <a:solidFill>
                  <a:srgbClr val="757575"/>
                </a:solidFill>
                <a:latin typeface="微软雅黑" panose="020B0503020204020204" charset="-122"/>
                <a:ea typeface="+mn-ea"/>
                <a:cs typeface="+mn-cs"/>
              </a:defRPr>
            </a:pPr>
            <a:r>
              <a:rPr lang="zh-CN" altLang="en-US" sz="1000" b="0" i="0">
                <a:solidFill>
                  <a:srgbClr val="757575"/>
                </a:solidFill>
                <a:latin typeface="微软雅黑" panose="020B0503020204020204" charset="-122"/>
              </a:rPr>
              <a:t>设计单位评审项目金额</a:t>
            </a:r>
            <a:endParaRPr lang="zh-CN" altLang="en-US" sz="1000" b="0" i="0">
              <a:solidFill>
                <a:srgbClr val="757575"/>
              </a:solidFill>
              <a:latin typeface="微软雅黑" panose="020B0503020204020204" charset="-122"/>
            </a:endParaRPr>
          </a:p>
        </c:rich>
      </c:tx>
      <c:layout/>
      <c:overlay val="0"/>
    </c:title>
    <c:autoTitleDeleted val="0"/>
    <c:plotArea>
      <c:layout/>
      <c:areaChart>
        <c:grouping val="percentStacked"/>
        <c:varyColors val="1"/>
        <c:ser>
          <c:idx val="0"/>
          <c:order val="0"/>
          <c:tx>
            <c:strRef>
              <c:f>"广州院"</c:f>
              <c:strCache>
                <c:ptCount val="1"/>
                <c:pt idx="0">
                  <c:v>广州院</c:v>
                </c:pt>
              </c:strCache>
            </c:strRef>
          </c:tx>
          <c:spPr>
            <a:solidFill>
              <a:srgbClr val="ED7D31">
                <a:alpha val="30000"/>
              </a:srgbClr>
            </a:solidFill>
            <a:ln cmpd="sng">
              <a:solidFill>
                <a:srgbClr val="ED7D31"/>
              </a:solidFill>
            </a:ln>
          </c:spPr>
          <c:dLbls>
            <c:numFmt formatCode="0.00&quot;亿元&quot;" sourceLinked="0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800" b="1" i="0" u="none" strike="noStrike" kern="1200" baseline="0">
                    <a:solidFill>
                      <a:schemeClr val="tx1"/>
                    </a:solidFill>
                    <a:latin typeface="微软雅黑 Light" panose="020B0502040204020203" charset="-122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'2025统计'!$U$43:$U$54</c:f>
              <c:strCache>
                <c:ptCount val="12"/>
                <c:pt idx="0">
                  <c:v>2025年1月</c:v>
                </c:pt>
                <c:pt idx="1">
                  <c:v>2025年2月</c:v>
                </c:pt>
                <c:pt idx="2">
                  <c:v>2025年3月</c:v>
                </c:pt>
                <c:pt idx="3">
                  <c:v>2025年4月</c:v>
                </c:pt>
                <c:pt idx="4">
                  <c:v>2025年5月</c:v>
                </c:pt>
                <c:pt idx="5">
                  <c:v>2025年6月</c:v>
                </c:pt>
                <c:pt idx="6">
                  <c:v>2025年7月</c:v>
                </c:pt>
                <c:pt idx="7">
                  <c:v>2025年8月</c:v>
                </c:pt>
                <c:pt idx="8">
                  <c:v>2025年9月</c:v>
                </c:pt>
                <c:pt idx="9">
                  <c:v>2025年10月</c:v>
                </c:pt>
                <c:pt idx="10">
                  <c:v>2025年11月</c:v>
                </c:pt>
                <c:pt idx="11">
                  <c:v>2025年12月</c:v>
                </c:pt>
              </c:strCache>
            </c:strRef>
          </c:cat>
          <c:val>
            <c:numRef>
              <c:f>'2025统计'!$V$43:$V$54</c:f>
              <c:numCache>
                <c:formatCode>General</c:formatCode>
                <c:ptCount val="12"/>
                <c:pt idx="0">
                  <c:v>16.785256</c:v>
                </c:pt>
                <c:pt idx="1">
                  <c:v>21.68142</c:v>
                </c:pt>
                <c:pt idx="2">
                  <c:v>23.79109621</c:v>
                </c:pt>
                <c:pt idx="3">
                  <c:v>42.76270921</c:v>
                </c:pt>
                <c:pt idx="4">
                  <c:v>51.87496321</c:v>
                </c:pt>
                <c:pt idx="5">
                  <c:v>64.64868521</c:v>
                </c:pt>
                <c:pt idx="6">
                  <c:v>68.77390821</c:v>
                </c:pt>
                <c:pt idx="7">
                  <c:v>83.37433121</c:v>
                </c:pt>
                <c:pt idx="8">
                  <c:v>99.58308921</c:v>
                </c:pt>
                <c:pt idx="9">
                  <c:v>102.60144421</c:v>
                </c:pt>
                <c:pt idx="10">
                  <c:v>107.86889421</c:v>
                </c:pt>
                <c:pt idx="11">
                  <c:v>109.24380621</c:v>
                </c:pt>
              </c:numCache>
            </c:numRef>
          </c:val>
        </c:ser>
        <c:ser>
          <c:idx val="1"/>
          <c:order val="1"/>
          <c:tx>
            <c:strRef>
              <c:f>"工程院"</c:f>
              <c:strCache>
                <c:ptCount val="1"/>
                <c:pt idx="0">
                  <c:v>工程院</c:v>
                </c:pt>
              </c:strCache>
            </c:strRef>
          </c:tx>
          <c:spPr>
            <a:solidFill>
              <a:srgbClr val="FFC000">
                <a:alpha val="30000"/>
              </a:srgbClr>
            </a:solidFill>
            <a:ln cmpd="sng">
              <a:solidFill>
                <a:srgbClr val="FFC000"/>
              </a:solidFill>
            </a:ln>
          </c:spPr>
          <c:dLbls>
            <c:numFmt formatCode="0.00&quot;亿元&quot;" sourceLinked="0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800" b="1" i="0" u="none" strike="noStrike" kern="1200" baseline="0">
                    <a:solidFill>
                      <a:schemeClr val="tx1"/>
                    </a:solidFill>
                    <a:latin typeface="微软雅黑 Light" panose="020B0502040204020203" charset="-122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'2025统计'!$U$43:$U$54</c:f>
              <c:strCache>
                <c:ptCount val="12"/>
                <c:pt idx="0">
                  <c:v>2025年1月</c:v>
                </c:pt>
                <c:pt idx="1">
                  <c:v>2025年2月</c:v>
                </c:pt>
                <c:pt idx="2">
                  <c:v>2025年3月</c:v>
                </c:pt>
                <c:pt idx="3">
                  <c:v>2025年4月</c:v>
                </c:pt>
                <c:pt idx="4">
                  <c:v>2025年5月</c:v>
                </c:pt>
                <c:pt idx="5">
                  <c:v>2025年6月</c:v>
                </c:pt>
                <c:pt idx="6">
                  <c:v>2025年7月</c:v>
                </c:pt>
                <c:pt idx="7">
                  <c:v>2025年8月</c:v>
                </c:pt>
                <c:pt idx="8">
                  <c:v>2025年9月</c:v>
                </c:pt>
                <c:pt idx="9">
                  <c:v>2025年10月</c:v>
                </c:pt>
                <c:pt idx="10">
                  <c:v>2025年11月</c:v>
                </c:pt>
                <c:pt idx="11">
                  <c:v>2025年12月</c:v>
                </c:pt>
              </c:strCache>
            </c:strRef>
          </c:cat>
          <c:val>
            <c:numRef>
              <c:f>'2025统计'!$W$43:$W$54</c:f>
              <c:numCache>
                <c:formatCode>General</c:formatCode>
                <c:ptCount val="12"/>
                <c:pt idx="0">
                  <c:v>5.412033</c:v>
                </c:pt>
                <c:pt idx="1">
                  <c:v>6.205402</c:v>
                </c:pt>
                <c:pt idx="2">
                  <c:v>7.113226</c:v>
                </c:pt>
                <c:pt idx="3">
                  <c:v>11.068695</c:v>
                </c:pt>
                <c:pt idx="4">
                  <c:v>18.080601</c:v>
                </c:pt>
                <c:pt idx="5">
                  <c:v>21.012062</c:v>
                </c:pt>
                <c:pt idx="6">
                  <c:v>26.61987</c:v>
                </c:pt>
                <c:pt idx="7">
                  <c:v>31.742807</c:v>
                </c:pt>
                <c:pt idx="8">
                  <c:v>34.211973</c:v>
                </c:pt>
                <c:pt idx="9">
                  <c:v>38.333687</c:v>
                </c:pt>
                <c:pt idx="10">
                  <c:v>42.230785</c:v>
                </c:pt>
                <c:pt idx="11">
                  <c:v>49.382132</c:v>
                </c:pt>
              </c:numCache>
            </c:numRef>
          </c:val>
        </c:ser>
        <c:ser>
          <c:idx val="2"/>
          <c:order val="2"/>
          <c:tx>
            <c:strRef>
              <c:f>"汇隽院"</c:f>
              <c:strCache>
                <c:ptCount val="1"/>
                <c:pt idx="0">
                  <c:v>汇隽院</c:v>
                </c:pt>
              </c:strCache>
            </c:strRef>
          </c:tx>
          <c:spPr>
            <a:solidFill>
              <a:srgbClr val="5B9BD5">
                <a:alpha val="30000"/>
              </a:srgbClr>
            </a:solidFill>
            <a:ln cmpd="sng">
              <a:solidFill>
                <a:srgbClr val="5B9BD5"/>
              </a:solidFill>
            </a:ln>
          </c:spPr>
          <c:dLbls>
            <c:numFmt formatCode="0.00&quot;亿元&quot;" sourceLinked="0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800" b="1" i="0" u="none" strike="noStrike" kern="1200" baseline="0">
                    <a:solidFill>
                      <a:schemeClr val="tx1"/>
                    </a:solidFill>
                    <a:latin typeface="微软雅黑 Light" panose="020B0502040204020203" charset="-122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'2025统计'!$U$43:$U$54</c:f>
              <c:strCache>
                <c:ptCount val="12"/>
                <c:pt idx="0">
                  <c:v>2025年1月</c:v>
                </c:pt>
                <c:pt idx="1">
                  <c:v>2025年2月</c:v>
                </c:pt>
                <c:pt idx="2">
                  <c:v>2025年3月</c:v>
                </c:pt>
                <c:pt idx="3">
                  <c:v>2025年4月</c:v>
                </c:pt>
                <c:pt idx="4">
                  <c:v>2025年5月</c:v>
                </c:pt>
                <c:pt idx="5">
                  <c:v>2025年6月</c:v>
                </c:pt>
                <c:pt idx="6">
                  <c:v>2025年7月</c:v>
                </c:pt>
                <c:pt idx="7">
                  <c:v>2025年8月</c:v>
                </c:pt>
                <c:pt idx="8">
                  <c:v>2025年9月</c:v>
                </c:pt>
                <c:pt idx="9">
                  <c:v>2025年10月</c:v>
                </c:pt>
                <c:pt idx="10">
                  <c:v>2025年11月</c:v>
                </c:pt>
                <c:pt idx="11">
                  <c:v>2025年12月</c:v>
                </c:pt>
              </c:strCache>
            </c:strRef>
          </c:cat>
          <c:val>
            <c:numRef>
              <c:f>'2025统计'!$X$43:$X$54</c:f>
              <c:numCache>
                <c:formatCode>General</c:formatCode>
                <c:ptCount val="12"/>
                <c:pt idx="0">
                  <c:v>1.8396</c:v>
                </c:pt>
                <c:pt idx="1">
                  <c:v>1.8396</c:v>
                </c:pt>
                <c:pt idx="2">
                  <c:v>2.769864</c:v>
                </c:pt>
                <c:pt idx="3">
                  <c:v>3.86005</c:v>
                </c:pt>
                <c:pt idx="4">
                  <c:v>5.427764</c:v>
                </c:pt>
                <c:pt idx="5">
                  <c:v>6.026794</c:v>
                </c:pt>
                <c:pt idx="6">
                  <c:v>7.569236</c:v>
                </c:pt>
                <c:pt idx="7">
                  <c:v>11.743614</c:v>
                </c:pt>
                <c:pt idx="8">
                  <c:v>14.494514</c:v>
                </c:pt>
                <c:pt idx="9">
                  <c:v>16.194099</c:v>
                </c:pt>
                <c:pt idx="10">
                  <c:v>16.874637</c:v>
                </c:pt>
                <c:pt idx="11">
                  <c:v>17.17208</c:v>
                </c:pt>
              </c:numCache>
            </c:numRef>
          </c:val>
        </c:ser>
        <c:ser>
          <c:idx val="3"/>
          <c:order val="3"/>
          <c:tx>
            <c:strRef>
              <c:f>"省院"</c:f>
              <c:strCache>
                <c:ptCount val="1"/>
                <c:pt idx="0">
                  <c:v>省院</c:v>
                </c:pt>
              </c:strCache>
            </c:strRef>
          </c:tx>
          <c:spPr>
            <a:solidFill>
              <a:srgbClr val="4472C4">
                <a:alpha val="30000"/>
              </a:srgbClr>
            </a:solidFill>
            <a:ln cmpd="sng">
              <a:solidFill>
                <a:srgbClr val="4472C4"/>
              </a:solidFill>
            </a:ln>
          </c:spPr>
          <c:dLbls>
            <c:numFmt formatCode="0.00&quot;亿元&quot;" sourceLinked="0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800" b="1" i="0" u="none" strike="noStrike" kern="1200" baseline="0">
                    <a:solidFill>
                      <a:schemeClr val="tx1"/>
                    </a:solidFill>
                    <a:latin typeface="微软雅黑 Light" panose="020B0502040204020203" charset="-122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'2025统计'!$U$43:$U$54</c:f>
              <c:strCache>
                <c:ptCount val="12"/>
                <c:pt idx="0">
                  <c:v>2025年1月</c:v>
                </c:pt>
                <c:pt idx="1">
                  <c:v>2025年2月</c:v>
                </c:pt>
                <c:pt idx="2">
                  <c:v>2025年3月</c:v>
                </c:pt>
                <c:pt idx="3">
                  <c:v>2025年4月</c:v>
                </c:pt>
                <c:pt idx="4">
                  <c:v>2025年5月</c:v>
                </c:pt>
                <c:pt idx="5">
                  <c:v>2025年6月</c:v>
                </c:pt>
                <c:pt idx="6">
                  <c:v>2025年7月</c:v>
                </c:pt>
                <c:pt idx="7">
                  <c:v>2025年8月</c:v>
                </c:pt>
                <c:pt idx="8">
                  <c:v>2025年9月</c:v>
                </c:pt>
                <c:pt idx="9">
                  <c:v>2025年10月</c:v>
                </c:pt>
                <c:pt idx="10">
                  <c:v>2025年11月</c:v>
                </c:pt>
                <c:pt idx="11">
                  <c:v>2025年12月</c:v>
                </c:pt>
              </c:strCache>
            </c:strRef>
          </c:cat>
          <c:val>
            <c:numRef>
              <c:f>'2025统计'!$Y$43:$Y$54</c:f>
              <c:numCache>
                <c:formatCode>General</c:formatCode>
                <c:ptCount val="12"/>
                <c:pt idx="0">
                  <c:v>0.0947</c:v>
                </c:pt>
                <c:pt idx="1">
                  <c:v>8.6879</c:v>
                </c:pt>
                <c:pt idx="2">
                  <c:v>8.790554</c:v>
                </c:pt>
                <c:pt idx="3">
                  <c:v>9.390528</c:v>
                </c:pt>
                <c:pt idx="4">
                  <c:v>9.390528</c:v>
                </c:pt>
                <c:pt idx="5">
                  <c:v>17.792232</c:v>
                </c:pt>
                <c:pt idx="6">
                  <c:v>18.63791</c:v>
                </c:pt>
                <c:pt idx="7">
                  <c:v>18.63791</c:v>
                </c:pt>
                <c:pt idx="8">
                  <c:v>18.63791</c:v>
                </c:pt>
                <c:pt idx="9">
                  <c:v>18.63791</c:v>
                </c:pt>
                <c:pt idx="10">
                  <c:v>18.63791</c:v>
                </c:pt>
                <c:pt idx="11">
                  <c:v>18.63791</c:v>
                </c:pt>
              </c:numCache>
            </c:numRef>
          </c:val>
        </c:ser>
        <c:ser>
          <c:idx val="4"/>
          <c:order val="4"/>
          <c:tx>
            <c:strRef>
              <c:f>"其他"</c:f>
              <c:strCache>
                <c:ptCount val="1"/>
                <c:pt idx="0">
                  <c:v>其他</c:v>
                </c:pt>
              </c:strCache>
            </c:strRef>
          </c:tx>
          <c:spPr>
            <a:solidFill>
              <a:srgbClr val="70AD47">
                <a:alpha val="30000"/>
              </a:srgbClr>
            </a:solidFill>
            <a:ln cmpd="sng">
              <a:solidFill>
                <a:srgbClr val="70AD47"/>
              </a:solidFill>
            </a:ln>
          </c:spPr>
          <c:dLbls>
            <c:numFmt formatCode="0.00&quot;亿元&quot;" sourceLinked="0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800" b="1" i="0" u="none" strike="noStrike" kern="1200" baseline="0">
                    <a:solidFill>
                      <a:schemeClr val="tx1"/>
                    </a:solidFill>
                    <a:latin typeface="微软雅黑 Light" panose="020B0502040204020203" charset="-122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'2025统计'!$U$43:$U$54</c:f>
              <c:strCache>
                <c:ptCount val="12"/>
                <c:pt idx="0">
                  <c:v>2025年1月</c:v>
                </c:pt>
                <c:pt idx="1">
                  <c:v>2025年2月</c:v>
                </c:pt>
                <c:pt idx="2">
                  <c:v>2025年3月</c:v>
                </c:pt>
                <c:pt idx="3">
                  <c:v>2025年4月</c:v>
                </c:pt>
                <c:pt idx="4">
                  <c:v>2025年5月</c:v>
                </c:pt>
                <c:pt idx="5">
                  <c:v>2025年6月</c:v>
                </c:pt>
                <c:pt idx="6">
                  <c:v>2025年7月</c:v>
                </c:pt>
                <c:pt idx="7">
                  <c:v>2025年8月</c:v>
                </c:pt>
                <c:pt idx="8">
                  <c:v>2025年9月</c:v>
                </c:pt>
                <c:pt idx="9">
                  <c:v>2025年10月</c:v>
                </c:pt>
                <c:pt idx="10">
                  <c:v>2025年11月</c:v>
                </c:pt>
                <c:pt idx="11">
                  <c:v>2025年12月</c:v>
                </c:pt>
              </c:strCache>
            </c:strRef>
          </c:cat>
          <c:val>
            <c:numRef>
              <c:f>'2025统计'!$Z$43:$Z$54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0.615324</c:v>
                </c:pt>
                <c:pt idx="5">
                  <c:v>0.615324</c:v>
                </c:pt>
                <c:pt idx="6">
                  <c:v>0.615324</c:v>
                </c:pt>
                <c:pt idx="7">
                  <c:v>1.182381</c:v>
                </c:pt>
                <c:pt idx="8">
                  <c:v>1.182381</c:v>
                </c:pt>
                <c:pt idx="9">
                  <c:v>1.182381</c:v>
                </c:pt>
                <c:pt idx="10">
                  <c:v>1.182381</c:v>
                </c:pt>
                <c:pt idx="11">
                  <c:v>1.182381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099027"/>
        <c:axId val="63071377"/>
      </c:areaChart>
      <c:catAx>
        <c:axId val="923099027"/>
        <c:scaling>
          <c:orientation val="minMax"/>
        </c:scaling>
        <c:delete val="0"/>
        <c:axPos val="b"/>
        <c:title>
          <c:layout/>
          <c:overlay val="0"/>
          <c:tx>
            <c:rich>
              <a:bodyPr/>
              <a:lstStyle/>
              <a:p>
                <a:pPr>
                  <a:defRPr/>
                </a:pPr>
              </a:p>
            </c:rich>
          </c:tx>
        </c:title>
        <c:numFmt formatCode="General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rgbClr val="000000"/>
                </a:solidFill>
                <a:latin typeface="微软雅黑" panose="020B0503020204020204" charset="-122"/>
                <a:ea typeface="+mn-ea"/>
                <a:cs typeface="+mn-cs"/>
              </a:defRPr>
            </a:pPr>
          </a:p>
        </c:txPr>
        <c:crossAx val="63071377"/>
        <c:crosses val="autoZero"/>
        <c:auto val="1"/>
        <c:lblAlgn val="ctr"/>
        <c:lblOffset val="100"/>
        <c:noMultiLvlLbl val="1"/>
      </c:catAx>
      <c:valAx>
        <c:axId val="63071377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</c:spPr>
        </c:majorGridlines>
        <c:title>
          <c:layout/>
          <c:overlay val="0"/>
          <c:tx>
            <c:rich>
              <a:bodyPr/>
              <a:lstStyle/>
              <a:p>
                <a:pPr>
                  <a:defRPr/>
                </a:pPr>
              </a:p>
            </c:rich>
          </c:tx>
        </c:title>
        <c:numFmt formatCode="0%" sourceLinked="1"/>
        <c:majorTickMark val="out"/>
        <c:minorTickMark val="none"/>
        <c:tickLblPos val="nextTo"/>
        <c:spPr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000000"/>
                </a:solidFill>
                <a:latin typeface="微软雅黑 Light" panose="020B0502040204020203" charset="-122"/>
                <a:ea typeface="+mn-ea"/>
                <a:cs typeface="+mn-cs"/>
              </a:defRPr>
            </a:pPr>
          </a:p>
        </c:txPr>
        <c:crossAx val="923099027"/>
        <c:crosses val="autoZero"/>
        <c:crossBetween val="midCat"/>
        <c:majorUnit val="0.2"/>
      </c:valAx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1A1A1A"/>
                </a:solidFill>
                <a:latin typeface="微软雅黑" panose="020B0503020204020204" charset="-122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1A1A1A"/>
                </a:solidFill>
                <a:latin typeface="微软雅黑" panose="020B0503020204020204" charset="-122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1A1A1A"/>
                </a:solidFill>
                <a:latin typeface="微软雅黑" panose="020B0503020204020204" charset="-122"/>
                <a:ea typeface="+mn-ea"/>
                <a:cs typeface="+mn-cs"/>
              </a:defRPr>
            </a:pPr>
          </a:p>
        </c:txPr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1A1A1A"/>
                </a:solidFill>
                <a:latin typeface="微软雅黑" panose="020B0503020204020204" charset="-122"/>
                <a:ea typeface="+mn-ea"/>
                <a:cs typeface="+mn-cs"/>
              </a:defRPr>
            </a:pPr>
          </a:p>
        </c:txPr>
      </c:legendEntry>
      <c:legendEntry>
        <c:idx val="4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1A1A1A"/>
                </a:solidFill>
                <a:latin typeface="微软雅黑" panose="020B0503020204020204" charset="-122"/>
                <a:ea typeface="+mn-ea"/>
                <a:cs typeface="+mn-cs"/>
              </a:defRPr>
            </a:pPr>
          </a:p>
        </c:txPr>
      </c:legendEntry>
      <c:layout>
        <c:manualLayout>
          <c:xMode val="edge"/>
          <c:yMode val="edge"/>
          <c:x val="0.393643198906357"/>
          <c:y val="0.907880609834657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zh-CN" sz="800" b="0" i="0" u="none" strike="noStrike" kern="1200" baseline="0">
              <a:solidFill>
                <a:srgbClr val="1A1A1A"/>
              </a:solidFill>
              <a:latin typeface="微软雅黑" panose="020B0503020204020204" charset="-122"/>
              <a:ea typeface="+mn-ea"/>
              <a:cs typeface="+mn-cs"/>
            </a:defRPr>
          </a:pPr>
        </a:p>
      </c:txPr>
    </c:legend>
    <c:plotVisOnly val="1"/>
    <c:dispBlanksAs val="zero"/>
    <c:showDLblsOverMax val="1"/>
    <c:extLst>
      <c:ext uri="{0b15fc19-7d7d-44ad-8c2d-2c3a37ce22c3}">
        <chartProps xmlns="https://web.wps.cn/et/2018/main" chartId="{83eef4c0-0ebe-42e4-8732-c98a5ec30a0f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zh-CN" sz="1000" b="0" i="0" u="none" strike="noStrike" kern="1200" baseline="0">
                <a:solidFill>
                  <a:srgbClr val="757575"/>
                </a:solidFill>
                <a:latin typeface="微软雅黑" panose="020B0503020204020204" charset="-122"/>
                <a:ea typeface="+mn-ea"/>
                <a:cs typeface="+mn-cs"/>
              </a:defRPr>
            </a:pPr>
            <a:r>
              <a:rPr sz="1000" b="0" i="0">
                <a:solidFill>
                  <a:srgbClr val="757575"/>
                </a:solidFill>
                <a:latin typeface="微软雅黑" panose="020B0503020204020204" charset="-122"/>
              </a:rPr>
              <a:t>主网项目评审情况</a:t>
            </a:r>
            <a:endParaRPr sz="1000" b="0" i="0">
              <a:solidFill>
                <a:srgbClr val="757575"/>
              </a:solidFill>
              <a:latin typeface="微软雅黑" panose="020B0503020204020204" charset="-122"/>
            </a:endParaRPr>
          </a:p>
        </c:rich>
      </c:tx>
      <c:layout/>
      <c:overlay val="0"/>
    </c:title>
    <c:autoTitleDeleted val="0"/>
    <c:plotArea>
      <c:layout>
        <c:manualLayout>
          <c:xMode val="edge"/>
          <c:yMode val="edge"/>
          <c:x val="0.0304247247154622"/>
          <c:y val="0.116973474416582"/>
          <c:w val="0.934246321828445"/>
          <c:h val="0.602464125235541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"2024年累计完成可研"</c:f>
              <c:strCache>
                <c:ptCount val="1"/>
                <c:pt idx="0">
                  <c:v>2024年累计完成可研</c:v>
                </c:pt>
              </c:strCache>
            </c:strRef>
          </c:tx>
          <c:spPr>
            <a:solidFill>
              <a:srgbClr val="5B9BD5"/>
            </a:solidFill>
            <a:ln cmpd="sng">
              <a:solidFill>
                <a:srgbClr val="000000"/>
              </a:solidFill>
            </a:ln>
          </c:spPr>
          <c:invertIfNegative val="1"/>
          <c:dLbls>
            <c:delete val="1"/>
          </c:dLbls>
          <c:cat>
            <c:strRef>
              <c:f>分析!$D$2:$O$2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分析!$D$4:$O$4</c:f>
              <c:numCache>
                <c:formatCode>0_ </c:formatCode>
                <c:ptCount val="12"/>
                <c:pt idx="0">
                  <c:v>6</c:v>
                </c:pt>
                <c:pt idx="1">
                  <c:v>7</c:v>
                </c:pt>
                <c:pt idx="2">
                  <c:v>9</c:v>
                </c:pt>
                <c:pt idx="3">
                  <c:v>14</c:v>
                </c:pt>
                <c:pt idx="4">
                  <c:v>22</c:v>
                </c:pt>
                <c:pt idx="5">
                  <c:v>26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42</c:v>
                </c:pt>
                <c:pt idx="10">
                  <c:v>45</c:v>
                </c:pt>
                <c:pt idx="11">
                  <c:v>47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ser>
          <c:idx val="1"/>
          <c:order val="1"/>
          <c:tx>
            <c:strRef>
              <c:f>"2025年累计完成可研"</c:f>
              <c:strCache>
                <c:ptCount val="1"/>
                <c:pt idx="0">
                  <c:v>2025年累计完成可研</c:v>
                </c:pt>
              </c:strCache>
            </c:strRef>
          </c:tx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invertIfNegative val="1"/>
          <c:dLbls>
            <c:delete val="1"/>
          </c:dLbls>
          <c:cat>
            <c:strRef>
              <c:f>分析!$D$2:$O$2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分析!$D$6:$O$6</c:f>
              <c:numCache>
                <c:formatCode>0_ </c:formatCode>
                <c:ptCount val="12"/>
                <c:pt idx="0">
                  <c:v>4</c:v>
                </c:pt>
                <c:pt idx="1">
                  <c:v>6</c:v>
                </c:pt>
                <c:pt idx="2">
                  <c:v>7</c:v>
                </c:pt>
                <c:pt idx="3">
                  <c:v>12</c:v>
                </c:pt>
                <c:pt idx="4">
                  <c:v>17</c:v>
                </c:pt>
                <c:pt idx="5">
                  <c:v>19</c:v>
                </c:pt>
                <c:pt idx="6">
                  <c:v>25</c:v>
                </c:pt>
                <c:pt idx="7">
                  <c:v>29</c:v>
                </c:pt>
                <c:pt idx="8">
                  <c:v>33</c:v>
                </c:pt>
                <c:pt idx="9">
                  <c:v>34</c:v>
                </c:pt>
                <c:pt idx="10">
                  <c:v>40</c:v>
                </c:pt>
                <c:pt idx="11">
                  <c:v>43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ser>
          <c:idx val="2"/>
          <c:order val="2"/>
          <c:tx>
            <c:strRef>
              <c:f>"2024年累计完成可研调整"</c:f>
              <c:strCache>
                <c:ptCount val="1"/>
                <c:pt idx="0">
                  <c:v>2024年累计完成可研调整</c:v>
                </c:pt>
              </c:strCache>
            </c:strRef>
          </c:tx>
          <c:spPr>
            <a:solidFill>
              <a:srgbClr val="A5A5A5"/>
            </a:solidFill>
            <a:ln cmpd="sng">
              <a:solidFill>
                <a:srgbClr val="000000"/>
              </a:solidFill>
            </a:ln>
          </c:spPr>
          <c:invertIfNegative val="1"/>
          <c:dLbls>
            <c:delete val="1"/>
          </c:dLbls>
          <c:cat>
            <c:strRef>
              <c:f>分析!$D$2:$O$2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分析!$D$8:$O$8</c:f>
              <c:numCache>
                <c:formatCode>0_ </c:formatCode>
                <c:ptCount val="12"/>
                <c:pt idx="0">
                  <c:v>2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  <c:pt idx="4">
                  <c:v>7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ser>
          <c:idx val="3"/>
          <c:order val="3"/>
          <c:tx>
            <c:strRef>
              <c:f>"2025年累计完成可研调整"</c:f>
              <c:strCache>
                <c:ptCount val="1"/>
                <c:pt idx="0">
                  <c:v>2025年累计完成可研调整</c:v>
                </c:pt>
              </c:strCache>
            </c:strRef>
          </c:tx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invertIfNegative val="1"/>
          <c:dLbls>
            <c:delete val="1"/>
          </c:dLbls>
          <c:cat>
            <c:strRef>
              <c:f>分析!$D$2:$O$2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分析!$D$10:$O$10</c:f>
              <c:numCache>
                <c:formatCode>0_ 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2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ser>
          <c:idx val="4"/>
          <c:order val="4"/>
          <c:tx>
            <c:strRef>
              <c:f>"2024年累计完成初设"</c:f>
              <c:strCache>
                <c:ptCount val="1"/>
                <c:pt idx="0">
                  <c:v>2024年累计完成初设</c:v>
                </c:pt>
              </c:strCache>
            </c:strRef>
          </c:tx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dLbls>
            <c:delete val="1"/>
          </c:dLbls>
          <c:cat>
            <c:strRef>
              <c:f>分析!$D$2:$O$2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分析!$D$12:$O$12</c:f>
              <c:numCache>
                <c:formatCode>0_ </c:formatCode>
                <c:ptCount val="12"/>
                <c:pt idx="0">
                  <c:v>8</c:v>
                </c:pt>
                <c:pt idx="1">
                  <c:v>11</c:v>
                </c:pt>
                <c:pt idx="2">
                  <c:v>16</c:v>
                </c:pt>
                <c:pt idx="3">
                  <c:v>17</c:v>
                </c:pt>
                <c:pt idx="4">
                  <c:v>20</c:v>
                </c:pt>
                <c:pt idx="5">
                  <c:v>22</c:v>
                </c:pt>
                <c:pt idx="6">
                  <c:v>24</c:v>
                </c:pt>
                <c:pt idx="7">
                  <c:v>29</c:v>
                </c:pt>
                <c:pt idx="8">
                  <c:v>35</c:v>
                </c:pt>
                <c:pt idx="9">
                  <c:v>41</c:v>
                </c:pt>
                <c:pt idx="10">
                  <c:v>46</c:v>
                </c:pt>
                <c:pt idx="11">
                  <c:v>51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ser>
          <c:idx val="5"/>
          <c:order val="5"/>
          <c:tx>
            <c:strRef>
              <c:f>"2025年累计完成初设"</c:f>
              <c:strCache>
                <c:ptCount val="1"/>
                <c:pt idx="0">
                  <c:v>2025年累计完成初设</c:v>
                </c:pt>
              </c:strCache>
            </c:strRef>
          </c:tx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dLbls>
            <c:delete val="1"/>
          </c:dLbls>
          <c:cat>
            <c:strRef>
              <c:f>分析!$D$2:$O$2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分析!$D$14:$O$14</c:f>
              <c:numCache>
                <c:formatCode>0_ </c:formatCode>
                <c:ptCount val="12"/>
                <c:pt idx="0">
                  <c:v>6</c:v>
                </c:pt>
                <c:pt idx="1">
                  <c:v>6</c:v>
                </c:pt>
                <c:pt idx="2">
                  <c:v>7</c:v>
                </c:pt>
                <c:pt idx="3">
                  <c:v>15</c:v>
                </c:pt>
                <c:pt idx="4">
                  <c:v>18</c:v>
                </c:pt>
                <c:pt idx="5">
                  <c:v>21</c:v>
                </c:pt>
                <c:pt idx="6">
                  <c:v>25</c:v>
                </c:pt>
                <c:pt idx="7">
                  <c:v>31</c:v>
                </c:pt>
                <c:pt idx="8">
                  <c:v>35</c:v>
                </c:pt>
                <c:pt idx="9">
                  <c:v>39</c:v>
                </c:pt>
                <c:pt idx="10">
                  <c:v>41</c:v>
                </c:pt>
                <c:pt idx="11">
                  <c:v>46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ser>
          <c:idx val="6"/>
          <c:order val="6"/>
          <c:tx>
            <c:strRef>
              <c:f>"2024年累计完成初设调整"</c:f>
              <c:strCache>
                <c:ptCount val="1"/>
                <c:pt idx="0">
                  <c:v>2024年累计完成初设调整</c:v>
                </c:pt>
              </c:strCache>
            </c:strRef>
          </c:tx>
          <c:spPr>
            <a:solidFill>
              <a:srgbClr val="D5E5F4"/>
            </a:solidFill>
            <a:ln cmpd="sng">
              <a:solidFill>
                <a:srgbClr val="000000"/>
              </a:solidFill>
            </a:ln>
          </c:spPr>
          <c:invertIfNegative val="1"/>
          <c:dLbls>
            <c:delete val="1"/>
          </c:dLbls>
          <c:cat>
            <c:strRef>
              <c:f>分析!$D$2:$O$2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分析!$D$16:$O$16</c:f>
              <c:numCache>
                <c:formatCode>0_ 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2</c:v>
                </c:pt>
                <c:pt idx="5">
                  <c:v>2</c:v>
                </c:pt>
                <c:pt idx="6">
                  <c:v>3</c:v>
                </c:pt>
                <c:pt idx="7">
                  <c:v>3</c:v>
                </c:pt>
                <c:pt idx="8">
                  <c:v>4</c:v>
                </c:pt>
                <c:pt idx="9">
                  <c:v>5</c:v>
                </c:pt>
                <c:pt idx="10">
                  <c:v>6</c:v>
                </c:pt>
                <c:pt idx="11">
                  <c:v>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ser>
          <c:idx val="7"/>
          <c:order val="7"/>
          <c:tx>
            <c:strRef>
              <c:f>"2025年累计完成初设调整"</c:f>
              <c:strCache>
                <c:ptCount val="1"/>
                <c:pt idx="0">
                  <c:v>2025年累计完成初设调整</c:v>
                </c:pt>
              </c:strCache>
            </c:strRef>
          </c:tx>
          <c:spPr>
            <a:solidFill>
              <a:srgbClr val="5B9BD5"/>
            </a:solidFill>
            <a:ln cmpd="sng">
              <a:solidFill>
                <a:srgbClr val="000000"/>
              </a:solidFill>
            </a:ln>
          </c:spPr>
          <c:invertIfNegative val="1"/>
          <c:dLbls>
            <c:delete val="1"/>
          </c:dLbls>
          <c:cat>
            <c:strRef>
              <c:f>分析!$D$2:$O$2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分析!$D$18:$O$18</c:f>
              <c:numCache>
                <c:formatCode>0_ 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9</c:v>
                </c:pt>
                <c:pt idx="9">
                  <c:v>9</c:v>
                </c:pt>
                <c:pt idx="10">
                  <c:v>10</c:v>
                </c:pt>
                <c:pt idx="11">
                  <c:v>10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ser>
          <c:idx val="8"/>
          <c:order val="8"/>
          <c:tx>
            <c:strRef>
              <c:f>"2024年累计完成施工图及预算"</c:f>
              <c:strCache>
                <c:ptCount val="1"/>
                <c:pt idx="0">
                  <c:v>2024年累计完成施工图及预算</c:v>
                </c:pt>
              </c:strCache>
            </c:strRef>
          </c:tx>
          <c:spPr>
            <a:solidFill>
              <a:srgbClr val="F1F1F1"/>
            </a:solidFill>
            <a:ln cmpd="sng">
              <a:solidFill>
                <a:srgbClr val="000000"/>
              </a:solidFill>
            </a:ln>
          </c:spPr>
          <c:invertIfNegative val="1"/>
          <c:dLbls>
            <c:delete val="1"/>
          </c:dLbls>
          <c:cat>
            <c:strRef>
              <c:f>分析!$D$2:$O$2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分析!$D$20:$O$20</c:f>
              <c:numCache>
                <c:formatCode>0_ </c:formatCode>
                <c:ptCount val="12"/>
                <c:pt idx="0">
                  <c:v>2</c:v>
                </c:pt>
                <c:pt idx="1">
                  <c:v>5</c:v>
                </c:pt>
                <c:pt idx="2">
                  <c:v>10</c:v>
                </c:pt>
                <c:pt idx="3">
                  <c:v>16</c:v>
                </c:pt>
                <c:pt idx="4">
                  <c:v>22</c:v>
                </c:pt>
                <c:pt idx="5">
                  <c:v>28</c:v>
                </c:pt>
                <c:pt idx="6">
                  <c:v>32</c:v>
                </c:pt>
                <c:pt idx="7">
                  <c:v>34</c:v>
                </c:pt>
                <c:pt idx="8">
                  <c:v>35</c:v>
                </c:pt>
                <c:pt idx="9">
                  <c:v>38</c:v>
                </c:pt>
                <c:pt idx="10">
                  <c:v>42</c:v>
                </c:pt>
                <c:pt idx="11">
                  <c:v>49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ser>
          <c:idx val="9"/>
          <c:order val="9"/>
          <c:tx>
            <c:strRef>
              <c:f>"2025年累计完成施工图及预算"</c:f>
              <c:strCache>
                <c:ptCount val="1"/>
                <c:pt idx="0">
                  <c:v>2025年累计完成施工图及预算</c:v>
                </c:pt>
              </c:strCache>
            </c:strRef>
          </c:tx>
          <c:spPr>
            <a:solidFill>
              <a:srgbClr val="00B050"/>
            </a:solidFill>
            <a:ln cmpd="sng">
              <a:solidFill>
                <a:srgbClr val="000000"/>
              </a:solidFill>
            </a:ln>
          </c:spPr>
          <c:invertIfNegative val="1"/>
          <c:dLbls>
            <c:delete val="1"/>
          </c:dLbls>
          <c:cat>
            <c:strRef>
              <c:f>分析!$D$2:$O$2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分析!$D$22:$O$22</c:f>
              <c:numCache>
                <c:formatCode>0_ </c:formatCode>
                <c:ptCount val="12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16</c:v>
                </c:pt>
                <c:pt idx="5">
                  <c:v>21</c:v>
                </c:pt>
                <c:pt idx="6">
                  <c:v>24</c:v>
                </c:pt>
                <c:pt idx="7">
                  <c:v>32</c:v>
                </c:pt>
                <c:pt idx="8">
                  <c:v>37</c:v>
                </c:pt>
                <c:pt idx="9">
                  <c:v>42</c:v>
                </c:pt>
                <c:pt idx="10">
                  <c:v>43</c:v>
                </c:pt>
                <c:pt idx="11">
                  <c:v>48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ser>
          <c:idx val="10"/>
          <c:order val="10"/>
          <c:tx>
            <c:strRef>
              <c:f>"2024年累计完成施工图预算调整"</c:f>
              <c:strCache>
                <c:ptCount val="1"/>
                <c:pt idx="0">
                  <c:v>2024年累计完成施工图预算调整</c:v>
                </c:pt>
              </c:strCache>
            </c:strRef>
          </c:tx>
          <c:spPr>
            <a:solidFill>
              <a:srgbClr val="B8CAE9"/>
            </a:solidFill>
            <a:ln cmpd="sng">
              <a:solidFill>
                <a:srgbClr val="000000"/>
              </a:solidFill>
            </a:ln>
          </c:spPr>
          <c:invertIfNegative val="1"/>
          <c:dLbls>
            <c:delete val="1"/>
          </c:dLbls>
          <c:cat>
            <c:strRef>
              <c:f>分析!$D$2:$O$2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分析!$D$24:$O$24</c:f>
              <c:numCache>
                <c:formatCode>0_ </c:formatCode>
                <c:ptCount val="12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3</c:v>
                </c:pt>
                <c:pt idx="5">
                  <c:v>3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ser>
          <c:idx val="11"/>
          <c:order val="11"/>
          <c:tx>
            <c:strRef>
              <c:f>"2025年累计完成施工图预算调整"</c:f>
              <c:strCache>
                <c:ptCount val="1"/>
                <c:pt idx="0">
                  <c:v>2025年累计完成施工图预算调整</c:v>
                </c:pt>
              </c:strCache>
            </c:strRef>
          </c:tx>
          <c:spPr>
            <a:solidFill>
              <a:srgbClr val="70AD47"/>
            </a:solidFill>
            <a:ln cmpd="sng">
              <a:solidFill>
                <a:srgbClr val="000000"/>
              </a:solidFill>
            </a:ln>
          </c:spPr>
          <c:invertIfNegative val="1"/>
          <c:dLbls>
            <c:delete val="1"/>
          </c:dLbls>
          <c:cat>
            <c:strRef>
              <c:f>分析!$D$2:$O$2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分析!$D$26:$O$26</c:f>
              <c:numCache>
                <c:formatCode>0_ 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  <c:pt idx="7">
                  <c:v>4</c:v>
                </c:pt>
                <c:pt idx="8">
                  <c:v>6</c:v>
                </c:pt>
                <c:pt idx="9">
                  <c:v>8</c:v>
                </c:pt>
                <c:pt idx="10">
                  <c:v>9</c:v>
                </c:pt>
                <c:pt idx="11">
                  <c:v>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ser>
          <c:idx val="12"/>
          <c:order val="12"/>
          <c:tx>
            <c:strRef>
              <c:f>"2024年累计完成重大设计变更"</c:f>
              <c:strCache>
                <c:ptCount val="1"/>
                <c:pt idx="0">
                  <c:v>2024年累计完成重大设计变更</c:v>
                </c:pt>
              </c:strCache>
            </c:strRef>
          </c:tx>
          <c:spPr>
            <a:solidFill>
              <a:srgbClr val="FFFFFF"/>
            </a:solidFill>
            <a:ln cmpd="sng">
              <a:solidFill>
                <a:srgbClr val="000000"/>
              </a:solidFill>
            </a:ln>
          </c:spPr>
          <c:invertIfNegative val="1"/>
          <c:dLbls>
            <c:delete val="1"/>
          </c:dLbls>
          <c:cat>
            <c:strRef>
              <c:f>分析!$D$2:$O$2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分析!$D$28:$O$28</c:f>
              <c:numCache>
                <c:formatCode>0_ </c:formatCode>
                <c:ptCount val="12"/>
                <c:pt idx="0">
                  <c:v>2</c:v>
                </c:pt>
                <c:pt idx="1">
                  <c:v>3</c:v>
                </c:pt>
                <c:pt idx="2">
                  <c:v>5</c:v>
                </c:pt>
                <c:pt idx="3">
                  <c:v>5</c:v>
                </c:pt>
                <c:pt idx="4">
                  <c:v>9</c:v>
                </c:pt>
                <c:pt idx="5">
                  <c:v>11</c:v>
                </c:pt>
                <c:pt idx="6">
                  <c:v>11</c:v>
                </c:pt>
                <c:pt idx="7">
                  <c:v>12</c:v>
                </c:pt>
                <c:pt idx="8">
                  <c:v>18</c:v>
                </c:pt>
                <c:pt idx="9">
                  <c:v>19</c:v>
                </c:pt>
                <c:pt idx="10">
                  <c:v>23</c:v>
                </c:pt>
                <c:pt idx="11">
                  <c:v>25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ser>
          <c:idx val="13"/>
          <c:order val="13"/>
          <c:tx>
            <c:strRef>
              <c:f>"2025年累计完成重大设计变更"</c:f>
              <c:strCache>
                <c:ptCount val="1"/>
                <c:pt idx="0">
                  <c:v>2025年累计完成重大设计变更</c:v>
                </c:pt>
              </c:strCache>
            </c:strRef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invertIfNegative val="1"/>
          <c:dLbls>
            <c:delete val="1"/>
          </c:dLbls>
          <c:cat>
            <c:strRef>
              <c:f>分析!$D$2:$O$2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分析!$D$30:$O$30</c:f>
              <c:numCache>
                <c:formatCode>0_ 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8</c:v>
                </c:pt>
                <c:pt idx="3">
                  <c:v>9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16</c:v>
                </c:pt>
                <c:pt idx="8">
                  <c:v>16</c:v>
                </c:pt>
                <c:pt idx="9">
                  <c:v>19</c:v>
                </c:pt>
                <c:pt idx="10">
                  <c:v>21</c:v>
                </c:pt>
                <c:pt idx="11">
                  <c:v>21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ser>
          <c:idx val="14"/>
          <c:order val="14"/>
          <c:tx>
            <c:strRef>
              <c:f>"2023年累计完成评审"</c:f>
              <c:strCache>
                <c:ptCount val="1"/>
                <c:pt idx="0">
                  <c:v>2023年累计完成评审</c:v>
                </c:pt>
              </c:strCache>
            </c:strRef>
          </c:tx>
          <c:spPr>
            <a:solidFill>
              <a:srgbClr val="FFFFFF"/>
            </a:solidFill>
            <a:ln cmpd="sng">
              <a:solidFill>
                <a:srgbClr val="000000"/>
              </a:solidFill>
            </a:ln>
          </c:spPr>
          <c:invertIfNegative val="1"/>
          <c:dLbls>
            <c:delete val="1"/>
          </c:dLbls>
          <c:cat>
            <c:strRef>
              <c:f>分析!$D$2:$O$2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分析!$D$32:$O$32</c:f>
              <c:numCache>
                <c:formatCode>0_ </c:formatCode>
                <c:ptCount val="12"/>
                <c:pt idx="0">
                  <c:v>7</c:v>
                </c:pt>
                <c:pt idx="1">
                  <c:v>15</c:v>
                </c:pt>
                <c:pt idx="2">
                  <c:v>23</c:v>
                </c:pt>
                <c:pt idx="3">
                  <c:v>41</c:v>
                </c:pt>
                <c:pt idx="4">
                  <c:v>59</c:v>
                </c:pt>
                <c:pt idx="5">
                  <c:v>71</c:v>
                </c:pt>
                <c:pt idx="6">
                  <c:v>81</c:v>
                </c:pt>
                <c:pt idx="7">
                  <c:v>98</c:v>
                </c:pt>
                <c:pt idx="8">
                  <c:v>112</c:v>
                </c:pt>
                <c:pt idx="9">
                  <c:v>121</c:v>
                </c:pt>
                <c:pt idx="10">
                  <c:v>136</c:v>
                </c:pt>
                <c:pt idx="11">
                  <c:v>171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ser>
          <c:idx val="15"/>
          <c:order val="15"/>
          <c:tx>
            <c:strRef>
              <c:f>"2024年累计完成评审"</c:f>
              <c:strCache>
                <c:ptCount val="1"/>
                <c:pt idx="0">
                  <c:v>2024年累计完成评审</c:v>
                </c:pt>
              </c:strCache>
            </c:strRef>
          </c:tx>
          <c:spPr>
            <a:solidFill>
              <a:srgbClr val="FFFFFF"/>
            </a:solidFill>
            <a:ln cmpd="sng">
              <a:solidFill>
                <a:srgbClr val="000000"/>
              </a:solidFill>
            </a:ln>
          </c:spPr>
          <c:invertIfNegative val="1"/>
          <c:dLbls>
            <c:delete val="1"/>
          </c:dLbls>
          <c:cat>
            <c:strRef>
              <c:f>分析!$D$2:$O$2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分析!$D$34:$O$34</c:f>
              <c:numCache>
                <c:formatCode>0_ </c:formatCode>
                <c:ptCount val="12"/>
                <c:pt idx="0">
                  <c:v>22</c:v>
                </c:pt>
                <c:pt idx="1">
                  <c:v>31</c:v>
                </c:pt>
                <c:pt idx="2">
                  <c:v>45</c:v>
                </c:pt>
                <c:pt idx="3">
                  <c:v>59</c:v>
                </c:pt>
                <c:pt idx="4">
                  <c:v>85</c:v>
                </c:pt>
                <c:pt idx="5">
                  <c:v>99</c:v>
                </c:pt>
                <c:pt idx="6">
                  <c:v>113</c:v>
                </c:pt>
                <c:pt idx="7">
                  <c:v>127</c:v>
                </c:pt>
                <c:pt idx="8">
                  <c:v>146</c:v>
                </c:pt>
                <c:pt idx="9">
                  <c:v>160</c:v>
                </c:pt>
                <c:pt idx="10">
                  <c:v>178</c:v>
                </c:pt>
                <c:pt idx="11">
                  <c:v>198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ser>
          <c:idx val="16"/>
          <c:order val="16"/>
          <c:tx>
            <c:strRef>
              <c:f>"2025年累计完成评审"</c:f>
              <c:strCache>
                <c:ptCount val="1"/>
                <c:pt idx="0">
                  <c:v>2025年累计完成评审</c:v>
                </c:pt>
              </c:strCache>
            </c:strRef>
          </c:tx>
          <c:spPr>
            <a:solidFill>
              <a:srgbClr val="7030A0"/>
            </a:solidFill>
            <a:ln cmpd="sng">
              <a:solidFill>
                <a:srgbClr val="000000"/>
              </a:solidFill>
            </a:ln>
          </c:spPr>
          <c:invertIfNegative val="1"/>
          <c:dLbls>
            <c:delete val="1"/>
          </c:dLbls>
          <c:cat>
            <c:strRef>
              <c:f>分析!$D$2:$O$2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分析!$D$36:$O$36</c:f>
              <c:numCache>
                <c:formatCode>0_ </c:formatCode>
                <c:ptCount val="12"/>
                <c:pt idx="0">
                  <c:v>17</c:v>
                </c:pt>
                <c:pt idx="1">
                  <c:v>23</c:v>
                </c:pt>
                <c:pt idx="2">
                  <c:v>34</c:v>
                </c:pt>
                <c:pt idx="3">
                  <c:v>51</c:v>
                </c:pt>
                <c:pt idx="4">
                  <c:v>66</c:v>
                </c:pt>
                <c:pt idx="5">
                  <c:v>79</c:v>
                </c:pt>
                <c:pt idx="6">
                  <c:v>95</c:v>
                </c:pt>
                <c:pt idx="7">
                  <c:v>119</c:v>
                </c:pt>
                <c:pt idx="8">
                  <c:v>138</c:v>
                </c:pt>
                <c:pt idx="9">
                  <c:v>156</c:v>
                </c:pt>
                <c:pt idx="10">
                  <c:v>169</c:v>
                </c:pt>
                <c:pt idx="11">
                  <c:v>182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61346659"/>
        <c:axId val="1580115072"/>
      </c:barChart>
      <c:lineChart>
        <c:grouping val="standard"/>
        <c:varyColors val="1"/>
        <c:ser>
          <c:idx val="17"/>
          <c:order val="17"/>
          <c:tx>
            <c:strRef>
              <c:f>"2024年每月完成可研"</c:f>
              <c:strCache>
                <c:ptCount val="1"/>
                <c:pt idx="0">
                  <c:v>2024年每月完成可研</c:v>
                </c:pt>
              </c:strCache>
            </c:strRef>
          </c:tx>
          <c:spPr>
            <a:ln w="19050" cap="rnd" cmpd="sng" algn="ctr">
              <a:solidFill>
                <a:schemeClr val="accent2"/>
              </a:solidFill>
              <a:prstDash val="lgDash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分析!$D$2:$O$2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分析!$D$3:$O$3</c:f>
              <c:numCache>
                <c:formatCode>0_ </c:formatCode>
                <c:ptCount val="12"/>
                <c:pt idx="0">
                  <c:v>6</c:v>
                </c:pt>
                <c:pt idx="1">
                  <c:v>1</c:v>
                </c:pt>
                <c:pt idx="2">
                  <c:v>2</c:v>
                </c:pt>
                <c:pt idx="3">
                  <c:v>5</c:v>
                </c:pt>
                <c:pt idx="4">
                  <c:v>8</c:v>
                </c:pt>
                <c:pt idx="5">
                  <c:v>4</c:v>
                </c:pt>
                <c:pt idx="6">
                  <c:v>4</c:v>
                </c:pt>
                <c:pt idx="7">
                  <c:v>5</c:v>
                </c:pt>
                <c:pt idx="8">
                  <c:v>5</c:v>
                </c:pt>
                <c:pt idx="9">
                  <c:v>2</c:v>
                </c:pt>
                <c:pt idx="10">
                  <c:v>3</c:v>
                </c:pt>
                <c:pt idx="11">
                  <c:v>2</c:v>
                </c:pt>
              </c:numCache>
            </c:numRef>
          </c:val>
          <c:smooth val="0"/>
        </c:ser>
        <c:ser>
          <c:idx val="18"/>
          <c:order val="18"/>
          <c:tx>
            <c:strRef>
              <c:f>"2025年每月完成可研"</c:f>
              <c:strCache>
                <c:ptCount val="1"/>
                <c:pt idx="0">
                  <c:v>2025年每月完成可研</c:v>
                </c:pt>
              </c:strCache>
            </c:strRef>
          </c:tx>
          <c:spPr>
            <a:ln w="28575" cap="rnd" cmpd="sng" algn="ctr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分析!$D$2:$O$2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分析!$D$5:$O$5</c:f>
              <c:numCache>
                <c:formatCode>0_ </c:formatCode>
                <c:ptCount val="12"/>
                <c:pt idx="0">
                  <c:v>4</c:v>
                </c:pt>
                <c:pt idx="1">
                  <c:v>2</c:v>
                </c:pt>
                <c:pt idx="2">
                  <c:v>1</c:v>
                </c:pt>
                <c:pt idx="3">
                  <c:v>5</c:v>
                </c:pt>
                <c:pt idx="4">
                  <c:v>5</c:v>
                </c:pt>
                <c:pt idx="5">
                  <c:v>2</c:v>
                </c:pt>
                <c:pt idx="6">
                  <c:v>6</c:v>
                </c:pt>
                <c:pt idx="7">
                  <c:v>4</c:v>
                </c:pt>
                <c:pt idx="8">
                  <c:v>4</c:v>
                </c:pt>
                <c:pt idx="9">
                  <c:v>1</c:v>
                </c:pt>
                <c:pt idx="10">
                  <c:v>6</c:v>
                </c:pt>
                <c:pt idx="11">
                  <c:v>3</c:v>
                </c:pt>
              </c:numCache>
            </c:numRef>
          </c:val>
          <c:smooth val="0"/>
        </c:ser>
        <c:ser>
          <c:idx val="19"/>
          <c:order val="19"/>
          <c:tx>
            <c:strRef>
              <c:f>"2024年每月完成可研调整"</c:f>
              <c:strCache>
                <c:ptCount val="1"/>
                <c:pt idx="0">
                  <c:v>2024年每月完成可研调整</c:v>
                </c:pt>
              </c:strCache>
            </c:strRef>
          </c:tx>
          <c:spPr>
            <a:ln w="19050" cap="rnd" cmpd="sng" algn="ctr">
              <a:solidFill>
                <a:schemeClr val="accent4"/>
              </a:solidFill>
              <a:prstDash val="lgDash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分析!$D$2:$O$2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分析!$D$7:$O$7</c:f>
              <c:numCache>
                <c:formatCode>0_ </c:formatCode>
                <c:ptCount val="12"/>
                <c:pt idx="0">
                  <c:v>2</c:v>
                </c:pt>
                <c:pt idx="1">
                  <c:v>1</c:v>
                </c:pt>
                <c:pt idx="3">
                  <c:v>1</c:v>
                </c:pt>
                <c:pt idx="4">
                  <c:v>3</c:v>
                </c:pt>
                <c:pt idx="6">
                  <c:v>1</c:v>
                </c:pt>
                <c:pt idx="7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2</c:v>
                </c:pt>
              </c:numCache>
            </c:numRef>
          </c:val>
          <c:smooth val="0"/>
        </c:ser>
        <c:ser>
          <c:idx val="20"/>
          <c:order val="20"/>
          <c:tx>
            <c:strRef>
              <c:f>"2025年每月完成可研调整"</c:f>
              <c:strCache>
                <c:ptCount val="1"/>
                <c:pt idx="0">
                  <c:v>2025年每月完成可研调整</c:v>
                </c:pt>
              </c:strCache>
            </c:strRef>
          </c:tx>
          <c:spPr>
            <a:ln w="28575" cap="rnd" cmpd="sng" algn="ctr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分析!$D$2:$O$2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分析!$D$9:$O$9</c:f>
              <c:numCache>
                <c:formatCode>0_ 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3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</c:ser>
        <c:ser>
          <c:idx val="21"/>
          <c:order val="21"/>
          <c:tx>
            <c:strRef>
              <c:f>"2024年每月完成初设"</c:f>
              <c:strCache>
                <c:ptCount val="1"/>
                <c:pt idx="0">
                  <c:v>2024年每月完成初设</c:v>
                </c:pt>
              </c:strCache>
            </c:strRef>
          </c:tx>
          <c:spPr>
            <a:ln w="19050" cap="rnd" cmpd="sng" algn="ctr">
              <a:solidFill>
                <a:schemeClr val="accent5"/>
              </a:solidFill>
              <a:prstDash val="lgDash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分析!$D$2:$O$2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分析!$D$11:$O$11</c:f>
              <c:numCache>
                <c:formatCode>0_ </c:formatCode>
                <c:ptCount val="12"/>
                <c:pt idx="0">
                  <c:v>8</c:v>
                </c:pt>
                <c:pt idx="1">
                  <c:v>3</c:v>
                </c:pt>
                <c:pt idx="2">
                  <c:v>5</c:v>
                </c:pt>
                <c:pt idx="3">
                  <c:v>1</c:v>
                </c:pt>
                <c:pt idx="4">
                  <c:v>3</c:v>
                </c:pt>
                <c:pt idx="5">
                  <c:v>2</c:v>
                </c:pt>
                <c:pt idx="6">
                  <c:v>2</c:v>
                </c:pt>
                <c:pt idx="7">
                  <c:v>5</c:v>
                </c:pt>
                <c:pt idx="8">
                  <c:v>6</c:v>
                </c:pt>
                <c:pt idx="9">
                  <c:v>6</c:v>
                </c:pt>
                <c:pt idx="10">
                  <c:v>5</c:v>
                </c:pt>
                <c:pt idx="11">
                  <c:v>5</c:v>
                </c:pt>
              </c:numCache>
            </c:numRef>
          </c:val>
          <c:smooth val="0"/>
        </c:ser>
        <c:ser>
          <c:idx val="22"/>
          <c:order val="22"/>
          <c:tx>
            <c:strRef>
              <c:f>"2025年每月完成初设"</c:f>
              <c:strCache>
                <c:ptCount val="1"/>
                <c:pt idx="0">
                  <c:v>2025年每月完成初设</c:v>
                </c:pt>
              </c:strCache>
            </c:strRef>
          </c:tx>
          <c:spPr>
            <a:ln w="28575" cap="rnd" cmpd="sng" algn="ctr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分析!$D$2:$O$2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分析!$D$13:$O$13</c:f>
              <c:numCache>
                <c:formatCode>0_ </c:formatCode>
                <c:ptCount val="12"/>
                <c:pt idx="0">
                  <c:v>6</c:v>
                </c:pt>
                <c:pt idx="1">
                  <c:v>0</c:v>
                </c:pt>
                <c:pt idx="2">
                  <c:v>1</c:v>
                </c:pt>
                <c:pt idx="3">
                  <c:v>8</c:v>
                </c:pt>
                <c:pt idx="4">
                  <c:v>3</c:v>
                </c:pt>
                <c:pt idx="5">
                  <c:v>3</c:v>
                </c:pt>
                <c:pt idx="6">
                  <c:v>4</c:v>
                </c:pt>
                <c:pt idx="7">
                  <c:v>6</c:v>
                </c:pt>
                <c:pt idx="8">
                  <c:v>4</c:v>
                </c:pt>
                <c:pt idx="9">
                  <c:v>4</c:v>
                </c:pt>
                <c:pt idx="10">
                  <c:v>2</c:v>
                </c:pt>
                <c:pt idx="11">
                  <c:v>5</c:v>
                </c:pt>
              </c:numCache>
            </c:numRef>
          </c:val>
          <c:smooth val="0"/>
        </c:ser>
        <c:ser>
          <c:idx val="23"/>
          <c:order val="23"/>
          <c:tx>
            <c:strRef>
              <c:f>"2024年每月完成初设调整"</c:f>
              <c:strCache>
                <c:ptCount val="1"/>
                <c:pt idx="0">
                  <c:v>2024年每月完成初设调整</c:v>
                </c:pt>
              </c:strCache>
            </c:strRef>
          </c:tx>
          <c:spPr>
            <a:ln w="19050" cap="rnd" cmpd="sng" algn="ctr">
              <a:solidFill>
                <a:schemeClr val="accent1"/>
              </a:solidFill>
              <a:prstDash val="lgDash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分析!$D$2:$O$2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分析!$D$15:$O$15</c:f>
              <c:numCache>
                <c:formatCode>0_ </c:formatCode>
                <c:ptCount val="12"/>
                <c:pt idx="3">
                  <c:v>1</c:v>
                </c:pt>
                <c:pt idx="4">
                  <c:v>1</c:v>
                </c:pt>
                <c:pt idx="6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</c:numCache>
            </c:numRef>
          </c:val>
          <c:smooth val="0"/>
        </c:ser>
        <c:ser>
          <c:idx val="24"/>
          <c:order val="24"/>
          <c:tx>
            <c:strRef>
              <c:f>"2025年每月完成初设调整"</c:f>
              <c:strCache>
                <c:ptCount val="1"/>
                <c:pt idx="0">
                  <c:v>2025年每月完成初设调整</c:v>
                </c:pt>
              </c:strCache>
            </c:strRef>
          </c:tx>
          <c:spPr>
            <a:ln w="28575" cap="rnd" cmpd="sng" algn="ctr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分析!$D$2:$O$2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分析!$D$17:$O$17</c:f>
              <c:numCache>
                <c:formatCode>0_ 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2</c:v>
                </c:pt>
                <c:pt idx="6">
                  <c:v>1</c:v>
                </c:pt>
                <c:pt idx="7">
                  <c:v>1</c:v>
                </c:pt>
                <c:pt idx="8">
                  <c:v>3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</c:ser>
        <c:ser>
          <c:idx val="25"/>
          <c:order val="25"/>
          <c:tx>
            <c:strRef>
              <c:f>"2024年每月完成施工图及预算"</c:f>
              <c:strCache>
                <c:ptCount val="1"/>
                <c:pt idx="0">
                  <c:v>2024年每月完成施工图及预算</c:v>
                </c:pt>
              </c:strCache>
            </c:strRef>
          </c:tx>
          <c:spPr>
            <a:ln w="19050" cap="rnd" cmpd="sng" algn="ctr">
              <a:solidFill>
                <a:srgbClr val="00B050">
                  <a:alpha val="100000"/>
                </a:srgbClr>
              </a:solidFill>
              <a:prstDash val="lgDash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分析!$D$2:$O$2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分析!$D$19:$O$19</c:f>
              <c:numCache>
                <c:formatCode>0_ </c:formatCode>
                <c:ptCount val="12"/>
                <c:pt idx="0">
                  <c:v>2</c:v>
                </c:pt>
                <c:pt idx="1">
                  <c:v>3</c:v>
                </c:pt>
                <c:pt idx="2">
                  <c:v>5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4</c:v>
                </c:pt>
                <c:pt idx="7">
                  <c:v>2</c:v>
                </c:pt>
                <c:pt idx="8">
                  <c:v>1</c:v>
                </c:pt>
                <c:pt idx="9">
                  <c:v>3</c:v>
                </c:pt>
                <c:pt idx="10">
                  <c:v>4</c:v>
                </c:pt>
                <c:pt idx="11">
                  <c:v>7</c:v>
                </c:pt>
              </c:numCache>
            </c:numRef>
          </c:val>
          <c:smooth val="0"/>
        </c:ser>
        <c:ser>
          <c:idx val="26"/>
          <c:order val="26"/>
          <c:tx>
            <c:strRef>
              <c:f>"2025年每月完成施工图及预算"</c:f>
              <c:strCache>
                <c:ptCount val="1"/>
                <c:pt idx="0">
                  <c:v>2025年每月完成施工图及预算</c:v>
                </c:pt>
              </c:strCache>
            </c:strRef>
          </c:tx>
          <c:spPr>
            <a:ln w="28575" cap="rnd" cmpd="sng" algn="ctr">
              <a:solidFill>
                <a:srgbClr val="00B050">
                  <a:alpha val="100000"/>
                </a:srgb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分析!$D$2:$O$2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分析!$D$21:$O$21</c:f>
              <c:numCache>
                <c:formatCode>0_ </c:formatCode>
                <c:ptCount val="12"/>
                <c:pt idx="0">
                  <c:v>5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5</c:v>
                </c:pt>
                <c:pt idx="5">
                  <c:v>5</c:v>
                </c:pt>
                <c:pt idx="6">
                  <c:v>3</c:v>
                </c:pt>
                <c:pt idx="7">
                  <c:v>8</c:v>
                </c:pt>
                <c:pt idx="8">
                  <c:v>5</c:v>
                </c:pt>
                <c:pt idx="9">
                  <c:v>5</c:v>
                </c:pt>
                <c:pt idx="10">
                  <c:v>1</c:v>
                </c:pt>
                <c:pt idx="11">
                  <c:v>5</c:v>
                </c:pt>
              </c:numCache>
            </c:numRef>
          </c:val>
          <c:smooth val="0"/>
        </c:ser>
        <c:ser>
          <c:idx val="27"/>
          <c:order val="27"/>
          <c:tx>
            <c:strRef>
              <c:f>"2024年每月完成施工图预算调整"</c:f>
              <c:strCache>
                <c:ptCount val="1"/>
                <c:pt idx="0">
                  <c:v>2024年每月完成施工图预算调整</c:v>
                </c:pt>
              </c:strCache>
            </c:strRef>
          </c:tx>
          <c:spPr>
            <a:ln w="19050" cap="rnd" cmpd="sng" algn="ctr">
              <a:solidFill>
                <a:schemeClr val="accent6"/>
              </a:solidFill>
              <a:prstDash val="lgDash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分析!$D$2:$O$2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分析!$D$23:$O$23</c:f>
              <c:numCache>
                <c:formatCode>0_ </c:formatCode>
                <c:ptCount val="12"/>
                <c:pt idx="0">
                  <c:v>2</c:v>
                </c:pt>
                <c:pt idx="4">
                  <c:v>1</c:v>
                </c:pt>
                <c:pt idx="6">
                  <c:v>2</c:v>
                </c:pt>
                <c:pt idx="11">
                  <c:v>2</c:v>
                </c:pt>
              </c:numCache>
            </c:numRef>
          </c:val>
          <c:smooth val="0"/>
        </c:ser>
        <c:ser>
          <c:idx val="28"/>
          <c:order val="28"/>
          <c:tx>
            <c:strRef>
              <c:f>"2025年每月完成施工图预算调整"</c:f>
              <c:strCache>
                <c:ptCount val="1"/>
                <c:pt idx="0">
                  <c:v>2025年每月完成施工图预算调整</c:v>
                </c:pt>
              </c:strCache>
            </c:strRef>
          </c:tx>
          <c:spPr>
            <a:ln w="28575" cap="rnd" cmpd="sng" algn="ctr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分析!$D$2:$O$2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分析!$D$25:$O$25</c:f>
              <c:numCache>
                <c:formatCode>0_ 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</c:ser>
        <c:ser>
          <c:idx val="29"/>
          <c:order val="29"/>
          <c:tx>
            <c:strRef>
              <c:f>"2024年每月完成重大设计变更"</c:f>
              <c:strCache>
                <c:ptCount val="1"/>
                <c:pt idx="0">
                  <c:v>2024年每月完成重大设计变更</c:v>
                </c:pt>
              </c:strCache>
            </c:strRef>
          </c:tx>
          <c:spPr>
            <a:ln w="19050" cap="rnd" cmpd="sng" algn="ctr">
              <a:solidFill>
                <a:srgbClr val="FF0000">
                  <a:alpha val="100000"/>
                </a:srgbClr>
              </a:solidFill>
              <a:prstDash val="lgDash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分析!$D$2:$O$2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分析!$D$27:$O$27</c:f>
              <c:numCache>
                <c:formatCode>0_ </c:formatCode>
                <c:ptCount val="12"/>
                <c:pt idx="0">
                  <c:v>2</c:v>
                </c:pt>
                <c:pt idx="1">
                  <c:v>1</c:v>
                </c:pt>
                <c:pt idx="2">
                  <c:v>2</c:v>
                </c:pt>
                <c:pt idx="4">
                  <c:v>4</c:v>
                </c:pt>
                <c:pt idx="5">
                  <c:v>2</c:v>
                </c:pt>
                <c:pt idx="7">
                  <c:v>1</c:v>
                </c:pt>
                <c:pt idx="8">
                  <c:v>6</c:v>
                </c:pt>
                <c:pt idx="9">
                  <c:v>1</c:v>
                </c:pt>
                <c:pt idx="10">
                  <c:v>4</c:v>
                </c:pt>
                <c:pt idx="11">
                  <c:v>2</c:v>
                </c:pt>
              </c:numCache>
            </c:numRef>
          </c:val>
          <c:smooth val="0"/>
        </c:ser>
        <c:ser>
          <c:idx val="30"/>
          <c:order val="30"/>
          <c:tx>
            <c:strRef>
              <c:f>"2025年每月完成重大设计变更"</c:f>
              <c:strCache>
                <c:ptCount val="1"/>
                <c:pt idx="0">
                  <c:v>2025年每月完成重大设计变更</c:v>
                </c:pt>
              </c:strCache>
            </c:strRef>
          </c:tx>
          <c:spPr>
            <a:ln w="28575" cap="rnd" cmpd="sng" algn="ctr">
              <a:solidFill>
                <a:srgbClr val="FF0000">
                  <a:alpha val="100000"/>
                </a:srgb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分析!$D$2:$O$2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分析!$D$29:$O$29</c:f>
              <c:numCache>
                <c:formatCode>0_ 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6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1</c:v>
                </c:pt>
                <c:pt idx="7">
                  <c:v>3</c:v>
                </c:pt>
                <c:pt idx="8">
                  <c:v>0</c:v>
                </c:pt>
                <c:pt idx="9">
                  <c:v>3</c:v>
                </c:pt>
                <c:pt idx="10">
                  <c:v>2</c:v>
                </c:pt>
                <c:pt idx="11">
                  <c:v>0</c:v>
                </c:pt>
              </c:numCache>
            </c:numRef>
          </c:val>
          <c:smooth val="0"/>
        </c:ser>
        <c:ser>
          <c:idx val="31"/>
          <c:order val="31"/>
          <c:tx>
            <c:strRef>
              <c:f>"2023年每月完成评审"</c:f>
              <c:strCache>
                <c:ptCount val="1"/>
                <c:pt idx="0">
                  <c:v>2023年每月完成评审</c:v>
                </c:pt>
              </c:strCache>
            </c:strRef>
          </c:tx>
          <c:spPr>
            <a:ln w="19050" cap="rnd" cmpd="sng" algn="ctr">
              <a:solidFill>
                <a:srgbClr val="7030A0">
                  <a:alpha val="49803"/>
                </a:srgbClr>
              </a:solidFill>
              <a:prstDash val="lgDash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分析!$D$2:$O$2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分析!$D$31:$O$31</c:f>
              <c:numCache>
                <c:formatCode>0_ </c:formatCode>
                <c:ptCount val="12"/>
                <c:pt idx="0">
                  <c:v>7</c:v>
                </c:pt>
                <c:pt idx="1">
                  <c:v>8</c:v>
                </c:pt>
                <c:pt idx="2">
                  <c:v>8</c:v>
                </c:pt>
                <c:pt idx="3">
                  <c:v>18</c:v>
                </c:pt>
                <c:pt idx="4">
                  <c:v>18</c:v>
                </c:pt>
                <c:pt idx="5">
                  <c:v>12</c:v>
                </c:pt>
                <c:pt idx="6">
                  <c:v>10</c:v>
                </c:pt>
                <c:pt idx="7">
                  <c:v>17</c:v>
                </c:pt>
                <c:pt idx="8">
                  <c:v>14</c:v>
                </c:pt>
                <c:pt idx="9">
                  <c:v>9</c:v>
                </c:pt>
                <c:pt idx="10">
                  <c:v>15</c:v>
                </c:pt>
                <c:pt idx="11">
                  <c:v>35</c:v>
                </c:pt>
              </c:numCache>
            </c:numRef>
          </c:val>
          <c:smooth val="0"/>
        </c:ser>
        <c:ser>
          <c:idx val="32"/>
          <c:order val="32"/>
          <c:tx>
            <c:strRef>
              <c:f>"2024年每月完成评审"</c:f>
              <c:strCache>
                <c:ptCount val="1"/>
                <c:pt idx="0">
                  <c:v>2024年每月完成评审</c:v>
                </c:pt>
              </c:strCache>
            </c:strRef>
          </c:tx>
          <c:spPr>
            <a:ln w="19050" cap="rnd" cmpd="sng" algn="ctr">
              <a:solidFill>
                <a:srgbClr val="7030A0">
                  <a:alpha val="100000"/>
                </a:srgbClr>
              </a:solidFill>
              <a:prstDash val="dash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分析!$D$2:$O$2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分析!$D$33:$O$33</c:f>
              <c:numCache>
                <c:formatCode>0_ </c:formatCode>
                <c:ptCount val="12"/>
                <c:pt idx="0">
                  <c:v>22</c:v>
                </c:pt>
                <c:pt idx="1">
                  <c:v>9</c:v>
                </c:pt>
                <c:pt idx="2">
                  <c:v>14</c:v>
                </c:pt>
                <c:pt idx="3">
                  <c:v>14</c:v>
                </c:pt>
                <c:pt idx="4">
                  <c:v>26</c:v>
                </c:pt>
                <c:pt idx="5">
                  <c:v>14</c:v>
                </c:pt>
                <c:pt idx="6">
                  <c:v>14</c:v>
                </c:pt>
                <c:pt idx="7">
                  <c:v>14</c:v>
                </c:pt>
                <c:pt idx="8">
                  <c:v>19</c:v>
                </c:pt>
                <c:pt idx="9">
                  <c:v>14</c:v>
                </c:pt>
                <c:pt idx="10">
                  <c:v>18</c:v>
                </c:pt>
                <c:pt idx="11">
                  <c:v>20</c:v>
                </c:pt>
              </c:numCache>
            </c:numRef>
          </c:val>
          <c:smooth val="0"/>
        </c:ser>
        <c:ser>
          <c:idx val="33"/>
          <c:order val="33"/>
          <c:tx>
            <c:strRef>
              <c:f>"2025年每月完成评审"</c:f>
              <c:strCache>
                <c:ptCount val="1"/>
                <c:pt idx="0">
                  <c:v>2025年每月完成评审</c:v>
                </c:pt>
              </c:strCache>
            </c:strRef>
          </c:tx>
          <c:spPr>
            <a:ln w="28575" cap="rnd" cmpd="sng" algn="ctr">
              <a:solidFill>
                <a:srgbClr val="7030A0">
                  <a:alpha val="100000"/>
                </a:srgb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分析!$D$2:$O$2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分析!$D$35:$O$35</c:f>
              <c:numCache>
                <c:formatCode>0_ </c:formatCode>
                <c:ptCount val="12"/>
                <c:pt idx="0">
                  <c:v>17</c:v>
                </c:pt>
                <c:pt idx="1">
                  <c:v>6</c:v>
                </c:pt>
                <c:pt idx="2">
                  <c:v>11</c:v>
                </c:pt>
                <c:pt idx="3">
                  <c:v>17</c:v>
                </c:pt>
                <c:pt idx="4">
                  <c:v>15</c:v>
                </c:pt>
                <c:pt idx="5">
                  <c:v>13</c:v>
                </c:pt>
                <c:pt idx="6">
                  <c:v>16</c:v>
                </c:pt>
                <c:pt idx="7">
                  <c:v>24</c:v>
                </c:pt>
                <c:pt idx="8">
                  <c:v>19</c:v>
                </c:pt>
                <c:pt idx="9">
                  <c:v>18</c:v>
                </c:pt>
                <c:pt idx="10">
                  <c:v>13</c:v>
                </c:pt>
                <c:pt idx="11">
                  <c:v>13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761346659"/>
        <c:axId val="1580115072"/>
      </c:lineChart>
      <c:catAx>
        <c:axId val="1761346659"/>
        <c:scaling>
          <c:orientation val="minMax"/>
        </c:scaling>
        <c:delete val="0"/>
        <c:axPos val="b"/>
        <c:title>
          <c:layout/>
          <c:overlay val="0"/>
          <c:tx>
            <c:rich>
              <a:bodyPr/>
              <a:lstStyle/>
              <a:p>
                <a:pPr>
                  <a:defRPr/>
                </a:pPr>
              </a:p>
            </c:rich>
          </c:tx>
        </c:title>
        <c:numFmt formatCode="0&quot;月&quot;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rgbClr val="000000"/>
                </a:solidFill>
                <a:latin typeface="微软雅黑" panose="020B0503020204020204" charset="-122"/>
                <a:ea typeface="+mn-ea"/>
                <a:cs typeface="+mn-cs"/>
              </a:defRPr>
            </a:pPr>
          </a:p>
        </c:txPr>
        <c:crossAx val="1580115072"/>
        <c:crosses val="autoZero"/>
        <c:auto val="1"/>
        <c:lblAlgn val="ctr"/>
        <c:lblOffset val="100"/>
        <c:noMultiLvlLbl val="1"/>
      </c:catAx>
      <c:valAx>
        <c:axId val="1580115072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</c:spPr>
        </c:majorGridlines>
        <c:title>
          <c:layout/>
          <c:overlay val="0"/>
          <c:tx>
            <c:rich>
              <a:bodyPr/>
              <a:lstStyle/>
              <a:p>
                <a:pPr>
                  <a:defRPr/>
                </a:pPr>
              </a:p>
            </c:rich>
          </c:tx>
        </c:title>
        <c:numFmt formatCode="0&quot;项&quot;" sourceLinked="0"/>
        <c:majorTickMark val="none"/>
        <c:minorTickMark val="none"/>
        <c:tickLblPos val="nextTo"/>
        <c:spPr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rgbClr val="000000"/>
                </a:solidFill>
                <a:latin typeface="微软雅黑" panose="020B0503020204020204" charset="-122"/>
                <a:ea typeface="+mn-ea"/>
                <a:cs typeface="+mn-cs"/>
              </a:defRPr>
            </a:pPr>
          </a:p>
        </c:txPr>
        <c:crossAx val="1761346659"/>
        <c:crosses val="autoZero"/>
        <c:crossBetween val="between"/>
      </c:valAx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1A1A1A"/>
                </a:solidFill>
                <a:latin typeface="微软雅黑" panose="020B0503020204020204" charset="-122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1A1A1A"/>
                </a:solidFill>
                <a:latin typeface="微软雅黑" panose="020B0503020204020204" charset="-122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1A1A1A"/>
                </a:solidFill>
                <a:latin typeface="微软雅黑" panose="020B0503020204020204" charset="-122"/>
                <a:ea typeface="+mn-ea"/>
                <a:cs typeface="+mn-cs"/>
              </a:defRPr>
            </a:pPr>
          </a:p>
        </c:txPr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1A1A1A"/>
                </a:solidFill>
                <a:latin typeface="微软雅黑" panose="020B0503020204020204" charset="-122"/>
                <a:ea typeface="+mn-ea"/>
                <a:cs typeface="+mn-cs"/>
              </a:defRPr>
            </a:pPr>
          </a:p>
        </c:txPr>
      </c:legendEntry>
      <c:legendEntry>
        <c:idx val="4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1A1A1A"/>
                </a:solidFill>
                <a:latin typeface="微软雅黑" panose="020B0503020204020204" charset="-122"/>
                <a:ea typeface="+mn-ea"/>
                <a:cs typeface="+mn-cs"/>
              </a:defRPr>
            </a:pPr>
          </a:p>
        </c:txPr>
      </c:legendEntry>
      <c:legendEntry>
        <c:idx val="5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1A1A1A"/>
                </a:solidFill>
                <a:latin typeface="微软雅黑" panose="020B0503020204020204" charset="-122"/>
                <a:ea typeface="+mn-ea"/>
                <a:cs typeface="+mn-cs"/>
              </a:defRPr>
            </a:pPr>
          </a:p>
        </c:txPr>
      </c:legendEntry>
      <c:legendEntry>
        <c:idx val="6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1A1A1A"/>
                </a:solidFill>
                <a:latin typeface="微软雅黑" panose="020B0503020204020204" charset="-122"/>
                <a:ea typeface="+mn-ea"/>
                <a:cs typeface="+mn-cs"/>
              </a:defRPr>
            </a:pPr>
          </a:p>
        </c:txPr>
      </c:legendEntry>
      <c:legendEntry>
        <c:idx val="7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1A1A1A"/>
                </a:solidFill>
                <a:latin typeface="微软雅黑" panose="020B0503020204020204" charset="-122"/>
                <a:ea typeface="+mn-ea"/>
                <a:cs typeface="+mn-cs"/>
              </a:defRPr>
            </a:pPr>
          </a:p>
        </c:txPr>
      </c:legendEntry>
      <c:legendEntry>
        <c:idx val="8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1A1A1A"/>
                </a:solidFill>
                <a:latin typeface="微软雅黑" panose="020B0503020204020204" charset="-122"/>
                <a:ea typeface="+mn-ea"/>
                <a:cs typeface="+mn-cs"/>
              </a:defRPr>
            </a:pPr>
          </a:p>
        </c:txPr>
      </c:legendEntry>
      <c:legendEntry>
        <c:idx val="9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1A1A1A"/>
                </a:solidFill>
                <a:latin typeface="微软雅黑" panose="020B0503020204020204" charset="-122"/>
                <a:ea typeface="+mn-ea"/>
                <a:cs typeface="+mn-cs"/>
              </a:defRPr>
            </a:pPr>
          </a:p>
        </c:txPr>
      </c:legendEntry>
      <c:legendEntry>
        <c:idx val="10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1A1A1A"/>
                </a:solidFill>
                <a:latin typeface="微软雅黑" panose="020B0503020204020204" charset="-122"/>
                <a:ea typeface="+mn-ea"/>
                <a:cs typeface="+mn-cs"/>
              </a:defRPr>
            </a:pPr>
          </a:p>
        </c:txPr>
      </c:legendEntry>
      <c:legendEntry>
        <c:idx val="11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1A1A1A"/>
                </a:solidFill>
                <a:latin typeface="微软雅黑" panose="020B0503020204020204" charset="-122"/>
                <a:ea typeface="+mn-ea"/>
                <a:cs typeface="+mn-cs"/>
              </a:defRPr>
            </a:pPr>
          </a:p>
        </c:txPr>
      </c:legendEntry>
      <c:legendEntry>
        <c:idx val="12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1A1A1A"/>
                </a:solidFill>
                <a:latin typeface="微软雅黑" panose="020B0503020204020204" charset="-122"/>
                <a:ea typeface="+mn-ea"/>
                <a:cs typeface="+mn-cs"/>
              </a:defRPr>
            </a:pPr>
          </a:p>
        </c:txPr>
      </c:legendEntry>
      <c:legendEntry>
        <c:idx val="13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1A1A1A"/>
                </a:solidFill>
                <a:latin typeface="微软雅黑" panose="020B0503020204020204" charset="-122"/>
                <a:ea typeface="+mn-ea"/>
                <a:cs typeface="+mn-cs"/>
              </a:defRPr>
            </a:pPr>
          </a:p>
        </c:txPr>
      </c:legendEntry>
      <c:legendEntry>
        <c:idx val="14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1A1A1A"/>
                </a:solidFill>
                <a:latin typeface="微软雅黑" panose="020B0503020204020204" charset="-122"/>
                <a:ea typeface="+mn-ea"/>
                <a:cs typeface="+mn-cs"/>
              </a:defRPr>
            </a:pPr>
          </a:p>
        </c:txPr>
      </c:legendEntry>
      <c:legendEntry>
        <c:idx val="15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1A1A1A"/>
                </a:solidFill>
                <a:latin typeface="微软雅黑" panose="020B0503020204020204" charset="-122"/>
                <a:ea typeface="+mn-ea"/>
                <a:cs typeface="+mn-cs"/>
              </a:defRPr>
            </a:pPr>
          </a:p>
        </c:txPr>
      </c:legendEntry>
      <c:legendEntry>
        <c:idx val="16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1A1A1A"/>
                </a:solidFill>
                <a:latin typeface="微软雅黑" panose="020B0503020204020204" charset="-122"/>
                <a:ea typeface="+mn-ea"/>
                <a:cs typeface="+mn-cs"/>
              </a:defRPr>
            </a:pPr>
          </a:p>
        </c:txPr>
      </c:legendEntry>
      <c:legendEntry>
        <c:idx val="17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1A1A1A"/>
                </a:solidFill>
                <a:latin typeface="微软雅黑" panose="020B0503020204020204" charset="-122"/>
                <a:ea typeface="+mn-ea"/>
                <a:cs typeface="+mn-cs"/>
              </a:defRPr>
            </a:pPr>
          </a:p>
        </c:txPr>
      </c:legendEntry>
      <c:legendEntry>
        <c:idx val="18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1A1A1A"/>
                </a:solidFill>
                <a:latin typeface="微软雅黑" panose="020B0503020204020204" charset="-122"/>
                <a:ea typeface="+mn-ea"/>
                <a:cs typeface="+mn-cs"/>
              </a:defRPr>
            </a:pPr>
          </a:p>
        </c:txPr>
      </c:legendEntry>
      <c:legendEntry>
        <c:idx val="19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1A1A1A"/>
                </a:solidFill>
                <a:latin typeface="微软雅黑" panose="020B0503020204020204" charset="-122"/>
                <a:ea typeface="+mn-ea"/>
                <a:cs typeface="+mn-cs"/>
              </a:defRPr>
            </a:pPr>
          </a:p>
        </c:txPr>
      </c:legendEntry>
      <c:legendEntry>
        <c:idx val="20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1A1A1A"/>
                </a:solidFill>
                <a:latin typeface="微软雅黑" panose="020B0503020204020204" charset="-122"/>
                <a:ea typeface="+mn-ea"/>
                <a:cs typeface="+mn-cs"/>
              </a:defRPr>
            </a:pPr>
          </a:p>
        </c:txPr>
      </c:legendEntry>
      <c:legendEntry>
        <c:idx val="21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1A1A1A"/>
                </a:solidFill>
                <a:latin typeface="微软雅黑" panose="020B0503020204020204" charset="-122"/>
                <a:ea typeface="+mn-ea"/>
                <a:cs typeface="+mn-cs"/>
              </a:defRPr>
            </a:pPr>
          </a:p>
        </c:txPr>
      </c:legendEntry>
      <c:legendEntry>
        <c:idx val="22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1A1A1A"/>
                </a:solidFill>
                <a:latin typeface="微软雅黑" panose="020B0503020204020204" charset="-122"/>
                <a:ea typeface="+mn-ea"/>
                <a:cs typeface="+mn-cs"/>
              </a:defRPr>
            </a:pPr>
          </a:p>
        </c:txPr>
      </c:legendEntry>
      <c:legendEntry>
        <c:idx val="23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1A1A1A"/>
                </a:solidFill>
                <a:latin typeface="微软雅黑" panose="020B0503020204020204" charset="-122"/>
                <a:ea typeface="+mn-ea"/>
                <a:cs typeface="+mn-cs"/>
              </a:defRPr>
            </a:pPr>
          </a:p>
        </c:txPr>
      </c:legendEntry>
      <c:legendEntry>
        <c:idx val="24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1A1A1A"/>
                </a:solidFill>
                <a:latin typeface="微软雅黑" panose="020B0503020204020204" charset="-122"/>
                <a:ea typeface="+mn-ea"/>
                <a:cs typeface="+mn-cs"/>
              </a:defRPr>
            </a:pPr>
          </a:p>
        </c:txPr>
      </c:legendEntry>
      <c:legendEntry>
        <c:idx val="25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1A1A1A"/>
                </a:solidFill>
                <a:latin typeface="微软雅黑" panose="020B0503020204020204" charset="-122"/>
                <a:ea typeface="+mn-ea"/>
                <a:cs typeface="+mn-cs"/>
              </a:defRPr>
            </a:pPr>
          </a:p>
        </c:txPr>
      </c:legendEntry>
      <c:legendEntry>
        <c:idx val="26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1A1A1A"/>
                </a:solidFill>
                <a:latin typeface="微软雅黑" panose="020B0503020204020204" charset="-122"/>
                <a:ea typeface="+mn-ea"/>
                <a:cs typeface="+mn-cs"/>
              </a:defRPr>
            </a:pPr>
          </a:p>
        </c:txPr>
      </c:legendEntry>
      <c:legendEntry>
        <c:idx val="27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1A1A1A"/>
                </a:solidFill>
                <a:latin typeface="微软雅黑" panose="020B0503020204020204" charset="-122"/>
                <a:ea typeface="+mn-ea"/>
                <a:cs typeface="+mn-cs"/>
              </a:defRPr>
            </a:pPr>
          </a:p>
        </c:txPr>
      </c:legendEntry>
      <c:legendEntry>
        <c:idx val="28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1A1A1A"/>
                </a:solidFill>
                <a:latin typeface="微软雅黑" panose="020B0503020204020204" charset="-122"/>
                <a:ea typeface="+mn-ea"/>
                <a:cs typeface="+mn-cs"/>
              </a:defRPr>
            </a:pPr>
          </a:p>
        </c:txPr>
      </c:legendEntry>
      <c:legendEntry>
        <c:idx val="29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1A1A1A"/>
                </a:solidFill>
                <a:latin typeface="微软雅黑" panose="020B0503020204020204" charset="-122"/>
                <a:ea typeface="+mn-ea"/>
                <a:cs typeface="+mn-cs"/>
              </a:defRPr>
            </a:pPr>
          </a:p>
        </c:txPr>
      </c:legendEntry>
      <c:legendEntry>
        <c:idx val="30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1A1A1A"/>
                </a:solidFill>
                <a:latin typeface="微软雅黑" panose="020B0503020204020204" charset="-122"/>
                <a:ea typeface="+mn-ea"/>
                <a:cs typeface="+mn-cs"/>
              </a:defRPr>
            </a:pPr>
          </a:p>
        </c:txPr>
      </c:legendEntry>
      <c:legendEntry>
        <c:idx val="31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1A1A1A"/>
                </a:solidFill>
                <a:latin typeface="微软雅黑" panose="020B0503020204020204" charset="-122"/>
                <a:ea typeface="+mn-ea"/>
                <a:cs typeface="+mn-cs"/>
              </a:defRPr>
            </a:pPr>
          </a:p>
        </c:txPr>
      </c:legendEntry>
      <c:legendEntry>
        <c:idx val="32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1A1A1A"/>
                </a:solidFill>
                <a:latin typeface="微软雅黑" panose="020B0503020204020204" charset="-122"/>
                <a:ea typeface="+mn-ea"/>
                <a:cs typeface="+mn-cs"/>
              </a:defRPr>
            </a:pPr>
          </a:p>
        </c:txPr>
      </c:legendEntry>
      <c:legendEntry>
        <c:idx val="33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1A1A1A"/>
                </a:solidFill>
                <a:latin typeface="微软雅黑" panose="020B0503020204020204" charset="-122"/>
                <a:ea typeface="+mn-ea"/>
                <a:cs typeface="+mn-cs"/>
              </a:defRPr>
            </a:pPr>
          </a:p>
        </c:txPr>
      </c:legendEntry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800" b="0" i="0" u="none" strike="noStrike" kern="1200" baseline="0">
              <a:solidFill>
                <a:srgbClr val="1A1A1A"/>
              </a:solidFill>
              <a:latin typeface="微软雅黑" panose="020B0503020204020204" charset="-122"/>
              <a:ea typeface="+mn-ea"/>
              <a:cs typeface="+mn-cs"/>
            </a:defRPr>
          </a:pPr>
        </a:p>
      </c:txPr>
    </c:legend>
    <c:plotVisOnly val="1"/>
    <c:dispBlanksAs val="zero"/>
    <c:showDLblsOverMax val="1"/>
    <c:extLst>
      <c:ext uri="{0b15fc19-7d7d-44ad-8c2d-2c3a37ce22c3}">
        <chartProps xmlns="https://web.wps.cn/et/2018/main" chartId="{d8a1772e-2738-4e96-be0c-3ce01059a18b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zh-CN" sz="1000" b="0" i="0" u="none" strike="noStrike" kern="1200" baseline="0">
                <a:solidFill>
                  <a:srgbClr val="757575"/>
                </a:solidFill>
                <a:latin typeface="微软雅黑" panose="020B0503020204020204" charset="-122"/>
                <a:ea typeface="+mn-ea"/>
                <a:cs typeface="+mn-cs"/>
              </a:defRPr>
            </a:pPr>
            <a:r>
              <a:rPr sz="1000" b="0" i="0">
                <a:solidFill>
                  <a:srgbClr val="757575"/>
                </a:solidFill>
                <a:latin typeface="微软雅黑" panose="020B0503020204020204" charset="-122"/>
              </a:rPr>
              <a:t>主网项目评审投资情况</a:t>
            </a:r>
            <a:endParaRPr sz="1000" b="0" i="0">
              <a:solidFill>
                <a:srgbClr val="757575"/>
              </a:solidFill>
              <a:latin typeface="微软雅黑" panose="020B0503020204020204" charset="-122"/>
            </a:endParaRPr>
          </a:p>
        </c:rich>
      </c:tx>
      <c:layout/>
      <c:overlay val="0"/>
    </c:title>
    <c:autoTitleDeleted val="0"/>
    <c:plotArea>
      <c:layout>
        <c:manualLayout>
          <c:xMode val="edge"/>
          <c:yMode val="edge"/>
          <c:x val="0.0353574605552694"/>
          <c:y val="0.100736036946168"/>
          <c:w val="0.924884123788567"/>
          <c:h val="0.767845287920335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"2023年累计完成可研"</c:f>
              <c:strCache>
                <c:ptCount val="1"/>
                <c:pt idx="0">
                  <c:v>2023年累计完成可研</c:v>
                </c:pt>
              </c:strCache>
            </c:strRef>
          </c:tx>
          <c:spPr>
            <a:solidFill>
              <a:srgbClr val="5B9BD5"/>
            </a:solidFill>
            <a:ln cmpd="sng">
              <a:solidFill>
                <a:srgbClr val="000000"/>
              </a:solidFill>
            </a:ln>
          </c:spPr>
          <c:invertIfNegative val="1"/>
          <c:dLbls>
            <c:delete val="1"/>
          </c:dLbls>
          <c:cat>
            <c:strRef>
              <c:f>分析!$D$2:$O$2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分析!$D$56:$O$56</c:f>
              <c:numCache>
                <c:formatCode>0.00_ </c:formatCode>
                <c:ptCount val="12"/>
                <c:pt idx="0">
                  <c:v>1.084176</c:v>
                </c:pt>
                <c:pt idx="1">
                  <c:v>3.143144</c:v>
                </c:pt>
                <c:pt idx="2">
                  <c:v>5.592468</c:v>
                </c:pt>
                <c:pt idx="3">
                  <c:v>6.464296</c:v>
                </c:pt>
                <c:pt idx="4">
                  <c:v>7.832451</c:v>
                </c:pt>
                <c:pt idx="5">
                  <c:v>8.672912</c:v>
                </c:pt>
                <c:pt idx="6">
                  <c:v>11.984057</c:v>
                </c:pt>
                <c:pt idx="7">
                  <c:v>25.957762</c:v>
                </c:pt>
                <c:pt idx="8">
                  <c:v>26.930236</c:v>
                </c:pt>
                <c:pt idx="9">
                  <c:v>28.973585</c:v>
                </c:pt>
                <c:pt idx="10">
                  <c:v>36.017685</c:v>
                </c:pt>
                <c:pt idx="11">
                  <c:v>49.24336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ser>
          <c:idx val="1"/>
          <c:order val="1"/>
          <c:tx>
            <c:strRef>
              <c:f>"2024年累计完成可研"</c:f>
              <c:strCache>
                <c:ptCount val="1"/>
                <c:pt idx="0">
                  <c:v>2024年累计完成可研</c:v>
                </c:pt>
              </c:strCache>
            </c:strRef>
          </c:tx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invertIfNegative val="1"/>
          <c:dLbls>
            <c:delete val="1"/>
          </c:dLbls>
          <c:cat>
            <c:strRef>
              <c:f>分析!$D$2:$O$2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分析!$D$58:$O$58</c:f>
              <c:numCache>
                <c:formatCode>0.00_ </c:formatCode>
                <c:ptCount val="12"/>
                <c:pt idx="0">
                  <c:v>4.238128</c:v>
                </c:pt>
                <c:pt idx="1">
                  <c:v>7.174139</c:v>
                </c:pt>
                <c:pt idx="2">
                  <c:v>9.882263</c:v>
                </c:pt>
                <c:pt idx="3">
                  <c:v>11.8902523546</c:v>
                </c:pt>
                <c:pt idx="4">
                  <c:v>40.4359253546</c:v>
                </c:pt>
                <c:pt idx="5">
                  <c:v>44.6724363546</c:v>
                </c:pt>
                <c:pt idx="6">
                  <c:v>48.1375043546</c:v>
                </c:pt>
                <c:pt idx="7">
                  <c:v>53.2464293546</c:v>
                </c:pt>
                <c:pt idx="8">
                  <c:v>54.6430653546</c:v>
                </c:pt>
                <c:pt idx="9">
                  <c:v>55.1389233546</c:v>
                </c:pt>
                <c:pt idx="10">
                  <c:v>57.3422793546</c:v>
                </c:pt>
                <c:pt idx="11">
                  <c:v>59.0615913546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ser>
          <c:idx val="2"/>
          <c:order val="2"/>
          <c:tx>
            <c:strRef>
              <c:f>"2025年累计完成可研"</c:f>
              <c:strCache>
                <c:ptCount val="1"/>
                <c:pt idx="0">
                  <c:v>2025年累计完成可研</c:v>
                </c:pt>
              </c:strCache>
            </c:strRef>
          </c:tx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invertIfNegative val="1"/>
          <c:dLbls>
            <c:delete val="1"/>
          </c:dLbls>
          <c:cat>
            <c:strRef>
              <c:f>分析!$D$2:$O$2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分析!$D$60:$O$60</c:f>
              <c:numCache>
                <c:formatCode>0.00_ </c:formatCode>
                <c:ptCount val="12"/>
                <c:pt idx="0">
                  <c:v>8.578148</c:v>
                </c:pt>
                <c:pt idx="1">
                  <c:v>18.081249</c:v>
                </c:pt>
                <c:pt idx="2">
                  <c:v>18.285371</c:v>
                </c:pt>
                <c:pt idx="3">
                  <c:v>21.184751</c:v>
                </c:pt>
                <c:pt idx="4">
                  <c:v>30.52083</c:v>
                </c:pt>
                <c:pt idx="5">
                  <c:v>31.005262</c:v>
                </c:pt>
                <c:pt idx="6">
                  <c:v>36.961357</c:v>
                </c:pt>
                <c:pt idx="7">
                  <c:v>44.634276</c:v>
                </c:pt>
                <c:pt idx="8">
                  <c:v>49.157712</c:v>
                </c:pt>
                <c:pt idx="9">
                  <c:v>49.364921</c:v>
                </c:pt>
                <c:pt idx="10">
                  <c:v>53.458177</c:v>
                </c:pt>
                <c:pt idx="11">
                  <c:v>55.930235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ser>
          <c:idx val="3"/>
          <c:order val="3"/>
          <c:tx>
            <c:strRef>
              <c:f>"2023年累计完成初设"</c:f>
              <c:strCache>
                <c:ptCount val="1"/>
                <c:pt idx="0">
                  <c:v>2023年累计完成初设</c:v>
                </c:pt>
              </c:strCache>
            </c:strRef>
          </c:tx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invertIfNegative val="1"/>
          <c:dLbls>
            <c:delete val="1"/>
          </c:dLbls>
          <c:cat>
            <c:strRef>
              <c:f>分析!$D$2:$O$2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分析!$D$62:$O$62</c:f>
              <c:numCache>
                <c:formatCode>0.00_ </c:formatCode>
                <c:ptCount val="12"/>
                <c:pt idx="0">
                  <c:v>0</c:v>
                </c:pt>
                <c:pt idx="1">
                  <c:v>3.4868</c:v>
                </c:pt>
                <c:pt idx="2">
                  <c:v>3.5111</c:v>
                </c:pt>
                <c:pt idx="3">
                  <c:v>10.1101</c:v>
                </c:pt>
                <c:pt idx="4">
                  <c:v>17.6351</c:v>
                </c:pt>
                <c:pt idx="5">
                  <c:v>20.4798</c:v>
                </c:pt>
                <c:pt idx="6">
                  <c:v>21.4574</c:v>
                </c:pt>
                <c:pt idx="7">
                  <c:v>24.035914</c:v>
                </c:pt>
                <c:pt idx="8">
                  <c:v>34.173524</c:v>
                </c:pt>
                <c:pt idx="9">
                  <c:v>36.421807</c:v>
                </c:pt>
                <c:pt idx="10">
                  <c:v>43.67187</c:v>
                </c:pt>
                <c:pt idx="11">
                  <c:v>46.965454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ser>
          <c:idx val="4"/>
          <c:order val="4"/>
          <c:tx>
            <c:strRef>
              <c:f>"2024年累计完成初设"</c:f>
              <c:strCache>
                <c:ptCount val="1"/>
                <c:pt idx="0">
                  <c:v>2024年累计完成初设</c:v>
                </c:pt>
              </c:strCache>
            </c:strRef>
          </c:tx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dLbls>
            <c:delete val="1"/>
          </c:dLbls>
          <c:cat>
            <c:strRef>
              <c:f>分析!$D$2:$O$2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分析!$D$64:$O$64</c:f>
              <c:numCache>
                <c:formatCode>0.00_ </c:formatCode>
                <c:ptCount val="12"/>
                <c:pt idx="0">
                  <c:v>4.384582</c:v>
                </c:pt>
                <c:pt idx="1">
                  <c:v>5.261981</c:v>
                </c:pt>
                <c:pt idx="2">
                  <c:v>8.999721</c:v>
                </c:pt>
                <c:pt idx="3">
                  <c:v>9.141672</c:v>
                </c:pt>
                <c:pt idx="4">
                  <c:v>10.466398</c:v>
                </c:pt>
                <c:pt idx="5">
                  <c:v>11.224612</c:v>
                </c:pt>
                <c:pt idx="6">
                  <c:v>11.862403</c:v>
                </c:pt>
                <c:pt idx="7">
                  <c:v>15.688632</c:v>
                </c:pt>
                <c:pt idx="8">
                  <c:v>21.406852</c:v>
                </c:pt>
                <c:pt idx="9">
                  <c:v>27.619287</c:v>
                </c:pt>
                <c:pt idx="10">
                  <c:v>35.970577</c:v>
                </c:pt>
                <c:pt idx="11">
                  <c:v>38.938357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ser>
          <c:idx val="5"/>
          <c:order val="5"/>
          <c:tx>
            <c:strRef>
              <c:f>"2025年累计完成初设"</c:f>
              <c:strCache>
                <c:ptCount val="1"/>
                <c:pt idx="0">
                  <c:v>2025年累计完成初设</c:v>
                </c:pt>
              </c:strCache>
            </c:strRef>
          </c:tx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dLbls>
            <c:delete val="1"/>
          </c:dLbls>
          <c:cat>
            <c:strRef>
              <c:f>分析!$D$2:$O$2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分析!$D$66:$O$66</c:f>
              <c:numCache>
                <c:formatCode>0.00_ </c:formatCode>
                <c:ptCount val="12"/>
                <c:pt idx="0">
                  <c:v>5.174457</c:v>
                </c:pt>
                <c:pt idx="1">
                  <c:v>5.174457</c:v>
                </c:pt>
                <c:pt idx="2">
                  <c:v>6.081319</c:v>
                </c:pt>
                <c:pt idx="3">
                  <c:v>25.881809</c:v>
                </c:pt>
                <c:pt idx="4">
                  <c:v>27.297978</c:v>
                </c:pt>
                <c:pt idx="5">
                  <c:v>40.684873</c:v>
                </c:pt>
                <c:pt idx="6">
                  <c:v>42.979418</c:v>
                </c:pt>
                <c:pt idx="7">
                  <c:v>47.113673</c:v>
                </c:pt>
                <c:pt idx="8">
                  <c:v>50.718313</c:v>
                </c:pt>
                <c:pt idx="9">
                  <c:v>53.160046</c:v>
                </c:pt>
                <c:pt idx="10">
                  <c:v>53.62282</c:v>
                </c:pt>
                <c:pt idx="11">
                  <c:v>57.117185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ser>
          <c:idx val="6"/>
          <c:order val="6"/>
          <c:tx>
            <c:strRef>
              <c:f>"2023年累计完成施工图及预算"</c:f>
              <c:strCache>
                <c:ptCount val="1"/>
                <c:pt idx="0">
                  <c:v>2023年累计完成施工图及预算</c:v>
                </c:pt>
              </c:strCache>
            </c:strRef>
          </c:tx>
          <c:spPr>
            <a:solidFill>
              <a:srgbClr val="D5E5F4"/>
            </a:solidFill>
            <a:ln cmpd="sng">
              <a:solidFill>
                <a:srgbClr val="000000"/>
              </a:solidFill>
            </a:ln>
          </c:spPr>
          <c:invertIfNegative val="1"/>
          <c:dLbls>
            <c:delete val="1"/>
          </c:dLbls>
          <c:cat>
            <c:strRef>
              <c:f>分析!$D$2:$O$2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分析!$D$68:$O$68</c:f>
              <c:numCache>
                <c:formatCode>0.00_ </c:formatCode>
                <c:ptCount val="12"/>
                <c:pt idx="0">
                  <c:v>0.3869</c:v>
                </c:pt>
                <c:pt idx="1">
                  <c:v>1.4365</c:v>
                </c:pt>
                <c:pt idx="2">
                  <c:v>2.4071</c:v>
                </c:pt>
                <c:pt idx="3">
                  <c:v>6.0994</c:v>
                </c:pt>
                <c:pt idx="4">
                  <c:v>11.3543</c:v>
                </c:pt>
                <c:pt idx="5">
                  <c:v>13.9724</c:v>
                </c:pt>
                <c:pt idx="6">
                  <c:v>15.0188</c:v>
                </c:pt>
                <c:pt idx="7">
                  <c:v>21.22204</c:v>
                </c:pt>
                <c:pt idx="8">
                  <c:v>26.626422</c:v>
                </c:pt>
                <c:pt idx="9">
                  <c:v>26.626422</c:v>
                </c:pt>
                <c:pt idx="10">
                  <c:v>27.380647</c:v>
                </c:pt>
                <c:pt idx="11">
                  <c:v>29.439164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ser>
          <c:idx val="7"/>
          <c:order val="7"/>
          <c:tx>
            <c:strRef>
              <c:f>"2024年累计完成施工图及预算"</c:f>
              <c:strCache>
                <c:ptCount val="1"/>
                <c:pt idx="0">
                  <c:v>2024年累计完成施工图及预算</c:v>
                </c:pt>
              </c:strCache>
            </c:strRef>
          </c:tx>
          <c:spPr>
            <a:solidFill>
              <a:srgbClr val="F9D6BE"/>
            </a:solidFill>
            <a:ln cmpd="sng">
              <a:solidFill>
                <a:srgbClr val="000000"/>
              </a:solidFill>
            </a:ln>
          </c:spPr>
          <c:invertIfNegative val="1"/>
          <c:dLbls>
            <c:delete val="1"/>
          </c:dLbls>
          <c:cat>
            <c:strRef>
              <c:f>分析!$D$2:$O$2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分析!$D$70:$O$70</c:f>
              <c:numCache>
                <c:formatCode>0.00_ </c:formatCode>
                <c:ptCount val="12"/>
                <c:pt idx="0">
                  <c:v>2.397307</c:v>
                </c:pt>
                <c:pt idx="1">
                  <c:v>3.070196</c:v>
                </c:pt>
                <c:pt idx="2">
                  <c:v>7.916458</c:v>
                </c:pt>
                <c:pt idx="3">
                  <c:v>15.095389</c:v>
                </c:pt>
                <c:pt idx="4">
                  <c:v>20.822931</c:v>
                </c:pt>
                <c:pt idx="5">
                  <c:v>33.556965</c:v>
                </c:pt>
                <c:pt idx="6">
                  <c:v>35.598519</c:v>
                </c:pt>
                <c:pt idx="7">
                  <c:v>35.840717</c:v>
                </c:pt>
                <c:pt idx="8">
                  <c:v>36.285957</c:v>
                </c:pt>
                <c:pt idx="9">
                  <c:v>37.512638</c:v>
                </c:pt>
                <c:pt idx="10">
                  <c:v>38.419496</c:v>
                </c:pt>
                <c:pt idx="11">
                  <c:v>42.954833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ser>
          <c:idx val="8"/>
          <c:order val="8"/>
          <c:tx>
            <c:strRef>
              <c:f>"2025年累计完成施工图及预算"</c:f>
              <c:strCache>
                <c:ptCount val="1"/>
                <c:pt idx="0">
                  <c:v>2025年累计完成施工图及预算</c:v>
                </c:pt>
              </c:strCache>
            </c:strRef>
          </c:tx>
          <c:spPr>
            <a:solidFill>
              <a:srgbClr val="00B050"/>
            </a:solidFill>
            <a:ln cmpd="sng">
              <a:solidFill>
                <a:srgbClr val="000000"/>
              </a:solidFill>
            </a:ln>
          </c:spPr>
          <c:invertIfNegative val="1"/>
          <c:dLbls>
            <c:delete val="1"/>
          </c:dLbls>
          <c:cat>
            <c:strRef>
              <c:f>分析!$D$2:$O$2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分析!$D$72:$O$72</c:f>
              <c:numCache>
                <c:formatCode>0.00_ </c:formatCode>
                <c:ptCount val="12"/>
                <c:pt idx="0">
                  <c:v>3.080882</c:v>
                </c:pt>
                <c:pt idx="1">
                  <c:v>6.304057</c:v>
                </c:pt>
                <c:pt idx="2">
                  <c:v>8.002842</c:v>
                </c:pt>
                <c:pt idx="3">
                  <c:v>10.042511</c:v>
                </c:pt>
                <c:pt idx="4">
                  <c:v>17.712656</c:v>
                </c:pt>
                <c:pt idx="5">
                  <c:v>24.256681</c:v>
                </c:pt>
                <c:pt idx="6">
                  <c:v>26.523026</c:v>
                </c:pt>
                <c:pt idx="7">
                  <c:v>33.014951</c:v>
                </c:pt>
                <c:pt idx="8">
                  <c:v>40.317397</c:v>
                </c:pt>
                <c:pt idx="9">
                  <c:v>42.757475</c:v>
                </c:pt>
                <c:pt idx="10">
                  <c:v>43.949558</c:v>
                </c:pt>
                <c:pt idx="11">
                  <c:v>47.354725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ser>
          <c:idx val="9"/>
          <c:order val="9"/>
          <c:tx>
            <c:strRef>
              <c:f>"2023年累计完成评审"</c:f>
              <c:strCache>
                <c:ptCount val="1"/>
                <c:pt idx="0">
                  <c:v>2023年累计完成评审</c:v>
                </c:pt>
              </c:strCache>
            </c:strRef>
          </c:tx>
          <c:spPr>
            <a:solidFill>
              <a:srgbClr val="FFE699"/>
            </a:solidFill>
            <a:ln cmpd="sng">
              <a:solidFill>
                <a:srgbClr val="000000"/>
              </a:solidFill>
            </a:ln>
          </c:spPr>
          <c:invertIfNegative val="1"/>
          <c:dLbls>
            <c:delete val="1"/>
          </c:dLbls>
          <c:cat>
            <c:strRef>
              <c:f>分析!$D$2:$O$2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分析!$D$74:$O$74</c:f>
              <c:numCache>
                <c:formatCode>0.00_ </c:formatCode>
                <c:ptCount val="12"/>
                <c:pt idx="0">
                  <c:v>1.471076</c:v>
                </c:pt>
                <c:pt idx="1">
                  <c:v>8.066444</c:v>
                </c:pt>
                <c:pt idx="2">
                  <c:v>11.510668</c:v>
                </c:pt>
                <c:pt idx="3">
                  <c:v>22.673796</c:v>
                </c:pt>
                <c:pt idx="4">
                  <c:v>36.821851</c:v>
                </c:pt>
                <c:pt idx="5">
                  <c:v>43.125112</c:v>
                </c:pt>
                <c:pt idx="6">
                  <c:v>48.460257</c:v>
                </c:pt>
                <c:pt idx="7">
                  <c:v>71.215716</c:v>
                </c:pt>
                <c:pt idx="8">
                  <c:v>87.730182</c:v>
                </c:pt>
                <c:pt idx="9">
                  <c:v>92.021814</c:v>
                </c:pt>
                <c:pt idx="10">
                  <c:v>107.070202</c:v>
                </c:pt>
                <c:pt idx="11">
                  <c:v>125.647978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ser>
          <c:idx val="10"/>
          <c:order val="10"/>
          <c:tx>
            <c:strRef>
              <c:f>"2024年累计完成评审"</c:f>
              <c:strCache>
                <c:ptCount val="1"/>
                <c:pt idx="0">
                  <c:v>2024年累计完成评审</c:v>
                </c:pt>
              </c:strCache>
            </c:strRef>
          </c:tx>
          <c:spPr>
            <a:solidFill>
              <a:srgbClr val="B8CAE9"/>
            </a:solidFill>
            <a:ln cmpd="sng">
              <a:solidFill>
                <a:srgbClr val="000000"/>
              </a:solidFill>
            </a:ln>
          </c:spPr>
          <c:invertIfNegative val="1"/>
          <c:dLbls>
            <c:delete val="1"/>
          </c:dLbls>
          <c:cat>
            <c:strRef>
              <c:f>分析!$D$2:$O$2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分析!$D$76:$O$76</c:f>
              <c:numCache>
                <c:formatCode>0.00_ </c:formatCode>
                <c:ptCount val="12"/>
                <c:pt idx="0">
                  <c:v>11.020017</c:v>
                </c:pt>
                <c:pt idx="1">
                  <c:v>15.506316</c:v>
                </c:pt>
                <c:pt idx="2">
                  <c:v>26.798442</c:v>
                </c:pt>
                <c:pt idx="3">
                  <c:v>36.1273133546</c:v>
                </c:pt>
                <c:pt idx="4">
                  <c:v>71.7252543546</c:v>
                </c:pt>
                <c:pt idx="5">
                  <c:v>89.4540133546</c:v>
                </c:pt>
                <c:pt idx="6">
                  <c:v>95.5984263546</c:v>
                </c:pt>
                <c:pt idx="7">
                  <c:v>104.7757783546</c:v>
                </c:pt>
                <c:pt idx="8">
                  <c:v>112.3358743546</c:v>
                </c:pt>
                <c:pt idx="9">
                  <c:v>120.2708483546</c:v>
                </c:pt>
                <c:pt idx="10">
                  <c:v>131.7323523546</c:v>
                </c:pt>
                <c:pt idx="11">
                  <c:v>140.9547813546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ser>
          <c:idx val="11"/>
          <c:order val="11"/>
          <c:tx>
            <c:strRef>
              <c:f>"2025年累计完成评审"</c:f>
              <c:strCache>
                <c:ptCount val="1"/>
                <c:pt idx="0">
                  <c:v>2025年累计完成评审</c:v>
                </c:pt>
              </c:strCache>
            </c:strRef>
          </c:tx>
          <c:spPr>
            <a:solidFill>
              <a:srgbClr val="7030A0"/>
            </a:solidFill>
            <a:ln cmpd="sng">
              <a:solidFill>
                <a:srgbClr val="000000"/>
              </a:solidFill>
            </a:ln>
          </c:spPr>
          <c:invertIfNegative val="1"/>
          <c:dLbls>
            <c:delete val="1"/>
          </c:dLbls>
          <c:cat>
            <c:strRef>
              <c:f>分析!$D$2:$O$2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分析!$D$78:$O$78</c:f>
              <c:numCache>
                <c:formatCode>0.00_ </c:formatCode>
                <c:ptCount val="12"/>
                <c:pt idx="0">
                  <c:v>16.833487</c:v>
                </c:pt>
                <c:pt idx="1">
                  <c:v>29.559763</c:v>
                </c:pt>
                <c:pt idx="2">
                  <c:v>32.369532</c:v>
                </c:pt>
                <c:pt idx="3">
                  <c:v>57.109071</c:v>
                </c:pt>
                <c:pt idx="4">
                  <c:v>75.531464</c:v>
                </c:pt>
                <c:pt idx="5">
                  <c:v>95.946816</c:v>
                </c:pt>
                <c:pt idx="6">
                  <c:v>106.463801</c:v>
                </c:pt>
                <c:pt idx="7">
                  <c:v>124.7629</c:v>
                </c:pt>
                <c:pt idx="8">
                  <c:v>140.193422</c:v>
                </c:pt>
                <c:pt idx="9">
                  <c:v>145.282442</c:v>
                </c:pt>
                <c:pt idx="10">
                  <c:v>151.030555</c:v>
                </c:pt>
                <c:pt idx="11">
                  <c:v>160.402145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41157278"/>
        <c:axId val="743136594"/>
      </c:barChart>
      <c:lineChart>
        <c:grouping val="standard"/>
        <c:varyColors val="1"/>
        <c:ser>
          <c:idx val="12"/>
          <c:order val="12"/>
          <c:tx>
            <c:strRef>
              <c:f>"2023年每月完成可研"</c:f>
              <c:strCache>
                <c:ptCount val="1"/>
                <c:pt idx="0">
                  <c:v>2023年每月完成可研</c:v>
                </c:pt>
              </c:strCache>
            </c:strRef>
          </c:tx>
          <c:spPr>
            <a:ln w="19050" cap="rnd" cmpd="sng" algn="ctr">
              <a:solidFill>
                <a:schemeClr val="accent2"/>
              </a:solidFill>
              <a:prstDash val="lgDash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分析!$D$2:$O$2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分析!$D$55:$O$55</c:f>
              <c:numCache>
                <c:formatCode>0.00_ </c:formatCode>
                <c:ptCount val="12"/>
                <c:pt idx="0">
                  <c:v>1.084176</c:v>
                </c:pt>
                <c:pt idx="1">
                  <c:v>2.058968</c:v>
                </c:pt>
                <c:pt idx="2">
                  <c:v>2.449324</c:v>
                </c:pt>
                <c:pt idx="3">
                  <c:v>0.871828</c:v>
                </c:pt>
                <c:pt idx="4">
                  <c:v>1.368155</c:v>
                </c:pt>
                <c:pt idx="5">
                  <c:v>0.840461</c:v>
                </c:pt>
                <c:pt idx="6">
                  <c:v>3.311145</c:v>
                </c:pt>
                <c:pt idx="7">
                  <c:v>13.973705</c:v>
                </c:pt>
                <c:pt idx="8">
                  <c:v>0.972474</c:v>
                </c:pt>
                <c:pt idx="9">
                  <c:v>2.043349</c:v>
                </c:pt>
                <c:pt idx="10">
                  <c:v>7.0441</c:v>
                </c:pt>
                <c:pt idx="11">
                  <c:v>13.225675</c:v>
                </c:pt>
              </c:numCache>
            </c:numRef>
          </c:val>
          <c:smooth val="0"/>
        </c:ser>
        <c:ser>
          <c:idx val="13"/>
          <c:order val="13"/>
          <c:tx>
            <c:strRef>
              <c:f>"2024年每月完成可研"</c:f>
              <c:strCache>
                <c:ptCount val="1"/>
                <c:pt idx="0">
                  <c:v>2024年每月完成可研</c:v>
                </c:pt>
              </c:strCache>
            </c:strRef>
          </c:tx>
          <c:spPr>
            <a:ln w="19050" cap="rnd" cmpd="sng" algn="ctr">
              <a:solidFill>
                <a:schemeClr val="accent2"/>
              </a:solidFill>
              <a:prstDash val="dash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分析!$D$2:$O$2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分析!$D$57:$O$57</c:f>
              <c:numCache>
                <c:formatCode>0.00_ </c:formatCode>
                <c:ptCount val="12"/>
                <c:pt idx="0">
                  <c:v>4.238128</c:v>
                </c:pt>
                <c:pt idx="1">
                  <c:v>2.936011</c:v>
                </c:pt>
                <c:pt idx="2">
                  <c:v>2.708124</c:v>
                </c:pt>
                <c:pt idx="3">
                  <c:v>2.0079893546</c:v>
                </c:pt>
                <c:pt idx="4">
                  <c:v>28.545673</c:v>
                </c:pt>
                <c:pt idx="5">
                  <c:v>4.236511</c:v>
                </c:pt>
                <c:pt idx="6">
                  <c:v>3.465068</c:v>
                </c:pt>
                <c:pt idx="7">
                  <c:v>5.108925</c:v>
                </c:pt>
                <c:pt idx="8">
                  <c:v>1.396636</c:v>
                </c:pt>
                <c:pt idx="9">
                  <c:v>0.495858</c:v>
                </c:pt>
                <c:pt idx="10">
                  <c:v>2.203356</c:v>
                </c:pt>
                <c:pt idx="11">
                  <c:v>1.719312</c:v>
                </c:pt>
              </c:numCache>
            </c:numRef>
          </c:val>
          <c:smooth val="0"/>
        </c:ser>
        <c:ser>
          <c:idx val="14"/>
          <c:order val="14"/>
          <c:tx>
            <c:strRef>
              <c:f>"2025年每月完成可研"</c:f>
              <c:strCache>
                <c:ptCount val="1"/>
                <c:pt idx="0">
                  <c:v>2025年每月完成可研</c:v>
                </c:pt>
              </c:strCache>
            </c:strRef>
          </c:tx>
          <c:spPr>
            <a:ln w="28575" cap="rnd" cmpd="sng" algn="ctr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分析!$D$2:$O$2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分析!$D$59:$O$59</c:f>
              <c:numCache>
                <c:formatCode>0.00_ </c:formatCode>
                <c:ptCount val="12"/>
                <c:pt idx="0">
                  <c:v>8.578148</c:v>
                </c:pt>
                <c:pt idx="1">
                  <c:v>9.503101</c:v>
                </c:pt>
                <c:pt idx="2">
                  <c:v>0.204122</c:v>
                </c:pt>
                <c:pt idx="3">
                  <c:v>2.89938</c:v>
                </c:pt>
                <c:pt idx="4">
                  <c:v>9.336079</c:v>
                </c:pt>
                <c:pt idx="5">
                  <c:v>0.484432</c:v>
                </c:pt>
                <c:pt idx="6">
                  <c:v>5.956095</c:v>
                </c:pt>
                <c:pt idx="7">
                  <c:v>7.672919</c:v>
                </c:pt>
                <c:pt idx="8">
                  <c:v>4.523436</c:v>
                </c:pt>
                <c:pt idx="9">
                  <c:v>0.207209</c:v>
                </c:pt>
                <c:pt idx="10">
                  <c:v>4.093256</c:v>
                </c:pt>
                <c:pt idx="11">
                  <c:v>2.472058</c:v>
                </c:pt>
              </c:numCache>
            </c:numRef>
          </c:val>
          <c:smooth val="0"/>
        </c:ser>
        <c:ser>
          <c:idx val="15"/>
          <c:order val="15"/>
          <c:tx>
            <c:strRef>
              <c:f>"2023年每月完成初设"</c:f>
              <c:strCache>
                <c:ptCount val="1"/>
                <c:pt idx="0">
                  <c:v>2023年每月完成初设</c:v>
                </c:pt>
              </c:strCache>
            </c:strRef>
          </c:tx>
          <c:spPr>
            <a:ln w="19050" cap="rnd" cmpd="sng" algn="ctr">
              <a:solidFill>
                <a:schemeClr val="accent5"/>
              </a:solidFill>
              <a:prstDash val="lgDash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分析!$D$2:$O$2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分析!$D$61:$O$61</c:f>
              <c:numCache>
                <c:formatCode>0.00_ </c:formatCode>
                <c:ptCount val="12"/>
                <c:pt idx="0">
                  <c:v>0</c:v>
                </c:pt>
                <c:pt idx="1">
                  <c:v>3.4868</c:v>
                </c:pt>
                <c:pt idx="2">
                  <c:v>0.0243</c:v>
                </c:pt>
                <c:pt idx="3">
                  <c:v>6.599</c:v>
                </c:pt>
                <c:pt idx="4">
                  <c:v>7.525</c:v>
                </c:pt>
                <c:pt idx="5">
                  <c:v>2.8447</c:v>
                </c:pt>
                <c:pt idx="6">
                  <c:v>0.9776</c:v>
                </c:pt>
                <c:pt idx="7">
                  <c:v>2.578514</c:v>
                </c:pt>
                <c:pt idx="8">
                  <c:v>10.13761</c:v>
                </c:pt>
                <c:pt idx="9">
                  <c:v>2.248283</c:v>
                </c:pt>
                <c:pt idx="10">
                  <c:v>7.250063</c:v>
                </c:pt>
                <c:pt idx="11">
                  <c:v>3.293584</c:v>
                </c:pt>
              </c:numCache>
            </c:numRef>
          </c:val>
          <c:smooth val="0"/>
        </c:ser>
        <c:ser>
          <c:idx val="16"/>
          <c:order val="16"/>
          <c:tx>
            <c:strRef>
              <c:f>"2024年每月完成初设"</c:f>
              <c:strCache>
                <c:ptCount val="1"/>
                <c:pt idx="0">
                  <c:v>2024年每月完成初设</c:v>
                </c:pt>
              </c:strCache>
            </c:strRef>
          </c:tx>
          <c:spPr>
            <a:ln w="19050" cap="rnd" cmpd="sng" algn="ctr">
              <a:solidFill>
                <a:schemeClr val="accent5"/>
              </a:solidFill>
              <a:prstDash val="dash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分析!$D$2:$O$2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分析!$D$63:$O$63</c:f>
              <c:numCache>
                <c:formatCode>0.00_ </c:formatCode>
                <c:ptCount val="12"/>
                <c:pt idx="0">
                  <c:v>4.384582</c:v>
                </c:pt>
                <c:pt idx="1">
                  <c:v>0.877399</c:v>
                </c:pt>
                <c:pt idx="2">
                  <c:v>3.73774</c:v>
                </c:pt>
                <c:pt idx="3">
                  <c:v>0.141951</c:v>
                </c:pt>
                <c:pt idx="4">
                  <c:v>1.324726</c:v>
                </c:pt>
                <c:pt idx="5">
                  <c:v>0.758214</c:v>
                </c:pt>
                <c:pt idx="6">
                  <c:v>0.637791</c:v>
                </c:pt>
                <c:pt idx="7">
                  <c:v>3.826229</c:v>
                </c:pt>
                <c:pt idx="8">
                  <c:v>5.71822</c:v>
                </c:pt>
                <c:pt idx="9">
                  <c:v>6.212435</c:v>
                </c:pt>
                <c:pt idx="10">
                  <c:v>8.35129</c:v>
                </c:pt>
                <c:pt idx="11">
                  <c:v>2.96778</c:v>
                </c:pt>
              </c:numCache>
            </c:numRef>
          </c:val>
          <c:smooth val="0"/>
        </c:ser>
        <c:ser>
          <c:idx val="17"/>
          <c:order val="17"/>
          <c:tx>
            <c:strRef>
              <c:f>"2025年每月完成初设"</c:f>
              <c:strCache>
                <c:ptCount val="1"/>
                <c:pt idx="0">
                  <c:v>2025年每月完成初设</c:v>
                </c:pt>
              </c:strCache>
            </c:strRef>
          </c:tx>
          <c:spPr>
            <a:ln w="28575" cap="rnd" cmpd="sng" algn="ctr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分析!$D$2:$O$2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分析!$D$65:$O$65</c:f>
              <c:numCache>
                <c:formatCode>0.00_ </c:formatCode>
                <c:ptCount val="12"/>
                <c:pt idx="0">
                  <c:v>5.174457</c:v>
                </c:pt>
                <c:pt idx="1">
                  <c:v>0</c:v>
                </c:pt>
                <c:pt idx="2">
                  <c:v>0.906862</c:v>
                </c:pt>
                <c:pt idx="3">
                  <c:v>19.80049</c:v>
                </c:pt>
                <c:pt idx="4">
                  <c:v>1.416169</c:v>
                </c:pt>
                <c:pt idx="5">
                  <c:v>13.386895</c:v>
                </c:pt>
                <c:pt idx="6">
                  <c:v>2.294545</c:v>
                </c:pt>
                <c:pt idx="7">
                  <c:v>4.134255</c:v>
                </c:pt>
                <c:pt idx="8">
                  <c:v>3.60464</c:v>
                </c:pt>
                <c:pt idx="9">
                  <c:v>2.441733</c:v>
                </c:pt>
                <c:pt idx="10">
                  <c:v>0.462774</c:v>
                </c:pt>
                <c:pt idx="11">
                  <c:v>3.494365</c:v>
                </c:pt>
              </c:numCache>
            </c:numRef>
          </c:val>
          <c:smooth val="0"/>
        </c:ser>
        <c:ser>
          <c:idx val="18"/>
          <c:order val="18"/>
          <c:tx>
            <c:strRef>
              <c:f>"2023年每月完成施工图及预算"</c:f>
              <c:strCache>
                <c:ptCount val="1"/>
                <c:pt idx="0">
                  <c:v>2023年每月完成施工图及预算</c:v>
                </c:pt>
              </c:strCache>
            </c:strRef>
          </c:tx>
          <c:spPr>
            <a:ln w="19050" cap="rnd" cmpd="sng" algn="ctr">
              <a:solidFill>
                <a:srgbClr val="00B050">
                  <a:alpha val="49803"/>
                </a:srgbClr>
              </a:solidFill>
              <a:prstDash val="lgDash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分析!$D$2:$O$2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分析!$D$67:$O$67</c:f>
              <c:numCache>
                <c:formatCode>0.00_ </c:formatCode>
                <c:ptCount val="12"/>
                <c:pt idx="0">
                  <c:v>0.3869</c:v>
                </c:pt>
                <c:pt idx="1">
                  <c:v>1.0496</c:v>
                </c:pt>
                <c:pt idx="2">
                  <c:v>0.9706</c:v>
                </c:pt>
                <c:pt idx="3">
                  <c:v>3.6923</c:v>
                </c:pt>
                <c:pt idx="4">
                  <c:v>5.2549</c:v>
                </c:pt>
                <c:pt idx="5">
                  <c:v>2.6181</c:v>
                </c:pt>
                <c:pt idx="6">
                  <c:v>1.0464</c:v>
                </c:pt>
                <c:pt idx="7">
                  <c:v>6.20324</c:v>
                </c:pt>
                <c:pt idx="8">
                  <c:v>5.404382</c:v>
                </c:pt>
                <c:pt idx="9">
                  <c:v>0</c:v>
                </c:pt>
                <c:pt idx="10">
                  <c:v>0.754225</c:v>
                </c:pt>
                <c:pt idx="11">
                  <c:v>2.058517</c:v>
                </c:pt>
              </c:numCache>
            </c:numRef>
          </c:val>
          <c:smooth val="0"/>
        </c:ser>
        <c:ser>
          <c:idx val="19"/>
          <c:order val="19"/>
          <c:tx>
            <c:strRef>
              <c:f>"2024年每月完成施工图及预算"</c:f>
              <c:strCache>
                <c:ptCount val="1"/>
                <c:pt idx="0">
                  <c:v>2024年每月完成施工图及预算</c:v>
                </c:pt>
              </c:strCache>
            </c:strRef>
          </c:tx>
          <c:spPr>
            <a:ln w="19050" cap="rnd" cmpd="sng" algn="ctr">
              <a:solidFill>
                <a:srgbClr val="00B050">
                  <a:alpha val="100000"/>
                </a:srgbClr>
              </a:solidFill>
              <a:prstDash val="dash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分析!$D$2:$O$2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分析!$D$69:$O$69</c:f>
              <c:numCache>
                <c:formatCode>0.00_ </c:formatCode>
                <c:ptCount val="12"/>
                <c:pt idx="0">
                  <c:v>2.397307</c:v>
                </c:pt>
                <c:pt idx="1">
                  <c:v>0.672889</c:v>
                </c:pt>
                <c:pt idx="2">
                  <c:v>4.846262</c:v>
                </c:pt>
                <c:pt idx="3">
                  <c:v>7.178931</c:v>
                </c:pt>
                <c:pt idx="4">
                  <c:v>5.727542</c:v>
                </c:pt>
                <c:pt idx="5">
                  <c:v>12.734034</c:v>
                </c:pt>
                <c:pt idx="6">
                  <c:v>2.041554</c:v>
                </c:pt>
                <c:pt idx="7">
                  <c:v>0.242198</c:v>
                </c:pt>
                <c:pt idx="8">
                  <c:v>0.44524</c:v>
                </c:pt>
                <c:pt idx="9">
                  <c:v>1.226681</c:v>
                </c:pt>
                <c:pt idx="10">
                  <c:v>0.906858</c:v>
                </c:pt>
                <c:pt idx="11">
                  <c:v>4.535337</c:v>
                </c:pt>
              </c:numCache>
            </c:numRef>
          </c:val>
          <c:smooth val="0"/>
        </c:ser>
        <c:ser>
          <c:idx val="20"/>
          <c:order val="20"/>
          <c:tx>
            <c:strRef>
              <c:f>"2025年每月完成施工图及预算"</c:f>
              <c:strCache>
                <c:ptCount val="1"/>
                <c:pt idx="0">
                  <c:v>2025年每月完成施工图及预算</c:v>
                </c:pt>
              </c:strCache>
            </c:strRef>
          </c:tx>
          <c:spPr>
            <a:ln w="28575" cap="rnd" cmpd="sng" algn="ctr">
              <a:solidFill>
                <a:srgbClr val="00B050">
                  <a:alpha val="100000"/>
                </a:srgb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分析!$D$2:$O$2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分析!$D$71:$O$71</c:f>
              <c:numCache>
                <c:formatCode>0.00_ </c:formatCode>
                <c:ptCount val="12"/>
                <c:pt idx="0">
                  <c:v>3.080882</c:v>
                </c:pt>
                <c:pt idx="1">
                  <c:v>3.223175</c:v>
                </c:pt>
                <c:pt idx="2">
                  <c:v>1.698785</c:v>
                </c:pt>
                <c:pt idx="3">
                  <c:v>2.039669</c:v>
                </c:pt>
                <c:pt idx="4">
                  <c:v>7.670145</c:v>
                </c:pt>
                <c:pt idx="5">
                  <c:v>6.544025</c:v>
                </c:pt>
                <c:pt idx="6">
                  <c:v>2.266345</c:v>
                </c:pt>
                <c:pt idx="7">
                  <c:v>6.491925</c:v>
                </c:pt>
                <c:pt idx="8">
                  <c:v>7.302446</c:v>
                </c:pt>
                <c:pt idx="9">
                  <c:v>2.440078</c:v>
                </c:pt>
                <c:pt idx="10">
                  <c:v>1.192083</c:v>
                </c:pt>
                <c:pt idx="11">
                  <c:v>3.405167</c:v>
                </c:pt>
              </c:numCache>
            </c:numRef>
          </c:val>
          <c:smooth val="0"/>
        </c:ser>
        <c:ser>
          <c:idx val="21"/>
          <c:order val="21"/>
          <c:tx>
            <c:strRef>
              <c:f>"2023年每月完成评审"</c:f>
              <c:strCache>
                <c:ptCount val="1"/>
                <c:pt idx="0">
                  <c:v>2023年每月完成评审</c:v>
                </c:pt>
              </c:strCache>
            </c:strRef>
          </c:tx>
          <c:spPr>
            <a:ln w="19050" cap="rnd" cmpd="sng" algn="ctr">
              <a:solidFill>
                <a:srgbClr val="7030A0">
                  <a:alpha val="49803"/>
                </a:srgbClr>
              </a:solidFill>
              <a:prstDash val="lgDash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分析!$D$2:$O$2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分析!$D$73:$O$73</c:f>
              <c:numCache>
                <c:formatCode>0.00_ </c:formatCode>
                <c:ptCount val="12"/>
                <c:pt idx="0">
                  <c:v>1.471076</c:v>
                </c:pt>
                <c:pt idx="1">
                  <c:v>6.595368</c:v>
                </c:pt>
                <c:pt idx="2">
                  <c:v>3.444224</c:v>
                </c:pt>
                <c:pt idx="3">
                  <c:v>11.163128</c:v>
                </c:pt>
                <c:pt idx="4">
                  <c:v>14.148055</c:v>
                </c:pt>
                <c:pt idx="5">
                  <c:v>6.303261</c:v>
                </c:pt>
                <c:pt idx="6">
                  <c:v>5.335145</c:v>
                </c:pt>
                <c:pt idx="7">
                  <c:v>22.755459</c:v>
                </c:pt>
                <c:pt idx="8">
                  <c:v>16.514466</c:v>
                </c:pt>
                <c:pt idx="9">
                  <c:v>4.291632</c:v>
                </c:pt>
                <c:pt idx="10">
                  <c:v>15.048388</c:v>
                </c:pt>
                <c:pt idx="11">
                  <c:v>18.577776</c:v>
                </c:pt>
              </c:numCache>
            </c:numRef>
          </c:val>
          <c:smooth val="0"/>
        </c:ser>
        <c:ser>
          <c:idx val="22"/>
          <c:order val="22"/>
          <c:tx>
            <c:strRef>
              <c:f>"2024年每月完成评审"</c:f>
              <c:strCache>
                <c:ptCount val="1"/>
                <c:pt idx="0">
                  <c:v>2024年每月完成评审</c:v>
                </c:pt>
              </c:strCache>
            </c:strRef>
          </c:tx>
          <c:spPr>
            <a:ln w="19050" cap="rnd" cmpd="sng" algn="ctr">
              <a:solidFill>
                <a:srgbClr val="7030A0">
                  <a:alpha val="100000"/>
                </a:srgbClr>
              </a:solidFill>
              <a:prstDash val="dash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分析!$D$2:$O$2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分析!$D$75:$O$75</c:f>
              <c:numCache>
                <c:formatCode>0.00_ </c:formatCode>
                <c:ptCount val="12"/>
                <c:pt idx="0">
                  <c:v>11.020017</c:v>
                </c:pt>
                <c:pt idx="1">
                  <c:v>4.486299</c:v>
                </c:pt>
                <c:pt idx="2">
                  <c:v>11.292126</c:v>
                </c:pt>
                <c:pt idx="3">
                  <c:v>9.3288713546</c:v>
                </c:pt>
                <c:pt idx="4">
                  <c:v>35.597941</c:v>
                </c:pt>
                <c:pt idx="5">
                  <c:v>17.728759</c:v>
                </c:pt>
                <c:pt idx="6">
                  <c:v>6.144413</c:v>
                </c:pt>
                <c:pt idx="7">
                  <c:v>9.177352</c:v>
                </c:pt>
                <c:pt idx="8">
                  <c:v>7.560096</c:v>
                </c:pt>
                <c:pt idx="9">
                  <c:v>7.934974</c:v>
                </c:pt>
                <c:pt idx="10">
                  <c:v>11.461504</c:v>
                </c:pt>
                <c:pt idx="11">
                  <c:v>9.222429</c:v>
                </c:pt>
              </c:numCache>
            </c:numRef>
          </c:val>
          <c:smooth val="0"/>
        </c:ser>
        <c:ser>
          <c:idx val="23"/>
          <c:order val="23"/>
          <c:tx>
            <c:strRef>
              <c:f>"2025年每月完成评审"</c:f>
              <c:strCache>
                <c:ptCount val="1"/>
                <c:pt idx="0">
                  <c:v>2025年每月完成评审</c:v>
                </c:pt>
              </c:strCache>
            </c:strRef>
          </c:tx>
          <c:spPr>
            <a:ln w="28575" cap="rnd" cmpd="sng" algn="ctr">
              <a:solidFill>
                <a:srgbClr val="7030A0">
                  <a:alpha val="100000"/>
                </a:srgb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分析!$D$2:$O$2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分析!$D$77:$O$77</c:f>
              <c:numCache>
                <c:formatCode>0.00_ </c:formatCode>
                <c:ptCount val="12"/>
                <c:pt idx="0">
                  <c:v>16.833487</c:v>
                </c:pt>
                <c:pt idx="1">
                  <c:v>12.726276</c:v>
                </c:pt>
                <c:pt idx="2">
                  <c:v>2.809769</c:v>
                </c:pt>
                <c:pt idx="3">
                  <c:v>24.739539</c:v>
                </c:pt>
                <c:pt idx="4">
                  <c:v>18.422393</c:v>
                </c:pt>
                <c:pt idx="5">
                  <c:v>20.415352</c:v>
                </c:pt>
                <c:pt idx="6">
                  <c:v>10.516985</c:v>
                </c:pt>
                <c:pt idx="7">
                  <c:v>18.299099</c:v>
                </c:pt>
                <c:pt idx="8">
                  <c:v>15.430522</c:v>
                </c:pt>
                <c:pt idx="9">
                  <c:v>5.08902</c:v>
                </c:pt>
                <c:pt idx="10">
                  <c:v>5.748113</c:v>
                </c:pt>
                <c:pt idx="11">
                  <c:v>9.37159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741157278"/>
        <c:axId val="743136594"/>
      </c:lineChart>
      <c:catAx>
        <c:axId val="741157278"/>
        <c:scaling>
          <c:orientation val="minMax"/>
        </c:scaling>
        <c:delete val="0"/>
        <c:axPos val="b"/>
        <c:title>
          <c:layout/>
          <c:overlay val="0"/>
          <c:tx>
            <c:rich>
              <a:bodyPr/>
              <a:lstStyle/>
              <a:p>
                <a:pPr>
                  <a:defRPr/>
                </a:pPr>
              </a:p>
            </c:rich>
          </c:tx>
        </c:title>
        <c:numFmt formatCode="0&quot;月&quot;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rgbClr val="000000"/>
                </a:solidFill>
                <a:latin typeface="微软雅黑" panose="020B0503020204020204" charset="-122"/>
                <a:ea typeface="+mn-ea"/>
                <a:cs typeface="+mn-cs"/>
              </a:defRPr>
            </a:pPr>
          </a:p>
        </c:txPr>
        <c:crossAx val="743136594"/>
        <c:crosses val="autoZero"/>
        <c:auto val="1"/>
        <c:lblAlgn val="ctr"/>
        <c:lblOffset val="100"/>
        <c:noMultiLvlLbl val="1"/>
      </c:catAx>
      <c:valAx>
        <c:axId val="743136594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</c:spPr>
        </c:majorGridlines>
        <c:title>
          <c:layout/>
          <c:overlay val="0"/>
          <c:tx>
            <c:rich>
              <a:bodyPr/>
              <a:lstStyle/>
              <a:p>
                <a:pPr>
                  <a:defRPr/>
                </a:pPr>
              </a:p>
            </c:rich>
          </c:tx>
        </c:title>
        <c:numFmt formatCode="0&quot;亿元&quot;" sourceLinked="0"/>
        <c:majorTickMark val="none"/>
        <c:minorTickMark val="none"/>
        <c:tickLblPos val="nextTo"/>
        <c:spPr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000000"/>
                </a:solidFill>
                <a:latin typeface="微软雅黑" panose="020B0503020204020204" charset="-122"/>
                <a:ea typeface="+mn-ea"/>
                <a:cs typeface="+mn-cs"/>
              </a:defRPr>
            </a:pPr>
          </a:p>
        </c:txPr>
        <c:crossAx val="741157278"/>
        <c:crosses val="autoZero"/>
        <c:crossBetween val="between"/>
      </c:valAx>
    </c:plotArea>
    <c:legend>
      <c:legendPos val="b"/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1A1A1A"/>
                </a:solidFill>
                <a:latin typeface="微软雅黑" panose="020B0503020204020204" charset="-122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1A1A1A"/>
                </a:solidFill>
                <a:latin typeface="微软雅黑" panose="020B0503020204020204" charset="-122"/>
                <a:ea typeface="+mn-ea"/>
                <a:cs typeface="+mn-cs"/>
              </a:defRPr>
            </a:pPr>
          </a:p>
        </c:txPr>
      </c:legendEntry>
      <c:legendEntry>
        <c:idx val="5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1A1A1A"/>
                </a:solidFill>
                <a:latin typeface="微软雅黑" panose="020B0503020204020204" charset="-122"/>
                <a:ea typeface="+mn-ea"/>
                <a:cs typeface="+mn-cs"/>
              </a:defRPr>
            </a:pPr>
          </a:p>
        </c:txPr>
      </c:legendEntry>
      <c:legendEntry>
        <c:idx val="8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1A1A1A"/>
                </a:solidFill>
                <a:latin typeface="微软雅黑" panose="020B0503020204020204" charset="-122"/>
                <a:ea typeface="+mn-ea"/>
                <a:cs typeface="+mn-cs"/>
              </a:defRPr>
            </a:pPr>
          </a:p>
        </c:txPr>
      </c:legendEntry>
      <c:legendEntry>
        <c:idx val="11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1A1A1A"/>
                </a:solidFill>
                <a:latin typeface="微软雅黑" panose="020B0503020204020204" charset="-122"/>
                <a:ea typeface="+mn-ea"/>
                <a:cs typeface="+mn-cs"/>
              </a:defRPr>
            </a:pPr>
          </a:p>
        </c:txPr>
      </c:legendEntry>
      <c:legendEntry>
        <c:idx val="13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1A1A1A"/>
                </a:solidFill>
                <a:latin typeface="微软雅黑" panose="020B0503020204020204" charset="-122"/>
                <a:ea typeface="+mn-ea"/>
                <a:cs typeface="+mn-cs"/>
              </a:defRPr>
            </a:pPr>
          </a:p>
        </c:txPr>
      </c:legendEntry>
      <c:legendEntry>
        <c:idx val="14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1A1A1A"/>
                </a:solidFill>
                <a:latin typeface="微软雅黑" panose="020B0503020204020204" charset="-122"/>
                <a:ea typeface="+mn-ea"/>
                <a:cs typeface="+mn-cs"/>
              </a:defRPr>
            </a:pPr>
          </a:p>
        </c:txPr>
      </c:legendEntry>
      <c:legendEntry>
        <c:idx val="17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1A1A1A"/>
                </a:solidFill>
                <a:latin typeface="微软雅黑" panose="020B0503020204020204" charset="-122"/>
                <a:ea typeface="+mn-ea"/>
                <a:cs typeface="+mn-cs"/>
              </a:defRPr>
            </a:pPr>
          </a:p>
        </c:txPr>
      </c:legendEntry>
      <c:legendEntry>
        <c:idx val="20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1A1A1A"/>
                </a:solidFill>
                <a:latin typeface="微软雅黑" panose="020B0503020204020204" charset="-122"/>
                <a:ea typeface="+mn-ea"/>
                <a:cs typeface="+mn-cs"/>
              </a:defRPr>
            </a:pPr>
          </a:p>
        </c:txPr>
      </c:legendEntry>
      <c:legendEntry>
        <c:idx val="23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1A1A1A"/>
                </a:solidFill>
                <a:latin typeface="微软雅黑" panose="020B0503020204020204" charset="-122"/>
                <a:ea typeface="+mn-ea"/>
                <a:cs typeface="+mn-cs"/>
              </a:defRPr>
            </a:pPr>
          </a:p>
        </c:txPr>
      </c:legendEntry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800" b="0" i="0" u="none" strike="noStrike" kern="1200" baseline="0">
              <a:solidFill>
                <a:srgbClr val="1A1A1A"/>
              </a:solidFill>
              <a:latin typeface="微软雅黑" panose="020B0503020204020204" charset="-122"/>
              <a:ea typeface="+mn-ea"/>
              <a:cs typeface="+mn-cs"/>
            </a:defRPr>
          </a:pPr>
        </a:p>
      </c:txPr>
    </c:legend>
    <c:plotVisOnly val="1"/>
    <c:dispBlanksAs val="zero"/>
    <c:showDLblsOverMax val="1"/>
    <c:extLst>
      <c:ext uri="{0b15fc19-7d7d-44ad-8c2d-2c3a37ce22c3}">
        <chartProps xmlns="https://web.wps.cn/et/2018/main" chartId="{948ea2f0-da57-448d-8f26-6a5643601b8a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zh-CN" sz="1000" b="0" i="0" u="none" strike="noStrike" kern="1200" baseline="0">
                <a:solidFill>
                  <a:srgbClr val="757575"/>
                </a:solidFill>
                <a:latin typeface="微软雅黑" panose="020B0503020204020204" charset="-122"/>
                <a:ea typeface="+mn-ea"/>
                <a:cs typeface="+mn-cs"/>
              </a:defRPr>
            </a:pPr>
            <a:r>
              <a:rPr sz="1000" b="0" i="0">
                <a:solidFill>
                  <a:srgbClr val="757575"/>
                </a:solidFill>
                <a:latin typeface="微软雅黑" panose="020B0503020204020204" charset="-122"/>
              </a:rPr>
              <a:t>主网项目评审时长情况</a:t>
            </a:r>
            <a:endParaRPr sz="1000" b="0" i="0">
              <a:solidFill>
                <a:srgbClr val="757575"/>
              </a:solidFill>
              <a:latin typeface="微软雅黑" panose="020B0503020204020204" charset="-122"/>
            </a:endParaRP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"2024年可研评审当月时长"</c:f>
              <c:strCache>
                <c:ptCount val="1"/>
                <c:pt idx="0">
                  <c:v>2024年可研评审当月时长</c:v>
                </c:pt>
              </c:strCache>
            </c:strRef>
          </c:tx>
          <c:spPr>
            <a:solidFill>
              <a:srgbClr val="5B9BD5"/>
            </a:solidFill>
            <a:ln cmpd="sng">
              <a:solidFill>
                <a:srgbClr val="000000"/>
              </a:solidFill>
            </a:ln>
          </c:spPr>
          <c:invertIfNegative val="1"/>
          <c:dLbls>
            <c:delete val="1"/>
          </c:dLbls>
          <c:cat>
            <c:strRef>
              <c:f>分析!$D$96:$O$96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分析!$D$97:$O$97</c:f>
              <c:numCache>
                <c:formatCode>0.0_ </c:formatCode>
                <c:ptCount val="12"/>
                <c:pt idx="0">
                  <c:v>34.6666666666667</c:v>
                </c:pt>
                <c:pt idx="1">
                  <c:v>33</c:v>
                </c:pt>
                <c:pt idx="2">
                  <c:v>64.5</c:v>
                </c:pt>
                <c:pt idx="3">
                  <c:v>44.2</c:v>
                </c:pt>
                <c:pt idx="4">
                  <c:v>60</c:v>
                </c:pt>
                <c:pt idx="5">
                  <c:v>18.75</c:v>
                </c:pt>
                <c:pt idx="6">
                  <c:v>16.5</c:v>
                </c:pt>
                <c:pt idx="7">
                  <c:v>18.8</c:v>
                </c:pt>
                <c:pt idx="8">
                  <c:v>12.2</c:v>
                </c:pt>
                <c:pt idx="9">
                  <c:v>7.5</c:v>
                </c:pt>
                <c:pt idx="10">
                  <c:v>10.6666666666667</c:v>
                </c:pt>
                <c:pt idx="11">
                  <c:v>14.6666666666667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ser>
          <c:idx val="1"/>
          <c:order val="1"/>
          <c:tx>
            <c:strRef>
              <c:f>"2025年可研评审当月时长"</c:f>
              <c:strCache>
                <c:ptCount val="1"/>
                <c:pt idx="0">
                  <c:v>2025年可研评审当月时长</c:v>
                </c:pt>
              </c:strCache>
            </c:strRef>
          </c:tx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invertIfNegative val="1"/>
          <c:dLbls>
            <c:delete val="1"/>
          </c:dLbls>
          <c:cat>
            <c:strRef>
              <c:f>分析!$D$96:$O$96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分析!$D$99:$O$99</c:f>
              <c:numCache>
                <c:formatCode>0.0_ </c:formatCode>
                <c:ptCount val="12"/>
                <c:pt idx="0">
                  <c:v>17.75</c:v>
                </c:pt>
                <c:pt idx="1">
                  <c:v>35.5</c:v>
                </c:pt>
                <c:pt idx="2">
                  <c:v>15</c:v>
                </c:pt>
                <c:pt idx="3">
                  <c:v>19.6</c:v>
                </c:pt>
                <c:pt idx="4">
                  <c:v>17.8</c:v>
                </c:pt>
                <c:pt idx="5">
                  <c:v>7</c:v>
                </c:pt>
                <c:pt idx="6">
                  <c:v>15.8333333333333</c:v>
                </c:pt>
                <c:pt idx="7">
                  <c:v>16.25</c:v>
                </c:pt>
                <c:pt idx="8">
                  <c:v>18.75</c:v>
                </c:pt>
                <c:pt idx="9">
                  <c:v>10</c:v>
                </c:pt>
                <c:pt idx="10">
                  <c:v>22.1666666666667</c:v>
                </c:pt>
                <c:pt idx="11">
                  <c:v>17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ser>
          <c:idx val="2"/>
          <c:order val="2"/>
          <c:tx>
            <c:strRef>
              <c:f>"2024年可研调整评审当月时长"</c:f>
              <c:strCache>
                <c:ptCount val="1"/>
                <c:pt idx="0">
                  <c:v>2024年可研调整评审当月时长</c:v>
                </c:pt>
              </c:strCache>
            </c:strRef>
          </c:tx>
          <c:spPr>
            <a:solidFill>
              <a:srgbClr val="A5A5A5"/>
            </a:solidFill>
            <a:ln cmpd="sng">
              <a:solidFill>
                <a:srgbClr val="000000"/>
              </a:solidFill>
            </a:ln>
          </c:spPr>
          <c:invertIfNegative val="1"/>
          <c:dLbls>
            <c:delete val="1"/>
          </c:dLbls>
          <c:cat>
            <c:strRef>
              <c:f>分析!$D$96:$O$96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分析!$D$101:$O$101</c:f>
              <c:numCache>
                <c:formatCode>0.0_ </c:formatCode>
                <c:ptCount val="12"/>
                <c:pt idx="0">
                  <c:v>32</c:v>
                </c:pt>
                <c:pt idx="1">
                  <c:v>22</c:v>
                </c:pt>
                <c:pt idx="2">
                  <c:v>0</c:v>
                </c:pt>
                <c:pt idx="3">
                  <c:v>16</c:v>
                </c:pt>
                <c:pt idx="4">
                  <c:v>12.6666666666667</c:v>
                </c:pt>
                <c:pt idx="5">
                  <c:v>0</c:v>
                </c:pt>
                <c:pt idx="6">
                  <c:v>6</c:v>
                </c:pt>
                <c:pt idx="7">
                  <c:v>8</c:v>
                </c:pt>
                <c:pt idx="8">
                  <c:v>0</c:v>
                </c:pt>
                <c:pt idx="9">
                  <c:v>29</c:v>
                </c:pt>
                <c:pt idx="10">
                  <c:v>11</c:v>
                </c:pt>
                <c:pt idx="11">
                  <c:v>21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ser>
          <c:idx val="3"/>
          <c:order val="3"/>
          <c:tx>
            <c:strRef>
              <c:f>"2025年可研调整评审当月时长"</c:f>
              <c:strCache>
                <c:ptCount val="1"/>
                <c:pt idx="0">
                  <c:v>2025年可研调整评审当月时长</c:v>
                </c:pt>
              </c:strCache>
            </c:strRef>
          </c:tx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invertIfNegative val="1"/>
          <c:dLbls>
            <c:delete val="1"/>
          </c:dLbls>
          <c:cat>
            <c:strRef>
              <c:f>分析!$D$96:$O$96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分析!$D$103:$O$103</c:f>
              <c:numCache>
                <c:formatCode>0.0_ </c:formatCode>
                <c:ptCount val="12"/>
                <c:pt idx="0">
                  <c:v>0</c:v>
                </c:pt>
                <c:pt idx="1">
                  <c:v>44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13</c:v>
                </c:pt>
                <c:pt idx="9">
                  <c:v>18.3333333333333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ser>
          <c:idx val="4"/>
          <c:order val="4"/>
          <c:tx>
            <c:strRef>
              <c:f>"2024年初设评审当月时长"</c:f>
              <c:strCache>
                <c:ptCount val="1"/>
                <c:pt idx="0">
                  <c:v>2024年初设评审当月时长</c:v>
                </c:pt>
              </c:strCache>
            </c:strRef>
          </c:tx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dLbls>
            <c:delete val="1"/>
          </c:dLbls>
          <c:cat>
            <c:strRef>
              <c:f>分析!$D$96:$O$96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分析!$D$105:$O$105</c:f>
              <c:numCache>
                <c:formatCode>0.0_ </c:formatCode>
                <c:ptCount val="12"/>
                <c:pt idx="0">
                  <c:v>21.375</c:v>
                </c:pt>
                <c:pt idx="1">
                  <c:v>29.3333333333333</c:v>
                </c:pt>
                <c:pt idx="2">
                  <c:v>24.6</c:v>
                </c:pt>
                <c:pt idx="3">
                  <c:v>18</c:v>
                </c:pt>
                <c:pt idx="4">
                  <c:v>12.3333333333333</c:v>
                </c:pt>
                <c:pt idx="5">
                  <c:v>5.5</c:v>
                </c:pt>
                <c:pt idx="6">
                  <c:v>11.5</c:v>
                </c:pt>
                <c:pt idx="7">
                  <c:v>19.8</c:v>
                </c:pt>
                <c:pt idx="8">
                  <c:v>8.42857142857143</c:v>
                </c:pt>
                <c:pt idx="9">
                  <c:v>11.1428571428571</c:v>
                </c:pt>
                <c:pt idx="10">
                  <c:v>12.8</c:v>
                </c:pt>
                <c:pt idx="11">
                  <c:v>9.2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ser>
          <c:idx val="5"/>
          <c:order val="5"/>
          <c:tx>
            <c:strRef>
              <c:f>"2025年初设评审当月时长"</c:f>
              <c:strCache>
                <c:ptCount val="1"/>
                <c:pt idx="0">
                  <c:v>2025年初设评审当月时长</c:v>
                </c:pt>
              </c:strCache>
            </c:strRef>
          </c:tx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dLbls>
            <c:delete val="1"/>
          </c:dLbls>
          <c:cat>
            <c:strRef>
              <c:f>分析!$D$96:$O$96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分析!$D$107:$O$107</c:f>
              <c:numCache>
                <c:formatCode>0.0_ </c:formatCode>
                <c:ptCount val="12"/>
                <c:pt idx="0">
                  <c:v>14.8333333333333</c:v>
                </c:pt>
                <c:pt idx="1">
                  <c:v>0</c:v>
                </c:pt>
                <c:pt idx="2">
                  <c:v>7</c:v>
                </c:pt>
                <c:pt idx="3">
                  <c:v>15.875</c:v>
                </c:pt>
                <c:pt idx="4">
                  <c:v>23</c:v>
                </c:pt>
                <c:pt idx="5">
                  <c:v>15.6666666666667</c:v>
                </c:pt>
                <c:pt idx="6">
                  <c:v>6.25</c:v>
                </c:pt>
                <c:pt idx="7">
                  <c:v>14.8333333333333</c:v>
                </c:pt>
                <c:pt idx="8">
                  <c:v>14.75</c:v>
                </c:pt>
                <c:pt idx="9">
                  <c:v>13.75</c:v>
                </c:pt>
                <c:pt idx="10">
                  <c:v>5</c:v>
                </c:pt>
                <c:pt idx="11">
                  <c:v>10.8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ser>
          <c:idx val="6"/>
          <c:order val="6"/>
          <c:tx>
            <c:strRef>
              <c:f>"2024年初设调整评审当月时长"</c:f>
              <c:strCache>
                <c:ptCount val="1"/>
                <c:pt idx="0">
                  <c:v>2024年初设调整评审当月时长</c:v>
                </c:pt>
              </c:strCache>
            </c:strRef>
          </c:tx>
          <c:spPr>
            <a:solidFill>
              <a:srgbClr val="D5E5F4"/>
            </a:solidFill>
            <a:ln cmpd="sng">
              <a:solidFill>
                <a:srgbClr val="000000"/>
              </a:solidFill>
            </a:ln>
          </c:spPr>
          <c:invertIfNegative val="1"/>
          <c:dLbls>
            <c:delete val="1"/>
          </c:dLbls>
          <c:cat>
            <c:strRef>
              <c:f>分析!$D$96:$O$96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分析!$D$109:$O$109</c:f>
              <c:numCache>
                <c:formatCode>0.0_ 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19</c:v>
                </c:pt>
                <c:pt idx="4">
                  <c:v>22</c:v>
                </c:pt>
                <c:pt idx="5">
                  <c:v>0</c:v>
                </c:pt>
                <c:pt idx="6">
                  <c:v>6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4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ser>
          <c:idx val="7"/>
          <c:order val="7"/>
          <c:tx>
            <c:strRef>
              <c:f>"2025年初设调整评审当月时长"</c:f>
              <c:strCache>
                <c:ptCount val="1"/>
                <c:pt idx="0">
                  <c:v>2025年初设调整评审当月时长</c:v>
                </c:pt>
              </c:strCache>
            </c:strRef>
          </c:tx>
          <c:spPr>
            <a:solidFill>
              <a:srgbClr val="5B9BD5"/>
            </a:solidFill>
            <a:ln cmpd="sng">
              <a:solidFill>
                <a:srgbClr val="000000"/>
              </a:solidFill>
            </a:ln>
          </c:spPr>
          <c:invertIfNegative val="1"/>
          <c:dLbls>
            <c:delete val="1"/>
          </c:dLbls>
          <c:cat>
            <c:strRef>
              <c:f>分析!$D$96:$O$96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分析!$D$111:$O$111</c:f>
              <c:numCache>
                <c:formatCode>0.0_ </c:formatCode>
                <c:ptCount val="12"/>
                <c:pt idx="0">
                  <c:v>17</c:v>
                </c:pt>
                <c:pt idx="1">
                  <c:v>0</c:v>
                </c:pt>
                <c:pt idx="2">
                  <c:v>0</c:v>
                </c:pt>
                <c:pt idx="3">
                  <c:v>8</c:v>
                </c:pt>
                <c:pt idx="4">
                  <c:v>0</c:v>
                </c:pt>
                <c:pt idx="5">
                  <c:v>15.5</c:v>
                </c:pt>
                <c:pt idx="6">
                  <c:v>5</c:v>
                </c:pt>
                <c:pt idx="7">
                  <c:v>14</c:v>
                </c:pt>
                <c:pt idx="8">
                  <c:v>6.33333333333333</c:v>
                </c:pt>
                <c:pt idx="9">
                  <c:v>0</c:v>
                </c:pt>
                <c:pt idx="10">
                  <c:v>6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ser>
          <c:idx val="8"/>
          <c:order val="8"/>
          <c:tx>
            <c:strRef>
              <c:f>"2024年施工图及预算评审当月时长"</c:f>
              <c:strCache>
                <c:ptCount val="1"/>
                <c:pt idx="0">
                  <c:v>2024年施工图及预算评审当月时长</c:v>
                </c:pt>
              </c:strCache>
            </c:strRef>
          </c:tx>
          <c:spPr>
            <a:solidFill>
              <a:srgbClr val="F1F1F1"/>
            </a:solidFill>
            <a:ln cmpd="sng">
              <a:solidFill>
                <a:srgbClr val="000000"/>
              </a:solidFill>
            </a:ln>
          </c:spPr>
          <c:invertIfNegative val="1"/>
          <c:dLbls>
            <c:delete val="1"/>
          </c:dLbls>
          <c:cat>
            <c:strRef>
              <c:f>分析!$D$96:$O$96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分析!$D$113:$O$113</c:f>
              <c:numCache>
                <c:formatCode>0.0_ </c:formatCode>
                <c:ptCount val="12"/>
                <c:pt idx="0">
                  <c:v>32</c:v>
                </c:pt>
                <c:pt idx="1">
                  <c:v>15.6666666666667</c:v>
                </c:pt>
                <c:pt idx="2">
                  <c:v>10.4</c:v>
                </c:pt>
                <c:pt idx="3">
                  <c:v>19.5</c:v>
                </c:pt>
                <c:pt idx="4">
                  <c:v>28</c:v>
                </c:pt>
                <c:pt idx="5">
                  <c:v>17.6666666666667</c:v>
                </c:pt>
                <c:pt idx="6">
                  <c:v>8</c:v>
                </c:pt>
                <c:pt idx="7">
                  <c:v>10</c:v>
                </c:pt>
                <c:pt idx="8">
                  <c:v>6</c:v>
                </c:pt>
                <c:pt idx="9">
                  <c:v>4.66666666666667</c:v>
                </c:pt>
                <c:pt idx="10">
                  <c:v>16.75</c:v>
                </c:pt>
                <c:pt idx="11">
                  <c:v>8.42857142857143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ser>
          <c:idx val="9"/>
          <c:order val="9"/>
          <c:tx>
            <c:strRef>
              <c:f>"2025年施工图及预算评审当月时长"</c:f>
              <c:strCache>
                <c:ptCount val="1"/>
                <c:pt idx="0">
                  <c:v>2025年施工图及预算评审当月时长</c:v>
                </c:pt>
              </c:strCache>
            </c:strRef>
          </c:tx>
          <c:spPr>
            <a:solidFill>
              <a:srgbClr val="00B050"/>
            </a:solidFill>
            <a:ln cmpd="sng">
              <a:solidFill>
                <a:srgbClr val="000000"/>
              </a:solidFill>
            </a:ln>
          </c:spPr>
          <c:invertIfNegative val="1"/>
          <c:dLbls>
            <c:delete val="1"/>
          </c:dLbls>
          <c:cat>
            <c:strRef>
              <c:f>分析!$D$96:$O$96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分析!$D$115:$O$115</c:f>
              <c:numCache>
                <c:formatCode>0.0_ </c:formatCode>
                <c:ptCount val="12"/>
                <c:pt idx="0">
                  <c:v>9.8</c:v>
                </c:pt>
                <c:pt idx="1">
                  <c:v>4</c:v>
                </c:pt>
                <c:pt idx="2">
                  <c:v>6</c:v>
                </c:pt>
                <c:pt idx="3">
                  <c:v>11</c:v>
                </c:pt>
                <c:pt idx="4">
                  <c:v>15.4</c:v>
                </c:pt>
                <c:pt idx="5">
                  <c:v>15.2</c:v>
                </c:pt>
                <c:pt idx="6">
                  <c:v>18.3333333333333</c:v>
                </c:pt>
                <c:pt idx="7">
                  <c:v>19.375</c:v>
                </c:pt>
                <c:pt idx="8">
                  <c:v>17.8</c:v>
                </c:pt>
                <c:pt idx="9">
                  <c:v>20.8</c:v>
                </c:pt>
                <c:pt idx="10">
                  <c:v>12</c:v>
                </c:pt>
                <c:pt idx="11">
                  <c:v>10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ser>
          <c:idx val="10"/>
          <c:order val="10"/>
          <c:tx>
            <c:strRef>
              <c:f>"2024年施工图预算调整评审当月时长"</c:f>
              <c:strCache>
                <c:ptCount val="1"/>
                <c:pt idx="0">
                  <c:v>2024年施工图预算调整评审当月时长</c:v>
                </c:pt>
              </c:strCache>
            </c:strRef>
          </c:tx>
          <c:spPr>
            <a:solidFill>
              <a:srgbClr val="B8CAE9"/>
            </a:solidFill>
            <a:ln cmpd="sng">
              <a:solidFill>
                <a:srgbClr val="000000"/>
              </a:solidFill>
            </a:ln>
          </c:spPr>
          <c:invertIfNegative val="1"/>
          <c:dLbls>
            <c:delete val="1"/>
          </c:dLbls>
          <c:cat>
            <c:strRef>
              <c:f>分析!$D$96:$O$96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分析!$D$117:$O$117</c:f>
              <c:numCache>
                <c:formatCode>0.0_ </c:formatCode>
                <c:ptCount val="12"/>
                <c:pt idx="0">
                  <c:v>15.5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85</c:v>
                </c:pt>
                <c:pt idx="5">
                  <c:v>0</c:v>
                </c:pt>
                <c:pt idx="6">
                  <c:v>4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ser>
          <c:idx val="11"/>
          <c:order val="11"/>
          <c:tx>
            <c:strRef>
              <c:f>"2025年施工图预算调整评审当月时长"</c:f>
              <c:strCache>
                <c:ptCount val="1"/>
                <c:pt idx="0">
                  <c:v>2025年施工图预算调整评审当月时长</c:v>
                </c:pt>
              </c:strCache>
            </c:strRef>
          </c:tx>
          <c:spPr>
            <a:solidFill>
              <a:srgbClr val="70AD47"/>
            </a:solidFill>
            <a:ln cmpd="sng">
              <a:solidFill>
                <a:srgbClr val="000000"/>
              </a:solidFill>
            </a:ln>
          </c:spPr>
          <c:invertIfNegative val="1"/>
          <c:dLbls>
            <c:delete val="1"/>
          </c:dLbls>
          <c:cat>
            <c:strRef>
              <c:f>分析!$D$96:$O$96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分析!$D$119:$O$119</c:f>
              <c:numCache>
                <c:formatCode>0.0_ 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3</c:v>
                </c:pt>
                <c:pt idx="10">
                  <c:v>11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ser>
          <c:idx val="12"/>
          <c:order val="12"/>
          <c:tx>
            <c:strRef>
              <c:f>"2024年重大设计变更评审当月时长"</c:f>
              <c:strCache>
                <c:ptCount val="1"/>
                <c:pt idx="0">
                  <c:v>2024年重大设计变更评审当月时长</c:v>
                </c:pt>
              </c:strCache>
            </c:strRef>
          </c:tx>
          <c:spPr>
            <a:solidFill>
              <a:srgbClr val="FFFFFF"/>
            </a:solidFill>
            <a:ln cmpd="sng">
              <a:solidFill>
                <a:srgbClr val="000000"/>
              </a:solidFill>
            </a:ln>
          </c:spPr>
          <c:invertIfNegative val="1"/>
          <c:dLbls>
            <c:delete val="1"/>
          </c:dLbls>
          <c:cat>
            <c:strRef>
              <c:f>分析!$D$96:$O$96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分析!$D$121:$O$121</c:f>
              <c:numCache>
                <c:formatCode>0.0_ </c:formatCode>
                <c:ptCount val="12"/>
                <c:pt idx="0">
                  <c:v>5</c:v>
                </c:pt>
                <c:pt idx="1">
                  <c:v>30</c:v>
                </c:pt>
                <c:pt idx="2">
                  <c:v>7</c:v>
                </c:pt>
                <c:pt idx="3">
                  <c:v>0</c:v>
                </c:pt>
                <c:pt idx="4">
                  <c:v>24</c:v>
                </c:pt>
                <c:pt idx="5">
                  <c:v>24.5</c:v>
                </c:pt>
                <c:pt idx="6">
                  <c:v>0</c:v>
                </c:pt>
                <c:pt idx="7">
                  <c:v>14</c:v>
                </c:pt>
                <c:pt idx="8">
                  <c:v>16</c:v>
                </c:pt>
                <c:pt idx="9">
                  <c:v>6</c:v>
                </c:pt>
                <c:pt idx="10">
                  <c:v>5.5</c:v>
                </c:pt>
                <c:pt idx="11">
                  <c:v>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ser>
          <c:idx val="13"/>
          <c:order val="13"/>
          <c:tx>
            <c:strRef>
              <c:f>"2025年重大设计变更评审当月时长"</c:f>
              <c:strCache>
                <c:ptCount val="1"/>
                <c:pt idx="0">
                  <c:v>2025年重大设计变更评审当月时长</c:v>
                </c:pt>
              </c:strCache>
            </c:strRef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invertIfNegative val="1"/>
          <c:dLbls>
            <c:delete val="1"/>
          </c:dLbls>
          <c:cat>
            <c:strRef>
              <c:f>分析!$D$96:$O$96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分析!$D$123:$O$123</c:f>
              <c:numCache>
                <c:formatCode>0.0_ </c:formatCode>
                <c:ptCount val="12"/>
                <c:pt idx="0">
                  <c:v>11</c:v>
                </c:pt>
                <c:pt idx="1">
                  <c:v>7</c:v>
                </c:pt>
                <c:pt idx="2">
                  <c:v>7.83333333333333</c:v>
                </c:pt>
                <c:pt idx="3">
                  <c:v>1</c:v>
                </c:pt>
                <c:pt idx="4">
                  <c:v>8.5</c:v>
                </c:pt>
                <c:pt idx="5">
                  <c:v>27</c:v>
                </c:pt>
                <c:pt idx="6">
                  <c:v>3</c:v>
                </c:pt>
                <c:pt idx="7">
                  <c:v>7.33333333333333</c:v>
                </c:pt>
                <c:pt idx="8">
                  <c:v>0</c:v>
                </c:pt>
                <c:pt idx="9">
                  <c:v>23.3333333333333</c:v>
                </c:pt>
                <c:pt idx="10">
                  <c:v>15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82989517"/>
        <c:axId val="1130766362"/>
      </c:barChart>
      <c:lineChart>
        <c:grouping val="standard"/>
        <c:varyColors val="1"/>
        <c:ser>
          <c:idx val="14"/>
          <c:order val="14"/>
          <c:tx>
            <c:strRef>
              <c:f>"2024年可研评审平均时长"</c:f>
              <c:strCache>
                <c:ptCount val="1"/>
                <c:pt idx="0">
                  <c:v>2024年可研评审平均时长</c:v>
                </c:pt>
              </c:strCache>
            </c:strRef>
          </c:tx>
          <c:spPr>
            <a:ln w="19050" cap="rnd" cmpd="sng" algn="ctr">
              <a:solidFill>
                <a:schemeClr val="accent2"/>
              </a:solidFill>
              <a:prstDash val="lgDash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分析!$D$96:$O$96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分析!$D$98:$O$98</c:f>
              <c:numCache>
                <c:formatCode>0.0_ </c:formatCode>
                <c:ptCount val="12"/>
                <c:pt idx="0">
                  <c:v>34.6666666666667</c:v>
                </c:pt>
                <c:pt idx="1">
                  <c:v>34.4285714285714</c:v>
                </c:pt>
                <c:pt idx="2">
                  <c:v>41.1111111111111</c:v>
                </c:pt>
                <c:pt idx="3">
                  <c:v>42.2142857142857</c:v>
                </c:pt>
                <c:pt idx="4">
                  <c:v>48.6818181818182</c:v>
                </c:pt>
                <c:pt idx="5">
                  <c:v>44.0769230769231</c:v>
                </c:pt>
                <c:pt idx="6">
                  <c:v>40.4</c:v>
                </c:pt>
                <c:pt idx="7">
                  <c:v>37.3142857142857</c:v>
                </c:pt>
                <c:pt idx="8">
                  <c:v>34.175</c:v>
                </c:pt>
                <c:pt idx="9">
                  <c:v>32.9047619047619</c:v>
                </c:pt>
                <c:pt idx="10">
                  <c:v>31.4222222222222</c:v>
                </c:pt>
                <c:pt idx="11">
                  <c:v>30.375</c:v>
                </c:pt>
              </c:numCache>
            </c:numRef>
          </c:val>
          <c:smooth val="0"/>
        </c:ser>
        <c:ser>
          <c:idx val="15"/>
          <c:order val="15"/>
          <c:tx>
            <c:strRef>
              <c:f>"2025年可研评审平均时长"</c:f>
              <c:strCache>
                <c:ptCount val="1"/>
                <c:pt idx="0">
                  <c:v>2025年可研评审平均时长</c:v>
                </c:pt>
              </c:strCache>
            </c:strRef>
          </c:tx>
          <c:spPr>
            <a:ln w="28575" cap="rnd" cmpd="sng" algn="ctr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分析!$D$96:$O$96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分析!$D$100:$O$100</c:f>
              <c:numCache>
                <c:formatCode>0.0_ </c:formatCode>
                <c:ptCount val="12"/>
                <c:pt idx="0">
                  <c:v>17.75</c:v>
                </c:pt>
                <c:pt idx="1">
                  <c:v>23.6666666666667</c:v>
                </c:pt>
                <c:pt idx="2">
                  <c:v>22.4285714285714</c:v>
                </c:pt>
                <c:pt idx="3">
                  <c:v>21.25</c:v>
                </c:pt>
                <c:pt idx="4">
                  <c:v>20.2352941176471</c:v>
                </c:pt>
                <c:pt idx="5">
                  <c:v>18.8421052631579</c:v>
                </c:pt>
                <c:pt idx="6">
                  <c:v>18.12</c:v>
                </c:pt>
                <c:pt idx="7">
                  <c:v>17.8620689655172</c:v>
                </c:pt>
                <c:pt idx="8">
                  <c:v>17.969696969697</c:v>
                </c:pt>
                <c:pt idx="9">
                  <c:v>17.7352941176471</c:v>
                </c:pt>
                <c:pt idx="10">
                  <c:v>18.4</c:v>
                </c:pt>
                <c:pt idx="11">
                  <c:v>18.3023255813953</c:v>
                </c:pt>
              </c:numCache>
            </c:numRef>
          </c:val>
          <c:smooth val="0"/>
        </c:ser>
        <c:ser>
          <c:idx val="16"/>
          <c:order val="16"/>
          <c:tx>
            <c:strRef>
              <c:f>"2024年可研调整评审平均时长"</c:f>
              <c:strCache>
                <c:ptCount val="1"/>
                <c:pt idx="0">
                  <c:v>2024年可研调整评审平均时长</c:v>
                </c:pt>
              </c:strCache>
            </c:strRef>
          </c:tx>
          <c:spPr>
            <a:ln w="19050" cap="rnd" cmpd="sng" algn="ctr">
              <a:solidFill>
                <a:schemeClr val="accent4"/>
              </a:solidFill>
              <a:prstDash val="lgDash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分析!$D$96:$O$96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分析!$D$102:$O$102</c:f>
              <c:numCache>
                <c:formatCode>0.0_ </c:formatCode>
                <c:ptCount val="12"/>
                <c:pt idx="0">
                  <c:v>32</c:v>
                </c:pt>
                <c:pt idx="1">
                  <c:v>28.6666666666667</c:v>
                </c:pt>
                <c:pt idx="2">
                  <c:v>28.6666666666667</c:v>
                </c:pt>
                <c:pt idx="3">
                  <c:v>25.5</c:v>
                </c:pt>
                <c:pt idx="4">
                  <c:v>20</c:v>
                </c:pt>
                <c:pt idx="5">
                  <c:v>20</c:v>
                </c:pt>
                <c:pt idx="6">
                  <c:v>18.25</c:v>
                </c:pt>
                <c:pt idx="7">
                  <c:v>17.1111111111111</c:v>
                </c:pt>
                <c:pt idx="8">
                  <c:v>17.1111111111111</c:v>
                </c:pt>
                <c:pt idx="9">
                  <c:v>18.3</c:v>
                </c:pt>
                <c:pt idx="10">
                  <c:v>17.6363636363636</c:v>
                </c:pt>
                <c:pt idx="11">
                  <c:v>17.9166666666667</c:v>
                </c:pt>
              </c:numCache>
            </c:numRef>
          </c:val>
          <c:smooth val="0"/>
        </c:ser>
        <c:ser>
          <c:idx val="17"/>
          <c:order val="17"/>
          <c:tx>
            <c:strRef>
              <c:f>"2025年可研调整评审平均时长"</c:f>
              <c:strCache>
                <c:ptCount val="1"/>
                <c:pt idx="0">
                  <c:v>2025年可研调整评审平均时长</c:v>
                </c:pt>
              </c:strCache>
            </c:strRef>
          </c:tx>
          <c:spPr>
            <a:ln w="28575" cap="rnd" cmpd="sng" algn="ctr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分析!$D$96:$O$96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分析!$D$104:$O$104</c:f>
              <c:numCache>
                <c:formatCode>0.0_ </c:formatCode>
                <c:ptCount val="12"/>
                <c:pt idx="0">
                  <c:v>0</c:v>
                </c:pt>
                <c:pt idx="1">
                  <c:v>44</c:v>
                </c:pt>
                <c:pt idx="2">
                  <c:v>44</c:v>
                </c:pt>
                <c:pt idx="3">
                  <c:v>44</c:v>
                </c:pt>
                <c:pt idx="4">
                  <c:v>44</c:v>
                </c:pt>
                <c:pt idx="5">
                  <c:v>44</c:v>
                </c:pt>
                <c:pt idx="6">
                  <c:v>44</c:v>
                </c:pt>
                <c:pt idx="7">
                  <c:v>44</c:v>
                </c:pt>
                <c:pt idx="8">
                  <c:v>28.5</c:v>
                </c:pt>
                <c:pt idx="9">
                  <c:v>22.4</c:v>
                </c:pt>
                <c:pt idx="10">
                  <c:v>22.4</c:v>
                </c:pt>
                <c:pt idx="11">
                  <c:v>22.4</c:v>
                </c:pt>
              </c:numCache>
            </c:numRef>
          </c:val>
          <c:smooth val="0"/>
        </c:ser>
        <c:ser>
          <c:idx val="18"/>
          <c:order val="18"/>
          <c:tx>
            <c:strRef>
              <c:f>"2024年初设评审平均时长"</c:f>
              <c:strCache>
                <c:ptCount val="1"/>
                <c:pt idx="0">
                  <c:v>2024年初设评审平均时长</c:v>
                </c:pt>
              </c:strCache>
            </c:strRef>
          </c:tx>
          <c:spPr>
            <a:ln w="19050" cap="rnd" cmpd="sng" algn="ctr">
              <a:solidFill>
                <a:schemeClr val="accent5"/>
              </a:solidFill>
              <a:prstDash val="lgDash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分析!$D$96:$O$96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分析!$D$106:$O$106</c:f>
              <c:numCache>
                <c:formatCode>0.0_ </c:formatCode>
                <c:ptCount val="12"/>
                <c:pt idx="0">
                  <c:v>21.375</c:v>
                </c:pt>
                <c:pt idx="1">
                  <c:v>23.5454545454545</c:v>
                </c:pt>
                <c:pt idx="2">
                  <c:v>23.875</c:v>
                </c:pt>
                <c:pt idx="3">
                  <c:v>23.5294117647059</c:v>
                </c:pt>
                <c:pt idx="4">
                  <c:v>21.85</c:v>
                </c:pt>
                <c:pt idx="5">
                  <c:v>20.3636363636364</c:v>
                </c:pt>
                <c:pt idx="6">
                  <c:v>19.625</c:v>
                </c:pt>
                <c:pt idx="7">
                  <c:v>19.6551724137931</c:v>
                </c:pt>
                <c:pt idx="8">
                  <c:v>17.4722222222222</c:v>
                </c:pt>
                <c:pt idx="9">
                  <c:v>16.4418604651163</c:v>
                </c:pt>
                <c:pt idx="10">
                  <c:v>16.0625</c:v>
                </c:pt>
                <c:pt idx="11">
                  <c:v>15.4150943396226</c:v>
                </c:pt>
              </c:numCache>
            </c:numRef>
          </c:val>
          <c:smooth val="0"/>
        </c:ser>
        <c:ser>
          <c:idx val="19"/>
          <c:order val="19"/>
          <c:tx>
            <c:strRef>
              <c:f>"2024年初设评审平均时长"</c:f>
              <c:strCache>
                <c:ptCount val="1"/>
                <c:pt idx="0">
                  <c:v>2024年初设评审平均时长</c:v>
                </c:pt>
              </c:strCache>
            </c:strRef>
          </c:tx>
          <c:spPr>
            <a:ln w="28575" cap="rnd" cmpd="sng" algn="ctr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分析!$D$96:$O$96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分析!$D$108:$O$108</c:f>
              <c:numCache>
                <c:formatCode>0.0_ </c:formatCode>
                <c:ptCount val="12"/>
                <c:pt idx="0">
                  <c:v>14.8333333333333</c:v>
                </c:pt>
                <c:pt idx="1">
                  <c:v>14.8333333333333</c:v>
                </c:pt>
                <c:pt idx="2">
                  <c:v>13.7142857142857</c:v>
                </c:pt>
                <c:pt idx="3">
                  <c:v>14.8666666666667</c:v>
                </c:pt>
                <c:pt idx="4">
                  <c:v>16.2222222222222</c:v>
                </c:pt>
                <c:pt idx="5">
                  <c:v>16.1428571428571</c:v>
                </c:pt>
                <c:pt idx="6">
                  <c:v>14.56</c:v>
                </c:pt>
                <c:pt idx="7">
                  <c:v>14.6129032258065</c:v>
                </c:pt>
                <c:pt idx="8">
                  <c:v>14.6285714285714</c:v>
                </c:pt>
                <c:pt idx="9">
                  <c:v>14.5384615384615</c:v>
                </c:pt>
                <c:pt idx="10">
                  <c:v>14.0731707317073</c:v>
                </c:pt>
                <c:pt idx="11">
                  <c:v>13.7173913043478</c:v>
                </c:pt>
              </c:numCache>
            </c:numRef>
          </c:val>
          <c:smooth val="0"/>
        </c:ser>
        <c:ser>
          <c:idx val="20"/>
          <c:order val="20"/>
          <c:tx>
            <c:strRef>
              <c:f>"2024年初设评审调整平均时长"</c:f>
              <c:strCache>
                <c:ptCount val="1"/>
                <c:pt idx="0">
                  <c:v>2024年初设评审调整平均时长</c:v>
                </c:pt>
              </c:strCache>
            </c:strRef>
          </c:tx>
          <c:spPr>
            <a:ln w="19050" cap="rnd" cmpd="sng" algn="ctr">
              <a:solidFill>
                <a:schemeClr val="accent1"/>
              </a:solidFill>
              <a:prstDash val="lgDash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分析!$D$96:$O$96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分析!$D$110:$O$110</c:f>
              <c:numCache>
                <c:formatCode>0.0_ 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19</c:v>
                </c:pt>
                <c:pt idx="4">
                  <c:v>20.5</c:v>
                </c:pt>
                <c:pt idx="5">
                  <c:v>20.5</c:v>
                </c:pt>
                <c:pt idx="6">
                  <c:v>15.6666666666667</c:v>
                </c:pt>
                <c:pt idx="7">
                  <c:v>15.6666666666667</c:v>
                </c:pt>
                <c:pt idx="8">
                  <c:v>15.6666666666667</c:v>
                </c:pt>
                <c:pt idx="9">
                  <c:v>15.6666666666667</c:v>
                </c:pt>
                <c:pt idx="10">
                  <c:v>12.75</c:v>
                </c:pt>
                <c:pt idx="11">
                  <c:v>12.75</c:v>
                </c:pt>
              </c:numCache>
            </c:numRef>
          </c:val>
          <c:smooth val="0"/>
        </c:ser>
        <c:ser>
          <c:idx val="21"/>
          <c:order val="21"/>
          <c:tx>
            <c:strRef>
              <c:f>"2025年初设调整评审平均时长"</c:f>
              <c:strCache>
                <c:ptCount val="1"/>
                <c:pt idx="0">
                  <c:v>2025年初设调整评审平均时长</c:v>
                </c:pt>
              </c:strCache>
            </c:strRef>
          </c:tx>
          <c:spPr>
            <a:ln w="28575" cap="rnd" cmpd="sng" algn="ctr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分析!$D$96:$O$96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分析!$D$112:$O$112</c:f>
              <c:numCache>
                <c:formatCode>0.0_ </c:formatCode>
                <c:ptCount val="12"/>
                <c:pt idx="0">
                  <c:v>17</c:v>
                </c:pt>
                <c:pt idx="1">
                  <c:v>17</c:v>
                </c:pt>
                <c:pt idx="2">
                  <c:v>17</c:v>
                </c:pt>
                <c:pt idx="3">
                  <c:v>12.5</c:v>
                </c:pt>
                <c:pt idx="4">
                  <c:v>12.5</c:v>
                </c:pt>
                <c:pt idx="5">
                  <c:v>14</c:v>
                </c:pt>
                <c:pt idx="6">
                  <c:v>12.2</c:v>
                </c:pt>
                <c:pt idx="7">
                  <c:v>12.5</c:v>
                </c:pt>
                <c:pt idx="8">
                  <c:v>10.4444444444444</c:v>
                </c:pt>
                <c:pt idx="9">
                  <c:v>10.4444444444444</c:v>
                </c:pt>
                <c:pt idx="10">
                  <c:v>10</c:v>
                </c:pt>
                <c:pt idx="11">
                  <c:v>10</c:v>
                </c:pt>
              </c:numCache>
            </c:numRef>
          </c:val>
          <c:smooth val="0"/>
        </c:ser>
        <c:ser>
          <c:idx val="22"/>
          <c:order val="22"/>
          <c:tx>
            <c:strRef>
              <c:f>"2024年施工图及预算评审平均时长"</c:f>
              <c:strCache>
                <c:ptCount val="1"/>
                <c:pt idx="0">
                  <c:v>2024年施工图及预算评审平均时长</c:v>
                </c:pt>
              </c:strCache>
            </c:strRef>
          </c:tx>
          <c:spPr>
            <a:ln w="19050" cap="rnd" cmpd="sng" algn="ctr">
              <a:solidFill>
                <a:srgbClr val="00B050">
                  <a:alpha val="100000"/>
                </a:srgbClr>
              </a:solidFill>
              <a:prstDash val="lgDash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分析!$D$96:$O$96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分析!$D$114:$O$114</c:f>
              <c:numCache>
                <c:formatCode>0.0_ </c:formatCode>
                <c:ptCount val="12"/>
                <c:pt idx="0">
                  <c:v>32</c:v>
                </c:pt>
                <c:pt idx="1">
                  <c:v>22.2</c:v>
                </c:pt>
                <c:pt idx="2">
                  <c:v>16.3</c:v>
                </c:pt>
                <c:pt idx="3">
                  <c:v>17.5</c:v>
                </c:pt>
                <c:pt idx="4">
                  <c:v>20.3636363636364</c:v>
                </c:pt>
                <c:pt idx="5">
                  <c:v>19.7857142857143</c:v>
                </c:pt>
                <c:pt idx="6">
                  <c:v>18.3125</c:v>
                </c:pt>
                <c:pt idx="7">
                  <c:v>17.8235294117647</c:v>
                </c:pt>
                <c:pt idx="8">
                  <c:v>17.4857142857143</c:v>
                </c:pt>
                <c:pt idx="9">
                  <c:v>16.4736842105263</c:v>
                </c:pt>
                <c:pt idx="10">
                  <c:v>16.5</c:v>
                </c:pt>
                <c:pt idx="11">
                  <c:v>15.3469387755102</c:v>
                </c:pt>
              </c:numCache>
            </c:numRef>
          </c:val>
          <c:smooth val="0"/>
        </c:ser>
        <c:ser>
          <c:idx val="23"/>
          <c:order val="23"/>
          <c:tx>
            <c:strRef>
              <c:f>"2025年施工图及预算评审平均时长"</c:f>
              <c:strCache>
                <c:ptCount val="1"/>
                <c:pt idx="0">
                  <c:v>2025年施工图及预算评审平均时长</c:v>
                </c:pt>
              </c:strCache>
            </c:strRef>
          </c:tx>
          <c:spPr>
            <a:ln w="28575" cap="rnd" cmpd="sng" algn="ctr">
              <a:solidFill>
                <a:srgbClr val="00B050">
                  <a:alpha val="100000"/>
                </a:srgb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分析!$D$96:$O$96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分析!$D$116:$O$116</c:f>
              <c:numCache>
                <c:formatCode>0.0_ </c:formatCode>
                <c:ptCount val="12"/>
                <c:pt idx="0">
                  <c:v>9.8</c:v>
                </c:pt>
                <c:pt idx="1">
                  <c:v>8.14285714285714</c:v>
                </c:pt>
                <c:pt idx="2">
                  <c:v>7.66666666666667</c:v>
                </c:pt>
                <c:pt idx="3">
                  <c:v>8.27272727272727</c:v>
                </c:pt>
                <c:pt idx="4">
                  <c:v>10.5</c:v>
                </c:pt>
                <c:pt idx="5">
                  <c:v>11.6190476190476</c:v>
                </c:pt>
                <c:pt idx="6">
                  <c:v>12.4583333333333</c:v>
                </c:pt>
                <c:pt idx="7">
                  <c:v>14.1875</c:v>
                </c:pt>
                <c:pt idx="8">
                  <c:v>14.6756756756757</c:v>
                </c:pt>
                <c:pt idx="9">
                  <c:v>15.4047619047619</c:v>
                </c:pt>
                <c:pt idx="10">
                  <c:v>15.3255813953488</c:v>
                </c:pt>
                <c:pt idx="11">
                  <c:v>14.7708333333333</c:v>
                </c:pt>
              </c:numCache>
            </c:numRef>
          </c:val>
          <c:smooth val="0"/>
        </c:ser>
        <c:ser>
          <c:idx val="24"/>
          <c:order val="24"/>
          <c:tx>
            <c:strRef>
              <c:f>"2024年施工图预算调整评审平均时长"</c:f>
              <c:strCache>
                <c:ptCount val="1"/>
                <c:pt idx="0">
                  <c:v>2024年施工图预算调整评审平均时长</c:v>
                </c:pt>
              </c:strCache>
            </c:strRef>
          </c:tx>
          <c:spPr>
            <a:ln w="19050" cap="rnd" cmpd="sng" algn="ctr">
              <a:solidFill>
                <a:schemeClr val="accent6"/>
              </a:solidFill>
              <a:prstDash val="lgDash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分析!$D$96:$O$96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分析!$D$118:$O$118</c:f>
              <c:numCache>
                <c:formatCode>0.0_ </c:formatCode>
                <c:ptCount val="12"/>
                <c:pt idx="0">
                  <c:v>15.5</c:v>
                </c:pt>
                <c:pt idx="1">
                  <c:v>15.5</c:v>
                </c:pt>
                <c:pt idx="2">
                  <c:v>15.5</c:v>
                </c:pt>
                <c:pt idx="3">
                  <c:v>15.5</c:v>
                </c:pt>
                <c:pt idx="4">
                  <c:v>38.6666666666667</c:v>
                </c:pt>
                <c:pt idx="5">
                  <c:v>38.6666666666667</c:v>
                </c:pt>
                <c:pt idx="6">
                  <c:v>24.8</c:v>
                </c:pt>
                <c:pt idx="7">
                  <c:v>24.8</c:v>
                </c:pt>
                <c:pt idx="8">
                  <c:v>24.8</c:v>
                </c:pt>
                <c:pt idx="9">
                  <c:v>24.8</c:v>
                </c:pt>
                <c:pt idx="10">
                  <c:v>24.8</c:v>
                </c:pt>
                <c:pt idx="11">
                  <c:v>18.2857142857143</c:v>
                </c:pt>
              </c:numCache>
            </c:numRef>
          </c:val>
          <c:smooth val="0"/>
        </c:ser>
        <c:ser>
          <c:idx val="25"/>
          <c:order val="25"/>
          <c:tx>
            <c:strRef>
              <c:f>"2025年施工图预算调整评审平均时长"</c:f>
              <c:strCache>
                <c:ptCount val="1"/>
                <c:pt idx="0">
                  <c:v>2025年施工图预算调整评审平均时长</c:v>
                </c:pt>
              </c:strCache>
            </c:strRef>
          </c:tx>
          <c:spPr>
            <a:ln w="28575" cap="rnd" cmpd="sng" algn="ctr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分析!$D$96:$O$96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分析!$D$120:$O$120</c:f>
              <c:numCache>
                <c:formatCode>0.0_ 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9</c:v>
                </c:pt>
                <c:pt idx="3">
                  <c:v>9</c:v>
                </c:pt>
                <c:pt idx="4">
                  <c:v>9</c:v>
                </c:pt>
                <c:pt idx="5">
                  <c:v>9</c:v>
                </c:pt>
                <c:pt idx="6">
                  <c:v>5</c:v>
                </c:pt>
                <c:pt idx="7">
                  <c:v>3.5</c:v>
                </c:pt>
                <c:pt idx="8">
                  <c:v>3.33333333333333</c:v>
                </c:pt>
                <c:pt idx="9">
                  <c:v>3.25</c:v>
                </c:pt>
                <c:pt idx="10">
                  <c:v>4.11111111111111</c:v>
                </c:pt>
                <c:pt idx="11">
                  <c:v>4.11111111111111</c:v>
                </c:pt>
              </c:numCache>
            </c:numRef>
          </c:val>
          <c:smooth val="0"/>
        </c:ser>
        <c:ser>
          <c:idx val="26"/>
          <c:order val="26"/>
          <c:tx>
            <c:strRef>
              <c:f>"2024年重大设计变更评审平均时长"</c:f>
              <c:strCache>
                <c:ptCount val="1"/>
                <c:pt idx="0">
                  <c:v>2024年重大设计变更评审平均时长</c:v>
                </c:pt>
              </c:strCache>
            </c:strRef>
          </c:tx>
          <c:spPr>
            <a:ln w="19050" cap="rnd" cmpd="sng" algn="ctr">
              <a:solidFill>
                <a:srgbClr val="FF0000">
                  <a:alpha val="100000"/>
                </a:srgbClr>
              </a:solidFill>
              <a:prstDash val="lgDash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分析!$D$96:$O$96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分析!$D$122:$O$122</c:f>
              <c:numCache>
                <c:formatCode>0.0_ </c:formatCode>
                <c:ptCount val="12"/>
                <c:pt idx="0">
                  <c:v>5</c:v>
                </c:pt>
                <c:pt idx="1">
                  <c:v>13.3333333333333</c:v>
                </c:pt>
                <c:pt idx="2">
                  <c:v>10.8</c:v>
                </c:pt>
                <c:pt idx="3">
                  <c:v>10.8</c:v>
                </c:pt>
                <c:pt idx="4">
                  <c:v>16.6666666666667</c:v>
                </c:pt>
                <c:pt idx="5">
                  <c:v>18.0909090909091</c:v>
                </c:pt>
                <c:pt idx="6">
                  <c:v>18.0909090909091</c:v>
                </c:pt>
                <c:pt idx="7">
                  <c:v>17.75</c:v>
                </c:pt>
                <c:pt idx="8">
                  <c:v>17.1666666666667</c:v>
                </c:pt>
                <c:pt idx="9">
                  <c:v>16.5789473684211</c:v>
                </c:pt>
                <c:pt idx="10">
                  <c:v>14.6521739130435</c:v>
                </c:pt>
                <c:pt idx="11">
                  <c:v>13.88</c:v>
                </c:pt>
              </c:numCache>
            </c:numRef>
          </c:val>
          <c:smooth val="0"/>
        </c:ser>
        <c:ser>
          <c:idx val="27"/>
          <c:order val="27"/>
          <c:tx>
            <c:strRef>
              <c:f>"2025年重大设计变更评审平均时长"</c:f>
              <c:strCache>
                <c:ptCount val="1"/>
                <c:pt idx="0">
                  <c:v>2025年重大设计变更评审平均时长</c:v>
                </c:pt>
              </c:strCache>
            </c:strRef>
          </c:tx>
          <c:spPr>
            <a:ln w="28575" cap="rnd" cmpd="sng" algn="ctr">
              <a:solidFill>
                <a:srgbClr val="FF0000">
                  <a:alpha val="100000"/>
                </a:srgb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分析!$D$96:$O$96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分析!$D$124:$O$124</c:f>
              <c:numCache>
                <c:formatCode>0.0_ </c:formatCode>
                <c:ptCount val="12"/>
                <c:pt idx="0">
                  <c:v>11</c:v>
                </c:pt>
                <c:pt idx="1">
                  <c:v>9</c:v>
                </c:pt>
                <c:pt idx="2">
                  <c:v>8.125</c:v>
                </c:pt>
                <c:pt idx="3">
                  <c:v>7.33333333333333</c:v>
                </c:pt>
                <c:pt idx="4">
                  <c:v>7.54545454545455</c:v>
                </c:pt>
                <c:pt idx="5">
                  <c:v>9.16666666666667</c:v>
                </c:pt>
                <c:pt idx="6">
                  <c:v>8.69230769230769</c:v>
                </c:pt>
                <c:pt idx="7">
                  <c:v>8.4375</c:v>
                </c:pt>
                <c:pt idx="8">
                  <c:v>8.4375</c:v>
                </c:pt>
                <c:pt idx="9">
                  <c:v>10.7894736842105</c:v>
                </c:pt>
                <c:pt idx="10">
                  <c:v>11.1904761904762</c:v>
                </c:pt>
                <c:pt idx="11">
                  <c:v>11.1904761904762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882989517"/>
        <c:axId val="1130766362"/>
      </c:lineChart>
      <c:catAx>
        <c:axId val="882989517"/>
        <c:scaling>
          <c:orientation val="minMax"/>
        </c:scaling>
        <c:delete val="0"/>
        <c:axPos val="b"/>
        <c:title>
          <c:layout/>
          <c:overlay val="0"/>
          <c:tx>
            <c:rich>
              <a:bodyPr/>
              <a:lstStyle/>
              <a:p>
                <a:pPr>
                  <a:defRPr/>
                </a:pPr>
              </a:p>
            </c:rich>
          </c:tx>
        </c:title>
        <c:numFmt formatCode="General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000000"/>
                </a:solidFill>
                <a:latin typeface="微软雅黑" panose="020B0503020204020204" charset="-122"/>
                <a:ea typeface="+mn-ea"/>
                <a:cs typeface="+mn-cs"/>
              </a:defRPr>
            </a:pPr>
          </a:p>
        </c:txPr>
        <c:crossAx val="1130766362"/>
        <c:crosses val="autoZero"/>
        <c:auto val="1"/>
        <c:lblAlgn val="ctr"/>
        <c:lblOffset val="100"/>
        <c:noMultiLvlLbl val="1"/>
      </c:catAx>
      <c:valAx>
        <c:axId val="1130766362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</c:spPr>
        </c:majorGridlines>
        <c:title>
          <c:layout/>
          <c:overlay val="0"/>
          <c:tx>
            <c:rich>
              <a:bodyPr/>
              <a:lstStyle/>
              <a:p>
                <a:pPr>
                  <a:defRPr/>
                </a:pPr>
              </a:p>
            </c:rich>
          </c:tx>
        </c:title>
        <c:numFmt formatCode="0&quot;工日&quot;" sourceLinked="0"/>
        <c:majorTickMark val="none"/>
        <c:minorTickMark val="none"/>
        <c:tickLblPos val="nextTo"/>
        <c:spPr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000000"/>
                </a:solidFill>
                <a:latin typeface="微软雅黑" panose="020B0503020204020204" charset="-122"/>
                <a:ea typeface="+mn-ea"/>
                <a:cs typeface="+mn-cs"/>
              </a:defRPr>
            </a:pPr>
          </a:p>
        </c:txPr>
        <c:crossAx val="882989517"/>
        <c:crosses val="autoZero"/>
        <c:crossBetween val="between"/>
      </c:valAx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600" b="0" i="0" u="none" strike="noStrike" kern="1200" baseline="0">
                <a:solidFill>
                  <a:srgbClr val="1A1A1A"/>
                </a:solidFill>
                <a:latin typeface="微软雅黑" panose="020B0503020204020204" charset="-122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600" b="0" i="0" u="none" strike="noStrike" kern="1200" baseline="0">
                <a:solidFill>
                  <a:srgbClr val="1A1A1A"/>
                </a:solidFill>
                <a:latin typeface="微软雅黑" panose="020B0503020204020204" charset="-122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zh-CN" sz="600" b="0" i="0" u="none" strike="noStrike" kern="1200" baseline="0">
                <a:solidFill>
                  <a:srgbClr val="1A1A1A"/>
                </a:solidFill>
                <a:latin typeface="微软雅黑" panose="020B0503020204020204" charset="-122"/>
                <a:ea typeface="+mn-ea"/>
                <a:cs typeface="+mn-cs"/>
              </a:defRPr>
            </a:pPr>
          </a:p>
        </c:txPr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zh-CN" sz="600" b="0" i="0" u="none" strike="noStrike" kern="1200" baseline="0">
                <a:solidFill>
                  <a:srgbClr val="1A1A1A"/>
                </a:solidFill>
                <a:latin typeface="微软雅黑" panose="020B0503020204020204" charset="-122"/>
                <a:ea typeface="+mn-ea"/>
                <a:cs typeface="+mn-cs"/>
              </a:defRPr>
            </a:pPr>
          </a:p>
        </c:txPr>
      </c:legendEntry>
      <c:legendEntry>
        <c:idx val="4"/>
        <c:txPr>
          <a:bodyPr rot="0" spcFirstLastPara="0" vertOverflow="ellipsis" vert="horz" wrap="square" anchor="ctr" anchorCtr="1"/>
          <a:lstStyle/>
          <a:p>
            <a:pPr>
              <a:defRPr lang="zh-CN" sz="600" b="0" i="0" u="none" strike="noStrike" kern="1200" baseline="0">
                <a:solidFill>
                  <a:srgbClr val="1A1A1A"/>
                </a:solidFill>
                <a:latin typeface="微软雅黑" panose="020B0503020204020204" charset="-122"/>
                <a:ea typeface="+mn-ea"/>
                <a:cs typeface="+mn-cs"/>
              </a:defRPr>
            </a:pPr>
          </a:p>
        </c:txPr>
      </c:legendEntry>
      <c:legendEntry>
        <c:idx val="5"/>
        <c:txPr>
          <a:bodyPr rot="0" spcFirstLastPara="0" vertOverflow="ellipsis" vert="horz" wrap="square" anchor="ctr" anchorCtr="1"/>
          <a:lstStyle/>
          <a:p>
            <a:pPr>
              <a:defRPr lang="zh-CN" sz="600" b="0" i="0" u="none" strike="noStrike" kern="1200" baseline="0">
                <a:solidFill>
                  <a:srgbClr val="1A1A1A"/>
                </a:solidFill>
                <a:latin typeface="微软雅黑" panose="020B0503020204020204" charset="-122"/>
                <a:ea typeface="+mn-ea"/>
                <a:cs typeface="+mn-cs"/>
              </a:defRPr>
            </a:pPr>
          </a:p>
        </c:txPr>
      </c:legendEntry>
      <c:legendEntry>
        <c:idx val="6"/>
        <c:txPr>
          <a:bodyPr rot="0" spcFirstLastPara="0" vertOverflow="ellipsis" vert="horz" wrap="square" anchor="ctr" anchorCtr="1"/>
          <a:lstStyle/>
          <a:p>
            <a:pPr>
              <a:defRPr lang="zh-CN" sz="600" b="0" i="0" u="none" strike="noStrike" kern="1200" baseline="0">
                <a:solidFill>
                  <a:srgbClr val="1A1A1A"/>
                </a:solidFill>
                <a:latin typeface="微软雅黑" panose="020B0503020204020204" charset="-122"/>
                <a:ea typeface="+mn-ea"/>
                <a:cs typeface="+mn-cs"/>
              </a:defRPr>
            </a:pPr>
          </a:p>
        </c:txPr>
      </c:legendEntry>
      <c:legendEntry>
        <c:idx val="7"/>
        <c:txPr>
          <a:bodyPr rot="0" spcFirstLastPara="0" vertOverflow="ellipsis" vert="horz" wrap="square" anchor="ctr" anchorCtr="1"/>
          <a:lstStyle/>
          <a:p>
            <a:pPr>
              <a:defRPr lang="zh-CN" sz="600" b="0" i="0" u="none" strike="noStrike" kern="1200" baseline="0">
                <a:solidFill>
                  <a:srgbClr val="1A1A1A"/>
                </a:solidFill>
                <a:latin typeface="微软雅黑" panose="020B0503020204020204" charset="-122"/>
                <a:ea typeface="+mn-ea"/>
                <a:cs typeface="+mn-cs"/>
              </a:defRPr>
            </a:pPr>
          </a:p>
        </c:txPr>
      </c:legendEntry>
      <c:legendEntry>
        <c:idx val="8"/>
        <c:txPr>
          <a:bodyPr rot="0" spcFirstLastPara="0" vertOverflow="ellipsis" vert="horz" wrap="square" anchor="ctr" anchorCtr="1"/>
          <a:lstStyle/>
          <a:p>
            <a:pPr>
              <a:defRPr lang="zh-CN" sz="600" b="0" i="0" u="none" strike="noStrike" kern="1200" baseline="0">
                <a:solidFill>
                  <a:srgbClr val="1A1A1A"/>
                </a:solidFill>
                <a:latin typeface="微软雅黑" panose="020B0503020204020204" charset="-122"/>
                <a:ea typeface="+mn-ea"/>
                <a:cs typeface="+mn-cs"/>
              </a:defRPr>
            </a:pPr>
          </a:p>
        </c:txPr>
      </c:legendEntry>
      <c:legendEntry>
        <c:idx val="9"/>
        <c:txPr>
          <a:bodyPr rot="0" spcFirstLastPara="0" vertOverflow="ellipsis" vert="horz" wrap="square" anchor="ctr" anchorCtr="1"/>
          <a:lstStyle/>
          <a:p>
            <a:pPr>
              <a:defRPr lang="zh-CN" sz="600" b="0" i="0" u="none" strike="noStrike" kern="1200" baseline="0">
                <a:solidFill>
                  <a:srgbClr val="1A1A1A"/>
                </a:solidFill>
                <a:latin typeface="微软雅黑" panose="020B0503020204020204" charset="-122"/>
                <a:ea typeface="+mn-ea"/>
                <a:cs typeface="+mn-cs"/>
              </a:defRPr>
            </a:pPr>
          </a:p>
        </c:txPr>
      </c:legendEntry>
      <c:legendEntry>
        <c:idx val="10"/>
        <c:txPr>
          <a:bodyPr rot="0" spcFirstLastPara="0" vertOverflow="ellipsis" vert="horz" wrap="square" anchor="ctr" anchorCtr="1"/>
          <a:lstStyle/>
          <a:p>
            <a:pPr>
              <a:defRPr lang="zh-CN" sz="600" b="0" i="0" u="none" strike="noStrike" kern="1200" baseline="0">
                <a:solidFill>
                  <a:srgbClr val="1A1A1A"/>
                </a:solidFill>
                <a:latin typeface="微软雅黑" panose="020B0503020204020204" charset="-122"/>
                <a:ea typeface="+mn-ea"/>
                <a:cs typeface="+mn-cs"/>
              </a:defRPr>
            </a:pPr>
          </a:p>
        </c:txPr>
      </c:legendEntry>
      <c:legendEntry>
        <c:idx val="11"/>
        <c:txPr>
          <a:bodyPr rot="0" spcFirstLastPara="0" vertOverflow="ellipsis" vert="horz" wrap="square" anchor="ctr" anchorCtr="1"/>
          <a:lstStyle/>
          <a:p>
            <a:pPr>
              <a:defRPr lang="zh-CN" sz="600" b="0" i="0" u="none" strike="noStrike" kern="1200" baseline="0">
                <a:solidFill>
                  <a:srgbClr val="1A1A1A"/>
                </a:solidFill>
                <a:latin typeface="微软雅黑" panose="020B0503020204020204" charset="-122"/>
                <a:ea typeface="+mn-ea"/>
                <a:cs typeface="+mn-cs"/>
              </a:defRPr>
            </a:pPr>
          </a:p>
        </c:txPr>
      </c:legendEntry>
      <c:legendEntry>
        <c:idx val="12"/>
        <c:txPr>
          <a:bodyPr rot="0" spcFirstLastPara="0" vertOverflow="ellipsis" vert="horz" wrap="square" anchor="ctr" anchorCtr="1"/>
          <a:lstStyle/>
          <a:p>
            <a:pPr>
              <a:defRPr lang="zh-CN" sz="600" b="0" i="0" u="none" strike="noStrike" kern="1200" baseline="0">
                <a:solidFill>
                  <a:srgbClr val="1A1A1A"/>
                </a:solidFill>
                <a:latin typeface="微软雅黑" panose="020B0503020204020204" charset="-122"/>
                <a:ea typeface="+mn-ea"/>
                <a:cs typeface="+mn-cs"/>
              </a:defRPr>
            </a:pPr>
          </a:p>
        </c:txPr>
      </c:legendEntry>
      <c:legendEntry>
        <c:idx val="13"/>
        <c:txPr>
          <a:bodyPr rot="0" spcFirstLastPara="0" vertOverflow="ellipsis" vert="horz" wrap="square" anchor="ctr" anchorCtr="1"/>
          <a:lstStyle/>
          <a:p>
            <a:pPr>
              <a:defRPr lang="zh-CN" sz="600" b="0" i="0" u="none" strike="noStrike" kern="1200" baseline="0">
                <a:solidFill>
                  <a:srgbClr val="1A1A1A"/>
                </a:solidFill>
                <a:latin typeface="微软雅黑" panose="020B0503020204020204" charset="-122"/>
                <a:ea typeface="+mn-ea"/>
                <a:cs typeface="+mn-cs"/>
              </a:defRPr>
            </a:pPr>
          </a:p>
        </c:txPr>
      </c:legendEntry>
      <c:legendEntry>
        <c:idx val="14"/>
        <c:txPr>
          <a:bodyPr rot="0" spcFirstLastPara="0" vertOverflow="ellipsis" vert="horz" wrap="square" anchor="ctr" anchorCtr="1"/>
          <a:lstStyle/>
          <a:p>
            <a:pPr>
              <a:defRPr lang="zh-CN" sz="600" b="0" i="0" u="none" strike="noStrike" kern="1200" baseline="0">
                <a:solidFill>
                  <a:srgbClr val="1A1A1A"/>
                </a:solidFill>
                <a:latin typeface="微软雅黑" panose="020B0503020204020204" charset="-122"/>
                <a:ea typeface="+mn-ea"/>
                <a:cs typeface="+mn-cs"/>
              </a:defRPr>
            </a:pPr>
          </a:p>
        </c:txPr>
      </c:legendEntry>
      <c:legendEntry>
        <c:idx val="15"/>
        <c:txPr>
          <a:bodyPr rot="0" spcFirstLastPara="0" vertOverflow="ellipsis" vert="horz" wrap="square" anchor="ctr" anchorCtr="1"/>
          <a:lstStyle/>
          <a:p>
            <a:pPr>
              <a:defRPr lang="zh-CN" sz="600" b="0" i="0" u="none" strike="noStrike" kern="1200" baseline="0">
                <a:solidFill>
                  <a:srgbClr val="1A1A1A"/>
                </a:solidFill>
                <a:latin typeface="微软雅黑" panose="020B0503020204020204" charset="-122"/>
                <a:ea typeface="+mn-ea"/>
                <a:cs typeface="+mn-cs"/>
              </a:defRPr>
            </a:pPr>
          </a:p>
        </c:txPr>
      </c:legendEntry>
      <c:legendEntry>
        <c:idx val="16"/>
        <c:txPr>
          <a:bodyPr rot="0" spcFirstLastPara="0" vertOverflow="ellipsis" vert="horz" wrap="square" anchor="ctr" anchorCtr="1"/>
          <a:lstStyle/>
          <a:p>
            <a:pPr>
              <a:defRPr lang="zh-CN" sz="600" b="0" i="0" u="none" strike="noStrike" kern="1200" baseline="0">
                <a:solidFill>
                  <a:srgbClr val="1A1A1A"/>
                </a:solidFill>
                <a:latin typeface="微软雅黑" panose="020B0503020204020204" charset="-122"/>
                <a:ea typeface="+mn-ea"/>
                <a:cs typeface="+mn-cs"/>
              </a:defRPr>
            </a:pPr>
          </a:p>
        </c:txPr>
      </c:legendEntry>
      <c:legendEntry>
        <c:idx val="17"/>
        <c:txPr>
          <a:bodyPr rot="0" spcFirstLastPara="0" vertOverflow="ellipsis" vert="horz" wrap="square" anchor="ctr" anchorCtr="1"/>
          <a:lstStyle/>
          <a:p>
            <a:pPr>
              <a:defRPr lang="zh-CN" sz="600" b="0" i="0" u="none" strike="noStrike" kern="1200" baseline="0">
                <a:solidFill>
                  <a:srgbClr val="1A1A1A"/>
                </a:solidFill>
                <a:latin typeface="微软雅黑" panose="020B0503020204020204" charset="-122"/>
                <a:ea typeface="+mn-ea"/>
                <a:cs typeface="+mn-cs"/>
              </a:defRPr>
            </a:pPr>
          </a:p>
        </c:txPr>
      </c:legendEntry>
      <c:legendEntry>
        <c:idx val="18"/>
        <c:txPr>
          <a:bodyPr rot="0" spcFirstLastPara="0" vertOverflow="ellipsis" vert="horz" wrap="square" anchor="ctr" anchorCtr="1"/>
          <a:lstStyle/>
          <a:p>
            <a:pPr>
              <a:defRPr lang="zh-CN" sz="600" b="0" i="0" u="none" strike="noStrike" kern="1200" baseline="0">
                <a:solidFill>
                  <a:srgbClr val="1A1A1A"/>
                </a:solidFill>
                <a:latin typeface="微软雅黑" panose="020B0503020204020204" charset="-122"/>
                <a:ea typeface="+mn-ea"/>
                <a:cs typeface="+mn-cs"/>
              </a:defRPr>
            </a:pPr>
          </a:p>
        </c:txPr>
      </c:legendEntry>
      <c:legendEntry>
        <c:idx val="19"/>
        <c:txPr>
          <a:bodyPr rot="0" spcFirstLastPara="0" vertOverflow="ellipsis" vert="horz" wrap="square" anchor="ctr" anchorCtr="1"/>
          <a:lstStyle/>
          <a:p>
            <a:pPr>
              <a:defRPr lang="zh-CN" sz="600" b="0" i="0" u="none" strike="noStrike" kern="1200" baseline="0">
                <a:solidFill>
                  <a:srgbClr val="1A1A1A"/>
                </a:solidFill>
                <a:latin typeface="微软雅黑" panose="020B0503020204020204" charset="-122"/>
                <a:ea typeface="+mn-ea"/>
                <a:cs typeface="+mn-cs"/>
              </a:defRPr>
            </a:pPr>
          </a:p>
        </c:txPr>
      </c:legendEntry>
      <c:legendEntry>
        <c:idx val="20"/>
        <c:txPr>
          <a:bodyPr rot="0" spcFirstLastPara="0" vertOverflow="ellipsis" vert="horz" wrap="square" anchor="ctr" anchorCtr="1"/>
          <a:lstStyle/>
          <a:p>
            <a:pPr>
              <a:defRPr lang="zh-CN" sz="600" b="0" i="0" u="none" strike="noStrike" kern="1200" baseline="0">
                <a:solidFill>
                  <a:srgbClr val="1A1A1A"/>
                </a:solidFill>
                <a:latin typeface="微软雅黑" panose="020B0503020204020204" charset="-122"/>
                <a:ea typeface="+mn-ea"/>
                <a:cs typeface="+mn-cs"/>
              </a:defRPr>
            </a:pPr>
          </a:p>
        </c:txPr>
      </c:legendEntry>
      <c:legendEntry>
        <c:idx val="21"/>
        <c:txPr>
          <a:bodyPr rot="0" spcFirstLastPara="0" vertOverflow="ellipsis" vert="horz" wrap="square" anchor="ctr" anchorCtr="1"/>
          <a:lstStyle/>
          <a:p>
            <a:pPr>
              <a:defRPr lang="zh-CN" sz="600" b="0" i="0" u="none" strike="noStrike" kern="1200" baseline="0">
                <a:solidFill>
                  <a:srgbClr val="1A1A1A"/>
                </a:solidFill>
                <a:latin typeface="微软雅黑" panose="020B0503020204020204" charset="-122"/>
                <a:ea typeface="+mn-ea"/>
                <a:cs typeface="+mn-cs"/>
              </a:defRPr>
            </a:pPr>
          </a:p>
        </c:txPr>
      </c:legendEntry>
      <c:legendEntry>
        <c:idx val="22"/>
        <c:txPr>
          <a:bodyPr rot="0" spcFirstLastPara="0" vertOverflow="ellipsis" vert="horz" wrap="square" anchor="ctr" anchorCtr="1"/>
          <a:lstStyle/>
          <a:p>
            <a:pPr>
              <a:defRPr lang="zh-CN" sz="600" b="0" i="0" u="none" strike="noStrike" kern="1200" baseline="0">
                <a:solidFill>
                  <a:srgbClr val="1A1A1A"/>
                </a:solidFill>
                <a:latin typeface="微软雅黑" panose="020B0503020204020204" charset="-122"/>
                <a:ea typeface="+mn-ea"/>
                <a:cs typeface="+mn-cs"/>
              </a:defRPr>
            </a:pPr>
          </a:p>
        </c:txPr>
      </c:legendEntry>
      <c:legendEntry>
        <c:idx val="23"/>
        <c:txPr>
          <a:bodyPr rot="0" spcFirstLastPara="0" vertOverflow="ellipsis" vert="horz" wrap="square" anchor="ctr" anchorCtr="1"/>
          <a:lstStyle/>
          <a:p>
            <a:pPr>
              <a:defRPr lang="zh-CN" sz="600" b="0" i="0" u="none" strike="noStrike" kern="1200" baseline="0">
                <a:solidFill>
                  <a:srgbClr val="1A1A1A"/>
                </a:solidFill>
                <a:latin typeface="微软雅黑" panose="020B0503020204020204" charset="-122"/>
                <a:ea typeface="+mn-ea"/>
                <a:cs typeface="+mn-cs"/>
              </a:defRPr>
            </a:pPr>
          </a:p>
        </c:txPr>
      </c:legendEntry>
      <c:legendEntry>
        <c:idx val="24"/>
        <c:txPr>
          <a:bodyPr rot="0" spcFirstLastPara="0" vertOverflow="ellipsis" vert="horz" wrap="square" anchor="ctr" anchorCtr="1"/>
          <a:lstStyle/>
          <a:p>
            <a:pPr>
              <a:defRPr lang="zh-CN" sz="600" b="0" i="0" u="none" strike="noStrike" kern="1200" baseline="0">
                <a:solidFill>
                  <a:srgbClr val="1A1A1A"/>
                </a:solidFill>
                <a:latin typeface="微软雅黑" panose="020B0503020204020204" charset="-122"/>
                <a:ea typeface="+mn-ea"/>
                <a:cs typeface="+mn-cs"/>
              </a:defRPr>
            </a:pPr>
          </a:p>
        </c:txPr>
      </c:legendEntry>
      <c:legendEntry>
        <c:idx val="25"/>
        <c:txPr>
          <a:bodyPr rot="0" spcFirstLastPara="0" vertOverflow="ellipsis" vert="horz" wrap="square" anchor="ctr" anchorCtr="1"/>
          <a:lstStyle/>
          <a:p>
            <a:pPr>
              <a:defRPr lang="zh-CN" sz="600" b="0" i="0" u="none" strike="noStrike" kern="1200" baseline="0">
                <a:solidFill>
                  <a:srgbClr val="1A1A1A"/>
                </a:solidFill>
                <a:latin typeface="微软雅黑" panose="020B0503020204020204" charset="-122"/>
                <a:ea typeface="+mn-ea"/>
                <a:cs typeface="+mn-cs"/>
              </a:defRPr>
            </a:pPr>
          </a:p>
        </c:txPr>
      </c:legendEntry>
      <c:legendEntry>
        <c:idx val="26"/>
        <c:txPr>
          <a:bodyPr rot="0" spcFirstLastPara="0" vertOverflow="ellipsis" vert="horz" wrap="square" anchor="ctr" anchorCtr="1"/>
          <a:lstStyle/>
          <a:p>
            <a:pPr>
              <a:defRPr lang="zh-CN" sz="600" b="0" i="0" u="none" strike="noStrike" kern="1200" baseline="0">
                <a:solidFill>
                  <a:srgbClr val="1A1A1A"/>
                </a:solidFill>
                <a:latin typeface="微软雅黑" panose="020B0503020204020204" charset="-122"/>
                <a:ea typeface="+mn-ea"/>
                <a:cs typeface="+mn-cs"/>
              </a:defRPr>
            </a:pPr>
          </a:p>
        </c:txPr>
      </c:legendEntry>
      <c:legendEntry>
        <c:idx val="27"/>
        <c:txPr>
          <a:bodyPr rot="0" spcFirstLastPara="0" vertOverflow="ellipsis" vert="horz" wrap="square" anchor="ctr" anchorCtr="1"/>
          <a:lstStyle/>
          <a:p>
            <a:pPr>
              <a:defRPr lang="zh-CN" sz="600" b="0" i="0" u="none" strike="noStrike" kern="1200" baseline="0">
                <a:solidFill>
                  <a:srgbClr val="1A1A1A"/>
                </a:solidFill>
                <a:latin typeface="微软雅黑" panose="020B0503020204020204" charset="-122"/>
                <a:ea typeface="+mn-ea"/>
                <a:cs typeface="+mn-cs"/>
              </a:defRPr>
            </a:pPr>
          </a:p>
        </c:txPr>
      </c:legendEntry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600" b="0" i="0" u="none" strike="noStrike" kern="1200" baseline="0">
              <a:solidFill>
                <a:srgbClr val="1A1A1A"/>
              </a:solidFill>
              <a:latin typeface="微软雅黑" panose="020B0503020204020204" charset="-122"/>
              <a:ea typeface="+mn-ea"/>
              <a:cs typeface="+mn-cs"/>
            </a:defRPr>
          </a:pPr>
        </a:p>
      </c:txPr>
    </c:legend>
    <c:plotVisOnly val="1"/>
    <c:dispBlanksAs val="zero"/>
    <c:showDLblsOverMax val="1"/>
    <c:extLst>
      <c:ext uri="{0b15fc19-7d7d-44ad-8c2d-2c3a37ce22c3}">
        <chartProps xmlns="https://web.wps.cn/et/2018/main" chartId="{131bdde3-9526-4f46-8cd1-c070a4cf29e0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"可研 核增 每月核增"</c:f>
              <c:strCache>
                <c:ptCount val="1"/>
                <c:pt idx="0">
                  <c:v>可研 核增 每月核增</c:v>
                </c:pt>
              </c:strCache>
            </c:strRef>
          </c:tx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invertIfNegative val="1"/>
          <c:dLbls>
            <c:delete val="1"/>
          </c:dLbls>
          <c:cat>
            <c:strRef>
              <c:f>分析!$D$142:$O$142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分析!$D$171:$O$171</c:f>
              <c:numCache>
                <c:formatCode>0.00_ </c:formatCode>
                <c:ptCount val="12"/>
                <c:pt idx="0">
                  <c:v>0</c:v>
                </c:pt>
                <c:pt idx="1">
                  <c:v>0.0100419999999999</c:v>
                </c:pt>
                <c:pt idx="2" c:formatCode="0.000_ ">
                  <c:v>0.00223299999999999</c:v>
                </c:pt>
                <c:pt idx="3">
                  <c:v>0.0773030000000001</c:v>
                </c:pt>
                <c:pt idx="4">
                  <c:v>0.055888</c:v>
                </c:pt>
                <c:pt idx="5">
                  <c:v>0.009491</c:v>
                </c:pt>
                <c:pt idx="6">
                  <c:v>0.016223</c:v>
                </c:pt>
                <c:pt idx="7">
                  <c:v>0.00027800000000002</c:v>
                </c:pt>
                <c:pt idx="8">
                  <c:v>0.0616679999999998</c:v>
                </c:pt>
                <c:pt idx="9">
                  <c:v>0.000227999999999975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ser>
          <c:idx val="1"/>
          <c:order val="1"/>
          <c:tx>
            <c:strRef>
              <c:f>"可研 核增 累计核增"</c:f>
              <c:strCache>
                <c:ptCount val="1"/>
                <c:pt idx="0">
                  <c:v>可研 核增 累计核增</c:v>
                </c:pt>
              </c:strCache>
            </c:strRef>
          </c:tx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invertIfNegative val="1"/>
          <c:dLbls>
            <c:delete val="1"/>
          </c:dLbls>
          <c:cat>
            <c:strRef>
              <c:f>分析!$D$142:$O$142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分析!$D$173:$O$173</c:f>
              <c:numCache>
                <c:formatCode>0.00_ </c:formatCode>
                <c:ptCount val="12"/>
                <c:pt idx="0">
                  <c:v>0</c:v>
                </c:pt>
                <c:pt idx="1">
                  <c:v>0.0100419999999999</c:v>
                </c:pt>
                <c:pt idx="2">
                  <c:v>0.0122749999999999</c:v>
                </c:pt>
                <c:pt idx="3">
                  <c:v>0.089578</c:v>
                </c:pt>
                <c:pt idx="4">
                  <c:v>0.145466</c:v>
                </c:pt>
                <c:pt idx="5">
                  <c:v>0.154957</c:v>
                </c:pt>
                <c:pt idx="6">
                  <c:v>0.17118</c:v>
                </c:pt>
                <c:pt idx="7">
                  <c:v>0.171458</c:v>
                </c:pt>
                <c:pt idx="8">
                  <c:v>0.233126</c:v>
                </c:pt>
                <c:pt idx="9">
                  <c:v>0.233354</c:v>
                </c:pt>
                <c:pt idx="10">
                  <c:v>0.233354</c:v>
                </c:pt>
                <c:pt idx="11">
                  <c:v>0.233354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ser>
          <c:idx val="2"/>
          <c:order val="2"/>
          <c:tx>
            <c:strRef>
              <c:f>"可研调整 核增 每月核增"</c:f>
              <c:strCache>
                <c:ptCount val="1"/>
                <c:pt idx="0">
                  <c:v>可研调整 核增 每月核增</c:v>
                </c:pt>
              </c:strCache>
            </c:strRef>
          </c:tx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invertIfNegative val="1"/>
          <c:dLbls>
            <c:delete val="1"/>
          </c:dLbls>
          <c:cat>
            <c:strRef>
              <c:f>分析!$D$142:$O$142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分析!$D$175:$O$175</c:f>
              <c:numCache>
                <c:formatCode>0.00_ </c:formatCode>
                <c:ptCount val="12"/>
                <c:pt idx="0">
                  <c:v>0</c:v>
                </c:pt>
                <c:pt idx="1">
                  <c:v>0.144451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0.017071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ser>
          <c:idx val="3"/>
          <c:order val="3"/>
          <c:tx>
            <c:strRef>
              <c:f>"可研调整 核增 累计核增"</c:f>
              <c:strCache>
                <c:ptCount val="1"/>
                <c:pt idx="0">
                  <c:v>可研调整 核增 累计核增</c:v>
                </c:pt>
              </c:strCache>
            </c:strRef>
          </c:tx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invertIfNegative val="1"/>
          <c:dLbls>
            <c:delete val="1"/>
          </c:dLbls>
          <c:cat>
            <c:strRef>
              <c:f>分析!$D$142:$O$142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分析!$D$177:$O$177</c:f>
              <c:numCache>
                <c:formatCode>0.00_ </c:formatCode>
                <c:ptCount val="12"/>
                <c:pt idx="0">
                  <c:v>0</c:v>
                </c:pt>
                <c:pt idx="1">
                  <c:v>0.144451</c:v>
                </c:pt>
                <c:pt idx="2">
                  <c:v>0.144451</c:v>
                </c:pt>
                <c:pt idx="3">
                  <c:v>0.144451</c:v>
                </c:pt>
                <c:pt idx="4">
                  <c:v>0.144451</c:v>
                </c:pt>
                <c:pt idx="5">
                  <c:v>0.144451</c:v>
                </c:pt>
                <c:pt idx="6">
                  <c:v>0.144451</c:v>
                </c:pt>
                <c:pt idx="7">
                  <c:v>0.144451</c:v>
                </c:pt>
                <c:pt idx="8">
                  <c:v>0.161522</c:v>
                </c:pt>
                <c:pt idx="9">
                  <c:v>0.161522</c:v>
                </c:pt>
                <c:pt idx="10">
                  <c:v>0.161522</c:v>
                </c:pt>
                <c:pt idx="11">
                  <c:v>0.161522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ser>
          <c:idx val="4"/>
          <c:order val="4"/>
          <c:tx>
            <c:strRef>
              <c:f>"初设 核增 每月核增"</c:f>
              <c:strCache>
                <c:ptCount val="1"/>
                <c:pt idx="0">
                  <c:v>初设 核增 每月核增</c:v>
                </c:pt>
              </c:strCache>
            </c:strRef>
          </c:tx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dLbls>
            <c:delete val="1"/>
          </c:dLbls>
          <c:cat>
            <c:strRef>
              <c:f>分析!$D$142:$O$142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分析!$D$179:$O$179</c:f>
              <c:numCache>
                <c:formatCode>0.00_ </c:formatCode>
                <c:ptCount val="12"/>
                <c:pt idx="0">
                  <c:v>0.0224000000000001</c:v>
                </c:pt>
                <c:pt idx="1">
                  <c:v>0</c:v>
                </c:pt>
                <c:pt idx="2">
                  <c:v>0.0274939999999999</c:v>
                </c:pt>
                <c:pt idx="3">
                  <c:v>0.323753</c:v>
                </c:pt>
                <c:pt idx="4">
                  <c:v>0</c:v>
                </c:pt>
                <c:pt idx="5">
                  <c:v>0</c:v>
                </c:pt>
                <c:pt idx="6">
                  <c:v>0.033444</c:v>
                </c:pt>
                <c:pt idx="7">
                  <c:v>0.000640999999999985</c:v>
                </c:pt>
                <c:pt idx="8">
                  <c:v>0</c:v>
                </c:pt>
                <c:pt idx="9">
                  <c:v>0.00536599999999999</c:v>
                </c:pt>
                <c:pt idx="10">
                  <c:v>0.000198000000000002</c:v>
                </c:pt>
                <c:pt idx="11">
                  <c:v>0.00455599999999995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ser>
          <c:idx val="5"/>
          <c:order val="5"/>
          <c:tx>
            <c:strRef>
              <c:f>"初设 核增 累计核增"</c:f>
              <c:strCache>
                <c:ptCount val="1"/>
                <c:pt idx="0">
                  <c:v>初设 核增 累计核增</c:v>
                </c:pt>
              </c:strCache>
            </c:strRef>
          </c:tx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dLbls>
            <c:delete val="1"/>
          </c:dLbls>
          <c:cat>
            <c:strRef>
              <c:f>分析!$D$142:$O$142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分析!$D$181:$O$181</c:f>
              <c:numCache>
                <c:formatCode>0.00_ </c:formatCode>
                <c:ptCount val="12"/>
                <c:pt idx="0">
                  <c:v>0.0224000000000001</c:v>
                </c:pt>
                <c:pt idx="1">
                  <c:v>0.0224000000000001</c:v>
                </c:pt>
                <c:pt idx="2">
                  <c:v>0.049894</c:v>
                </c:pt>
                <c:pt idx="3">
                  <c:v>0.373647</c:v>
                </c:pt>
                <c:pt idx="4">
                  <c:v>0.373647</c:v>
                </c:pt>
                <c:pt idx="5">
                  <c:v>0.373647</c:v>
                </c:pt>
                <c:pt idx="6">
                  <c:v>0.407091</c:v>
                </c:pt>
                <c:pt idx="7">
                  <c:v>0.407732</c:v>
                </c:pt>
                <c:pt idx="8">
                  <c:v>0.407732</c:v>
                </c:pt>
                <c:pt idx="9">
                  <c:v>0.413098</c:v>
                </c:pt>
                <c:pt idx="10">
                  <c:v>0.413296</c:v>
                </c:pt>
                <c:pt idx="11">
                  <c:v>0.417852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ser>
          <c:idx val="6"/>
          <c:order val="6"/>
          <c:tx>
            <c:strRef>
              <c:f>"初设调整 核增 每月核增"</c:f>
              <c:strCache>
                <c:ptCount val="1"/>
                <c:pt idx="0">
                  <c:v>初设调整 核增 每月核增</c:v>
                </c:pt>
              </c:strCache>
            </c:strRef>
          </c:tx>
          <c:spPr>
            <a:solidFill>
              <a:srgbClr val="5B9BD5"/>
            </a:solidFill>
            <a:ln cmpd="sng">
              <a:solidFill>
                <a:srgbClr val="000000"/>
              </a:solidFill>
            </a:ln>
          </c:spPr>
          <c:invertIfNegative val="1"/>
          <c:dLbls>
            <c:delete val="1"/>
          </c:dLbls>
          <c:cat>
            <c:strRef>
              <c:f>分析!$D$142:$O$142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分析!$D$183:$O$183</c:f>
              <c:numCache>
                <c:formatCode>0.00_ </c:formatCode>
                <c:ptCount val="12"/>
                <c:pt idx="0">
                  <c:v>0.0150929999999993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0.000219000000000233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0.010577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ser>
          <c:idx val="7"/>
          <c:order val="7"/>
          <c:tx>
            <c:strRef>
              <c:f>"初设调整 核增 累计核增"</c:f>
              <c:strCache>
                <c:ptCount val="1"/>
                <c:pt idx="0">
                  <c:v>初设调整 核增 累计核增</c:v>
                </c:pt>
              </c:strCache>
            </c:strRef>
          </c:tx>
          <c:spPr>
            <a:solidFill>
              <a:srgbClr val="5B9BD5"/>
            </a:solidFill>
            <a:ln cmpd="sng">
              <a:solidFill>
                <a:srgbClr val="000000"/>
              </a:solidFill>
            </a:ln>
          </c:spPr>
          <c:invertIfNegative val="1"/>
          <c:dLbls>
            <c:delete val="1"/>
          </c:dLbls>
          <c:cat>
            <c:strRef>
              <c:f>分析!$D$142:$O$142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分析!$D$185:$O$185</c:f>
              <c:numCache>
                <c:formatCode>0.00_ </c:formatCode>
                <c:ptCount val="12"/>
                <c:pt idx="0">
                  <c:v>0.0150929999999993</c:v>
                </c:pt>
                <c:pt idx="1">
                  <c:v>0.0150929999999993</c:v>
                </c:pt>
                <c:pt idx="2">
                  <c:v>0.0150929999999993</c:v>
                </c:pt>
                <c:pt idx="3">
                  <c:v>0.0150929999999993</c:v>
                </c:pt>
                <c:pt idx="4">
                  <c:v>0.0150929999999993</c:v>
                </c:pt>
                <c:pt idx="5">
                  <c:v>0.0153119999999995</c:v>
                </c:pt>
                <c:pt idx="6">
                  <c:v>0.0153119999999995</c:v>
                </c:pt>
                <c:pt idx="7">
                  <c:v>0.0153119999999995</c:v>
                </c:pt>
                <c:pt idx="8">
                  <c:v>0.0153119999999995</c:v>
                </c:pt>
                <c:pt idx="9">
                  <c:v>0.0153119999999995</c:v>
                </c:pt>
                <c:pt idx="10">
                  <c:v>0.0258889999999995</c:v>
                </c:pt>
                <c:pt idx="11">
                  <c:v>0.0258889999999995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ser>
          <c:idx val="8"/>
          <c:order val="8"/>
          <c:tx>
            <c:strRef>
              <c:f>"施工图及预算 核增 每月核增"</c:f>
              <c:strCache>
                <c:ptCount val="1"/>
                <c:pt idx="0">
                  <c:v>施工图及预算 核增 每月核增</c:v>
                </c:pt>
              </c:strCache>
            </c:strRef>
          </c:tx>
          <c:spPr>
            <a:solidFill>
              <a:srgbClr val="00B050">
                <a:alpha val="49804"/>
              </a:srgbClr>
            </a:solidFill>
            <a:ln cmpd="sng">
              <a:solidFill>
                <a:srgbClr val="000000"/>
              </a:solidFill>
            </a:ln>
          </c:spPr>
          <c:invertIfNegative val="1"/>
          <c:dLbls>
            <c:delete val="1"/>
          </c:dLbls>
          <c:cat>
            <c:strRef>
              <c:f>分析!$D$142:$O$142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分析!$D$187:$O$187</c:f>
              <c:numCache>
                <c:formatCode>0.00_ </c:formatCode>
                <c:ptCount val="12"/>
                <c:pt idx="0">
                  <c:v>0.0004</c:v>
                </c:pt>
                <c:pt idx="1">
                  <c:v>0.033737</c:v>
                </c:pt>
                <c:pt idx="2">
                  <c:v>0.0146529999999999</c:v>
                </c:pt>
                <c:pt idx="3">
                  <c:v>0.0150879999999997</c:v>
                </c:pt>
                <c:pt idx="4">
                  <c:v>0.02881</c:v>
                </c:pt>
                <c:pt idx="5">
                  <c:v>0.128292999999999</c:v>
                </c:pt>
                <c:pt idx="6">
                  <c:v>0.01792</c:v>
                </c:pt>
                <c:pt idx="7">
                  <c:v>0.0103080000000001</c:v>
                </c:pt>
                <c:pt idx="8">
                  <c:v>0.104057</c:v>
                </c:pt>
                <c:pt idx="9">
                  <c:v>0.037835</c:v>
                </c:pt>
                <c:pt idx="10">
                  <c:v>0</c:v>
                </c:pt>
                <c:pt idx="11">
                  <c:v>0.077664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ser>
          <c:idx val="9"/>
          <c:order val="9"/>
          <c:tx>
            <c:strRef>
              <c:f>"施工图及预算 核增 累计核增"</c:f>
              <c:strCache>
                <c:ptCount val="1"/>
                <c:pt idx="0">
                  <c:v>施工图及预算 核增 累计核增</c:v>
                </c:pt>
              </c:strCache>
            </c:strRef>
          </c:tx>
          <c:spPr>
            <a:solidFill>
              <a:srgbClr val="00B050"/>
            </a:solidFill>
            <a:ln cmpd="sng">
              <a:solidFill>
                <a:srgbClr val="000000"/>
              </a:solidFill>
            </a:ln>
          </c:spPr>
          <c:invertIfNegative val="1"/>
          <c:dLbls>
            <c:delete val="1"/>
          </c:dLbls>
          <c:cat>
            <c:strRef>
              <c:f>分析!$D$142:$O$142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分析!$D$189:$O$189</c:f>
              <c:numCache>
                <c:formatCode>0.00_ </c:formatCode>
                <c:ptCount val="12"/>
                <c:pt idx="0">
                  <c:v>0.0004</c:v>
                </c:pt>
                <c:pt idx="1">
                  <c:v>0.034137</c:v>
                </c:pt>
                <c:pt idx="2">
                  <c:v>0.0487899999999999</c:v>
                </c:pt>
                <c:pt idx="3">
                  <c:v>0.0638779999999996</c:v>
                </c:pt>
                <c:pt idx="4">
                  <c:v>0.0926879999999996</c:v>
                </c:pt>
                <c:pt idx="5">
                  <c:v>0.220980999999999</c:v>
                </c:pt>
                <c:pt idx="6">
                  <c:v>0.238900999999999</c:v>
                </c:pt>
                <c:pt idx="7">
                  <c:v>0.249208999999999</c:v>
                </c:pt>
                <c:pt idx="8">
                  <c:v>0.353265999999999</c:v>
                </c:pt>
                <c:pt idx="9">
                  <c:v>0.391100999999999</c:v>
                </c:pt>
                <c:pt idx="10">
                  <c:v>0.391100999999999</c:v>
                </c:pt>
                <c:pt idx="11">
                  <c:v>0.468764999999999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ser>
          <c:idx val="10"/>
          <c:order val="10"/>
          <c:tx>
            <c:strRef>
              <c:f>"施工图预算调整 核增 每月核增"</c:f>
              <c:strCache>
                <c:ptCount val="1"/>
                <c:pt idx="0">
                  <c:v>施工图预算调整 核增 每月核增</c:v>
                </c:pt>
              </c:strCache>
            </c:strRef>
          </c:tx>
          <c:spPr>
            <a:solidFill>
              <a:srgbClr val="70AD47"/>
            </a:solidFill>
            <a:ln cmpd="sng">
              <a:solidFill>
                <a:srgbClr val="000000"/>
              </a:solidFill>
            </a:ln>
          </c:spPr>
          <c:invertIfNegative val="1"/>
          <c:dLbls>
            <c:delete val="1"/>
          </c:dLbls>
          <c:cat>
            <c:strRef>
              <c:f>分析!$D$142:$O$142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分析!$D$191:$O$191</c:f>
              <c:numCache>
                <c:formatCode>0.00_ 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ser>
          <c:idx val="11"/>
          <c:order val="11"/>
          <c:tx>
            <c:strRef>
              <c:f>"施工图预算调整 核增 累计核增"</c:f>
              <c:strCache>
                <c:ptCount val="1"/>
                <c:pt idx="0">
                  <c:v>施工图预算调整 核增 累计核增</c:v>
                </c:pt>
              </c:strCache>
            </c:strRef>
          </c:tx>
          <c:spPr>
            <a:solidFill>
              <a:srgbClr val="70AD47"/>
            </a:solidFill>
            <a:ln cmpd="sng">
              <a:solidFill>
                <a:srgbClr val="000000"/>
              </a:solidFill>
            </a:ln>
          </c:spPr>
          <c:invertIfNegative val="1"/>
          <c:dLbls>
            <c:delete val="1"/>
          </c:dLbls>
          <c:cat>
            <c:strRef>
              <c:f>分析!$D$142:$O$142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分析!$D$193:$O$193</c:f>
              <c:numCache>
                <c:formatCode>0.00_ 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ser>
          <c:idx val="12"/>
          <c:order val="12"/>
          <c:tx>
            <c:strRef>
              <c:f>"重大设计变更 核增 每月核增"</c:f>
              <c:strCache>
                <c:ptCount val="1"/>
                <c:pt idx="0">
                  <c:v>重大设计变更 核增 每月核增</c:v>
                </c:pt>
              </c:strCache>
            </c:strRef>
          </c:tx>
          <c:spPr>
            <a:solidFill>
              <a:srgbClr val="FF0000">
                <a:alpha val="49804"/>
              </a:srgbClr>
            </a:solidFill>
            <a:ln cmpd="sng">
              <a:solidFill>
                <a:srgbClr val="000000"/>
              </a:solidFill>
            </a:ln>
          </c:spPr>
          <c:invertIfNegative val="1"/>
          <c:dLbls>
            <c:delete val="1"/>
          </c:dLbls>
          <c:cat>
            <c:strRef>
              <c:f>分析!$D$142:$O$142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分析!$D$195:$O$195</c:f>
              <c:numCache>
                <c:formatCode>0.00_ 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0.181329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ser>
          <c:idx val="13"/>
          <c:order val="13"/>
          <c:tx>
            <c:strRef>
              <c:f>"重大设计变更 核增 累计核增"</c:f>
              <c:strCache>
                <c:ptCount val="1"/>
                <c:pt idx="0">
                  <c:v>重大设计变更 核增 累计核增</c:v>
                </c:pt>
              </c:strCache>
            </c:strRef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invertIfNegative val="1"/>
          <c:dLbls>
            <c:delete val="1"/>
          </c:dLbls>
          <c:cat>
            <c:strRef>
              <c:f>分析!$D$142:$O$142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分析!$D$197:$O$197</c:f>
              <c:numCache>
                <c:formatCode>0.00_ 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0.181329</c:v>
                </c:pt>
                <c:pt idx="11">
                  <c:v>0.181329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2543014"/>
        <c:axId val="647165497"/>
      </c:barChart>
      <c:lineChart>
        <c:grouping val="standard"/>
        <c:varyColors val="1"/>
        <c:ser>
          <c:idx val="14"/>
          <c:order val="14"/>
          <c:tx>
            <c:strRef>
              <c:f>"可研 核增 每月核增率"</c:f>
              <c:strCache>
                <c:ptCount val="1"/>
                <c:pt idx="0">
                  <c:v>可研 核增 每月核增率</c:v>
                </c:pt>
              </c:strCache>
            </c:strRef>
          </c:tx>
          <c:spPr>
            <a:ln w="19050" cap="rnd" cmpd="sng" algn="ctr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分析!$D$142:$O$142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分析!$D$172:$O$172</c:f>
              <c:numCache>
                <c:formatCode>0.00%</c:formatCode>
                <c:ptCount val="12"/>
                <c:pt idx="0">
                  <c:v>0</c:v>
                </c:pt>
                <c:pt idx="1">
                  <c:v>0.0128196781165463</c:v>
                </c:pt>
                <c:pt idx="2">
                  <c:v>0.0111655024476101</c:v>
                </c:pt>
                <c:pt idx="3">
                  <c:v>0.0711386247495751</c:v>
                </c:pt>
                <c:pt idx="4">
                  <c:v>0.0216489254559259</c:v>
                </c:pt>
                <c:pt idx="5">
                  <c:v>0.35893654035247</c:v>
                </c:pt>
                <c:pt idx="6">
                  <c:v>0.0972543612493256</c:v>
                </c:pt>
                <c:pt idx="7">
                  <c:v>0.000890266631653846</c:v>
                </c:pt>
                <c:pt idx="8">
                  <c:v>0.0263646286109318</c:v>
                </c:pt>
                <c:pt idx="9">
                  <c:v>0.00111210289878388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</c:ser>
        <c:ser>
          <c:idx val="15"/>
          <c:order val="15"/>
          <c:tx>
            <c:strRef>
              <c:f>"可研 核增 累计核增率"</c:f>
              <c:strCache>
                <c:ptCount val="1"/>
                <c:pt idx="0">
                  <c:v>可研 核增 累计核增率</c:v>
                </c:pt>
              </c:strCache>
            </c:strRef>
          </c:tx>
          <c:spPr>
            <a:ln w="28575" cap="rnd" cmpd="sng" algn="ctr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分析!$D$142:$O$142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分析!$D$174:$O$174</c:f>
              <c:numCache>
                <c:formatCode>0.00%</c:formatCode>
                <c:ptCount val="12"/>
                <c:pt idx="0">
                  <c:v>0</c:v>
                </c:pt>
                <c:pt idx="1">
                  <c:v>0.0128196781165463</c:v>
                </c:pt>
                <c:pt idx="2">
                  <c:v>0.0124832455014552</c:v>
                </c:pt>
                <c:pt idx="3">
                  <c:v>0.0432750024034153</c:v>
                </c:pt>
                <c:pt idx="4">
                  <c:v>0.0312727142955728</c:v>
                </c:pt>
                <c:pt idx="5">
                  <c:v>0.0331248170949255</c:v>
                </c:pt>
                <c:pt idx="6">
                  <c:v>0.0353328518532202</c:v>
                </c:pt>
                <c:pt idx="7">
                  <c:v>0.0332473086837065</c:v>
                </c:pt>
                <c:pt idx="8">
                  <c:v>0.0310996716689176</c:v>
                </c:pt>
                <c:pt idx="9">
                  <c:v>0.0303013501042512</c:v>
                </c:pt>
                <c:pt idx="10">
                  <c:v>0.0303013501042512</c:v>
                </c:pt>
                <c:pt idx="11">
                  <c:v>0.0303013501042512</c:v>
                </c:pt>
              </c:numCache>
            </c:numRef>
          </c:val>
          <c:smooth val="0"/>
        </c:ser>
        <c:ser>
          <c:idx val="16"/>
          <c:order val="16"/>
          <c:tx>
            <c:strRef>
              <c:f>"可研调整 核增 每月核增率"</c:f>
              <c:strCache>
                <c:ptCount val="1"/>
                <c:pt idx="0">
                  <c:v>可研调整 核增 每月核增率</c:v>
                </c:pt>
              </c:strCache>
            </c:strRef>
          </c:tx>
          <c:spPr>
            <a:ln w="19050" cap="rnd" cmpd="sng" algn="ctr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分析!$D$142:$O$142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分析!$D$176:$O$176</c:f>
              <c:numCache>
                <c:formatCode>0.00%</c:formatCode>
                <c:ptCount val="12"/>
                <c:pt idx="0">
                  <c:v>0</c:v>
                </c:pt>
                <c:pt idx="1">
                  <c:v>0.0936382806458242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0.141448540439318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</c:ser>
        <c:ser>
          <c:idx val="17"/>
          <c:order val="17"/>
          <c:tx>
            <c:strRef>
              <c:f>"可研调整 核增 累计核增率"</c:f>
              <c:strCache>
                <c:ptCount val="1"/>
                <c:pt idx="0">
                  <c:v>可研调整 核增 累计核增率</c:v>
                </c:pt>
              </c:strCache>
            </c:strRef>
          </c:tx>
          <c:spPr>
            <a:ln w="28575" cap="rnd" cmpd="sng" algn="ctr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分析!$D$142:$O$142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分析!$D$178:$O$178</c:f>
              <c:numCache>
                <c:formatCode>0.00%</c:formatCode>
                <c:ptCount val="12"/>
                <c:pt idx="0">
                  <c:v>0</c:v>
                </c:pt>
                <c:pt idx="1">
                  <c:v>0.0936382806458242</c:v>
                </c:pt>
                <c:pt idx="2">
                  <c:v>0.0936382806458242</c:v>
                </c:pt>
                <c:pt idx="3">
                  <c:v>0.0936382806458242</c:v>
                </c:pt>
                <c:pt idx="4">
                  <c:v>0.0936382806458242</c:v>
                </c:pt>
                <c:pt idx="5">
                  <c:v>0.0936382806458242</c:v>
                </c:pt>
                <c:pt idx="6">
                  <c:v>0.0936382806458242</c:v>
                </c:pt>
                <c:pt idx="7">
                  <c:v>0.0936382806458242</c:v>
                </c:pt>
                <c:pt idx="8">
                  <c:v>0.0971072591466787</c:v>
                </c:pt>
                <c:pt idx="9">
                  <c:v>0.0971072591466787</c:v>
                </c:pt>
                <c:pt idx="10">
                  <c:v>0.0971072591466787</c:v>
                </c:pt>
                <c:pt idx="11">
                  <c:v>0.0971072591466787</c:v>
                </c:pt>
              </c:numCache>
            </c:numRef>
          </c:val>
          <c:smooth val="0"/>
        </c:ser>
        <c:ser>
          <c:idx val="18"/>
          <c:order val="18"/>
          <c:tx>
            <c:strRef>
              <c:f>"初设 核增 每月核增率"</c:f>
              <c:strCache>
                <c:ptCount val="1"/>
                <c:pt idx="0">
                  <c:v>初设 核增 每月核增率</c:v>
                </c:pt>
              </c:strCache>
            </c:strRef>
          </c:tx>
          <c:spPr>
            <a:ln w="19050" cap="rnd" cmpd="sng" algn="ctr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分析!$D$142:$O$142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分析!$D$180:$O$180</c:f>
              <c:numCache>
                <c:formatCode>0.00%</c:formatCode>
                <c:ptCount val="12"/>
                <c:pt idx="0">
                  <c:v>0.0153228818510042</c:v>
                </c:pt>
                <c:pt idx="1">
                  <c:v>0</c:v>
                </c:pt>
                <c:pt idx="2">
                  <c:v>0.0317701327934697</c:v>
                </c:pt>
                <c:pt idx="3">
                  <c:v>0.0215136498274771</c:v>
                </c:pt>
                <c:pt idx="4">
                  <c:v>0</c:v>
                </c:pt>
                <c:pt idx="5">
                  <c:v>0</c:v>
                </c:pt>
                <c:pt idx="6">
                  <c:v>0.0279066041624597</c:v>
                </c:pt>
                <c:pt idx="7">
                  <c:v>0</c:v>
                </c:pt>
                <c:pt idx="8">
                  <c:v>0</c:v>
                </c:pt>
                <c:pt idx="9">
                  <c:v>0.00607014947997619</c:v>
                </c:pt>
                <c:pt idx="10">
                  <c:v>0.000760754299414457</c:v>
                </c:pt>
                <c:pt idx="11">
                  <c:v>0</c:v>
                </c:pt>
              </c:numCache>
            </c:numRef>
          </c:val>
          <c:smooth val="0"/>
        </c:ser>
        <c:ser>
          <c:idx val="19"/>
          <c:order val="19"/>
          <c:tx>
            <c:strRef>
              <c:f>"初设 核增 累计核增率"</c:f>
              <c:strCache>
                <c:ptCount val="1"/>
                <c:pt idx="0">
                  <c:v>初设 核增 累计核增率</c:v>
                </c:pt>
              </c:strCache>
            </c:strRef>
          </c:tx>
          <c:spPr>
            <a:ln w="28575" cap="rnd" cmpd="sng" algn="ctr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分析!$D$142:$O$142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分析!$D$182:$O$182</c:f>
              <c:numCache>
                <c:formatCode>0.00%</c:formatCode>
                <c:ptCount val="12"/>
                <c:pt idx="0">
                  <c:v>0.0153228818510042</c:v>
                </c:pt>
                <c:pt idx="1">
                  <c:v>0.0153228818510042</c:v>
                </c:pt>
                <c:pt idx="2">
                  <c:v>0.0214388532486561</c:v>
                </c:pt>
                <c:pt idx="3">
                  <c:v>0.0215036318783471</c:v>
                </c:pt>
                <c:pt idx="4">
                  <c:v>0.0215036318783471</c:v>
                </c:pt>
                <c:pt idx="5">
                  <c:v>0.0215036318783471</c:v>
                </c:pt>
                <c:pt idx="6">
                  <c:v>0.0219167531520902</c:v>
                </c:pt>
                <c:pt idx="7">
                  <c:v>0.0207885147499175</c:v>
                </c:pt>
                <c:pt idx="8">
                  <c:v>0.0207885147499175</c:v>
                </c:pt>
                <c:pt idx="9">
                  <c:v>0.020153748820334</c:v>
                </c:pt>
                <c:pt idx="10">
                  <c:v>0.0199105908025187</c:v>
                </c:pt>
                <c:pt idx="11">
                  <c:v>0.0190896145410222</c:v>
                </c:pt>
              </c:numCache>
            </c:numRef>
          </c:val>
          <c:smooth val="0"/>
        </c:ser>
        <c:ser>
          <c:idx val="20"/>
          <c:order val="20"/>
          <c:tx>
            <c:strRef>
              <c:f>"初设调整 核增 每月核增率"</c:f>
              <c:strCache>
                <c:ptCount val="1"/>
                <c:pt idx="0">
                  <c:v>初设调整 核增 每月核增率</c:v>
                </c:pt>
              </c:strCache>
            </c:strRef>
          </c:tx>
          <c:spPr>
            <a:ln w="19050" cap="rnd" cmpd="sng" algn="ctr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分析!$D$142:$O$142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分析!$D$184:$O$184</c:f>
              <c:numCache>
                <c:formatCode>0.00%</c:formatCode>
                <c:ptCount val="12"/>
                <c:pt idx="0">
                  <c:v>0.00201259562429459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</c:ser>
        <c:ser>
          <c:idx val="21"/>
          <c:order val="21"/>
          <c:tx>
            <c:strRef>
              <c:f>"初设调整 核增 累计核增率"</c:f>
              <c:strCache>
                <c:ptCount val="1"/>
                <c:pt idx="0">
                  <c:v>初设调整 核增 累计核增率</c:v>
                </c:pt>
              </c:strCache>
            </c:strRef>
          </c:tx>
          <c:spPr>
            <a:ln w="28575" cap="rnd" cmpd="sng" algn="ctr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分析!$D$142:$O$142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分析!$D$186:$O$186</c:f>
              <c:numCache>
                <c:formatCode>0.00%</c:formatCode>
                <c:ptCount val="12"/>
                <c:pt idx="0">
                  <c:v>0.00201259562429459</c:v>
                </c:pt>
                <c:pt idx="1">
                  <c:v>0.00201259562429459</c:v>
                </c:pt>
                <c:pt idx="2">
                  <c:v>0.00201259562429459</c:v>
                </c:pt>
                <c:pt idx="3">
                  <c:v>0.00201259562429459</c:v>
                </c:pt>
                <c:pt idx="4">
                  <c:v>0.00201259562429459</c:v>
                </c:pt>
                <c:pt idx="5">
                  <c:v>0.00166792607139899</c:v>
                </c:pt>
                <c:pt idx="6">
                  <c:v>0.00166792607139899</c:v>
                </c:pt>
                <c:pt idx="7">
                  <c:v>0.00166792607139899</c:v>
                </c:pt>
                <c:pt idx="8">
                  <c:v>0.00166792607139899</c:v>
                </c:pt>
                <c:pt idx="9">
                  <c:v>0.00166792607139899</c:v>
                </c:pt>
                <c:pt idx="10">
                  <c:v>0.00278179823501027</c:v>
                </c:pt>
                <c:pt idx="11">
                  <c:v>0.00278179823501027</c:v>
                </c:pt>
              </c:numCache>
            </c:numRef>
          </c:val>
          <c:smooth val="0"/>
        </c:ser>
        <c:ser>
          <c:idx val="22"/>
          <c:order val="22"/>
          <c:tx>
            <c:strRef>
              <c:f>"施工图及预算 核增 每月核增率"</c:f>
              <c:strCache>
                <c:ptCount val="1"/>
                <c:pt idx="0">
                  <c:v>施工图及预算 核增 每月核增率</c:v>
                </c:pt>
              </c:strCache>
            </c:strRef>
          </c:tx>
          <c:spPr>
            <a:ln w="19050" cap="rnd" cmpd="sng" algn="ctr">
              <a:solidFill>
                <a:srgbClr val="00B050">
                  <a:alpha val="49803"/>
                </a:srgb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分析!$D$142:$O$142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分析!$D$188:$O$188</c:f>
              <c:numCache>
                <c:formatCode>0.00%</c:formatCode>
                <c:ptCount val="12"/>
                <c:pt idx="0">
                  <c:v>0.00424178154825027</c:v>
                </c:pt>
                <c:pt idx="1">
                  <c:v>0.0909333491461101</c:v>
                </c:pt>
                <c:pt idx="2">
                  <c:v>0.00883377101283613</c:v>
                </c:pt>
                <c:pt idx="3">
                  <c:v>0.0088581041848787</c:v>
                </c:pt>
                <c:pt idx="4">
                  <c:v>0.00630425411330152</c:v>
                </c:pt>
                <c:pt idx="5">
                  <c:v>0.0270070626374897</c:v>
                </c:pt>
                <c:pt idx="6">
                  <c:v>0.0442932848216404</c:v>
                </c:pt>
                <c:pt idx="7">
                  <c:v>0.00621949608083663</c:v>
                </c:pt>
                <c:pt idx="8">
                  <c:v>0.038794408314158</c:v>
                </c:pt>
                <c:pt idx="9">
                  <c:v>0.0212709139156247</c:v>
                </c:pt>
                <c:pt idx="10">
                  <c:v>0</c:v>
                </c:pt>
                <c:pt idx="11">
                  <c:v>0.087167428940206</c:v>
                </c:pt>
              </c:numCache>
            </c:numRef>
          </c:val>
          <c:smooth val="0"/>
        </c:ser>
        <c:ser>
          <c:idx val="23"/>
          <c:order val="23"/>
          <c:tx>
            <c:strRef>
              <c:f>"施工图及预算 核增 累计核增率"</c:f>
              <c:strCache>
                <c:ptCount val="1"/>
                <c:pt idx="0">
                  <c:v>施工图及预算 核增 累计核增率</c:v>
                </c:pt>
              </c:strCache>
            </c:strRef>
          </c:tx>
          <c:spPr>
            <a:ln w="28575" cap="rnd" cmpd="sng" algn="ctr">
              <a:solidFill>
                <a:srgbClr val="00B050">
                  <a:alpha val="100000"/>
                </a:srgb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分析!$D$142:$O$142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分析!$D$190:$O$190</c:f>
              <c:numCache>
                <c:formatCode>0.00%</c:formatCode>
                <c:ptCount val="12"/>
                <c:pt idx="0">
                  <c:v>0.00424178154825027</c:v>
                </c:pt>
                <c:pt idx="1">
                  <c:v>0.0733643092317347</c:v>
                </c:pt>
                <c:pt idx="2">
                  <c:v>0.0229702041754078</c:v>
                </c:pt>
                <c:pt idx="3">
                  <c:v>0.0166898550043044</c:v>
                </c:pt>
                <c:pt idx="4">
                  <c:v>0.0110378533061578</c:v>
                </c:pt>
                <c:pt idx="5">
                  <c:v>0.0168076616060606</c:v>
                </c:pt>
                <c:pt idx="6">
                  <c:v>0.0176281936578466</c:v>
                </c:pt>
                <c:pt idx="7">
                  <c:v>0.0163850020842127</c:v>
                </c:pt>
                <c:pt idx="8">
                  <c:v>0.0197445227569561</c:v>
                </c:pt>
                <c:pt idx="9">
                  <c:v>0.0198825473672138</c:v>
                </c:pt>
                <c:pt idx="10">
                  <c:v>0.0198825473672138</c:v>
                </c:pt>
                <c:pt idx="11">
                  <c:v>0.0227981431160103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2543014"/>
        <c:axId val="647165497"/>
      </c:lineChart>
      <c:catAx>
        <c:axId val="242543014"/>
        <c:scaling>
          <c:orientation val="minMax"/>
        </c:scaling>
        <c:delete val="0"/>
        <c:axPos val="b"/>
        <c:title>
          <c:layout/>
          <c:overlay val="0"/>
          <c:tx>
            <c:rich>
              <a:bodyPr/>
              <a:lstStyle/>
              <a:p>
                <a:pPr>
                  <a:defRPr/>
                </a:pPr>
              </a:p>
            </c:rich>
          </c:tx>
        </c:title>
        <c:numFmt formatCode="0&quot;月&quot;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000000"/>
                </a:solidFill>
                <a:latin typeface="微软雅黑" panose="020B0503020204020204" charset="-122"/>
                <a:ea typeface="+mn-ea"/>
                <a:cs typeface="+mn-cs"/>
              </a:defRPr>
            </a:pPr>
          </a:p>
        </c:txPr>
        <c:crossAx val="647165497"/>
        <c:crosses val="autoZero"/>
        <c:auto val="1"/>
        <c:lblAlgn val="ctr"/>
        <c:lblOffset val="100"/>
        <c:noMultiLvlLbl val="1"/>
      </c:catAx>
      <c:valAx>
        <c:axId val="647165497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</c:spPr>
        </c:majorGridlines>
        <c:title>
          <c:layout/>
          <c:overlay val="0"/>
          <c:tx>
            <c:rich>
              <a:bodyPr/>
              <a:lstStyle/>
              <a:p>
                <a:pPr>
                  <a:defRPr/>
                </a:pPr>
              </a:p>
            </c:rich>
          </c:tx>
        </c:title>
        <c:numFmt formatCode="0%" sourceLinked="0"/>
        <c:majorTickMark val="none"/>
        <c:minorTickMark val="none"/>
        <c:tickLblPos val="nextTo"/>
        <c:spPr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000000"/>
                </a:solidFill>
                <a:latin typeface="微软雅黑" panose="020B0503020204020204" charset="-122"/>
                <a:ea typeface="+mn-ea"/>
                <a:cs typeface="+mn-cs"/>
              </a:defRPr>
            </a:pPr>
          </a:p>
        </c:txPr>
        <c:crossAx val="242543014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600" b="0" i="0" u="none" strike="noStrike" kern="1200" baseline="0">
              <a:solidFill>
                <a:srgbClr val="1A1A1A"/>
              </a:solidFill>
              <a:latin typeface="微软雅黑" panose="020B0503020204020204" charset="-122"/>
              <a:ea typeface="+mn-ea"/>
              <a:cs typeface="+mn-cs"/>
            </a:defRPr>
          </a:pPr>
        </a:p>
      </c:txPr>
    </c:legend>
    <c:plotVisOnly val="1"/>
    <c:dispBlanksAs val="zero"/>
    <c:showDLblsOverMax val="1"/>
    <c:extLst>
      <c:ext uri="{0b15fc19-7d7d-44ad-8c2d-2c3a37ce22c3}">
        <chartProps xmlns="https://web.wps.cn/et/2018/main" chartId="{56fb6c66-31db-4c09-a0d8-6e8469b85f07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xMode val="edge"/>
          <c:yMode val="edge"/>
          <c:x val="0.0265257352941176"/>
          <c:y val="0.0683309781755378"/>
          <c:w val="0.951681985294118"/>
          <c:h val="0.748280734809232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"可研 核减 每月核减"</c:f>
              <c:strCache>
                <c:ptCount val="1"/>
                <c:pt idx="0">
                  <c:v>可研 核减 每月核减</c:v>
                </c:pt>
              </c:strCache>
            </c:strRef>
          </c:tx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invertIfNegative val="1"/>
          <c:dLbls>
            <c:delete val="1"/>
          </c:dLbls>
          <c:cat>
            <c:strRef>
              <c:f>分析!$D$142:$O$142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分析!$D$143:$O$143</c:f>
              <c:numCache>
                <c:formatCode>0.00_ </c:formatCode>
                <c:ptCount val="12"/>
                <c:pt idx="0">
                  <c:v>2.02294</c:v>
                </c:pt>
                <c:pt idx="1">
                  <c:v>0.334588</c:v>
                </c:pt>
                <c:pt idx="2">
                  <c:v>0</c:v>
                </c:pt>
                <c:pt idx="3">
                  <c:v>0.0326</c:v>
                </c:pt>
                <c:pt idx="4">
                  <c:v>4.011593</c:v>
                </c:pt>
                <c:pt idx="5">
                  <c:v>0.00298000000000002</c:v>
                </c:pt>
                <c:pt idx="6">
                  <c:v>0.240443</c:v>
                </c:pt>
                <c:pt idx="7">
                  <c:v>0.356869000000001</c:v>
                </c:pt>
                <c:pt idx="8">
                  <c:v>0.195578</c:v>
                </c:pt>
                <c:pt idx="9">
                  <c:v>0</c:v>
                </c:pt>
                <c:pt idx="10">
                  <c:v>0.244689</c:v>
                </c:pt>
                <c:pt idx="11">
                  <c:v>1.054204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ser>
          <c:idx val="1"/>
          <c:order val="1"/>
          <c:tx>
            <c:strRef>
              <c:f>"可研 核减 累计核减"</c:f>
              <c:strCache>
                <c:ptCount val="1"/>
                <c:pt idx="0">
                  <c:v>可研 核减 累计核减</c:v>
                </c:pt>
              </c:strCache>
            </c:strRef>
          </c:tx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invertIfNegative val="1"/>
          <c:dLbls>
            <c:delete val="1"/>
          </c:dLbls>
          <c:cat>
            <c:strRef>
              <c:f>分析!$D$142:$O$142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分析!$D$145:$O$145</c:f>
              <c:numCache>
                <c:formatCode>0.00_ </c:formatCode>
                <c:ptCount val="12"/>
                <c:pt idx="0">
                  <c:v>2.02294</c:v>
                </c:pt>
                <c:pt idx="1">
                  <c:v>2.357528</c:v>
                </c:pt>
                <c:pt idx="2">
                  <c:v>2.357528</c:v>
                </c:pt>
                <c:pt idx="3">
                  <c:v>2.390128</c:v>
                </c:pt>
                <c:pt idx="4">
                  <c:v>6.401721</c:v>
                </c:pt>
                <c:pt idx="5">
                  <c:v>6.404701</c:v>
                </c:pt>
                <c:pt idx="6">
                  <c:v>6.645144</c:v>
                </c:pt>
                <c:pt idx="7">
                  <c:v>7.002013</c:v>
                </c:pt>
                <c:pt idx="8">
                  <c:v>7.197591</c:v>
                </c:pt>
                <c:pt idx="9">
                  <c:v>7.197591</c:v>
                </c:pt>
                <c:pt idx="10">
                  <c:v>7.44228</c:v>
                </c:pt>
                <c:pt idx="11">
                  <c:v>8.496484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ser>
          <c:idx val="2"/>
          <c:order val="2"/>
          <c:tx>
            <c:strRef>
              <c:f>"可研调整 核减 每月核减"</c:f>
              <c:strCache>
                <c:ptCount val="1"/>
                <c:pt idx="0">
                  <c:v>可研调整 核减 每月核减</c:v>
                </c:pt>
              </c:strCache>
            </c:strRef>
          </c:tx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invertIfNegative val="1"/>
          <c:dLbls>
            <c:delete val="1"/>
          </c:dLbls>
          <c:cat>
            <c:strRef>
              <c:f>分析!$D$142:$O$142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分析!$D$147:$O$147</c:f>
              <c:numCache>
                <c:formatCode>0.00_ 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0.0587880000000001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ser>
          <c:idx val="3"/>
          <c:order val="3"/>
          <c:tx>
            <c:strRef>
              <c:f>"可研调整 核减 累计核减"</c:f>
              <c:strCache>
                <c:ptCount val="1"/>
                <c:pt idx="0">
                  <c:v>可研调整 核减 累计核减</c:v>
                </c:pt>
              </c:strCache>
            </c:strRef>
          </c:tx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invertIfNegative val="1"/>
          <c:dLbls>
            <c:delete val="1"/>
          </c:dLbls>
          <c:cat>
            <c:strRef>
              <c:f>分析!$D$142:$O$142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分析!$D$149:$O$149</c:f>
              <c:numCache>
                <c:formatCode>0.00_ 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0.0587880000000001</c:v>
                </c:pt>
                <c:pt idx="10">
                  <c:v>0.0587880000000001</c:v>
                </c:pt>
                <c:pt idx="11">
                  <c:v>0.0587880000000001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ser>
          <c:idx val="4"/>
          <c:order val="4"/>
          <c:tx>
            <c:strRef>
              <c:f>"初设 核减 每月核减"</c:f>
              <c:strCache>
                <c:ptCount val="1"/>
                <c:pt idx="0">
                  <c:v>初设 核减 每月核减</c:v>
                </c:pt>
              </c:strCache>
            </c:strRef>
          </c:tx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dLbls>
            <c:delete val="1"/>
          </c:dLbls>
          <c:cat>
            <c:strRef>
              <c:f>分析!$D$142:$O$142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分析!$D$151:$O$151</c:f>
              <c:numCache>
                <c:formatCode>0.00_ </c:formatCode>
                <c:ptCount val="12"/>
                <c:pt idx="0">
                  <c:v>0.320264</c:v>
                </c:pt>
                <c:pt idx="1">
                  <c:v>0</c:v>
                </c:pt>
                <c:pt idx="2">
                  <c:v>0</c:v>
                </c:pt>
                <c:pt idx="3">
                  <c:v>0.0835249999999999</c:v>
                </c:pt>
                <c:pt idx="4">
                  <c:v>0.092946</c:v>
                </c:pt>
                <c:pt idx="5">
                  <c:v>0.174503000000001</c:v>
                </c:pt>
                <c:pt idx="6">
                  <c:v>0.065021</c:v>
                </c:pt>
                <c:pt idx="7">
                  <c:v>0.115628</c:v>
                </c:pt>
                <c:pt idx="8">
                  <c:v>0.110118</c:v>
                </c:pt>
                <c:pt idx="9">
                  <c:v>0.057938</c:v>
                </c:pt>
                <c:pt idx="10">
                  <c:v>0.00626499999999999</c:v>
                </c:pt>
                <c:pt idx="11">
                  <c:v>0.037756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ser>
          <c:idx val="5"/>
          <c:order val="5"/>
          <c:tx>
            <c:strRef>
              <c:f>"初设 核减 累计核减"</c:f>
              <c:strCache>
                <c:ptCount val="1"/>
                <c:pt idx="0">
                  <c:v>初设 核减 累计核减</c:v>
                </c:pt>
              </c:strCache>
            </c:strRef>
          </c:tx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dLbls>
            <c:delete val="1"/>
          </c:dLbls>
          <c:cat>
            <c:strRef>
              <c:f>分析!$D$142:$O$142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分析!$D$153:$O$153</c:f>
              <c:numCache>
                <c:formatCode>0.00_ </c:formatCode>
                <c:ptCount val="12"/>
                <c:pt idx="0">
                  <c:v>0.320264</c:v>
                </c:pt>
                <c:pt idx="1">
                  <c:v>0.320264</c:v>
                </c:pt>
                <c:pt idx="2">
                  <c:v>0.320264</c:v>
                </c:pt>
                <c:pt idx="3">
                  <c:v>0.403789</c:v>
                </c:pt>
                <c:pt idx="4">
                  <c:v>0.496735</c:v>
                </c:pt>
                <c:pt idx="5">
                  <c:v>0.671238000000001</c:v>
                </c:pt>
                <c:pt idx="6">
                  <c:v>0.736259000000001</c:v>
                </c:pt>
                <c:pt idx="7">
                  <c:v>0.851887000000001</c:v>
                </c:pt>
                <c:pt idx="8">
                  <c:v>0.962005000000001</c:v>
                </c:pt>
                <c:pt idx="9">
                  <c:v>1.019943</c:v>
                </c:pt>
                <c:pt idx="10">
                  <c:v>1.026208</c:v>
                </c:pt>
                <c:pt idx="11">
                  <c:v>1.063964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ser>
          <c:idx val="6"/>
          <c:order val="6"/>
          <c:tx>
            <c:strRef>
              <c:f>"初设调整 核减 每月核减"</c:f>
              <c:strCache>
                <c:ptCount val="1"/>
                <c:pt idx="0">
                  <c:v>初设调整 核减 每月核减</c:v>
                </c:pt>
              </c:strCache>
            </c:strRef>
          </c:tx>
          <c:spPr>
            <a:solidFill>
              <a:srgbClr val="5B9BD5"/>
            </a:solidFill>
            <a:ln cmpd="sng">
              <a:solidFill>
                <a:srgbClr val="000000"/>
              </a:solidFill>
            </a:ln>
          </c:spPr>
          <c:invertIfNegative val="1"/>
          <c:dLbls>
            <c:delete val="1"/>
          </c:dLbls>
          <c:cat>
            <c:strRef>
              <c:f>分析!$D$142:$O$142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分析!$D$155:$O$155</c:f>
              <c:numCache>
                <c:formatCode>0.00_ 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0.00148899999999994</c:v>
                </c:pt>
                <c:pt idx="6">
                  <c:v>0.00201399999999999</c:v>
                </c:pt>
                <c:pt idx="7">
                  <c:v>0.00702699999999968</c:v>
                </c:pt>
                <c:pt idx="8">
                  <c:v>0.00674599999999991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ser>
          <c:idx val="7"/>
          <c:order val="7"/>
          <c:tx>
            <c:strRef>
              <c:f>"初设调整 核减 累计核减"</c:f>
              <c:strCache>
                <c:ptCount val="1"/>
                <c:pt idx="0">
                  <c:v>初设调整 核减 累计核减</c:v>
                </c:pt>
              </c:strCache>
            </c:strRef>
          </c:tx>
          <c:spPr>
            <a:solidFill>
              <a:srgbClr val="5B9BD5"/>
            </a:solidFill>
            <a:ln cmpd="sng">
              <a:solidFill>
                <a:srgbClr val="000000"/>
              </a:solidFill>
            </a:ln>
          </c:spPr>
          <c:invertIfNegative val="1"/>
          <c:dLbls>
            <c:delete val="1"/>
          </c:dLbls>
          <c:cat>
            <c:strRef>
              <c:f>分析!$D$142:$O$142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分析!$D$157:$O$157</c:f>
              <c:numCache>
                <c:formatCode>0.00_ 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0.00148899999999994</c:v>
                </c:pt>
                <c:pt idx="6">
                  <c:v>0.00350299999999993</c:v>
                </c:pt>
                <c:pt idx="7">
                  <c:v>0.0105299999999996</c:v>
                </c:pt>
                <c:pt idx="8">
                  <c:v>0.0172759999999995</c:v>
                </c:pt>
                <c:pt idx="9">
                  <c:v>0.0172759999999995</c:v>
                </c:pt>
                <c:pt idx="10">
                  <c:v>0.0172759999999995</c:v>
                </c:pt>
                <c:pt idx="11">
                  <c:v>0.0172759999999995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ser>
          <c:idx val="8"/>
          <c:order val="8"/>
          <c:tx>
            <c:strRef>
              <c:f>"施工图及预算 核减 每月核减"</c:f>
              <c:strCache>
                <c:ptCount val="1"/>
                <c:pt idx="0">
                  <c:v>施工图及预算 核减 每月核减</c:v>
                </c:pt>
              </c:strCache>
            </c:strRef>
          </c:tx>
          <c:spPr>
            <a:solidFill>
              <a:srgbClr val="00B050">
                <a:alpha val="49804"/>
              </a:srgbClr>
            </a:solidFill>
            <a:ln cmpd="sng">
              <a:solidFill>
                <a:srgbClr val="000000"/>
              </a:solidFill>
            </a:ln>
          </c:spPr>
          <c:invertIfNegative val="1"/>
          <c:dLbls>
            <c:delete val="1"/>
          </c:dLbls>
          <c:cat>
            <c:strRef>
              <c:f>分析!$D$142:$O$142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分析!$D$159:$O$159</c:f>
              <c:numCache>
                <c:formatCode>0.00_ </c:formatCode>
                <c:ptCount val="12"/>
                <c:pt idx="0">
                  <c:v>0.102369</c:v>
                </c:pt>
                <c:pt idx="1">
                  <c:v>0.085059</c:v>
                </c:pt>
                <c:pt idx="2">
                  <c:v>0</c:v>
                </c:pt>
                <c:pt idx="3">
                  <c:v>0</c:v>
                </c:pt>
                <c:pt idx="4">
                  <c:v>0.10842</c:v>
                </c:pt>
                <c:pt idx="5">
                  <c:v>0.325424</c:v>
                </c:pt>
                <c:pt idx="6">
                  <c:v>0.0178470000000001</c:v>
                </c:pt>
                <c:pt idx="7">
                  <c:v>0.130188</c:v>
                </c:pt>
                <c:pt idx="8">
                  <c:v>0.161575</c:v>
                </c:pt>
                <c:pt idx="9">
                  <c:v>0.006678</c:v>
                </c:pt>
                <c:pt idx="10">
                  <c:v>0.0284690000000001</c:v>
                </c:pt>
                <c:pt idx="11">
                  <c:v>0.0443229999999999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ser>
          <c:idx val="9"/>
          <c:order val="9"/>
          <c:tx>
            <c:strRef>
              <c:f>"施工图及预算 核减 累计核减"</c:f>
              <c:strCache>
                <c:ptCount val="1"/>
                <c:pt idx="0">
                  <c:v>施工图及预算 核减 累计核减</c:v>
                </c:pt>
              </c:strCache>
            </c:strRef>
          </c:tx>
          <c:spPr>
            <a:solidFill>
              <a:srgbClr val="00B050"/>
            </a:solidFill>
            <a:ln cmpd="sng">
              <a:solidFill>
                <a:srgbClr val="000000"/>
              </a:solidFill>
            </a:ln>
          </c:spPr>
          <c:invertIfNegative val="1"/>
          <c:dLbls>
            <c:delete val="1"/>
          </c:dLbls>
          <c:cat>
            <c:strRef>
              <c:f>分析!$D$142:$O$142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分析!$D$161:$O$161</c:f>
              <c:numCache>
                <c:formatCode>0.00_ </c:formatCode>
                <c:ptCount val="12"/>
                <c:pt idx="0">
                  <c:v>0.102369</c:v>
                </c:pt>
                <c:pt idx="1">
                  <c:v>0.187428</c:v>
                </c:pt>
                <c:pt idx="2">
                  <c:v>0.187428</c:v>
                </c:pt>
                <c:pt idx="3">
                  <c:v>0.187428</c:v>
                </c:pt>
                <c:pt idx="4">
                  <c:v>0.295848</c:v>
                </c:pt>
                <c:pt idx="5">
                  <c:v>0.621272</c:v>
                </c:pt>
                <c:pt idx="6">
                  <c:v>0.639119</c:v>
                </c:pt>
                <c:pt idx="7">
                  <c:v>0.769307</c:v>
                </c:pt>
                <c:pt idx="8">
                  <c:v>0.930882</c:v>
                </c:pt>
                <c:pt idx="9">
                  <c:v>0.93756</c:v>
                </c:pt>
                <c:pt idx="10">
                  <c:v>0.966029</c:v>
                </c:pt>
                <c:pt idx="11">
                  <c:v>1.010352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ser>
          <c:idx val="10"/>
          <c:order val="10"/>
          <c:tx>
            <c:strRef>
              <c:f>"施工图预算调整 核减 每月核减"</c:f>
              <c:strCache>
                <c:ptCount val="1"/>
                <c:pt idx="0">
                  <c:v>施工图预算调整 核减 每月核减</c:v>
                </c:pt>
              </c:strCache>
            </c:strRef>
          </c:tx>
          <c:spPr>
            <a:solidFill>
              <a:srgbClr val="70AD47"/>
            </a:solidFill>
            <a:ln cmpd="sng">
              <a:solidFill>
                <a:srgbClr val="000000"/>
              </a:solidFill>
            </a:ln>
          </c:spPr>
          <c:invertIfNegative val="1"/>
          <c:dLbls>
            <c:delete val="1"/>
          </c:dLbls>
          <c:cat>
            <c:strRef>
              <c:f>分析!$D$142:$O$142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分析!$D$163:$O$163</c:f>
              <c:numCache>
                <c:formatCode>0.00_ 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ser>
          <c:idx val="11"/>
          <c:order val="11"/>
          <c:tx>
            <c:strRef>
              <c:f>"施工图预算调整 核减 累计核减"</c:f>
              <c:strCache>
                <c:ptCount val="1"/>
                <c:pt idx="0">
                  <c:v>施工图预算调整 核减 累计核减</c:v>
                </c:pt>
              </c:strCache>
            </c:strRef>
          </c:tx>
          <c:spPr>
            <a:solidFill>
              <a:srgbClr val="70AD47"/>
            </a:solidFill>
            <a:ln cmpd="sng">
              <a:solidFill>
                <a:srgbClr val="000000"/>
              </a:solidFill>
            </a:ln>
          </c:spPr>
          <c:invertIfNegative val="1"/>
          <c:dLbls>
            <c:delete val="1"/>
          </c:dLbls>
          <c:cat>
            <c:strRef>
              <c:f>分析!$D$142:$O$142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分析!$D$165:$O$165</c:f>
              <c:numCache>
                <c:formatCode>0.00_ 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ser>
          <c:idx val="12"/>
          <c:order val="12"/>
          <c:tx>
            <c:strRef>
              <c:f>"重大设计变更 核减 每月核减"</c:f>
              <c:strCache>
                <c:ptCount val="1"/>
                <c:pt idx="0">
                  <c:v>重大设计变更 核减 每月核减</c:v>
                </c:pt>
              </c:strCache>
            </c:strRef>
          </c:tx>
          <c:spPr>
            <a:solidFill>
              <a:srgbClr val="FF0000">
                <a:alpha val="49804"/>
              </a:srgbClr>
            </a:solidFill>
            <a:ln cmpd="sng">
              <a:solidFill>
                <a:srgbClr val="000000"/>
              </a:solidFill>
            </a:ln>
          </c:spPr>
          <c:invertIfNegative val="1"/>
          <c:dLbls>
            <c:delete val="1"/>
          </c:dLbls>
          <c:cat>
            <c:strRef>
              <c:f>分析!$D$142:$O$142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分析!$D$167:$O$167</c:f>
              <c:numCache>
                <c:formatCode>0.00_ </c:formatCode>
                <c:ptCount val="12"/>
                <c:pt idx="0">
                  <c:v>0.006113</c:v>
                </c:pt>
                <c:pt idx="1">
                  <c:v>0</c:v>
                </c:pt>
                <c:pt idx="2">
                  <c:v>0.03444</c:v>
                </c:pt>
                <c:pt idx="3">
                  <c:v>0.010281</c:v>
                </c:pt>
                <c:pt idx="4">
                  <c:v>0.005673</c:v>
                </c:pt>
                <c:pt idx="5">
                  <c:v>0.067707</c:v>
                </c:pt>
                <c:pt idx="6">
                  <c:v>0.067521</c:v>
                </c:pt>
                <c:pt idx="7">
                  <c:v>0.423543</c:v>
                </c:pt>
                <c:pt idx="8">
                  <c:v>0</c:v>
                </c:pt>
                <c:pt idx="9">
                  <c:v>0.0342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ser>
          <c:idx val="13"/>
          <c:order val="13"/>
          <c:tx>
            <c:strRef>
              <c:f>"重大设计变更 核减 累计核减"</c:f>
              <c:strCache>
                <c:ptCount val="1"/>
                <c:pt idx="0">
                  <c:v>重大设计变更 核减 累计核减</c:v>
                </c:pt>
              </c:strCache>
            </c:strRef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invertIfNegative val="1"/>
          <c:dLbls>
            <c:delete val="1"/>
          </c:dLbls>
          <c:cat>
            <c:strRef>
              <c:f>分析!$D$142:$O$142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分析!$D$169:$O$169</c:f>
              <c:numCache>
                <c:formatCode>0.00_ </c:formatCode>
                <c:ptCount val="12"/>
                <c:pt idx="0">
                  <c:v>0.006113</c:v>
                </c:pt>
                <c:pt idx="1">
                  <c:v>0.006113</c:v>
                </c:pt>
                <c:pt idx="2">
                  <c:v>0.040553</c:v>
                </c:pt>
                <c:pt idx="3">
                  <c:v>0.050834</c:v>
                </c:pt>
                <c:pt idx="4">
                  <c:v>0.056507</c:v>
                </c:pt>
                <c:pt idx="5">
                  <c:v>0.124214</c:v>
                </c:pt>
                <c:pt idx="6">
                  <c:v>0.191735</c:v>
                </c:pt>
                <c:pt idx="7">
                  <c:v>0.615278</c:v>
                </c:pt>
                <c:pt idx="8">
                  <c:v>0.615278</c:v>
                </c:pt>
                <c:pt idx="9">
                  <c:v>0.649478</c:v>
                </c:pt>
                <c:pt idx="10">
                  <c:v>0.649478</c:v>
                </c:pt>
                <c:pt idx="11">
                  <c:v>0.649478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90039674"/>
        <c:axId val="629519153"/>
      </c:barChart>
      <c:lineChart>
        <c:grouping val="standard"/>
        <c:varyColors val="1"/>
        <c:ser>
          <c:idx val="14"/>
          <c:order val="14"/>
          <c:tx>
            <c:strRef>
              <c:f>"可研 核减 每月核减率"</c:f>
              <c:strCache>
                <c:ptCount val="1"/>
                <c:pt idx="0">
                  <c:v>可研 核减 每月核减率</c:v>
                </c:pt>
              </c:strCache>
            </c:strRef>
          </c:tx>
          <c:spPr>
            <a:ln w="19050" cap="rnd" cmpd="sng" algn="ctr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分析!$D$142:$O$142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分析!$D$144:$O$144</c:f>
              <c:numCache>
                <c:formatCode>0.00%</c:formatCode>
                <c:ptCount val="12"/>
                <c:pt idx="0">
                  <c:v>0.193008864645824</c:v>
                </c:pt>
                <c:pt idx="1">
                  <c:v>0.0374771443945578</c:v>
                </c:pt>
                <c:pt idx="2">
                  <c:v>0</c:v>
                </c:pt>
                <c:pt idx="3">
                  <c:v>0.0189521661279446</c:v>
                </c:pt>
                <c:pt idx="4">
                  <c:v>0.376781711647277</c:v>
                </c:pt>
                <c:pt idx="5">
                  <c:v>0.00671426736753408</c:v>
                </c:pt>
                <c:pt idx="6">
                  <c:v>0.0405378429968901</c:v>
                </c:pt>
                <c:pt idx="7">
                  <c:v>0.046838648168278</c:v>
                </c:pt>
                <c:pt idx="8">
                  <c:v>0.0872406073093192</c:v>
                </c:pt>
                <c:pt idx="9">
                  <c:v>0</c:v>
                </c:pt>
                <c:pt idx="10">
                  <c:v>0.0571228003990138</c:v>
                </c:pt>
                <c:pt idx="11">
                  <c:v>0.30274983802859</c:v>
                </c:pt>
              </c:numCache>
            </c:numRef>
          </c:val>
          <c:smooth val="0"/>
        </c:ser>
        <c:ser>
          <c:idx val="15"/>
          <c:order val="15"/>
          <c:tx>
            <c:strRef>
              <c:f>"可研 核减 累计核减率"</c:f>
              <c:strCache>
                <c:ptCount val="1"/>
                <c:pt idx="0">
                  <c:v>可研 核减 累计核减率</c:v>
                </c:pt>
              </c:strCache>
            </c:strRef>
          </c:tx>
          <c:spPr>
            <a:ln w="28575" cap="rnd" cmpd="sng" algn="ctr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分析!$D$142:$O$142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分析!$D$146:$O$146</c:f>
              <c:numCache>
                <c:formatCode>0.00%</c:formatCode>
                <c:ptCount val="12"/>
                <c:pt idx="0">
                  <c:v>0.193008864645824</c:v>
                </c:pt>
                <c:pt idx="1">
                  <c:v>0.121466581681429</c:v>
                </c:pt>
                <c:pt idx="2">
                  <c:v>0.121466581681429</c:v>
                </c:pt>
                <c:pt idx="3">
                  <c:v>0.113120836258029</c:v>
                </c:pt>
                <c:pt idx="4">
                  <c:v>0.201464181619472</c:v>
                </c:pt>
                <c:pt idx="5">
                  <c:v>0.198781482458911</c:v>
                </c:pt>
                <c:pt idx="6">
                  <c:v>0.174179484963604</c:v>
                </c:pt>
                <c:pt idx="7">
                  <c:v>0.152981774643408</c:v>
                </c:pt>
                <c:pt idx="8">
                  <c:v>0.149912128338739</c:v>
                </c:pt>
                <c:pt idx="9">
                  <c:v>0.149912128338739</c:v>
                </c:pt>
                <c:pt idx="10">
                  <c:v>0.142311708013368</c:v>
                </c:pt>
                <c:pt idx="11">
                  <c:v>0.152327551987018</c:v>
                </c:pt>
              </c:numCache>
            </c:numRef>
          </c:val>
          <c:smooth val="0"/>
        </c:ser>
        <c:ser>
          <c:idx val="16"/>
          <c:order val="16"/>
          <c:tx>
            <c:strRef>
              <c:f>"可研调整 核减 每月核减率"</c:f>
              <c:strCache>
                <c:ptCount val="1"/>
                <c:pt idx="0">
                  <c:v>可研调整 核减 每月核减率</c:v>
                </c:pt>
              </c:strCache>
            </c:strRef>
          </c:tx>
          <c:spPr>
            <a:ln w="19050" cap="rnd" cmpd="sng" algn="ctr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分析!$D$142:$O$142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分析!$D$148:$O$148</c:f>
              <c:numCache>
                <c:formatCode>0.00%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0.0266179115344284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</c:ser>
        <c:ser>
          <c:idx val="17"/>
          <c:order val="17"/>
          <c:tx>
            <c:strRef>
              <c:f>"可研调整 核减 累计核减率"</c:f>
              <c:strCache>
                <c:ptCount val="1"/>
                <c:pt idx="0">
                  <c:v>可研调整 核减 累计核减率</c:v>
                </c:pt>
              </c:strCache>
            </c:strRef>
          </c:tx>
          <c:spPr>
            <a:ln w="28575" cap="rnd" cmpd="sng" algn="ctr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分析!$D$142:$O$142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分析!$D$150:$O$150</c:f>
              <c:numCache>
                <c:formatCode>0.00%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0.0266179115344284</c:v>
                </c:pt>
                <c:pt idx="10">
                  <c:v>0.0266179115344284</c:v>
                </c:pt>
                <c:pt idx="11">
                  <c:v>0.0266179115344284</c:v>
                </c:pt>
              </c:numCache>
            </c:numRef>
          </c:val>
          <c:smooth val="0"/>
        </c:ser>
        <c:ser>
          <c:idx val="18"/>
          <c:order val="18"/>
          <c:tx>
            <c:strRef>
              <c:f>"初设 核减 每月核减率"</c:f>
              <c:strCache>
                <c:ptCount val="1"/>
                <c:pt idx="0">
                  <c:v>初设 核减 每月核减率</c:v>
                </c:pt>
              </c:strCache>
            </c:strRef>
          </c:tx>
          <c:spPr>
            <a:ln w="19050" cap="rnd" cmpd="sng" algn="ctr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分析!$D$142:$O$142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分析!$D$152:$O$152</c:f>
              <c:numCache>
                <c:formatCode>0.00%</c:formatCode>
                <c:ptCount val="12"/>
                <c:pt idx="0">
                  <c:v>0.0813776655578783</c:v>
                </c:pt>
                <c:pt idx="1">
                  <c:v>0</c:v>
                </c:pt>
                <c:pt idx="2">
                  <c:v>0</c:v>
                </c:pt>
                <c:pt idx="3">
                  <c:v>0.0211823840674996</c:v>
                </c:pt>
                <c:pt idx="4">
                  <c:v>0.0622009441298386</c:v>
                </c:pt>
                <c:pt idx="5">
                  <c:v>0</c:v>
                </c:pt>
                <c:pt idx="6">
                  <c:v>0.0594848083698284</c:v>
                </c:pt>
                <c:pt idx="7">
                  <c:v>0.0366848714087831</c:v>
                </c:pt>
                <c:pt idx="8">
                  <c:v>0.0300820852628979</c:v>
                </c:pt>
                <c:pt idx="9">
                  <c:v>0.0367862419531286</c:v>
                </c:pt>
                <c:pt idx="10">
                  <c:v>0.0306383935994366</c:v>
                </c:pt>
                <c:pt idx="11">
                  <c:v>0.0161066289895432</c:v>
                </c:pt>
              </c:numCache>
            </c:numRef>
          </c:val>
          <c:smooth val="0"/>
        </c:ser>
        <c:ser>
          <c:idx val="19"/>
          <c:order val="19"/>
          <c:tx>
            <c:strRef>
              <c:f>"初设 核减 累计核减率"</c:f>
              <c:strCache>
                <c:ptCount val="1"/>
                <c:pt idx="0">
                  <c:v>初设 核减 累计核减率</c:v>
                </c:pt>
              </c:strCache>
            </c:strRef>
          </c:tx>
          <c:spPr>
            <a:ln w="28575" cap="rnd" cmpd="sng" algn="ctr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分析!$D$142:$O$142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分析!$D$154:$O$154</c:f>
              <c:numCache>
                <c:formatCode>0.00%</c:formatCode>
                <c:ptCount val="12"/>
                <c:pt idx="0">
                  <c:v>0.0813776655578783</c:v>
                </c:pt>
                <c:pt idx="1">
                  <c:v>0.0813776655578783</c:v>
                </c:pt>
                <c:pt idx="2">
                  <c:v>0.0813776655578783</c:v>
                </c:pt>
                <c:pt idx="3">
                  <c:v>0.0512509611403561</c:v>
                </c:pt>
                <c:pt idx="4">
                  <c:v>0.052996666577047</c:v>
                </c:pt>
                <c:pt idx="5">
                  <c:v>0.0294820021731644</c:v>
                </c:pt>
                <c:pt idx="6">
                  <c:v>0.0308564385336781</c:v>
                </c:pt>
                <c:pt idx="7">
                  <c:v>0.0315365178384877</c:v>
                </c:pt>
                <c:pt idx="8">
                  <c:v>0.0313629443196526</c:v>
                </c:pt>
                <c:pt idx="9">
                  <c:v>0.0316278155639318</c:v>
                </c:pt>
                <c:pt idx="10">
                  <c:v>0.0316215813052401</c:v>
                </c:pt>
                <c:pt idx="11">
                  <c:v>0.0305764010421503</c:v>
                </c:pt>
              </c:numCache>
            </c:numRef>
          </c:val>
          <c:smooth val="0"/>
        </c:ser>
        <c:ser>
          <c:idx val="20"/>
          <c:order val="20"/>
          <c:tx>
            <c:strRef>
              <c:f>"初设调整 核减 每月核减率"</c:f>
              <c:strCache>
                <c:ptCount val="1"/>
                <c:pt idx="0">
                  <c:v>初设调整 核减 每月核减率</c:v>
                </c:pt>
              </c:strCache>
            </c:strRef>
          </c:tx>
          <c:spPr>
            <a:ln w="19050" cap="rnd" cmpd="sng" algn="ctr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分析!$D$142:$O$142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分析!$D$156:$O$156</c:f>
              <c:numCache>
                <c:formatCode>0.00%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0.00166799072393416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</c:ser>
        <c:ser>
          <c:idx val="21"/>
          <c:order val="21"/>
          <c:tx>
            <c:strRef>
              <c:f>"初设调整 核减 累计核减率"</c:f>
              <c:strCache>
                <c:ptCount val="1"/>
                <c:pt idx="0">
                  <c:v>初设调整 核减 累计核减率</c:v>
                </c:pt>
              </c:strCache>
            </c:strRef>
          </c:tx>
          <c:spPr>
            <a:ln w="28575" cap="rnd" cmpd="sng" algn="ctr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分析!$D$142:$O$142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分析!$D$158:$O$158</c:f>
              <c:numCache>
                <c:formatCode>0.00%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0.000588861772509504</c:v>
                </c:pt>
                <c:pt idx="6">
                  <c:v>0.00120944701375687</c:v>
                </c:pt>
                <c:pt idx="7">
                  <c:v>0.00133742053111974</c:v>
                </c:pt>
                <c:pt idx="8">
                  <c:v>0.00144960224042248</c:v>
                </c:pt>
                <c:pt idx="9">
                  <c:v>0.00144960224042248</c:v>
                </c:pt>
                <c:pt idx="10">
                  <c:v>0.00144960224042248</c:v>
                </c:pt>
                <c:pt idx="11">
                  <c:v>0.00144960224042248</c:v>
                </c:pt>
              </c:numCache>
            </c:numRef>
          </c:val>
          <c:smooth val="0"/>
        </c:ser>
        <c:ser>
          <c:idx val="22"/>
          <c:order val="22"/>
          <c:tx>
            <c:strRef>
              <c:f>"施工图及预算 核减 每月核减率"</c:f>
              <c:strCache>
                <c:ptCount val="1"/>
                <c:pt idx="0">
                  <c:v>施工图及预算 核减 每月核减率</c:v>
                </c:pt>
              </c:strCache>
            </c:strRef>
          </c:tx>
          <c:spPr>
            <a:ln w="19050" cap="rnd" cmpd="sng" algn="ctr">
              <a:solidFill>
                <a:srgbClr val="00B050">
                  <a:alpha val="49803"/>
                </a:srgb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分析!$D$142:$O$142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分析!$D$160:$O$160</c:f>
              <c:numCache>
                <c:formatCode>0.00%</c:formatCode>
                <c:ptCount val="12"/>
                <c:pt idx="0">
                  <c:v>0.0336718422101733</c:v>
                </c:pt>
                <c:pt idx="1">
                  <c:v>0.0298822962351939</c:v>
                </c:pt>
                <c:pt idx="2">
                  <c:v>0</c:v>
                </c:pt>
                <c:pt idx="3">
                  <c:v>0</c:v>
                </c:pt>
                <c:pt idx="4">
                  <c:v>0.035426128092802</c:v>
                </c:pt>
                <c:pt idx="5">
                  <c:v>0</c:v>
                </c:pt>
                <c:pt idx="6">
                  <c:v>0</c:v>
                </c:pt>
                <c:pt idx="7">
                  <c:v>0.0267545524436536</c:v>
                </c:pt>
                <c:pt idx="8">
                  <c:v>0.0352624391896154</c:v>
                </c:pt>
                <c:pt idx="9">
                  <c:v>0.0112160646023823</c:v>
                </c:pt>
                <c:pt idx="10">
                  <c:v>0.0236710055334063</c:v>
                </c:pt>
                <c:pt idx="11">
                  <c:v>0.0182268813498822</c:v>
                </c:pt>
              </c:numCache>
            </c:numRef>
          </c:val>
          <c:smooth val="0"/>
        </c:ser>
        <c:ser>
          <c:idx val="23"/>
          <c:order val="23"/>
          <c:tx>
            <c:strRef>
              <c:f>"施工图及预算 核减 累计核减率"</c:f>
              <c:strCache>
                <c:ptCount val="1"/>
                <c:pt idx="0">
                  <c:v>施工图及预算 核减 累计核减率</c:v>
                </c:pt>
              </c:strCache>
            </c:strRef>
          </c:tx>
          <c:spPr>
            <a:ln w="28575" cap="rnd" cmpd="sng" algn="ctr">
              <a:solidFill>
                <a:srgbClr val="00B050">
                  <a:alpha val="100000"/>
                </a:srgb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分析!$D$142:$O$142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分析!$D$162:$O$162</c:f>
              <c:numCache>
                <c:formatCode>0.00%</c:formatCode>
                <c:ptCount val="12"/>
                <c:pt idx="0">
                  <c:v>0.0336718422101733</c:v>
                </c:pt>
                <c:pt idx="1">
                  <c:v>0.0318394255218236</c:v>
                </c:pt>
                <c:pt idx="2">
                  <c:v>0.0318394255218236</c:v>
                </c:pt>
                <c:pt idx="3">
                  <c:v>0.0318394255218236</c:v>
                </c:pt>
                <c:pt idx="4">
                  <c:v>0.0330662938687401</c:v>
                </c:pt>
                <c:pt idx="5">
                  <c:v>0.0573253796974121</c:v>
                </c:pt>
                <c:pt idx="6">
                  <c:v>0.0540174620559951</c:v>
                </c:pt>
                <c:pt idx="7">
                  <c:v>0.046072566536613</c:v>
                </c:pt>
                <c:pt idx="8">
                  <c:v>0.0437448763016749</c:v>
                </c:pt>
                <c:pt idx="9">
                  <c:v>0.0428595114895226</c:v>
                </c:pt>
                <c:pt idx="10">
                  <c:v>0.0418595100088457</c:v>
                </c:pt>
                <c:pt idx="11">
                  <c:v>0.0396066990246505</c:v>
                </c:pt>
              </c:numCache>
            </c:numRef>
          </c:val>
          <c:smooth val="0"/>
        </c:ser>
        <c:ser>
          <c:idx val="24"/>
          <c:order val="24"/>
          <c:tx>
            <c:strRef>
              <c:f>"施工图预算调整 核减 每月核减率"</c:f>
              <c:strCache>
                <c:ptCount val="1"/>
                <c:pt idx="0">
                  <c:v>施工图预算调整 核减 每月核减率</c:v>
                </c:pt>
              </c:strCache>
            </c:strRef>
          </c:tx>
          <c:spPr>
            <a:ln w="19050" cap="rnd" cmpd="sng" algn="ctr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分析!$D$142:$O$142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分析!$D$164:$O$164</c:f>
              <c:numCache>
                <c:formatCode>0.00%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</c:ser>
        <c:ser>
          <c:idx val="25"/>
          <c:order val="25"/>
          <c:tx>
            <c:strRef>
              <c:f>"施工图预算调整 核减 累计核减率"</c:f>
              <c:strCache>
                <c:ptCount val="1"/>
                <c:pt idx="0">
                  <c:v>施工图预算调整 核减 累计核减率</c:v>
                </c:pt>
              </c:strCache>
            </c:strRef>
          </c:tx>
          <c:spPr>
            <a:ln w="28575" cap="rnd" cmpd="sng" algn="ctr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分析!$D$142:$O$142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分析!$D$166:$O$166</c:f>
              <c:numCache>
                <c:formatCode>0.00%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90039674"/>
        <c:axId val="629519153"/>
      </c:lineChart>
      <c:catAx>
        <c:axId val="290039674"/>
        <c:scaling>
          <c:orientation val="minMax"/>
        </c:scaling>
        <c:delete val="0"/>
        <c:axPos val="b"/>
        <c:title>
          <c:layout/>
          <c:overlay val="0"/>
          <c:tx>
            <c:rich>
              <a:bodyPr/>
              <a:lstStyle/>
              <a:p>
                <a:pPr>
                  <a:defRPr/>
                </a:pPr>
              </a:p>
            </c:rich>
          </c:tx>
        </c:title>
        <c:numFmt formatCode="0&quot;月&quot;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000000"/>
                </a:solidFill>
                <a:latin typeface="微软雅黑" panose="020B0503020204020204" charset="-122"/>
                <a:ea typeface="+mn-ea"/>
                <a:cs typeface="+mn-cs"/>
              </a:defRPr>
            </a:pPr>
          </a:p>
        </c:txPr>
        <c:crossAx val="629519153"/>
        <c:crosses val="autoZero"/>
        <c:auto val="1"/>
        <c:lblAlgn val="ctr"/>
        <c:lblOffset val="100"/>
        <c:noMultiLvlLbl val="1"/>
      </c:catAx>
      <c:valAx>
        <c:axId val="629519153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</c:spPr>
        </c:majorGridlines>
        <c:title>
          <c:layout/>
          <c:overlay val="0"/>
          <c:tx>
            <c:rich>
              <a:bodyPr/>
              <a:lstStyle/>
              <a:p>
                <a:pPr>
                  <a:defRPr/>
                </a:pPr>
              </a:p>
            </c:rich>
          </c:tx>
        </c:title>
        <c:numFmt formatCode="0%" sourceLinked="0"/>
        <c:majorTickMark val="none"/>
        <c:minorTickMark val="none"/>
        <c:tickLblPos val="nextTo"/>
        <c:spPr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000000"/>
                </a:solidFill>
                <a:latin typeface="微软雅黑" panose="020B0503020204020204" charset="-122"/>
                <a:ea typeface="+mn-ea"/>
                <a:cs typeface="+mn-cs"/>
              </a:defRPr>
            </a:pPr>
          </a:p>
        </c:txPr>
        <c:crossAx val="290039674"/>
        <c:crosses val="autoZero"/>
        <c:crossBetween val="between"/>
      </c:valAx>
    </c:plotArea>
    <c:legend>
      <c:legendPos val="b"/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600" b="0" i="0" u="none" strike="noStrike" kern="1200" baseline="0">
                <a:solidFill>
                  <a:srgbClr val="1A1A1A"/>
                </a:solidFill>
                <a:latin typeface="微软雅黑" panose="020B0503020204020204" charset="-122"/>
                <a:ea typeface="+mn-ea"/>
                <a:cs typeface="+mn-cs"/>
              </a:defRPr>
            </a:pPr>
          </a:p>
        </c:txPr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zh-CN" sz="600" b="0" i="0" u="none" strike="noStrike" kern="1200" baseline="0">
                <a:solidFill>
                  <a:srgbClr val="1A1A1A"/>
                </a:solidFill>
                <a:latin typeface="微软雅黑" panose="020B0503020204020204" charset="-122"/>
                <a:ea typeface="+mn-ea"/>
                <a:cs typeface="+mn-cs"/>
              </a:defRPr>
            </a:pPr>
          </a:p>
        </c:txPr>
      </c:legendEntry>
      <c:legendEntry>
        <c:idx val="5"/>
        <c:txPr>
          <a:bodyPr rot="0" spcFirstLastPara="0" vertOverflow="ellipsis" vert="horz" wrap="square" anchor="ctr" anchorCtr="1"/>
          <a:lstStyle/>
          <a:p>
            <a:pPr>
              <a:defRPr lang="zh-CN" sz="600" b="0" i="0" u="none" strike="noStrike" kern="1200" baseline="0">
                <a:solidFill>
                  <a:srgbClr val="1A1A1A"/>
                </a:solidFill>
                <a:latin typeface="微软雅黑" panose="020B0503020204020204" charset="-122"/>
                <a:ea typeface="+mn-ea"/>
                <a:cs typeface="+mn-cs"/>
              </a:defRPr>
            </a:pPr>
          </a:p>
        </c:txPr>
      </c:legendEntry>
      <c:legendEntry>
        <c:idx val="7"/>
        <c:txPr>
          <a:bodyPr rot="0" spcFirstLastPara="0" vertOverflow="ellipsis" vert="horz" wrap="square" anchor="ctr" anchorCtr="1"/>
          <a:lstStyle/>
          <a:p>
            <a:pPr>
              <a:defRPr lang="zh-CN" sz="600" b="0" i="0" u="none" strike="noStrike" kern="1200" baseline="0">
                <a:solidFill>
                  <a:srgbClr val="1A1A1A"/>
                </a:solidFill>
                <a:latin typeface="微软雅黑" panose="020B0503020204020204" charset="-122"/>
                <a:ea typeface="+mn-ea"/>
                <a:cs typeface="+mn-cs"/>
              </a:defRPr>
            </a:pPr>
          </a:p>
        </c:txPr>
      </c:legendEntry>
      <c:legendEntry>
        <c:idx val="9"/>
        <c:txPr>
          <a:bodyPr rot="0" spcFirstLastPara="0" vertOverflow="ellipsis" vert="horz" wrap="square" anchor="ctr" anchorCtr="1"/>
          <a:lstStyle/>
          <a:p>
            <a:pPr>
              <a:defRPr lang="zh-CN" sz="600" b="0" i="0" u="none" strike="noStrike" kern="1200" baseline="0">
                <a:solidFill>
                  <a:srgbClr val="1A1A1A"/>
                </a:solidFill>
                <a:latin typeface="微软雅黑" panose="020B0503020204020204" charset="-122"/>
                <a:ea typeface="+mn-ea"/>
                <a:cs typeface="+mn-cs"/>
              </a:defRPr>
            </a:pPr>
          </a:p>
        </c:txPr>
      </c:legendEntry>
      <c:legendEntry>
        <c:idx val="11"/>
        <c:txPr>
          <a:bodyPr rot="0" spcFirstLastPara="0" vertOverflow="ellipsis" vert="horz" wrap="square" anchor="ctr" anchorCtr="1"/>
          <a:lstStyle/>
          <a:p>
            <a:pPr>
              <a:defRPr lang="zh-CN" sz="600" b="0" i="0" u="none" strike="noStrike" kern="1200" baseline="0">
                <a:solidFill>
                  <a:srgbClr val="1A1A1A"/>
                </a:solidFill>
                <a:latin typeface="微软雅黑" panose="020B0503020204020204" charset="-122"/>
                <a:ea typeface="+mn-ea"/>
                <a:cs typeface="+mn-cs"/>
              </a:defRPr>
            </a:pPr>
          </a:p>
        </c:txPr>
      </c:legendEntry>
      <c:legendEntry>
        <c:idx val="13"/>
        <c:txPr>
          <a:bodyPr rot="0" spcFirstLastPara="0" vertOverflow="ellipsis" vert="horz" wrap="square" anchor="ctr" anchorCtr="1"/>
          <a:lstStyle/>
          <a:p>
            <a:pPr>
              <a:defRPr lang="zh-CN" sz="600" b="0" i="0" u="none" strike="noStrike" kern="1200" baseline="0">
                <a:solidFill>
                  <a:srgbClr val="1A1A1A"/>
                </a:solidFill>
                <a:latin typeface="微软雅黑" panose="020B0503020204020204" charset="-122"/>
                <a:ea typeface="+mn-ea"/>
                <a:cs typeface="+mn-cs"/>
              </a:defRPr>
            </a:pPr>
          </a:p>
        </c:txPr>
      </c:legendEntry>
      <c:legendEntry>
        <c:idx val="15"/>
        <c:txPr>
          <a:bodyPr rot="0" spcFirstLastPara="0" vertOverflow="ellipsis" vert="horz" wrap="square" anchor="ctr" anchorCtr="1"/>
          <a:lstStyle/>
          <a:p>
            <a:pPr>
              <a:defRPr lang="zh-CN" sz="600" b="0" i="0" u="none" strike="noStrike" kern="1200" baseline="0">
                <a:solidFill>
                  <a:srgbClr val="1A1A1A"/>
                </a:solidFill>
                <a:latin typeface="微软雅黑" panose="020B0503020204020204" charset="-122"/>
                <a:ea typeface="+mn-ea"/>
                <a:cs typeface="+mn-cs"/>
              </a:defRPr>
            </a:pPr>
          </a:p>
        </c:txPr>
      </c:legendEntry>
      <c:legendEntry>
        <c:idx val="17"/>
        <c:txPr>
          <a:bodyPr rot="0" spcFirstLastPara="0" vertOverflow="ellipsis" vert="horz" wrap="square" anchor="ctr" anchorCtr="1"/>
          <a:lstStyle/>
          <a:p>
            <a:pPr>
              <a:defRPr lang="zh-CN" sz="600" b="0" i="0" u="none" strike="noStrike" kern="1200" baseline="0">
                <a:solidFill>
                  <a:srgbClr val="1A1A1A"/>
                </a:solidFill>
                <a:latin typeface="微软雅黑" panose="020B0503020204020204" charset="-122"/>
                <a:ea typeface="+mn-ea"/>
                <a:cs typeface="+mn-cs"/>
              </a:defRPr>
            </a:pPr>
          </a:p>
        </c:txPr>
      </c:legendEntry>
      <c:legendEntry>
        <c:idx val="19"/>
        <c:txPr>
          <a:bodyPr rot="0" spcFirstLastPara="0" vertOverflow="ellipsis" vert="horz" wrap="square" anchor="ctr" anchorCtr="1"/>
          <a:lstStyle/>
          <a:p>
            <a:pPr>
              <a:defRPr lang="zh-CN" sz="600" b="0" i="0" u="none" strike="noStrike" kern="1200" baseline="0">
                <a:solidFill>
                  <a:srgbClr val="1A1A1A"/>
                </a:solidFill>
                <a:latin typeface="微软雅黑" panose="020B0503020204020204" charset="-122"/>
                <a:ea typeface="+mn-ea"/>
                <a:cs typeface="+mn-cs"/>
              </a:defRPr>
            </a:pPr>
          </a:p>
        </c:txPr>
      </c:legendEntry>
      <c:legendEntry>
        <c:idx val="21"/>
        <c:txPr>
          <a:bodyPr rot="0" spcFirstLastPara="0" vertOverflow="ellipsis" vert="horz" wrap="square" anchor="ctr" anchorCtr="1"/>
          <a:lstStyle/>
          <a:p>
            <a:pPr>
              <a:defRPr lang="zh-CN" sz="600" b="0" i="0" u="none" strike="noStrike" kern="1200" baseline="0">
                <a:solidFill>
                  <a:srgbClr val="1A1A1A"/>
                </a:solidFill>
                <a:latin typeface="微软雅黑" panose="020B0503020204020204" charset="-122"/>
                <a:ea typeface="+mn-ea"/>
                <a:cs typeface="+mn-cs"/>
              </a:defRPr>
            </a:pPr>
          </a:p>
        </c:txPr>
      </c:legendEntry>
      <c:legendEntry>
        <c:idx val="23"/>
        <c:txPr>
          <a:bodyPr rot="0" spcFirstLastPara="0" vertOverflow="ellipsis" vert="horz" wrap="square" anchor="ctr" anchorCtr="1"/>
          <a:lstStyle/>
          <a:p>
            <a:pPr>
              <a:defRPr lang="zh-CN" sz="600" b="0" i="0" u="none" strike="noStrike" kern="1200" baseline="0">
                <a:solidFill>
                  <a:srgbClr val="1A1A1A"/>
                </a:solidFill>
                <a:latin typeface="微软雅黑" panose="020B0503020204020204" charset="-122"/>
                <a:ea typeface="+mn-ea"/>
                <a:cs typeface="+mn-cs"/>
              </a:defRPr>
            </a:pPr>
          </a:p>
        </c:txPr>
      </c:legendEntry>
      <c:legendEntry>
        <c:idx val="25"/>
        <c:txPr>
          <a:bodyPr rot="0" spcFirstLastPara="0" vertOverflow="ellipsis" vert="horz" wrap="square" anchor="ctr" anchorCtr="1"/>
          <a:lstStyle/>
          <a:p>
            <a:pPr>
              <a:defRPr lang="zh-CN" sz="600" b="0" i="0" u="none" strike="noStrike" kern="1200" baseline="0">
                <a:solidFill>
                  <a:srgbClr val="1A1A1A"/>
                </a:solidFill>
                <a:latin typeface="微软雅黑" panose="020B0503020204020204" charset="-122"/>
                <a:ea typeface="+mn-ea"/>
                <a:cs typeface="+mn-cs"/>
              </a:defRPr>
            </a:pPr>
          </a:p>
        </c:txPr>
      </c:legendEntry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600" b="0" i="0" u="none" strike="noStrike" kern="1200" baseline="0">
              <a:solidFill>
                <a:srgbClr val="1A1A1A"/>
              </a:solidFill>
              <a:latin typeface="微软雅黑" panose="020B0503020204020204" charset="-122"/>
              <a:ea typeface="+mn-ea"/>
              <a:cs typeface="+mn-cs"/>
            </a:defRPr>
          </a:pPr>
        </a:p>
      </c:txPr>
    </c:legend>
    <c:plotVisOnly val="1"/>
    <c:dispBlanksAs val="zero"/>
    <c:showDLblsOverMax val="1"/>
    <c:extLst>
      <c:ext uri="{0b15fc19-7d7d-44ad-8c2d-2c3a37ce22c3}">
        <chartProps xmlns="https://web.wps.cn/et/2018/main" chartId="{f1016728-797a-4c42-a862-0a13b34eab4d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zh-CN" sz="1400" b="0" i="0" u="none" strike="noStrike" kern="1200" baseline="0">
                <a:solidFill>
                  <a:srgbClr val="7F7F7F"/>
                </a:solidFill>
                <a:latin typeface="微软雅黑" panose="020B0503020204020204" charset="-122"/>
                <a:ea typeface="+mn-ea"/>
                <a:cs typeface="+mn-cs"/>
              </a:defRPr>
            </a:pPr>
            <a:r>
              <a:rPr sz="1400" b="0" i="0">
                <a:solidFill>
                  <a:srgbClr val="7F7F7F"/>
                </a:solidFill>
                <a:latin typeface="微软雅黑" panose="020B0503020204020204" charset="-122"/>
              </a:rPr>
              <a:t>规划中心主网项目评审情况</a:t>
            </a:r>
            <a:endParaRPr sz="1400" b="0" i="0">
              <a:solidFill>
                <a:srgbClr val="7F7F7F"/>
              </a:solidFill>
              <a:latin typeface="微软雅黑" panose="020B0503020204020204" charset="-122"/>
            </a:endParaRPr>
          </a:p>
        </c:rich>
      </c:tx>
      <c:layout>
        <c:manualLayout>
          <c:xMode val="edge"/>
          <c:yMode val="edge"/>
          <c:x val="0.401654051023269"/>
          <c:y val="0.0174545454545455"/>
        </c:manualLayout>
      </c:layout>
      <c:overlay val="0"/>
    </c:title>
    <c:autoTitleDeleted val="0"/>
    <c:plotArea>
      <c:layout>
        <c:manualLayout>
          <c:xMode val="edge"/>
          <c:yMode val="edge"/>
          <c:x val="0.0608112507324696"/>
          <c:y val="0.0781309357984045"/>
          <c:w val="0.912168760987043"/>
          <c:h val="0.786881094086362"/>
        </c:manualLayout>
      </c:layout>
      <c:lineChart>
        <c:grouping val="standard"/>
        <c:varyColors val="1"/>
        <c:ser>
          <c:idx val="0"/>
          <c:order val="0"/>
          <c:tx>
            <c:strRef>
              <c:f>"可研"</c:f>
              <c:strCache>
                <c:ptCount val="1"/>
                <c:pt idx="0">
                  <c:v>可研</c:v>
                </c:pt>
              </c:strCache>
            </c:strRef>
          </c:tx>
          <c:spPr>
            <a:ln w="19050" cap="rnd" cmpd="sng" algn="ctr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17"/>
            <c:spPr>
              <a:solidFill>
                <a:schemeClr val="accent2"/>
              </a:solidFill>
              <a:ln w="6350" cap="flat" cmpd="sng" algn="ctr">
                <a:solidFill>
                  <a:schemeClr val="accent2"/>
                </a:solidFill>
                <a:prstDash val="solid"/>
                <a:round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rgbClr val="ED7D31"/>
                    </a:solidFill>
                    <a:latin typeface="微软雅黑" panose="020B0503020204020204" charset="-122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'2024统计'!$A$9:$A$20</c:f>
              <c:strCache>
                <c:ptCount val="12"/>
                <c:pt idx="0">
                  <c:v>2024年1月</c:v>
                </c:pt>
                <c:pt idx="1">
                  <c:v>2024年2月</c:v>
                </c:pt>
                <c:pt idx="2">
                  <c:v>2024年3月</c:v>
                </c:pt>
                <c:pt idx="3">
                  <c:v>2024年4月</c:v>
                </c:pt>
                <c:pt idx="4">
                  <c:v>2024年5月</c:v>
                </c:pt>
                <c:pt idx="5">
                  <c:v>2024年6月</c:v>
                </c:pt>
                <c:pt idx="6">
                  <c:v>2024年7月</c:v>
                </c:pt>
                <c:pt idx="7">
                  <c:v>2024年8月</c:v>
                </c:pt>
                <c:pt idx="8">
                  <c:v>2024年9月</c:v>
                </c:pt>
                <c:pt idx="9">
                  <c:v>2024年10月</c:v>
                </c:pt>
                <c:pt idx="10">
                  <c:v>2024年11月</c:v>
                </c:pt>
                <c:pt idx="11">
                  <c:v>2024年12月</c:v>
                </c:pt>
              </c:strCache>
            </c:strRef>
          </c:cat>
          <c:val>
            <c:numRef>
              <c:f>'2024统计'!$B$9:$B$20</c:f>
              <c:numCache>
                <c:formatCode>General</c:formatCode>
                <c:ptCount val="12"/>
                <c:pt idx="0">
                  <c:v>4.384582</c:v>
                </c:pt>
                <c:pt idx="1">
                  <c:v>5.261981</c:v>
                </c:pt>
                <c:pt idx="2">
                  <c:v>8.999721</c:v>
                </c:pt>
                <c:pt idx="3">
                  <c:v>9.141672</c:v>
                </c:pt>
                <c:pt idx="4">
                  <c:v>10.466398</c:v>
                </c:pt>
                <c:pt idx="5">
                  <c:v>11.224612</c:v>
                </c:pt>
                <c:pt idx="6">
                  <c:v>11.862403</c:v>
                </c:pt>
                <c:pt idx="7">
                  <c:v>15.688632</c:v>
                </c:pt>
                <c:pt idx="8">
                  <c:v>23.270098</c:v>
                </c:pt>
                <c:pt idx="9">
                  <c:v>29.954228</c:v>
                </c:pt>
                <c:pt idx="10">
                  <c:v>38.305518</c:v>
                </c:pt>
                <c:pt idx="11">
                  <c:v>41.273298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"可研调整"</c:f>
              <c:strCache>
                <c:ptCount val="1"/>
                <c:pt idx="0">
                  <c:v>可研调整</c:v>
                </c:pt>
              </c:strCache>
            </c:strRef>
          </c:tx>
          <c:spPr>
            <a:ln w="19050" cap="rnd" cmpd="sng" algn="ctr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17"/>
            <c:spPr>
              <a:solidFill>
                <a:schemeClr val="accent2"/>
              </a:solidFill>
              <a:ln w="6350" cap="flat" cmpd="sng" algn="ctr">
                <a:solidFill>
                  <a:schemeClr val="accent2"/>
                </a:solidFill>
                <a:prstDash val="solid"/>
                <a:round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rgbClr val="ED7D31"/>
                    </a:solidFill>
                    <a:latin typeface="微软雅黑" panose="020B0503020204020204" charset="-122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'2024统计'!$A$9:$A$20</c:f>
              <c:strCache>
                <c:ptCount val="12"/>
                <c:pt idx="0">
                  <c:v>2024年1月</c:v>
                </c:pt>
                <c:pt idx="1">
                  <c:v>2024年2月</c:v>
                </c:pt>
                <c:pt idx="2">
                  <c:v>2024年3月</c:v>
                </c:pt>
                <c:pt idx="3">
                  <c:v>2024年4月</c:v>
                </c:pt>
                <c:pt idx="4">
                  <c:v>2024年5月</c:v>
                </c:pt>
                <c:pt idx="5">
                  <c:v>2024年6月</c:v>
                </c:pt>
                <c:pt idx="6">
                  <c:v>2024年7月</c:v>
                </c:pt>
                <c:pt idx="7">
                  <c:v>2024年8月</c:v>
                </c:pt>
                <c:pt idx="8">
                  <c:v>2024年9月</c:v>
                </c:pt>
                <c:pt idx="9">
                  <c:v>2024年10月</c:v>
                </c:pt>
                <c:pt idx="10">
                  <c:v>2024年11月</c:v>
                </c:pt>
                <c:pt idx="11">
                  <c:v>2024年12月</c:v>
                </c:pt>
              </c:strCache>
            </c:strRef>
          </c:cat>
          <c:val>
            <c:numRef>
              <c:f>'2024统计'!$C$9:$C$20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0.853543</c:v>
                </c:pt>
                <c:pt idx="4">
                  <c:v>3.793141</c:v>
                </c:pt>
                <c:pt idx="5">
                  <c:v>3.793141</c:v>
                </c:pt>
                <c:pt idx="6">
                  <c:v>6.550304</c:v>
                </c:pt>
                <c:pt idx="7">
                  <c:v>6.550304</c:v>
                </c:pt>
                <c:pt idx="8">
                  <c:v>6.550304</c:v>
                </c:pt>
                <c:pt idx="9">
                  <c:v>6.550304</c:v>
                </c:pt>
                <c:pt idx="10">
                  <c:v>8.321078</c:v>
                </c:pt>
                <c:pt idx="11">
                  <c:v>8.321078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"初设"</c:f>
              <c:strCache>
                <c:ptCount val="1"/>
                <c:pt idx="0">
                  <c:v>初设</c:v>
                </c:pt>
              </c:strCache>
            </c:strRef>
          </c:tx>
          <c:spPr>
            <a:ln w="19050" cap="rnd" cmpd="sng" algn="ctr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17"/>
            <c:spPr>
              <a:solidFill>
                <a:schemeClr val="accent2"/>
              </a:solidFill>
              <a:ln w="6350" cap="flat" cmpd="sng" algn="ctr">
                <a:solidFill>
                  <a:schemeClr val="accent2"/>
                </a:solidFill>
                <a:prstDash val="solid"/>
                <a:round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rgbClr val="ED7D31"/>
                    </a:solidFill>
                    <a:latin typeface="微软雅黑" panose="020B0503020204020204" charset="-122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'2024统计'!$A$9:$A$20</c:f>
              <c:strCache>
                <c:ptCount val="12"/>
                <c:pt idx="0">
                  <c:v>2024年1月</c:v>
                </c:pt>
                <c:pt idx="1">
                  <c:v>2024年2月</c:v>
                </c:pt>
                <c:pt idx="2">
                  <c:v>2024年3月</c:v>
                </c:pt>
                <c:pt idx="3">
                  <c:v>2024年4月</c:v>
                </c:pt>
                <c:pt idx="4">
                  <c:v>2024年5月</c:v>
                </c:pt>
                <c:pt idx="5">
                  <c:v>2024年6月</c:v>
                </c:pt>
                <c:pt idx="6">
                  <c:v>2024年7月</c:v>
                </c:pt>
                <c:pt idx="7">
                  <c:v>2024年8月</c:v>
                </c:pt>
                <c:pt idx="8">
                  <c:v>2024年9月</c:v>
                </c:pt>
                <c:pt idx="9">
                  <c:v>2024年10月</c:v>
                </c:pt>
                <c:pt idx="10">
                  <c:v>2024年11月</c:v>
                </c:pt>
                <c:pt idx="11">
                  <c:v>2024年12月</c:v>
                </c:pt>
              </c:strCache>
            </c:strRef>
          </c:cat>
          <c:val>
            <c:numRef>
              <c:f>'2024统计'!$D$9:$D$20</c:f>
              <c:numCache>
                <c:formatCode>General</c:formatCode>
                <c:ptCount val="12"/>
                <c:pt idx="0">
                  <c:v>4.238128</c:v>
                </c:pt>
                <c:pt idx="1">
                  <c:v>7.174139</c:v>
                </c:pt>
                <c:pt idx="2">
                  <c:v>9.882263</c:v>
                </c:pt>
                <c:pt idx="3">
                  <c:v>11.8902523546</c:v>
                </c:pt>
                <c:pt idx="4">
                  <c:v>40.4359253546</c:v>
                </c:pt>
                <c:pt idx="5">
                  <c:v>44.6724363546</c:v>
                </c:pt>
                <c:pt idx="6">
                  <c:v>48.1375043546</c:v>
                </c:pt>
                <c:pt idx="7">
                  <c:v>53.2464293546</c:v>
                </c:pt>
                <c:pt idx="8">
                  <c:v>54.6430653546</c:v>
                </c:pt>
                <c:pt idx="9">
                  <c:v>55.1389233546</c:v>
                </c:pt>
                <c:pt idx="10">
                  <c:v>57.3422793546</c:v>
                </c:pt>
                <c:pt idx="11">
                  <c:v>61.8129653546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"初设调整"</c:f>
              <c:strCache>
                <c:ptCount val="1"/>
                <c:pt idx="0">
                  <c:v>初设调整</c:v>
                </c:pt>
              </c:strCache>
            </c:strRef>
          </c:tx>
          <c:spPr>
            <a:ln w="19050" cap="rnd" cmpd="sng" algn="ctr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17"/>
            <c:spPr>
              <a:solidFill>
                <a:schemeClr val="accent2"/>
              </a:solidFill>
              <a:ln w="6350" cap="flat" cmpd="sng" algn="ctr">
                <a:solidFill>
                  <a:schemeClr val="accent2"/>
                </a:solidFill>
                <a:prstDash val="solid"/>
                <a:round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rgbClr val="ED7D31"/>
                    </a:solidFill>
                    <a:latin typeface="微软雅黑" panose="020B0503020204020204" charset="-122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'2024统计'!$A$9:$A$20</c:f>
              <c:strCache>
                <c:ptCount val="12"/>
                <c:pt idx="0">
                  <c:v>2024年1月</c:v>
                </c:pt>
                <c:pt idx="1">
                  <c:v>2024年2月</c:v>
                </c:pt>
                <c:pt idx="2">
                  <c:v>2024年3月</c:v>
                </c:pt>
                <c:pt idx="3">
                  <c:v>2024年4月</c:v>
                </c:pt>
                <c:pt idx="4">
                  <c:v>2024年5月</c:v>
                </c:pt>
                <c:pt idx="5">
                  <c:v>2024年6月</c:v>
                </c:pt>
                <c:pt idx="6">
                  <c:v>2024年7月</c:v>
                </c:pt>
                <c:pt idx="7">
                  <c:v>2024年8月</c:v>
                </c:pt>
                <c:pt idx="8">
                  <c:v>2024年9月</c:v>
                </c:pt>
                <c:pt idx="9">
                  <c:v>2024年10月</c:v>
                </c:pt>
                <c:pt idx="10">
                  <c:v>2024年11月</c:v>
                </c:pt>
                <c:pt idx="11">
                  <c:v>2024年12月</c:v>
                </c:pt>
              </c:strCache>
            </c:strRef>
          </c:cat>
          <c:val>
            <c:numRef>
              <c:f>'2024统计'!$E$9:$E$20</c:f>
              <c:numCache>
                <c:formatCode>General</c:formatCode>
                <c:ptCount val="12"/>
                <c:pt idx="0">
                  <c:v>3.654331</c:v>
                </c:pt>
                <c:pt idx="1">
                  <c:v>4.448156</c:v>
                </c:pt>
                <c:pt idx="2">
                  <c:v>4.448156</c:v>
                </c:pt>
                <c:pt idx="3">
                  <c:v>5.085188</c:v>
                </c:pt>
                <c:pt idx="4">
                  <c:v>10.13237</c:v>
                </c:pt>
                <c:pt idx="5">
                  <c:v>10.13237</c:v>
                </c:pt>
                <c:pt idx="6">
                  <c:v>12.038284</c:v>
                </c:pt>
                <c:pt idx="7">
                  <c:v>14.015994</c:v>
                </c:pt>
                <c:pt idx="8">
                  <c:v>14.015994</c:v>
                </c:pt>
                <c:pt idx="9">
                  <c:v>22.025957</c:v>
                </c:pt>
                <c:pt idx="10">
                  <c:v>22.172651</c:v>
                </c:pt>
                <c:pt idx="11">
                  <c:v>26.336237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"施工图及预算"</c:f>
              <c:strCache>
                <c:ptCount val="1"/>
                <c:pt idx="0">
                  <c:v>施工图及预算</c:v>
                </c:pt>
              </c:strCache>
            </c:strRef>
          </c:tx>
          <c:spPr>
            <a:ln w="19050" cap="rnd" cmpd="sng" algn="ctr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17"/>
            <c:spPr>
              <a:solidFill>
                <a:schemeClr val="accent2"/>
              </a:solidFill>
              <a:ln w="6350" cap="flat" cmpd="sng" algn="ctr">
                <a:solidFill>
                  <a:schemeClr val="accent2"/>
                </a:solidFill>
                <a:prstDash val="solid"/>
                <a:round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rgbClr val="ED7D31"/>
                    </a:solidFill>
                    <a:latin typeface="微软雅黑" panose="020B0503020204020204" charset="-122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'2024统计'!$A$9:$A$20</c:f>
              <c:strCache>
                <c:ptCount val="12"/>
                <c:pt idx="0">
                  <c:v>2024年1月</c:v>
                </c:pt>
                <c:pt idx="1">
                  <c:v>2024年2月</c:v>
                </c:pt>
                <c:pt idx="2">
                  <c:v>2024年3月</c:v>
                </c:pt>
                <c:pt idx="3">
                  <c:v>2024年4月</c:v>
                </c:pt>
                <c:pt idx="4">
                  <c:v>2024年5月</c:v>
                </c:pt>
                <c:pt idx="5">
                  <c:v>2024年6月</c:v>
                </c:pt>
                <c:pt idx="6">
                  <c:v>2024年7月</c:v>
                </c:pt>
                <c:pt idx="7">
                  <c:v>2024年8月</c:v>
                </c:pt>
                <c:pt idx="8">
                  <c:v>2024年9月</c:v>
                </c:pt>
                <c:pt idx="9">
                  <c:v>2024年10月</c:v>
                </c:pt>
                <c:pt idx="10">
                  <c:v>2024年11月</c:v>
                </c:pt>
                <c:pt idx="11">
                  <c:v>2024年12月</c:v>
                </c:pt>
              </c:strCache>
            </c:strRef>
          </c:cat>
          <c:val>
            <c:numRef>
              <c:f>'2024统计'!$F$9:$F$20</c:f>
              <c:numCache>
                <c:formatCode>General</c:formatCode>
                <c:ptCount val="12"/>
                <c:pt idx="0">
                  <c:v>2.397307</c:v>
                </c:pt>
                <c:pt idx="1">
                  <c:v>3.070196</c:v>
                </c:pt>
                <c:pt idx="2">
                  <c:v>7.916458</c:v>
                </c:pt>
                <c:pt idx="3">
                  <c:v>15.095389</c:v>
                </c:pt>
                <c:pt idx="4">
                  <c:v>20.822931</c:v>
                </c:pt>
                <c:pt idx="5">
                  <c:v>33.556965</c:v>
                </c:pt>
                <c:pt idx="6">
                  <c:v>35.598519</c:v>
                </c:pt>
                <c:pt idx="7">
                  <c:v>35.840717</c:v>
                </c:pt>
                <c:pt idx="8">
                  <c:v>36.285957</c:v>
                </c:pt>
                <c:pt idx="9">
                  <c:v>37.512638</c:v>
                </c:pt>
                <c:pt idx="10">
                  <c:v>38.419496</c:v>
                </c:pt>
                <c:pt idx="11">
                  <c:v>42.954833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"施工图预算调整"</c:f>
              <c:strCache>
                <c:ptCount val="1"/>
                <c:pt idx="0">
                  <c:v>施工图预算调整</c:v>
                </c:pt>
              </c:strCache>
            </c:strRef>
          </c:tx>
          <c:spPr>
            <a:ln w="19050" cap="rnd" cmpd="sng" algn="ctr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17"/>
            <c:spPr>
              <a:solidFill>
                <a:schemeClr val="accent2"/>
              </a:solidFill>
              <a:ln w="6350" cap="flat" cmpd="sng" algn="ctr">
                <a:solidFill>
                  <a:schemeClr val="accent2"/>
                </a:solidFill>
                <a:prstDash val="solid"/>
                <a:round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rgbClr val="ED7D31"/>
                    </a:solidFill>
                    <a:latin typeface="微软雅黑" panose="020B0503020204020204" charset="-122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'2024统计'!$A$9:$A$20</c:f>
              <c:strCache>
                <c:ptCount val="12"/>
                <c:pt idx="0">
                  <c:v>2024年1月</c:v>
                </c:pt>
                <c:pt idx="1">
                  <c:v>2024年2月</c:v>
                </c:pt>
                <c:pt idx="2">
                  <c:v>2024年3月</c:v>
                </c:pt>
                <c:pt idx="3">
                  <c:v>2024年4月</c:v>
                </c:pt>
                <c:pt idx="4">
                  <c:v>2024年5月</c:v>
                </c:pt>
                <c:pt idx="5">
                  <c:v>2024年6月</c:v>
                </c:pt>
                <c:pt idx="6">
                  <c:v>2024年7月</c:v>
                </c:pt>
                <c:pt idx="7">
                  <c:v>2024年8月</c:v>
                </c:pt>
                <c:pt idx="8">
                  <c:v>2024年9月</c:v>
                </c:pt>
                <c:pt idx="9">
                  <c:v>2024年10月</c:v>
                </c:pt>
                <c:pt idx="10">
                  <c:v>2024年11月</c:v>
                </c:pt>
                <c:pt idx="11">
                  <c:v>2024年12月</c:v>
                </c:pt>
              </c:strCache>
            </c:strRef>
          </c:cat>
          <c:val>
            <c:numRef>
              <c:f>'2024统计'!$G$9:$G$20</c:f>
              <c:numCache>
                <c:formatCode>General</c:formatCode>
                <c:ptCount val="12"/>
                <c:pt idx="0">
                  <c:v>0.9405</c:v>
                </c:pt>
                <c:pt idx="1">
                  <c:v>0.9405</c:v>
                </c:pt>
                <c:pt idx="2">
                  <c:v>0.9405</c:v>
                </c:pt>
                <c:pt idx="3">
                  <c:v>0.9405</c:v>
                </c:pt>
                <c:pt idx="4">
                  <c:v>2.8851</c:v>
                </c:pt>
                <c:pt idx="5">
                  <c:v>2.8851</c:v>
                </c:pt>
                <c:pt idx="6">
                  <c:v>6.0521</c:v>
                </c:pt>
                <c:pt idx="7">
                  <c:v>6.0521</c:v>
                </c:pt>
                <c:pt idx="8">
                  <c:v>6.0521</c:v>
                </c:pt>
                <c:pt idx="9">
                  <c:v>6.0521</c:v>
                </c:pt>
                <c:pt idx="10">
                  <c:v>6.0521</c:v>
                </c:pt>
                <c:pt idx="11">
                  <c:v>7.8213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"重大设计变更"</c:f>
              <c:strCache>
                <c:ptCount val="1"/>
                <c:pt idx="0">
                  <c:v>重大设计变更</c:v>
                </c:pt>
              </c:strCache>
            </c:strRef>
          </c:tx>
          <c:spPr>
            <a:ln w="19050" cap="rnd" cmpd="sng" algn="ctr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17"/>
            <c:spPr>
              <a:solidFill>
                <a:schemeClr val="accent2"/>
              </a:solidFill>
              <a:ln w="6350" cap="flat" cmpd="sng" algn="ctr">
                <a:solidFill>
                  <a:schemeClr val="accent2"/>
                </a:solidFill>
                <a:prstDash val="solid"/>
                <a:round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rgbClr val="ED7D31"/>
                    </a:solidFill>
                    <a:latin typeface="微软雅黑" panose="020B0503020204020204" charset="-122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'2024统计'!$A$9:$A$20</c:f>
              <c:strCache>
                <c:ptCount val="12"/>
                <c:pt idx="0">
                  <c:v>2024年1月</c:v>
                </c:pt>
                <c:pt idx="1">
                  <c:v>2024年2月</c:v>
                </c:pt>
                <c:pt idx="2">
                  <c:v>2024年3月</c:v>
                </c:pt>
                <c:pt idx="3">
                  <c:v>2024年4月</c:v>
                </c:pt>
                <c:pt idx="4">
                  <c:v>2024年5月</c:v>
                </c:pt>
                <c:pt idx="5">
                  <c:v>2024年6月</c:v>
                </c:pt>
                <c:pt idx="6">
                  <c:v>2024年7月</c:v>
                </c:pt>
                <c:pt idx="7">
                  <c:v>2024年8月</c:v>
                </c:pt>
                <c:pt idx="8">
                  <c:v>2024年9月</c:v>
                </c:pt>
                <c:pt idx="9">
                  <c:v>2024年10月</c:v>
                </c:pt>
                <c:pt idx="10">
                  <c:v>2024年11月</c:v>
                </c:pt>
                <c:pt idx="11">
                  <c:v>2024年12月</c:v>
                </c:pt>
              </c:strCache>
            </c:strRef>
          </c:cat>
          <c:val>
            <c:numRef>
              <c:f>'2024统计'!$H$9:$H$20</c:f>
              <c:numCache>
                <c:formatCode>General</c:formatCode>
                <c:ptCount val="12"/>
                <c:pt idx="0">
                  <c:v>0.060156</c:v>
                </c:pt>
                <c:pt idx="1">
                  <c:v>0.174182</c:v>
                </c:pt>
                <c:pt idx="2">
                  <c:v>0.326341</c:v>
                </c:pt>
                <c:pt idx="3">
                  <c:v>0.326341</c:v>
                </c:pt>
                <c:pt idx="4">
                  <c:v>0.43776</c:v>
                </c:pt>
                <c:pt idx="5">
                  <c:v>0.76262</c:v>
                </c:pt>
                <c:pt idx="6">
                  <c:v>0.76262</c:v>
                </c:pt>
                <c:pt idx="7">
                  <c:v>0.779982</c:v>
                </c:pt>
                <c:pt idx="8">
                  <c:v>1.314742</c:v>
                </c:pt>
                <c:pt idx="9">
                  <c:v>1.358223</c:v>
                </c:pt>
                <c:pt idx="10">
                  <c:v>1.465502</c:v>
                </c:pt>
                <c:pt idx="11">
                  <c:v>1.443316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4209932"/>
        <c:axId val="1877475394"/>
      </c:lineChart>
      <c:catAx>
        <c:axId val="824209932"/>
        <c:scaling>
          <c:orientation val="minMax"/>
        </c:scaling>
        <c:delete val="0"/>
        <c:axPos val="b"/>
        <c:title>
          <c:layout/>
          <c:overlay val="0"/>
          <c:tx>
            <c:rich>
              <a:bodyPr/>
              <a:lstStyle/>
              <a:p>
                <a:pPr>
                  <a:defRPr/>
                </a:pPr>
              </a:p>
            </c:rich>
          </c:tx>
        </c:title>
        <c:numFmt formatCode="General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dk1"/>
                </a:solidFill>
                <a:latin typeface="微软雅黑" panose="020B0503020204020204" charset="-122"/>
                <a:ea typeface="+mn-ea"/>
                <a:cs typeface="+mn-cs"/>
              </a:defRPr>
            </a:pPr>
          </a:p>
        </c:txPr>
        <c:crossAx val="1877475394"/>
        <c:crosses val="autoZero"/>
        <c:auto val="1"/>
        <c:lblAlgn val="ctr"/>
        <c:lblOffset val="100"/>
        <c:noMultiLvlLbl val="1"/>
      </c:catAx>
      <c:valAx>
        <c:axId val="1877475394"/>
        <c:scaling>
          <c:orientation val="minMax"/>
        </c:scaling>
        <c:delete val="0"/>
        <c:axPos val="l"/>
        <c:title>
          <c:layout/>
          <c:overlay val="0"/>
          <c:tx>
            <c:rich>
              <a:bodyPr/>
              <a:lstStyle/>
              <a:p>
                <a:pPr>
                  <a:defRPr/>
                </a:pPr>
              </a:p>
            </c:rich>
          </c:tx>
        </c:title>
        <c:numFmt formatCode="General" sourceLinked="1"/>
        <c:majorTickMark val="none"/>
        <c:minorTickMark val="none"/>
        <c:tickLblPos val="nextTo"/>
        <c:spPr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dk1"/>
                </a:solidFill>
                <a:latin typeface="微软雅黑" panose="020B0503020204020204" charset="-122"/>
                <a:ea typeface="+mn-ea"/>
                <a:cs typeface="+mn-cs"/>
              </a:defRPr>
            </a:pPr>
          </a:p>
        </c:txPr>
        <c:crossAx val="824209932"/>
        <c:crosses val="autoZero"/>
        <c:crossBetween val="between"/>
      </c:valAx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rgbClr val="000000"/>
                </a:solidFill>
                <a:latin typeface="微软雅黑" panose="020B0503020204020204" charset="-122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rgbClr val="000000"/>
                </a:solidFill>
                <a:latin typeface="微软雅黑" panose="020B0503020204020204" charset="-122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rgbClr val="000000"/>
                </a:solidFill>
                <a:latin typeface="微软雅黑" panose="020B0503020204020204" charset="-122"/>
                <a:ea typeface="+mn-ea"/>
                <a:cs typeface="+mn-cs"/>
              </a:defRPr>
            </a:pPr>
          </a:p>
        </c:txPr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rgbClr val="000000"/>
                </a:solidFill>
                <a:latin typeface="微软雅黑" panose="020B0503020204020204" charset="-122"/>
                <a:ea typeface="+mn-ea"/>
                <a:cs typeface="+mn-cs"/>
              </a:defRPr>
            </a:pPr>
          </a:p>
        </c:txPr>
      </c:legendEntry>
      <c:legendEntry>
        <c:idx val="4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rgbClr val="000000"/>
                </a:solidFill>
                <a:latin typeface="微软雅黑" panose="020B0503020204020204" charset="-122"/>
                <a:ea typeface="+mn-ea"/>
                <a:cs typeface="+mn-cs"/>
              </a:defRPr>
            </a:pPr>
          </a:p>
        </c:txPr>
      </c:legendEntry>
      <c:legendEntry>
        <c:idx val="5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rgbClr val="000000"/>
                </a:solidFill>
                <a:latin typeface="微软雅黑" panose="020B0503020204020204" charset="-122"/>
                <a:ea typeface="+mn-ea"/>
                <a:cs typeface="+mn-cs"/>
              </a:defRPr>
            </a:pPr>
          </a:p>
        </c:txPr>
      </c:legendEntry>
      <c:legendEntry>
        <c:idx val="6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rgbClr val="000000"/>
                </a:solidFill>
                <a:latin typeface="微软雅黑" panose="020B0503020204020204" charset="-122"/>
                <a:ea typeface="+mn-ea"/>
                <a:cs typeface="+mn-cs"/>
              </a:defRPr>
            </a:pPr>
          </a:p>
        </c:txPr>
      </c:legendEntry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dk1"/>
              </a:solidFill>
              <a:latin typeface="微软雅黑" panose="020B0503020204020204" charset="-122"/>
              <a:ea typeface="+mn-ea"/>
              <a:cs typeface="+mn-cs"/>
            </a:defRPr>
          </a:pPr>
        </a:p>
      </c:txPr>
    </c:legend>
    <c:plotVisOnly val="1"/>
    <c:dispBlanksAs val="zero"/>
    <c:showDLblsOverMax val="1"/>
    <c:extLst>
      <c:ext uri="{0b15fc19-7d7d-44ad-8c2d-2c3a37ce22c3}">
        <chartProps xmlns="https://web.wps.cn/et/2018/main" chartId="{97d48d88-4ae1-4546-843d-c9d0b4dde5b8}"/>
      </c:ext>
    </c:extLst>
  </c:chart>
  <c:spPr>
    <a:solidFill>
      <a:schemeClr val="lt1"/>
    </a:solidFill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zh-CN" sz="1400" b="0" i="0" u="none" strike="noStrike" kern="1200" baseline="0">
                <a:solidFill>
                  <a:srgbClr val="7F7F7F"/>
                </a:solidFill>
                <a:latin typeface="微软雅黑" panose="020B0503020204020204" charset="-122"/>
                <a:ea typeface="+mn-ea"/>
                <a:cs typeface="+mn-cs"/>
              </a:defRPr>
            </a:pPr>
            <a:r>
              <a:rPr sz="1400" b="0" i="0">
                <a:solidFill>
                  <a:srgbClr val="7F7F7F"/>
                </a:solidFill>
                <a:latin typeface="微软雅黑" panose="020B0503020204020204" charset="-122"/>
              </a:rPr>
              <a:t>技术经济部人员评审情况</a:t>
            </a:r>
            <a:endParaRPr sz="1400" b="0" i="0">
              <a:solidFill>
                <a:srgbClr val="7F7F7F"/>
              </a:solidFill>
              <a:latin typeface="微软雅黑" panose="020B0503020204020204" charset="-122"/>
            </a:endParaRPr>
          </a:p>
        </c:rich>
      </c:tx>
      <c:layout/>
      <c:overlay val="0"/>
    </c:title>
    <c:autoTitleDeleted val="0"/>
    <c:plotArea>
      <c:layout>
        <c:manualLayout>
          <c:xMode val="edge"/>
          <c:yMode val="edge"/>
          <c:x val="0.0888445954777153"/>
          <c:y val="0.0755725190839695"/>
          <c:w val="0.869069402692458"/>
          <c:h val="0.790330788804071"/>
        </c:manualLayout>
      </c:layout>
      <c:lineChart>
        <c:grouping val="standard"/>
        <c:varyColors val="1"/>
        <c:ser>
          <c:idx val="0"/>
          <c:order val="0"/>
          <c:tx>
            <c:strRef>
              <c:f>"方  明"</c:f>
              <c:strCache>
                <c:ptCount val="1"/>
                <c:pt idx="0">
                  <c:v>方  明</c:v>
                </c:pt>
              </c:strCache>
            </c:strRef>
          </c:tx>
          <c:spPr>
            <a:ln w="19050" cap="rnd" cmpd="sng" algn="ctr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17"/>
            <c:spPr>
              <a:solidFill>
                <a:schemeClr val="accent2"/>
              </a:solidFill>
              <a:ln w="6350" cap="flat" cmpd="sng" algn="ctr">
                <a:solidFill>
                  <a:schemeClr val="accent2"/>
                </a:solidFill>
                <a:prstDash val="solid"/>
                <a:round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rgbClr val="C00000"/>
                    </a:solidFill>
                    <a:latin typeface="微软雅黑" panose="020B0503020204020204" charset="-122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'2024统计'!$K$9:$K$20</c:f>
              <c:strCache>
                <c:ptCount val="12"/>
                <c:pt idx="0">
                  <c:v>2024年1月</c:v>
                </c:pt>
                <c:pt idx="1">
                  <c:v>2024年2月</c:v>
                </c:pt>
                <c:pt idx="2">
                  <c:v>2024年3月</c:v>
                </c:pt>
                <c:pt idx="3">
                  <c:v>2024年4月</c:v>
                </c:pt>
                <c:pt idx="4">
                  <c:v>2024年5月</c:v>
                </c:pt>
                <c:pt idx="5">
                  <c:v>2024年6月</c:v>
                </c:pt>
                <c:pt idx="6">
                  <c:v>2024年7月</c:v>
                </c:pt>
                <c:pt idx="7">
                  <c:v>2024年8月</c:v>
                </c:pt>
                <c:pt idx="8">
                  <c:v>2024年9月</c:v>
                </c:pt>
                <c:pt idx="9">
                  <c:v>2024年10月</c:v>
                </c:pt>
                <c:pt idx="10">
                  <c:v>2024年11月</c:v>
                </c:pt>
                <c:pt idx="11">
                  <c:v>2024年12月</c:v>
                </c:pt>
              </c:strCache>
            </c:strRef>
          </c:cat>
          <c:val>
            <c:numRef>
              <c:f>'2024统计'!$L$9:$L$20</c:f>
              <c:numCache>
                <c:formatCode>General</c:formatCode>
                <c:ptCount val="12"/>
                <c:pt idx="0">
                  <c:v>3</c:v>
                </c:pt>
                <c:pt idx="1">
                  <c:v>4</c:v>
                </c:pt>
                <c:pt idx="2">
                  <c:v>4</c:v>
                </c:pt>
                <c:pt idx="3">
                  <c:v>5</c:v>
                </c:pt>
                <c:pt idx="4">
                  <c:v>2</c:v>
                </c:pt>
                <c:pt idx="5">
                  <c:v>1</c:v>
                </c:pt>
                <c:pt idx="6">
                  <c:v>3</c:v>
                </c:pt>
                <c:pt idx="7">
                  <c:v>1</c:v>
                </c:pt>
                <c:pt idx="8">
                  <c:v>1</c:v>
                </c:pt>
                <c:pt idx="9">
                  <c:v>3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"樊心田"</c:f>
              <c:strCache>
                <c:ptCount val="1"/>
                <c:pt idx="0">
                  <c:v>樊心田</c:v>
                </c:pt>
              </c:strCache>
            </c:strRef>
          </c:tx>
          <c:spPr>
            <a:ln w="19050" cap="rnd" cmpd="sng" algn="ctr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17"/>
            <c:spPr>
              <a:solidFill>
                <a:schemeClr val="accent2"/>
              </a:solidFill>
              <a:ln w="6350" cap="flat" cmpd="sng" algn="ctr">
                <a:solidFill>
                  <a:schemeClr val="accent2"/>
                </a:solidFill>
                <a:prstDash val="solid"/>
                <a:round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rgbClr val="ED7D31"/>
                    </a:solidFill>
                    <a:latin typeface="微软雅黑" panose="020B0503020204020204" charset="-122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'2024统计'!$K$9:$K$20</c:f>
              <c:strCache>
                <c:ptCount val="12"/>
                <c:pt idx="0">
                  <c:v>2024年1月</c:v>
                </c:pt>
                <c:pt idx="1">
                  <c:v>2024年2月</c:v>
                </c:pt>
                <c:pt idx="2">
                  <c:v>2024年3月</c:v>
                </c:pt>
                <c:pt idx="3">
                  <c:v>2024年4月</c:v>
                </c:pt>
                <c:pt idx="4">
                  <c:v>2024年5月</c:v>
                </c:pt>
                <c:pt idx="5">
                  <c:v>2024年6月</c:v>
                </c:pt>
                <c:pt idx="6">
                  <c:v>2024年7月</c:v>
                </c:pt>
                <c:pt idx="7">
                  <c:v>2024年8月</c:v>
                </c:pt>
                <c:pt idx="8">
                  <c:v>2024年9月</c:v>
                </c:pt>
                <c:pt idx="9">
                  <c:v>2024年10月</c:v>
                </c:pt>
                <c:pt idx="10">
                  <c:v>2024年11月</c:v>
                </c:pt>
                <c:pt idx="11">
                  <c:v>2024年12月</c:v>
                </c:pt>
              </c:strCache>
            </c:strRef>
          </c:cat>
          <c:val>
            <c:numRef>
              <c:f>'2024统计'!$M$9:$M$20</c:f>
              <c:numCache>
                <c:formatCode>General</c:formatCode>
                <c:ptCount val="12"/>
                <c:pt idx="0">
                  <c:v>5</c:v>
                </c:pt>
                <c:pt idx="1">
                  <c:v>5</c:v>
                </c:pt>
                <c:pt idx="2">
                  <c:v>7</c:v>
                </c:pt>
                <c:pt idx="3">
                  <c:v>4</c:v>
                </c:pt>
                <c:pt idx="4">
                  <c:v>4</c:v>
                </c:pt>
                <c:pt idx="5">
                  <c:v>2</c:v>
                </c:pt>
                <c:pt idx="6">
                  <c:v>4</c:v>
                </c:pt>
                <c:pt idx="7">
                  <c:v>4</c:v>
                </c:pt>
                <c:pt idx="8">
                  <c:v>5</c:v>
                </c:pt>
                <c:pt idx="9">
                  <c:v>4</c:v>
                </c:pt>
                <c:pt idx="10">
                  <c:v>3</c:v>
                </c:pt>
                <c:pt idx="11">
                  <c:v>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"谢瑞莲"</c:f>
              <c:strCache>
                <c:ptCount val="1"/>
                <c:pt idx="0">
                  <c:v>谢瑞莲</c:v>
                </c:pt>
              </c:strCache>
            </c:strRef>
          </c:tx>
          <c:spPr>
            <a:ln w="19050" cap="rnd" cmpd="sng" algn="ctr">
              <a:solidFill>
                <a:schemeClr val="accent4"/>
              </a:solidFill>
              <a:prstDash val="solid"/>
              <a:round/>
            </a:ln>
          </c:spPr>
          <c:marker>
            <c:symbol val="circle"/>
            <c:size val="17"/>
            <c:spPr>
              <a:solidFill>
                <a:schemeClr val="accent4"/>
              </a:solidFill>
              <a:ln w="6350" cap="flat" cmpd="sng" algn="ctr">
                <a:solidFill>
                  <a:schemeClr val="accent4"/>
                </a:solidFill>
                <a:prstDash val="solid"/>
                <a:round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rgbClr val="FFC000"/>
                    </a:solidFill>
                    <a:latin typeface="微软雅黑" panose="020B0503020204020204" charset="-122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'2024统计'!$K$9:$K$20</c:f>
              <c:strCache>
                <c:ptCount val="12"/>
                <c:pt idx="0">
                  <c:v>2024年1月</c:v>
                </c:pt>
                <c:pt idx="1">
                  <c:v>2024年2月</c:v>
                </c:pt>
                <c:pt idx="2">
                  <c:v>2024年3月</c:v>
                </c:pt>
                <c:pt idx="3">
                  <c:v>2024年4月</c:v>
                </c:pt>
                <c:pt idx="4">
                  <c:v>2024年5月</c:v>
                </c:pt>
                <c:pt idx="5">
                  <c:v>2024年6月</c:v>
                </c:pt>
                <c:pt idx="6">
                  <c:v>2024年7月</c:v>
                </c:pt>
                <c:pt idx="7">
                  <c:v>2024年8月</c:v>
                </c:pt>
                <c:pt idx="8">
                  <c:v>2024年9月</c:v>
                </c:pt>
                <c:pt idx="9">
                  <c:v>2024年10月</c:v>
                </c:pt>
                <c:pt idx="10">
                  <c:v>2024年11月</c:v>
                </c:pt>
                <c:pt idx="11">
                  <c:v>2024年12月</c:v>
                </c:pt>
              </c:strCache>
            </c:strRef>
          </c:cat>
          <c:val>
            <c:numRef>
              <c:f>'2024统计'!$N$9:$N$20</c:f>
              <c:numCache>
                <c:formatCode>General</c:formatCode>
                <c:ptCount val="12"/>
                <c:pt idx="0">
                  <c:v>5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1</c:v>
                </c:pt>
                <c:pt idx="5">
                  <c:v>3</c:v>
                </c:pt>
                <c:pt idx="6">
                  <c:v>2</c:v>
                </c:pt>
                <c:pt idx="7">
                  <c:v>2</c:v>
                </c:pt>
                <c:pt idx="8">
                  <c:v>0</c:v>
                </c:pt>
                <c:pt idx="9">
                  <c:v>1</c:v>
                </c:pt>
                <c:pt idx="10">
                  <c:v>4</c:v>
                </c:pt>
                <c:pt idx="11">
                  <c:v>0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"陈伟哲"</c:f>
              <c:strCache>
                <c:ptCount val="1"/>
                <c:pt idx="0">
                  <c:v>陈伟哲</c:v>
                </c:pt>
              </c:strCache>
            </c:strRef>
          </c:tx>
          <c:spPr>
            <a:ln w="19050" cap="rnd" cmpd="sng" algn="ctr">
              <a:solidFill>
                <a:schemeClr val="accent5"/>
              </a:solidFill>
              <a:prstDash val="solid"/>
              <a:round/>
            </a:ln>
          </c:spPr>
          <c:marker>
            <c:symbol val="circle"/>
            <c:size val="17"/>
            <c:spPr>
              <a:solidFill>
                <a:schemeClr val="accent5"/>
              </a:solidFill>
              <a:ln w="6350" cap="flat" cmpd="sng" algn="ctr">
                <a:solidFill>
                  <a:schemeClr val="accent5"/>
                </a:solidFill>
                <a:prstDash val="solid"/>
                <a:round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chemeClr val="tx1"/>
                    </a:solidFill>
                    <a:latin typeface="微软雅黑" panose="020B0503020204020204" charset="-122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'2024统计'!$K$9:$K$20</c:f>
              <c:strCache>
                <c:ptCount val="12"/>
                <c:pt idx="0">
                  <c:v>2024年1月</c:v>
                </c:pt>
                <c:pt idx="1">
                  <c:v>2024年2月</c:v>
                </c:pt>
                <c:pt idx="2">
                  <c:v>2024年3月</c:v>
                </c:pt>
                <c:pt idx="3">
                  <c:v>2024年4月</c:v>
                </c:pt>
                <c:pt idx="4">
                  <c:v>2024年5月</c:v>
                </c:pt>
                <c:pt idx="5">
                  <c:v>2024年6月</c:v>
                </c:pt>
                <c:pt idx="6">
                  <c:v>2024年7月</c:v>
                </c:pt>
                <c:pt idx="7">
                  <c:v>2024年8月</c:v>
                </c:pt>
                <c:pt idx="8">
                  <c:v>2024年9月</c:v>
                </c:pt>
                <c:pt idx="9">
                  <c:v>2024年10月</c:v>
                </c:pt>
                <c:pt idx="10">
                  <c:v>2024年11月</c:v>
                </c:pt>
                <c:pt idx="11">
                  <c:v>2024年12月</c:v>
                </c:pt>
              </c:strCache>
            </c:strRef>
          </c:cat>
          <c:val>
            <c:numRef>
              <c:f>'2024统计'!$O$9:$O$20</c:f>
              <c:numCache>
                <c:formatCode>General</c:formatCode>
                <c:ptCount val="12"/>
                <c:pt idx="0">
                  <c:v>4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  <c:pt idx="10">
                  <c:v>3</c:v>
                </c:pt>
                <c:pt idx="11">
                  <c:v>1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"黄小珈"</c:f>
              <c:strCache>
                <c:ptCount val="1"/>
                <c:pt idx="0">
                  <c:v>黄小珈</c:v>
                </c:pt>
              </c:strCache>
            </c:strRef>
          </c:tx>
          <c:spPr>
            <a:ln w="19050" cap="rnd" cmpd="sng" algn="ctr">
              <a:solidFill>
                <a:schemeClr val="accent5"/>
              </a:solidFill>
              <a:prstDash val="solid"/>
              <a:round/>
            </a:ln>
          </c:spPr>
          <c:marker>
            <c:symbol val="circle"/>
            <c:size val="17"/>
            <c:spPr>
              <a:solidFill>
                <a:schemeClr val="accent5"/>
              </a:solidFill>
              <a:ln w="6350" cap="flat" cmpd="sng" algn="ctr">
                <a:solidFill>
                  <a:schemeClr val="accent5"/>
                </a:solidFill>
                <a:prstDash val="solid"/>
                <a:round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rgbClr val="4472C4"/>
                    </a:solidFill>
                    <a:latin typeface="微软雅黑" panose="020B0503020204020204" charset="-122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'2024统计'!$K$9:$K$20</c:f>
              <c:strCache>
                <c:ptCount val="12"/>
                <c:pt idx="0">
                  <c:v>2024年1月</c:v>
                </c:pt>
                <c:pt idx="1">
                  <c:v>2024年2月</c:v>
                </c:pt>
                <c:pt idx="2">
                  <c:v>2024年3月</c:v>
                </c:pt>
                <c:pt idx="3">
                  <c:v>2024年4月</c:v>
                </c:pt>
                <c:pt idx="4">
                  <c:v>2024年5月</c:v>
                </c:pt>
                <c:pt idx="5">
                  <c:v>2024年6月</c:v>
                </c:pt>
                <c:pt idx="6">
                  <c:v>2024年7月</c:v>
                </c:pt>
                <c:pt idx="7">
                  <c:v>2024年8月</c:v>
                </c:pt>
                <c:pt idx="8">
                  <c:v>2024年9月</c:v>
                </c:pt>
                <c:pt idx="9">
                  <c:v>2024年10月</c:v>
                </c:pt>
                <c:pt idx="10">
                  <c:v>2024年11月</c:v>
                </c:pt>
                <c:pt idx="11">
                  <c:v>2024年12月</c:v>
                </c:pt>
              </c:strCache>
            </c:strRef>
          </c:cat>
          <c:val>
            <c:numRef>
              <c:f>'2024统计'!$P$9:$P$20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"王志会"</c:f>
              <c:strCache>
                <c:ptCount val="1"/>
                <c:pt idx="0">
                  <c:v>王志会</c:v>
                </c:pt>
              </c:strCache>
            </c:strRef>
          </c:tx>
          <c:spPr>
            <a:ln w="19050" cap="rnd" cmpd="sng" algn="ctr">
              <a:solidFill>
                <a:schemeClr val="accent6"/>
              </a:solidFill>
              <a:prstDash val="solid"/>
              <a:round/>
            </a:ln>
          </c:spPr>
          <c:marker>
            <c:symbol val="circle"/>
            <c:size val="17"/>
            <c:spPr>
              <a:solidFill>
                <a:schemeClr val="accent6"/>
              </a:solidFill>
              <a:ln w="6350" cap="flat" cmpd="sng" algn="ctr">
                <a:solidFill>
                  <a:schemeClr val="accent6"/>
                </a:solidFill>
                <a:prstDash val="solid"/>
                <a:round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rgbClr val="70AD47"/>
                    </a:solidFill>
                    <a:latin typeface="微软雅黑" panose="020B0503020204020204" charset="-122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'2024统计'!$K$9:$K$20</c:f>
              <c:strCache>
                <c:ptCount val="12"/>
                <c:pt idx="0">
                  <c:v>2024年1月</c:v>
                </c:pt>
                <c:pt idx="1">
                  <c:v>2024年2月</c:v>
                </c:pt>
                <c:pt idx="2">
                  <c:v>2024年3月</c:v>
                </c:pt>
                <c:pt idx="3">
                  <c:v>2024年4月</c:v>
                </c:pt>
                <c:pt idx="4">
                  <c:v>2024年5月</c:v>
                </c:pt>
                <c:pt idx="5">
                  <c:v>2024年6月</c:v>
                </c:pt>
                <c:pt idx="6">
                  <c:v>2024年7月</c:v>
                </c:pt>
                <c:pt idx="7">
                  <c:v>2024年8月</c:v>
                </c:pt>
                <c:pt idx="8">
                  <c:v>2024年9月</c:v>
                </c:pt>
                <c:pt idx="9">
                  <c:v>2024年10月</c:v>
                </c:pt>
                <c:pt idx="10">
                  <c:v>2024年11月</c:v>
                </c:pt>
                <c:pt idx="11">
                  <c:v>2024年12月</c:v>
                </c:pt>
              </c:strCache>
            </c:strRef>
          </c:cat>
          <c:val>
            <c:numRef>
              <c:f>'2024统计'!$Q$9:$Q$20</c:f>
              <c:numCache>
                <c:formatCode>General</c:formatCode>
                <c:ptCount val="12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21223942"/>
        <c:axId val="181889405"/>
      </c:lineChart>
      <c:catAx>
        <c:axId val="2021223942"/>
        <c:scaling>
          <c:orientation val="minMax"/>
        </c:scaling>
        <c:delete val="0"/>
        <c:axPos val="b"/>
        <c:title>
          <c:layout/>
          <c:overlay val="0"/>
          <c:tx>
            <c:rich>
              <a:bodyPr/>
              <a:lstStyle/>
              <a:p>
                <a:pPr>
                  <a:defRPr/>
                </a:pPr>
              </a:p>
            </c:rich>
          </c:tx>
        </c:title>
        <c:numFmt formatCode="General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dk1"/>
                </a:solidFill>
                <a:latin typeface="微软雅黑" panose="020B0503020204020204" charset="-122"/>
                <a:ea typeface="+mn-ea"/>
                <a:cs typeface="+mn-cs"/>
              </a:defRPr>
            </a:pPr>
          </a:p>
        </c:txPr>
        <c:crossAx val="181889405"/>
        <c:crosses val="autoZero"/>
        <c:auto val="1"/>
        <c:lblAlgn val="ctr"/>
        <c:lblOffset val="100"/>
        <c:noMultiLvlLbl val="1"/>
      </c:catAx>
      <c:valAx>
        <c:axId val="181889405"/>
        <c:scaling>
          <c:orientation val="minMax"/>
        </c:scaling>
        <c:delete val="0"/>
        <c:axPos val="l"/>
        <c:title>
          <c:layout/>
          <c:overlay val="0"/>
          <c:tx>
            <c:rich>
              <a:bodyPr/>
              <a:lstStyle/>
              <a:p>
                <a:pPr>
                  <a:defRPr/>
                </a:pPr>
              </a:p>
            </c:rich>
          </c:tx>
        </c:title>
        <c:numFmt formatCode="0_);[Red]\(0\)" sourceLinked="0"/>
        <c:majorTickMark val="none"/>
        <c:minorTickMark val="none"/>
        <c:tickLblPos val="nextTo"/>
        <c:spPr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dk1"/>
                </a:solidFill>
                <a:latin typeface="微软雅黑" panose="020B0503020204020204" charset="-122"/>
                <a:ea typeface="+mn-ea"/>
                <a:cs typeface="+mn-cs"/>
              </a:defRPr>
            </a:pPr>
          </a:p>
        </c:txPr>
        <c:crossAx val="2021223942"/>
        <c:crosses val="autoZero"/>
        <c:crossBetween val="between"/>
      </c:valAx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rgbClr val="000000"/>
                </a:solidFill>
                <a:latin typeface="微软雅黑" panose="020B0503020204020204" charset="-122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rgbClr val="000000"/>
                </a:solidFill>
                <a:latin typeface="微软雅黑" panose="020B0503020204020204" charset="-122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rgbClr val="000000"/>
                </a:solidFill>
                <a:latin typeface="微软雅黑" panose="020B0503020204020204" charset="-122"/>
                <a:ea typeface="+mn-ea"/>
                <a:cs typeface="+mn-cs"/>
              </a:defRPr>
            </a:pPr>
          </a:p>
        </c:txPr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rgbClr val="000000"/>
                </a:solidFill>
                <a:latin typeface="微软雅黑" panose="020B0503020204020204" charset="-122"/>
                <a:ea typeface="+mn-ea"/>
                <a:cs typeface="+mn-cs"/>
              </a:defRPr>
            </a:pPr>
          </a:p>
        </c:txPr>
      </c:legendEntry>
      <c:legendEntry>
        <c:idx val="4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rgbClr val="000000"/>
                </a:solidFill>
                <a:latin typeface="微软雅黑" panose="020B0503020204020204" charset="-122"/>
                <a:ea typeface="+mn-ea"/>
                <a:cs typeface="+mn-cs"/>
              </a:defRPr>
            </a:pPr>
          </a:p>
        </c:txPr>
      </c:legendEntry>
      <c:legendEntry>
        <c:idx val="5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dk1"/>
                </a:solidFill>
                <a:latin typeface="微软雅黑" panose="020B0503020204020204" charset="-122"/>
                <a:ea typeface="+mn-ea"/>
                <a:cs typeface="+mn-cs"/>
              </a:defRPr>
            </a:pPr>
          </a:p>
        </c:txPr>
      </c:legendEntry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dk1"/>
              </a:solidFill>
              <a:latin typeface="微软雅黑" panose="020B0503020204020204" charset="-122"/>
              <a:ea typeface="+mn-ea"/>
              <a:cs typeface="+mn-cs"/>
            </a:defRPr>
          </a:pPr>
        </a:p>
      </c:txPr>
    </c:legend>
    <c:plotVisOnly val="1"/>
    <c:dispBlanksAs val="zero"/>
    <c:showDLblsOverMax val="1"/>
    <c:extLst>
      <c:ext uri="{0b15fc19-7d7d-44ad-8c2d-2c3a37ce22c3}">
        <chartProps xmlns="https://web.wps.cn/et/2018/main" chartId="{3305e9aa-aaaa-45ec-9d93-1bf2ef0327e1}"/>
      </c:ext>
    </c:extLst>
  </c:chart>
  <c:spPr>
    <a:solidFill>
      <a:schemeClr val="lt1"/>
    </a:solidFill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zh-CN" sz="1400" b="0" i="0" u="none" strike="noStrike" kern="1200" baseline="0">
                <a:solidFill>
                  <a:srgbClr val="7F7F7F"/>
                </a:solidFill>
                <a:latin typeface="微软雅黑" panose="020B0503020204020204" charset="-122"/>
                <a:ea typeface="+mn-ea"/>
                <a:cs typeface="+mn-cs"/>
              </a:defRPr>
            </a:pPr>
            <a:r>
              <a:rPr sz="1400" b="0" i="0">
                <a:solidFill>
                  <a:srgbClr val="7F7F7F"/>
                </a:solidFill>
                <a:latin typeface="微软雅黑" panose="020B0503020204020204" charset="-122"/>
              </a:rPr>
              <a:t>设计单位评审项目情况</a:t>
            </a:r>
            <a:endParaRPr sz="1400" b="0" i="0">
              <a:solidFill>
                <a:srgbClr val="7F7F7F"/>
              </a:solidFill>
              <a:latin typeface="微软雅黑" panose="020B0503020204020204" charset="-122"/>
            </a:endParaRPr>
          </a:p>
        </c:rich>
      </c:tx>
      <c:layout/>
      <c:overlay val="0"/>
    </c:title>
    <c:autoTitleDeleted val="0"/>
    <c:plotArea>
      <c:layout>
        <c:manualLayout>
          <c:xMode val="edge"/>
          <c:yMode val="edge"/>
          <c:x val="0.016389778737987"/>
          <c:y val="0.0820566086730719"/>
          <c:w val="0.967220442524026"/>
          <c:h val="0.790833549727344"/>
        </c:manualLayout>
      </c:layout>
      <c:lineChart>
        <c:grouping val="standard"/>
        <c:varyColors val="1"/>
        <c:ser>
          <c:idx val="0"/>
          <c:order val="0"/>
          <c:tx>
            <c:strRef>
              <c:f>"广州院"</c:f>
              <c:strCache>
                <c:ptCount val="1"/>
                <c:pt idx="0">
                  <c:v>广州院</c:v>
                </c:pt>
              </c:strCache>
            </c:strRef>
          </c:tx>
          <c:spPr>
            <a:ln w="19050" cap="rnd" cmpd="sng" algn="ctr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17"/>
            <c:spPr>
              <a:solidFill>
                <a:schemeClr val="accent1"/>
              </a:solidFill>
              <a:ln w="6350" cap="flat" cmpd="sng" algn="ctr">
                <a:solidFill>
                  <a:schemeClr val="accent1"/>
                </a:solidFill>
                <a:prstDash val="solid"/>
                <a:round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rgbClr val="5B9BD5"/>
                    </a:solidFill>
                    <a:latin typeface="微软雅黑" panose="020B0503020204020204" charset="-122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'2024统计'!$T$9:$T$20</c:f>
              <c:strCache>
                <c:ptCount val="12"/>
                <c:pt idx="0">
                  <c:v>2024年1月</c:v>
                </c:pt>
                <c:pt idx="1">
                  <c:v>2024年2月</c:v>
                </c:pt>
                <c:pt idx="2">
                  <c:v>2024年3月</c:v>
                </c:pt>
                <c:pt idx="3">
                  <c:v>2024年4月</c:v>
                </c:pt>
                <c:pt idx="4">
                  <c:v>2024年5月</c:v>
                </c:pt>
                <c:pt idx="5">
                  <c:v>2024年6月</c:v>
                </c:pt>
                <c:pt idx="6">
                  <c:v>2024年7月</c:v>
                </c:pt>
                <c:pt idx="7">
                  <c:v>2024年8月</c:v>
                </c:pt>
                <c:pt idx="8">
                  <c:v>2024年9月</c:v>
                </c:pt>
                <c:pt idx="9">
                  <c:v>2024年10月</c:v>
                </c:pt>
                <c:pt idx="10">
                  <c:v>2024年11月</c:v>
                </c:pt>
                <c:pt idx="11">
                  <c:v>2024年12月</c:v>
                </c:pt>
              </c:strCache>
            </c:strRef>
          </c:cat>
          <c:val>
            <c:numRef>
              <c:f>'2024统计'!$U$9:$U$20</c:f>
              <c:numCache>
                <c:formatCode>General</c:formatCode>
                <c:ptCount val="12"/>
                <c:pt idx="0">
                  <c:v>0.091628</c:v>
                </c:pt>
                <c:pt idx="1">
                  <c:v>0.099693</c:v>
                </c:pt>
                <c:pt idx="2">
                  <c:v>0.135</c:v>
                </c:pt>
                <c:pt idx="3">
                  <c:v>0.169898</c:v>
                </c:pt>
                <c:pt idx="4">
                  <c:v>0.919885</c:v>
                </c:pt>
                <c:pt idx="5">
                  <c:v>0.97346</c:v>
                </c:pt>
                <c:pt idx="6">
                  <c:v>0.97346</c:v>
                </c:pt>
                <c:pt idx="7">
                  <c:v>0.993838</c:v>
                </c:pt>
                <c:pt idx="8">
                  <c:v>1.020352</c:v>
                </c:pt>
                <c:pt idx="9">
                  <c:v>1.047796</c:v>
                </c:pt>
                <c:pt idx="10">
                  <c:v>1.068515</c:v>
                </c:pt>
                <c:pt idx="11">
                  <c:v>1.312097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"工程院"</c:f>
              <c:strCache>
                <c:ptCount val="1"/>
                <c:pt idx="0">
                  <c:v>工程院</c:v>
                </c:pt>
              </c:strCache>
            </c:strRef>
          </c:tx>
          <c:spPr>
            <a:ln w="19050" cap="rnd" cmpd="sng" algn="ctr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17"/>
            <c:spPr>
              <a:solidFill>
                <a:schemeClr val="accent2"/>
              </a:solidFill>
              <a:ln w="6350" cap="flat" cmpd="sng" algn="ctr">
                <a:solidFill>
                  <a:schemeClr val="accent2"/>
                </a:solidFill>
                <a:prstDash val="solid"/>
                <a:round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rgbClr val="ED7D31"/>
                    </a:solidFill>
                    <a:latin typeface="微软雅黑" panose="020B0503020204020204" charset="-122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'2024统计'!$T$9:$T$20</c:f>
              <c:strCache>
                <c:ptCount val="12"/>
                <c:pt idx="0">
                  <c:v>2024年1月</c:v>
                </c:pt>
                <c:pt idx="1">
                  <c:v>2024年2月</c:v>
                </c:pt>
                <c:pt idx="2">
                  <c:v>2024年3月</c:v>
                </c:pt>
                <c:pt idx="3">
                  <c:v>2024年4月</c:v>
                </c:pt>
                <c:pt idx="4">
                  <c:v>2024年5月</c:v>
                </c:pt>
                <c:pt idx="5">
                  <c:v>2024年6月</c:v>
                </c:pt>
                <c:pt idx="6">
                  <c:v>2024年7月</c:v>
                </c:pt>
                <c:pt idx="7">
                  <c:v>2024年8月</c:v>
                </c:pt>
                <c:pt idx="8">
                  <c:v>2024年9月</c:v>
                </c:pt>
                <c:pt idx="9">
                  <c:v>2024年10月</c:v>
                </c:pt>
                <c:pt idx="10">
                  <c:v>2024年11月</c:v>
                </c:pt>
                <c:pt idx="11">
                  <c:v>2024年12月</c:v>
                </c:pt>
              </c:strCache>
            </c:strRef>
          </c:cat>
          <c:val>
            <c:numRef>
              <c:f>'2024统计'!$V$9:$V$20</c:f>
              <c:numCache>
                <c:formatCode>General</c:formatCode>
                <c:ptCount val="12"/>
                <c:pt idx="0">
                  <c:v>0.665843</c:v>
                </c:pt>
                <c:pt idx="1">
                  <c:v>0.889831</c:v>
                </c:pt>
                <c:pt idx="2">
                  <c:v>1.015044</c:v>
                </c:pt>
                <c:pt idx="3">
                  <c:v>1.167403</c:v>
                </c:pt>
                <c:pt idx="4">
                  <c:v>1.43876</c:v>
                </c:pt>
                <c:pt idx="5">
                  <c:v>1.509433</c:v>
                </c:pt>
                <c:pt idx="6">
                  <c:v>1.618059</c:v>
                </c:pt>
                <c:pt idx="7">
                  <c:v>1.734099</c:v>
                </c:pt>
                <c:pt idx="8">
                  <c:v>1.809952</c:v>
                </c:pt>
                <c:pt idx="9">
                  <c:v>2.083331</c:v>
                </c:pt>
                <c:pt idx="10">
                  <c:v>2.214144</c:v>
                </c:pt>
                <c:pt idx="11">
                  <c:v>2.288975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"汇隽院"</c:f>
              <c:strCache>
                <c:ptCount val="1"/>
                <c:pt idx="0">
                  <c:v>汇隽院</c:v>
                </c:pt>
              </c:strCache>
            </c:strRef>
          </c:tx>
          <c:spPr>
            <a:ln w="19050" cap="rnd" cmpd="sng" algn="ctr">
              <a:solidFill>
                <a:schemeClr val="accent3"/>
              </a:solidFill>
              <a:prstDash val="solid"/>
              <a:round/>
            </a:ln>
          </c:spPr>
          <c:marker>
            <c:symbol val="circle"/>
            <c:size val="17"/>
            <c:spPr>
              <a:solidFill>
                <a:schemeClr val="accent3"/>
              </a:solidFill>
              <a:ln w="6350" cap="flat" cmpd="sng" algn="ctr">
                <a:solidFill>
                  <a:schemeClr val="accent3"/>
                </a:solidFill>
                <a:prstDash val="solid"/>
                <a:round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rgbClr val="A5A5A5"/>
                    </a:solidFill>
                    <a:latin typeface="微软雅黑" panose="020B0503020204020204" charset="-122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'2024统计'!$T$9:$T$20</c:f>
              <c:strCache>
                <c:ptCount val="12"/>
                <c:pt idx="0">
                  <c:v>2024年1月</c:v>
                </c:pt>
                <c:pt idx="1">
                  <c:v>2024年2月</c:v>
                </c:pt>
                <c:pt idx="2">
                  <c:v>2024年3月</c:v>
                </c:pt>
                <c:pt idx="3">
                  <c:v>2024年4月</c:v>
                </c:pt>
                <c:pt idx="4">
                  <c:v>2024年5月</c:v>
                </c:pt>
                <c:pt idx="5">
                  <c:v>2024年6月</c:v>
                </c:pt>
                <c:pt idx="6">
                  <c:v>2024年7月</c:v>
                </c:pt>
                <c:pt idx="7">
                  <c:v>2024年8月</c:v>
                </c:pt>
                <c:pt idx="8">
                  <c:v>2024年9月</c:v>
                </c:pt>
                <c:pt idx="9">
                  <c:v>2024年10月</c:v>
                </c:pt>
                <c:pt idx="10">
                  <c:v>2024年11月</c:v>
                </c:pt>
                <c:pt idx="11">
                  <c:v>2024年12月</c:v>
                </c:pt>
              </c:strCache>
            </c:strRef>
          </c:cat>
          <c:val>
            <c:numRef>
              <c:f>'2024统计'!$W$9:$W$20</c:f>
              <c:numCache>
                <c:formatCode>General</c:formatCode>
                <c:ptCount val="12"/>
                <c:pt idx="0">
                  <c:v>0.0780969999999999</c:v>
                </c:pt>
                <c:pt idx="1">
                  <c:v>0.0780969999999999</c:v>
                </c:pt>
                <c:pt idx="2">
                  <c:v>0.0780969999999999</c:v>
                </c:pt>
                <c:pt idx="3">
                  <c:v>0.2961366454</c:v>
                </c:pt>
                <c:pt idx="4">
                  <c:v>0.3014426454</c:v>
                </c:pt>
                <c:pt idx="5">
                  <c:v>0.4160856454</c:v>
                </c:pt>
                <c:pt idx="6">
                  <c:v>0.4336736454</c:v>
                </c:pt>
                <c:pt idx="7">
                  <c:v>0.4721006454</c:v>
                </c:pt>
                <c:pt idx="8">
                  <c:v>0.5403896454</c:v>
                </c:pt>
                <c:pt idx="9">
                  <c:v>0.6700486454</c:v>
                </c:pt>
                <c:pt idx="10">
                  <c:v>0.8693496454</c:v>
                </c:pt>
                <c:pt idx="11">
                  <c:v>0.9189286454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"省院"</c:f>
              <c:strCache>
                <c:ptCount val="1"/>
                <c:pt idx="0">
                  <c:v>省院</c:v>
                </c:pt>
              </c:strCache>
            </c:strRef>
          </c:tx>
          <c:spPr>
            <a:ln w="19050" cap="rnd" cmpd="sng" algn="ctr">
              <a:solidFill>
                <a:schemeClr val="accent4"/>
              </a:solidFill>
              <a:prstDash val="solid"/>
              <a:round/>
            </a:ln>
          </c:spPr>
          <c:marker>
            <c:symbol val="circle"/>
            <c:size val="17"/>
            <c:spPr>
              <a:solidFill>
                <a:schemeClr val="accent4"/>
              </a:solidFill>
              <a:ln w="6350" cap="flat" cmpd="sng" algn="ctr">
                <a:solidFill>
                  <a:schemeClr val="accent4"/>
                </a:solidFill>
                <a:prstDash val="solid"/>
                <a:round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rgbClr val="FFC000"/>
                    </a:solidFill>
                    <a:latin typeface="微软雅黑" panose="020B0503020204020204" charset="-122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'2024统计'!$T$9:$T$20</c:f>
              <c:strCache>
                <c:ptCount val="12"/>
                <c:pt idx="0">
                  <c:v>2024年1月</c:v>
                </c:pt>
                <c:pt idx="1">
                  <c:v>2024年2月</c:v>
                </c:pt>
                <c:pt idx="2">
                  <c:v>2024年3月</c:v>
                </c:pt>
                <c:pt idx="3">
                  <c:v>2024年4月</c:v>
                </c:pt>
                <c:pt idx="4">
                  <c:v>2024年5月</c:v>
                </c:pt>
                <c:pt idx="5">
                  <c:v>2024年6月</c:v>
                </c:pt>
                <c:pt idx="6">
                  <c:v>2024年7月</c:v>
                </c:pt>
                <c:pt idx="7">
                  <c:v>2024年8月</c:v>
                </c:pt>
                <c:pt idx="8">
                  <c:v>2024年9月</c:v>
                </c:pt>
                <c:pt idx="9">
                  <c:v>2024年10月</c:v>
                </c:pt>
                <c:pt idx="10">
                  <c:v>2024年11月</c:v>
                </c:pt>
                <c:pt idx="11">
                  <c:v>2024年12月</c:v>
                </c:pt>
              </c:strCache>
            </c:strRef>
          </c:cat>
          <c:val>
            <c:numRef>
              <c:f>'2024统计'!$X$9:$X$20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0.014471</c:v>
                </c:pt>
                <c:pt idx="4">
                  <c:v>0.014471</c:v>
                </c:pt>
                <c:pt idx="5">
                  <c:v>0.014471</c:v>
                </c:pt>
                <c:pt idx="6">
                  <c:v>0.014471</c:v>
                </c:pt>
                <c:pt idx="7">
                  <c:v>0.014471</c:v>
                </c:pt>
                <c:pt idx="8">
                  <c:v>0.014471</c:v>
                </c:pt>
                <c:pt idx="9">
                  <c:v>0.014471</c:v>
                </c:pt>
                <c:pt idx="10">
                  <c:v>0.014471</c:v>
                </c:pt>
                <c:pt idx="11">
                  <c:v>0.014471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"其他"</c:f>
              <c:strCache>
                <c:ptCount val="1"/>
                <c:pt idx="0">
                  <c:v>其他</c:v>
                </c:pt>
              </c:strCache>
            </c:strRef>
          </c:tx>
          <c:spPr>
            <a:ln w="19050" cap="rnd" cmpd="sng" algn="ctr">
              <a:solidFill>
                <a:schemeClr val="accent5"/>
              </a:solidFill>
              <a:prstDash val="solid"/>
              <a:round/>
            </a:ln>
          </c:spPr>
          <c:marker>
            <c:symbol val="circle"/>
            <c:size val="17"/>
            <c:spPr>
              <a:solidFill>
                <a:schemeClr val="accent5"/>
              </a:solidFill>
              <a:ln w="6350" cap="flat" cmpd="sng" algn="ctr">
                <a:solidFill>
                  <a:schemeClr val="accent5"/>
                </a:solidFill>
                <a:prstDash val="solid"/>
                <a:round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rgbClr val="4472C4"/>
                    </a:solidFill>
                    <a:latin typeface="微软雅黑" panose="020B0503020204020204" charset="-122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'2024统计'!$T$9:$T$20</c:f>
              <c:strCache>
                <c:ptCount val="12"/>
                <c:pt idx="0">
                  <c:v>2024年1月</c:v>
                </c:pt>
                <c:pt idx="1">
                  <c:v>2024年2月</c:v>
                </c:pt>
                <c:pt idx="2">
                  <c:v>2024年3月</c:v>
                </c:pt>
                <c:pt idx="3">
                  <c:v>2024年4月</c:v>
                </c:pt>
                <c:pt idx="4">
                  <c:v>2024年5月</c:v>
                </c:pt>
                <c:pt idx="5">
                  <c:v>2024年6月</c:v>
                </c:pt>
                <c:pt idx="6">
                  <c:v>2024年7月</c:v>
                </c:pt>
                <c:pt idx="7">
                  <c:v>2024年8月</c:v>
                </c:pt>
                <c:pt idx="8">
                  <c:v>2024年9月</c:v>
                </c:pt>
                <c:pt idx="9">
                  <c:v>2024年10月</c:v>
                </c:pt>
                <c:pt idx="10">
                  <c:v>2024年11月</c:v>
                </c:pt>
                <c:pt idx="11">
                  <c:v>2024年12月</c:v>
                </c:pt>
              </c:strCache>
            </c:strRef>
          </c:cat>
          <c:val>
            <c:numRef>
              <c:f>'2024统计'!$Y$9:$Y$20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0.0129359999999999</c:v>
                </c:pt>
                <c:pt idx="3">
                  <c:v>0.0204539999999999</c:v>
                </c:pt>
                <c:pt idx="4">
                  <c:v>0.0204539999999999</c:v>
                </c:pt>
                <c:pt idx="5">
                  <c:v>0.170499</c:v>
                </c:pt>
                <c:pt idx="6">
                  <c:v>0.27255</c:v>
                </c:pt>
                <c:pt idx="7">
                  <c:v>0.27255</c:v>
                </c:pt>
                <c:pt idx="8">
                  <c:v>0.294963</c:v>
                </c:pt>
                <c:pt idx="9">
                  <c:v>0.294963</c:v>
                </c:pt>
                <c:pt idx="10">
                  <c:v>0.332738</c:v>
                </c:pt>
                <c:pt idx="11">
                  <c:v>0.332738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5166742"/>
        <c:axId val="1619312322"/>
      </c:lineChart>
      <c:catAx>
        <c:axId val="395166742"/>
        <c:scaling>
          <c:orientation val="minMax"/>
        </c:scaling>
        <c:delete val="0"/>
        <c:axPos val="b"/>
        <c:title>
          <c:layout/>
          <c:overlay val="0"/>
          <c:tx>
            <c:rich>
              <a:bodyPr/>
              <a:lstStyle/>
              <a:p>
                <a:pPr>
                  <a:defRPr/>
                </a:pPr>
              </a:p>
            </c:rich>
          </c:tx>
        </c:title>
        <c:numFmt formatCode="General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dk1"/>
                </a:solidFill>
                <a:latin typeface="微软雅黑" panose="020B0503020204020204" charset="-122"/>
                <a:ea typeface="+mn-ea"/>
                <a:cs typeface="+mn-cs"/>
              </a:defRPr>
            </a:pPr>
          </a:p>
        </c:txPr>
        <c:crossAx val="1619312322"/>
        <c:crosses val="autoZero"/>
        <c:auto val="1"/>
        <c:lblAlgn val="ctr"/>
        <c:lblOffset val="100"/>
        <c:noMultiLvlLbl val="1"/>
      </c:catAx>
      <c:valAx>
        <c:axId val="1619312322"/>
        <c:scaling>
          <c:orientation val="minMax"/>
        </c:scaling>
        <c:delete val="0"/>
        <c:axPos val="l"/>
        <c:title>
          <c:layout/>
          <c:overlay val="0"/>
          <c:tx>
            <c:rich>
              <a:bodyPr/>
              <a:lstStyle/>
              <a:p>
                <a:pPr>
                  <a:defRPr/>
                </a:pPr>
              </a:p>
            </c:rich>
          </c:tx>
        </c:title>
        <c:numFmt formatCode="General" sourceLinked="1"/>
        <c:majorTickMark val="none"/>
        <c:minorTickMark val="none"/>
        <c:tickLblPos val="nextTo"/>
        <c:spPr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dk1"/>
                </a:solidFill>
                <a:latin typeface="微软雅黑" panose="020B0503020204020204" charset="-122"/>
                <a:ea typeface="+mn-ea"/>
                <a:cs typeface="+mn-cs"/>
              </a:defRPr>
            </a:pPr>
          </a:p>
        </c:txPr>
        <c:crossAx val="395166742"/>
        <c:crosses val="autoZero"/>
        <c:crossBetween val="between"/>
      </c:valAx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rgbClr val="000000"/>
                </a:solidFill>
                <a:latin typeface="微软雅黑" panose="020B0503020204020204" charset="-122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rgbClr val="000000"/>
                </a:solidFill>
                <a:latin typeface="微软雅黑" panose="020B0503020204020204" charset="-122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rgbClr val="000000"/>
                </a:solidFill>
                <a:latin typeface="微软雅黑" panose="020B0503020204020204" charset="-122"/>
                <a:ea typeface="+mn-ea"/>
                <a:cs typeface="+mn-cs"/>
              </a:defRPr>
            </a:pPr>
          </a:p>
        </c:txPr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rgbClr val="000000"/>
                </a:solidFill>
                <a:latin typeface="微软雅黑" panose="020B0503020204020204" charset="-122"/>
                <a:ea typeface="+mn-ea"/>
                <a:cs typeface="+mn-cs"/>
              </a:defRPr>
            </a:pPr>
          </a:p>
        </c:txPr>
      </c:legendEntry>
      <c:legendEntry>
        <c:idx val="4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rgbClr val="000000"/>
                </a:solidFill>
                <a:latin typeface="微软雅黑" panose="020B0503020204020204" charset="-122"/>
                <a:ea typeface="+mn-ea"/>
                <a:cs typeface="+mn-cs"/>
              </a:defRPr>
            </a:pPr>
          </a:p>
        </c:txPr>
      </c:legendEntry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dk1"/>
              </a:solidFill>
              <a:latin typeface="微软雅黑" panose="020B0503020204020204" charset="-122"/>
              <a:ea typeface="+mn-ea"/>
              <a:cs typeface="+mn-cs"/>
            </a:defRPr>
          </a:pPr>
        </a:p>
      </c:txPr>
    </c:legend>
    <c:plotVisOnly val="1"/>
    <c:dispBlanksAs val="zero"/>
    <c:showDLblsOverMax val="1"/>
    <c:extLst>
      <c:ext uri="{0b15fc19-7d7d-44ad-8c2d-2c3a37ce22c3}">
        <chartProps xmlns="https://web.wps.cn/et/2018/main" chartId="{84c9168a-6eba-40fd-b7a9-05c7ccb85636}"/>
      </c:ext>
    </c:extLst>
  </c:chart>
  <c:spPr>
    <a:solidFill>
      <a:schemeClr val="lt1"/>
    </a:solidFill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zh-CN" sz="1800" b="0" i="0" u="none" strike="noStrike" kern="1200" baseline="0">
                <a:solidFill>
                  <a:srgbClr val="757575"/>
                </a:solidFill>
                <a:latin typeface="微软雅黑" panose="020B0503020204020204" charset="-122"/>
                <a:ea typeface="+mn-ea"/>
                <a:cs typeface="+mn-cs"/>
              </a:defRPr>
            </a:pPr>
            <a:r>
              <a:rPr sz="1800" b="0" i="0">
                <a:solidFill>
                  <a:srgbClr val="757575"/>
                </a:solidFill>
                <a:latin typeface="微软雅黑" panose="020B0503020204020204" charset="-122"/>
              </a:rPr>
              <a:t>技术经济部完成评审项目情况</a:t>
            </a:r>
            <a:endParaRPr sz="1800" b="0" i="0">
              <a:solidFill>
                <a:srgbClr val="757575"/>
              </a:solidFill>
              <a:latin typeface="微软雅黑" panose="020B0503020204020204" charset="-122"/>
            </a:endParaRPr>
          </a:p>
        </c:rich>
      </c:tx>
      <c:layout>
        <c:manualLayout>
          <c:xMode val="edge"/>
          <c:yMode val="edge"/>
          <c:x val="0.347670974690361"/>
          <c:y val="0.0147408464098906"/>
        </c:manualLayout>
      </c:layout>
      <c:overlay val="0"/>
    </c:title>
    <c:autoTitleDeleted val="0"/>
    <c:plotArea>
      <c:layout/>
      <c:areaChart>
        <c:grouping val="percentStacked"/>
        <c:varyColors val="1"/>
        <c:ser>
          <c:idx val="0"/>
          <c:order val="0"/>
          <c:tx>
            <c:strRef>
              <c:f>"方  明"</c:f>
              <c:strCache>
                <c:ptCount val="1"/>
                <c:pt idx="0">
                  <c:v>方  明</c:v>
                </c:pt>
              </c:strCache>
            </c:strRef>
          </c:tx>
          <c:spPr>
            <a:solidFill>
              <a:srgbClr val="FFC000">
                <a:alpha val="30000"/>
              </a:srgbClr>
            </a:solidFill>
            <a:ln cmpd="sng">
              <a:solidFill>
                <a:srgbClr val="FFC000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/>
                    </a:solidFill>
                    <a:latin typeface="微软雅黑" panose="020B0503020204020204" charset="-122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'2024统计'!$K$43:$K$54</c:f>
              <c:strCache>
                <c:ptCount val="12"/>
                <c:pt idx="0">
                  <c:v>2024年1月</c:v>
                </c:pt>
                <c:pt idx="1">
                  <c:v>2024年2月</c:v>
                </c:pt>
                <c:pt idx="2">
                  <c:v>2024年3月</c:v>
                </c:pt>
                <c:pt idx="3">
                  <c:v>2024年4月</c:v>
                </c:pt>
                <c:pt idx="4">
                  <c:v>2024年5月</c:v>
                </c:pt>
                <c:pt idx="5">
                  <c:v>2024年6月</c:v>
                </c:pt>
                <c:pt idx="6">
                  <c:v>2024年7月</c:v>
                </c:pt>
                <c:pt idx="7">
                  <c:v>2024年8月</c:v>
                </c:pt>
                <c:pt idx="8">
                  <c:v>2024年9月</c:v>
                </c:pt>
                <c:pt idx="9">
                  <c:v>2024年10月</c:v>
                </c:pt>
                <c:pt idx="10">
                  <c:v>2024年11月</c:v>
                </c:pt>
                <c:pt idx="11">
                  <c:v>2024年12月</c:v>
                </c:pt>
              </c:strCache>
            </c:strRef>
          </c:cat>
          <c:val>
            <c:numRef>
              <c:f>'2024统计'!$L$43:$L$54</c:f>
              <c:numCache>
                <c:formatCode>General</c:formatCode>
                <c:ptCount val="12"/>
                <c:pt idx="0">
                  <c:v>8</c:v>
                </c:pt>
                <c:pt idx="1">
                  <c:v>10</c:v>
                </c:pt>
                <c:pt idx="2">
                  <c:v>15</c:v>
                </c:pt>
                <c:pt idx="3">
                  <c:v>17</c:v>
                </c:pt>
                <c:pt idx="4">
                  <c:v>31</c:v>
                </c:pt>
                <c:pt idx="5">
                  <c:v>37</c:v>
                </c:pt>
                <c:pt idx="6">
                  <c:v>40</c:v>
                </c:pt>
                <c:pt idx="7">
                  <c:v>47</c:v>
                </c:pt>
                <c:pt idx="8">
                  <c:v>51</c:v>
                </c:pt>
                <c:pt idx="9">
                  <c:v>56</c:v>
                </c:pt>
                <c:pt idx="10">
                  <c:v>66</c:v>
                </c:pt>
                <c:pt idx="11">
                  <c:v>70</c:v>
                </c:pt>
              </c:numCache>
            </c:numRef>
          </c:val>
        </c:ser>
        <c:ser>
          <c:idx val="1"/>
          <c:order val="1"/>
          <c:tx>
            <c:strRef>
              <c:f>"樊心田"</c:f>
              <c:strCache>
                <c:ptCount val="1"/>
                <c:pt idx="0">
                  <c:v>樊心田</c:v>
                </c:pt>
              </c:strCache>
            </c:strRef>
          </c:tx>
          <c:spPr>
            <a:solidFill>
              <a:srgbClr val="FFC000">
                <a:alpha val="30000"/>
              </a:srgbClr>
            </a:solidFill>
            <a:ln cmpd="sng">
              <a:solidFill>
                <a:srgbClr val="FFC000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/>
                    </a:solidFill>
                    <a:latin typeface="微软雅黑" panose="020B0503020204020204" charset="-122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'2024统计'!$K$43:$K$54</c:f>
              <c:strCache>
                <c:ptCount val="12"/>
                <c:pt idx="0">
                  <c:v>2024年1月</c:v>
                </c:pt>
                <c:pt idx="1">
                  <c:v>2024年2月</c:v>
                </c:pt>
                <c:pt idx="2">
                  <c:v>2024年3月</c:v>
                </c:pt>
                <c:pt idx="3">
                  <c:v>2024年4月</c:v>
                </c:pt>
                <c:pt idx="4">
                  <c:v>2024年5月</c:v>
                </c:pt>
                <c:pt idx="5">
                  <c:v>2024年6月</c:v>
                </c:pt>
                <c:pt idx="6">
                  <c:v>2024年7月</c:v>
                </c:pt>
                <c:pt idx="7">
                  <c:v>2024年8月</c:v>
                </c:pt>
                <c:pt idx="8">
                  <c:v>2024年9月</c:v>
                </c:pt>
                <c:pt idx="9">
                  <c:v>2024年10月</c:v>
                </c:pt>
                <c:pt idx="10">
                  <c:v>2024年11月</c:v>
                </c:pt>
                <c:pt idx="11">
                  <c:v>2024年12月</c:v>
                </c:pt>
              </c:strCache>
            </c:strRef>
          </c:cat>
          <c:val>
            <c:numRef>
              <c:f>'2024统计'!$M$43:$M$54</c:f>
              <c:numCache>
                <c:formatCode>General</c:formatCode>
                <c:ptCount val="12"/>
                <c:pt idx="0">
                  <c:v>3</c:v>
                </c:pt>
                <c:pt idx="1">
                  <c:v>4</c:v>
                </c:pt>
                <c:pt idx="2">
                  <c:v>8</c:v>
                </c:pt>
                <c:pt idx="3">
                  <c:v>14</c:v>
                </c:pt>
                <c:pt idx="4">
                  <c:v>19</c:v>
                </c:pt>
                <c:pt idx="5">
                  <c:v>24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41</c:v>
                </c:pt>
                <c:pt idx="10">
                  <c:v>44</c:v>
                </c:pt>
                <c:pt idx="11">
                  <c:v>47</c:v>
                </c:pt>
              </c:numCache>
            </c:numRef>
          </c:val>
        </c:ser>
        <c:ser>
          <c:idx val="2"/>
          <c:order val="2"/>
          <c:tx>
            <c:strRef>
              <c:f>"谢瑞莲"</c:f>
              <c:strCache>
                <c:ptCount val="1"/>
                <c:pt idx="0">
                  <c:v>谢瑞莲</c:v>
                </c:pt>
              </c:strCache>
            </c:strRef>
          </c:tx>
          <c:spPr>
            <a:solidFill>
              <a:srgbClr val="FFC000">
                <a:alpha val="30000"/>
              </a:srgbClr>
            </a:solidFill>
            <a:ln cmpd="sng">
              <a:solidFill>
                <a:srgbClr val="FFC000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/>
                    </a:solidFill>
                    <a:latin typeface="微软雅黑" panose="020B0503020204020204" charset="-122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'2024统计'!$K$43:$K$54</c:f>
              <c:strCache>
                <c:ptCount val="12"/>
                <c:pt idx="0">
                  <c:v>2024年1月</c:v>
                </c:pt>
                <c:pt idx="1">
                  <c:v>2024年2月</c:v>
                </c:pt>
                <c:pt idx="2">
                  <c:v>2024年3月</c:v>
                </c:pt>
                <c:pt idx="3">
                  <c:v>2024年4月</c:v>
                </c:pt>
                <c:pt idx="4">
                  <c:v>2024年5月</c:v>
                </c:pt>
                <c:pt idx="5">
                  <c:v>2024年6月</c:v>
                </c:pt>
                <c:pt idx="6">
                  <c:v>2024年7月</c:v>
                </c:pt>
                <c:pt idx="7">
                  <c:v>2024年8月</c:v>
                </c:pt>
                <c:pt idx="8">
                  <c:v>2024年9月</c:v>
                </c:pt>
                <c:pt idx="9">
                  <c:v>2024年10月</c:v>
                </c:pt>
                <c:pt idx="10">
                  <c:v>2024年11月</c:v>
                </c:pt>
                <c:pt idx="11">
                  <c:v>2024年12月</c:v>
                </c:pt>
              </c:strCache>
            </c:strRef>
          </c:cat>
          <c:val>
            <c:numRef>
              <c:f>'2024统计'!$N$43:$N$54</c:f>
              <c:numCache>
                <c:formatCode>General</c:formatCode>
                <c:ptCount val="12"/>
                <c:pt idx="0">
                  <c:v>4</c:v>
                </c:pt>
                <c:pt idx="1">
                  <c:v>7</c:v>
                </c:pt>
                <c:pt idx="2">
                  <c:v>12</c:v>
                </c:pt>
                <c:pt idx="3">
                  <c:v>15</c:v>
                </c:pt>
                <c:pt idx="4">
                  <c:v>23</c:v>
                </c:pt>
                <c:pt idx="5">
                  <c:v>28</c:v>
                </c:pt>
                <c:pt idx="6">
                  <c:v>34</c:v>
                </c:pt>
                <c:pt idx="7">
                  <c:v>38</c:v>
                </c:pt>
                <c:pt idx="8">
                  <c:v>44</c:v>
                </c:pt>
                <c:pt idx="9">
                  <c:v>45</c:v>
                </c:pt>
                <c:pt idx="10">
                  <c:v>52</c:v>
                </c:pt>
                <c:pt idx="11">
                  <c:v>63</c:v>
                </c:pt>
              </c:numCache>
            </c:numRef>
          </c:val>
        </c:ser>
        <c:ser>
          <c:idx val="3"/>
          <c:order val="3"/>
          <c:tx>
            <c:strRef>
              <c:f>"陈伟哲"</c:f>
              <c:strCache>
                <c:ptCount val="1"/>
                <c:pt idx="0">
                  <c:v>陈伟哲</c:v>
                </c:pt>
              </c:strCache>
            </c:strRef>
          </c:tx>
          <c:spPr>
            <a:solidFill>
              <a:srgbClr val="4472C4">
                <a:alpha val="30000"/>
              </a:srgbClr>
            </a:solidFill>
            <a:ln cmpd="sng">
              <a:solidFill>
                <a:srgbClr val="4472C4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/>
                    </a:solidFill>
                    <a:latin typeface="微软雅黑" panose="020B0503020204020204" charset="-122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'2024统计'!$K$43:$K$54</c:f>
              <c:strCache>
                <c:ptCount val="12"/>
                <c:pt idx="0">
                  <c:v>2024年1月</c:v>
                </c:pt>
                <c:pt idx="1">
                  <c:v>2024年2月</c:v>
                </c:pt>
                <c:pt idx="2">
                  <c:v>2024年3月</c:v>
                </c:pt>
                <c:pt idx="3">
                  <c:v>2024年4月</c:v>
                </c:pt>
                <c:pt idx="4">
                  <c:v>2024年5月</c:v>
                </c:pt>
                <c:pt idx="5">
                  <c:v>2024年6月</c:v>
                </c:pt>
                <c:pt idx="6">
                  <c:v>2024年7月</c:v>
                </c:pt>
                <c:pt idx="7">
                  <c:v>2024年8月</c:v>
                </c:pt>
                <c:pt idx="8">
                  <c:v>2024年9月</c:v>
                </c:pt>
                <c:pt idx="9">
                  <c:v>2024年10月</c:v>
                </c:pt>
                <c:pt idx="10">
                  <c:v>2024年11月</c:v>
                </c:pt>
                <c:pt idx="11">
                  <c:v>2024年12月</c:v>
                </c:pt>
              </c:strCache>
            </c:strRef>
          </c:cat>
          <c:val>
            <c:numRef>
              <c:f>'2024统计'!$O$43:$O$54</c:f>
              <c:numCache>
                <c:formatCode>General</c:formatCode>
                <c:ptCount val="12"/>
                <c:pt idx="0">
                  <c:v>6</c:v>
                </c:pt>
                <c:pt idx="1">
                  <c:v>9</c:v>
                </c:pt>
                <c:pt idx="2">
                  <c:v>9</c:v>
                </c:pt>
                <c:pt idx="3">
                  <c:v>14</c:v>
                </c:pt>
                <c:pt idx="4">
                  <c:v>20</c:v>
                </c:pt>
                <c:pt idx="5">
                  <c:v>22</c:v>
                </c:pt>
                <c:pt idx="6">
                  <c:v>26</c:v>
                </c:pt>
                <c:pt idx="7">
                  <c:v>29</c:v>
                </c:pt>
                <c:pt idx="8">
                  <c:v>36</c:v>
                </c:pt>
                <c:pt idx="9">
                  <c:v>40</c:v>
                </c:pt>
                <c:pt idx="10">
                  <c:v>43</c:v>
                </c:pt>
                <c:pt idx="11">
                  <c:v>52</c:v>
                </c:pt>
              </c:numCache>
            </c:numRef>
          </c:val>
        </c:ser>
        <c:ser>
          <c:idx val="4"/>
          <c:order val="4"/>
          <c:tx>
            <c:strRef>
              <c:f>"黄小珈"</c:f>
              <c:strCache>
                <c:ptCount val="1"/>
                <c:pt idx="0">
                  <c:v>黄小珈</c:v>
                </c:pt>
              </c:strCache>
            </c:strRef>
          </c:tx>
          <c:spPr>
            <a:solidFill>
              <a:srgbClr val="4472C4">
                <a:alpha val="30000"/>
              </a:srgbClr>
            </a:solidFill>
            <a:ln cmpd="sng">
              <a:solidFill>
                <a:srgbClr val="4472C4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/>
                    </a:solidFill>
                    <a:latin typeface="微软雅黑" panose="020B0503020204020204" charset="-122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'2024统计'!$K$43:$K$54</c:f>
              <c:strCache>
                <c:ptCount val="12"/>
                <c:pt idx="0">
                  <c:v>2024年1月</c:v>
                </c:pt>
                <c:pt idx="1">
                  <c:v>2024年2月</c:v>
                </c:pt>
                <c:pt idx="2">
                  <c:v>2024年3月</c:v>
                </c:pt>
                <c:pt idx="3">
                  <c:v>2024年4月</c:v>
                </c:pt>
                <c:pt idx="4">
                  <c:v>2024年5月</c:v>
                </c:pt>
                <c:pt idx="5">
                  <c:v>2024年6月</c:v>
                </c:pt>
                <c:pt idx="6">
                  <c:v>2024年7月</c:v>
                </c:pt>
                <c:pt idx="7">
                  <c:v>2024年8月</c:v>
                </c:pt>
                <c:pt idx="8">
                  <c:v>2024年9月</c:v>
                </c:pt>
                <c:pt idx="9">
                  <c:v>2024年10月</c:v>
                </c:pt>
                <c:pt idx="10">
                  <c:v>2024年11月</c:v>
                </c:pt>
                <c:pt idx="11">
                  <c:v>2024年12月</c:v>
                </c:pt>
              </c:strCache>
            </c:strRef>
          </c:cat>
          <c:val>
            <c:numRef>
              <c:f>'2024统计'!$P$43:$P$54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</c:v>
                </c:pt>
                <c:pt idx="4">
                  <c:v>4</c:v>
                </c:pt>
                <c:pt idx="5">
                  <c:v>6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9</c:v>
                </c:pt>
                <c:pt idx="10">
                  <c:v>12</c:v>
                </c:pt>
                <c:pt idx="11">
                  <c:v>15</c:v>
                </c:pt>
              </c:numCache>
            </c:numRef>
          </c:val>
        </c:ser>
        <c:ser>
          <c:idx val="5"/>
          <c:order val="5"/>
          <c:tx>
            <c:strRef>
              <c:f>"王志会"</c:f>
              <c:strCache>
                <c:ptCount val="1"/>
                <c:pt idx="0">
                  <c:v>王志会</c:v>
                </c:pt>
              </c:strCache>
            </c:strRef>
          </c:tx>
          <c:spPr>
            <a:solidFill>
              <a:srgbClr val="5B9BD5">
                <a:alpha val="30000"/>
              </a:srgbClr>
            </a:solidFill>
            <a:ln cmpd="sng">
              <a:solidFill>
                <a:srgbClr val="5B9BD5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/>
                    </a:solidFill>
                    <a:latin typeface="微软雅黑" panose="020B0503020204020204" charset="-122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'2024统计'!$K$43:$K$54</c:f>
              <c:strCache>
                <c:ptCount val="12"/>
                <c:pt idx="0">
                  <c:v>2024年1月</c:v>
                </c:pt>
                <c:pt idx="1">
                  <c:v>2024年2月</c:v>
                </c:pt>
                <c:pt idx="2">
                  <c:v>2024年3月</c:v>
                </c:pt>
                <c:pt idx="3">
                  <c:v>2024年4月</c:v>
                </c:pt>
                <c:pt idx="4">
                  <c:v>2024年5月</c:v>
                </c:pt>
                <c:pt idx="5">
                  <c:v>2024年6月</c:v>
                </c:pt>
                <c:pt idx="6">
                  <c:v>2024年7月</c:v>
                </c:pt>
                <c:pt idx="7">
                  <c:v>2024年8月</c:v>
                </c:pt>
                <c:pt idx="8">
                  <c:v>2024年9月</c:v>
                </c:pt>
                <c:pt idx="9">
                  <c:v>2024年10月</c:v>
                </c:pt>
                <c:pt idx="10">
                  <c:v>2024年11月</c:v>
                </c:pt>
                <c:pt idx="11">
                  <c:v>2024年12月</c:v>
                </c:pt>
              </c:strCache>
            </c:strRef>
          </c:cat>
          <c:val>
            <c:numRef>
              <c:f>'2024统计'!$Q$43:$Q$54</c:f>
              <c:numCache>
                <c:formatCode>General</c:formatCode>
                <c:ptCount val="12"/>
                <c:pt idx="0">
                  <c:v>10</c:v>
                </c:pt>
                <c:pt idx="1">
                  <c:v>11</c:v>
                </c:pt>
                <c:pt idx="2">
                  <c:v>15</c:v>
                </c:pt>
                <c:pt idx="3">
                  <c:v>17</c:v>
                </c:pt>
                <c:pt idx="4">
                  <c:v>26</c:v>
                </c:pt>
                <c:pt idx="5">
                  <c:v>27</c:v>
                </c:pt>
                <c:pt idx="6">
                  <c:v>31</c:v>
                </c:pt>
                <c:pt idx="7">
                  <c:v>35</c:v>
                </c:pt>
                <c:pt idx="8">
                  <c:v>40</c:v>
                </c:pt>
                <c:pt idx="9">
                  <c:v>44</c:v>
                </c:pt>
                <c:pt idx="10">
                  <c:v>47</c:v>
                </c:pt>
                <c:pt idx="11">
                  <c:v>51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7319430"/>
        <c:axId val="1225365411"/>
      </c:areaChart>
      <c:catAx>
        <c:axId val="1047319430"/>
        <c:scaling>
          <c:orientation val="minMax"/>
        </c:scaling>
        <c:delete val="0"/>
        <c:axPos val="b"/>
        <c:title>
          <c:layout/>
          <c:overlay val="0"/>
          <c:tx>
            <c:rich>
              <a:bodyPr/>
              <a:lstStyle/>
              <a:p>
                <a:pPr>
                  <a:defRPr/>
                </a:pPr>
              </a:p>
            </c:rich>
          </c:tx>
        </c:title>
        <c:numFmt formatCode="General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000000"/>
                </a:solidFill>
                <a:latin typeface="微软雅黑" panose="020B0503020204020204" charset="-122"/>
                <a:ea typeface="+mn-ea"/>
                <a:cs typeface="+mn-cs"/>
              </a:defRPr>
            </a:pPr>
          </a:p>
        </c:txPr>
        <c:crossAx val="1225365411"/>
        <c:crosses val="autoZero"/>
        <c:auto val="1"/>
        <c:lblAlgn val="ctr"/>
        <c:lblOffset val="100"/>
        <c:noMultiLvlLbl val="1"/>
      </c:catAx>
      <c:valAx>
        <c:axId val="1225365411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</c:spPr>
        </c:majorGridlines>
        <c:title>
          <c:layout/>
          <c:overlay val="0"/>
          <c:tx>
            <c:rich>
              <a:bodyPr/>
              <a:lstStyle/>
              <a:p>
                <a:pPr>
                  <a:defRPr/>
                </a:pPr>
              </a:p>
            </c:rich>
          </c:tx>
        </c:title>
        <c:numFmt formatCode="0%" sourceLinked="1"/>
        <c:majorTickMark val="none"/>
        <c:minorTickMark val="none"/>
        <c:tickLblPos val="nextTo"/>
        <c:spPr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rgbClr val="000000"/>
                </a:solidFill>
                <a:latin typeface="微软雅黑" panose="020B0503020204020204" charset="-122"/>
                <a:ea typeface="+mn-ea"/>
                <a:cs typeface="+mn-cs"/>
              </a:defRPr>
            </a:pPr>
          </a:p>
        </c:txPr>
        <c:crossAx val="1047319430"/>
        <c:crosses val="autoZero"/>
        <c:crossBetween val="midCat"/>
      </c:valAx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rgbClr val="1A1A1A"/>
                </a:solidFill>
                <a:latin typeface="微软雅黑" panose="020B0503020204020204" charset="-122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rgbClr val="1A1A1A"/>
                </a:solidFill>
                <a:latin typeface="微软雅黑" panose="020B0503020204020204" charset="-122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rgbClr val="1A1A1A"/>
                </a:solidFill>
                <a:latin typeface="微软雅黑" panose="020B0503020204020204" charset="-122"/>
                <a:ea typeface="+mn-ea"/>
                <a:cs typeface="+mn-cs"/>
              </a:defRPr>
            </a:pPr>
          </a:p>
        </c:txPr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rgbClr val="1A1A1A"/>
                </a:solidFill>
                <a:latin typeface="微软雅黑" panose="020B0503020204020204" charset="-122"/>
                <a:ea typeface="+mn-ea"/>
                <a:cs typeface="+mn-cs"/>
              </a:defRPr>
            </a:pPr>
          </a:p>
        </c:txPr>
      </c:legendEntry>
      <c:legendEntry>
        <c:idx val="4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rgbClr val="1A1A1A"/>
                </a:solidFill>
                <a:latin typeface="微软雅黑" panose="020B0503020204020204" charset="-122"/>
                <a:ea typeface="+mn-ea"/>
                <a:cs typeface="+mn-cs"/>
              </a:defRPr>
            </a:pPr>
          </a:p>
        </c:txPr>
      </c:legendEntry>
      <c:legendEntry>
        <c:idx val="5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rgbClr val="1A1A1A"/>
                </a:solidFill>
                <a:latin typeface="微软雅黑" panose="020B0503020204020204" charset="-122"/>
                <a:ea typeface="+mn-ea"/>
                <a:cs typeface="+mn-cs"/>
              </a:defRPr>
            </a:pPr>
          </a:p>
        </c:txPr>
      </c:legendEntry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rgbClr val="1A1A1A"/>
              </a:solidFill>
              <a:latin typeface="微软雅黑" panose="020B0503020204020204" charset="-122"/>
              <a:ea typeface="+mn-ea"/>
              <a:cs typeface="+mn-cs"/>
            </a:defRPr>
          </a:pPr>
        </a:p>
      </c:txPr>
    </c:legend>
    <c:plotVisOnly val="1"/>
    <c:dispBlanksAs val="zero"/>
    <c:showDLblsOverMax val="1"/>
    <c:extLst>
      <c:ext uri="{0b15fc19-7d7d-44ad-8c2d-2c3a37ce22c3}">
        <chartProps xmlns="https://web.wps.cn/et/2018/main" chartId="{4587215e-3e10-4b76-9a43-9400a4904ce7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zh-CN" sz="1200" b="1" i="0" u="none" strike="noStrike" kern="1200" baseline="0">
                <a:solidFill>
                  <a:srgbClr val="757575"/>
                </a:solidFill>
                <a:latin typeface="微软雅黑" panose="020B0503020204020204" charset="-122"/>
                <a:ea typeface="+mn-ea"/>
                <a:cs typeface="+mn-cs"/>
              </a:defRPr>
            </a:pPr>
            <a:r>
              <a:rPr sz="1200" b="1" i="0">
                <a:solidFill>
                  <a:srgbClr val="757575"/>
                </a:solidFill>
                <a:latin typeface="微软雅黑" panose="020B0503020204020204" charset="-122"/>
              </a:rPr>
              <a:t>规划中心主网项目评审工作量</a:t>
            </a:r>
            <a:endParaRPr sz="1200" b="1" i="0">
              <a:solidFill>
                <a:srgbClr val="757575"/>
              </a:solidFill>
              <a:latin typeface="微软雅黑" panose="020B0503020204020204" charset="-122"/>
            </a:endParaRPr>
          </a:p>
        </c:rich>
      </c:tx>
      <c:layout/>
      <c:overlay val="0"/>
    </c:title>
    <c:autoTitleDeleted val="0"/>
    <c:plotArea>
      <c:layout/>
      <c:areaChart>
        <c:grouping val="stacked"/>
        <c:varyColors val="1"/>
        <c:ser>
          <c:idx val="0"/>
          <c:order val="0"/>
          <c:tx>
            <c:strRef>
              <c:f>"可研"</c:f>
              <c:strCache>
                <c:ptCount val="1"/>
                <c:pt idx="0">
                  <c:v>可研</c:v>
                </c:pt>
              </c:strCache>
            </c:strRef>
          </c:tx>
          <c:spPr>
            <a:solidFill>
              <a:srgbClr val="5B9BD5">
                <a:alpha val="30000"/>
              </a:srgbClr>
            </a:solidFill>
            <a:ln cmpd="sng">
              <a:solidFill>
                <a:srgbClr val="5B9BD5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微软雅黑" panose="020B0503020204020204" charset="-122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'2024统计'!$A$43:$A$54</c:f>
              <c:strCache>
                <c:ptCount val="12"/>
                <c:pt idx="0">
                  <c:v>2024年1月</c:v>
                </c:pt>
                <c:pt idx="1">
                  <c:v>2024年2月</c:v>
                </c:pt>
                <c:pt idx="2">
                  <c:v>2024年3月</c:v>
                </c:pt>
                <c:pt idx="3">
                  <c:v>2024年4月</c:v>
                </c:pt>
                <c:pt idx="4">
                  <c:v>2024年5月</c:v>
                </c:pt>
                <c:pt idx="5">
                  <c:v>2024年6月</c:v>
                </c:pt>
                <c:pt idx="6">
                  <c:v>2024年7月</c:v>
                </c:pt>
                <c:pt idx="7">
                  <c:v>2024年8月</c:v>
                </c:pt>
                <c:pt idx="8">
                  <c:v>2024年9月</c:v>
                </c:pt>
                <c:pt idx="9">
                  <c:v>2024年10月</c:v>
                </c:pt>
                <c:pt idx="10">
                  <c:v>2024年11月</c:v>
                </c:pt>
                <c:pt idx="11">
                  <c:v>2024年12月</c:v>
                </c:pt>
              </c:strCache>
            </c:strRef>
          </c:cat>
          <c:val>
            <c:numRef>
              <c:f>'2024统计'!$B$43:$B$54</c:f>
              <c:numCache>
                <c:formatCode>General</c:formatCode>
                <c:ptCount val="12"/>
                <c:pt idx="0">
                  <c:v>5</c:v>
                </c:pt>
                <c:pt idx="1">
                  <c:v>4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1</c:v>
                </c:pt>
                <c:pt idx="6">
                  <c:v>4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2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strRef>
              <c:f>"可研调整"</c:f>
              <c:strCache>
                <c:ptCount val="1"/>
                <c:pt idx="0">
                  <c:v>可研调整</c:v>
                </c:pt>
              </c:strCache>
            </c:strRef>
          </c:tx>
          <c:spPr>
            <a:solidFill>
              <a:srgbClr val="ED7D31">
                <a:alpha val="30000"/>
              </a:srgbClr>
            </a:solidFill>
            <a:ln cmpd="sng">
              <a:solidFill>
                <a:srgbClr val="ED7D31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微软雅黑" panose="020B0503020204020204" charset="-122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'2024统计'!$A$43:$A$54</c:f>
              <c:strCache>
                <c:ptCount val="12"/>
                <c:pt idx="0">
                  <c:v>2024年1月</c:v>
                </c:pt>
                <c:pt idx="1">
                  <c:v>2024年2月</c:v>
                </c:pt>
                <c:pt idx="2">
                  <c:v>2024年3月</c:v>
                </c:pt>
                <c:pt idx="3">
                  <c:v>2024年4月</c:v>
                </c:pt>
                <c:pt idx="4">
                  <c:v>2024年5月</c:v>
                </c:pt>
                <c:pt idx="5">
                  <c:v>2024年6月</c:v>
                </c:pt>
                <c:pt idx="6">
                  <c:v>2024年7月</c:v>
                </c:pt>
                <c:pt idx="7">
                  <c:v>2024年8月</c:v>
                </c:pt>
                <c:pt idx="8">
                  <c:v>2024年9月</c:v>
                </c:pt>
                <c:pt idx="9">
                  <c:v>2024年10月</c:v>
                </c:pt>
                <c:pt idx="10">
                  <c:v>2024年11月</c:v>
                </c:pt>
                <c:pt idx="11">
                  <c:v>2024年12月</c:v>
                </c:pt>
              </c:strCache>
            </c:strRef>
          </c:cat>
          <c:val>
            <c:numRef>
              <c:f>'2024统计'!$C$43:$C$54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2"/>
          <c:order val="2"/>
          <c:tx>
            <c:strRef>
              <c:f>"初设"</c:f>
              <c:strCache>
                <c:ptCount val="1"/>
                <c:pt idx="0">
                  <c:v>初设</c:v>
                </c:pt>
              </c:strCache>
            </c:strRef>
          </c:tx>
          <c:spPr>
            <a:solidFill>
              <a:srgbClr val="A5A5A5">
                <a:alpha val="30000"/>
              </a:srgbClr>
            </a:solidFill>
            <a:ln cmpd="sng">
              <a:solidFill>
                <a:srgbClr val="A5A5A5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微软雅黑" panose="020B0503020204020204" charset="-122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'2024统计'!$A$43:$A$54</c:f>
              <c:strCache>
                <c:ptCount val="12"/>
                <c:pt idx="0">
                  <c:v>2024年1月</c:v>
                </c:pt>
                <c:pt idx="1">
                  <c:v>2024年2月</c:v>
                </c:pt>
                <c:pt idx="2">
                  <c:v>2024年3月</c:v>
                </c:pt>
                <c:pt idx="3">
                  <c:v>2024年4月</c:v>
                </c:pt>
                <c:pt idx="4">
                  <c:v>2024年5月</c:v>
                </c:pt>
                <c:pt idx="5">
                  <c:v>2024年6月</c:v>
                </c:pt>
                <c:pt idx="6">
                  <c:v>2024年7月</c:v>
                </c:pt>
                <c:pt idx="7">
                  <c:v>2024年8月</c:v>
                </c:pt>
                <c:pt idx="8">
                  <c:v>2024年9月</c:v>
                </c:pt>
                <c:pt idx="9">
                  <c:v>2024年10月</c:v>
                </c:pt>
                <c:pt idx="10">
                  <c:v>2024年11月</c:v>
                </c:pt>
                <c:pt idx="11">
                  <c:v>2024年12月</c:v>
                </c:pt>
              </c:strCache>
            </c:strRef>
          </c:cat>
          <c:val>
            <c:numRef>
              <c:f>'2024统计'!$D$43:$D$54</c:f>
              <c:numCache>
                <c:formatCode>General</c:formatCode>
                <c:ptCount val="12"/>
                <c:pt idx="0">
                  <c:v>8</c:v>
                </c:pt>
                <c:pt idx="1">
                  <c:v>9</c:v>
                </c:pt>
                <c:pt idx="2">
                  <c:v>13</c:v>
                </c:pt>
                <c:pt idx="3">
                  <c:v>8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2</c:v>
                </c:pt>
                <c:pt idx="10">
                  <c:v>3</c:v>
                </c:pt>
                <c:pt idx="11">
                  <c:v>1</c:v>
                </c:pt>
              </c:numCache>
            </c:numRef>
          </c:val>
        </c:ser>
        <c:ser>
          <c:idx val="3"/>
          <c:order val="3"/>
          <c:tx>
            <c:strRef>
              <c:f>"初设调整"</c:f>
              <c:strCache>
                <c:ptCount val="1"/>
                <c:pt idx="0">
                  <c:v>初设调整</c:v>
                </c:pt>
              </c:strCache>
            </c:strRef>
          </c:tx>
          <c:spPr>
            <a:solidFill>
              <a:srgbClr val="FFC000">
                <a:alpha val="30000"/>
              </a:srgbClr>
            </a:solidFill>
            <a:ln cmpd="sng">
              <a:solidFill>
                <a:srgbClr val="FFC000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微软雅黑" panose="020B0503020204020204" charset="-122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'2024统计'!$A$43:$A$54</c:f>
              <c:strCache>
                <c:ptCount val="12"/>
                <c:pt idx="0">
                  <c:v>2024年1月</c:v>
                </c:pt>
                <c:pt idx="1">
                  <c:v>2024年2月</c:v>
                </c:pt>
                <c:pt idx="2">
                  <c:v>2024年3月</c:v>
                </c:pt>
                <c:pt idx="3">
                  <c:v>2024年4月</c:v>
                </c:pt>
                <c:pt idx="4">
                  <c:v>2024年5月</c:v>
                </c:pt>
                <c:pt idx="5">
                  <c:v>2024年6月</c:v>
                </c:pt>
                <c:pt idx="6">
                  <c:v>2024年7月</c:v>
                </c:pt>
                <c:pt idx="7">
                  <c:v>2024年8月</c:v>
                </c:pt>
                <c:pt idx="8">
                  <c:v>2024年9月</c:v>
                </c:pt>
                <c:pt idx="9">
                  <c:v>2024年10月</c:v>
                </c:pt>
                <c:pt idx="10">
                  <c:v>2024年11月</c:v>
                </c:pt>
                <c:pt idx="11">
                  <c:v>2024年12月</c:v>
                </c:pt>
              </c:strCache>
            </c:strRef>
          </c:cat>
          <c:val>
            <c:numRef>
              <c:f>'2024统计'!$E$43:$E$54</c:f>
              <c:numCache>
                <c:formatCode>General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1</c:v>
                </c:pt>
              </c:numCache>
            </c:numRef>
          </c:val>
        </c:ser>
        <c:ser>
          <c:idx val="4"/>
          <c:order val="4"/>
          <c:tx>
            <c:strRef>
              <c:f>"施工图及预算"</c:f>
              <c:strCache>
                <c:ptCount val="1"/>
                <c:pt idx="0">
                  <c:v>施工图及预算</c:v>
                </c:pt>
              </c:strCache>
            </c:strRef>
          </c:tx>
          <c:spPr>
            <a:solidFill>
              <a:srgbClr val="4472C4">
                <a:alpha val="30000"/>
              </a:srgbClr>
            </a:solidFill>
            <a:ln cmpd="sng">
              <a:solidFill>
                <a:srgbClr val="4472C4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微软雅黑" panose="020B0503020204020204" charset="-122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'2024统计'!$A$43:$A$54</c:f>
              <c:strCache>
                <c:ptCount val="12"/>
                <c:pt idx="0">
                  <c:v>2024年1月</c:v>
                </c:pt>
                <c:pt idx="1">
                  <c:v>2024年2月</c:v>
                </c:pt>
                <c:pt idx="2">
                  <c:v>2024年3月</c:v>
                </c:pt>
                <c:pt idx="3">
                  <c:v>2024年4月</c:v>
                </c:pt>
                <c:pt idx="4">
                  <c:v>2024年5月</c:v>
                </c:pt>
                <c:pt idx="5">
                  <c:v>2024年6月</c:v>
                </c:pt>
                <c:pt idx="6">
                  <c:v>2024年7月</c:v>
                </c:pt>
                <c:pt idx="7">
                  <c:v>2024年8月</c:v>
                </c:pt>
                <c:pt idx="8">
                  <c:v>2024年9月</c:v>
                </c:pt>
                <c:pt idx="9">
                  <c:v>2024年10月</c:v>
                </c:pt>
                <c:pt idx="10">
                  <c:v>2024年11月</c:v>
                </c:pt>
                <c:pt idx="11">
                  <c:v>2024年12月</c:v>
                </c:pt>
              </c:strCache>
            </c:strRef>
          </c:cat>
          <c:val>
            <c:numRef>
              <c:f>'2024统计'!$F$43:$F$54</c:f>
              <c:numCache>
                <c:formatCode>General</c:formatCode>
                <c:ptCount val="12"/>
                <c:pt idx="0">
                  <c:v>3</c:v>
                </c:pt>
                <c:pt idx="1">
                  <c:v>4</c:v>
                </c:pt>
                <c:pt idx="2">
                  <c:v>8</c:v>
                </c:pt>
                <c:pt idx="3">
                  <c:v>6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  <c:pt idx="7">
                  <c:v>0</c:v>
                </c:pt>
                <c:pt idx="8">
                  <c:v>2</c:v>
                </c:pt>
                <c:pt idx="9">
                  <c:v>4</c:v>
                </c:pt>
                <c:pt idx="10">
                  <c:v>6</c:v>
                </c:pt>
                <c:pt idx="11">
                  <c:v>0</c:v>
                </c:pt>
              </c:numCache>
            </c:numRef>
          </c:val>
        </c:ser>
        <c:ser>
          <c:idx val="5"/>
          <c:order val="5"/>
          <c:tx>
            <c:strRef>
              <c:f>"施工图预算调整"</c:f>
              <c:strCache>
                <c:ptCount val="1"/>
                <c:pt idx="0">
                  <c:v>施工图预算调整</c:v>
                </c:pt>
              </c:strCache>
            </c:strRef>
          </c:tx>
          <c:spPr>
            <a:solidFill>
              <a:srgbClr val="70AD47">
                <a:alpha val="30000"/>
              </a:srgbClr>
            </a:solidFill>
            <a:ln cmpd="sng">
              <a:solidFill>
                <a:srgbClr val="70AD47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微软雅黑" panose="020B0503020204020204" charset="-122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'2024统计'!$A$43:$A$54</c:f>
              <c:strCache>
                <c:ptCount val="12"/>
                <c:pt idx="0">
                  <c:v>2024年1月</c:v>
                </c:pt>
                <c:pt idx="1">
                  <c:v>2024年2月</c:v>
                </c:pt>
                <c:pt idx="2">
                  <c:v>2024年3月</c:v>
                </c:pt>
                <c:pt idx="3">
                  <c:v>2024年4月</c:v>
                </c:pt>
                <c:pt idx="4">
                  <c:v>2024年5月</c:v>
                </c:pt>
                <c:pt idx="5">
                  <c:v>2024年6月</c:v>
                </c:pt>
                <c:pt idx="6">
                  <c:v>2024年7月</c:v>
                </c:pt>
                <c:pt idx="7">
                  <c:v>2024年8月</c:v>
                </c:pt>
                <c:pt idx="8">
                  <c:v>2024年9月</c:v>
                </c:pt>
                <c:pt idx="9">
                  <c:v>2024年10月</c:v>
                </c:pt>
                <c:pt idx="10">
                  <c:v>2024年11月</c:v>
                </c:pt>
                <c:pt idx="11">
                  <c:v>2024年12月</c:v>
                </c:pt>
              </c:strCache>
            </c:strRef>
          </c:cat>
          <c:val>
            <c:numRef>
              <c:f>'2024统计'!$G$43:$G$54</c:f>
              <c:numCache>
                <c:formatCode>General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6"/>
          <c:order val="6"/>
          <c:tx>
            <c:strRef>
              <c:f>"重大设计变更"</c:f>
              <c:strCache>
                <c:ptCount val="1"/>
                <c:pt idx="0">
                  <c:v>重大设计变更</c:v>
                </c:pt>
              </c:strCache>
            </c:strRef>
          </c:tx>
          <c:spPr>
            <a:solidFill>
              <a:srgbClr val="5B9BD5">
                <a:alpha val="30000"/>
              </a:srgbClr>
            </a:solidFill>
            <a:ln cmpd="sng">
              <a:solidFill>
                <a:srgbClr val="5B9BD5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微软雅黑" panose="020B0503020204020204" charset="-122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'2024统计'!$A$43:$A$54</c:f>
              <c:strCache>
                <c:ptCount val="12"/>
                <c:pt idx="0">
                  <c:v>2024年1月</c:v>
                </c:pt>
                <c:pt idx="1">
                  <c:v>2024年2月</c:v>
                </c:pt>
                <c:pt idx="2">
                  <c:v>2024年3月</c:v>
                </c:pt>
                <c:pt idx="3">
                  <c:v>2024年4月</c:v>
                </c:pt>
                <c:pt idx="4">
                  <c:v>2024年5月</c:v>
                </c:pt>
                <c:pt idx="5">
                  <c:v>2024年6月</c:v>
                </c:pt>
                <c:pt idx="6">
                  <c:v>2024年7月</c:v>
                </c:pt>
                <c:pt idx="7">
                  <c:v>2024年8月</c:v>
                </c:pt>
                <c:pt idx="8">
                  <c:v>2024年9月</c:v>
                </c:pt>
                <c:pt idx="9">
                  <c:v>2024年10月</c:v>
                </c:pt>
                <c:pt idx="10">
                  <c:v>2024年11月</c:v>
                </c:pt>
                <c:pt idx="11">
                  <c:v>2024年12月</c:v>
                </c:pt>
              </c:strCache>
            </c:strRef>
          </c:cat>
          <c:val>
            <c:numRef>
              <c:f>'2024统计'!$H$43:$H$54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5</c:v>
                </c:pt>
                <c:pt idx="4">
                  <c:v>2</c:v>
                </c:pt>
                <c:pt idx="5">
                  <c:v>0</c:v>
                </c:pt>
                <c:pt idx="6">
                  <c:v>1</c:v>
                </c:pt>
                <c:pt idx="7">
                  <c:v>4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5599562"/>
        <c:axId val="679584479"/>
      </c:areaChart>
      <c:catAx>
        <c:axId val="675599562"/>
        <c:scaling>
          <c:orientation val="minMax"/>
        </c:scaling>
        <c:delete val="0"/>
        <c:axPos val="b"/>
        <c:title>
          <c:layout/>
          <c:overlay val="0"/>
          <c:tx>
            <c:rich>
              <a:bodyPr/>
              <a:lstStyle/>
              <a:p>
                <a:pPr>
                  <a:defRPr/>
                </a:pPr>
              </a:p>
            </c:rich>
          </c:tx>
        </c:title>
        <c:numFmt formatCode="General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/>
                </a:solidFill>
                <a:latin typeface="微软雅黑" panose="020B0503020204020204" charset="-122"/>
                <a:ea typeface="+mn-ea"/>
                <a:cs typeface="+mn-cs"/>
              </a:defRPr>
            </a:pPr>
          </a:p>
        </c:txPr>
        <c:crossAx val="679584479"/>
        <c:crosses val="autoZero"/>
        <c:auto val="1"/>
        <c:lblAlgn val="ctr"/>
        <c:lblOffset val="100"/>
        <c:noMultiLvlLbl val="1"/>
      </c:catAx>
      <c:valAx>
        <c:axId val="679584479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</c:spPr>
        </c:majorGridlines>
        <c:title>
          <c:layout/>
          <c:overlay val="0"/>
          <c:tx>
            <c:rich>
              <a:bodyPr/>
              <a:lstStyle/>
              <a:p>
                <a:pPr>
                  <a:defRPr/>
                </a:pPr>
              </a:p>
            </c:rich>
          </c:tx>
        </c:title>
        <c:numFmt formatCode="General" sourceLinked="1"/>
        <c:majorTickMark val="none"/>
        <c:minorTickMark val="none"/>
        <c:tickLblPos val="nextTo"/>
        <c:spPr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/>
                </a:solidFill>
                <a:latin typeface="微软雅黑" panose="020B0503020204020204" charset="-122"/>
                <a:ea typeface="+mn-ea"/>
                <a:cs typeface="+mn-cs"/>
              </a:defRPr>
            </a:pPr>
          </a:p>
        </c:txPr>
        <c:crossAx val="675599562"/>
        <c:crosses val="autoZero"/>
        <c:crossBetween val="midCat"/>
      </c:valAx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1A1A1A"/>
                </a:solidFill>
                <a:latin typeface="微软雅黑" panose="020B0503020204020204" charset="-122"/>
                <a:ea typeface="+mn-ea"/>
                <a:cs typeface="+mn-cs"/>
              </a:defRPr>
            </a:pPr>
          </a:p>
        </c:txPr>
      </c:legendEntry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rgbClr val="1A1A1A"/>
              </a:solidFill>
              <a:latin typeface="微软雅黑" panose="020B0503020204020204" charset="-122"/>
              <a:ea typeface="+mn-ea"/>
              <a:cs typeface="+mn-cs"/>
            </a:defRPr>
          </a:pPr>
        </a:p>
      </c:txPr>
    </c:legend>
    <c:plotVisOnly val="1"/>
    <c:dispBlanksAs val="zero"/>
    <c:showDLblsOverMax val="1"/>
    <c:extLst>
      <c:ext uri="{0b15fc19-7d7d-44ad-8c2d-2c3a37ce22c3}">
        <chartProps xmlns="https://web.wps.cn/et/2018/main" chartId="{3ecae8ab-cbb8-471a-8eb3-aa89281c7aab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zh-CN" sz="1400" b="0" i="0" u="none" strike="noStrike" kern="1200" baseline="0">
                <a:solidFill>
                  <a:srgbClr val="757575"/>
                </a:solidFill>
                <a:latin typeface="微软雅黑" panose="020B0503020204020204" charset="-122"/>
                <a:ea typeface="+mn-ea"/>
                <a:cs typeface="+mn-cs"/>
              </a:defRPr>
            </a:pPr>
            <a:r>
              <a:rPr sz="1400" b="0" i="0">
                <a:solidFill>
                  <a:srgbClr val="757575"/>
                </a:solidFill>
                <a:latin typeface="微软雅黑" panose="020B0503020204020204" charset="-122"/>
              </a:rPr>
              <a:t>设计单位评审项目金额</a:t>
            </a:r>
            <a:endParaRPr sz="1400" b="0" i="0">
              <a:solidFill>
                <a:srgbClr val="757575"/>
              </a:solidFill>
              <a:latin typeface="微软雅黑" panose="020B0503020204020204" charset="-122"/>
            </a:endParaRPr>
          </a:p>
        </c:rich>
      </c:tx>
      <c:layout/>
      <c:overlay val="0"/>
    </c:title>
    <c:autoTitleDeleted val="0"/>
    <c:plotArea>
      <c:layout/>
      <c:areaChart>
        <c:grouping val="percentStacked"/>
        <c:varyColors val="1"/>
        <c:ser>
          <c:idx val="0"/>
          <c:order val="0"/>
          <c:tx>
            <c:strRef>
              <c:f>"广州院"</c:f>
              <c:strCache>
                <c:ptCount val="1"/>
                <c:pt idx="0">
                  <c:v>广州院</c:v>
                </c:pt>
              </c:strCache>
            </c:strRef>
          </c:tx>
          <c:spPr>
            <a:solidFill>
              <a:srgbClr val="ED7D31">
                <a:alpha val="30000"/>
              </a:srgbClr>
            </a:solidFill>
            <a:ln cmpd="sng">
              <a:solidFill>
                <a:srgbClr val="ED7D31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'2024统计'!$T$43:$T$54</c:f>
              <c:strCache>
                <c:ptCount val="12"/>
                <c:pt idx="0">
                  <c:v>2024年1月</c:v>
                </c:pt>
                <c:pt idx="1">
                  <c:v>2024年2月</c:v>
                </c:pt>
                <c:pt idx="2">
                  <c:v>2024年3月</c:v>
                </c:pt>
                <c:pt idx="3">
                  <c:v>2024年4月</c:v>
                </c:pt>
                <c:pt idx="4">
                  <c:v>2024年5月</c:v>
                </c:pt>
                <c:pt idx="5">
                  <c:v>2024年6月</c:v>
                </c:pt>
                <c:pt idx="6">
                  <c:v>2024年7月</c:v>
                </c:pt>
                <c:pt idx="7">
                  <c:v>2024年8月</c:v>
                </c:pt>
                <c:pt idx="8">
                  <c:v>2024年9月</c:v>
                </c:pt>
                <c:pt idx="9">
                  <c:v>2024年10月</c:v>
                </c:pt>
                <c:pt idx="10">
                  <c:v>2024年11月</c:v>
                </c:pt>
                <c:pt idx="11">
                  <c:v>2024年12月</c:v>
                </c:pt>
              </c:strCache>
            </c:strRef>
          </c:cat>
          <c:val>
            <c:numRef>
              <c:f>'2024统计'!$U$43:$U$54</c:f>
              <c:numCache>
                <c:formatCode>General</c:formatCode>
                <c:ptCount val="12"/>
                <c:pt idx="0">
                  <c:v>3.408133</c:v>
                </c:pt>
                <c:pt idx="1">
                  <c:v>3.678328</c:v>
                </c:pt>
                <c:pt idx="2">
                  <c:v>9.134929</c:v>
                </c:pt>
                <c:pt idx="3">
                  <c:v>10.553852</c:v>
                </c:pt>
                <c:pt idx="4">
                  <c:v>15.636906</c:v>
                </c:pt>
                <c:pt idx="5">
                  <c:v>17.271895</c:v>
                </c:pt>
                <c:pt idx="6">
                  <c:v>18.365517</c:v>
                </c:pt>
                <c:pt idx="7">
                  <c:v>19.45936</c:v>
                </c:pt>
                <c:pt idx="8">
                  <c:v>20.276055</c:v>
                </c:pt>
                <c:pt idx="9">
                  <c:v>21.399925</c:v>
                </c:pt>
                <c:pt idx="10">
                  <c:v>21.868573</c:v>
                </c:pt>
                <c:pt idx="11">
                  <c:v>26.285282</c:v>
                </c:pt>
              </c:numCache>
            </c:numRef>
          </c:val>
        </c:ser>
        <c:ser>
          <c:idx val="1"/>
          <c:order val="1"/>
          <c:tx>
            <c:strRef>
              <c:f>"工程院"</c:f>
              <c:strCache>
                <c:ptCount val="1"/>
                <c:pt idx="0">
                  <c:v>工程院</c:v>
                </c:pt>
              </c:strCache>
            </c:strRef>
          </c:tx>
          <c:spPr>
            <a:solidFill>
              <a:srgbClr val="FFC000">
                <a:alpha val="30000"/>
              </a:srgbClr>
            </a:solidFill>
            <a:ln cmpd="sng">
              <a:solidFill>
                <a:srgbClr val="FFC000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'2024统计'!$T$43:$T$54</c:f>
              <c:strCache>
                <c:ptCount val="12"/>
                <c:pt idx="0">
                  <c:v>2024年1月</c:v>
                </c:pt>
                <c:pt idx="1">
                  <c:v>2024年2月</c:v>
                </c:pt>
                <c:pt idx="2">
                  <c:v>2024年3月</c:v>
                </c:pt>
                <c:pt idx="3">
                  <c:v>2024年4月</c:v>
                </c:pt>
                <c:pt idx="4">
                  <c:v>2024年5月</c:v>
                </c:pt>
                <c:pt idx="5">
                  <c:v>2024年6月</c:v>
                </c:pt>
                <c:pt idx="6">
                  <c:v>2024年7月</c:v>
                </c:pt>
                <c:pt idx="7">
                  <c:v>2024年8月</c:v>
                </c:pt>
                <c:pt idx="8">
                  <c:v>2024年9月</c:v>
                </c:pt>
                <c:pt idx="9">
                  <c:v>2024年10月</c:v>
                </c:pt>
                <c:pt idx="10">
                  <c:v>2024年11月</c:v>
                </c:pt>
                <c:pt idx="11">
                  <c:v>2024年12月</c:v>
                </c:pt>
              </c:strCache>
            </c:strRef>
          </c:cat>
          <c:val>
            <c:numRef>
              <c:f>'2024统计'!$V$43:$V$54</c:f>
              <c:numCache>
                <c:formatCode>General</c:formatCode>
                <c:ptCount val="12"/>
                <c:pt idx="0">
                  <c:v>10.956255</c:v>
                </c:pt>
                <c:pt idx="1">
                  <c:v>16.057362</c:v>
                </c:pt>
                <c:pt idx="2">
                  <c:v>21.021775</c:v>
                </c:pt>
                <c:pt idx="3">
                  <c:v>26.99875</c:v>
                </c:pt>
                <c:pt idx="4">
                  <c:v>58.858266</c:v>
                </c:pt>
                <c:pt idx="5">
                  <c:v>63.706684</c:v>
                </c:pt>
                <c:pt idx="6">
                  <c:v>68.186271</c:v>
                </c:pt>
                <c:pt idx="7">
                  <c:v>74.979582</c:v>
                </c:pt>
                <c:pt idx="8">
                  <c:v>79.683434</c:v>
                </c:pt>
                <c:pt idx="9">
                  <c:v>91.105777</c:v>
                </c:pt>
                <c:pt idx="10">
                  <c:v>103.110267</c:v>
                </c:pt>
                <c:pt idx="11">
                  <c:v>111.00042</c:v>
                </c:pt>
              </c:numCache>
            </c:numRef>
          </c:val>
        </c:ser>
        <c:ser>
          <c:idx val="2"/>
          <c:order val="2"/>
          <c:tx>
            <c:strRef>
              <c:f>"汇隽院"</c:f>
              <c:strCache>
                <c:ptCount val="1"/>
                <c:pt idx="0">
                  <c:v>汇隽院</c:v>
                </c:pt>
              </c:strCache>
            </c:strRef>
          </c:tx>
          <c:spPr>
            <a:solidFill>
              <a:srgbClr val="FFFF00">
                <a:alpha val="30000"/>
              </a:srgbClr>
            </a:solidFill>
            <a:ln cmpd="sng">
              <a:solidFill>
                <a:srgbClr val="FFFF00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'2024统计'!$T$43:$T$54</c:f>
              <c:strCache>
                <c:ptCount val="12"/>
                <c:pt idx="0">
                  <c:v>2024年1月</c:v>
                </c:pt>
                <c:pt idx="1">
                  <c:v>2024年2月</c:v>
                </c:pt>
                <c:pt idx="2">
                  <c:v>2024年3月</c:v>
                </c:pt>
                <c:pt idx="3">
                  <c:v>2024年4月</c:v>
                </c:pt>
                <c:pt idx="4">
                  <c:v>2024年5月</c:v>
                </c:pt>
                <c:pt idx="5">
                  <c:v>2024年6月</c:v>
                </c:pt>
                <c:pt idx="6">
                  <c:v>2024年7月</c:v>
                </c:pt>
                <c:pt idx="7">
                  <c:v>2024年8月</c:v>
                </c:pt>
                <c:pt idx="8">
                  <c:v>2024年9月</c:v>
                </c:pt>
                <c:pt idx="9">
                  <c:v>2024年10月</c:v>
                </c:pt>
                <c:pt idx="10">
                  <c:v>2024年11月</c:v>
                </c:pt>
                <c:pt idx="11">
                  <c:v>2024年12月</c:v>
                </c:pt>
              </c:strCache>
            </c:strRef>
          </c:cat>
          <c:val>
            <c:numRef>
              <c:f>'2024统计'!$W$43:$W$54</c:f>
              <c:numCache>
                <c:formatCode>General</c:formatCode>
                <c:ptCount val="12"/>
                <c:pt idx="0">
                  <c:v>1.083147</c:v>
                </c:pt>
                <c:pt idx="1">
                  <c:v>1.083147</c:v>
                </c:pt>
                <c:pt idx="2">
                  <c:v>1.083147</c:v>
                </c:pt>
                <c:pt idx="3">
                  <c:v>3.071371</c:v>
                </c:pt>
                <c:pt idx="4">
                  <c:v>8.059655</c:v>
                </c:pt>
                <c:pt idx="5">
                  <c:v>10.484665</c:v>
                </c:pt>
                <c:pt idx="6">
                  <c:v>14.068032</c:v>
                </c:pt>
                <c:pt idx="7">
                  <c:v>17.200101</c:v>
                </c:pt>
                <c:pt idx="8">
                  <c:v>19.434231</c:v>
                </c:pt>
                <c:pt idx="9">
                  <c:v>23.078211</c:v>
                </c:pt>
                <c:pt idx="10">
                  <c:v>23.577586</c:v>
                </c:pt>
                <c:pt idx="11">
                  <c:v>27.861389</c:v>
                </c:pt>
              </c:numCache>
            </c:numRef>
          </c:val>
        </c:ser>
        <c:ser>
          <c:idx val="3"/>
          <c:order val="3"/>
          <c:tx>
            <c:strRef>
              <c:f>"省院"</c:f>
              <c:strCache>
                <c:ptCount val="1"/>
                <c:pt idx="0">
                  <c:v>省院</c:v>
                </c:pt>
              </c:strCache>
            </c:strRef>
          </c:tx>
          <c:spPr>
            <a:solidFill>
              <a:srgbClr val="FFFFD7">
                <a:alpha val="30000"/>
              </a:srgbClr>
            </a:solidFill>
            <a:ln cmpd="sng">
              <a:solidFill>
                <a:srgbClr val="FFFFD7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'2024统计'!$T$43:$T$54</c:f>
              <c:strCache>
                <c:ptCount val="12"/>
                <c:pt idx="0">
                  <c:v>2024年1月</c:v>
                </c:pt>
                <c:pt idx="1">
                  <c:v>2024年2月</c:v>
                </c:pt>
                <c:pt idx="2">
                  <c:v>2024年3月</c:v>
                </c:pt>
                <c:pt idx="3">
                  <c:v>2024年4月</c:v>
                </c:pt>
                <c:pt idx="4">
                  <c:v>2024年5月</c:v>
                </c:pt>
                <c:pt idx="5">
                  <c:v>2024年6月</c:v>
                </c:pt>
                <c:pt idx="6">
                  <c:v>2024年7月</c:v>
                </c:pt>
                <c:pt idx="7">
                  <c:v>2024年8月</c:v>
                </c:pt>
                <c:pt idx="8">
                  <c:v>2024年9月</c:v>
                </c:pt>
                <c:pt idx="9">
                  <c:v>2024年10月</c:v>
                </c:pt>
                <c:pt idx="10">
                  <c:v>2024年11月</c:v>
                </c:pt>
                <c:pt idx="11">
                  <c:v>2024年12月</c:v>
                </c:pt>
              </c:strCache>
            </c:strRef>
          </c:cat>
          <c:val>
            <c:numRef>
              <c:f>'2024统计'!$X$43:$X$54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0.624034</c:v>
                </c:pt>
                <c:pt idx="4">
                  <c:v>0.624034</c:v>
                </c:pt>
                <c:pt idx="5">
                  <c:v>0.624034</c:v>
                </c:pt>
                <c:pt idx="6">
                  <c:v>0.624034</c:v>
                </c:pt>
                <c:pt idx="7">
                  <c:v>0.624034</c:v>
                </c:pt>
                <c:pt idx="8">
                  <c:v>0.624034</c:v>
                </c:pt>
                <c:pt idx="9">
                  <c:v>0.624034</c:v>
                </c:pt>
                <c:pt idx="10">
                  <c:v>0.624034</c:v>
                </c:pt>
                <c:pt idx="11">
                  <c:v>0.624034</c:v>
                </c:pt>
              </c:numCache>
            </c:numRef>
          </c:val>
        </c:ser>
        <c:ser>
          <c:idx val="4"/>
          <c:order val="4"/>
          <c:tx>
            <c:strRef>
              <c:f>"其他"</c:f>
              <c:strCache>
                <c:ptCount val="1"/>
                <c:pt idx="0">
                  <c:v>其他</c:v>
                </c:pt>
              </c:strCache>
            </c:strRef>
          </c:tx>
          <c:spPr>
            <a:solidFill>
              <a:srgbClr val="70AD47">
                <a:alpha val="30000"/>
              </a:srgbClr>
            </a:solidFill>
            <a:ln cmpd="sng">
              <a:solidFill>
                <a:srgbClr val="70AD47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'2024统计'!$T$43:$T$54</c:f>
              <c:strCache>
                <c:ptCount val="12"/>
                <c:pt idx="0">
                  <c:v>2024年1月</c:v>
                </c:pt>
                <c:pt idx="1">
                  <c:v>2024年2月</c:v>
                </c:pt>
                <c:pt idx="2">
                  <c:v>2024年3月</c:v>
                </c:pt>
                <c:pt idx="3">
                  <c:v>2024年4月</c:v>
                </c:pt>
                <c:pt idx="4">
                  <c:v>2024年5月</c:v>
                </c:pt>
                <c:pt idx="5">
                  <c:v>2024年6月</c:v>
                </c:pt>
                <c:pt idx="6">
                  <c:v>2024年7月</c:v>
                </c:pt>
                <c:pt idx="7">
                  <c:v>2024年8月</c:v>
                </c:pt>
                <c:pt idx="8">
                  <c:v>2024年9月</c:v>
                </c:pt>
                <c:pt idx="9">
                  <c:v>2024年10月</c:v>
                </c:pt>
                <c:pt idx="10">
                  <c:v>2024年11月</c:v>
                </c:pt>
                <c:pt idx="11">
                  <c:v>2024年12月</c:v>
                </c:pt>
              </c:strCache>
            </c:strRef>
          </c:cat>
          <c:val>
            <c:numRef>
              <c:f>'2024统计'!$Y$43:$Y$54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0.851377</c:v>
                </c:pt>
                <c:pt idx="3">
                  <c:v>1.492271</c:v>
                </c:pt>
                <c:pt idx="4">
                  <c:v>4.198949</c:v>
                </c:pt>
                <c:pt idx="5">
                  <c:v>13.083094</c:v>
                </c:pt>
                <c:pt idx="6">
                  <c:v>17.682491</c:v>
                </c:pt>
                <c:pt idx="7">
                  <c:v>17.682491</c:v>
                </c:pt>
                <c:pt idx="8">
                  <c:v>19.769261</c:v>
                </c:pt>
                <c:pt idx="9">
                  <c:v>19.769261</c:v>
                </c:pt>
                <c:pt idx="10">
                  <c:v>20.069259</c:v>
                </c:pt>
                <c:pt idx="11">
                  <c:v>21.058211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1846880"/>
        <c:axId val="1860923049"/>
      </c:areaChart>
      <c:catAx>
        <c:axId val="291846880"/>
        <c:scaling>
          <c:orientation val="minMax"/>
        </c:scaling>
        <c:delete val="0"/>
        <c:axPos val="b"/>
        <c:title>
          <c:layout/>
          <c:overlay val="0"/>
          <c:tx>
            <c:rich>
              <a:bodyPr/>
              <a:lstStyle/>
              <a:p>
                <a:pPr>
                  <a:defRPr/>
                </a:pPr>
              </a:p>
            </c:rich>
          </c:tx>
        </c:title>
        <c:numFmt formatCode="General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rgbClr val="000000"/>
                </a:solidFill>
                <a:latin typeface="微软雅黑" panose="020B0503020204020204" charset="-122"/>
                <a:ea typeface="+mn-ea"/>
                <a:cs typeface="+mn-cs"/>
              </a:defRPr>
            </a:pPr>
          </a:p>
        </c:txPr>
        <c:crossAx val="1860923049"/>
        <c:crosses val="autoZero"/>
        <c:auto val="1"/>
        <c:lblAlgn val="ctr"/>
        <c:lblOffset val="100"/>
        <c:noMultiLvlLbl val="1"/>
      </c:catAx>
      <c:valAx>
        <c:axId val="1860923049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</c:spPr>
        </c:majorGridlines>
        <c:title>
          <c:layout/>
          <c:overlay val="0"/>
          <c:tx>
            <c:rich>
              <a:bodyPr/>
              <a:lstStyle/>
              <a:p>
                <a:pPr>
                  <a:defRPr/>
                </a:pPr>
              </a:p>
            </c:rich>
          </c:tx>
        </c:title>
        <c:numFmt formatCode="0%" sourceLinked="1"/>
        <c:majorTickMark val="out"/>
        <c:minorTickMark val="none"/>
        <c:tickLblPos val="nextTo"/>
        <c:spPr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291846880"/>
        <c:crosses val="autoZero"/>
        <c:crossBetween val="midCat"/>
        <c:majorUnit val="0.2"/>
      </c:valAx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rgbClr val="1A1A1A"/>
                </a:solidFill>
                <a:latin typeface="微软雅黑" panose="020B0503020204020204" charset="-122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rgbClr val="1A1A1A"/>
                </a:solidFill>
                <a:latin typeface="微软雅黑" panose="020B0503020204020204" charset="-122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rgbClr val="1A1A1A"/>
                </a:solidFill>
                <a:latin typeface="微软雅黑" panose="020B0503020204020204" charset="-122"/>
                <a:ea typeface="+mn-ea"/>
                <a:cs typeface="+mn-cs"/>
              </a:defRPr>
            </a:pPr>
          </a:p>
        </c:txPr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rgbClr val="1A1A1A"/>
                </a:solidFill>
                <a:latin typeface="微软雅黑" panose="020B0503020204020204" charset="-122"/>
                <a:ea typeface="+mn-ea"/>
                <a:cs typeface="+mn-cs"/>
              </a:defRPr>
            </a:pPr>
          </a:p>
        </c:txPr>
      </c:legendEntry>
      <c:legendEntry>
        <c:idx val="4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rgbClr val="1A1A1A"/>
                </a:solidFill>
                <a:latin typeface="微软雅黑" panose="020B0503020204020204" charset="-122"/>
                <a:ea typeface="+mn-ea"/>
                <a:cs typeface="+mn-cs"/>
              </a:defRPr>
            </a:pPr>
          </a:p>
        </c:txPr>
      </c:legendEntry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rgbClr val="1A1A1A"/>
              </a:solidFill>
              <a:latin typeface="微软雅黑" panose="020B0503020204020204" charset="-122"/>
              <a:ea typeface="+mn-ea"/>
              <a:cs typeface="+mn-cs"/>
            </a:defRPr>
          </a:pPr>
        </a:p>
      </c:txPr>
    </c:legend>
    <c:plotVisOnly val="1"/>
    <c:dispBlanksAs val="zero"/>
    <c:showDLblsOverMax val="1"/>
    <c:extLst>
      <c:ext uri="{0b15fc19-7d7d-44ad-8c2d-2c3a37ce22c3}">
        <chartProps xmlns="https://web.wps.cn/et/2018/main" chartId="{32d657a7-2a2b-4698-ab05-a87b016a57a5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2.xml.rels><?xml version="1.0" encoding="UTF-8" standalone="yes"?>
<Relationships xmlns="http://schemas.openxmlformats.org/package/2006/relationships"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5" Type="http://schemas.openxmlformats.org/officeDocument/2006/relationships/chart" Target="../charts/chart11.xml"/><Relationship Id="rId4" Type="http://schemas.openxmlformats.org/officeDocument/2006/relationships/chart" Target="../charts/chart10.xml"/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6" Type="http://schemas.openxmlformats.org/officeDocument/2006/relationships/chart" Target="../charts/chart17.xml"/><Relationship Id="rId5" Type="http://schemas.openxmlformats.org/officeDocument/2006/relationships/chart" Target="../charts/chart16.xml"/><Relationship Id="rId4" Type="http://schemas.openxmlformats.org/officeDocument/2006/relationships/chart" Target="../charts/chart15.xml"/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22</xdr:col>
      <xdr:colOff>323850</xdr:colOff>
      <xdr:row>2</xdr:row>
      <xdr:rowOff>0</xdr:rowOff>
    </xdr:from>
    <xdr:ext cx="1571625" cy="2857500"/>
    <mc:AlternateContent xmlns:mc="http://schemas.openxmlformats.org/markup-compatibility/2006">
      <mc:Choice xmlns:sle15="http://schemas.microsoft.com/office/drawing/2012/slicer" Requires="sle15">
        <xdr:graphicFrame>
          <xdr:nvGraphicFramePr>
            <xdr:cNvPr id="2" name="统计项目_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统计项目_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939260" y="609600"/>
              <a:ext cx="1571625" cy="2857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此形状表示切片器。
当前版本不支持切片器，请升级到最新版的WPS。</a:t>
              </a:r>
            </a:p>
          </xdr:txBody>
        </xdr:sp>
      </mc:Fallback>
    </mc:AlternateContent>
    <xdr:clientData fLocksWithSheet="0"/>
  </xdr:oneCellAnchor>
  <xdr:oneCellAnchor>
    <xdr:from>
      <xdr:col>19</xdr:col>
      <xdr:colOff>609600</xdr:colOff>
      <xdr:row>10</xdr:row>
      <xdr:rowOff>9525</xdr:rowOff>
    </xdr:from>
    <xdr:ext cx="1514475" cy="2857500"/>
    <mc:AlternateContent xmlns:mc="http://schemas.openxmlformats.org/markup-compatibility/2006">
      <mc:Choice xmlns:sle15="http://schemas.microsoft.com/office/drawing/2012/slicer" Requires="sle15">
        <xdr:graphicFrame>
          <xdr:nvGraphicFramePr>
            <xdr:cNvPr id="3" name="单位_2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单位_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415260" y="3057525"/>
              <a:ext cx="1514475" cy="2857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此形状表示切片器。
当前版本不支持切片器，请升级到最新版的WPS。</a:t>
              </a:r>
            </a:p>
          </xdr:txBody>
        </xdr:sp>
      </mc:Fallback>
    </mc:AlternateContent>
    <xdr:clientData fLocksWithSheet="0"/>
  </xdr:oneCellAnchor>
  <xdr:oneCellAnchor>
    <xdr:from>
      <xdr:col>17</xdr:col>
      <xdr:colOff>180975</xdr:colOff>
      <xdr:row>9</xdr:row>
      <xdr:rowOff>295275</xdr:rowOff>
    </xdr:from>
    <xdr:ext cx="1609725" cy="2857500"/>
    <mc:AlternateContent xmlns:mc="http://schemas.openxmlformats.org/markup-compatibility/2006">
      <mc:Choice xmlns:sle15="http://schemas.microsoft.com/office/drawing/2012/slicer" Requires="sle15">
        <xdr:graphicFrame>
          <xdr:nvGraphicFramePr>
            <xdr:cNvPr id="4" name="统计维度_3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统计维度_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454380" y="3038475"/>
              <a:ext cx="1609725" cy="2857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此形状表示切片器。
当前版本不支持切片器，请升级到最新版的WPS。</a:t>
              </a:r>
            </a:p>
          </xdr:txBody>
        </xdr:sp>
      </mc:Fallback>
    </mc:AlternateContent>
    <xdr:clientData fLocksWithSheet="0"/>
  </xdr:oneCellAnchor>
  <xdr:oneCellAnchor>
    <xdr:from>
      <xdr:col>19</xdr:col>
      <xdr:colOff>581025</xdr:colOff>
      <xdr:row>2</xdr:row>
      <xdr:rowOff>28575</xdr:rowOff>
    </xdr:from>
    <xdr:ext cx="1514475" cy="2857500"/>
    <mc:AlternateContent xmlns:mc="http://schemas.openxmlformats.org/markup-compatibility/2006">
      <mc:Choice xmlns:sle15="http://schemas.microsoft.com/office/drawing/2012/slicer" Requires="sle15">
        <xdr:graphicFrame>
          <xdr:nvGraphicFramePr>
            <xdr:cNvPr id="5" name="评审阶段_4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评审阶段_4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396210" y="638175"/>
              <a:ext cx="1514475" cy="2857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此形状表示切片器。
当前版本不支持切片器，请升级到最新版的WPS。</a:t>
              </a:r>
            </a:p>
          </xdr:txBody>
        </xdr:sp>
      </mc:Fallback>
    </mc:AlternateContent>
    <xdr:clientData fLocksWithSheet="0"/>
  </xdr:oneCellAnchor>
  <xdr:oneCellAnchor>
    <xdr:from>
      <xdr:col>17</xdr:col>
      <xdr:colOff>180975</xdr:colOff>
      <xdr:row>2</xdr:row>
      <xdr:rowOff>28575</xdr:rowOff>
    </xdr:from>
    <xdr:ext cx="1609725" cy="2857500"/>
    <mc:AlternateContent xmlns:mc="http://schemas.openxmlformats.org/markup-compatibility/2006">
      <mc:Choice xmlns:sle15="http://schemas.microsoft.com/office/drawing/2012/slicer" Requires="sle15">
        <xdr:graphicFrame>
          <xdr:nvGraphicFramePr>
            <xdr:cNvPr id="6" name="设计阶段_5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设计阶段_5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454380" y="638175"/>
              <a:ext cx="1609725" cy="2857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此形状表示切片器。
当前版本不支持切片器，请升级到最新版的WPS。</a:t>
              </a:r>
            </a:p>
          </xdr:txBody>
        </xdr:sp>
      </mc:Fallback>
    </mc:AlternateContent>
    <xdr:clientData fLocksWithSheet="0"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85725</xdr:colOff>
      <xdr:row>21</xdr:row>
      <xdr:rowOff>19050</xdr:rowOff>
    </xdr:from>
    <xdr:ext cx="9991725" cy="3076575"/>
    <xdr:graphicFrame>
      <xdr:nvGraphicFramePr>
        <xdr:cNvPr id="387981914" name="Chart 1"/>
        <xdr:cNvGraphicFramePr/>
      </xdr:nvGraphicFramePr>
      <xdr:xfrm>
        <a:off x="85725" y="3867150"/>
        <a:ext cx="9991725" cy="30765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10</xdr:col>
      <xdr:colOff>0</xdr:colOff>
      <xdr:row>20</xdr:row>
      <xdr:rowOff>9525</xdr:rowOff>
    </xdr:from>
    <xdr:ext cx="9144000" cy="3200400"/>
    <xdr:graphicFrame>
      <xdr:nvGraphicFramePr>
        <xdr:cNvPr id="107397036" name="Chart 2"/>
        <xdr:cNvGraphicFramePr/>
      </xdr:nvGraphicFramePr>
      <xdr:xfrm>
        <a:off x="10744835" y="3629025"/>
        <a:ext cx="9144000" cy="3200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20</xdr:col>
      <xdr:colOff>9525</xdr:colOff>
      <xdr:row>19</xdr:row>
      <xdr:rowOff>209550</xdr:rowOff>
    </xdr:from>
    <xdr:ext cx="8115300" cy="3143250"/>
    <xdr:graphicFrame>
      <xdr:nvGraphicFramePr>
        <xdr:cNvPr id="1838546053" name="Chart 3"/>
        <xdr:cNvGraphicFramePr/>
      </xdr:nvGraphicFramePr>
      <xdr:xfrm>
        <a:off x="21081365" y="3619500"/>
        <a:ext cx="8115300" cy="31432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10</xdr:col>
      <xdr:colOff>66675</xdr:colOff>
      <xdr:row>54</xdr:row>
      <xdr:rowOff>0</xdr:rowOff>
    </xdr:from>
    <xdr:ext cx="9305925" cy="2962275"/>
    <xdr:graphicFrame>
      <xdr:nvGraphicFramePr>
        <xdr:cNvPr id="180876727" name="Chart 4"/>
        <xdr:cNvGraphicFramePr/>
      </xdr:nvGraphicFramePr>
      <xdr:xfrm>
        <a:off x="10811510" y="10439400"/>
        <a:ext cx="9305925" cy="29622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0</xdr:col>
      <xdr:colOff>66675</xdr:colOff>
      <xdr:row>54</xdr:row>
      <xdr:rowOff>38100</xdr:rowOff>
    </xdr:from>
    <xdr:ext cx="9963150" cy="2990850"/>
    <xdr:graphicFrame>
      <xdr:nvGraphicFramePr>
        <xdr:cNvPr id="949090763" name="Chart 5"/>
        <xdr:cNvGraphicFramePr/>
      </xdr:nvGraphicFramePr>
      <xdr:xfrm>
        <a:off x="66675" y="10477500"/>
        <a:ext cx="9963150" cy="29908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  <xdr:oneCellAnchor>
    <xdr:from>
      <xdr:col>20</xdr:col>
      <xdr:colOff>9525</xdr:colOff>
      <xdr:row>54</xdr:row>
      <xdr:rowOff>9525</xdr:rowOff>
    </xdr:from>
    <xdr:ext cx="8105775" cy="2962275"/>
    <xdr:graphicFrame>
      <xdr:nvGraphicFramePr>
        <xdr:cNvPr id="2043192680" name="Chart 6"/>
        <xdr:cNvGraphicFramePr/>
      </xdr:nvGraphicFramePr>
      <xdr:xfrm>
        <a:off x="21081365" y="10448925"/>
        <a:ext cx="8105775" cy="29622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19050</xdr:colOff>
      <xdr:row>36</xdr:row>
      <xdr:rowOff>0</xdr:rowOff>
    </xdr:from>
    <xdr:ext cx="12020550" cy="4400550"/>
    <xdr:graphicFrame>
      <xdr:nvGraphicFramePr>
        <xdr:cNvPr id="668994027" name="Chart 7"/>
        <xdr:cNvGraphicFramePr/>
      </xdr:nvGraphicFramePr>
      <xdr:xfrm>
        <a:off x="19050" y="11315700"/>
        <a:ext cx="12020550" cy="44005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0</xdr:col>
      <xdr:colOff>0</xdr:colOff>
      <xdr:row>78</xdr:row>
      <xdr:rowOff>28575</xdr:rowOff>
    </xdr:from>
    <xdr:ext cx="11972925" cy="4400550"/>
    <xdr:graphicFrame>
      <xdr:nvGraphicFramePr>
        <xdr:cNvPr id="111321536" name="Chart 8"/>
        <xdr:cNvGraphicFramePr/>
      </xdr:nvGraphicFramePr>
      <xdr:xfrm>
        <a:off x="0" y="24545925"/>
        <a:ext cx="11972925" cy="44005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0</xdr:col>
      <xdr:colOff>9525</xdr:colOff>
      <xdr:row>123</xdr:row>
      <xdr:rowOff>314325</xdr:rowOff>
    </xdr:from>
    <xdr:ext cx="12030075" cy="4400550"/>
    <xdr:graphicFrame>
      <xdr:nvGraphicFramePr>
        <xdr:cNvPr id="956408302" name="Chart 9"/>
        <xdr:cNvGraphicFramePr/>
      </xdr:nvGraphicFramePr>
      <xdr:xfrm>
        <a:off x="9525" y="38976300"/>
        <a:ext cx="12030075" cy="44005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0</xdr:col>
      <xdr:colOff>9525</xdr:colOff>
      <xdr:row>198</xdr:row>
      <xdr:rowOff>76200</xdr:rowOff>
    </xdr:from>
    <xdr:ext cx="12049125" cy="4076700"/>
    <xdr:graphicFrame>
      <xdr:nvGraphicFramePr>
        <xdr:cNvPr id="1624450544" name="Chart 10"/>
        <xdr:cNvGraphicFramePr/>
      </xdr:nvGraphicFramePr>
      <xdr:xfrm>
        <a:off x="9525" y="62312550"/>
        <a:ext cx="12049125" cy="40767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0</xdr:col>
      <xdr:colOff>19050</xdr:colOff>
      <xdr:row>211</xdr:row>
      <xdr:rowOff>142875</xdr:rowOff>
    </xdr:from>
    <xdr:ext cx="12049125" cy="4067175"/>
    <xdr:graphicFrame>
      <xdr:nvGraphicFramePr>
        <xdr:cNvPr id="1747549511" name="Chart 11"/>
        <xdr:cNvGraphicFramePr/>
      </xdr:nvGraphicFramePr>
      <xdr:xfrm>
        <a:off x="19050" y="66465450"/>
        <a:ext cx="12049125" cy="40671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  <xdr:oneCellAnchor>
    <xdr:from>
      <xdr:col>37</xdr:col>
      <xdr:colOff>76200</xdr:colOff>
      <xdr:row>1</xdr:row>
      <xdr:rowOff>314325</xdr:rowOff>
    </xdr:from>
    <xdr:ext cx="1304925" cy="2857500"/>
    <mc:AlternateContent xmlns:mc="http://schemas.openxmlformats.org/markup-compatibility/2006">
      <mc:Choice xmlns:sle15="http://schemas.microsoft.com/office/drawing/2012/slicer" Requires="sle15">
        <xdr:graphicFrame>
          <xdr:nvGraphicFramePr>
            <xdr:cNvPr id="6" name="设计阶段_6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设计阶段_6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8143835" y="628650"/>
              <a:ext cx="1304925" cy="2857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此形状表示切片器。
当前版本不支持切片器，请升级到最新版的WPS。</a:t>
              </a:r>
            </a:p>
          </xdr:txBody>
        </xdr:sp>
      </mc:Fallback>
    </mc:AlternateContent>
    <xdr:clientData fLocksWithSheet="0"/>
  </xdr:oneCellAnchor>
  <xdr:oneCellAnchor>
    <xdr:from>
      <xdr:col>39</xdr:col>
      <xdr:colOff>295275</xdr:colOff>
      <xdr:row>1</xdr:row>
      <xdr:rowOff>314325</xdr:rowOff>
    </xdr:from>
    <xdr:ext cx="904875" cy="2857500"/>
    <mc:AlternateContent xmlns:mc="http://schemas.openxmlformats.org/markup-compatibility/2006">
      <mc:Choice xmlns:sle15="http://schemas.microsoft.com/office/drawing/2012/slicer" Requires="sle15">
        <xdr:graphicFrame>
          <xdr:nvGraphicFramePr>
            <xdr:cNvPr id="7" name="统计模式_7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统计模式_7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290770" y="628650"/>
              <a:ext cx="904875" cy="2857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此形状表示切片器。
当前版本不支持切片器，请升级到最新版的WPS。</a:t>
              </a:r>
            </a:p>
          </xdr:txBody>
        </xdr:sp>
      </mc:Fallback>
    </mc:AlternateContent>
    <xdr:clientData fLocksWithSheet="0"/>
  </xdr:oneCellAnchor>
  <xdr:oneCellAnchor>
    <xdr:from>
      <xdr:col>37</xdr:col>
      <xdr:colOff>123825</xdr:colOff>
      <xdr:row>54</xdr:row>
      <xdr:rowOff>19050</xdr:rowOff>
    </xdr:from>
    <xdr:ext cx="1190625" cy="2857500"/>
    <mc:AlternateContent xmlns:mc="http://schemas.openxmlformats.org/markup-compatibility/2006">
      <mc:Choice xmlns:sle15="http://schemas.microsoft.com/office/drawing/2012/slicer" Requires="sle15">
        <xdr:graphicFrame>
          <xdr:nvGraphicFramePr>
            <xdr:cNvPr id="8" name="设计阶段_8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设计阶段_8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8191460" y="16992600"/>
              <a:ext cx="1190625" cy="2857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此形状表示切片器。
当前版本不支持切片器，请升级到最新版的WPS。</a:t>
              </a:r>
            </a:p>
          </xdr:txBody>
        </xdr:sp>
      </mc:Fallback>
    </mc:AlternateContent>
    <xdr:clientData fLocksWithSheet="0"/>
  </xdr:oneCellAnchor>
  <xdr:oneCellAnchor>
    <xdr:from>
      <xdr:col>39</xdr:col>
      <xdr:colOff>228600</xdr:colOff>
      <xdr:row>54</xdr:row>
      <xdr:rowOff>38100</xdr:rowOff>
    </xdr:from>
    <xdr:ext cx="1123950" cy="2857500"/>
    <mc:AlternateContent xmlns:mc="http://schemas.openxmlformats.org/markup-compatibility/2006">
      <mc:Choice xmlns:sle15="http://schemas.microsoft.com/office/drawing/2012/slicer" Requires="sle15">
        <xdr:graphicFrame>
          <xdr:nvGraphicFramePr>
            <xdr:cNvPr id="9" name="统计模式_9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统计模式_9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224095" y="17011650"/>
              <a:ext cx="1123950" cy="2857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此形状表示切片器。
当前版本不支持切片器，请升级到最新版的WPS。</a:t>
              </a:r>
            </a:p>
          </xdr:txBody>
        </xdr:sp>
      </mc:Fallback>
    </mc:AlternateContent>
    <xdr:clientData fLocksWithSheet="0"/>
  </xdr:oneCellAnchor>
  <xdr:oneCellAnchor>
    <xdr:from>
      <xdr:col>37</xdr:col>
      <xdr:colOff>104775</xdr:colOff>
      <xdr:row>96</xdr:row>
      <xdr:rowOff>0</xdr:rowOff>
    </xdr:from>
    <xdr:ext cx="1362075" cy="2857500"/>
    <mc:AlternateContent xmlns:mc="http://schemas.openxmlformats.org/markup-compatibility/2006">
      <mc:Choice xmlns:sle15="http://schemas.microsoft.com/office/drawing/2012/slicer" Requires="sle15">
        <xdr:graphicFrame>
          <xdr:nvGraphicFramePr>
            <xdr:cNvPr id="10" name="设计阶段_10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设计阶段_10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8172410" y="30175200"/>
              <a:ext cx="1362075" cy="2857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此形状表示切片器。
当前版本不支持切片器，请升级到最新版的WPS。</a:t>
              </a:r>
            </a:p>
          </xdr:txBody>
        </xdr:sp>
      </mc:Fallback>
    </mc:AlternateContent>
    <xdr:clientData fLocksWithSheet="0"/>
  </xdr:oneCellAnchor>
  <xdr:oneCellAnchor>
    <xdr:from>
      <xdr:col>39</xdr:col>
      <xdr:colOff>323850</xdr:colOff>
      <xdr:row>96</xdr:row>
      <xdr:rowOff>0</xdr:rowOff>
    </xdr:from>
    <xdr:ext cx="1095375" cy="2857500"/>
    <mc:AlternateContent xmlns:mc="http://schemas.openxmlformats.org/markup-compatibility/2006">
      <mc:Choice xmlns:sle15="http://schemas.microsoft.com/office/drawing/2012/slicer" Requires="sle15">
        <xdr:graphicFrame>
          <xdr:nvGraphicFramePr>
            <xdr:cNvPr id="11" name="统计模式_1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统计模式_1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319345" y="30175200"/>
              <a:ext cx="1095375" cy="2857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此形状表示切片器。
当前版本不支持切片器，请升级到最新版的WPS。</a:t>
              </a:r>
            </a:p>
          </xdr:txBody>
        </xdr:sp>
      </mc:Fallback>
    </mc:AlternateContent>
    <xdr:clientData fLocksWithSheet="0"/>
  </xdr:oneCellAnchor>
  <xdr:oneCellAnchor>
    <xdr:from>
      <xdr:col>15</xdr:col>
      <xdr:colOff>9525</xdr:colOff>
      <xdr:row>141</xdr:row>
      <xdr:rowOff>28575</xdr:rowOff>
    </xdr:from>
    <xdr:ext cx="1428750" cy="2857500"/>
    <mc:AlternateContent xmlns:mc="http://schemas.openxmlformats.org/markup-compatibility/2006">
      <mc:Choice xmlns:sle15="http://schemas.microsoft.com/office/drawing/2012/slicer" Requires="sle15">
        <xdr:graphicFrame>
          <xdr:nvGraphicFramePr>
            <xdr:cNvPr id="12" name="设计阶段_12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设计阶段_1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982450" y="44348400"/>
              <a:ext cx="1428750" cy="2857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此形状表示切片器。
当前版本不支持切片器，请升级到最新版的WPS。</a:t>
              </a:r>
            </a:p>
          </xdr:txBody>
        </xdr:sp>
      </mc:Fallback>
    </mc:AlternateContent>
    <xdr:clientData fLocksWithSheet="0"/>
  </xdr:oneCellAnchor>
  <xdr:oneCellAnchor>
    <xdr:from>
      <xdr:col>17</xdr:col>
      <xdr:colOff>276225</xdr:colOff>
      <xdr:row>141</xdr:row>
      <xdr:rowOff>19050</xdr:rowOff>
    </xdr:from>
    <xdr:ext cx="962025" cy="2857500"/>
    <mc:AlternateContent xmlns:mc="http://schemas.openxmlformats.org/markup-compatibility/2006">
      <mc:Choice xmlns:sle15="http://schemas.microsoft.com/office/drawing/2012/slicer" Requires="sle15">
        <xdr:graphicFrame>
          <xdr:nvGraphicFramePr>
            <xdr:cNvPr id="13" name="变动情况_13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变动情况_1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449300" y="44338875"/>
              <a:ext cx="962025" cy="2857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此形状表示切片器。
当前版本不支持切片器，请升级到最新版的WPS。</a:t>
              </a:r>
            </a:p>
          </xdr:txBody>
        </xdr:sp>
      </mc:Fallback>
    </mc:AlternateContent>
    <xdr:clientData fLocksWithSheet="0"/>
  </xdr:oneCellAnchor>
  <xdr:oneCellAnchor>
    <xdr:from>
      <xdr:col>19</xdr:col>
      <xdr:colOff>66675</xdr:colOff>
      <xdr:row>141</xdr:row>
      <xdr:rowOff>38100</xdr:rowOff>
    </xdr:from>
    <xdr:ext cx="1266825" cy="2857500"/>
    <mc:AlternateContent xmlns:mc="http://schemas.openxmlformats.org/markup-compatibility/2006">
      <mc:Choice xmlns:sle15="http://schemas.microsoft.com/office/drawing/2012/slicer" Requires="sle15">
        <xdr:graphicFrame>
          <xdr:nvGraphicFramePr>
            <xdr:cNvPr id="14" name="统计模式_14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统计模式_14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439900" y="44357925"/>
              <a:ext cx="1266825" cy="2857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此形状表示切片器。
当前版本不支持切片器，请升级到最新版的WPS。</a:t>
              </a:r>
            </a:p>
          </xdr:txBody>
        </xdr:sp>
      </mc:Fallback>
    </mc:AlternateContent>
    <xdr:clientData fLocksWithSheet="0"/>
  </xdr:one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38100</xdr:colOff>
      <xdr:row>20</xdr:row>
      <xdr:rowOff>9525</xdr:rowOff>
    </xdr:from>
    <xdr:ext cx="10029825" cy="4371975"/>
    <xdr:graphicFrame>
      <xdr:nvGraphicFramePr>
        <xdr:cNvPr id="116092909" name="Chart 12"/>
        <xdr:cNvGraphicFramePr/>
      </xdr:nvGraphicFramePr>
      <xdr:xfrm>
        <a:off x="38100" y="3800475"/>
        <a:ext cx="10029825" cy="43719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10</xdr:col>
      <xdr:colOff>0</xdr:colOff>
      <xdr:row>20</xdr:row>
      <xdr:rowOff>19050</xdr:rowOff>
    </xdr:from>
    <xdr:ext cx="8124825" cy="4352925"/>
    <xdr:graphicFrame>
      <xdr:nvGraphicFramePr>
        <xdr:cNvPr id="1356719710" name="Chart 13"/>
        <xdr:cNvGraphicFramePr/>
      </xdr:nvGraphicFramePr>
      <xdr:xfrm>
        <a:off x="10744835" y="3810000"/>
        <a:ext cx="8124825" cy="43529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19</xdr:col>
      <xdr:colOff>19050</xdr:colOff>
      <xdr:row>20</xdr:row>
      <xdr:rowOff>19050</xdr:rowOff>
    </xdr:from>
    <xdr:ext cx="7153275" cy="4333875"/>
    <xdr:graphicFrame>
      <xdr:nvGraphicFramePr>
        <xdr:cNvPr id="625488262" name="Chart 14"/>
        <xdr:cNvGraphicFramePr/>
      </xdr:nvGraphicFramePr>
      <xdr:xfrm>
        <a:off x="19890740" y="3810000"/>
        <a:ext cx="7153275" cy="43338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10</xdr:col>
      <xdr:colOff>66675</xdr:colOff>
      <xdr:row>54</xdr:row>
      <xdr:rowOff>28575</xdr:rowOff>
    </xdr:from>
    <xdr:ext cx="8334375" cy="4029075"/>
    <xdr:graphicFrame>
      <xdr:nvGraphicFramePr>
        <xdr:cNvPr id="1064163355" name="Chart 15"/>
        <xdr:cNvGraphicFramePr/>
      </xdr:nvGraphicFramePr>
      <xdr:xfrm>
        <a:off x="10811510" y="12011025"/>
        <a:ext cx="8334375" cy="40290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0</xdr:col>
      <xdr:colOff>66675</xdr:colOff>
      <xdr:row>54</xdr:row>
      <xdr:rowOff>38100</xdr:rowOff>
    </xdr:from>
    <xdr:ext cx="9963150" cy="4019550"/>
    <xdr:graphicFrame>
      <xdr:nvGraphicFramePr>
        <xdr:cNvPr id="1592545925" name="Chart 16"/>
        <xdr:cNvGraphicFramePr/>
      </xdr:nvGraphicFramePr>
      <xdr:xfrm>
        <a:off x="66675" y="12020550"/>
        <a:ext cx="9963150" cy="40195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  <xdr:oneCellAnchor>
    <xdr:from>
      <xdr:col>19</xdr:col>
      <xdr:colOff>9525</xdr:colOff>
      <xdr:row>54</xdr:row>
      <xdr:rowOff>28575</xdr:rowOff>
    </xdr:from>
    <xdr:ext cx="7400925" cy="4010025"/>
    <xdr:graphicFrame>
      <xdr:nvGraphicFramePr>
        <xdr:cNvPr id="1147070670" name="Chart 17"/>
        <xdr:cNvGraphicFramePr/>
      </xdr:nvGraphicFramePr>
      <xdr:xfrm>
        <a:off x="19881215" y="12011025"/>
        <a:ext cx="7400925" cy="40100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21</xdr:col>
      <xdr:colOff>0</xdr:colOff>
      <xdr:row>10</xdr:row>
      <xdr:rowOff>47625</xdr:rowOff>
    </xdr:from>
    <xdr:ext cx="1600200" cy="2857500"/>
    <mc:AlternateContent xmlns:mc="http://schemas.openxmlformats.org/markup-compatibility/2006">
      <mc:Choice xmlns:sle15="http://schemas.microsoft.com/office/drawing/2012/slicer" Requires="sle15">
        <xdr:graphicFrame>
          <xdr:nvGraphicFramePr>
            <xdr:cNvPr id="15" name="统计项目_15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统计项目_15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297660" y="3095625"/>
              <a:ext cx="1600200" cy="2857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此形状表示切片器。
当前版本不支持切片器，请升级到最新版的WPS。</a:t>
              </a:r>
            </a:p>
          </xdr:txBody>
        </xdr:sp>
      </mc:Fallback>
    </mc:AlternateContent>
    <xdr:clientData fLocksWithSheet="0"/>
  </xdr:oneCellAnchor>
  <xdr:oneCellAnchor>
    <xdr:from>
      <xdr:col>20</xdr:col>
      <xdr:colOff>590550</xdr:colOff>
      <xdr:row>2</xdr:row>
      <xdr:rowOff>47625</xdr:rowOff>
    </xdr:from>
    <xdr:ext cx="1571625" cy="2857500"/>
    <mc:AlternateContent xmlns:mc="http://schemas.openxmlformats.org/markup-compatibility/2006">
      <mc:Choice xmlns:sle15="http://schemas.microsoft.com/office/drawing/2012/slicer" Requires="sle15">
        <xdr:graphicFrame>
          <xdr:nvGraphicFramePr>
            <xdr:cNvPr id="16" name="单位_16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单位_16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288135" y="657225"/>
              <a:ext cx="1571625" cy="2857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此形状表示切片器。
当前版本不支持切片器，请升级到最新版的WPS。</a:t>
              </a:r>
            </a:p>
          </xdr:txBody>
        </xdr:sp>
      </mc:Fallback>
    </mc:AlternateContent>
    <xdr:clientData fLocksWithSheet="0"/>
  </xdr:oneCellAnchor>
  <xdr:oneCellAnchor>
    <xdr:from>
      <xdr:col>18</xdr:col>
      <xdr:colOff>28575</xdr:colOff>
      <xdr:row>18</xdr:row>
      <xdr:rowOff>19050</xdr:rowOff>
    </xdr:from>
    <xdr:ext cx="1657350" cy="2857500"/>
    <mc:AlternateContent xmlns:mc="http://schemas.openxmlformats.org/markup-compatibility/2006">
      <mc:Choice xmlns:sle15="http://schemas.microsoft.com/office/drawing/2012/slicer" Requires="sle15">
        <xdr:graphicFrame>
          <xdr:nvGraphicFramePr>
            <xdr:cNvPr id="17" name="统计维度_17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统计维度_17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526010" y="5505450"/>
              <a:ext cx="1657350" cy="2857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此形状表示切片器。
当前版本不支持切片器，请升级到最新版的WPS。</a:t>
              </a:r>
            </a:p>
          </xdr:txBody>
        </xdr:sp>
      </mc:Fallback>
    </mc:AlternateContent>
    <xdr:clientData fLocksWithSheet="0"/>
  </xdr:oneCellAnchor>
  <xdr:oneCellAnchor>
    <xdr:from>
      <xdr:col>18</xdr:col>
      <xdr:colOff>19050</xdr:colOff>
      <xdr:row>10</xdr:row>
      <xdr:rowOff>19050</xdr:rowOff>
    </xdr:from>
    <xdr:ext cx="1657350" cy="2857500"/>
    <mc:AlternateContent xmlns:mc="http://schemas.openxmlformats.org/markup-compatibility/2006">
      <mc:Choice xmlns:sle15="http://schemas.microsoft.com/office/drawing/2012/slicer" Requires="sle15">
        <xdr:graphicFrame>
          <xdr:nvGraphicFramePr>
            <xdr:cNvPr id="18" name="评审阶段_18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评审阶段_18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516485" y="3067050"/>
              <a:ext cx="1657350" cy="2857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此形状表示切片器。
当前版本不支持切片器，请升级到最新版的WPS。</a:t>
              </a:r>
            </a:p>
          </xdr:txBody>
        </xdr:sp>
      </mc:Fallback>
    </mc:AlternateContent>
    <xdr:clientData fLocksWithSheet="0"/>
  </xdr:oneCellAnchor>
  <xdr:oneCellAnchor>
    <xdr:from>
      <xdr:col>18</xdr:col>
      <xdr:colOff>9525</xdr:colOff>
      <xdr:row>2</xdr:row>
      <xdr:rowOff>47625</xdr:rowOff>
    </xdr:from>
    <xdr:ext cx="1657350" cy="2857500"/>
    <mc:AlternateContent xmlns:mc="http://schemas.openxmlformats.org/markup-compatibility/2006">
      <mc:Choice xmlns:sle15="http://schemas.microsoft.com/office/drawing/2012/slicer" Requires="sle15">
        <xdr:graphicFrame>
          <xdr:nvGraphicFramePr>
            <xdr:cNvPr id="19" name="设计阶段_19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设计阶段_19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506960" y="657225"/>
              <a:ext cx="1657350" cy="2857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此形状表示切片器。
当前版本不支持切片器，请升级到最新版的WPS。</a:t>
              </a:r>
            </a:p>
          </xdr:txBody>
        </xdr:sp>
      </mc:Fallback>
    </mc:AlternateContent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OnLoad="1" refreshedVersion="5" refreshedDate="46020.396400463" refreshedBy="陆汉东" recordCount="2195">
  <cacheSource type="worksheet">
    <worksheetSource ref="A1:Q2196" sheet="2025整理"/>
  </cacheSource>
  <cacheFields count="17">
    <cacheField name="设计阶段" numFmtId="0">
      <sharedItems count="7">
        <s v="可研"/>
        <s v="可研调整"/>
        <s v="初设"/>
        <s v="初设调整"/>
        <s v="施工图及预算"/>
        <s v="施工图预算调整"/>
        <s v="重大设计变更"/>
      </sharedItems>
    </cacheField>
    <cacheField name="评审阶段" numFmtId="0">
      <sharedItems count="3">
        <s v="计划评审"/>
        <s v="完成评审"/>
        <s v="正在评审"/>
      </sharedItems>
    </cacheField>
    <cacheField name="统计维度" numFmtId="0">
      <sharedItems count="10">
        <s v="每月数量"/>
        <s v="当月存量"/>
        <s v="累计数量"/>
        <s v="累计完成率"/>
        <s v="每月静态投资"/>
        <s v="每月静态送审投资"/>
        <s v="累计静态送审投资"/>
        <s v="每月动态投资"/>
        <s v="累计静态投资"/>
        <s v="累计动态投资"/>
      </sharedItems>
    </cacheField>
    <cacheField name="单位" numFmtId="0">
      <sharedItems count="17">
        <s v="广州局"/>
        <s v="负责人"/>
        <s v="设计"/>
        <s v="变电负责人"/>
        <s v="线路负责人"/>
        <s v="每月核减"/>
        <s v="每月核增"/>
        <s v="每月不变"/>
        <s v="工作量占比"/>
        <s v="变电工作量占比"/>
        <s v="线路工作量占比"/>
        <s v="完成占比"/>
        <s v="变电完成占比"/>
        <s v="线路完成占比"/>
        <s v="累计核减"/>
        <s v="累计核增"/>
        <s v="累计不变"/>
      </sharedItems>
    </cacheField>
    <cacheField name="统计项目" numFmtId="0">
      <sharedItems count="42">
        <s v="每月计划"/>
        <s v="方明"/>
        <s v="谢瑞莲"/>
        <s v="樊心田"/>
        <s v="陈伟哲"/>
        <s v="黄小珈"/>
        <s v="梁为"/>
        <s v="王志会"/>
        <s v="广州院"/>
        <s v="工程院"/>
        <s v="汇隽院"/>
        <s v="省院"/>
        <s v="其他"/>
        <s v="变电每月计划"/>
        <s v="线路每月计划"/>
        <s v="每月完成"/>
        <s v="核减"/>
        <s v="核增"/>
        <s v="不变"/>
        <s v="变电每月完成"/>
        <s v="线路每月完成"/>
        <s v="当月评审"/>
        <s v="变电当月评审"/>
        <s v="线路当月评审"/>
        <s v="累计计划"/>
        <s v="变电累计计划"/>
        <s v="线路累计计划"/>
        <s v="累计完成"/>
        <s v="变电累计完成"/>
        <s v="线路累计完成"/>
        <s v="累计核减"/>
        <s v="累计核增"/>
        <s v="累计不变"/>
        <s v="完成率"/>
        <s v="变电完成率"/>
        <s v="线路完成率"/>
        <s v="项目核减"/>
        <s v="项目核增"/>
        <s v="项目不变"/>
        <s v="核减项目投资"/>
        <s v="核增项目投资"/>
        <s v="不变项目投资"/>
      </sharedItems>
    </cacheField>
    <cacheField name="1月" numFmtId="0">
      <sharedItems containsNumber="1" containsMixedTypes="1" count="113">
        <n v="6"/>
        <n v="0"/>
        <n v="2"/>
        <n v="1"/>
        <n v="4"/>
        <n v="3"/>
        <n v="0.5"/>
        <n v="0.25"/>
        <n v="0.333333333333333"/>
        <n v="0.666666666666667"/>
        <s v=""/>
        <s v=" "/>
        <n v="0.75"/>
        <n v="8.458133"/>
        <n v="0.064518"/>
        <n v="4.430437"/>
        <n v="1.266791"/>
        <n v="2.696387"/>
        <n v="10.481073"/>
        <n v="8.578148"/>
        <n v="4.479246"/>
        <n v="1.288458"/>
        <n v="2.745926"/>
        <n v="2.02294"/>
        <n v="2.091504"/>
        <n v="0.00762792450768982"/>
        <n v="0.523807913637679"/>
        <n v="0.149771941396523"/>
        <n v="0.318792220458108"/>
        <n v="0.00752120387757357"/>
        <n v="0.522169354037725"/>
        <n v="0.150202351370016"/>
        <n v="0.320107090714686"/>
        <n v="5"/>
        <n v="0.166666666666667"/>
        <n v="0.2"/>
        <n v="0.6"/>
        <n v="5.099529"/>
        <n v="1.036278"/>
        <n v="3.209296"/>
        <n v="0.405967"/>
        <n v="0.447988"/>
        <n v="0.812759"/>
        <n v="4.28677"/>
        <n v="5.397393"/>
        <n v="0.806164"/>
        <n v="4.591229"/>
        <n v="5.174457"/>
        <n v="1.050394"/>
        <n v="3.256685"/>
        <n v="0.412348"/>
        <n v="0.45503"/>
        <n v="0.822351"/>
        <n v="4.352106"/>
        <n v="0.320264"/>
        <n v="0.0224000000000001"/>
        <n v="0.00207"/>
        <n v="0.318194"/>
        <n v="0.00866500000000006"/>
        <n v="0.013735"/>
        <n v="3.935527"/>
        <n v="1.461866"/>
        <n v="0.203210531796172"/>
        <n v="0.629331846137163"/>
        <n v="0.0796087246488843"/>
        <n v="0.0878488974177811"/>
        <n v="0.159379228944477"/>
        <n v="0.840620771055523"/>
        <n v="0.202995985858999"/>
        <n v="0.629377150104832"/>
        <n v="0.0796891345314107"/>
        <n v="0.0879377295047577"/>
        <n v="0.15892508141434"/>
        <n v="0.84107491858566"/>
        <n v="7.514364"/>
        <n v="7.499271"/>
        <n v="7.642832"/>
        <n v="0.0150929999999993"/>
        <n v="0.8"/>
        <n v="3.032527"/>
        <n v="1.397501"/>
        <n v="1.635026"/>
        <n v="1.098227"/>
        <n v="1.8396"/>
        <n v="0.0947"/>
        <n v="3.134496"/>
        <n v="1.120618"/>
        <n v="1.919578"/>
        <n v="0.0943"/>
        <n v="3.080882"/>
        <n v="1.419454"/>
        <n v="1.661428"/>
        <n v="1.11628"/>
        <n v="1.868502"/>
        <n v="0.0961"/>
        <n v="0.102369"/>
        <n v="0.0004"/>
        <n v="0.022391"/>
        <n v="0.079978"/>
        <n v="3.040196"/>
        <n v="0.46083711703144"/>
        <n v="0.539162882968561"/>
        <n v="0.362149125135572"/>
        <n v="0.606622793465648"/>
        <n v="0.0312280813987806"/>
        <n v="0.460729752064506"/>
        <n v="0.539270247935494"/>
        <n v="0.362324814777067"/>
        <n v="0.606482818881087"/>
        <n v="0.0311923663418463"/>
        <n v="0.027036"/>
        <n v="0.033149"/>
        <n v="0.006113"/>
      </sharedItems>
    </cacheField>
    <cacheField name="2月" numFmtId="0">
      <sharedItems containsNumber="1" containsMixedTypes="1" count="161">
        <n v="1"/>
        <n v="0"/>
        <n v="2"/>
        <n v="4"/>
        <n v="7"/>
        <n v="3"/>
        <n v="5"/>
        <n v="6"/>
        <n v="0.333333333333333"/>
        <n v="0.166666666666667"/>
        <n v="0.5"/>
        <n v="0.25"/>
        <n v="0.857142857142857"/>
        <s v=" "/>
        <n v="0.8"/>
        <n v="9.386569"/>
        <n v="0.793369"/>
        <n v="8.5932"/>
        <n v="9.711115"/>
        <n v="0.783327"/>
        <n v="8.927788"/>
        <n v="20.192188"/>
        <n v="9.503101"/>
        <n v="8.709732"/>
        <n v="0.334588"/>
        <n v="0.0100419999999999"/>
        <n v="19.408861"/>
        <n v="0.335912"/>
        <n v="17.844702"/>
        <n v="0.857887"/>
        <n v="13.023637"/>
        <n v="1.266791"/>
        <n v="2.696387"/>
        <n v="0.0480751653908258"/>
        <n v="0.729832137292066"/>
        <n v="0.0709897537095324"/>
        <n v="0.151102943607576"/>
        <n v="8.458133"/>
        <n v="0.473985668127156"/>
        <n v="0.0444596384966249"/>
        <n v="0.481554693376219"/>
        <n v="18.081249"/>
        <n v="13.188978"/>
        <n v="1.288458"/>
        <n v="2.745926"/>
        <n v="0.0474462245390238"/>
        <n v="0.729428481406345"/>
        <n v="0.0712593471833721"/>
        <n v="0.151865946871259"/>
        <n v="8.578148"/>
        <n v="0.474422314520418"/>
        <n v="0.0438779975874454"/>
        <n v="0.481699687892136"/>
        <n v="2.357528"/>
        <n v="2.02294"/>
        <n v="2.427416"/>
        <n v="2.091504"/>
        <s v=""/>
        <n v="1.6871"/>
        <n v="1.542649"/>
        <n v="1.716569"/>
        <n v="0.144451"/>
        <n v="0.2"/>
        <n v="0.6"/>
        <n v="0.666666666666667"/>
        <n v="0.833333333333333"/>
        <n v="0.75"/>
        <n v="5.397393"/>
        <n v="3.935527"/>
        <n v="1.461866"/>
        <n v="5.099529"/>
        <n v="1.036278"/>
        <n v="3.209296"/>
        <n v="0.405967"/>
        <n v="0.447988"/>
        <n v="0.203210531796172"/>
        <n v="0.629331846137163"/>
        <n v="0.0796087246488843"/>
        <n v="0.0878488974177811"/>
        <n v="0.812759"/>
        <n v="4.28677"/>
        <n v="0.159379228944477"/>
        <n v="0.840620771055523"/>
        <n v="5.174457"/>
        <n v="1.050394"/>
        <n v="3.256685"/>
        <n v="0.412348"/>
        <n v="0.45503"/>
        <n v="0.202995985858999"/>
        <n v="0.629377150104832"/>
        <n v="0.0796891345314107"/>
        <n v="0.0879377295047577"/>
        <n v="0.822351"/>
        <n v="4.352106"/>
        <n v="0.15892508141434"/>
        <n v="0.84107491858566"/>
        <n v="0.320264"/>
        <n v="0.0224000000000001"/>
        <n v="0.00207"/>
        <n v="0.318194"/>
        <n v="0.00866500000000006"/>
        <n v="0.013735"/>
        <n v="7.499271"/>
        <n v="7.514364"/>
        <n v="7.642832"/>
        <n v="0.0150929999999993"/>
        <n v="8"/>
        <n v="0.285714285714286"/>
        <n v="0.714285714285714"/>
        <n v="0.875"/>
        <n v="3.166154"/>
        <n v="2.761409"/>
        <n v="0.404745"/>
        <n v="3.217476"/>
        <n v="6.351972"/>
        <n v="3.223175"/>
        <n v="2.813043"/>
        <n v="0.410132"/>
        <n v="0.085059"/>
        <n v="0.033737"/>
        <n v="2.846468"/>
        <n v="0.371008"/>
        <n v="5.886664"/>
        <n v="0.465308"/>
        <n v="6.198681"/>
        <n v="4.15891"/>
        <n v="2.039771"/>
        <n v="0.670934671424453"/>
        <n v="0.329065328575547"/>
        <n v="1.098227"/>
        <n v="1.8396"/>
        <n v="0.0947"/>
        <n v="0.510778664041592"/>
        <n v="0.177171078814993"/>
        <n v="0.296772813442085"/>
        <n v="0.0152774437013294"/>
        <n v="6.304057"/>
        <n v="4.232497"/>
        <n v="2.07156"/>
        <n v="0.671392565137022"/>
        <n v="0.328607434862978"/>
        <n v="1.11628"/>
        <n v="1.868502"/>
        <n v="0.0961"/>
        <n v="0.51128582752345"/>
        <n v="0.177073272021493"/>
        <n v="0.296396748950715"/>
        <n v="0.0152441515043408"/>
        <n v="0.187428"/>
        <n v="0.034137"/>
        <n v="0.022391"/>
        <n v="0.079978"/>
        <n v="0.0004"/>
        <n v="0.04291"/>
        <n v="0.076059"/>
        <n v="0.033149"/>
        <n v="0.069946"/>
        <n v="0.027036"/>
        <n v="0.386526749206531"/>
        <n v="0.613473250793469"/>
        <n v="0.006113"/>
      </sharedItems>
    </cacheField>
    <cacheField name="3月" numFmtId="0">
      <sharedItems containsNumber="1" containsMixedTypes="1" count="208">
        <n v="4"/>
        <n v="1"/>
        <n v="3"/>
        <n v="0"/>
        <n v="2"/>
        <n v="0.25"/>
        <n v="0.75"/>
        <n v="6"/>
        <n v="11"/>
        <n v="5"/>
        <n v="9"/>
        <n v="7"/>
        <n v="0.142857142857143"/>
        <n v="0.285714285714286"/>
        <n v="0.428571428571429"/>
        <n v="0.4"/>
        <n v="0.2"/>
        <n v="0.636363636363636"/>
        <n v="0.5"/>
        <s v=" "/>
        <n v="0.666666666666667"/>
        <n v="0.555555555555556"/>
        <n v="0.202224"/>
        <n v="0.199991"/>
        <n v="20.392179"/>
        <n v="0.204122"/>
        <n v="0.00223299999999999"/>
        <n v="19.408861"/>
        <n v="0.983318"/>
        <n v="0.002249"/>
        <n v="18.046926"/>
        <n v="0.857887"/>
        <n v="13.023637"/>
        <n v="1.266791"/>
        <n v="2.696387"/>
        <n v="0.0112054540479636"/>
        <n v="0.0475364613341907"/>
        <n v="0.721654036814913"/>
        <n v="0.070194281286464"/>
        <n v="0.149409766516469"/>
        <n v="8.458133"/>
        <n v="0.995593"/>
        <n v="8.5932"/>
        <n v="0.468674443503564"/>
        <n v="0.0551669021084256"/>
        <n v="0.476158654388011"/>
        <n v="18.285371"/>
        <n v="13.188978"/>
        <n v="1.288458"/>
        <n v="2.745926"/>
        <n v="0.0111631314453505"/>
        <n v="0.0469165760979091"/>
        <n v="0.721285775388424"/>
        <n v="0.0704638697240543"/>
        <n v="0.150170647344262"/>
        <n v="8.578148"/>
        <n v="0.997491"/>
        <n v="8.709732"/>
        <n v="0.469126275862819"/>
        <n v="0.0545513131781685"/>
        <n v="0.476322410959012"/>
        <n v="2.357528"/>
        <n v="0.0122749999999999"/>
        <n v="2.02294"/>
        <n v="0.334588"/>
        <n v="2.427416"/>
        <n v="0.0122909999999999"/>
        <n v="2.091504"/>
        <n v="0.335912"/>
        <s v=""/>
        <n v="1.542649"/>
        <n v="1.6871"/>
        <n v="1.716569"/>
        <n v="0.144451"/>
        <n v="0.333333333333333"/>
        <n v="0.166666666666667"/>
        <n v="13"/>
        <n v="10"/>
        <n v="0.538461538461538"/>
        <n v="0.6"/>
        <n v="0.892898"/>
        <n v="0.865404"/>
        <n v="6.262797"/>
        <n v="0.906862"/>
        <n v="0.0274939999999999"/>
        <n v="3.935527"/>
        <n v="2.32727"/>
        <n v="5.992427"/>
        <n v="1.036278"/>
        <n v="3.209296"/>
        <n v="1.298865"/>
        <n v="0.447988"/>
        <n v="0.172931268082198"/>
        <n v="0.535558630918658"/>
        <n v="0.21675107598307"/>
        <n v="0.0747590250160745"/>
        <n v="0.812759"/>
        <n v="4.28677"/>
        <n v="0.135631022288632"/>
        <n v="0.715364575988994"/>
        <n v="0.149004401722374"/>
        <n v="6.081319"/>
        <n v="1.050394"/>
        <n v="3.256685"/>
        <n v="1.31921"/>
        <n v="0.45503"/>
        <n v="0.172724700019848"/>
        <n v="0.53552280352338"/>
        <n v="0.216928268357572"/>
        <n v="0.0748242280992002"/>
        <n v="0.822351"/>
        <n v="4.352106"/>
        <n v="0.135225762700493"/>
        <n v="0.71565165385996"/>
        <n v="0.149122583439547"/>
        <n v="0.320264"/>
        <n v="0.049894"/>
        <n v="0.00207"/>
        <n v="0.318194"/>
        <n v="0.00866500000000006"/>
        <n v="0.013735"/>
        <n v="7.499271"/>
        <n v="7.514364"/>
        <n v="7.642832"/>
        <n v="0.0150929999999993"/>
        <n v="0.111111111111111"/>
        <n v="0.9"/>
        <n v="0.8"/>
        <n v="1.673401"/>
        <n v="1.615349"/>
        <n v="0.058052"/>
        <n v="1.658748"/>
        <n v="8.01072"/>
        <n v="1.698785"/>
        <n v="1.640733"/>
        <n v="0.0146529999999999"/>
        <n v="5.886664"/>
        <n v="2.124056"/>
        <n v="7.872082"/>
        <n v="5.774259"/>
        <n v="2.039771"/>
        <n v="0.73351103304056"/>
        <n v="0.00737441505309523"/>
        <n v="0.259114551906344"/>
        <n v="4.839555"/>
        <n v="1.098227"/>
        <n v="1.8396"/>
        <n v="0.0947"/>
        <n v="0.614774465001762"/>
        <n v="0.139509090479495"/>
        <n v="0.23368659015493"/>
        <n v="0.0120298543638138"/>
        <n v="8.002842"/>
        <n v="5.87323"/>
        <n v="2.07156"/>
        <n v="0.733893034499494"/>
        <n v="0.00725392304383868"/>
        <n v="0.258853042456667"/>
        <n v="4.92196"/>
        <n v="1.11628"/>
        <n v="1.868502"/>
        <n v="0.0961"/>
        <n v="0.615026511831672"/>
        <n v="0.139485447794671"/>
        <n v="0.233479806298812"/>
        <n v="0.0120082340748449"/>
        <n v="0.187428"/>
        <n v="0.0487899999999999"/>
        <n v="0.085059"/>
        <n v="0.022391"/>
        <n v="0.079978"/>
        <n v="0.0483899999999999"/>
        <n v="0.0004"/>
        <n v="0.7056"/>
        <n v="0.7179"/>
        <n v="8"/>
        <n v="0.125"/>
        <n v="0.375"/>
        <n v="0.57629521"/>
        <n v="0.037366"/>
        <n v="0.169938"/>
        <n v="0.36899121"/>
        <n v="0.43627521"/>
        <n v="0.102654"/>
        <n v="0.54185521"/>
        <n v="0.43357021"/>
        <n v="0.070919"/>
        <n v="0.61791421"/>
        <n v="0.03444"/>
        <n v="0.002705"/>
        <n v="0.031735"/>
        <n v="0.098325"/>
        <n v="0.44353021"/>
        <n v="0.131474"/>
        <n v="0.48644021"/>
        <n v="0.64624121"/>
        <n v="0.027036"/>
        <n v="0.080276"/>
        <n v="0.0418357721260147"/>
        <n v="0.124219871400649"/>
        <n v="0.262963731452533"/>
        <n v="0.570980625020803"/>
        <n v="0.47918521"/>
        <n v="0.741495903673491"/>
        <n v="0.057820515655447"/>
        <n v="0.158847808545048"/>
        <n v="0.040553"/>
        <n v="0.006113"/>
      </sharedItems>
    </cacheField>
    <cacheField name="4月" numFmtId="0">
      <sharedItems containsNumber="1" containsMixedTypes="1" count="295">
        <n v="5"/>
        <n v="3"/>
        <n v="1"/>
        <n v="0"/>
        <n v="2"/>
        <n v="4"/>
        <n v="0.5"/>
        <n v="0.25"/>
        <n v="7"/>
        <n v="0.666666666666667"/>
        <n v="0.333333333333333"/>
        <n v="16"/>
        <n v="6"/>
        <n v="15"/>
        <n v="13"/>
        <n v="12"/>
        <n v="0.416666666666667"/>
        <n v="0.166666666666667"/>
        <n v="0.0833333333333333"/>
        <n v="9"/>
        <n v="0.555555555555556"/>
        <n v="0.111111111111111"/>
        <n v="8"/>
        <n v="0.75"/>
        <n v="0.6"/>
        <n v="0.833333333333333"/>
        <s v=" "/>
        <n v="0.4"/>
        <n v="0.8"/>
        <n v="0.857142857142857"/>
        <n v="0.692307692307692"/>
        <n v="0.714285714285714"/>
        <n v="2.851476"/>
        <n v="0.743634"/>
        <n v="2.107842"/>
        <n v="1.163956"/>
        <n v="0.943886"/>
        <n v="2.806773"/>
        <n v="1.086653"/>
        <n v="0.775616"/>
        <n v="0.944504"/>
        <n v="23.198952"/>
        <n v="2.89938"/>
        <n v="0.755196"/>
        <n v="2.144184"/>
        <n v="1.18405"/>
        <n v="0.960134"/>
        <n v="0.0326000000000001"/>
        <n v="0.0773030000000001"/>
        <n v="0.0319820000000001"/>
        <n v="0.000618000000000029"/>
        <n v="1.72012"/>
        <n v="21.128981"/>
        <n v="2.069971"/>
        <n v="0.0392679999999999"/>
        <n v="0.0802270000000001"/>
        <n v="0.032531"/>
        <n v="0.0067369999999999"/>
        <n v="20.898402"/>
        <n v="0.945858"/>
        <n v="2.965729"/>
        <n v="13.023637"/>
        <n v="1.266791"/>
        <n v="2.696387"/>
        <n v="0.0452598241722023"/>
        <n v="0.141911759568985"/>
        <n v="0.623188174866193"/>
        <n v="0.060616644277395"/>
        <n v="0.129023597115224"/>
        <n v="9.622089"/>
        <n v="1.739227"/>
        <n v="8.5932"/>
        <n v="0.460422237068652"/>
        <n v="0.0832229660430496"/>
        <n v="0.0451654628904162"/>
        <n v="0.411189333997882"/>
        <n v="21.184751"/>
        <n v="0.959318"/>
        <n v="3.002071"/>
        <n v="13.188978"/>
        <n v="1.288458"/>
        <n v="2.745926"/>
        <n v="0.0452834210796247"/>
        <n v="0.141709052893754"/>
        <n v="0.622569413253902"/>
        <n v="0.0608200681707328"/>
        <n v="0.129618044601988"/>
        <n v="9.762198"/>
        <n v="1.752687"/>
        <n v="8.709732"/>
        <n v="0.460812496686886"/>
        <n v="0.0827334246222672"/>
        <n v="0.0453219393515647"/>
        <n v="0.411132139339282"/>
        <n v="2.390128"/>
        <n v="0.089578"/>
        <n v="2.02294"/>
        <n v="0.334588"/>
        <n v="0.0122749999999999"/>
        <n v="2.466684"/>
        <n v="0.092518"/>
        <n v="2.091504"/>
        <n v="0.335912"/>
        <n v="0.0122909999999999"/>
        <s v=""/>
        <n v="1.542649"/>
        <n v="1.6871"/>
        <n v="1.716569"/>
        <n v="0.144451"/>
        <n v="18"/>
        <n v="14"/>
        <n v="0.2"/>
        <n v="0.133333333333333"/>
        <n v="0.0666666666666667"/>
        <n v="0.461538461538462"/>
        <n v="0.230769230769231"/>
        <n v="0.307692307692308"/>
        <n v="0.125"/>
        <n v="0.285714285714286"/>
        <n v="0.866666666666667"/>
        <n v="19.532082"/>
        <n v="4.619507"/>
        <n v="11.070785"/>
        <n v="1.226273"/>
        <n v="2.615517"/>
        <n v="16.08927"/>
        <n v="3.142818"/>
        <n v="0.299994"/>
        <n v="19.291854"/>
        <n v="15.786421"/>
        <n v="3.205439"/>
        <n v="25.554651"/>
        <n v="19.80049"/>
        <n v="4.690522"/>
        <n v="11.205848"/>
        <n v="1.245412"/>
        <n v="2.658708"/>
        <n v="16.30968"/>
        <n v="3.190816"/>
        <n v="0.0835249999999999"/>
        <n v="0.323753"/>
        <n v="0.0177140000000001"/>
        <n v="0.0658109999999998"/>
        <n v="0.320563"/>
        <n v="0.00319000000000006"/>
        <n v="3.943135"/>
        <n v="15.048725"/>
        <n v="7.878662"/>
        <n v="17.375995"/>
        <n v="25.524509"/>
        <n v="5.655785"/>
        <n v="3.209296"/>
        <n v="1.298865"/>
        <n v="1.674261"/>
        <n v="0.22158251898205"/>
        <n v="0.125733897564886"/>
        <n v="0.0508869729874138"/>
        <n v="0.433731555815628"/>
        <n v="0.0655942490411863"/>
        <n v="0.102470805608837"/>
        <n v="16.902029"/>
        <n v="7.429588"/>
        <n v="0.892898"/>
        <n v="0.662188212905486"/>
        <n v="0.291076627566078"/>
        <n v="0.0349819853537633"/>
        <n v="0.0117531741746727"/>
        <n v="25.881809"/>
        <n v="5.740916"/>
        <n v="3.256685"/>
        <n v="1.31921"/>
        <n v="1.700442"/>
        <n v="0.221812779779033"/>
        <n v="0.125829110322234"/>
        <n v="0.0509705484651401"/>
        <n v="0.432962317278518"/>
        <n v="0.0657002762055775"/>
        <n v="0.102724967949497"/>
        <n v="17.132031"/>
        <n v="7.542922"/>
        <n v="0.906862"/>
        <n v="0.661933290675316"/>
        <n v="0.291437202090472"/>
        <n v="0.0350385863677458"/>
        <n v="0.0115909208664665"/>
        <n v="0.403789"/>
        <n v="0.373647"/>
        <n v="0.0197840000000001"/>
        <n v="0.384005"/>
        <n v="0.329228"/>
        <n v="0.0169250000000001"/>
        <n v="0.0274939999999999"/>
        <n v="0.1463"/>
        <n v="7.645571"/>
        <n v="0.1466"/>
        <n v="7.499271"/>
        <n v="7.660664"/>
        <n v="7.514364"/>
        <n v="0.980902438744213"/>
        <n v="0.0190975612557867"/>
        <n v="7.789432"/>
        <n v="7.642832"/>
        <n v="0.981179629015312"/>
        <n v="0.018820370984688"/>
        <n v="0.0150929999999993"/>
        <n v="11"/>
        <n v="0.272727272727273"/>
        <n v="0.0909090909090909"/>
        <n v="0.454545454545455"/>
        <n v="0.181818181818182"/>
        <n v="10"/>
        <n v="0.3"/>
        <n v="0.785714285714286"/>
        <n v="0.769230769230769"/>
        <n v="2.018367"/>
        <n v="1.718387"/>
        <n v="0.29998"/>
        <n v="2.003279"/>
        <n v="1.703299"/>
        <n v="10.013999"/>
        <n v="2.039669"/>
        <n v="1.739689"/>
        <n v="0.0150879999999997"/>
        <n v="5.886664"/>
        <n v="3.827355"/>
        <n v="9.890449"/>
        <n v="5.774259"/>
        <n v="0.058052"/>
        <n v="2.039771"/>
        <n v="0.583821725383752"/>
        <n v="0.00586950097007729"/>
        <n v="0.206236440832969"/>
        <n v="0.204072332813202"/>
        <n v="6.557942"/>
        <n v="1.098227"/>
        <n v="1.8396"/>
        <n v="0.39468"/>
        <n v="0.663058067434552"/>
        <n v="0.111039144936696"/>
        <n v="0.185997622554851"/>
        <n v="0.0399051650739011"/>
        <n v="10.042511"/>
        <n v="5.87323"/>
        <n v="2.07156"/>
        <n v="0.584836800278337"/>
        <n v="0.00578062598089263"/>
        <n v="0.206279086973367"/>
        <n v="0.203103486767403"/>
        <n v="6.661649"/>
        <n v="1.11628"/>
        <n v="1.868502"/>
        <n v="0.39608"/>
        <n v="0.663344954264924"/>
        <n v="0.111155466994261"/>
        <n v="0.186059243549746"/>
        <n v="0.0394403351910692"/>
        <n v="0.187428"/>
        <n v="0.0638779999999997"/>
        <n v="0.085059"/>
        <n v="0.022391"/>
        <n v="0.079978"/>
        <n v="0.0634779999999997"/>
        <n v="0.0004"/>
        <n v="0.7056"/>
        <n v="0.7179"/>
        <n v="0.222222222222222"/>
        <n v="0.375"/>
        <n v="0.069017"/>
        <n v="0.079298"/>
        <n v="0.69721221"/>
        <n v="0.010281"/>
        <n v="0.210772"/>
        <n v="0.48644021"/>
        <n v="0.71525821"/>
        <n v="0.027036"/>
        <n v="0.080276"/>
        <n v="0.169938"/>
        <n v="0.36899121"/>
        <n v="0.0377989369741034"/>
        <n v="0.112233594634307"/>
        <n v="0.23758972301765"/>
        <n v="0.515885319233176"/>
        <n v="0.0964924261407639"/>
        <n v="0.47918521"/>
        <n v="0.096053"/>
        <n v="0.037366"/>
        <n v="0.102654"/>
        <n v="0.669947164954597"/>
        <n v="0.134291363114867"/>
        <n v="0.0522412738191429"/>
        <n v="0.143520198111393"/>
        <n v="0.050834"/>
        <n v="0.002705"/>
        <n v="0.016394"/>
        <n v="0.031735"/>
      </sharedItems>
    </cacheField>
    <cacheField name="5月" numFmtId="0">
      <sharedItems containsNumber="1" containsMixedTypes="1" count="345">
        <n v="1"/>
        <n v="0"/>
        <n v="5"/>
        <n v="2"/>
        <n v="3"/>
        <n v="4"/>
        <s v=" "/>
        <n v="7"/>
        <n v="17"/>
        <n v="6"/>
        <n v="16"/>
        <n v="13"/>
        <n v="0.294117647058824"/>
        <n v="0.352941176470588"/>
        <n v="0.0588235294117647"/>
        <n v="0.176470588235294"/>
        <n v="0.375"/>
        <n v="0.4375"/>
        <n v="0.1875"/>
        <n v="0.307692307692308"/>
        <n v="0.538461538461538"/>
        <n v="0.153846153846154"/>
        <n v="10"/>
        <n v="0.166666666666667"/>
        <n v="0.333333333333333"/>
        <n v="9.27285"/>
        <n v="2.807139"/>
        <n v="0.433065"/>
        <n v="0.473359"/>
        <n v="5.559287"/>
        <n v="1.731024"/>
        <n v="6.032646"/>
        <n v="1.50918"/>
        <n v="13.228555"/>
        <n v="1.718586"/>
        <n v="9.975021"/>
        <n v="1.534948"/>
        <n v="36.427507"/>
        <n v="9.336079"/>
        <n v="2.856043"/>
        <n v="0.439123"/>
        <n v="0.481626"/>
        <n v="1.761186"/>
        <n v="6.040913"/>
        <n v="1.53398"/>
        <n v="4.011593"/>
        <n v="0.055888"/>
        <n v="3.975937"/>
        <n v="0.035656"/>
        <n v="0.0124380000000001"/>
        <n v="0.033562"/>
        <n v="0.00988799999999992"/>
        <n v="10.646995"/>
        <n v="2.58156"/>
        <n v="31.775976"/>
        <n v="4.651531"/>
        <n v="4.012214"/>
        <n v="0.057216"/>
        <n v="0.036277"/>
        <n v="0.013059"/>
        <n v="0.034148"/>
        <n v="0.0100089999999999"/>
        <n v="30.171252"/>
        <n v="3.752997"/>
        <n v="3.398794"/>
        <n v="18.582924"/>
        <n v="1.266791"/>
        <n v="2.696387"/>
        <n v="0.124389833076864"/>
        <n v="0.112650081607485"/>
        <n v="0.0156890738243146"/>
        <n v="0.61591491132022"/>
        <n v="0.0419866898463478"/>
        <n v="0.0893694103247687"/>
        <n v="11.353113"/>
        <n v="7.771873"/>
        <n v="2.453066"/>
        <n v="8.5932"/>
        <n v="0.376289091350932"/>
        <n v="0.257591995188002"/>
        <n v="0.0813047466508847"/>
        <n v="0.284814166810181"/>
        <n v="30.52083"/>
        <n v="3.815361"/>
        <n v="3.441194"/>
        <n v="18.748265"/>
        <n v="1.288458"/>
        <n v="2.745926"/>
        <n v="0.125008428669863"/>
        <n v="0.112749030743921"/>
        <n v="0.0157802392661012"/>
        <n v="0.614277691661727"/>
        <n v="0.042215693347789"/>
        <n v="0.0899689163105984"/>
        <n v="11.523384"/>
        <n v="7.7936"/>
        <n v="2.494114"/>
        <n v="8.709732"/>
        <n v="0.377558015296438"/>
        <n v="0.25535347498741"/>
        <n v="0.0817184198463803"/>
        <n v="0.285370089869771"/>
        <n v="6.401721"/>
        <n v="0.145466"/>
        <n v="2.02294"/>
        <n v="4.007919"/>
        <n v="0.036274"/>
        <n v="0.334588"/>
        <n v="0.0897410000000002"/>
        <n v="0.0458369999999999"/>
        <n v="6.478898"/>
        <n v="0.149734"/>
        <n v="2.091504"/>
        <n v="4.008468"/>
        <n v="0.0430139999999999"/>
        <n v="0.335912"/>
        <n v="0.0932860000000001"/>
        <n v="0.046439"/>
        <s v=""/>
        <n v="1.542649"/>
        <n v="1.6871"/>
        <n v="1.716569"/>
        <n v="0.144451"/>
        <n v="19"/>
        <n v="8"/>
        <n v="14"/>
        <n v="18"/>
        <n v="0.277777777777778"/>
        <n v="0.111111111111111"/>
        <n v="15"/>
        <n v="0.4"/>
        <n v="0.266666666666667"/>
        <n v="0.5"/>
        <n v="0.285714285714286"/>
        <n v="0.214285714285714"/>
        <n v="0.947368421052632"/>
        <n v="0.833333333333333"/>
        <n v="0.125"/>
        <n v="0.142857142857143"/>
        <n v="0.9375"/>
        <n v="1.40134"/>
        <n v="0.786016"/>
        <n v="0.615324"/>
        <n v="0.462317"/>
        <n v="0.323699"/>
        <n v="1.494286"/>
        <n v="0.525975"/>
        <n v="0.334073"/>
        <n v="0.634238"/>
        <n v="27.048937"/>
        <n v="1.416169"/>
        <n v="0.796009"/>
        <n v="0.62016"/>
        <n v="0.469584"/>
        <n v="0.326425"/>
        <n v="0.092946"/>
        <n v="0.063658"/>
        <n v="0.010374"/>
        <n v="0.018914"/>
        <n v="9.372948"/>
        <n v="17.375995"/>
        <n v="0.299994"/>
        <n v="26.925849"/>
        <n v="5.655785"/>
        <n v="3.995312"/>
        <n v="1.298865"/>
        <n v="11.070785"/>
        <n v="1.674261"/>
        <n v="3.230841"/>
        <n v="0.210050386897735"/>
        <n v="0.148382025019898"/>
        <n v="0.0482385903597692"/>
        <n v="0.411158251685954"/>
        <n v="0.0621804348676248"/>
        <n v="0.119990311169018"/>
        <n v="17.364346"/>
        <n v="7.753287"/>
        <n v="0.892898"/>
        <n v="0.644895022623056"/>
        <n v="0.28794958331676"/>
        <n v="0.0331613684678986"/>
        <n v="0.0111414871263669"/>
        <n v="0.022852538465918"/>
        <n v="27.297978"/>
        <n v="5.740916"/>
        <n v="4.052694"/>
        <n v="1.31921"/>
        <n v="11.205848"/>
        <n v="1.700442"/>
        <n v="3.278868"/>
        <n v="0.210305539846211"/>
        <n v="0.148461325597083"/>
        <n v="0.048326289954516"/>
        <n v="0.410501026852612"/>
        <n v="0.0622918664525263"/>
        <n v="0.120113951297052"/>
        <n v="17.601615"/>
        <n v="7.869347"/>
        <n v="0.906862"/>
        <n v="0.644795559583204"/>
        <n v="0.288275820282367"/>
        <n v="0.033220848811586"/>
        <n v="0.0109896051641627"/>
        <n v="0.0227181661586803"/>
        <n v="0.496735"/>
        <n v="0.373647"/>
        <n v="0.0834420000000001"/>
        <n v="0.394379"/>
        <n v="0.329228"/>
        <n v="0.0169250000000001"/>
        <n v="0.0274939999999999"/>
        <n v="0.666666666666667"/>
        <n v="7.645571"/>
        <n v="7.499271"/>
        <n v="0.1463"/>
        <n v="7.660664"/>
        <n v="7.514364"/>
        <n v="0.980902438744213"/>
        <n v="0.0190975612557867"/>
        <n v="7.789432"/>
        <n v="7.642832"/>
        <n v="0.1466"/>
        <n v="0.981179629015312"/>
        <n v="0.018820370984688"/>
        <n v="0.0150929999999993"/>
        <n v="9"/>
        <n v="11"/>
        <n v="0.2"/>
        <n v="0.533333333333333"/>
        <n v="0.9"/>
        <n v="0.1"/>
        <n v="0.842105263157895"/>
        <n v="0.888888888888889"/>
        <n v="0.75"/>
        <n v="0.0909090909090909"/>
        <n v="0.25"/>
        <n v="0.8"/>
        <n v="0.909090909090909"/>
        <n v="7.550773"/>
        <n v="2.377686"/>
        <n v="2.876615"/>
        <n v="2.296472"/>
        <n v="6.895212"/>
        <n v="0.655561"/>
        <n v="7.630383"/>
        <n v="6.963715"/>
        <n v="0.666668"/>
        <n v="17.644382"/>
        <n v="7.670145"/>
        <n v="2.416544"/>
        <n v="2.921005"/>
        <n v="2.332596"/>
        <n v="7.004415"/>
        <n v="0.66573"/>
        <n v="0.10842"/>
        <n v="0.02881"/>
        <n v="0.097313"/>
        <n v="0.0111070000000001"/>
        <n v="3.060453"/>
        <n v="4.56993"/>
        <n v="8.947117"/>
        <n v="8.397285"/>
        <n v="0.29998"/>
        <n v="17.441222"/>
        <n v="5.774259"/>
        <n v="2.435738"/>
        <n v="4.916386"/>
        <n v="4.314839"/>
        <n v="0.331069634914343"/>
        <n v="0.13965409075121"/>
        <n v="0.281883115758747"/>
        <n v="0.247393158575701"/>
        <n v="13.453154"/>
        <n v="1.753788"/>
        <n v="1.8396"/>
        <n v="0.39468"/>
        <n v="0.771342397912257"/>
        <n v="0.100554192819746"/>
        <n v="0.105474260920479"/>
        <n v="0.0226291483475183"/>
        <n v="17.712656"/>
        <n v="5.87323"/>
        <n v="2.474596"/>
        <n v="4.992565"/>
        <n v="4.372265"/>
        <n v="0.331583812162332"/>
        <n v="0.139707788600422"/>
        <n v="0.281864278287796"/>
        <n v="0.24684412094945"/>
        <n v="13.666064"/>
        <n v="1.78201"/>
        <n v="1.868502"/>
        <n v="0.39608"/>
        <n v="0.771542336733689"/>
        <n v="0.100606594516373"/>
        <n v="0.105489656661316"/>
        <n v="0.0223614120886218"/>
        <n v="0.295848"/>
        <n v="0.0926879999999997"/>
        <n v="0.182372"/>
        <n v="0.033498"/>
        <n v="0.079978"/>
        <n v="0.0922879999999997"/>
        <n v="0.0004"/>
        <n v="0.7056"/>
        <n v="0.7179"/>
        <n v="12"/>
        <n v="0.181818181818182"/>
        <n v="0.363636363636364"/>
        <n v="0.428571428571429"/>
        <n v="0.571428571428571"/>
        <n v="0.916666666666667"/>
        <n v="0.875"/>
        <n v="0.082235"/>
        <n v="0.058534"/>
        <n v="0.023701"/>
        <n v="0.087908"/>
        <n v="0.064207"/>
        <n v="0.78512021"/>
        <n v="0.005673"/>
        <n v="0.274979"/>
        <n v="0.51014121"/>
        <n v="0.79749321"/>
        <n v="0.08557"/>
        <n v="0.080276"/>
        <n v="0.193639"/>
        <n v="0.36899121"/>
        <n v="0.069017"/>
        <n v="0.107298719195365"/>
        <n v="0.100660418162056"/>
        <n v="0.242809590817707"/>
        <n v="0.462688842203434"/>
        <n v="0.0865424296214384"/>
        <n v="0.50288621"/>
        <n v="0.096053"/>
        <n v="0.0959"/>
        <n v="0.102654"/>
        <n v="0.630583688605951"/>
        <n v="0.120443658698988"/>
        <n v="0.120251807535766"/>
        <n v="0.128720845159296"/>
        <n v="0.056507"/>
        <n v="0.002705"/>
        <n v="0.016394"/>
        <n v="0.031735"/>
      </sharedItems>
    </cacheField>
    <cacheField name="6月" numFmtId="0">
      <sharedItems containsNumber="1" containsMixedTypes="1" count="360">
        <n v="5"/>
        <n v="2"/>
        <n v="1"/>
        <n v="0"/>
        <n v="3"/>
        <n v="4"/>
        <n v="0.333333333333333"/>
        <n v="8"/>
        <n v="9"/>
        <n v="22"/>
        <n v="7"/>
        <n v="20"/>
        <n v="17"/>
        <n v="10"/>
        <n v="19"/>
        <n v="6"/>
        <n v="0.315789473684211"/>
        <n v="0.0526315789473684"/>
        <n v="0.157894736842105"/>
        <n v="0.5"/>
        <n v="0.411764705882353"/>
        <n v="0.176470588235294"/>
        <n v="15"/>
        <n v="0.266666666666667"/>
        <n v="0.533333333333333"/>
        <n v="5.66666666666667"/>
        <n v="0.133333333333333"/>
        <n v="11"/>
        <n v="0.863636363636364"/>
        <n v="0.857142857142857"/>
        <n v="0.111111111111111"/>
        <s v=" "/>
        <n v="0.85"/>
        <n v="0.875"/>
        <n v="0.75"/>
        <n v="0.882352941176471"/>
        <n v="0.8"/>
        <n v="0.476784"/>
        <n v="0.440851"/>
        <n v="0.035933"/>
        <n v="0.470273"/>
        <n v="0.443831"/>
        <n v="0.026442"/>
        <n v="36.89778"/>
        <n v="0.484432"/>
        <n v="0.448499"/>
        <n v="0.00298000000000002"/>
        <n v="0.009491"/>
        <n v="32.219807"/>
        <n v="4.677973"/>
        <n v="0.00303200000000006"/>
        <n v="30.648036"/>
        <n v="4.193848"/>
        <n v="3.398794"/>
        <n v="0.473359"/>
        <n v="18.582924"/>
        <n v="1.266791"/>
        <n v="2.696387"/>
        <n v="0.136839045738526"/>
        <n v="0.110897611840445"/>
        <n v="0.015445002740143"/>
        <n v="0.606333273688402"/>
        <n v="0.0413335131817256"/>
        <n v="0.00117244054398788"/>
        <n v="0.0879791122667697"/>
        <n v="11.793964"/>
        <n v="7.807806"/>
        <n v="2.453066"/>
        <n v="8.5932"/>
        <n v="0.384819568862422"/>
        <n v="0.254757140066006"/>
        <n v="0.080039908593164"/>
        <n v="0.280383382478407"/>
        <n v="31.005262"/>
        <n v="4.26386"/>
        <n v="3.441194"/>
        <n v="0.481626"/>
        <n v="18.748265"/>
        <n v="1.288458"/>
        <n v="2.745926"/>
        <n v="0.137520527967156"/>
        <n v="0.110987418845227"/>
        <n v="0.0155336858627416"/>
        <n v="0.60468010236456"/>
        <n v="0.0415561074762084"/>
        <n v="0.00115893231284419"/>
        <n v="0.0885632251712629"/>
        <n v="11.971883"/>
        <n v="7.829533"/>
        <n v="2.494114"/>
        <n v="8.709732"/>
        <n v="0.386124232718949"/>
        <n v="0.252522716950433"/>
        <n v="0.0804416360035919"/>
        <n v="0.280911414327026"/>
        <n v="6.404701"/>
        <n v="0.154957"/>
        <n v="2.02592"/>
        <n v="4.007919"/>
        <n v="0.036274"/>
        <n v="0.334588"/>
        <n v="0.0897410000000002"/>
        <n v="0.0553279999999999"/>
        <n v="0.00988799999999992"/>
        <n v="6.48193"/>
        <n v="0.159225"/>
        <n v="2.094536"/>
        <n v="4.008468"/>
        <n v="0.0430139999999999"/>
        <n v="0.335912"/>
        <n v="0.0932860000000001"/>
        <n v="0.05593"/>
        <n v="0.0100089999999999"/>
        <s v=""/>
        <n v="1.542649"/>
        <n v="1.6871"/>
        <n v="1.716569"/>
        <n v="0.144451"/>
        <n v="21"/>
        <n v="0.238095238095238"/>
        <n v="0.285714285714286"/>
        <n v="0.0952380952380952"/>
        <n v="0.19047619047619"/>
        <n v="18"/>
        <n v="0.388888888888889"/>
        <n v="0.277777777777778"/>
        <n v="16"/>
        <n v="0.5625"/>
        <n v="0.25"/>
        <n v="0.1875"/>
        <n v="13"/>
        <n v="0.954545454545455"/>
        <n v="0.947368421052632"/>
        <n v="0.941176470588235"/>
        <n v="13.22027"/>
        <n v="0.398154"/>
        <n v="12.822116"/>
        <n v="4.420412"/>
        <n v="8.401704"/>
        <n v="13.394773"/>
        <n v="4.421965"/>
        <n v="0.40767"/>
        <n v="8.565138"/>
        <n v="40.44371"/>
        <n v="13.386895"/>
        <n v="0.404412"/>
        <n v="12.982483"/>
        <n v="4.474866"/>
        <n v="8.507617"/>
        <n v="0.174503000000001"/>
        <n v="0.00155299999999988"/>
        <n v="0.00951599999999999"/>
        <n v="0.163434000000001"/>
        <n v="22.767721"/>
        <n v="17.375995"/>
        <n v="0.299994"/>
        <n v="40.146119"/>
        <n v="5.655785"/>
        <n v="4.393466"/>
        <n v="1.298865"/>
        <n v="23.892901"/>
        <n v="1.674261"/>
        <n v="3.230841"/>
        <n v="0.140879993904268"/>
        <n v="0.109436879813962"/>
        <n v="0.0323534386972748"/>
        <n v="0.595148462545035"/>
        <n v="0.0417041806706148"/>
        <n v="0.0804770443688467"/>
        <n v="21.784758"/>
        <n v="7.753287"/>
        <n v="1.291052"/>
        <n v="8.701698"/>
        <n v="0.615324"/>
        <n v="0.54263671165823"/>
        <n v="0.193126688036769"/>
        <n v="0.0321588246176424"/>
        <n v="0.21675066523865"/>
        <n v="0.0153271104487086"/>
        <n v="40.684873"/>
        <n v="5.740916"/>
        <n v="4.457106"/>
        <n v="1.31921"/>
        <n v="24.188331"/>
        <n v="1.700442"/>
        <n v="3.278868"/>
        <n v="0.141106892480652"/>
        <n v="0.10955192117719"/>
        <n v="0.0324250735648112"/>
        <n v="0.594528855970621"/>
        <n v="0.0417954358613827"/>
        <n v="0.0805918209453425"/>
        <n v="22.076481"/>
        <n v="7.869347"/>
        <n v="1.311274"/>
        <n v="8.807611"/>
        <n v="0.62016"/>
        <n v="0.542621357082766"/>
        <n v="0.193421938419225"/>
        <n v="0.0322300133516455"/>
        <n v="0.216483679327203"/>
        <n v="0.0152430118191594"/>
        <n v="0.671238000000001"/>
        <n v="0.373647"/>
        <n v="0.084995"/>
        <n v="0.394379"/>
        <n v="0.018914"/>
        <n v="0.329228"/>
        <n v="0.0169250000000001"/>
        <n v="0.0274939999999999"/>
        <n v="4.208329"/>
        <n v="1.681211"/>
        <n v="2.527118"/>
        <n v="4.209599"/>
        <n v="1.680992"/>
        <n v="2.528607"/>
        <n v="11.85517"/>
        <n v="4.284939"/>
        <n v="1.710533"/>
        <n v="2.574406"/>
        <n v="0.00148899999999994"/>
        <n v="0.000219000000000233"/>
        <n v="9.180263"/>
        <n v="0.1463"/>
        <n v="11.868993"/>
        <n v="11.722693"/>
        <n v="0.987673764741457"/>
        <n v="0.012326235258543"/>
        <n v="9.195575"/>
        <n v="0.774756122949942"/>
        <n v="0.212917641791515"/>
        <n v="12.074371"/>
        <n v="11.927771"/>
        <n v="0.1466"/>
        <n v="0.987858580790668"/>
        <n v="0.0121414192093319"/>
        <n v="9.353365"/>
        <n v="0.774646149269391"/>
        <n v="0.213212431521278"/>
        <n v="0.0153119999999995"/>
        <n v="0.666666666666667"/>
        <n v="12"/>
        <n v="24"/>
        <n v="0.142857142857143"/>
        <n v="0.476190476190476"/>
        <n v="0.846153846153846"/>
        <n v="0.0769230769230769"/>
        <n v="0.6"/>
        <n v="0.909090909090909"/>
        <n v="0.714285714285714"/>
        <n v="0.8125"/>
        <n v="6.443745"/>
        <n v="1.565102"/>
        <n v="0.298712"/>
        <n v="0.569286"/>
        <n v="4.010645"/>
        <n v="5.874459"/>
        <n v="0.36841"/>
        <n v="0.200876"/>
        <n v="6.640876"/>
        <n v="6.09218"/>
        <n v="0.348303"/>
        <n v="0.200393"/>
        <n v="24.285258"/>
        <n v="6.544025"/>
        <n v="1.590616"/>
        <n v="0.301227"/>
        <n v="0.57738"/>
        <n v="4.074802"/>
        <n v="5.966645"/>
        <n v="0.374844"/>
        <n v="0.202536"/>
        <n v="0.325424"/>
        <n v="0.128292999999999"/>
        <n v="0.107702999999999"/>
        <n v="0.020107"/>
        <n v="0.000482999999999993"/>
        <n v="1.890526"/>
        <n v="4.75035"/>
        <n v="10.837643"/>
        <n v="13.147635"/>
        <n v="0.29998"/>
        <n v="23.884967"/>
        <n v="7.339361"/>
        <n v="2.73445"/>
        <n v="5.485672"/>
        <n v="8.325484"/>
        <n v="0.307279511836881"/>
        <n v="0.114484143938738"/>
        <n v="0.229670486879886"/>
        <n v="0.348565857344496"/>
        <n v="19.327613"/>
        <n v="2.122198"/>
        <n v="2.040476"/>
        <n v="0.39468"/>
        <n v="0.809195717121987"/>
        <n v="0.0888507821677125"/>
        <n v="0.0854292995255133"/>
        <n v="0.0165242011847871"/>
        <n v="24.256681"/>
        <n v="7.463846"/>
        <n v="2.775823"/>
        <n v="5.569945"/>
        <n v="8.447067"/>
        <n v="0.307702690240268"/>
        <n v="0.114435400292398"/>
        <n v="0.229625190684579"/>
        <n v="0.348236718782755"/>
        <n v="19.632709"/>
        <n v="2.156854"/>
        <n v="2.071038"/>
        <n v="0.39608"/>
        <n v="0.809373260917271"/>
        <n v="0.088917935640082"/>
        <n v="0.0853801062066158"/>
        <n v="0.0163286972360316"/>
        <n v="0.621272"/>
        <n v="0.220980999999999"/>
        <n v="0.507796"/>
        <n v="0.033498"/>
        <n v="0.079978"/>
        <n v="0.199990999999999"/>
        <n v="0.0004"/>
        <n v="0.7056"/>
        <n v="0.7179"/>
        <n v="0.166666666666667"/>
        <n v="0.416666666666667"/>
        <n v="0.0833333333333333"/>
        <n v="0.454545454545455"/>
        <n v="0.181818181818182"/>
        <n v="0.356789"/>
        <n v="0.424496"/>
        <n v="1.20961621"/>
        <n v="0.067707"/>
        <n v="0.699475"/>
        <n v="0.51014121"/>
        <n v="1.15428221"/>
        <n v="0.08557"/>
        <n v="0.080276"/>
        <n v="0.550428"/>
        <n v="0.36899121"/>
        <n v="0.069017"/>
        <n v="0.0741326508012283"/>
        <n v="0.0695462507388033"/>
        <n v="0.476857388281155"/>
        <n v="0.319671573210853"/>
        <n v="0.0597921369679604"/>
        <n v="0.85967521"/>
        <n v="0.096053"/>
        <n v="0.0959"/>
        <n v="0.102654"/>
        <n v="0.744770388517034"/>
        <n v="0.0832144853033818"/>
        <n v="0.0830819353960242"/>
        <n v="0.0889331907835606"/>
        <n v="0.124214"/>
        <n v="0.070412"/>
        <n v="0.016394"/>
        <n v="0.005673"/>
        <n v="0.031735"/>
      </sharedItems>
    </cacheField>
    <cacheField name="7月" numFmtId="0">
      <sharedItems containsNumber="1" containsMixedTypes="1" count="379">
        <n v="6"/>
        <n v="1"/>
        <n v="0"/>
        <n v="3"/>
        <n v="2"/>
        <n v="5"/>
        <n v="4"/>
        <n v="0.333333333333333"/>
        <n v="10"/>
        <n v="8"/>
        <n v="0.666666666666667"/>
        <n v="28"/>
        <n v="7"/>
        <n v="11"/>
        <n v="12"/>
        <n v="25"/>
        <n v="23"/>
        <n v="15"/>
        <n v="0.28"/>
        <n v="0.16"/>
        <n v="0.12"/>
        <n v="0.08"/>
        <n v="0.5"/>
        <n v="0.04"/>
        <n v="22"/>
        <n v="0.363636363636364"/>
        <n v="0.272727272727273"/>
        <n v="20"/>
        <n v="13"/>
        <n v="0.2"/>
        <n v="0.65"/>
        <n v="3.66666666666667"/>
        <n v="0.1"/>
        <n v="16"/>
        <n v="9"/>
        <n v="0.892857142857143"/>
        <n v="0.875"/>
        <n v="0.8"/>
        <n v="0.75"/>
        <n v="0.0909090909090909"/>
        <s v=" "/>
        <n v="0.88"/>
        <n v="0.857142857142857"/>
        <n v="0.869565217391304"/>
        <n v="0.866666666666667"/>
        <n v="5.873912"/>
        <n v="0.361341"/>
        <n v="1.421204"/>
        <n v="3.908334"/>
        <n v="0.183033"/>
        <n v="4.452708"/>
        <n v="6.098132"/>
        <n v="1.437914"/>
        <n v="4.660218"/>
        <n v="42.995912"/>
        <n v="5.956095"/>
        <n v="0.367652"/>
        <n v="1.434424"/>
        <n v="3.970986"/>
        <n v="4.521671"/>
        <n v="0.240443"/>
        <n v="0.016223"/>
        <n v="0.0167099999999999"/>
        <n v="0.223733"/>
        <n v="5.931322"/>
        <n v="0.16681"/>
        <n v="38.151129"/>
        <n v="4.844783"/>
        <n v="0.253312"/>
        <n v="0.0168610000000001"/>
        <n v="0.236451"/>
        <n v="36.521948"/>
        <n v="4.555189"/>
        <n v="4.819998"/>
        <n v="4.381693"/>
        <n v="18.582924"/>
        <n v="1.449824"/>
        <n v="0.035933"/>
        <n v="2.696387"/>
        <n v="0.124724699788741"/>
        <n v="0.131975380940798"/>
        <n v="0.119974241242554"/>
        <n v="0.508815247204229"/>
        <n v="0.0396973348738134"/>
        <n v="0.000983874135081732"/>
        <n v="0.0738292218147838"/>
        <n v="13.215168"/>
        <n v="12.260514"/>
        <n v="2.453066"/>
        <n v="8.5932"/>
        <n v="0.361841816323708"/>
        <n v="0.335702630100673"/>
        <n v="0.0671668992026384"/>
        <n v="0.235288654372981"/>
        <n v="36.961357"/>
        <n v="4.631512"/>
        <n v="4.875618"/>
        <n v="4.452612"/>
        <n v="18.748265"/>
        <n v="1.471491"/>
        <n v="2.745926"/>
        <n v="0.125306871173588"/>
        <n v="0.131911228259287"/>
        <n v="0.120466680917586"/>
        <n v="0.507239628674889"/>
        <n v="0.0398116064840368"/>
        <n v="0.000972177509608211"/>
        <n v="0.0742918069810045"/>
        <n v="13.406307"/>
        <n v="12.351204"/>
        <n v="2.494114"/>
        <n v="8.709732"/>
        <n v="0.362711439409543"/>
        <n v="0.334165328399604"/>
        <n v="0.0674789618790241"/>
        <n v="0.235644270311829"/>
        <n v="6.645144"/>
        <n v="0.17118"/>
        <n v="2.04263"/>
        <n v="4.231652"/>
        <n v="0.036274"/>
        <n v="0.334588"/>
        <n v="0.0897410000000002"/>
        <n v="0.0715509999999999"/>
        <n v="0.00988799999999992"/>
        <n v="6.735242"/>
        <n v="0.175448"/>
        <n v="2.111397"/>
        <n v="4.244919"/>
        <n v="0.0430139999999999"/>
        <n v="0.335912"/>
        <n v="0.0932860000000001"/>
        <n v="0.072153"/>
        <n v="0.0100089999999999"/>
        <s v=""/>
        <n v="1.542649"/>
        <n v="1.6871"/>
        <n v="1.716569"/>
        <n v="0.144451"/>
        <n v="21"/>
        <n v="0.24"/>
        <n v="0.32"/>
        <n v="0.409090909090909"/>
        <n v="0.227272727272727"/>
        <n v="18"/>
        <n v="0.555555555555556"/>
        <n v="0.222222222222222"/>
        <n v="0.153846153846154"/>
        <n v="0.888888888888889"/>
        <n v="0.818181818181818"/>
        <n v="0.571428571428571"/>
        <n v="2.259918"/>
        <n v="0.887731"/>
        <n v="0.775495"/>
        <n v="0.596692"/>
        <n v="1.915779"/>
        <n v="0.344139"/>
        <n v="2.291495"/>
        <n v="1.948284"/>
        <n v="0.343211"/>
        <n v="42.735205"/>
        <n v="2.294545"/>
        <n v="0.902682"/>
        <n v="0.786637"/>
        <n v="0.605226"/>
        <n v="1.946044"/>
        <n v="0.348501"/>
        <n v="0.065021"/>
        <n v="0.033444"/>
        <n v="0.032516"/>
        <n v="0.000927999999999975"/>
        <n v="1.093069"/>
        <n v="1.198426"/>
        <n v="23.86079"/>
        <n v="18.574421"/>
        <n v="0.299994"/>
        <n v="42.406037"/>
        <n v="6.543516"/>
        <n v="5.168961"/>
        <n v="1.298865"/>
        <n v="24.489593"/>
        <n v="1.674261"/>
        <n v="3.230841"/>
        <n v="0.154306237104873"/>
        <n v="0.121892102296661"/>
        <n v="0.0306292474347461"/>
        <n v="0.577502514559425"/>
        <n v="0.0394816662542647"/>
        <n v="0.0761882323500307"/>
        <n v="23.700537"/>
        <n v="7.753287"/>
        <n v="1.635191"/>
        <n v="8.701698"/>
        <n v="0.615324"/>
        <n v="0.558895352565013"/>
        <n v="0.182834510095815"/>
        <n v="0.0385603351711456"/>
        <n v="0.20519950968302"/>
        <n v="0.0145102924850063"/>
        <n v="42.979418"/>
        <n v="6.643598"/>
        <n v="5.243743"/>
        <n v="1.31921"/>
        <n v="24.793557"/>
        <n v="1.700442"/>
        <n v="3.278868"/>
        <n v="0.154576267179793"/>
        <n v="0.122005909898547"/>
        <n v="0.0306939940415201"/>
        <n v="0.576870468557764"/>
        <n v="0.03956410019326"/>
        <n v="0.0762892601291158"/>
        <n v="24.022525"/>
        <n v="7.869347"/>
        <n v="1.659775"/>
        <n v="8.807611"/>
        <n v="0.62016"/>
        <n v="0.558930905020631"/>
        <n v="0.183095708741333"/>
        <n v="0.0386179031088788"/>
        <n v="0.204926250979015"/>
        <n v="0.0144292321501422"/>
        <n v="0.736259000000001"/>
        <n v="0.407091"/>
        <n v="0.150016"/>
        <n v="0.394379"/>
        <n v="0.00951599999999999"/>
        <n v="0.163434000000001"/>
        <n v="0.018914"/>
        <n v="0.361744"/>
        <n v="0.0169250000000001"/>
        <n v="0.0284219999999998"/>
        <n v="0.6"/>
        <n v="0.25"/>
        <n v="0.833333333333333"/>
        <n v="0.365744"/>
        <n v="0.367758"/>
        <n v="12.222928"/>
        <n v="0.372132"/>
        <n v="0.00201399999999999"/>
        <n v="2.896365"/>
        <n v="9.180263"/>
        <n v="0.1463"/>
        <n v="12.234737"/>
        <n v="11.722693"/>
        <n v="0.958148344341198"/>
        <n v="0.0298938996400168"/>
        <n v="0.0119577560187849"/>
        <n v="9.561319"/>
        <n v="2.527118"/>
        <n v="0.781489540805005"/>
        <n v="0.206552703176211"/>
        <n v="12.446503"/>
        <n v="11.927771"/>
        <n v="0.1466"/>
        <n v="0.958323072753849"/>
        <n v="0.0298985184834648"/>
        <n v="0.0117784087626862"/>
        <n v="9.725497"/>
        <n v="2.574406"/>
        <n v="0.78138389554078"/>
        <n v="0.206837695696534"/>
        <n v="0.00350299999999993"/>
        <n v="0.0153119999999995"/>
        <n v="0.00148899999999994"/>
        <n v="0.4"/>
        <n v="29"/>
        <n v="26"/>
        <n v="14"/>
        <n v="24"/>
        <n v="0.208333333333333"/>
        <n v="0.166666666666667"/>
        <n v="0.416666666666667"/>
        <n v="0.0416666666666667"/>
        <n v="0.454545454545455"/>
        <n v="0.133333333333333"/>
        <n v="0.0666666666666667"/>
        <n v="0.827586206896552"/>
        <n v="0.909090909090909"/>
        <n v="0.846153846153846"/>
        <n v="2.244395"/>
        <n v="0.845678"/>
        <n v="0.976221"/>
        <n v="0.422496"/>
        <n v="2.244322"/>
        <n v="0.404576"/>
        <n v="0.994068"/>
        <n v="26.52958"/>
        <n v="2.266345"/>
        <n v="0.99153"/>
        <n v="0.429137"/>
        <n v="0.0178470000000001"/>
        <n v="0.01792"/>
        <n v="11.831711"/>
        <n v="13.552211"/>
        <n v="1.145658"/>
        <n v="26.129362"/>
        <n v="8.185039"/>
        <n v="3.710671"/>
        <n v="5.485672"/>
        <n v="8.325484"/>
        <n v="0.313250625866793"/>
        <n v="0.142011542417301"/>
        <n v="0.20994282217836"/>
        <n v="0.318625613591331"/>
        <n v="0.0161693959462156"/>
        <n v="19.750109"/>
        <n v="2.122198"/>
        <n v="3.016697"/>
        <n v="1.240358"/>
        <n v="0.755858830383995"/>
        <n v="0.0812188984943452"/>
        <n v="0.115452378821955"/>
        <n v="0.0474698922997048"/>
        <n v="26.523026"/>
        <n v="8.309524"/>
        <n v="3.767353"/>
        <n v="5.569945"/>
        <n v="8.447067"/>
        <n v="0.31329471984079"/>
        <n v="0.142040844057537"/>
        <n v="0.210004129996328"/>
        <n v="0.318480515760155"/>
        <n v="0.0161797903451891"/>
        <n v="20.061846"/>
        <n v="2.156854"/>
        <n v="3.062568"/>
        <n v="1.241758"/>
        <n v="0.756393557808977"/>
        <n v="0.0813200575228483"/>
        <n v="0.115468272737809"/>
        <n v="0.0468181119303657"/>
        <n v="0.639119"/>
        <n v="0.238900999999999"/>
        <n v="0.507796"/>
        <n v="0.033498"/>
        <n v="0.0978250000000001"/>
        <n v="0.217910999999999"/>
        <n v="0.020107"/>
        <n v="0.000482999999999993"/>
        <n v="0.0004"/>
        <n v="1.1551"/>
        <n v="1.8607"/>
        <n v="1.1729"/>
        <n v="1.8908"/>
        <n v="0.230769230769231"/>
        <n v="0.384615384615385"/>
        <n v="0.0769230769230769"/>
        <n v="0.444444444444444"/>
        <n v="0.222082"/>
        <n v="0.154561"/>
        <n v="1.36417721"/>
        <n v="0.067521"/>
        <n v="0.854036"/>
        <n v="0.51014121"/>
        <n v="1.37636421"/>
        <n v="0.08557"/>
        <n v="0.302358"/>
        <n v="0.550428"/>
        <n v="0.36899121"/>
        <n v="0.069017"/>
        <n v="0.0621710441017643"/>
        <n v="0.219678772379587"/>
        <n v="0.399914496468925"/>
        <n v="0.268091256165401"/>
        <n v="0.0501444308843224"/>
        <n v="0.85967521"/>
        <n v="0.096053"/>
        <n v="0.317982"/>
        <n v="0.102654"/>
        <n v="0.624598637304003"/>
        <n v="0.0697874874267473"/>
        <n v="0.231030418903438"/>
        <n v="0.0745834563658118"/>
        <n v="0.191735"/>
        <n v="0.070412"/>
        <n v="0.016394"/>
        <n v="0.073194"/>
        <n v="0.031735"/>
      </sharedItems>
    </cacheField>
    <cacheField name="8月" numFmtId="0">
      <sharedItems containsNumber="1" containsMixedTypes="1" count="454">
        <n v="5"/>
        <n v="2"/>
        <n v="1"/>
        <n v="0"/>
        <n v="4"/>
        <n v="3"/>
        <n v="0.25"/>
        <n v="11"/>
        <n v="13"/>
        <n v="0.5"/>
        <n v="0.75"/>
        <n v="33"/>
        <n v="10"/>
        <n v="8"/>
        <n v="14"/>
        <n v="30"/>
        <n v="12"/>
        <n v="27"/>
        <n v="18"/>
        <n v="29"/>
        <n v="9"/>
        <n v="7"/>
        <n v="0.310344827586207"/>
        <n v="0.241379310344828"/>
        <n v="0.172413793103448"/>
        <n v="0.137931034482759"/>
        <n v="0.0689655172413793"/>
        <n v="0.333333333333333"/>
        <n v="0.0344827586206897"/>
        <n v="26"/>
        <n v="0.423076923076923"/>
        <n v="0.307692307692308"/>
        <n v="0.269230769230769"/>
        <n v="23"/>
        <n v="15"/>
        <n v="0.217391304347826"/>
        <n v="0.652173913043478"/>
        <n v="3.71428571428571"/>
        <n v="0.0869565217391304"/>
        <n v="19"/>
        <n v="0.878787878787879"/>
        <n v="0.9"/>
        <n v="0.875"/>
        <n v="0.666666666666667"/>
        <n v="0.153846153846154"/>
        <n v="0.0714285714285714"/>
        <s v=" "/>
        <n v="0.866666666666667"/>
        <n v="0.916666666666667"/>
        <n v="0.8"/>
        <n v="0.851851851851852"/>
        <n v="0.833333333333333"/>
        <n v="7.574789"/>
        <n v="5.230054"/>
        <n v="2.032191"/>
        <n v="0.312544"/>
        <n v="7.001647"/>
        <n v="0.260598"/>
        <n v="7.93138"/>
        <n v="7.353602"/>
        <n v="0.265512"/>
        <n v="0.312266"/>
        <n v="50.927292"/>
        <n v="7.672919"/>
        <n v="5.323008"/>
        <n v="0.31772"/>
        <n v="7.092325"/>
        <n v="0.262874"/>
        <n v="0.356869000000001"/>
        <n v="0.00027800000000002"/>
        <n v="0.351955000000001"/>
        <n v="0.00491399999999999"/>
        <n v="7.619114"/>
        <n v="45.770243"/>
        <n v="5.157049"/>
        <n v="0.394095000000001"/>
        <n v="0.000280999999999995"/>
        <n v="0.389138000000001"/>
        <n v="0.00495700000000002"/>
        <n v="44.096737"/>
        <n v="9.785243"/>
        <n v="4.819998"/>
        <n v="6.413884"/>
        <n v="18.895468"/>
        <n v="1.449824"/>
        <n v="0.035933"/>
        <n v="2.696387"/>
        <n v="0.221904015256276"/>
        <n v="0.109305094388276"/>
        <n v="0.145450308488812"/>
        <n v="0.428500367272073"/>
        <n v="0.03287826035745"/>
        <n v="0.000814867549043368"/>
        <n v="0.0611470866880695"/>
        <n v="20.216815"/>
        <n v="12.521112"/>
        <n v="2.76561"/>
        <n v="8.5932"/>
        <n v="0.458465101397412"/>
        <n v="0.283946451638814"/>
        <n v="0.0627168853786166"/>
        <n v="0.194871561585158"/>
        <n v="44.634276"/>
        <n v="9.95452"/>
        <n v="4.875618"/>
        <n v="6.484803"/>
        <n v="19.065985"/>
        <n v="1.471491"/>
        <n v="2.745926"/>
        <n v="0.223024117160543"/>
        <n v="0.109234840058792"/>
        <n v="0.145287514017254"/>
        <n v="0.42716017170302"/>
        <n v="0.032967735378972"/>
        <n v="0.000805053945537282"/>
        <n v="0.0615205677358808"/>
        <n v="20.498632"/>
        <n v="12.614078"/>
        <n v="2.811834"/>
        <n v="8.709732"/>
        <n v="0.459257634200228"/>
        <n v="0.282609669752457"/>
        <n v="0.0629971907688163"/>
        <n v="0.195135505278499"/>
        <n v="7.002013"/>
        <n v="0.171458"/>
        <n v="2.394585"/>
        <n v="4.236566"/>
        <n v="0.036274"/>
        <n v="0.334588"/>
        <n v="0.0897410000000002"/>
        <n v="0.0715509999999999"/>
        <n v="0.0101659999999999"/>
        <n v="7.129337"/>
        <n v="0.175729"/>
        <n v="2.500535"/>
        <n v="4.249876"/>
        <n v="0.0430139999999999"/>
        <n v="0.335912"/>
        <n v="0.0932860000000001"/>
        <n v="0.072153"/>
        <n v="0.0102899999999999"/>
        <s v=""/>
        <n v="1.542649"/>
        <n v="1.6871"/>
        <n v="1.716569"/>
        <n v="0.144451"/>
        <n v="6"/>
        <n v="24"/>
        <n v="31"/>
        <n v="0.290322580645161"/>
        <n v="0.32258064516129"/>
        <n v="0.0967741935483871"/>
        <n v="0.161290322580645"/>
        <n v="0.0645161290322581"/>
        <n v="28"/>
        <n v="0.392857142857143"/>
        <n v="0.214285714285714"/>
        <n v="0.478260869565217"/>
        <n v="0.347826086956522"/>
        <n v="0.173913043478261"/>
        <n v="20"/>
        <n v="0.93939393939394"/>
        <n v="0.0666666666666667"/>
        <n v="0.272727272727273"/>
        <n v="0.933333333333333"/>
        <n v="0.857142857142857"/>
        <n v="0.958333333333333"/>
        <n v="0.888888888888889"/>
        <n v="4.075848"/>
        <n v="1.601892"/>
        <n v="1.256626"/>
        <n v="1.21733"/>
        <n v="1.58014"/>
        <n v="1.779672"/>
        <n v="0.716036"/>
        <n v="4.190835"/>
        <n v="1.585799"/>
        <n v="1.837541"/>
        <n v="0.767495"/>
        <n v="46.92604"/>
        <n v="4.134255"/>
        <n v="1.625532"/>
        <n v="1.276148"/>
        <n v="1.232575"/>
        <n v="1.60465"/>
        <n v="1.802325"/>
        <n v="0.72728"/>
        <n v="0.115628"/>
        <n v="0.000640999999999986"/>
        <n v="0.0063"/>
        <n v="0.0578690000000002"/>
        <n v="0.051459"/>
        <n v="3.151926"/>
        <n v="1.038909"/>
        <n v="27.012716"/>
        <n v="19.61333"/>
        <n v="0.299994"/>
        <n v="46.481885"/>
        <n v="8.145408"/>
        <n v="6.425587"/>
        <n v="2.516195"/>
        <n v="24.489593"/>
        <n v="1.674261"/>
        <n v="3.230841"/>
        <n v="0.17523833209432"/>
        <n v="0.138238520232129"/>
        <n v="0.0541328089426666"/>
        <n v="0.526863164004644"/>
        <n v="0.0360196450724836"/>
        <n v="0.0695075296537565"/>
        <n v="25.280677"/>
        <n v="9.532959"/>
        <n v="2.351227"/>
        <n v="8.701698"/>
        <n v="0.615324"/>
        <n v="0.543882353308176"/>
        <n v="0.205089767766518"/>
        <n v="0.0505837274026215"/>
        <n v="0.187206220229666"/>
        <n v="0.0132379312930188"/>
        <n v="47.113673"/>
        <n v="8.26913"/>
        <n v="6.519891"/>
        <n v="2.551785"/>
        <n v="24.793557"/>
        <n v="1.700442"/>
        <n v="3.278868"/>
        <n v="0.175514441423406"/>
        <n v="0.138386387323272"/>
        <n v="0.0541623023108387"/>
        <n v="0.526249715236594"/>
        <n v="0.0360923250454279"/>
        <n v="0.0695948286604613"/>
        <n v="25.627175"/>
        <n v="9.671672"/>
        <n v="2.387055"/>
        <n v="8.807611"/>
        <n v="0.62016"/>
        <n v="0.543943474753072"/>
        <n v="0.205283761255464"/>
        <n v="0.0506658650876148"/>
        <n v="0.1869438411223"/>
        <n v="0.0131630577815489"/>
        <n v="0.851887000000001"/>
        <n v="0.407732"/>
        <n v="0.156316"/>
        <n v="0.452248"/>
        <n v="0.060975"/>
        <n v="0.163434000000001"/>
        <n v="0.018914"/>
        <n v="0.362385"/>
        <n v="0.0169250000000001"/>
        <n v="0.0284219999999998"/>
        <n v="0.166666666666667"/>
        <n v="0.2"/>
        <n v="0.6"/>
        <n v="0.4"/>
        <n v="4.969973"/>
        <n v="4.977"/>
        <n v="17.199928"/>
        <n v="5.06199"/>
        <n v="0.00702699999999968"/>
        <n v="7.873365"/>
        <n v="9.180263"/>
        <n v="0.1463"/>
        <n v="17.20471"/>
        <n v="11.722693"/>
        <n v="0.365744"/>
        <n v="0.681365335422684"/>
        <n v="0.0212583647152437"/>
        <n v="0.00850348538278181"/>
        <n v="0.288872814479291"/>
        <n v="14.531292"/>
        <n v="2.527118"/>
        <n v="0.844611272145825"/>
        <n v="0.146885242471393"/>
        <n v="17.508493"/>
        <n v="11.927771"/>
        <n v="0.372132"/>
        <n v="0.1466"/>
        <n v="0.68125629087552"/>
        <n v="0.0212543706645683"/>
        <n v="0.00837307928215181"/>
        <n v="0.28911625917776"/>
        <n v="14.787487"/>
        <n v="2.574406"/>
        <n v="0.844589365858044"/>
        <n v="0.147037554859804"/>
        <n v="0.0105299999999996"/>
        <n v="0.0153119999999995"/>
        <n v="0.00904099999999967"/>
        <n v="0.00148899999999994"/>
        <n v="34"/>
        <n v="17"/>
        <n v="25"/>
        <n v="32"/>
        <n v="0.1875"/>
        <n v="0.40625"/>
        <n v="0.125"/>
        <n v="0.03125"/>
        <n v="0.0625"/>
        <n v="0.448275862068966"/>
        <n v="16"/>
        <n v="0.941176470588235"/>
        <n v="0.117647058823529"/>
        <n v="0.142857142857143"/>
        <n v="0.935483870967742"/>
        <n v="0.928571428571429"/>
        <n v="0.92"/>
        <n v="0.882352941176471"/>
        <n v="6.403502"/>
        <n v="0.276346"/>
        <n v="2.954296"/>
        <n v="2.495087"/>
        <n v="0.677773"/>
        <n v="0.922871"/>
        <n v="1.959278"/>
        <n v="0.567057"/>
        <n v="6.523382"/>
        <n v="0.955755"/>
        <n v="3.010255"/>
        <n v="1.957834"/>
        <n v="0.599538"/>
        <n v="33.052962"/>
        <n v="6.491925"/>
        <n v="0.279657"/>
        <n v="2.998507"/>
        <n v="2.534248"/>
        <n v="0.679513"/>
        <n v="0.936344"/>
        <n v="1.990017"/>
        <n v="0.130188"/>
        <n v="0.0103080000000001"/>
        <n v="0.0372669999999999"/>
        <n v="0.0595040000000001"/>
        <n v="0.000936000000000058"/>
        <n v="0.032481"/>
        <n v="0.00438299999999999"/>
        <n v="0.00354500000000003"/>
        <n v="0.00238000000000011"/>
        <n v="4.866013"/>
        <n v="1.657369"/>
        <n v="16.697724"/>
        <n v="15.20958"/>
        <n v="1.145658"/>
        <n v="32.532864"/>
        <n v="8.461385"/>
        <n v="6.664967"/>
        <n v="7.980759"/>
        <n v="8.325484"/>
        <n v="0.422496"/>
        <n v="0.260087307407058"/>
        <n v="0.204868744417952"/>
        <n v="0.245313754116453"/>
        <n v="0.255909962307653"/>
        <n v="0.0129867447268092"/>
        <n v="0.0208334870240751"/>
        <n v="20.67298"/>
        <n v="5.076494"/>
        <n v="4.975975"/>
        <n v="1.240358"/>
        <n v="0.635449126151328"/>
        <n v="0.156042025688239"/>
        <n v="0.152952257753882"/>
        <n v="0.0381263082155939"/>
        <n v="0.0174302821909562"/>
        <n v="33.014951"/>
        <n v="8.589181"/>
        <n v="6.76586"/>
        <n v="8.104193"/>
        <n v="8.447067"/>
        <n v="0.429137"/>
        <n v="0.260160343718214"/>
        <n v="0.204933213440177"/>
        <n v="0.24547039309554"/>
        <n v="0.255855809084799"/>
        <n v="0.012998262514459"/>
        <n v="0.0205819781468099"/>
        <n v="20.99819"/>
        <n v="5.155361"/>
        <n v="5.052585"/>
        <n v="1.241758"/>
        <n v="0.636020631985793"/>
        <n v="0.156152314143977"/>
        <n v="0.153039300285498"/>
        <n v="0.0376119897921399"/>
        <n v="0.017175763792592"/>
        <n v="0.769307"/>
        <n v="0.249208999999999"/>
        <n v="0.545063"/>
        <n v="0.0930020000000001"/>
        <n v="0.0987610000000002"/>
        <n v="0.222293999999999"/>
        <n v="0.023652"/>
        <n v="0.0028630000000001"/>
        <n v="0.0004"/>
        <n v="1.27542"/>
        <n v="0.0889"/>
        <n v="1.18652"/>
        <n v="3.13612"/>
        <n v="1.29703"/>
        <n v="0.0903"/>
        <n v="1.20673"/>
        <n v="1.8607"/>
        <n v="0.0283471295741234"/>
        <n v="0.593312755889443"/>
        <n v="0.378340114536434"/>
        <n v="3.18783"/>
        <n v="1.8908"/>
        <n v="0.0283264791409831"/>
        <n v="0.593130750385058"/>
        <n v="0.378542770473959"/>
        <n v="0.3125"/>
        <n v="0.133333333333333"/>
        <n v="0.165263"/>
        <n v="0.125122"/>
        <n v="0.040141"/>
        <n v="0.036892"/>
        <n v="0.128371"/>
        <n v="0.588806"/>
        <n v="0.447519"/>
        <n v="0.141287"/>
        <n v="1.95298321"/>
        <n v="0.423543"/>
        <n v="0.410627"/>
        <n v="0.012916"/>
        <n v="1.442842"/>
        <n v="0.51014121"/>
        <n v="1.54162721"/>
        <n v="0.08557"/>
        <n v="0.42748"/>
        <n v="0.550428"/>
        <n v="0.36899121"/>
        <n v="0.069017"/>
        <n v="0.055506285465732"/>
        <n v="0.27729142118606"/>
        <n v="0.35704351637644"/>
        <n v="0.0260380718111482"/>
        <n v="0.239351775582633"/>
        <n v="0.0447689295779879"/>
        <n v="0.89656721"/>
        <n v="0.224424"/>
        <n v="0.317982"/>
        <n v="0.102654"/>
        <n v="0.581571993659868"/>
        <n v="0.14557605012693"/>
        <n v="0.206263873611831"/>
        <n v="0.0665880826013703"/>
        <n v="0.615278"/>
        <n v="0.481039"/>
        <n v="0.02931"/>
        <n v="0.073194"/>
        <n v="0.031735"/>
      </sharedItems>
    </cacheField>
    <cacheField name="9月" numFmtId="0">
      <sharedItems containsNumber="1" containsMixedTypes="1" count="490">
        <n v="5"/>
        <n v="3"/>
        <n v="0"/>
        <n v="2"/>
        <n v="4"/>
        <n v="1"/>
        <n v="0.4"/>
        <n v="0.2"/>
        <n v="16"/>
        <n v="15"/>
        <n v="0.6"/>
        <n v="38"/>
        <n v="13"/>
        <n v="8"/>
        <n v="7"/>
        <n v="17"/>
        <n v="35"/>
        <n v="10"/>
        <n v="32"/>
        <n v="21"/>
        <n v="33"/>
        <n v="11"/>
        <n v="0.333333333333333"/>
        <n v="0.242424242424242"/>
        <n v="0.151515151515152"/>
        <n v="0.121212121212121"/>
        <n v="0.0909090909090909"/>
        <n v="0.0303030303030303"/>
        <n v="30"/>
        <n v="0.433333333333333"/>
        <n v="0.233333333333333"/>
        <n v="27"/>
        <n v="19"/>
        <n v="0.185185185185185"/>
        <n v="0.703703703703704"/>
        <n v="4.28571428571429"/>
        <n v="0.0740740740740741"/>
        <n v="12"/>
        <n v="9"/>
        <n v="6"/>
        <n v="0.868421052631579"/>
        <n v="0.846153846153846"/>
        <n v="0.714285714285714"/>
        <n v="0.5"/>
        <n v="0.0588235294117647"/>
        <s v=" "/>
        <n v="0.857142857142857"/>
        <n v="0.866666666666667"/>
        <n v="0.7"/>
        <n v="0.84375"/>
        <n v="0.904761904761905"/>
        <n v="4.446956"/>
        <n v="2.53191"/>
        <n v="1.344588"/>
        <n v="0.570458"/>
        <n v="2.820375"/>
        <n v="1.056123"/>
        <n v="4.580866"/>
        <n v="2.904875"/>
        <n v="1.043273"/>
        <n v="0.632718"/>
        <n v="55.508158"/>
        <n v="4.523436"/>
        <n v="2.575715"/>
        <n v="1.367634"/>
        <n v="0.580087"/>
        <n v="2.868932"/>
        <n v="1.074417"/>
        <n v="0.195578"/>
        <n v="0.0616679999999999"/>
        <n v="0.133318"/>
        <n v="0.06226"/>
        <n v="0.0488179999999999"/>
        <n v="0.01285"/>
        <n v="2.241823"/>
        <n v="2.339043"/>
        <n v="48.012066"/>
        <n v="7.496092"/>
        <n v="0.198853"/>
        <n v="0.066649"/>
        <n v="0.135514"/>
        <n v="0.063339"/>
        <n v="0.0536549999999999"/>
        <n v="0.0129940000000001"/>
        <n v="48.543693"/>
        <n v="12.317153"/>
        <n v="6.164586"/>
        <n v="6.413884"/>
        <n v="18.895468"/>
        <n v="2.020282"/>
        <n v="0.035933"/>
        <n v="2.696387"/>
        <n v="0.253733332567013"/>
        <n v="0.126990461974123"/>
        <n v="0.132126000384849"/>
        <n v="0.389246611295107"/>
        <n v="0.0416178060453703"/>
        <n v="0.000740219743891343"/>
        <n v="0.0555455679896459"/>
        <n v="23.03719"/>
        <n v="13.577235"/>
        <n v="3.336068"/>
        <n v="8.5932"/>
        <n v="0.474566078027891"/>
        <n v="0.279691019799421"/>
        <n v="0.0687229955907969"/>
        <n v="0.177019906581891"/>
        <n v="49.157712"/>
        <n v="12.530235"/>
        <n v="6.243252"/>
        <n v="6.484803"/>
        <n v="19.065985"/>
        <n v="2.051578"/>
        <n v="2.745926"/>
        <n v="0.254898661678965"/>
        <n v="0.127004527794133"/>
        <n v="0.131918324433"/>
        <n v="0.387853385039564"/>
        <n v="0.0417346112447219"/>
        <n v="0.000730973809358743"/>
        <n v="0.0558595160002565"/>
        <n v="23.367564"/>
        <n v="13.688495"/>
        <n v="3.391921"/>
        <n v="8.709732"/>
        <n v="0.475359064718065"/>
        <n v="0.278460783528737"/>
        <n v="0.0690007907609695"/>
        <n v="0.177179360992228"/>
        <n v="7.197591"/>
        <n v="0.233126"/>
        <n v="2.527903"/>
        <n v="4.236566"/>
        <n v="0.098534"/>
        <n v="0.334588"/>
        <n v="0.138559"/>
        <n v="0.0844009999999999"/>
        <n v="0.0101659999999999"/>
        <n v="7.32819"/>
        <n v="0.242378"/>
        <n v="2.636049"/>
        <n v="4.249876"/>
        <n v="0.106353"/>
        <n v="0.335912"/>
        <n v="0.146941"/>
        <n v="0.085147"/>
        <n v="0.0102899999999999"/>
        <s v=""/>
        <n v="0.666666666666667"/>
        <n v="0.137758"/>
        <n v="0.120687"/>
        <n v="1.663336"/>
        <n v="0.139082"/>
        <n v="0.017071"/>
        <n v="1.824858"/>
        <n v="1.6871"/>
        <n v="0.924510290663712"/>
        <n v="0.0754897093362881"/>
        <n v="1.855651"/>
        <n v="1.716569"/>
        <n v="0.925049483981632"/>
        <n v="0.0749505160183677"/>
        <n v="0.161522"/>
        <n v="14"/>
        <n v="37"/>
        <n v="34"/>
        <n v="28"/>
        <n v="0.285714285714286"/>
        <n v="0.142857142857143"/>
        <n v="0.0857142857142857"/>
        <n v="0.0571428571428571"/>
        <n v="0.375"/>
        <n v="0.25"/>
        <n v="26"/>
        <n v="0.423076923076923"/>
        <n v="0.153846153846154"/>
        <n v="24"/>
        <n v="0.945945945945946"/>
        <n v="0.909090909090909"/>
        <n v="0.125"/>
        <n v="0.0833333333333333"/>
        <n v="0.166666666666667"/>
        <n v="0.941176470588235"/>
        <n v="0.923076923076923"/>
        <n v="0.928571428571429"/>
        <n v="0.916666666666667"/>
        <n v="3.550466"/>
        <n v="1.699608"/>
        <n v="0.698154"/>
        <n v="1.152704"/>
        <n v="2.852312"/>
        <n v="0.467092"/>
        <n v="0.231062"/>
        <n v="3.660584"/>
        <n v="2.945991"/>
        <n v="0.472054"/>
        <n v="0.242539"/>
        <n v="50.586624"/>
        <n v="3.60464"/>
        <n v="1.726265"/>
        <n v="0.707975"/>
        <n v="1.1704"/>
        <n v="2.896665"/>
        <n v="0.474434"/>
        <n v="0.233541"/>
        <n v="0.110118"/>
        <n v="0.0936789999999999"/>
        <n v="0.00496199999999999"/>
        <n v="0.011477"/>
        <n v="30.6733"/>
        <n v="19.61333"/>
        <n v="0.299994"/>
        <n v="50.032351"/>
        <n v="9.845016"/>
        <n v="6.425587"/>
        <n v="3.214349"/>
        <n v="24.489593"/>
        <n v="2.826965"/>
        <n v="3.230841"/>
        <n v="0.196773003930997"/>
        <n v="0.128428644098695"/>
        <n v="0.0642454119335707"/>
        <n v="0.489475159782118"/>
        <n v="0.0565027415961325"/>
        <n v="0.0645750386584872"/>
        <n v="28.132989"/>
        <n v="10.000051"/>
        <n v="2.582289"/>
        <n v="8.701698"/>
        <n v="0.615324"/>
        <n v="0.562295963265848"/>
        <n v="0.199871699013304"/>
        <n v="0.0516123857541693"/>
        <n v="0.173921429356778"/>
        <n v="0.0122985226099009"/>
        <n v="50.718313"/>
        <n v="9.995395"/>
        <n v="6.519891"/>
        <n v="3.25976"/>
        <n v="24.793557"/>
        <n v="2.870842"/>
        <n v="3.278868"/>
        <n v="0.1970766456684"/>
        <n v="0.12855102258626"/>
        <n v="0.0642718538370943"/>
        <n v="0.488848219379852"/>
        <n v="0.0566036571445111"/>
        <n v="0.0646486013838828"/>
        <n v="28.52384"/>
        <n v="10.146106"/>
        <n v="2.620596"/>
        <n v="8.807611"/>
        <n v="0.62016"/>
        <n v="0.562397254814055"/>
        <n v="0.200048175892601"/>
        <n v="0.0516696207935781"/>
        <n v="0.173657412461649"/>
        <n v="0.012227536038117"/>
        <n v="0.962005000000001"/>
        <n v="0.407732"/>
        <n v="0.249995"/>
        <n v="0.45721"/>
        <n v="0.072452"/>
        <n v="0.163434000000001"/>
        <n v="0.018914"/>
        <n v="0.362385"/>
        <n v="0.0169250000000001"/>
        <n v="0.0284219999999998"/>
        <n v="0.111111111111111"/>
        <n v="0.444444444444444"/>
        <n v="0.222222222222222"/>
        <n v="0.625"/>
        <n v="4.717058"/>
        <n v="0.306879"/>
        <n v="0.372538"/>
        <n v="4.037641"/>
        <n v="4.34452"/>
        <n v="4.723804"/>
        <n v="4.351266"/>
        <n v="21.923732"/>
        <n v="4.788995"/>
        <n v="0.309463"/>
        <n v="0.375675"/>
        <n v="4.103857"/>
        <n v="4.41332"/>
        <n v="0.00674599999999991"/>
        <n v="4.044387"/>
        <n v="0.679417"/>
        <n v="11.917752"/>
        <n v="9.180263"/>
        <n v="0.825717"/>
        <n v="21.921768"/>
        <n v="12.095231"/>
        <n v="0.365744"/>
        <n v="4.183941"/>
        <n v="4.969973"/>
        <n v="0.0139988252772313"/>
        <n v="0.551745233322422"/>
        <n v="0.0166840557750634"/>
        <n v="0.190857826795722"/>
        <n v="0.226714058829562"/>
        <n v="18.875812"/>
        <n v="2.527118"/>
        <n v="0.518838"/>
        <n v="0.861053360294662"/>
        <n v="0.115278931881772"/>
        <n v="0.0236677078235661"/>
        <n v="22.297488"/>
        <n v="12.303446"/>
        <n v="0.372132"/>
        <n v="4.250457"/>
        <n v="5.06199"/>
        <n v="0.0138788279648362"/>
        <n v="0.551786192238336"/>
        <n v="0.0166894136236333"/>
        <n v="0.190624926000633"/>
        <n v="0.227020640172561"/>
        <n v="19.200807"/>
        <n v="2.574406"/>
        <n v="0.522275"/>
        <n v="0.861119736895923"/>
        <n v="0.115457221010726"/>
        <n v="0.0234230420933515"/>
        <n v="0.0172759999999995"/>
        <n v="0.0153119999999995"/>
        <n v="0.0157869999999996"/>
        <n v="0.00148899999999994"/>
        <n v="18"/>
        <n v="41"/>
        <n v="0.189189189189189"/>
        <n v="0.405405405405405"/>
        <n v="0.135135135135135"/>
        <n v="0.027027027027027"/>
        <n v="0.0540540540540541"/>
        <n v="0.235294117647059"/>
        <n v="0.294117647058824"/>
        <n v="0.470588235294118"/>
        <n v="0.642857142857143"/>
        <n v="0.178571428571429"/>
        <n v="20"/>
        <n v="0.902439024390244"/>
        <n v="0.777777777777778"/>
        <n v="0.0526315789473684"/>
        <n v="0.894736842105263"/>
        <n v="0.8"/>
        <n v="0.833333333333333"/>
        <n v="0.933333333333333"/>
        <n v="7.206821"/>
        <n v="0.945951"/>
        <n v="0.497008"/>
        <n v="1.343366"/>
        <n v="4.420496"/>
        <n v="5.153893"/>
        <n v="1.106977"/>
        <n v="7.264339"/>
        <n v="5.315115"/>
        <n v="0.913188"/>
        <n v="1.036036"/>
        <n v="40.317301"/>
        <n v="7.302446"/>
        <n v="0.96082"/>
        <n v="0.503693"/>
        <n v="1.36453"/>
        <n v="4.473403"/>
        <n v="5.21951"/>
        <n v="1.122116"/>
        <n v="0.161575"/>
        <n v="0.104057"/>
        <n v="0.000353000000000066"/>
        <n v="0.0327630000000001"/>
        <n v="0.0709409999999999"/>
        <n v="4.582071"/>
        <n v="2.682268"/>
        <n v="21.279795"/>
        <n v="17.891848"/>
        <n v="1.145658"/>
        <n v="39.739685"/>
        <n v="9.407336"/>
        <n v="7.161975"/>
        <n v="9.324125"/>
        <n v="12.74598"/>
        <n v="0.422496"/>
        <n v="0.677773"/>
        <n v="0.236723970006305"/>
        <n v="0.180222238802346"/>
        <n v="0.234630068154793"/>
        <n v="0.320736815100573"/>
        <n v="0.0106315890526057"/>
        <n v="0.0170553188833782"/>
        <n v="25.826873"/>
        <n v="6.022445"/>
        <n v="6.082952"/>
        <n v="1.240358"/>
        <n v="0.567057"/>
        <n v="0.649901301432057"/>
        <n v="0.151547376382072"/>
        <n v="0.153069960167022"/>
        <n v="0.0312120742778912"/>
        <n v="0.0142692877409572"/>
        <n v="40.317397"/>
        <n v="9.550001"/>
        <n v="7.269553"/>
        <n v="9.468723"/>
        <n v="12.92047"/>
        <n v="0.429137"/>
        <n v="0.679513"/>
        <n v="0.236870475541861"/>
        <n v="0.180308093798813"/>
        <n v="0.234854521982161"/>
        <n v="0.320468853681204"/>
        <n v="0.0106439659286536"/>
        <n v="0.0168540890673076"/>
        <n v="26.2177"/>
        <n v="6.116181"/>
        <n v="6.174701"/>
        <n v="1.241758"/>
        <n v="0.650282556683905"/>
        <n v="0.151700790604116"/>
        <n v="0.15315227319859"/>
        <n v="0.0307995578186757"/>
        <n v="0.0140648216947141"/>
        <n v="0.930882"/>
        <n v="0.353265999999999"/>
        <n v="0.706638"/>
        <n v="0.0930020000000001"/>
        <n v="0.0987610000000002"/>
        <n v="0.032481"/>
        <n v="0.222646999999999"/>
        <n v="0.0564150000000001"/>
        <n v="0.073804"/>
        <n v="0.0004"/>
        <n v="1.369765"/>
        <n v="0.469865"/>
        <n v="0.8999"/>
        <n v="4.505885"/>
        <n v="1.392651"/>
        <n v="0.477251"/>
        <n v="0.9154"/>
        <n v="4.03602"/>
        <n v="0.104278071899305"/>
        <n v="0.895721928100695"/>
        <n v="0.9888"/>
        <n v="1.8607"/>
        <n v="1.656385"/>
        <n v="0.219446346278256"/>
        <n v="0.412948843567912"/>
        <n v="0.367604810153832"/>
        <n v="4.580481"/>
        <n v="4.10323"/>
        <n v="0.104192332639301"/>
        <n v="0.895807667360699"/>
        <n v="1.0057"/>
        <n v="1.8908"/>
        <n v="1.683981"/>
        <n v="0.219562094024623"/>
        <n v="0.412795075451683"/>
        <n v="0.367642830523694"/>
        <n v="0.3125"/>
        <n v="0.0625"/>
        <n v="0.133333333333333"/>
        <n v="0.789473684210526"/>
        <n v="1.95298321"/>
        <n v="1.442842"/>
        <n v="0.51014121"/>
        <n v="1.54162721"/>
        <n v="0.08557"/>
        <n v="0.42748"/>
        <n v="0.550428"/>
        <n v="0.040141"/>
        <n v="0.36899121"/>
        <n v="0.069017"/>
        <n v="0.055506285465732"/>
        <n v="0.27729142118606"/>
        <n v="0.35704351637644"/>
        <n v="0.0260380718111482"/>
        <n v="0.239351775582633"/>
        <n v="0.0447689295779879"/>
        <n v="0.89656721"/>
        <n v="0.224424"/>
        <n v="0.317982"/>
        <n v="0.102654"/>
        <n v="0.581571993659868"/>
        <n v="0.14557605012693"/>
        <n v="0.206263873611831"/>
        <n v="0.0665880826013703"/>
        <n v="0.615278"/>
        <n v="0.481039"/>
        <n v="0.02931"/>
        <n v="0.073194"/>
        <n v="0.031735"/>
      </sharedItems>
    </cacheField>
    <cacheField name="10月" numFmtId="0">
      <sharedItems containsNumber="1" containsMixedTypes="1" count="502">
        <n v="7"/>
        <n v="0"/>
        <n v="5"/>
        <n v="1"/>
        <n v="2"/>
        <n v="3"/>
        <n v="11"/>
        <n v="0.0909090909090909"/>
        <n v="0.454545454545455"/>
        <n v="0.272727272727273"/>
        <n v="17"/>
        <n v="10"/>
        <n v="4"/>
        <n v="0.363636363636364"/>
        <n v="45"/>
        <n v="13"/>
        <n v="8"/>
        <n v="42"/>
        <n v="15"/>
        <n v="12"/>
        <n v="39"/>
        <n v="23"/>
        <n v="34"/>
        <n v="0.352941176470588"/>
        <n v="0.235294117647059"/>
        <n v="0.147058823529412"/>
        <n v="0.117647058823529"/>
        <n v="0.0882352941176471"/>
        <n v="0.142857142857143"/>
        <n v="0.0294117647058824"/>
        <n v="31"/>
        <n v="14"/>
        <n v="0.451612903225806"/>
        <n v="0.32258064516129"/>
        <n v="0.225806451612903"/>
        <n v="28"/>
        <n v="19"/>
        <n v="0.178571428571429"/>
        <n v="0.678571428571429"/>
        <n v="4.42857142857143"/>
        <n v="0.107142857142857"/>
        <n v="21"/>
        <n v="9"/>
        <n v="6"/>
        <n v="0.755555555555556"/>
        <n v="0.923076923076923"/>
        <n v="0.615384615384615"/>
        <n v="0.625"/>
        <n v="0.8"/>
        <n v="0.5"/>
        <s v=" "/>
        <n v="0.738095238095238"/>
        <n v="0.933333333333333"/>
        <n v="0.666666666666667"/>
        <n v="0.583333333333333"/>
        <n v="0.717948717948718"/>
        <n v="0.826086956521739"/>
        <n v="0.428571428571429"/>
        <n v="0.205245"/>
        <n v="0.205017"/>
        <n v="55.713175"/>
        <n v="0.207209"/>
        <n v="0.000227999999999975"/>
        <n v="48.012066"/>
        <n v="7.701109"/>
        <n v="0.000230000000000018"/>
        <n v="48.748938"/>
        <n v="12.522398"/>
        <n v="6.164586"/>
        <n v="6.413884"/>
        <n v="18.895468"/>
        <n v="2.020282"/>
        <n v="0.035933"/>
        <n v="2.696387"/>
        <n v="0.256875298493682"/>
        <n v="0.126455800944833"/>
        <n v="0.131569717477743"/>
        <n v="0.387607787476314"/>
        <n v="0.0414425848620538"/>
        <n v="0.000737103236997696"/>
        <n v="0.0553117075083769"/>
        <n v="23.242435"/>
        <n v="13.577235"/>
        <n v="3.336068"/>
        <n v="8.5932"/>
        <n v="0.476778283867435"/>
        <n v="0.278513451923814"/>
        <n v="0.0684336549034155"/>
        <n v="0.176274609305335"/>
        <n v="49.364921"/>
        <n v="12.737444"/>
        <n v="6.243252"/>
        <n v="6.484803"/>
        <n v="19.065985"/>
        <n v="2.051578"/>
        <n v="2.745926"/>
        <n v="0.258026220684117"/>
        <n v="0.126471426947083"/>
        <n v="0.13136459795003"/>
        <n v="0.386225372466412"/>
        <n v="0.0415594304303657"/>
        <n v="0.000727905550583176"/>
        <n v="0.0556250459714095"/>
        <n v="23.574773"/>
        <n v="13.688495"/>
        <n v="3.391921"/>
        <n v="8.709732"/>
        <n v="0.477561242324281"/>
        <n v="0.277291945833358"/>
        <n v="0.0687111602994361"/>
        <n v="0.176435651542925"/>
        <n v="7.197591"/>
        <n v="0.233354"/>
        <n v="2.527903"/>
        <n v="4.236566"/>
        <n v="0.098534"/>
        <n v="0.334588"/>
        <n v="0.138787"/>
        <n v="0.0844009999999999"/>
        <n v="0.0101659999999999"/>
        <n v="7.32819"/>
        <n v="0.242608"/>
        <n v="2.636049"/>
        <n v="4.249876"/>
        <n v="0.106353"/>
        <n v="0.335912"/>
        <n v="0.147171"/>
        <n v="0.085147"/>
        <n v="0.0102899999999999"/>
        <s v=""/>
        <n v="0.4"/>
        <n v="0.2"/>
        <n v="0.6"/>
        <n v="0.333333333333333"/>
        <n v="2.1498"/>
        <n v="1.271217"/>
        <n v="0.878583"/>
        <n v="0.218586"/>
        <n v="1.931214"/>
        <n v="2.208588"/>
        <n v="0.220053"/>
        <n v="1.988535"/>
        <n v="3.871924"/>
        <n v="2.188053"/>
        <n v="1.293029"/>
        <n v="0.895024"/>
        <n v="0.222023"/>
        <n v="1.96603"/>
        <n v="0.0587880000000001"/>
        <n v="0.00146700000000001"/>
        <n v="0.0573210000000001"/>
        <n v="1.663336"/>
        <n v="3.974658"/>
        <n v="2.565683"/>
        <n v="0.137758"/>
        <n v="0.319830536363129"/>
        <n v="0.645510381018946"/>
        <n v="0.0346590826179259"/>
        <n v="2.043444"/>
        <n v="0.514118195829679"/>
        <n v="0.485881804170321"/>
        <n v="4.043704"/>
        <n v="2.611593"/>
        <n v="0.139082"/>
        <n v="0.3197635138477"/>
        <n v="0.645841782682412"/>
        <n v="0.034394703469888"/>
        <n v="2.077674"/>
        <n v="0.513804670173682"/>
        <n v="0.486195329826318"/>
        <n v="0.161522"/>
        <n v="16"/>
        <n v="40"/>
        <n v="37"/>
        <n v="30"/>
        <n v="0.282051282051282"/>
        <n v="0.17948717948718"/>
        <n v="0.128205128205128"/>
        <n v="0.0769230769230769"/>
        <n v="0.0512820512820513"/>
        <n v="36"/>
        <n v="0.361111111111111"/>
        <n v="0.277777777777778"/>
        <n v="27"/>
        <n v="0.975"/>
        <n v="0.916666666666667"/>
        <n v="0.0588235294117647"/>
        <n v="0.972972972972973"/>
        <n v="0.928571428571429"/>
        <n v="2.406417"/>
        <n v="0.3591"/>
        <n v="0.889364"/>
        <n v="1.157953"/>
        <n v="0.736945"/>
        <n v="1.310372"/>
        <n v="2.458989"/>
        <n v="0.777922"/>
        <n v="0.367408"/>
        <n v="1.313659"/>
        <n v="53.045613"/>
        <n v="2.441733"/>
        <n v="0.363845"/>
        <n v="0.903125"/>
        <n v="1.174763"/>
        <n v="0.748529"/>
        <n v="1.329359"/>
        <n v="0.057938"/>
        <n v="0.00536599999999999"/>
        <n v="0.040977"/>
        <n v="0.00830799999999999"/>
        <n v="0.00865299999999998"/>
        <n v="1.574991"/>
        <n v="0.883998"/>
        <n v="32.248291"/>
        <n v="20.497328"/>
        <n v="0.299994"/>
        <n v="52.438768"/>
        <n v="10.204116"/>
        <n v="7.314951"/>
        <n v="4.372302"/>
        <n v="24.489593"/>
        <n v="2.826965"/>
        <n v="3.230841"/>
        <n v="0.194591070484341"/>
        <n v="0.139495096452304"/>
        <n v="0.0833791899916489"/>
        <n v="0.46701312662418"/>
        <n v="0.0539098286977299"/>
        <n v="0.0616116877497961"/>
        <n v="28.869934"/>
        <n v="10.359151"/>
        <n v="3.892661"/>
        <n v="8.701698"/>
        <n v="0.615324"/>
        <n v="0.550545619225837"/>
        <n v="0.197547566334892"/>
        <n v="0.0742325029451493"/>
        <n v="0.165940168540954"/>
        <n v="0.0117341429531678"/>
        <n v="53.160046"/>
        <n v="10.35924"/>
        <n v="7.423016"/>
        <n v="4.434523"/>
        <n v="24.793557"/>
        <n v="2.870842"/>
        <n v="3.278868"/>
        <n v="0.194868905869645"/>
        <n v="0.139635244107953"/>
        <n v="0.0834183439194165"/>
        <n v="0.466394573849691"/>
        <n v="0.054003753119401"/>
        <n v="0.0616791791338931"/>
        <n v="29.272369"/>
        <n v="10.509951"/>
        <n v="3.949955"/>
        <n v="8.807611"/>
        <n v="0.62016"/>
        <n v="0.550646043459029"/>
        <n v="0.197703948563175"/>
        <n v="0.0743030771643802"/>
        <n v="0.165681026686847"/>
        <n v="0.011665904126569"/>
        <n v="1.019943"/>
        <n v="0.413098"/>
        <n v="0.290972"/>
        <n v="0.465518"/>
        <n v="0.081105"/>
        <n v="0.163434000000001"/>
        <n v="0.018914"/>
        <n v="0.362385"/>
        <n v="0.0169250000000001"/>
        <n v="0.0337879999999998"/>
        <n v="0.111111111111111"/>
        <n v="0.444444444444444"/>
        <n v="0.222222222222222"/>
        <n v="0.25"/>
        <n v="0.125"/>
        <n v="0.166666666666667"/>
        <n v="0.9"/>
        <n v="0.888888888888889"/>
        <n v="0.833333333333333"/>
        <n v="0.857142857142857"/>
        <n v="0.75"/>
        <n v="21.923732"/>
        <n v="11.917752"/>
        <n v="9.180263"/>
        <n v="0.825717"/>
        <n v="21.921768"/>
        <n v="0.306879"/>
        <n v="12.095231"/>
        <n v="0.365744"/>
        <n v="4.183941"/>
        <n v="4.969973"/>
        <n v="0.0139988252772313"/>
        <n v="0.551745233322422"/>
        <n v="0.0166840557750634"/>
        <n v="0.190857826795722"/>
        <n v="0.226714058829562"/>
        <n v="18.875812"/>
        <n v="2.527118"/>
        <n v="0.518838"/>
        <n v="0.861053360294662"/>
        <n v="0.115278931881772"/>
        <n v="0.0236677078235661"/>
        <n v="22.297488"/>
        <n v="0.309463"/>
        <n v="12.303446"/>
        <n v="0.372132"/>
        <n v="4.250457"/>
        <n v="5.06199"/>
        <n v="0.0138788279648362"/>
        <n v="0.551786192238336"/>
        <n v="0.0166894136236333"/>
        <n v="0.190624926000633"/>
        <n v="0.227020640172561"/>
        <n v="19.200807"/>
        <n v="2.574406"/>
        <n v="0.522275"/>
        <n v="0.861119736895923"/>
        <n v="0.115457221010726"/>
        <n v="0.0234230420933515"/>
        <n v="0.0172759999999995"/>
        <n v="0.0153119999999995"/>
        <n v="0.0157869999999996"/>
        <n v="0.00148899999999994"/>
        <n v="44"/>
        <n v="41"/>
        <n v="33"/>
        <n v="0.238095238095238"/>
        <n v="0.214285714285714"/>
        <n v="0.357142857142857"/>
        <n v="0.119047619047619"/>
        <n v="0.0238095238095238"/>
        <n v="0.0476190476190476"/>
        <n v="0.307692307692308"/>
        <n v="0.41025641025641"/>
        <n v="18"/>
        <n v="0.580645161290323"/>
        <n v="0.258064516129032"/>
        <n v="0.161290322580645"/>
        <n v="0.954545454545455"/>
        <n v="0.9375"/>
        <n v="0.951219512195122"/>
        <n v="0.941176470588235"/>
        <n v="0.93939393939394"/>
        <n v="0.947368421052632"/>
        <n v="2.405273"/>
        <n v="1.599552"/>
        <n v="0.805721"/>
        <n v="0.416508"/>
        <n v="0.389213"/>
        <n v="2.374116"/>
        <n v="0.38732"/>
        <n v="1.593233"/>
        <n v="0.393563"/>
        <n v="42.691417"/>
        <n v="2.440078"/>
        <n v="1.621692"/>
        <n v="0.818386"/>
        <n v="0.423055"/>
        <n v="0.395331"/>
        <n v="0.006678"/>
        <n v="0.037835"/>
        <n v="0.002328"/>
        <n v="0.00435"/>
        <n v="0.029188"/>
        <n v="0.00864700000000003"/>
        <n v="0.595396"/>
        <n v="1.77872"/>
        <n v="21.875191"/>
        <n v="19.670568"/>
        <n v="1.145658"/>
        <n v="42.144958"/>
        <n v="11.006888"/>
        <n v="7.967696"/>
        <n v="9.324125"/>
        <n v="12.74598"/>
        <n v="0.422496"/>
        <n v="0.677773"/>
        <n v="0.261167373805426"/>
        <n v="0.189054548351905"/>
        <n v="0.221239394757494"/>
        <n v="0.302431906564007"/>
        <n v="0.0100248290673347"/>
        <n v="0.016081947453833"/>
        <n v="26.243381"/>
        <n v="7.621997"/>
        <n v="6.472165"/>
        <n v="1.240358"/>
        <n v="0.567057"/>
        <n v="0.62269325312888"/>
        <n v="0.18085193014073"/>
        <n v="0.153569141058344"/>
        <n v="0.0294307565806567"/>
        <n v="0.0134549190913893"/>
        <n v="42.757475"/>
        <n v="11.171693"/>
        <n v="8.087939"/>
        <n v="9.468723"/>
        <n v="12.92047"/>
        <n v="0.429137"/>
        <n v="0.679513"/>
        <n v="0.261280466164103"/>
        <n v="0.189158480476221"/>
        <n v="0.221451874789145"/>
        <n v="0.302180378986364"/>
        <n v="0.0100365374709334"/>
        <n v="0.0158922621132328"/>
        <n v="26.640755"/>
        <n v="7.737873"/>
        <n v="6.570032"/>
        <n v="1.241758"/>
        <n v="0.623066609990417"/>
        <n v="0.18097123368487"/>
        <n v="0.153658091362972"/>
        <n v="0.0290418926749066"/>
        <n v="0.0132621722868341"/>
        <n v="0.93756"/>
        <n v="0.391100999999999"/>
        <n v="0.706638"/>
        <n v="0.0953300000000001"/>
        <n v="0.103111"/>
        <n v="0.032481"/>
        <n v="0.251834999999999"/>
        <n v="0.0650620000000001"/>
        <n v="0.073804"/>
        <n v="0.0004"/>
        <n v="1.10426"/>
        <n v="5.610145"/>
        <n v="1.12064"/>
        <n v="0.469865"/>
        <n v="4.03602"/>
        <n v="0.196832702185059"/>
        <n v="0.0837527372287169"/>
        <n v="0.719414560586224"/>
        <n v="2.09306"/>
        <n v="1.8607"/>
        <n v="1.656385"/>
        <n v="0.373084831140728"/>
        <n v="0.331667006824244"/>
        <n v="0.295248162035028"/>
        <n v="5.701121"/>
        <n v="0.477251"/>
        <n v="4.10323"/>
        <n v="0.196564851017896"/>
        <n v="0.0837117822968501"/>
        <n v="0.719723366685254"/>
        <n v="2.12634"/>
        <n v="1.8908"/>
        <n v="1.683981"/>
        <n v="0.372968754741392"/>
        <n v="0.331654072944602"/>
        <n v="0.295377172314006"/>
        <n v="20"/>
        <n v="0.157894736842105"/>
        <n v="0.263157894736842"/>
        <n v="0.0526315789473684"/>
        <n v="0.105263157894737"/>
        <n v="0.642857142857143"/>
        <n v="0.388888888888889"/>
        <n v="0.904761904761905"/>
        <n v="0.875"/>
        <n v="0.568659"/>
        <n v="0.051578"/>
        <n v="0.517081"/>
        <n v="0.336811"/>
        <n v="0.231848"/>
        <n v="0.562155"/>
        <n v="0.319764"/>
        <n v="0.242391"/>
        <n v="2.51513821"/>
        <n v="0.0342"/>
        <n v="0.023657"/>
        <n v="0.010543"/>
        <n v="2.004997"/>
        <n v="0.51014121"/>
        <n v="2.11028621"/>
        <n v="0.137148"/>
        <n v="0.42748"/>
        <n v="0.550428"/>
        <n v="0.040141"/>
        <n v="0.36899121"/>
        <n v="0.586098"/>
        <n v="0.0649902365613241"/>
        <n v="0.202569678925211"/>
        <n v="0.260830970411355"/>
        <n v="0.0190215904410426"/>
        <n v="0.174853632768609"/>
        <n v="0.277733890892459"/>
        <n v="1.23337821"/>
        <n v="0.456272"/>
        <n v="0.317982"/>
        <n v="0.102654"/>
        <n v="0.584460157184082"/>
        <n v="0.216213325869196"/>
        <n v="0.150681930485628"/>
        <n v="0.0486445864610943"/>
        <n v="0.649478"/>
        <n v="0.504696"/>
        <n v="0.039853"/>
        <n v="0.073194"/>
        <n v="0.031735"/>
      </sharedItems>
    </cacheField>
    <cacheField name="11月" numFmtId="0">
      <sharedItems containsNumber="1" containsMixedTypes="1" count="498">
        <n v="9"/>
        <n v="2"/>
        <n v="1"/>
        <n v="4"/>
        <n v="0"/>
        <n v="3"/>
        <n v="8"/>
        <n v="6"/>
        <n v="5"/>
        <n v="14"/>
        <n v="0.142857142857143"/>
        <n v="0.214285714285714"/>
        <n v="0.428571428571429"/>
        <n v="0.0714285714285714"/>
        <n v="19"/>
        <n v="18"/>
        <n v="10"/>
        <n v="0.285714285714286"/>
        <n v="0.571428571428571"/>
        <n v="13"/>
        <n v="0.307692307692308"/>
        <n v="0.384615384615385"/>
        <n v="54"/>
        <n v="15"/>
        <n v="12"/>
        <n v="21"/>
        <n v="20"/>
        <n v="50"/>
        <n v="17"/>
        <n v="16"/>
        <n v="47"/>
        <n v="27"/>
        <n v="40"/>
        <n v="11"/>
        <n v="0.325"/>
        <n v="0.275"/>
        <n v="0.15"/>
        <n v="0.125"/>
        <n v="0.075"/>
        <n v="0.111111111111111"/>
        <n v="0.025"/>
        <n v="36"/>
        <n v="0.416666666666667"/>
        <n v="0.361111111111111"/>
        <n v="0.222222222222222"/>
        <n v="34"/>
        <n v="23"/>
        <n v="0.176470588235294"/>
        <n v="0.676470588235294"/>
        <n v="4.5"/>
        <n v="0.117647058823529"/>
        <n v="0.740740740740741"/>
        <n v="0.866666666666667"/>
        <n v="0.785714285714286"/>
        <n v="0.5"/>
        <n v="0.833333333333333"/>
        <n v="0.75"/>
        <n v="0.0952380952380952"/>
        <n v="0.1"/>
        <n v="0.166666666666667"/>
        <s v=" "/>
        <n v="0.72"/>
        <n v="0.882352941176471"/>
        <n v="0.764705882352941"/>
        <n v="0.723404255319149"/>
        <n v="0.6"/>
        <n v="0.851851851851852"/>
        <n v="0.444444444444444"/>
        <n v="4.038872"/>
        <n v="0.374192"/>
        <n v="2.699172"/>
        <n v="0.443772"/>
        <n v="0.521736"/>
        <n v="0.895928"/>
        <n v="2.462406"/>
        <n v="0.680538"/>
        <n v="4.283561"/>
        <n v="1.058298"/>
        <n v="2.506663"/>
        <n v="0.7186"/>
        <n v="59.996736"/>
        <n v="4.093256"/>
        <n v="0.378718"/>
        <n v="2.742797"/>
        <n v="0.450005"/>
        <n v="0.900454"/>
        <n v="2.504472"/>
        <n v="0.68833"/>
        <n v="0.244689"/>
        <n v="0.16237"/>
        <n v="0.0442570000000001"/>
        <n v="0.038062"/>
        <n v="52.295627"/>
        <n v="7.701109"/>
        <n v="0.245996"/>
        <n v="0.162363"/>
        <n v="0.0453490000000001"/>
        <n v="0.0382840000000001"/>
        <n v="52.78781"/>
        <n v="12.89659"/>
        <n v="8.863758"/>
        <n v="6.857656"/>
        <n v="19.417204"/>
        <n v="2.020282"/>
        <n v="0.035933"/>
        <n v="2.696387"/>
        <n v="0.244310002631289"/>
        <n v="0.167912970816558"/>
        <n v="0.12990984092729"/>
        <n v="0.367834998269487"/>
        <n v="0.0382717525125592"/>
        <n v="0.000680706397935432"/>
        <n v="0.0510797284448815"/>
        <n v="24.138363"/>
        <n v="16.039641"/>
        <n v="4.016606"/>
        <n v="8.5932"/>
        <n v="0.457271536743047"/>
        <n v="0.30385123004724"/>
        <n v="0.0760896502431148"/>
        <n v="0.162787582966598"/>
        <n v="53.458177"/>
        <n v="13.116162"/>
        <n v="8.986049"/>
        <n v="6.934808"/>
        <n v="19.587721"/>
        <n v="2.051578"/>
        <n v="2.745926"/>
        <n v="0.245353708937737"/>
        <n v="0.16809493896509"/>
        <n v="0.129723989652696"/>
        <n v="0.366412064519147"/>
        <n v="0.0383772533058881"/>
        <n v="0.000672170321109154"/>
        <n v="0.0513658742983323"/>
        <n v="24.475227"/>
        <n v="16.192967"/>
        <n v="4.080251"/>
        <n v="8.709732"/>
        <n v="0.4578387886291"/>
        <n v="0.302909076005342"/>
        <n v="0.0763260408225294"/>
        <n v="0.162926094543029"/>
        <n v="7.44228"/>
        <n v="0.233354"/>
        <n v="2.690273"/>
        <n v="4.280823"/>
        <n v="0.136596"/>
        <n v="0.334588"/>
        <n v="0.138787"/>
        <n v="0.0844009999999999"/>
        <n v="0.0101659999999999"/>
        <n v="7.574186"/>
        <n v="0.242608"/>
        <n v="2.798412"/>
        <n v="4.295225"/>
        <n v="0.144637"/>
        <n v="0.335912"/>
        <n v="0.147171"/>
        <n v="0.085147"/>
        <n v="0.0102899999999999"/>
        <n v="7"/>
        <n v="0.4"/>
        <n v="0.2"/>
        <n v="0.333333333333333"/>
        <n v="0.666666666666667"/>
        <n v="0.714285714285714"/>
        <s v=""/>
        <n v="3.871924"/>
        <n v="2.208588"/>
        <n v="1.663336"/>
        <n v="3.974658"/>
        <n v="1.271217"/>
        <n v="2.565683"/>
        <n v="0.137758"/>
        <n v="0.319830536363129"/>
        <n v="0.645510381018946"/>
        <n v="0.0346590826179259"/>
        <n v="2.043444"/>
        <n v="1.931214"/>
        <n v="0.514118195829679"/>
        <n v="0.485881804170321"/>
        <n v="4.043704"/>
        <n v="1.293029"/>
        <n v="2.611593"/>
        <n v="0.139082"/>
        <n v="0.3197635138477"/>
        <n v="0.645841782682412"/>
        <n v="0.034394703469888"/>
        <n v="2.077674"/>
        <n v="1.96603"/>
        <n v="0.513804670173682"/>
        <n v="0.486195329826318"/>
        <n v="0.0587880000000001"/>
        <n v="0.161522"/>
        <n v="0.00146700000000001"/>
        <n v="0.0573210000000001"/>
        <n v="0.25"/>
        <n v="46"/>
        <n v="43"/>
        <n v="35"/>
        <n v="41"/>
        <n v="0.317073170731707"/>
        <n v="0.268292682926829"/>
        <n v="0.170731707317073"/>
        <n v="0.121951219512195"/>
        <n v="0.0731707317073171"/>
        <n v="0.0487804878048781"/>
        <n v="38"/>
        <n v="0.394736842105263"/>
        <n v="0.342105263157895"/>
        <n v="0.263157894736842"/>
        <n v="31"/>
        <n v="0.387096774193548"/>
        <n v="0.225806451612903"/>
        <n v="28"/>
        <n v="0.891304347826087"/>
        <n v="0.846153846153846"/>
        <n v="0.777777777777778"/>
        <n v="0.0526315789473684"/>
        <n v="0.883720930232558"/>
        <n v="0.9375"/>
        <n v="0.885714285714286"/>
        <n v="0.923076923076923"/>
        <n v="0.8"/>
        <n v="0.458683"/>
        <n v="0.198217"/>
        <n v="0.260466"/>
        <n v="0.46475"/>
        <n v="0.204482"/>
        <n v="0.260268"/>
        <n v="53.510363"/>
        <n v="0.462774"/>
        <n v="0.200115"/>
        <n v="0.262659"/>
        <n v="0.00626499999999999"/>
        <n v="0.000198000000000002"/>
        <n v="32.452773"/>
        <n v="20.757596"/>
        <n v="0.299994"/>
        <n v="52.897451"/>
        <n v="10.662799"/>
        <n v="7.314951"/>
        <n v="4.372302"/>
        <n v="24.489593"/>
        <n v="2.826965"/>
        <n v="3.230841"/>
        <n v="0.201574911426261"/>
        <n v="0.138285510203507"/>
        <n v="0.082656194530054"/>
        <n v="0.46296357455863"/>
        <n v="0.0534423671945932"/>
        <n v="0.0610774420869542"/>
        <n v="29.068151"/>
        <n v="10.619617"/>
        <n v="3.892661"/>
        <n v="8.701698"/>
        <n v="0.615324"/>
        <n v="0.549518936177095"/>
        <n v="0.200758577194958"/>
        <n v="0.0735888199981508"/>
        <n v="0.164501272471522"/>
        <n v="0.0116323941582743"/>
        <n v="53.62282"/>
        <n v="10.822014"/>
        <n v="7.423016"/>
        <n v="4.434523"/>
        <n v="24.793557"/>
        <n v="2.870842"/>
        <n v="3.278868"/>
        <n v="0.201817323296313"/>
        <n v="0.138430168349967"/>
        <n v="0.082698429511913"/>
        <n v="0.462369509846741"/>
        <n v="0.0535376916021947"/>
        <n v="0.0611468773928712"/>
        <n v="29.472484"/>
        <n v="10.77261"/>
        <n v="3.949955"/>
        <n v="8.807611"/>
        <n v="0.62016"/>
        <n v="0.549625774996541"/>
        <n v="0.200895999128729"/>
        <n v="0.0736618290496472"/>
        <n v="0.164251171422913"/>
        <n v="0.0115652254021702"/>
        <n v="1.026208"/>
        <n v="0.413296"/>
        <n v="0.297237"/>
        <n v="0.465518"/>
        <n v="0.081105"/>
        <n v="0.163434000000001"/>
        <n v="0.018914"/>
        <n v="0.362385"/>
        <n v="0.0171230000000001"/>
        <n v="0.0337879999999998"/>
        <n v="0.3"/>
        <n v="0.136884"/>
        <n v="0.126307"/>
        <n v="22.050039"/>
        <n v="0.138068"/>
        <n v="0.010577"/>
        <n v="11.917752"/>
        <n v="9.30657"/>
        <n v="0.825717"/>
        <n v="22.058652"/>
        <n v="0.306879"/>
        <n v="12.095231"/>
        <n v="0.365744"/>
        <n v="4.320825"/>
        <n v="4.969973"/>
        <n v="0.0139119561793713"/>
        <n v="0.548321402413892"/>
        <n v="0.0165805235968182"/>
        <n v="0.195878923154507"/>
        <n v="0.225307194655412"/>
        <n v="19.012696"/>
        <n v="2.527118"/>
        <n v="0.518838"/>
        <n v="0.861915587588942"/>
        <n v="0.114563573513014"/>
        <n v="0.0235208388980433"/>
        <n v="22.435556"/>
        <n v="0.309463"/>
        <n v="12.303446"/>
        <n v="0.372132"/>
        <n v="4.388525"/>
        <n v="5.06199"/>
        <n v="0.0137934179121748"/>
        <n v="0.548390510134895"/>
        <n v="0.0165867072783933"/>
        <n v="0.195605805356462"/>
        <n v="0.225623559318075"/>
        <n v="19.338875"/>
        <n v="2.574406"/>
        <n v="0.522275"/>
        <n v="0.861974403487037"/>
        <n v="0.114746699390913"/>
        <n v="0.0232788971220504"/>
        <n v="0.0172759999999995"/>
        <n v="0.0258889999999995"/>
        <n v="0.0157869999999996"/>
        <n v="0.00148899999999994"/>
        <n v="48"/>
        <n v="45"/>
        <n v="0.232558139534884"/>
        <n v="0.209302325581395"/>
        <n v="0.372093023255814"/>
        <n v="0.116279069767442"/>
        <n v="0.0232558139534884"/>
        <n v="0.0465116279069767"/>
        <n v="0.425"/>
        <n v="32"/>
        <n v="0.5625"/>
        <n v="0.28125"/>
        <n v="0.15625"/>
        <n v="0.895833333333333"/>
        <n v="0.909090909090909"/>
        <n v="0.818181818181818"/>
        <n v="0.941176470588235"/>
        <n v="0.888888888888889"/>
        <n v="0.857142857142857"/>
        <n v="0.944444444444444"/>
        <n v="0.914285714285714"/>
        <n v="1.174226"/>
        <n v="1.202695"/>
        <n v="43.894112"/>
        <n v="1.192083"/>
        <n v="0.0284690000000001"/>
        <n v="23.077886"/>
        <n v="19.670568"/>
        <n v="1.145658"/>
        <n v="43.319184"/>
        <n v="11.006888"/>
        <n v="7.967696"/>
        <n v="10.498351"/>
        <n v="12.74598"/>
        <n v="0.422496"/>
        <n v="0.677773"/>
        <n v="0.254088073311815"/>
        <n v="0.183929965070441"/>
        <n v="0.24234877092791"/>
        <n v="0.294234074215248"/>
        <n v="0.00975309230201566"/>
        <n v="0.0156460241725698"/>
        <n v="26.243381"/>
        <n v="8.796223"/>
        <n v="6.472165"/>
        <n v="1.240358"/>
        <n v="0.567057"/>
        <n v="0.605814296963673"/>
        <n v="0.203056064029276"/>
        <n v="0.149406438496164"/>
        <n v="0.0286329954876343"/>
        <n v="0.0130902050232525"/>
        <n v="43.949558"/>
        <n v="11.171693"/>
        <n v="8.087939"/>
        <n v="10.660806"/>
        <n v="12.92047"/>
        <n v="0.429137"/>
        <n v="0.679513"/>
        <n v="0.254193523402442"/>
        <n v="0.184027766559109"/>
        <n v="0.242569128909101"/>
        <n v="0.293984071466657"/>
        <n v="0.00976430752727934"/>
        <n v="0.0154612021354117"/>
        <n v="26.640755"/>
        <n v="8.929956"/>
        <n v="6.570032"/>
        <n v="1.241758"/>
        <n v="0.606166619468619"/>
        <n v="0.203186480282691"/>
        <n v="0.149490286113913"/>
        <n v="0.0282541635572308"/>
        <n v="0.0129024505775462"/>
        <n v="0.966029"/>
        <n v="0.391100999999999"/>
        <n v="0.706638"/>
        <n v="0.123799"/>
        <n v="0.103111"/>
        <n v="0.032481"/>
        <n v="0.251834999999999"/>
        <n v="0.0650620000000001"/>
        <n v="0.073804"/>
        <n v="0.0004"/>
        <n v="0.555555555555556"/>
        <n v="3.944409"/>
        <n v="9.554554"/>
        <n v="4.008997"/>
        <n v="1.10426"/>
        <n v="0.469865"/>
        <n v="4.03602"/>
        <n v="0.115574206812793"/>
        <n v="0.0491770730480983"/>
        <n v="0.412830258743632"/>
        <n v="0.422418461395477"/>
        <n v="6.037469"/>
        <n v="1.8607"/>
        <n v="1.656385"/>
        <n v="0.631894382511209"/>
        <n v="0.194744830580266"/>
        <n v="0.173360786908526"/>
        <n v="9.710118"/>
        <n v="1.12064"/>
        <n v="0.477251"/>
        <n v="4.10323"/>
        <n v="0.115409514075936"/>
        <n v="0.0491498661499273"/>
        <n v="0.412868000162305"/>
        <n v="0.422572619611832"/>
        <n v="6.135337"/>
        <n v="1.8908"/>
        <n v="1.683981"/>
        <n v="0.631849891010593"/>
        <n v="0.194724719102281"/>
        <n v="0.173425389887126"/>
        <n v="22"/>
        <n v="0.238095238095238"/>
        <n v="0.0476190476190476"/>
        <n v="0.357142857142857"/>
        <n v="0.642857142857143"/>
        <n v="0.45"/>
        <n v="0.91304347826087"/>
        <n v="0.875"/>
        <n v="0.092012"/>
        <n v="0.172733"/>
        <n v="2.68787121"/>
        <n v="0.181329"/>
        <n v="2.004997"/>
        <n v="0.51014121"/>
        <n v="2.20229821"/>
        <n v="0.137148"/>
        <n v="0.42748"/>
        <n v="0.64244"/>
        <n v="0.040141"/>
        <n v="0.36899121"/>
        <n v="0.586098"/>
        <n v="0.0622749450447948"/>
        <n v="0.194106319507021"/>
        <n v="0.291713446018739"/>
        <n v="0.0182268685583684"/>
        <n v="0.167548249517035"/>
        <n v="0.266130171354042"/>
        <n v="1.32539021"/>
        <n v="0.456272"/>
        <n v="0.317982"/>
        <n v="0.102654"/>
        <n v="0.601821408191582"/>
        <n v="0.207179935000719"/>
        <n v="0.144386440744553"/>
        <n v="0.0466122160631461"/>
        <n v="0.649478"/>
        <n v="0.504696"/>
        <n v="0.039853"/>
        <n v="0.073194"/>
        <n v="0.031735"/>
      </sharedItems>
    </cacheField>
    <cacheField name="12月" numFmtId="0">
      <sharedItems containsNumber="1" containsMixedTypes="1" count="500">
        <n v="2"/>
        <n v="1"/>
        <n v="0"/>
        <n v="14"/>
        <n v="3"/>
        <n v="4"/>
        <n v="5"/>
        <n v="0.214285714285714"/>
        <n v="0.285714285714286"/>
        <n v="0.357142857142857"/>
        <n v="0.0714285714285714"/>
        <n v="22"/>
        <n v="19"/>
        <n v="12"/>
        <n v="6"/>
        <n v="0.428571428571429"/>
        <n v="13"/>
        <n v="0.153846153846154"/>
        <n v="0.384615384615385"/>
        <n v="0.461538461538462"/>
        <n v="56"/>
        <n v="16"/>
        <n v="15"/>
        <n v="21"/>
        <n v="52"/>
        <n v="18"/>
        <n v="49"/>
        <n v="10"/>
        <n v="28"/>
        <n v="42"/>
        <n v="11"/>
        <n v="7"/>
        <n v="0.30952380952381"/>
        <n v="0.261904761904762"/>
        <n v="0.166666666666667"/>
        <n v="0.142857142857143"/>
        <n v="0.1"/>
        <n v="0.0238095238095238"/>
        <n v="38"/>
        <n v="0.394736842105263"/>
        <n v="0.342105263157895"/>
        <n v="0.263157894736842"/>
        <n v="36"/>
        <n v="8"/>
        <n v="23"/>
        <n v="0.222222222222222"/>
        <n v="0.638888888888889"/>
        <n v="3.8"/>
        <n v="0.111111111111111"/>
        <n v="29"/>
        <n v="0.75"/>
        <n v="0.8125"/>
        <n v="0.733333333333333"/>
        <n v="0.583333333333333"/>
        <n v="0.5"/>
        <n v="0.0952380952380952"/>
        <s v=" "/>
        <n v="0.730769230769231"/>
        <n v="0.833333333333333"/>
        <n v="0.722222222222222"/>
        <n v="0.625"/>
        <n v="0.734693877551021"/>
        <n v="0.8"/>
        <n v="0.821428571428571"/>
        <n v="0.4"/>
        <n v="2.025346"/>
        <n v="0.884921"/>
        <n v="1.140425"/>
        <n v="3.072916"/>
        <n v="63.069652"/>
        <n v="2.062482"/>
        <n v="0.90003"/>
        <n v="1.162452"/>
        <n v="1.04757"/>
        <n v="55.368543"/>
        <n v="7.701109"/>
        <n v="1.063839"/>
        <n v="54.813156"/>
        <n v="12.89659"/>
        <n v="8.863758"/>
        <n v="7.742577"/>
        <n v="20.557629"/>
        <n v="2.020282"/>
        <n v="0.035933"/>
        <n v="2.696387"/>
        <n v="0.235282748543069"/>
        <n v="0.161708586894723"/>
        <n v="0.141253990191698"/>
        <n v="0.375049176150339"/>
        <n v="0.0368576113369571"/>
        <n v="0.00065555429794993"/>
        <n v="0.0491923325852647"/>
        <n v="24.138363"/>
        <n v="18.064987"/>
        <n v="4.016606"/>
        <n v="8.5932"/>
        <n v="0.44037535441309"/>
        <n v="0.329573925646609"/>
        <n v="0.0732781378251601"/>
        <n v="0.15677258211514"/>
        <n v="55.520659"/>
        <n v="13.116162"/>
        <n v="8.986049"/>
        <n v="7.834838"/>
        <n v="20.750173"/>
        <n v="2.051578"/>
        <n v="2.745926"/>
        <n v="0.236239306885749"/>
        <n v="0.161850546478564"/>
        <n v="0.141115724148735"/>
        <n v="0.373737872960045"/>
        <n v="0.0369516147133628"/>
        <n v="0.000647200531247297"/>
        <n v="0.0494577342822966"/>
        <n v="24.475227"/>
        <n v="18.255449"/>
        <n v="4.080251"/>
        <n v="8.709732"/>
        <n v="0.440830988695577"/>
        <n v="0.328804616674309"/>
        <n v="0.0734906802889353"/>
        <n v="0.156873714341179"/>
        <n v="8.48985"/>
        <n v="0.233354"/>
        <n v="2.690273"/>
        <n v="5.328393"/>
        <n v="0.136596"/>
        <n v="0.334588"/>
        <n v="0.138787"/>
        <n v="0.0844009999999999"/>
        <n v="0.0101659999999999"/>
        <n v="8.638025"/>
        <n v="0.242608"/>
        <n v="2.798412"/>
        <n v="5.359064"/>
        <n v="0.144637"/>
        <n v="0.335912"/>
        <n v="0.147171"/>
        <n v="0.085147"/>
        <n v="0.0102899999999999"/>
        <n v="0.333333333333333"/>
        <n v="0.25"/>
        <n v="0.2"/>
        <n v="9"/>
        <n v="0.6"/>
        <n v="0.666666666666667"/>
        <n v="0.454545454545455"/>
        <s v=""/>
        <n v="0.555555555555556"/>
        <n v="0.375"/>
        <n v="3.871924"/>
        <n v="2.208588"/>
        <n v="1.663336"/>
        <n v="3.974658"/>
        <n v="1.271217"/>
        <n v="2.565683"/>
        <n v="0.137758"/>
        <n v="0.319830536363129"/>
        <n v="0.645510381018946"/>
        <n v="0.0346590826179259"/>
        <n v="2.043444"/>
        <n v="1.931214"/>
        <n v="0.514118195829679"/>
        <n v="0.485881804170321"/>
        <n v="4.043704"/>
        <n v="1.293029"/>
        <n v="2.611593"/>
        <n v="0.139082"/>
        <n v="0.3197635138477"/>
        <n v="0.645841782682412"/>
        <n v="0.034394703469888"/>
        <n v="2.077674"/>
        <n v="1.96603"/>
        <n v="0.513804670173682"/>
        <n v="0.486195329826318"/>
        <n v="0.0587880000000001"/>
        <n v="0.161522"/>
        <n v="0.00146700000000001"/>
        <n v="0.0573210000000001"/>
        <n v="17"/>
        <n v="48"/>
        <n v="20"/>
        <n v="41"/>
        <n v="46"/>
        <n v="0.304347826086957"/>
        <n v="0.239130434782609"/>
        <n v="0.195652173913044"/>
        <n v="0.130434782608696"/>
        <n v="0.0869565217391304"/>
        <n v="0.0434782608695652"/>
        <n v="0.404761904761905"/>
        <n v="0.361111111111111"/>
        <n v="0.444444444444444"/>
        <n v="0.194444444444444"/>
        <n v="32"/>
        <n v="0.884615384615385"/>
        <n v="0.823529411764706"/>
        <n v="0.785714285714286"/>
        <n v="0.0454545454545455"/>
        <n v="0.875"/>
        <n v="0.85"/>
        <n v="0.878048780487805"/>
        <n v="0.761904761904762"/>
        <n v="3.442302"/>
        <n v="0.406273"/>
        <n v="2.577422"/>
        <n v="0.297443"/>
        <n v="0.161164"/>
        <n v="2.738586"/>
        <n v="3.475502"/>
        <n v="0.414477"/>
        <n v="2.762453"/>
        <n v="0.298572"/>
        <n v="56.985865"/>
        <n v="3.494365"/>
        <n v="0.413318"/>
        <n v="2.617993"/>
        <n v="0.30189"/>
        <n v="2.779157"/>
        <n v="0.037756"/>
        <n v="0.00455599999999995"/>
        <n v="0.00820400000000004"/>
        <n v="0.0284229999999999"/>
        <n v="0.001129"/>
        <n v="2.344128"/>
        <n v="1.131374"/>
        <n v="34.796901"/>
        <n v="21.88897"/>
        <n v="0.299994"/>
        <n v="56.339753"/>
        <n v="11.069072"/>
        <n v="7.314951"/>
        <n v="6.949724"/>
        <n v="24.787036"/>
        <n v="2.988129"/>
        <n v="3.230841"/>
        <n v="0.196470012923202"/>
        <n v="0.129836405211077"/>
        <n v="0.12335382443015"/>
        <n v="0.439956419404253"/>
        <n v="0.0530376659620783"/>
        <n v="0.0573456720692403"/>
        <n v="29.474424"/>
        <n v="13.358203"/>
        <n v="4.190104"/>
        <n v="8.701698"/>
        <n v="0.615324"/>
        <n v="0.523155009217027"/>
        <n v="0.237100844229828"/>
        <n v="0.0743720690433272"/>
        <n v="0.154450410884833"/>
        <n v="0.010921666624985"/>
        <n v="57.117185"/>
        <n v="11.235332"/>
        <n v="7.423016"/>
        <n v="7.052516"/>
        <n v="25.095447"/>
        <n v="3.032006"/>
        <n v="3.278868"/>
        <n v="0.196706682936143"/>
        <n v="0.129961166678645"/>
        <n v="0.123474502463663"/>
        <n v="0.439367713937583"/>
        <n v="0.0530839536297176"/>
        <n v="0.0574059803542489"/>
        <n v="29.885802"/>
        <n v="13.551767"/>
        <n v="4.251845"/>
        <n v="8.807611"/>
        <n v="0.62016"/>
        <n v="0.523236605585517"/>
        <n v="0.237262515650938"/>
        <n v="0.0744407309288789"/>
        <n v="0.154202469887128"/>
        <n v="0.0108576779475389"/>
        <n v="1.063964"/>
        <n v="0.417852"/>
        <n v="0.305441"/>
        <n v="0.493941"/>
        <n v="0.082234"/>
        <n v="0.163434000000001"/>
        <n v="0.018914"/>
        <n v="0.362385"/>
        <n v="0.021679"/>
        <n v="0.0337879999999998"/>
        <n v="0.3"/>
        <n v="0.571428571428571"/>
        <n v="0.909090909090909"/>
        <n v="0.9"/>
        <n v="22.050039"/>
        <n v="11.917752"/>
        <n v="9.30657"/>
        <n v="0.825717"/>
        <n v="22.058652"/>
        <n v="0.306879"/>
        <n v="12.095231"/>
        <n v="0.365744"/>
        <n v="4.320825"/>
        <n v="4.969973"/>
        <n v="0.0139119561793713"/>
        <n v="0.548321402413892"/>
        <n v="0.0165805235968182"/>
        <n v="0.195878923154507"/>
        <n v="0.225307194655412"/>
        <n v="19.012696"/>
        <n v="2.527118"/>
        <n v="0.518838"/>
        <n v="0.861915587588942"/>
        <n v="0.114563573513014"/>
        <n v="0.0235208388980433"/>
        <n v="22.435556"/>
        <n v="0.309463"/>
        <n v="12.303446"/>
        <n v="0.372132"/>
        <n v="4.388525"/>
        <n v="5.06199"/>
        <n v="0.0137934179121748"/>
        <n v="0.548390510134895"/>
        <n v="0.0165867072783933"/>
        <n v="0.195605805356462"/>
        <n v="0.225623559318075"/>
        <n v="19.338875"/>
        <n v="2.574406"/>
        <n v="0.522275"/>
        <n v="0.861974403487037"/>
        <n v="0.114746699390913"/>
        <n v="0.0232788971220504"/>
        <n v="0.0172759999999995"/>
        <n v="0.0258889999999995"/>
        <n v="0.0157869999999996"/>
        <n v="0.00148899999999994"/>
        <n v="25"/>
        <n v="54"/>
        <n v="51"/>
        <n v="39"/>
        <n v="0.208333333333333"/>
        <n v="0.354166666666667"/>
        <n v="0.125"/>
        <n v="0.0208333333333333"/>
        <n v="0.0416666666666667"/>
        <n v="45"/>
        <n v="0.288888888888889"/>
        <n v="0.311111111111111"/>
        <n v="34"/>
        <n v="0.588235294117647"/>
        <n v="0.264705882352941"/>
        <n v="0.147058823529412"/>
        <n v="0.888888888888889"/>
        <n v="0.923076923076923"/>
        <n v="0.857142857142857"/>
        <n v="0.882352941176471"/>
        <n v="0.947368421052632"/>
        <n v="0.871794871794872"/>
        <n v="0.818181818181818"/>
        <n v="3.356054"/>
        <n v="1.981508"/>
        <n v="0.424451"/>
        <n v="0.405907"/>
        <n v="0.544188"/>
        <n v="0.968639"/>
        <n v="2.387415"/>
        <n v="3.322713"/>
        <n v="0.890975"/>
        <n v="2.431738"/>
        <n v="47.216825"/>
        <n v="3.405167"/>
        <n v="2.009851"/>
        <n v="0.431123"/>
        <n v="0.412287"/>
        <n v="0.551906"/>
        <n v="0.983029"/>
        <n v="2.422138"/>
        <n v="0.0443229999999998"/>
        <n v="0.077664"/>
        <n v="25.509624"/>
        <n v="20.561543"/>
        <n v="1.145658"/>
        <n v="46.675238"/>
        <n v="12.988396"/>
        <n v="8.392147"/>
        <n v="10.904258"/>
        <n v="13.290168"/>
        <n v="0.422496"/>
        <n v="0.677773"/>
        <n v="0.278271660875088"/>
        <n v="0.179798697544938"/>
        <n v="0.233619762153114"/>
        <n v="0.284737016231176"/>
        <n v="0.00905182315299603"/>
        <n v="0.0145210400426882"/>
        <n v="27.21202"/>
        <n v="11.183638"/>
        <n v="6.472165"/>
        <n v="1.240358"/>
        <n v="0.567057"/>
        <n v="0.583007632440996"/>
        <n v="0.239605377052389"/>
        <n v="0.138663781425175"/>
        <n v="0.0265742190752193"/>
        <n v="0.0121489900062213"/>
        <n v="47.354725"/>
        <n v="13.181544"/>
        <n v="8.519062"/>
        <n v="11.073093"/>
        <n v="13.472376"/>
        <n v="0.429137"/>
        <n v="0.679513"/>
        <n v="0.278357523985199"/>
        <n v="0.17989888020678"/>
        <n v="0.23383290685354"/>
        <n v="0.284499086416403"/>
        <n v="0.00906217911728977"/>
        <n v="0.0143494234207885"/>
        <n v="27.623784"/>
        <n v="11.352094"/>
        <n v="6.570032"/>
        <n v="1.241758"/>
        <n v="0.583337438872256"/>
        <n v="0.239724631491367"/>
        <n v="0.138740790913684"/>
        <n v="0.0262224730478321"/>
        <n v="0.0119746656748614"/>
        <n v="1.010352"/>
        <n v="0.468764999999999"/>
        <n v="0.706638"/>
        <n v="0.168122"/>
        <n v="0.103111"/>
        <n v="0.032481"/>
        <n v="0.329498999999999"/>
        <n v="0.0650620000000001"/>
        <n v="0.073804"/>
        <n v="0.0004"/>
        <n v="9.554554"/>
        <n v="1.10426"/>
        <n v="0.469865"/>
        <n v="3.944409"/>
        <n v="4.03602"/>
        <n v="0.115574206812793"/>
        <n v="0.0491770730480983"/>
        <n v="0.412830258743632"/>
        <n v="0.422418461395477"/>
        <n v="6.037469"/>
        <n v="1.8607"/>
        <n v="1.656385"/>
        <n v="0.631894382511209"/>
        <n v="0.194744830580266"/>
        <n v="0.173360786908526"/>
        <n v="9.710118"/>
        <n v="1.12064"/>
        <n v="0.477251"/>
        <n v="4.008997"/>
        <n v="4.10323"/>
        <n v="0.115409514075936"/>
        <n v="0.0491498661499273"/>
        <n v="0.412868000162305"/>
        <n v="0.422572619611832"/>
        <n v="6.135337"/>
        <n v="1.8908"/>
        <n v="1.683981"/>
        <n v="0.631849891010593"/>
        <n v="0.194724719102281"/>
        <n v="0.173425389887126"/>
        <n v="24"/>
        <n v="0.238095238095238"/>
        <n v="0.0476190476190476"/>
        <n v="0.642857142857143"/>
        <n v="0.45"/>
        <n v="0.714285714285714"/>
        <n v="0.869565217391304"/>
        <n v="2.68787121"/>
        <n v="2.004997"/>
        <n v="0.172733"/>
        <n v="0.51014121"/>
        <n v="2.20229821"/>
        <n v="0.137148"/>
        <n v="0.42748"/>
        <n v="0.64244"/>
        <n v="0.040141"/>
        <n v="0.36899121"/>
        <n v="0.586098"/>
        <n v="0.0622749450447948"/>
        <n v="0.194106319507021"/>
        <n v="0.291713446018739"/>
        <n v="0.0182268685583684"/>
        <n v="0.167548249517035"/>
        <n v="0.266130171354042"/>
        <n v="1.32539021"/>
        <n v="0.456272"/>
        <n v="0.317982"/>
        <n v="0.102654"/>
        <n v="0.601821408191582"/>
        <n v="0.207179935000719"/>
        <n v="0.144386440744553"/>
        <n v="0.0466122160631461"/>
        <n v="0.649478"/>
        <n v="0.181329"/>
        <n v="0.504696"/>
        <n v="0.039853"/>
        <n v="0.073194"/>
        <n v="0.031735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OnLoad="1" refreshedVersion="5" refreshedDate="46020.396400463" refreshedBy="陆汉东" recordCount="2114">
  <cacheSource type="worksheet">
    <worksheetSource ref="A2:Q2116" sheet="2024整理"/>
  </cacheSource>
  <cacheFields count="17">
    <cacheField name="设计阶段" numFmtId="0">
      <sharedItems count="7">
        <s v="可研"/>
        <s v="可研调整"/>
        <s v="初设"/>
        <s v="初设调整"/>
        <s v="施工图及预算"/>
        <s v="施工图预算调整"/>
        <s v="重大设计变更"/>
      </sharedItems>
    </cacheField>
    <cacheField name="评审阶段" numFmtId="0">
      <sharedItems count="3">
        <s v="计划评审"/>
        <s v="完成评审"/>
        <s v="正在评审"/>
      </sharedItems>
    </cacheField>
    <cacheField name="统计维度" numFmtId="0">
      <sharedItems count="8">
        <s v="每月数量"/>
        <s v="当月存量"/>
        <s v="累计数量"/>
        <s v="累计完成率"/>
        <s v="每月静态投资"/>
        <s v="每月动态投资"/>
        <s v="累计静态投资"/>
        <s v="累计动态投资"/>
      </sharedItems>
    </cacheField>
    <cacheField name="单位" numFmtId="0">
      <sharedItems count="17">
        <s v="广州局"/>
        <s v="负责人"/>
        <s v="设计"/>
        <s v="变电负责人"/>
        <s v="线路负责人"/>
        <s v="每月核减"/>
        <s v="每月核增"/>
        <s v="每月不变"/>
        <s v="工作量占比"/>
        <s v="变电工作量占比"/>
        <s v="线路工作量占比"/>
        <s v="完成占比"/>
        <s v="变电完成占比"/>
        <s v="线路完成占比"/>
        <s v="累计核减"/>
        <s v="累计核增"/>
        <s v="累计不变"/>
      </sharedItems>
    </cacheField>
    <cacheField name="统计项目" numFmtId="0">
      <sharedItems count="38">
        <s v="每月计划"/>
        <s v="方  明"/>
        <s v="谢瑞莲"/>
        <s v="樊心田"/>
        <s v="陈伟哲"/>
        <s v="黄小珈"/>
        <s v="王志会"/>
        <s v="广州院"/>
        <s v="工程院"/>
        <s v="汇隽院"/>
        <s v="省院"/>
        <s v="其他"/>
        <s v="变电每月计划"/>
        <s v="线路每月计划"/>
        <s v="每月完成"/>
        <s v="核减"/>
        <s v="核增"/>
        <s v="不变"/>
        <s v="变电每月完成"/>
        <s v="线路每月完成"/>
        <s v="当月评审"/>
        <s v="变电当月评审"/>
        <s v="线路当月评审"/>
        <s v="累计计划"/>
        <s v="变电累计计划"/>
        <s v="线路累计计划"/>
        <s v="累计完成"/>
        <s v="变电累计完成"/>
        <s v="线路累计完成"/>
        <s v="累计核减"/>
        <s v="累计核增"/>
        <s v="累计不变"/>
        <s v="完成率"/>
        <s v="变电完成率"/>
        <s v="线路完成率"/>
        <s v="项目核减"/>
        <s v="项目核增"/>
        <s v="项目不变"/>
      </sharedItems>
    </cacheField>
    <cacheField name="1月" numFmtId="0">
      <sharedItems containsNumber="1" containsMixedTypes="1" count="133">
        <n v="14"/>
        <n v="2"/>
        <n v="5"/>
        <n v="4"/>
        <n v="1"/>
        <n v="0"/>
        <n v="10"/>
        <n v="3"/>
        <n v="11"/>
        <n v="13"/>
        <n v="8"/>
        <n v="6"/>
        <n v="0.125"/>
        <n v="0.375"/>
        <n v="7"/>
        <n v="0.142857142857143"/>
        <n v="0.428571428571429"/>
        <n v="0.714285714285714"/>
        <n v="0.285714285714286"/>
        <n v="0.166666666666667"/>
        <n v="0.333333333333333"/>
        <n v="0.25"/>
        <n v="0.5"/>
        <n v="0.4"/>
        <s v=""/>
        <n v="0.363636363636364"/>
        <n v="0.461538461538462"/>
        <n v="0.6"/>
        <n v="4.189605"/>
        <n v="1.660672"/>
        <n v="0.947026"/>
        <n v="0.669592"/>
        <n v="0.450327"/>
        <n v="0.461988"/>
        <n v="3.518908"/>
        <n v="0.22037"/>
        <n v="4.238128"/>
        <n v="1.691749"/>
        <n v="0.678969"/>
        <n v="0.470057"/>
        <n v="3.564745"/>
        <n v="0.223056"/>
        <n v="0.312457"/>
        <n v="0.039611"/>
        <n v="0.210536"/>
        <n v="0.057962"/>
        <n v="0.043959"/>
        <n v="0.39637913359374"/>
        <n v="0.226041834492751"/>
        <n v="0.159822226677694"/>
        <n v="0.107486743977058"/>
        <n v="0.110270061258758"/>
        <n v="0.839914025307875"/>
        <n v="0.0525992307150674"/>
        <n v="0.399173644590253"/>
        <n v="0.223453845660159"/>
        <n v="0.160204930101214"/>
        <n v="0.106256111188714"/>
        <n v="0.11091146845966"/>
        <n v="0.841113104653753"/>
        <n v="0.0526307841575337"/>
        <n v="0.666666666666667"/>
        <n v="3.591092"/>
        <n v="0.862777"/>
        <n v="2.728315"/>
        <n v="3.654331"/>
        <n v="0.877846"/>
        <n v="2.776485"/>
        <n v="0.415273"/>
        <n v="0.381135"/>
        <n v="0.0341379999999999"/>
        <n v="0.240254774870708"/>
        <n v="0.759745225129292"/>
        <n v="0.240220713449329"/>
        <n v="0.759779286550671"/>
        <n v="12"/>
        <n v="0.2"/>
        <n v="0.625"/>
        <n v="0.615384615384615"/>
        <n v="0.833333333333333"/>
        <n v="4.321344"/>
        <n v="1.285732"/>
        <n v="2.906085"/>
        <n v="0.129527"/>
        <n v="1.732044"/>
        <n v="2.5893"/>
        <n v="4.384582"/>
        <n v="1.303895"/>
        <n v="2.950142"/>
        <n v="0.130545"/>
        <n v="1.757128"/>
        <n v="2.627454"/>
        <n v="0.030766"/>
        <n v="0.0200800000000001"/>
        <n v="0.017676"/>
        <n v="0.01309"/>
        <n v="0.0102"/>
        <n v="0.00988000000000011"/>
        <n v="0.297530583077857"/>
        <n v="0.672495640245257"/>
        <n v="0.0299737766768857"/>
        <n v="0.400811414226685"/>
        <n v="0.599188585773315"/>
        <n v="0.297381825679164"/>
        <n v="0.672844526570606"/>
        <n v="0.0297736477502302"/>
        <n v="0.400751542564377"/>
        <n v="0.599248457435623"/>
        <s v="-"/>
        <n v="2.360638"/>
        <n v="0.338204"/>
        <n v="2.022434"/>
        <n v="2.397307"/>
        <n v="0.340862"/>
        <n v="2.056445"/>
        <n v="0.0328039999999999"/>
        <n v="0.0307959999999999"/>
        <n v="0.00200799999999999"/>
        <n v="0.143268048722422"/>
        <n v="0.856731951277578"/>
        <n v="0.142185377175305"/>
        <n v="0.857814622824695"/>
        <n v="0.9247"/>
        <n v="0.9405"/>
        <n v="0.0257"/>
        <n v="0.0085"/>
        <n v="0.060156"/>
        <n v="0.029854"/>
        <n v="0.030302"/>
        <n v="0.018568"/>
        <n v="0.003523"/>
        <n v="0.496276348161447"/>
        <n v="0.503723651838553"/>
      </sharedItems>
    </cacheField>
    <cacheField name="2月" numFmtId="0">
      <sharedItems containsNumber="1" containsMixedTypes="1" count="201">
        <n v="2"/>
        <n v="0"/>
        <n v="1"/>
        <n v="9"/>
        <n v="3"/>
        <n v="4"/>
        <n v="0.111111111111111"/>
        <n v="0.333333333333333"/>
        <n v="0.444444444444444"/>
        <n v="7"/>
        <n v="8"/>
        <n v="0.25"/>
        <n v="0.375"/>
        <n v="6"/>
        <n v="0.75"/>
        <n v="16"/>
        <n v="5"/>
        <n v="12"/>
        <n v="15"/>
        <n v="10"/>
        <n v="0.142857142857143"/>
        <n v="0.285714285714286"/>
        <n v="0.5"/>
        <n v="0.571428571428571"/>
        <n v="0.428571428571429"/>
        <n v="0.4375"/>
        <n v="0.4"/>
        <s v=""/>
        <n v="0.416666666666667"/>
        <n v="0.466666666666667"/>
        <n v="0.6"/>
        <n v="2.936011"/>
        <n v="0.26261"/>
        <n v="7.125616"/>
        <n v="1.660672"/>
        <n v="0.947026"/>
        <n v="0.669592"/>
        <n v="3.386338"/>
        <n v="0.461988"/>
        <n v="0.233056622753738"/>
        <n v="0.132904439419694"/>
        <n v="0.0939697003038053"/>
        <n v="0.475234421838056"/>
        <n v="0.0648348156847071"/>
        <n v="6.454919"/>
        <n v="0.450327"/>
        <n v="0.22037"/>
        <n v="0.905875225384023"/>
        <n v="0.063198325590377"/>
        <n v="0.0309264490256"/>
        <n v="7.174139"/>
        <n v="1.691749"/>
        <n v="0.678969"/>
        <n v="0.470057"/>
        <n v="0.235812130208238"/>
        <n v="0.132005527074399"/>
        <n v="0.0946411827258992"/>
        <n v="0.472020126735766"/>
        <n v="0.065521033255698"/>
        <n v="6.500756"/>
        <n v="0.223056"/>
        <n v="0.906137447295069"/>
        <n v="0.0627708774530296"/>
        <n v="0.0310916752519013"/>
        <n v="0.312457"/>
        <n v="0.302221"/>
        <n v="0.210536"/>
        <n v="0.057962"/>
        <n v="0.043959"/>
        <s v="-"/>
        <n v="0.780199"/>
        <n v="0.793825"/>
        <n v="0.00659200000000001"/>
        <n v="4.371291"/>
        <n v="0.862777"/>
        <n v="2.728315"/>
        <n v="0.197373499041816"/>
        <n v="0.178482512374491"/>
        <n v="0.624143988583693"/>
        <n v="3.508514"/>
        <n v="0.802626500958184"/>
        <n v="4.448156"/>
        <n v="0.877846"/>
        <n v="2.776485"/>
        <n v="0.197350542561907"/>
        <n v="0.178461591724751"/>
        <n v="0.624187865713343"/>
        <n v="3.57031"/>
        <n v="0.802649457438094"/>
        <n v="0.415273"/>
        <n v="0.381135"/>
        <n v="0.0341379999999999"/>
        <n v="0.125"/>
        <n v="14"/>
        <n v="11"/>
        <n v="0.272727272727273"/>
        <n v="0.545454545454545"/>
        <n v="0.0909090909090909"/>
        <n v="0.3"/>
        <n v="0.1"/>
        <n v="0.666666666666667"/>
        <n v="0.733333333333333"/>
        <n v="0.857142857142857"/>
        <n v="0.777777777777778"/>
        <n v="0.714285714285714"/>
        <n v="0.870319"/>
        <n v="0.078178"/>
        <n v="0.450308"/>
        <n v="0.341833"/>
        <n v="0.792141"/>
        <n v="0.877399"/>
        <n v="0.457388"/>
        <n v="0.799221"/>
        <n v="0.117507"/>
        <n v="0.113168"/>
        <n v="0.004339"/>
        <n v="5.191663"/>
        <n v="1.36391"/>
        <n v="3.356393"/>
        <n v="0.129527"/>
        <n v="0.26271158201139"/>
        <n v="0.646496700575519"/>
        <n v="0.0249490384872824"/>
        <n v="0.0658426789258085"/>
        <n v="2.524185"/>
        <n v="2.667478"/>
        <n v="0.486199701328842"/>
        <n v="0.513800298671158"/>
        <n v="5.261981"/>
        <n v="1.382073"/>
        <n v="3.40753"/>
        <n v="0.130545"/>
        <n v="0.262652601748277"/>
        <n v="0.64757550435853"/>
        <n v="0.0248090975623059"/>
        <n v="0.0649627963308876"/>
        <n v="2.556349"/>
        <n v="2.705632"/>
        <n v="0.485814943079422"/>
        <n v="0.514185056920578"/>
        <n v="0.148273"/>
        <n v="0.0200800000000001"/>
        <n v="0.130844"/>
        <n v="0.017429"/>
        <n v="0.0102"/>
        <n v="0.00988000000000011"/>
        <n v="0.2"/>
        <n v="0.555555555555556"/>
        <n v="0.670747"/>
        <n v="0.332266"/>
        <n v="0.338481"/>
        <n v="0.592756"/>
        <n v="0.077991"/>
        <n v="0.672889"/>
        <n v="0.334408"/>
        <n v="0.594898"/>
        <n v="0.114546"/>
        <n v="0.11082"/>
        <n v="0.003726"/>
        <n v="3.031385"/>
        <n v="0.338204"/>
        <n v="2.022434"/>
        <n v="0.109608644233576"/>
        <n v="0.111567484829542"/>
        <n v="0.667165008733632"/>
        <n v="0.11165886220325"/>
        <n v="2.61519"/>
        <n v="0.416195"/>
        <n v="0.862704671297114"/>
        <n v="0.137295328702887"/>
        <n v="3.070196"/>
        <n v="0.340862"/>
        <n v="2.056445"/>
        <n v="0.108920733399431"/>
        <n v="0.11102287932106"/>
        <n v="0.669809028478964"/>
        <n v="0.110247358800546"/>
        <n v="2.651343"/>
        <n v="0.418853"/>
        <n v="0.863574507946724"/>
        <n v="0.136425492053276"/>
        <n v="0.14735"/>
        <n v="0.141616"/>
        <n v="0.00573399999999999"/>
        <n v="0.9247"/>
        <n v="0.9405"/>
        <n v="0.0257"/>
        <n v="0.0085"/>
        <n v="0.114026"/>
        <n v="0.046782"/>
        <n v="0.174182"/>
        <n v="0.060156"/>
        <n v="0.345362896280902"/>
        <n v="0.654637103719099"/>
        <n v="0.029854"/>
        <n v="0.144328"/>
        <n v="0.171395436956746"/>
        <n v="0.828604563043254"/>
        <n v="0.018568"/>
        <n v="0.050305"/>
        <n v="0.003523"/>
      </sharedItems>
    </cacheField>
    <cacheField name="3月" numFmtId="0">
      <sharedItems containsNumber="1" containsMixedTypes="1" count="240">
        <n v="6"/>
        <n v="0"/>
        <n v="2"/>
        <n v="4"/>
        <n v="1"/>
        <n v="5"/>
        <n v="3"/>
        <n v="13"/>
        <n v="0.0769230769230769"/>
        <n v="0.230769230769231"/>
        <n v="0.461538461538462"/>
        <n v="7"/>
        <n v="12"/>
        <n v="0.166666666666667"/>
        <n v="0.333333333333333"/>
        <n v="0.5"/>
        <n v="0.25"/>
        <n v="22"/>
        <n v="9"/>
        <n v="18"/>
        <n v="20"/>
        <n v="11"/>
        <n v="0.111111111111111"/>
        <n v="8"/>
        <n v="0.625"/>
        <n v="0.375"/>
        <n v="0.409090909090909"/>
        <s v=""/>
        <n v="0.2"/>
        <n v="0.4"/>
        <n v="0.454545454545455"/>
        <n v="2.666507"/>
        <n v="0.812323"/>
        <n v="1.854184"/>
        <n v="2.708124"/>
        <n v="0.827524"/>
        <n v="1.8806"/>
        <n v="0.35404"/>
        <n v="0.3444"/>
        <n v="0.00963999999999996"/>
        <n v="9.792123"/>
        <n v="1.660672"/>
        <n v="0.947026"/>
        <n v="1.481915"/>
        <n v="5.240522"/>
        <n v="0.461988"/>
        <n v="0.169592640942112"/>
        <n v="0.0967130416968823"/>
        <n v="0.151337457668781"/>
        <n v="0.535177305268735"/>
        <n v="0.0471795544234892"/>
        <n v="8.309103"/>
        <n v="1.26265"/>
        <n v="0.22037"/>
        <n v="0.848549696526484"/>
        <n v="0.128945479953632"/>
        <n v="0.0225048235198843"/>
        <n v="9.882263"/>
        <n v="1.691749"/>
        <n v="1.506493"/>
        <n v="5.266938"/>
        <n v="0.470057"/>
        <n v="0.171190444941609"/>
        <n v="0.0958308840798914"/>
        <n v="0.152444131470697"/>
        <n v="0.532968814936417"/>
        <n v="0.0475657245713861"/>
        <n v="8.381356"/>
        <n v="1.277851"/>
        <n v="0.223056"/>
        <n v="0.848121123673798"/>
        <n v="0.129307528042919"/>
        <n v="0.0225713482832829"/>
        <n v="0.312457"/>
        <n v="0.656261"/>
        <n v="0.210536"/>
        <n v="0.057962"/>
        <n v="0.043959"/>
        <n v="0.646621"/>
        <n v="0.0833333333333333"/>
        <n v="0.75"/>
        <n v="4.371291"/>
        <n v="0.862777"/>
        <n v="0.780199"/>
        <n v="2.728315"/>
        <n v="0.197373499041816"/>
        <n v="0.178482512374491"/>
        <n v="0.624143988583693"/>
        <n v="3.508514"/>
        <n v="0.802626500958184"/>
        <n v="4.448156"/>
        <n v="0.877846"/>
        <n v="0.793825"/>
        <n v="2.776485"/>
        <n v="0.197350542561907"/>
        <n v="0.178461591724751"/>
        <n v="0.624187865713343"/>
        <n v="3.57031"/>
        <n v="0.802649457438094"/>
        <n v="0.415273"/>
        <n v="0.00659200000000001"/>
        <n v="0.381135"/>
        <n v="0.0341379999999999"/>
        <s v="-"/>
        <n v="16"/>
        <n v="14"/>
        <n v="0.3125"/>
        <n v="0.4375"/>
        <n v="0.125"/>
        <n v="0.0625"/>
        <n v="0.357142857142857"/>
        <n v="0.142857142857143"/>
        <n v="0.833333333333333"/>
        <n v="3.681989"/>
        <n v="2.000642"/>
        <n v="0.850945"/>
        <n v="0.391863"/>
        <n v="0.438539"/>
        <n v="2.443535"/>
        <n v="1.238454"/>
        <n v="3.73774"/>
        <n v="2.036858"/>
        <n v="0.864321"/>
        <n v="0.398022"/>
        <n v="2.486713"/>
        <n v="1.251027"/>
        <n v="0.0585509999999998"/>
        <n v="0.0478579999999998"/>
        <n v="0.0106929999999999"/>
        <n v="8.873652"/>
        <n v="3.364552"/>
        <n v="4.207338"/>
        <n v="0.52139"/>
        <n v="0.341833"/>
        <n v="0.379162040611915"/>
        <n v="0.474138269114002"/>
        <n v="0.0587570934717746"/>
        <n v="0.0494203513953443"/>
        <n v="0.0385222454069644"/>
        <n v="4.96772"/>
        <n v="3.905932"/>
        <n v="0.55982812938799"/>
        <n v="0.44017187061201"/>
        <n v="8.999721"/>
        <n v="3.418931"/>
        <n v="4.271851"/>
        <n v="0.528567"/>
        <n v="0.379892998905188"/>
        <n v="0.474664825720709"/>
        <n v="0.0587314873427743"/>
        <n v="0.0487280661256055"/>
        <n v="0.0379826219057235"/>
        <n v="5.043062"/>
        <n v="3.956659"/>
        <n v="0.560357593307615"/>
        <n v="0.439642406692385"/>
        <n v="0.206824"/>
        <n v="0.0200800000000001"/>
        <n v="0.178702"/>
        <n v="0.0281219999999999"/>
        <n v="0.0102"/>
        <n v="0.00988000000000011"/>
        <n v="10"/>
        <n v="0.3"/>
        <n v="0.1"/>
        <n v="0.555555555555556"/>
        <n v="0.571428571428571"/>
        <n v="0.6"/>
        <n v="0.666666666666667"/>
        <n v="0.714285714285714"/>
        <n v="4.771736"/>
        <n v="3.446461"/>
        <n v="0.473898"/>
        <n v="0.851377"/>
        <n v="0.514535"/>
        <n v="3.405824"/>
        <n v="4.846262"/>
        <n v="3.503366"/>
        <n v="0.477863"/>
        <n v="0.865033"/>
        <n v="0.522623"/>
        <n v="3.458606"/>
        <n v="0.0878560000000001"/>
        <n v="0.050306"/>
        <n v="0.0246140000000002"/>
        <n v="0.0129359999999999"/>
        <n v="7.803121"/>
        <n v="3.778727"/>
        <n v="0.812102"/>
        <n v="2.022434"/>
        <n v="0.338481"/>
        <n v="0.484258414037153"/>
        <n v="0.104073998083587"/>
        <n v="0.109107240551569"/>
        <n v="0.25918270394628"/>
        <n v="0.0433776433814111"/>
        <n v="3.129725"/>
        <n v="3.822019"/>
        <n v="0.401086308926902"/>
        <n v="0.489806450521528"/>
        <n v="7.916458"/>
        <n v="3.837774"/>
        <n v="0.818725"/>
        <n v="2.056445"/>
        <n v="0.484784230523297"/>
        <n v="0.103420620686676"/>
        <n v="0.109270206448389"/>
        <n v="0.259768320630262"/>
        <n v="0.0427566217113765"/>
        <n v="3.173966"/>
        <n v="3.877459"/>
        <n v="0.400932588791603"/>
        <n v="0.489797204760008"/>
        <n v="0.235206"/>
        <n v="0.191922"/>
        <n v="0.0303480000000002"/>
        <n v="0.9247"/>
        <n v="0.9405"/>
        <n v="0.0257"/>
        <n v="0.0085"/>
        <n v="0.152159"/>
        <n v="0.116467"/>
        <n v="0.035692"/>
        <n v="0.027049"/>
        <n v="0.326341"/>
        <n v="0.060156"/>
        <n v="0.114026"/>
        <n v="0.356887427568096"/>
        <n v="0.184334790908896"/>
        <n v="0.109370259942821"/>
        <n v="0.349407521580188"/>
        <n v="0.182013"/>
        <n v="0.144328"/>
        <n v="0.557738684382287"/>
        <n v="0.442261315617713"/>
        <n v="0.045617"/>
        <n v="0.050305"/>
        <n v="0.018568"/>
        <n v="0.003523"/>
        <n v="0.046782"/>
      </sharedItems>
    </cacheField>
    <cacheField name="4月" numFmtId="0">
      <sharedItems containsNumber="1" containsMixedTypes="1" count="270">
        <n v="0"/>
        <n v="5"/>
        <n v="1"/>
        <n v="4"/>
        <n v="2"/>
        <n v="3"/>
        <n v="8"/>
        <n v="0.125"/>
        <n v="0.25"/>
        <n v="0.375"/>
        <n v="7"/>
        <n v="0.285714285714286"/>
        <n v="0.428571428571429"/>
        <n v="6"/>
        <n v="0.75"/>
        <n v="22"/>
        <n v="9"/>
        <n v="13"/>
        <n v="18"/>
        <n v="20"/>
        <n v="11"/>
        <n v="14"/>
        <n v="0.0714285714285714"/>
        <n v="0.142857142857143"/>
        <n v="0.5"/>
        <n v="0.214285714285714"/>
        <n v="0.0909090909090909"/>
        <n v="0.272727272727273"/>
        <n v="0.636363636363636"/>
        <n v="12"/>
        <n v="0.416666666666667"/>
        <n v="0.166666666666667"/>
        <n v="0.777777777777778"/>
        <s v=""/>
        <n v="0.615384615384615"/>
        <n v="0.6"/>
        <n v="0.611111111111111"/>
        <n v="0.333333333333333"/>
        <n v="0.454545454545455"/>
        <n v="0.833333333333333"/>
        <n v="0.666666666666667"/>
        <n v="1.980262"/>
        <n v="0.188797"/>
        <n v="1.791465"/>
        <n v="1.102784"/>
        <n v="0.688681"/>
        <n v="2.0079893546"/>
        <n v="0.190955"/>
        <n v="1.8170343546"/>
        <n v="1.117933"/>
        <n v="0.6991013546"/>
        <n v="0.2002466454"/>
        <n v="0.025956"/>
        <n v="0.000386000000000058"/>
        <n v="0.1998606454"/>
        <n v="0.023542"/>
        <n v="0.00241399999999999"/>
        <n v="11.772385"/>
        <n v="1.660672"/>
        <n v="1.135823"/>
        <n v="3.27338"/>
        <n v="5.240522"/>
        <n v="0.461988"/>
        <n v="0.141065043319599"/>
        <n v="0.0964819788003875"/>
        <n v="0.278055806024013"/>
        <n v="0.445153806981338"/>
        <n v="0.0392433648746622"/>
        <n v="9.411887"/>
        <n v="1.451447"/>
        <n v="0.909051"/>
        <n v="0.79948854883696"/>
        <n v="0.123292518890607"/>
        <n v="0.0772189322724325"/>
        <n v="11.8902523546"/>
        <n v="1.691749"/>
        <n v="1.137981"/>
        <n v="3.3235273546"/>
        <n v="5.266938"/>
        <n v="0.470057"/>
        <n v="0.142280327578204"/>
        <n v="0.0957070519667942"/>
        <n v="0.279516973692675"/>
        <n v="0.442962675889917"/>
        <n v="0.0395329708724095"/>
        <n v="9.499289"/>
        <n v="1.468806"/>
        <n v="0.9221573546"/>
        <n v="0.798913994144539"/>
        <n v="0.12353026295794"/>
        <n v="0.0775557428975209"/>
        <n v="0.5127036454"/>
        <n v="0.682217"/>
        <n v="0.210922"/>
        <n v="0.057962"/>
        <n v="0.2438196454"/>
        <n v="0.670163"/>
        <n v="0.012054"/>
        <n v="0.624034"/>
        <n v="0.637032"/>
        <n v="0.014471"/>
        <n v="4.995325"/>
        <n v="0.862777"/>
        <n v="0.780199"/>
        <n v="2.728315"/>
        <n v="0.172716890292423"/>
        <n v="0.156185833754561"/>
        <n v="0.546173672383679"/>
        <n v="0.124923603569337"/>
        <n v="3.508514"/>
        <n v="0.702359506138239"/>
        <n v="5.085188"/>
        <n v="0.877846"/>
        <n v="0.793825"/>
        <n v="2.776485"/>
        <n v="0.172628032631242"/>
        <n v="0.156105339664925"/>
        <n v="0.545994563032871"/>
        <n v="0.125272064670962"/>
        <n v="3.57031"/>
        <n v="0.702099902697796"/>
        <n v="0.429744"/>
        <n v="0.00659200000000001"/>
        <n v="0.381135"/>
        <n v="0.0341379999999999"/>
        <n v="19"/>
        <n v="10"/>
        <n v="17"/>
        <n v="0.294117647058824"/>
        <n v="0.411764705882353"/>
        <n v="0.176470588235294"/>
        <n v="0.0588235294117647"/>
        <n v="15"/>
        <n v="0.466666666666667"/>
        <n v="0.2"/>
        <n v="0.894736842105263"/>
        <n v="0.875"/>
        <n v="0.9"/>
        <n v="0.882352941176471"/>
        <n v="0.140844"/>
        <n v="0.141951"/>
        <n v="0.00435799999999999"/>
        <n v="9.014496"/>
        <n v="3.364552"/>
        <n v="4.207338"/>
        <n v="0.662234"/>
        <n v="0.438539"/>
        <n v="0.341833"/>
        <n v="0.37323794918762"/>
        <n v="0.466730253138944"/>
        <n v="0.073463230778515"/>
        <n v="0.0486481995221918"/>
        <n v="0.0379203673727294"/>
        <n v="4.96772"/>
        <n v="3.905932"/>
        <n v="0.551081280639539"/>
        <n v="0.433294551353731"/>
        <n v="0.0156241680067305"/>
        <n v="9.141672"/>
        <n v="3.418931"/>
        <n v="4.271851"/>
        <n v="0.670518"/>
        <n v="0.373994057104652"/>
        <n v="0.467294276145545"/>
        <n v="0.0733474139085279"/>
        <n v="0.0479714214205016"/>
        <n v="0.0373928314207729"/>
        <n v="5.043062"/>
        <n v="3.956659"/>
        <n v="0.551656414712757"/>
        <n v="0.432815681857761"/>
        <n v="0.015527903429482"/>
        <n v="0.211182"/>
        <n v="0.0200800000000001"/>
        <n v="0.178702"/>
        <n v="0.0281219999999999"/>
        <n v="0.0102"/>
        <n v="0.00988000000000011"/>
        <n v="0.840305"/>
        <n v="0.853543"/>
        <n v="0.0138210000000001"/>
        <n v="0.571428571428571"/>
        <n v="16"/>
        <n v="0.625"/>
        <n v="0.727272727272727"/>
        <n v="7.063605"/>
        <n v="1.295063"/>
        <n v="0.400142"/>
        <n v="0.640894"/>
        <n v="0.253457"/>
        <n v="4.474049"/>
        <n v="4.874191"/>
        <n v="1.230126"/>
        <n v="0.318394"/>
        <n v="7.178931"/>
        <n v="1.315154"/>
        <n v="0.406432"/>
        <n v="0.651687"/>
        <n v="4.552201"/>
        <n v="4.958633"/>
        <n v="1.245212"/>
        <n v="0.323399"/>
        <n v="0.194389"/>
        <n v="0.010755"/>
        <n v="0.151973"/>
        <n v="0.0348979999999999"/>
        <n v="0.00751800000000003"/>
        <n v="0.000476999999999998"/>
        <n v="0.010278"/>
        <n v="14.866726"/>
        <n v="5.07379"/>
        <n v="1.212244"/>
        <n v="1.492271"/>
        <n v="2.275891"/>
        <n v="4.81253"/>
        <n v="0.341284960790964"/>
        <n v="0.0815407508014878"/>
        <n v="0.100376572488119"/>
        <n v="0.153086227593083"/>
        <n v="0.323711488326347"/>
        <n v="8.003916"/>
        <n v="5.052145"/>
        <n v="0.538377851317096"/>
        <n v="0.339829024897614"/>
        <n v="0.021416551297172"/>
        <n v="15.095389"/>
        <n v="5.152928"/>
        <n v="1.225157"/>
        <n v="1.51672"/>
        <n v="2.309902"/>
        <n v="4.890682"/>
        <n v="0.341357748382635"/>
        <n v="0.0811610088352145"/>
        <n v="0.100475714802712"/>
        <n v="0.153020369332649"/>
        <n v="0.323985158646789"/>
        <n v="8.132599"/>
        <n v="5.122671"/>
        <n v="0.53874722936918"/>
        <n v="0.339353361480118"/>
        <n v="0.0214236943479893"/>
        <n v="0.429595"/>
        <n v="0.343895"/>
        <n v="0.0652460000000001"/>
        <n v="0.0204539999999999"/>
        <s v="-"/>
        <n v="0.9247"/>
        <n v="0.9405"/>
        <n v="0.0257"/>
        <n v="0.0085"/>
        <n v="0.4"/>
        <n v="0.326341"/>
        <n v="0.116467"/>
        <n v="0.060156"/>
        <n v="0.035692"/>
        <n v="0.114026"/>
        <n v="0.356887427568096"/>
        <n v="0.184334790908896"/>
        <n v="0.109370259942821"/>
        <n v="0.349407521580188"/>
        <n v="0.182013"/>
        <n v="0.144328"/>
        <n v="0.557738684382287"/>
        <n v="0.442261315617713"/>
        <n v="0.045617"/>
        <n v="0.050305"/>
        <n v="0.027049"/>
        <n v="0.018568"/>
        <n v="0.003523"/>
        <n v="0.046782"/>
      </sharedItems>
    </cacheField>
    <cacheField name="5月" numFmtId="0">
      <sharedItems containsNumber="1" containsMixedTypes="1" count="335">
        <n v="3"/>
        <n v="1"/>
        <n v="0"/>
        <n v="2"/>
        <n v="8"/>
        <n v="5"/>
        <n v="7"/>
        <n v="6"/>
        <n v="0.333333333333333"/>
        <n v="0.666666666666667"/>
        <n v="0.5"/>
        <n v="25"/>
        <n v="4"/>
        <n v="11"/>
        <n v="13"/>
        <n v="21"/>
        <n v="22"/>
        <n v="9"/>
        <n v="0.0909090909090909"/>
        <n v="0.181818181818182"/>
        <n v="0.409090909090909"/>
        <n v="0.272727272727273"/>
        <n v="0.0454545454545455"/>
        <n v="18"/>
        <n v="0.166666666666667"/>
        <n v="20"/>
        <n v="0.55"/>
        <n v="0.3"/>
        <n v="0.15"/>
        <n v="0.88"/>
        <n v="0.818181818181818"/>
        <s v=""/>
        <n v="0.8"/>
        <n v="0.714285714285714"/>
        <n v="0.857142857142857"/>
        <n v="0.75"/>
        <n v="0.909090909090909"/>
        <n v="27.836211"/>
        <n v="1.785402"/>
        <n v="3.347387"/>
        <n v="14.592541"/>
        <n v="8.110881"/>
        <n v="23.79641"/>
        <n v="2.773841"/>
        <n v="1.26596"/>
        <n v="28.545673"/>
        <n v="1.816574"/>
        <n v="3.404945"/>
        <n v="15.067061"/>
        <n v="8.257093"/>
        <n v="24.437318"/>
        <n v="2.822401"/>
        <n v="1.285954"/>
        <n v="0.961875"/>
        <n v="0.815051997800003"/>
        <n v="0.240052"/>
        <n v="0.721823"/>
        <n v="0.727417000000003"/>
        <n v="0.0876349978"/>
        <n v="39.608596"/>
        <n v="3.446074"/>
        <n v="4.48321"/>
        <n v="17.865921"/>
        <n v="13.351403"/>
        <n v="0.461988"/>
        <n v="0.0870031848642148"/>
        <n v="0.113187803980732"/>
        <n v="0.451061708928032"/>
        <n v="0.337083470466865"/>
        <n v="0.0116638317601563"/>
        <n v="33.208297"/>
        <n v="4.225288"/>
        <n v="2.175011"/>
        <n v="0.838411364038251"/>
        <n v="0.1066760356767"/>
        <n v="0.0549126002850492"/>
        <n v="40.4359253546"/>
        <n v="3.508323"/>
        <n v="4.542926"/>
        <n v="18.3905883546"/>
        <n v="13.524031"/>
        <n v="0.470057"/>
        <n v="0.0867625253839008"/>
        <n v="0.112348758193639"/>
        <n v="0.454808148776738"/>
        <n v="0.33445583058634"/>
        <n v="0.0116247370593814"/>
        <n v="33.936607"/>
        <n v="4.291207"/>
        <n v="2.2081113546"/>
        <n v="0.839268712225461"/>
        <n v="0.106123625522813"/>
        <n v="0.054607662251726"/>
        <n v="1.4745786454"/>
        <n v="1.4972689978"/>
        <n v="0.450974"/>
        <n v="0.779785"/>
        <n v="0.2438196454"/>
        <n v="1.39758"/>
        <n v="0.012054"/>
        <n v="0.428571428571429"/>
        <n v="0.142857142857143"/>
        <n v="0.6"/>
        <n v="0.2"/>
        <n v="0.875"/>
        <n v="0.833333333333333"/>
        <n v="4.949911"/>
        <n v="2.243233"/>
        <n v="2.706678"/>
        <n v="1.750338"/>
        <n v="0.492895"/>
        <n v="5.047182"/>
        <n v="2.289874"/>
        <n v="2.757308"/>
        <n v="1.788371"/>
        <n v="0.501503"/>
        <n v="0.00925800000000008"/>
        <n v="0.00773999999999978"/>
        <n v="0.00395200000000004"/>
        <n v="0.00530600000000004"/>
        <n v="9.945236"/>
        <n v="3.10601"/>
        <n v="0.780199"/>
        <n v="2.728315"/>
        <n v="0.624034"/>
        <n v="0.312311341832411"/>
        <n v="0.0784495209565665"/>
        <n v="0.274333861961647"/>
        <n v="0.272158247426205"/>
        <n v="0.0627470278231708"/>
        <n v="3.508514"/>
        <n v="1.355672"/>
        <n v="0.352783382918213"/>
        <n v="0.17599763343977"/>
        <n v="0.136313708392641"/>
        <n v="10.13237"/>
        <n v="3.16772"/>
        <n v="0.793825"/>
        <n v="2.776485"/>
        <n v="0.637032"/>
        <n v="0.312633668134898"/>
        <n v="0.0783454413922903"/>
        <n v="0.274021280312503"/>
        <n v="0.272128633281256"/>
        <n v="0.062870976879052"/>
        <n v="3.57031"/>
        <n v="1.379349"/>
        <n v="0.352366721704794"/>
        <n v="0.176500759447197"/>
        <n v="0.136132908687701"/>
        <n v="0.439002"/>
        <n v="0.0143319999999998"/>
        <n v="0.381135"/>
        <n v="0.039444"/>
        <n v="0.014471"/>
        <n v="0.00659200000000001"/>
        <n v="1.005306"/>
        <s v="-"/>
        <n v="0.25"/>
        <n v="0.4"/>
        <n v="0.05"/>
        <n v="0.277777777777778"/>
        <n v="0.444444444444444"/>
        <n v="14"/>
        <n v="1.304362"/>
        <n v="0.163262"/>
        <n v="1.1411"/>
        <n v="1.324726"/>
        <n v="0.164545"/>
        <n v="1.160181"/>
        <n v="0.00764200000000001"/>
        <n v="0.000659000000000015"/>
        <n v="0.00698299999999999"/>
        <n v="10.318858"/>
        <n v="3.364552"/>
        <n v="4.3706"/>
        <n v="1.803334"/>
        <n v="0.438539"/>
        <n v="0.341833"/>
        <n v="0.326058561906754"/>
        <n v="0.423554622032787"/>
        <n v="0.174761005529876"/>
        <n v="0.0424987920174888"/>
        <n v="0.0331270185130952"/>
        <n v="6.10882"/>
        <n v="4.069194"/>
        <n v="0.140844"/>
        <n v="0.592005433159367"/>
        <n v="0.394345382018049"/>
        <n v="0.0136491848225841"/>
        <n v="10.466398"/>
        <n v="3.418931"/>
        <n v="4.436396"/>
        <n v="1.830699"/>
        <n v="0.326657843510251"/>
        <n v="0.423870370685311"/>
        <n v="0.174912037551028"/>
        <n v="0.041899706087997"/>
        <n v="0.0326600421654135"/>
        <n v="6.203243"/>
        <n v="4.121204"/>
        <n v="0.141951"/>
        <n v="0.592681742085482"/>
        <n v="0.393755712328157"/>
        <n v="0.0135625455863612"/>
        <n v="0.211182"/>
        <n v="0.0277220000000001"/>
        <n v="0.178702"/>
        <n v="0.0281219999999999"/>
        <n v="0.00435799999999999"/>
        <n v="0.010859"/>
        <n v="0.0168630000000001"/>
        <n v="2.889361"/>
        <n v="2.939598"/>
        <n v="0.00930200000000004"/>
        <n v="3.729666"/>
        <n v="0.840305"/>
        <n v="0.225303016409512"/>
        <n v="0.774696983590488"/>
        <n v="3.793141"/>
        <n v="0.853543"/>
        <n v="0.225022745002097"/>
        <n v="0.774977254997903"/>
        <n v="0.0138210000000001"/>
        <n v="0.363636363636364"/>
        <n v="0.318181818181818"/>
        <n v="0.136363636363636"/>
        <n v="0.388888888888889"/>
        <n v="0.454545454545455"/>
        <n v="0.545454545454545"/>
        <n v="16"/>
        <n v="0.888888888888889"/>
        <n v="0.9"/>
        <n v="0.846153846153846"/>
        <n v="5.637268"/>
        <n v="2.407236"/>
        <n v="2.867458"/>
        <n v="0.362574"/>
        <n v="2.045265"/>
        <n v="3.229429"/>
        <n v="5.727542"/>
        <n v="2.446739"/>
        <n v="2.91253"/>
        <n v="0.368273"/>
        <n v="2.079079"/>
        <n v="3.28019"/>
        <n v="0.047456"/>
        <n v="0.108007"/>
        <n v="0.028914"/>
        <n v="0.018542"/>
        <n v="0.0545220000000001"/>
        <n v="0.053485"/>
        <n v="20.503994"/>
        <n v="7.481026"/>
        <n v="4.079702"/>
        <n v="1.854845"/>
        <n v="2.275891"/>
        <n v="4.81253"/>
        <n v="0.364857012736153"/>
        <n v="0.198971088266998"/>
        <n v="0.0904626191365448"/>
        <n v="0.11099744761923"/>
        <n v="0.234711832241075"/>
        <n v="10.049181"/>
        <n v="5.414719"/>
        <n v="3.547823"/>
        <n v="1.492271"/>
        <n v="0.490108463746137"/>
        <n v="0.264081183402609"/>
        <n v="0.173030825116316"/>
        <n v="0.0727795277349379"/>
        <n v="20.822931"/>
        <n v="7.599667"/>
        <n v="4.137687"/>
        <n v="1.884993"/>
        <n v="2.309902"/>
        <n v="4.890682"/>
        <n v="0.364966248027235"/>
        <n v="0.198708193385456"/>
        <n v="0.090524864150969"/>
        <n v="0.1109306850222"/>
        <n v="0.234870009414141"/>
        <n v="10.211678"/>
        <n v="5.490944"/>
        <n v="3.603589"/>
        <n v="1.51672"/>
        <n v="0.490405409305731"/>
        <n v="0.263696979066011"/>
        <n v="0.173058682276765"/>
        <n v="0.0728389293514924"/>
        <n v="0.477051"/>
        <n v="0.118762"/>
        <n v="0.372809"/>
        <n v="0.0837880000000001"/>
        <n v="0.0204539999999999"/>
        <n v="0.0549990000000001"/>
        <n v="0.0637630000000001"/>
        <n v="1.909"/>
        <n v="1.9446"/>
        <n v="0.1069"/>
        <n v="2.8337"/>
        <n v="2.8851"/>
        <n v="0.0257"/>
        <n v="0.1154"/>
        <n v="0.111111111111111"/>
        <n v="0.111419"/>
        <n v="0.031137"/>
        <n v="0.062992"/>
        <n v="0.01729"/>
        <n v="0.07838"/>
        <n v="0.033039"/>
        <n v="0.008061"/>
        <n v="0.032853"/>
        <n v="0.002391"/>
        <n v="0.00567"/>
        <n v="0.43776"/>
        <n v="0.147604"/>
        <n v="0.123148"/>
        <n v="0.035692"/>
        <n v="0.114026"/>
        <n v="0.33718019005848"/>
        <n v="0.281313961988304"/>
        <n v="0.0815332602339181"/>
        <n v="0.0394965277777778"/>
        <n v="0.260476059941521"/>
        <n v="0.260393"/>
        <n v="0.177367"/>
        <n v="0.594830500730994"/>
        <n v="0.405169499269006"/>
        <n v="0.053678"/>
        <n v="0.083158"/>
        <n v="0.02944"/>
        <n v="0.024238"/>
        <n v="0.036376"/>
        <n v="0.046782"/>
      </sharedItems>
    </cacheField>
    <cacheField name="6月" numFmtId="0">
      <sharedItems containsNumber="1" containsMixedTypes="1" count="329">
        <n v="4"/>
        <n v="2"/>
        <n v="0"/>
        <n v="3"/>
        <n v="1"/>
        <n v="0.666666666666667"/>
        <n v="0.333333333333333"/>
        <n v="0.5"/>
        <n v="29"/>
        <n v="5"/>
        <n v="13"/>
        <n v="6"/>
        <n v="16"/>
        <n v="7"/>
        <n v="25"/>
        <n v="12"/>
        <n v="8"/>
        <n v="26"/>
        <n v="0.115384615384615"/>
        <n v="0.153846153846154"/>
        <n v="0.461538461538462"/>
        <n v="0.230769230769231"/>
        <n v="0.0384615384615385"/>
        <n v="14"/>
        <n v="22"/>
        <n v="0.181818181818182"/>
        <n v="0.272727272727273"/>
        <n v="0.545454545454545"/>
        <n v="23"/>
        <n v="0.521739130434783"/>
        <n v="0.304347826086957"/>
        <n v="0.173913043478261"/>
        <n v="0.896551724137931"/>
        <n v="0.6"/>
        <n v="0.923076923076923"/>
        <s v=""/>
        <n v="0.875"/>
        <n v="0.833333333333333"/>
        <n v="0.88"/>
        <n v="0.92"/>
        <n v="0.8"/>
        <n v="4.16439"/>
        <n v="0.65763"/>
        <n v="3.50676"/>
        <n v="1.89795"/>
        <n v="1.60881"/>
        <n v="4.236511"/>
        <n v="0.669057"/>
        <n v="3.567454"/>
        <n v="1.930579"/>
        <n v="1.636875"/>
        <n v="0.138816"/>
        <n v="0.00909300000000003"/>
        <n v="0.0241730000000001"/>
        <n v="0.114643"/>
        <n v="43.772986"/>
        <n v="4.103704"/>
        <n v="4.48321"/>
        <n v="21.372681"/>
        <n v="13.351403"/>
        <n v="0.461988"/>
        <n v="0.0937496930184292"/>
        <n v="0.102419560776594"/>
        <n v="0.488261892848708"/>
        <n v="0.305014672748165"/>
        <n v="0.0105541806081038"/>
        <n v="35.106247"/>
        <n v="4.882918"/>
        <n v="3.783821"/>
        <n v="0.802007132892419"/>
        <n v="0.11155094605609"/>
        <n v="0.0864419210514905"/>
        <n v="44.6724363546"/>
        <n v="4.17738"/>
        <n v="4.542926"/>
        <n v="21.9580423546"/>
        <n v="13.524031"/>
        <n v="0.470057"/>
        <n v="0.093511353776205"/>
        <n v="0.101694162457119"/>
        <n v="0.491534470614091"/>
        <n v="0.302737708161901"/>
        <n v="0.0105223049906835"/>
        <n v="35.867186"/>
        <n v="4.960264"/>
        <n v="3.8449863546"/>
        <n v="0.80289299010455"/>
        <n v="0.111036343767475"/>
        <n v="0.0860706661279753"/>
        <n v="1.6133946454"/>
        <n v="1.5063619978"/>
        <n v="0.450974"/>
        <n v="0.803958"/>
        <n v="0.3584626454"/>
        <n v="1.406673"/>
        <n v="0.012054"/>
        <n v="0.0876349978"/>
        <n v="0.428571428571429"/>
        <n v="0.142857142857143"/>
        <n v="0.2"/>
        <n v="0.166666666666667"/>
        <n v="0.857142857142857"/>
        <n v="9.945236"/>
        <n v="3.10601"/>
        <n v="0.780199"/>
        <n v="2.728315"/>
        <n v="2.706678"/>
        <n v="0.624034"/>
        <n v="0.312311341832411"/>
        <n v="0.0784495209565665"/>
        <n v="0.274333861961647"/>
        <n v="0.272158247426205"/>
        <n v="0.0627470278231708"/>
        <n v="3.508514"/>
        <n v="1.750338"/>
        <n v="1.355672"/>
        <n v="0.352783382918213"/>
        <n v="0.17599763343977"/>
        <n v="0.136313708392641"/>
        <n v="10.13237"/>
        <n v="3.16772"/>
        <n v="0.793825"/>
        <n v="2.776485"/>
        <n v="2.757308"/>
        <n v="0.637032"/>
        <n v="0.312633668134898"/>
        <n v="0.0783454413922903"/>
        <n v="0.274021280312503"/>
        <n v="0.272128633281256"/>
        <n v="0.062870976879052"/>
        <n v="3.57031"/>
        <n v="1.788371"/>
        <n v="1.379349"/>
        <n v="0.352366721704794"/>
        <n v="0.176500759447197"/>
        <n v="0.136132908687701"/>
        <n v="0.439002"/>
        <n v="0.0143319999999998"/>
        <n v="0.381135"/>
        <n v="0.00395200000000004"/>
        <n v="0.039444"/>
        <n v="0.014471"/>
        <n v="0.00659200000000001"/>
        <n v="0.00773999999999978"/>
        <n v="1.005306"/>
        <n v="9"/>
        <n v="21"/>
        <n v="10"/>
        <n v="0.363636363636364"/>
        <n v="0.0454545454545455"/>
        <n v="20"/>
        <n v="0.3"/>
        <n v="0.4"/>
        <n v="0.222222222222222"/>
        <n v="0.111111111111111"/>
        <n v="0.956521739130435"/>
        <n v="0.952380952380952"/>
        <n v="0.888888888888889"/>
        <n v="0.9"/>
        <n v="0.749534"/>
        <n v="0.325615"/>
        <n v="0.423919"/>
        <n v="0.758214"/>
        <n v="0.330733"/>
        <n v="0.427481"/>
        <n v="0.055225"/>
        <n v="0.0486530000000001"/>
        <n v="0.00657199999999998"/>
        <n v="11.068392"/>
        <n v="3.690167"/>
        <n v="4.3706"/>
        <n v="2.227253"/>
        <n v="0.438539"/>
        <n v="0.341833"/>
        <n v="0.333396847527626"/>
        <n v="0.394872172940749"/>
        <n v="0.201226429277171"/>
        <n v="0.0396208410399632"/>
        <n v="0.0308837092144911"/>
        <n v="6.532739"/>
        <n v="4.394809"/>
        <n v="0.140844"/>
        <n v="0.590215724199143"/>
        <n v="0.397059392186327"/>
        <n v="0.0127248836145305"/>
        <n v="11.224612"/>
        <n v="3.749664"/>
        <n v="4.436396"/>
        <n v="2.25818"/>
        <n v="0.334057337572114"/>
        <n v="0.395238249660657"/>
        <n v="0.201181118777201"/>
        <n v="0.0390694128224655"/>
        <n v="0.0304538811675629"/>
        <n v="6.630724"/>
        <n v="4.451937"/>
        <n v="0.141951"/>
        <n v="0.590730797643607"/>
        <n v="0.3966227964049"/>
        <n v="0.012646405951493"/>
        <n v="0.266407"/>
        <n v="0.0277220000000001"/>
        <n v="0.227355"/>
        <n v="0.0346939999999999"/>
        <n v="0.00435799999999999"/>
        <n v="0.010859"/>
        <n v="0.0168630000000001"/>
        <s v="-"/>
        <n v="3.729666"/>
        <n v="0.840305"/>
        <n v="2.889361"/>
        <n v="0.225303016409512"/>
        <n v="0.774696983590488"/>
        <n v="3.793141"/>
        <n v="0.853543"/>
        <n v="2.939598"/>
        <n v="0.225022745002097"/>
        <n v="0.774977254997903"/>
        <n v="0.0138210000000001"/>
        <n v="0.00930200000000004"/>
        <n v="30"/>
        <n v="15"/>
        <n v="28"/>
        <n v="11"/>
        <n v="0.392857142857143"/>
        <n v="0.285714285714286"/>
        <n v="0.107142857142857"/>
        <n v="0.0714285714285714"/>
        <n v="0.478260869565217"/>
        <n v="0.347826086956522"/>
        <n v="0.933333333333333"/>
        <n v="0.916666666666667"/>
        <n v="12.553778"/>
        <n v="10.051243"/>
        <n v="0.822393"/>
        <n v="0.353572"/>
        <n v="1.32657"/>
        <n v="2.499861"/>
        <n v="0.8162"/>
        <n v="8.884145"/>
        <n v="12.734034"/>
        <n v="10.191726"/>
        <n v="0.83532"/>
        <n v="0.35913"/>
        <n v="1.347858"/>
        <n v="2.539592"/>
        <n v="0.829028"/>
        <n v="9.006284"/>
        <n v="0.194895"/>
        <n v="0.00770100000000002"/>
        <n v="0.02202"/>
        <n v="0.02283"/>
        <n v="0.150045"/>
        <n v="33.057772"/>
        <n v="17.532269"/>
        <n v="4.902095"/>
        <n v="2.208417"/>
        <n v="3.602461"/>
        <n v="4.81253"/>
        <n v="0.530352408504723"/>
        <n v="0.148288729198084"/>
        <n v="0.0668047743810442"/>
        <n v="0.108974706462371"/>
        <n v="0.145579381453777"/>
        <n v="12.549042"/>
        <n v="5.768291"/>
        <n v="4.364023"/>
        <n v="10.376416"/>
        <n v="0.379609430423805"/>
        <n v="0.174491221005457"/>
        <n v="0.132012012182793"/>
        <n v="0.313887336387945"/>
        <n v="33.556965"/>
        <n v="17.791393"/>
        <n v="4.973007"/>
        <n v="2.244123"/>
        <n v="3.65776"/>
        <n v="4.890682"/>
        <n v="0.530184806641483"/>
        <n v="0.148195970642756"/>
        <n v="0.0668750287756953"/>
        <n v="0.109001514290699"/>
        <n v="0.145742679649366"/>
        <n v="12.75127"/>
        <n v="5.850074"/>
        <n v="4.432617"/>
        <n v="10.523004"/>
        <n v="0.379988774312576"/>
        <n v="0.174332631094618"/>
        <n v="0.132092309301512"/>
        <n v="0.313586285291295"/>
        <n v="0.671946"/>
        <n v="0.126463"/>
        <n v="0.394829"/>
        <n v="0.106618"/>
        <n v="0.170499"/>
        <n v="0.0549990000000001"/>
        <n v="0.0714640000000001"/>
        <n v="2.8337"/>
        <n v="2.8851"/>
        <n v="0.0257"/>
        <n v="0.1154"/>
        <n v="0.0909090909090909"/>
        <n v="0.571428571428571"/>
        <n v="0.32486"/>
        <n v="0.298172"/>
        <n v="0.026688"/>
        <n v="0.005267"/>
        <n v="0.76262"/>
        <n v="0.147604"/>
        <n v="0.123148"/>
        <n v="0.035692"/>
        <n v="0.315462"/>
        <n v="0.140714"/>
        <n v="0.19354855629278"/>
        <n v="0.161480160499331"/>
        <n v="0.0468018147963599"/>
        <n v="0.413655555846949"/>
        <n v="0.18451391256458"/>
        <n v="0.287081"/>
        <n v="0.475539"/>
        <n v="0.376440429047232"/>
        <n v="0.623559570952768"/>
        <n v="0.053678"/>
        <n v="0.088425"/>
        <n v="0.02944"/>
        <n v="0.024238"/>
        <n v="0.041643"/>
        <n v="0.046782"/>
      </sharedItems>
    </cacheField>
    <cacheField name="7月" numFmtId="0">
      <sharedItems containsNumber="1" containsMixedTypes="1" count="343">
        <n v="4"/>
        <n v="2"/>
        <n v="0"/>
        <n v="1"/>
        <n v="3"/>
        <n v="0.333333333333333"/>
        <n v="33"/>
        <n v="7"/>
        <n v="14"/>
        <n v="19"/>
        <n v="29"/>
        <n v="8"/>
        <n v="28"/>
        <n v="15"/>
        <n v="5"/>
        <n v="30"/>
        <n v="6"/>
        <n v="13"/>
        <n v="0.2"/>
        <n v="0.133333333333333"/>
        <n v="0.433333333333333"/>
        <n v="0.0333333333333333"/>
        <n v="17"/>
        <n v="26"/>
        <n v="0.269230769230769"/>
        <n v="0.230769230769231"/>
        <n v="0.5"/>
        <n v="0.307692307692308"/>
        <n v="0.192307692307692"/>
        <n v="16"/>
        <n v="9"/>
        <n v="0.909090909090909"/>
        <n v="0.857142857142857"/>
        <n v="0.928571428571429"/>
        <s v=""/>
        <n v="0.894736842105263"/>
        <n v="0.896551724137931"/>
        <n v="0.875"/>
        <n v="0.866666666666667"/>
        <n v="3.406272"/>
        <n v="2.684208"/>
        <n v="0.722064"/>
        <n v="2.746417"/>
        <n v="0.659855"/>
        <n v="3.465068"/>
        <n v="2.730393"/>
        <n v="0.734675"/>
        <n v="2.795508"/>
        <n v="0.66956"/>
        <n v="0.104414"/>
        <n v="0.0224710000000001"/>
        <n v="0.00270100000000002"/>
        <n v="0.0197700000000001"/>
        <n v="47.179258"/>
        <n v="6.787912"/>
        <n v="4.48321"/>
        <n v="22.094745"/>
        <n v="13.351403"/>
        <n v="0.461988"/>
        <n v="0.143874920627196"/>
        <n v="0.0950250213769789"/>
        <n v="0.468314804781372"/>
        <n v="0.28299306869133"/>
        <n v="0.00979218452312243"/>
        <n v="37.852664"/>
        <n v="5.542773"/>
        <n v="3.783821"/>
        <n v="0.802315797336194"/>
        <n v="0.117483259274658"/>
        <n v="0.0802009433891478"/>
        <n v="48.1375043546"/>
        <n v="6.907773"/>
        <n v="4.542926"/>
        <n v="22.6927173546"/>
        <n v="13.524031"/>
        <n v="0.470057"/>
        <n v="0.143500854325862"/>
        <n v="0.0943739410862474"/>
        <n v="0.471414496012016"/>
        <n v="0.280945827610352"/>
        <n v="0.00976488096552271"/>
        <n v="38.662694"/>
        <n v="5.629824"/>
        <n v="3.8449863546"/>
        <n v="0.803171965775276"/>
        <n v="0.116952967867392"/>
        <n v="0.0798750663573313"/>
        <n v="1.7178086454"/>
        <n v="1.5288329978"/>
        <n v="0.555387999999999"/>
        <n v="0.803958"/>
        <n v="0.3584626454"/>
        <n v="1.409374"/>
        <n v="0.031824"/>
        <n v="0.0876349978"/>
        <n v="10"/>
        <n v="0.125"/>
        <n v="0.666666666666667"/>
        <n v="0.166666666666667"/>
        <n v="0.8"/>
        <n v="0.75"/>
        <n v="1.892256"/>
        <n v="1.905914"/>
        <n v="0.0972439999999999"/>
        <n v="11.837492"/>
        <n v="4.998266"/>
        <n v="0.780199"/>
        <n v="2.728315"/>
        <n v="2.706678"/>
        <n v="0.624034"/>
        <n v="0.422240285357743"/>
        <n v="0.0659091469713348"/>
        <n v="0.230480831581555"/>
        <n v="0.228652995076998"/>
        <n v="0.0527167410123699"/>
        <n v="3.508514"/>
        <n v="1.750338"/>
        <n v="1.355672"/>
        <n v="4.598934"/>
        <n v="0.296389978552889"/>
        <n v="0.147863922526833"/>
        <n v="0.114523583204956"/>
        <n v="0.388505774702952"/>
        <n v="12.038284"/>
        <n v="5.073634"/>
        <n v="0.793825"/>
        <n v="2.776485"/>
        <n v="2.757308"/>
        <n v="0.637032"/>
        <n v="0.421458241058277"/>
        <n v="0.0659417073064566"/>
        <n v="0.230637938098154"/>
        <n v="0.229044936969422"/>
        <n v="0.0529171765676902"/>
        <n v="3.57031"/>
        <n v="1.788371"/>
        <n v="1.379349"/>
        <n v="4.663222"/>
        <n v="0.296579645404611"/>
        <n v="0.148556970412062"/>
        <n v="0.11458020096552"/>
        <n v="0.387366006650117"/>
        <n v="0.536246"/>
        <n v="0.0143319999999998"/>
        <n v="0.381135"/>
        <n v="0.00395200000000004"/>
        <n v="0.039444"/>
        <n v="0.014471"/>
        <n v="0.00659200000000001"/>
        <n v="0.00773999999999978"/>
        <n v="1.005306"/>
        <n v="0.25"/>
        <n v="11"/>
        <n v="24"/>
        <n v="0.291666666666667"/>
        <n v="0.375"/>
        <n v="0.0416666666666667"/>
        <n v="22"/>
        <n v="0.318181818181818"/>
        <n v="0.409090909090909"/>
        <n v="0.272727272727273"/>
        <n v="0.7"/>
        <n v="0.1"/>
        <n v="0.9"/>
        <n v="0.8125"/>
        <n v="0.846153846153846"/>
        <n v="0.818181818181818"/>
        <n v="0.769230769230769"/>
        <n v="0.627985"/>
        <n v="0.469967"/>
        <n v="0.158018"/>
        <n v="0.637791"/>
        <n v="0.478175"/>
        <n v="0.159616"/>
        <n v="0.017588"/>
        <n v="0.00129000000000001"/>
        <n v="11.696377"/>
        <n v="4.160134"/>
        <n v="4.528618"/>
        <n v="2.227253"/>
        <n v="0.438539"/>
        <n v="0.341833"/>
        <n v="0.355677146863512"/>
        <n v="0.387181261342722"/>
        <n v="0.190422470137548"/>
        <n v="0.0374935760022099"/>
        <n v="0.0292255456540089"/>
        <n v="6.690757"/>
        <n v="4.394809"/>
        <n v="0.610811"/>
        <n v="0.57203670846109"/>
        <n v="0.375741052122379"/>
        <n v="0.0522222394165304"/>
        <n v="11.862403"/>
        <n v="4.227839"/>
        <n v="4.596012"/>
        <n v="2.25818"/>
        <n v="0.356406623514645"/>
        <n v="0.387443589633568"/>
        <n v="0.190364464940198"/>
        <n v="0.036968816520565"/>
        <n v="0.0288165053910241"/>
        <n v="6.79034"/>
        <n v="4.451937"/>
        <n v="0.620126"/>
        <n v="0.572425334057526"/>
        <n v="0.375298074091733"/>
        <n v="0.0522765918507405"/>
        <n v="0.283995"/>
        <n v="0.0290120000000001"/>
        <n v="0.227355"/>
        <n v="0.0346939999999999"/>
        <n v="0.021946"/>
        <n v="0.012149"/>
        <n v="0.0168630000000001"/>
        <s v="-"/>
        <n v="2.707141"/>
        <n v="2.757163"/>
        <n v="0.00480699999999997"/>
        <n v="6.436807"/>
        <n v="0.840305"/>
        <n v="2.889361"/>
        <n v="0.130546868967797"/>
        <n v="0.448881098967236"/>
        <n v="0.420572032064966"/>
        <n v="6.550304"/>
        <n v="0.853543"/>
        <n v="2.939598"/>
        <n v="0.130305860613492"/>
        <n v="0.448772759249036"/>
        <n v="0.420921380137472"/>
        <n v="0.0186280000000001"/>
        <n v="0.00930200000000004"/>
        <n v="0.0138210000000001"/>
        <n v="12"/>
        <n v="32"/>
        <n v="0.3125"/>
        <n v="0.0625"/>
        <n v="27"/>
        <n v="0.444444444444444"/>
        <n v="0.407407407407407"/>
        <n v="0.148148148148148"/>
        <n v="0.625"/>
        <n v="0.96969696969697"/>
        <n v="0.964285714285714"/>
        <n v="2.008919"/>
        <n v="0.433767"/>
        <n v="1.151825"/>
        <n v="0.423327"/>
        <n v="1.575152"/>
        <n v="2.041554"/>
        <n v="0.440585"/>
        <n v="1.170761"/>
        <n v="0.430208"/>
        <n v="1.600969"/>
        <n v="0.00421199999999999"/>
        <n v="0.0237639999999999"/>
        <n v="0.00287799999999997"/>
        <n v="0.020886"/>
        <n v="35.066691"/>
        <n v="17.966036"/>
        <n v="6.05392"/>
        <n v="2.208417"/>
        <n v="4.025788"/>
        <n v="4.81253"/>
        <n v="0.512339074137334"/>
        <n v="0.172640184384663"/>
        <n v="0.0629776274014563"/>
        <n v="0.114803760639976"/>
        <n v="0.13723935343657"/>
        <n v="14.124194"/>
        <n v="6.202058"/>
        <n v="4.364023"/>
        <n v="10.376416"/>
        <n v="0.402780918222367"/>
        <n v="0.176864649133846"/>
        <n v="0.124449238737696"/>
        <n v="0.295905193906092"/>
        <n v="35.598519"/>
        <n v="18.231978"/>
        <n v="6.143768"/>
        <n v="2.244123"/>
        <n v="4.087968"/>
        <n v="4.890682"/>
        <n v="0.512155519728222"/>
        <n v="0.172584932536098"/>
        <n v="0.0630397854472541"/>
        <n v="0.114835339076887"/>
        <n v="0.137384423211539"/>
        <n v="14.352239"/>
        <n v="6.290659"/>
        <n v="4.432617"/>
        <n v="10.523004"/>
        <n v="0.403169553205289"/>
        <n v="0.176711255881179"/>
        <n v="0.124516893525823"/>
        <n v="0.295602297387709"/>
        <n v="0.676158"/>
        <n v="0.150227"/>
        <n v="0.399041"/>
        <n v="0.106618"/>
        <n v="0.170499"/>
        <n v="0.0578770000000001"/>
        <n v="0.0714640000000001"/>
        <n v="3.1134"/>
        <n v="3.167"/>
        <n v="5.9471"/>
        <n v="2.8337"/>
        <n v="0.476484336903701"/>
        <n v="0.523515663096299"/>
        <n v="6.0521"/>
        <n v="2.8851"/>
        <n v="0.476710563275557"/>
        <n v="0.523289436724443"/>
        <n v="0.0257"/>
        <n v="0.1154"/>
        <n v="0.0909090909090909"/>
        <n v="0.181818181818182"/>
        <n v="0.428571428571429"/>
        <n v="0.142857142857143"/>
        <n v="0.571428571428571"/>
        <n v="0.916666666666667"/>
        <n v="0.76262"/>
        <n v="0.147604"/>
        <n v="0.123148"/>
        <n v="0.035692"/>
        <n v="0.315462"/>
        <n v="0.140714"/>
        <n v="0.19354855629278"/>
        <n v="0.161480160499331"/>
        <n v="0.0468018147963599"/>
        <n v="0.413655555846949"/>
        <n v="0.18451391256458"/>
        <n v="0.287081"/>
        <n v="0.475539"/>
        <n v="0.376440429047232"/>
        <n v="0.623559570952768"/>
        <n v="0.053678"/>
        <n v="0.088425"/>
        <n v="0.02944"/>
        <n v="0.024238"/>
        <n v="0.041643"/>
        <n v="0.046782"/>
      </sharedItems>
    </cacheField>
    <cacheField name="8月" numFmtId="0">
      <sharedItems containsNumber="1" containsMixedTypes="1" count="363">
        <n v="5"/>
        <n v="1"/>
        <n v="2"/>
        <n v="0"/>
        <n v="4"/>
        <n v="3"/>
        <n v="0.333333333333333"/>
        <n v="0.5"/>
        <n v="38"/>
        <n v="8"/>
        <n v="6"/>
        <n v="15"/>
        <n v="7"/>
        <n v="21"/>
        <n v="9"/>
        <n v="33"/>
        <n v="32"/>
        <n v="16"/>
        <n v="11"/>
        <n v="35"/>
        <n v="14"/>
        <n v="0.228571428571429"/>
        <n v="0.142857142857143"/>
        <n v="0.4"/>
        <n v="0.2"/>
        <n v="0.0285714285714286"/>
        <n v="20"/>
        <n v="31"/>
        <n v="0.290322580645161"/>
        <n v="0.258064516129032"/>
        <n v="0.451612903225806"/>
        <n v="30"/>
        <n v="0.533333333333333"/>
        <n v="0.3"/>
        <n v="0.166666666666667"/>
        <n v="18"/>
        <n v="17"/>
        <n v="0.921052631578947"/>
        <n v="0.833333333333333"/>
        <n v="0.933333333333333"/>
        <s v=""/>
        <n v="0.952380952380952"/>
        <n v="0.777777777777778"/>
        <n v="0.93939393939394"/>
        <n v="0.888888888888889"/>
        <n v="0.9375"/>
        <n v="0.818181818181818"/>
        <n v="5.020027"/>
        <n v="2.897948"/>
        <n v="1.068761"/>
        <n v="0.407888"/>
        <n v="0.64543"/>
        <n v="3.543378"/>
        <n v="5.108925"/>
        <n v="2.950665"/>
        <n v="1.087392"/>
        <n v="0.415012"/>
        <n v="0.655856"/>
        <n v="3.606521"/>
        <n v="0.112294"/>
        <n v="0.156084"/>
        <n v="0.098123"/>
        <n v="0.014171"/>
        <n v="0.0929000000000001"/>
        <n v="0.063184"/>
        <n v="52.199285"/>
        <n v="9.68586"/>
        <n v="5.551971"/>
        <n v="22.502633"/>
        <n v="13.996833"/>
        <n v="0.461988"/>
        <n v="0.185555415174748"/>
        <n v="0.106361054562337"/>
        <n v="0.431090828159811"/>
        <n v="0.268142236047869"/>
        <n v="0.00885046605523428"/>
        <n v="41.396042"/>
        <n v="5.950661"/>
        <n v="4.852582"/>
        <n v="0.793038487021422"/>
        <n v="0.113998898643918"/>
        <n v="0.09296261433466"/>
        <n v="53.2464293546"/>
        <n v="9.858438"/>
        <n v="5.630318"/>
        <n v="23.1077293546"/>
        <n v="14.179887"/>
        <n v="0.470057"/>
        <n v="0.185147400858501"/>
        <n v="0.105740761742056"/>
        <n v="0.433977069161046"/>
        <n v="0.266306814783159"/>
        <n v="0.00882795345523749"/>
        <n v="42.269215"/>
        <n v="6.044836"/>
        <n v="4.9323783546"/>
        <n v="0.793841305648945"/>
        <n v="0.113525659340344"/>
        <n v="0.0926330350107108"/>
        <n v="1.8301026454"/>
        <n v="1.6849169978"/>
        <n v="0.653510999999999"/>
        <n v="0.818129"/>
        <n v="0.3584626454"/>
        <n v="1.502274"/>
        <n v="0.031824"/>
        <n v="0.1508189978"/>
        <n v="0.555555555555556"/>
        <n v="0.111111111111111"/>
        <n v="0.714285714285714"/>
        <n v="0.666666666666667"/>
        <n v="0.75"/>
        <n v="1.943826"/>
        <n v="1.97771"/>
        <n v="0.00900200000000004"/>
        <n v="13.781318"/>
        <n v="6.942092"/>
        <n v="0.780199"/>
        <n v="2.728315"/>
        <n v="2.706678"/>
        <n v="0.624034"/>
        <n v="0.503732081358256"/>
        <n v="0.0566128000239164"/>
        <n v="0.19797199368014"/>
        <n v="0.196401969680984"/>
        <n v="0.0452811552567033"/>
        <n v="3.508514"/>
        <n v="1.750338"/>
        <n v="3.299498"/>
        <n v="4.598934"/>
        <n v="0.254584793704056"/>
        <n v="0.127008026373094"/>
        <n v="0.239418174662249"/>
        <n v="0.333707850003897"/>
        <n v="14.015994"/>
        <n v="7.051344"/>
        <n v="0.793825"/>
        <n v="2.776485"/>
        <n v="2.757308"/>
        <n v="0.637032"/>
        <n v="0.503092681118442"/>
        <n v="0.056637081893728"/>
        <n v="0.19809404884163"/>
        <n v="0.196725826223955"/>
        <n v="0.045450361922244"/>
        <n v="3.57031"/>
        <n v="1.788371"/>
        <n v="3.357059"/>
        <n v="4.663222"/>
        <n v="0.254731130735358"/>
        <n v="0.127595017520698"/>
        <n v="0.239516298308918"/>
        <n v="0.332707191512782"/>
        <n v="0.545248"/>
        <n v="0.0143319999999998"/>
        <n v="0.381135"/>
        <n v="0.00395200000000004"/>
        <n v="0.048446"/>
        <n v="0.0972439999999999"/>
        <n v="0.014471"/>
        <n v="0.00659200000000001"/>
        <n v="0.00773999999999978"/>
        <n v="1.014308"/>
        <n v="10"/>
        <n v="29"/>
        <n v="0.241379310344828"/>
        <n v="0.344827586206897"/>
        <n v="0.275862068965517"/>
        <n v="0.0689655172413793"/>
        <n v="27"/>
        <n v="0.296296296296296"/>
        <n v="0.407407407407407"/>
        <n v="0.642857142857143"/>
        <n v="0.285714285714286"/>
        <n v="0.0714285714285714"/>
        <n v="19"/>
        <n v="0.90625"/>
        <n v="0.875"/>
        <n v="0.8"/>
        <n v="0.85"/>
        <n v="0.9"/>
        <n v="0.823529411764706"/>
        <n v="3.797604"/>
        <n v="0.32769"/>
        <n v="1.131669"/>
        <n v="1.899067"/>
        <n v="0.439178"/>
        <n v="3.111649"/>
        <n v="0.685955"/>
        <n v="3.826229"/>
        <n v="0.332841"/>
        <n v="1.148292"/>
        <n v="0.446029"/>
        <n v="3.129627"/>
        <n v="0.696602"/>
        <n v="0.017168"/>
        <n v="0.0762499999999998"/>
        <n v="0.010961"/>
        <n v="0.00620699999999997"/>
        <n v="15.493981"/>
        <n v="4.160134"/>
        <n v="4.856308"/>
        <n v="3.358922"/>
        <n v="2.337606"/>
        <n v="0.781011"/>
        <n v="0.268500006550931"/>
        <n v="0.313431906235073"/>
        <n v="0.216788829158884"/>
        <n v="0.150871877279313"/>
        <n v="0.0504073807757993"/>
        <n v="9.802406"/>
        <n v="5.080764"/>
        <n v="0.610811"/>
        <n v="0.632658966084959"/>
        <n v="0.327918563989461"/>
        <n v="0.0394224699255795"/>
        <n v="15.688632"/>
        <n v="4.227839"/>
        <n v="4.928853"/>
        <n v="3.406472"/>
        <n v="0.787862"/>
        <n v="0.269484235464252"/>
        <n v="0.314167162567138"/>
        <n v="0.217129957538681"/>
        <n v="0.148999989291609"/>
        <n v="0.0502186551383193"/>
        <n v="9.919967"/>
        <n v="5.148539"/>
        <n v="0.620126"/>
        <n v="0.632302867452051"/>
        <n v="0.328170040574602"/>
        <n v="0.0395270919733473"/>
        <n v="0.301163"/>
        <n v="0.105262"/>
        <n v="0.238316"/>
        <n v="0.0409009999999999"/>
        <n v="0.021946"/>
        <n v="0.0883989999999998"/>
        <n v="0.0168630000000001"/>
        <s v="-"/>
        <n v="6.436807"/>
        <n v="0.840305"/>
        <n v="2.889361"/>
        <n v="2.707141"/>
        <n v="0.130546868967797"/>
        <n v="0.448881098967236"/>
        <n v="0.420572032064966"/>
        <n v="6.550304"/>
        <n v="0.853543"/>
        <n v="2.939598"/>
        <n v="2.757163"/>
        <n v="0.130305860613492"/>
        <n v="0.448772759249036"/>
        <n v="0.420921380137472"/>
        <n v="0.0186280000000001"/>
        <n v="0.00930200000000004"/>
        <n v="0.0138210000000001"/>
        <n v="0.00480699999999997"/>
        <n v="34"/>
        <n v="12"/>
        <n v="0.352941176470588"/>
        <n v="0.294117647058824"/>
        <n v="0.176470588235294"/>
        <n v="0.117647058823529"/>
        <n v="0.0588235294117647"/>
        <n v="0.413793103448276"/>
        <n v="0.379310344827586"/>
        <n v="0.206896551724138"/>
        <n v="0.625"/>
        <n v="0.375"/>
        <n v="24"/>
        <n v="0.240404"/>
        <n v="0.120922"/>
        <n v="0.119482"/>
        <n v="0.242198"/>
        <n v="0.121777"/>
        <n v="0.120421"/>
        <n v="0.036381"/>
        <n v="0.00695599999999999"/>
        <n v="0.029425"/>
        <n v="35.307095"/>
        <n v="17.966036"/>
        <n v="6.05392"/>
        <n v="2.448821"/>
        <n v="4.025788"/>
        <n v="4.81253"/>
        <n v="0.508850586546415"/>
        <n v="0.171464687196723"/>
        <n v="0.0693577593965179"/>
        <n v="0.114022068368978"/>
        <n v="0.136304898491366"/>
        <n v="14.245116"/>
        <n v="6.202058"/>
        <n v="4.483505"/>
        <n v="10.376416"/>
        <n v="0.403463269917845"/>
        <n v="0.175660387805907"/>
        <n v="0.126985949991071"/>
        <n v="0.293890392285177"/>
        <n v="35.840717"/>
        <n v="18.231978"/>
        <n v="6.143768"/>
        <n v="2.486321"/>
        <n v="4.087968"/>
        <n v="4.890682"/>
        <n v="0.508694566573543"/>
        <n v="0.171418668884331"/>
        <n v="0.0693714079436525"/>
        <n v="0.114059325319859"/>
        <n v="0.136456031278615"/>
        <n v="14.474016"/>
        <n v="6.290659"/>
        <n v="4.553038"/>
        <n v="10.523004"/>
        <n v="0.403842813747281"/>
        <n v="0.175517108098033"/>
        <n v="0.127035349209113"/>
        <n v="0.293604728945573"/>
        <n v="0.712539"/>
        <n v="0.150227"/>
        <n v="0.405997"/>
        <n v="0.106618"/>
        <n v="0.170499"/>
        <n v="0.0578770000000001"/>
        <n v="0.020886"/>
        <n v="0.0714640000000001"/>
        <n v="5.9471"/>
        <n v="2.8337"/>
        <n v="3.1134"/>
        <n v="0.476484336903701"/>
        <n v="0.523515663096299"/>
        <n v="6.0521"/>
        <n v="2.8851"/>
        <n v="3.167"/>
        <n v="0.476710563275557"/>
        <n v="0.523289436724443"/>
        <n v="0.0257"/>
        <n v="0.1154"/>
        <n v="0.25"/>
        <n v="0.0833333333333333"/>
        <n v="0.428571428571429"/>
        <n v="0.017362"/>
        <n v="0.779982"/>
        <n v="0.147604"/>
        <n v="0.123148"/>
        <n v="0.035692"/>
        <n v="0.332824"/>
        <n v="0.140714"/>
        <n v="0.189240264518925"/>
        <n v="0.157885694798085"/>
        <n v="0.045760030359675"/>
        <n v="0.426707282988582"/>
        <n v="0.180406727334733"/>
        <n v="0.304443"/>
        <n v="0.475539"/>
        <n v="0.390320545858751"/>
        <n v="0.60967945414125"/>
        <n v="0.053678"/>
        <n v="0.088425"/>
        <n v="0.02944"/>
        <n v="0.024238"/>
        <n v="0.041643"/>
        <n v="0.046782"/>
      </sharedItems>
    </cacheField>
    <cacheField name="9月" numFmtId="0">
      <sharedItems containsBlank="1" containsNumber="1" containsMixedTypes="1" count="374">
        <n v="5"/>
        <n v="0"/>
        <n v="2"/>
        <n v="1"/>
        <n v="3"/>
        <n v="4"/>
        <n v="0.333333333333333"/>
        <n v="0.666666666666667"/>
        <n v="43"/>
        <n v="8"/>
        <n v="15"/>
        <n v="21"/>
        <n v="12"/>
        <n v="10"/>
        <n v="37"/>
        <n v="11"/>
        <n v="17"/>
        <n v="40"/>
        <n v="7"/>
        <n v="0.2"/>
        <n v="0.175"/>
        <n v="0.375"/>
        <n v="0.075"/>
        <n v="9"/>
        <n v="36"/>
        <n v="0.305555555555556"/>
        <n v="0.277777777777778"/>
        <n v="0.416666666666667"/>
        <n v="34"/>
        <n v="16"/>
        <n v="13"/>
        <n v="0.470588235294118"/>
        <n v="0.382352941176471"/>
        <n v="0.147058823529412"/>
        <n v="20"/>
        <n v="0.930232558139535"/>
        <n v="0.875"/>
        <n v="0.75"/>
        <s v=""/>
        <n v="0.833333333333333"/>
        <n v="0.9"/>
        <n v="0.972972972972973"/>
        <n v="0.909090909090909"/>
        <n v="0.918918918918919"/>
        <n v="0.941176470588235"/>
        <n v="0.866666666666667"/>
        <n v="1.381107"/>
        <n v="1.089435"/>
        <n v="0.146713"/>
        <n v="0.144959"/>
        <n v="0.303886"/>
        <n v="0.291672"/>
        <n v="0.785549"/>
        <n v="1.396636"/>
        <n v="1.104964"/>
        <n v="0.306729"/>
        <n v="0.798235"/>
        <n v="0.041268"/>
        <n v="0.0247330000000001"/>
        <n v="0.037682"/>
        <n v="0.003586"/>
        <n v="0.01186"/>
        <n v="0.012873"/>
        <n v="53.580392"/>
        <n v="9.68586"/>
        <n v="6.641406"/>
        <n v="22.649346"/>
        <n v="13.996833"/>
        <n v="0.606947"/>
        <n v="0.180772473631772"/>
        <n v="0.123952172653011"/>
        <n v="0.422717064108079"/>
        <n v="0.261230507608082"/>
        <n v="0.0113277819990567"/>
        <n v="41.699928"/>
        <n v="6.242333"/>
        <n v="5.638131"/>
        <n v="0.778268438200303"/>
        <n v="0.11650405618533"/>
        <n v="0.105227505614367"/>
        <n v="54.6430653546"/>
        <n v="9.858438"/>
        <n v="6.735282"/>
        <n v="23.2544423546"/>
        <n v="14.179887"/>
        <n v="0.615016"/>
        <n v="0.180415171367579"/>
        <n v="0.123259593075391"/>
        <n v="0.425569872474996"/>
        <n v="0.259500211197546"/>
        <n v="0.0112551518844875"/>
        <n v="42.575944"/>
        <n v="6.336508"/>
        <n v="5.7306133546"/>
        <n v="0.779164633676903"/>
        <n v="0.115961796046396"/>
        <n v="0.104873570276701"/>
        <n v="1.8713706454"/>
        <n v="1.7096499978"/>
        <n v="0.691192999999999"/>
        <n v="0.821715"/>
        <n v="0.3584626454"/>
        <n v="1.502274"/>
        <n v="0.043684"/>
        <n v="0.1636919978"/>
        <n v="0.5"/>
        <m/>
        <n v="0.555555555555556"/>
        <n v="0.111111111111111"/>
        <n v="0.714285714285714"/>
        <n v="0.142857142857143"/>
        <n v="0.818181818181818"/>
        <n v="0.777777777777778"/>
        <n v="13.781318"/>
        <n v="6.942092"/>
        <n v="0.780199"/>
        <n v="2.728315"/>
        <n v="2.706678"/>
        <n v="0.624034"/>
        <n v="0.503732081358256"/>
        <n v="0.0566128000239164"/>
        <n v="0.19797199368014"/>
        <n v="0.196401969680984"/>
        <n v="0.0452811552567033"/>
        <n v="3.508514"/>
        <n v="1.750338"/>
        <n v="3.299498"/>
        <n v="4.598934"/>
        <n v="0.254584793704056"/>
        <n v="0.127008026373094"/>
        <n v="0.239418174662249"/>
        <n v="0.333707850003897"/>
        <n v="14.015994"/>
        <n v="7.051344"/>
        <n v="0.793825"/>
        <n v="2.776485"/>
        <n v="2.757308"/>
        <n v="0.637032"/>
        <n v="0.503092681118442"/>
        <n v="0.056637081893728"/>
        <n v="0.19809404884163"/>
        <n v="0.196725826223955"/>
        <n v="0.045450361922244"/>
        <n v="3.57031"/>
        <n v="1.788371"/>
        <n v="3.357059"/>
        <n v="4.663222"/>
        <n v="0.254731130735358"/>
        <n v="0.127595017520698"/>
        <n v="0.239516298308918"/>
        <n v="0.332707191512782"/>
        <n v="0.545248"/>
        <n v="0.0143319999999998"/>
        <n v="0.381135"/>
        <n v="0.00395200000000004"/>
        <n v="0.048446"/>
        <n v="0.0972439999999999"/>
        <n v="0.014471"/>
        <n v="0.00659200000000001"/>
        <n v="0.00773999999999978"/>
        <n v="1.014308"/>
        <n v="39"/>
        <n v="6"/>
        <n v="19"/>
        <n v="0.25"/>
        <n v="0.0555555555555556"/>
        <n v="0.294117647058824"/>
        <n v="0.352941176470588"/>
        <n v="18"/>
        <n v="0.611111111111111"/>
        <n v="24"/>
        <n v="0.923076923076923"/>
        <n v="0.8"/>
        <n v="0.916666666666667"/>
        <n v="0.947368421052632"/>
        <n v="7.48723"/>
        <n v="3.591835"/>
        <n v="0.543562"/>
        <n v="3.351833"/>
        <n v="4.20483"/>
        <n v="0.413492"/>
        <n v="1.010231"/>
        <n v="1.858677"/>
        <n v="7.581466"/>
        <n v="3.625106"/>
        <n v="0.551196"/>
        <n v="3.405164"/>
        <n v="4.272305"/>
        <n v="0.420714"/>
        <n v="1.025201"/>
        <n v="1.863246"/>
        <n v="0.100807"/>
        <n v="0.011654"/>
        <n v="0.0381709999999999"/>
        <n v="0.00269399999999996"/>
        <n v="0.0599420000000001"/>
        <n v="22.981211"/>
        <n v="7.751969"/>
        <n v="5.39987"/>
        <n v="6.710755"/>
        <n v="2.337606"/>
        <n v="0.781011"/>
        <n v="0.337317689655258"/>
        <n v="0.234968905685606"/>
        <n v="0.292010503711053"/>
        <n v="0.101718138352239"/>
        <n v="0.0339847625958441"/>
        <n v="14.007236"/>
        <n v="5.494256"/>
        <n v="1.621042"/>
        <n v="0.609508176048686"/>
        <n v="0.23907599995492"/>
        <n v="0.0705377101319856"/>
        <n v="0.0808781138644086"/>
        <n v="23.270098"/>
        <n v="7.852945"/>
        <n v="5.480049"/>
        <n v="6.811636"/>
        <n v="0.787862"/>
        <n v="0.337469356596607"/>
        <n v="0.23549746116239"/>
        <n v="0.29272055493707"/>
        <n v="0.100455356913409"/>
        <n v="0.0338572703905244"/>
        <n v="14.192272"/>
        <n v="5.569253"/>
        <n v="1.645327"/>
        <n v="0.609893091124928"/>
        <n v="0.239330878623717"/>
        <n v="0.0707056326105717"/>
        <n v="0.0800703976407835"/>
        <n v="0.40197"/>
        <n v="0.116916"/>
        <n v="0.276487"/>
        <n v="0.0435949999999999"/>
        <n v="0.0818880000000001"/>
        <n v="0.100053"/>
        <n v="0.0168630000000001"/>
        <s v="-"/>
        <n v="6.436807"/>
        <n v="0.840305"/>
        <n v="2.889361"/>
        <n v="2.707141"/>
        <n v="0.130546868967797"/>
        <n v="0.448881098967236"/>
        <n v="0.420572032064966"/>
        <n v="6.550304"/>
        <n v="0.853543"/>
        <n v="2.939598"/>
        <n v="2.757163"/>
        <n v="0.130305860613492"/>
        <n v="0.448772759249036"/>
        <n v="0.420921380137472"/>
        <n v="0.0186280000000001"/>
        <n v="0.00930200000000004"/>
        <n v="0.0138210000000001"/>
        <n v="0.00480699999999997"/>
        <n v="32"/>
        <n v="35"/>
        <n v="0.371428571428571"/>
        <n v="0.285714285714286"/>
        <n v="0.171428571428571"/>
        <n v="0.114285714285714"/>
        <n v="0.0571428571428571"/>
        <n v="30"/>
        <n v="0.433333333333333"/>
        <n v="0.366666666666667"/>
        <n v="0.625"/>
        <n v="25"/>
        <n v="0.945945945945946"/>
        <n v="0.857142857142857"/>
        <n v="0.9375"/>
        <n v="0.43835"/>
        <n v="0.44524"/>
        <n v="0.00834700000000003"/>
        <n v="35.745445"/>
        <n v="18.404386"/>
        <n v="6.05392"/>
        <n v="2.448821"/>
        <n v="4.025788"/>
        <n v="4.81253"/>
        <n v="0.514873601377742"/>
        <n v="0.169361998430849"/>
        <n v="0.0685072181924158"/>
        <n v="0.112623804235756"/>
        <n v="0.134633377763237"/>
        <n v="14.245116"/>
        <n v="6.202058"/>
        <n v="4.921855"/>
        <n v="10.376416"/>
        <n v="0.398515559115294"/>
        <n v="0.173506246739969"/>
        <n v="0.137691809403967"/>
        <n v="0.290286384740769"/>
        <n v="36.285957"/>
        <n v="18.677218"/>
        <n v="6.143768"/>
        <n v="2.486321"/>
        <n v="4.087968"/>
        <n v="4.890682"/>
        <n v="0.514723037344723"/>
        <n v="0.169315308398784"/>
        <n v="0.0685201991503214"/>
        <n v="0.112659781854451"/>
        <n v="0.134781673251721"/>
        <n v="14.474016"/>
        <n v="6.290659"/>
        <n v="4.998278"/>
        <n v="10.523004"/>
        <n v="0.3988875365751"/>
        <n v="0.173363458486158"/>
        <n v="0.137746897511894"/>
        <n v="0.290002107426848"/>
        <n v="0.720886"/>
        <n v="0.150227"/>
        <n v="0.405997"/>
        <n v="0.106618"/>
        <n v="0.037772"/>
        <n v="0.170499"/>
        <n v="0.0578770000000001"/>
        <n v="0.020886"/>
        <n v="0.0714640000000001"/>
        <n v="5.9471"/>
        <n v="2.8337"/>
        <n v="3.1134"/>
        <n v="0.476484336903701"/>
        <n v="0.523515663096299"/>
        <n v="6.0521"/>
        <n v="2.8851"/>
        <n v="3.167"/>
        <n v="0.476710563275557"/>
        <n v="0.523289436724443"/>
        <n v="0.0257"/>
        <n v="0.1154"/>
        <n v="0.222222222222222"/>
        <n v="0.166666666666667"/>
        <n v="0.4"/>
        <n v="0.1"/>
        <n v="0.636363636363636"/>
        <n v="0.363636363636364"/>
        <n v="0.53476"/>
        <n v="0.02574"/>
        <n v="0.139744"/>
        <n v="0.269688"/>
        <n v="0.099588"/>
        <n v="0.195136"/>
        <n v="0.111531"/>
        <n v="0.228093"/>
        <n v="0.042647"/>
        <n v="0.032552"/>
        <n v="0.020234"/>
        <n v="0.022413"/>
        <n v="1.314742"/>
        <n v="0.173344"/>
        <n v="0.262892"/>
        <n v="0.035692"/>
        <n v="0.602512"/>
        <n v="0.240302"/>
        <n v="0.131846400282337"/>
        <n v="0.19995710184964"/>
        <n v="0.0271475316069617"/>
        <n v="0.458273942720321"/>
        <n v="0.18277502354074"/>
        <n v="0.499579"/>
        <n v="0.58707"/>
        <n v="0.379982536497655"/>
        <n v="0.44652867254564"/>
        <n v="0.173488790956705"/>
        <n v="0.096325"/>
        <n v="0.120977"/>
        <n v="0.02944"/>
        <n v="0.044472"/>
        <n v="0.074195"/>
        <n v="0.046782"/>
      </sharedItems>
    </cacheField>
    <cacheField name="10月" numFmtId="0">
      <sharedItems containsBlank="1" containsNumber="1" containsMixedTypes="1" count="380">
        <n v="1"/>
        <n v="0"/>
        <n v="2"/>
        <n v="0.5"/>
        <n v="44"/>
        <n v="8"/>
        <n v="9"/>
        <n v="15"/>
        <n v="4"/>
        <n v="21"/>
        <n v="12"/>
        <n v="11"/>
        <n v="38"/>
        <n v="17"/>
        <n v="6"/>
        <n v="42"/>
        <n v="3"/>
        <n v="0.19047619047619"/>
        <n v="0.357142857142857"/>
        <n v="0.0714285714285714"/>
        <n v="10"/>
        <n v="37"/>
        <n v="0.297297297297297"/>
        <n v="0.405405405405405"/>
        <n v="36"/>
        <n v="14"/>
        <n v="5"/>
        <n v="0.472222222222222"/>
        <n v="0.388888888888889"/>
        <n v="0.138888888888889"/>
        <n v="22"/>
        <n v="20"/>
        <n v="0.954545454545455"/>
        <n v="0.888888888888889"/>
        <n v="0.75"/>
        <s v=""/>
        <n v="0.916666666666667"/>
        <n v="0.909090909090909"/>
        <n v="0.973684210526316"/>
        <n v="0.947368421052632"/>
        <n v="0.933333333333333"/>
        <n v="0.833333333333333"/>
        <n v="0.48875"/>
        <n v="0.406975"/>
        <n v="0.081775"/>
        <n v="0.495858"/>
        <n v="0.414083"/>
        <n v="0.05388"/>
        <n v="0.016831"/>
        <n v="0.037049"/>
        <n v="54.069142"/>
        <n v="9.68586"/>
        <n v="7.048381"/>
        <n v="22.649346"/>
        <n v="14.078608"/>
        <n v="0.606947"/>
        <n v="0.179138407633692"/>
        <n v="0.130358661877786"/>
        <n v="0.418895975822956"/>
        <n v="0.260381568473937"/>
        <n v="0.0112253861916285"/>
        <n v="41.699928"/>
        <n v="6.324108"/>
        <n v="6.045106"/>
        <n v="0.771233395935893"/>
        <n v="0.116963350370901"/>
        <n v="0.111803253693206"/>
        <n v="55.1389233546"/>
        <n v="9.858438"/>
        <n v="7.149365"/>
        <n v="23.2544423546"/>
        <n v="14.261662"/>
        <n v="0.615016"/>
        <n v="0.178792718468587"/>
        <n v="0.129660946660533"/>
        <n v="0.421742771527293"/>
        <n v="0.258649627746317"/>
        <n v="0.0111539355972697"/>
        <n v="42.575944"/>
        <n v="6.418283"/>
        <n v="6.1446963546"/>
        <n v="0.772157695684279"/>
        <n v="0.11640203706416"/>
        <n v="0.111440267251562"/>
        <n v="1.9252506454"/>
        <n v="1.7096499978"/>
        <n v="0.691192999999999"/>
        <n v="0.838546"/>
        <n v="0.3955116454"/>
        <n v="1.502274"/>
        <n v="0.043684"/>
        <n v="0.1636919978"/>
        <m/>
        <n v="0.1"/>
        <n v="0.625"/>
        <n v="0.25"/>
        <n v="0.125"/>
        <n v="7"/>
        <n v="0.6"/>
        <n v="7.870485"/>
        <n v="8.009963"/>
        <n v="0.0983690000000002"/>
        <n v="21.651803"/>
        <n v="6.942092"/>
        <n v="0.780199"/>
        <n v="2.728315"/>
        <n v="2.706678"/>
        <n v="0.624034"/>
        <n v="0.320624199287237"/>
        <n v="0.363502522168708"/>
        <n v="0.0360339044281901"/>
        <n v="0.126008674658642"/>
        <n v="0.125009358343044"/>
        <n v="0.0288213411141788"/>
        <n v="11.378999"/>
        <n v="1.750338"/>
        <n v="3.299498"/>
        <n v="4.598934"/>
        <n v="0.52554510125554"/>
        <n v="0.0808402884508048"/>
        <n v="0.152389064319493"/>
        <n v="0.212404204859983"/>
        <n v="22.025957"/>
        <n v="7.051344"/>
        <n v="0.793825"/>
        <n v="2.776485"/>
        <n v="2.757308"/>
        <n v="0.637032"/>
        <n v="0.320137917276421"/>
        <n v="0.363660157876455"/>
        <n v="0.0360404317505932"/>
        <n v="0.126055135765497"/>
        <n v="0.125184481200976"/>
        <n v="0.0289218761300587"/>
        <n v="11.580273"/>
        <n v="1.788371"/>
        <n v="3.357059"/>
        <n v="4.663222"/>
        <n v="0.525755725392545"/>
        <n v="0.0811937933048721"/>
        <n v="0.152413763451913"/>
        <n v="0.211714841720612"/>
        <n v="0.545248"/>
        <n v="0.112701"/>
        <n v="0.381135"/>
        <n v="0.00395200000000004"/>
        <n v="0.048446"/>
        <n v="0.0972439999999999"/>
        <n v="0.014471"/>
        <n v="0.104961"/>
        <n v="0.00773999999999978"/>
        <n v="1.014308"/>
        <n v="0.666666666666667"/>
        <n v="0.333333333333333"/>
        <n v="46"/>
        <n v="18"/>
        <n v="23"/>
        <n v="43"/>
        <n v="13"/>
        <n v="25"/>
        <n v="16"/>
        <n v="0.232558139534884"/>
        <n v="0.255813953488372"/>
        <n v="0.372093023255814"/>
        <n v="0.0930232558139535"/>
        <n v="0.0465116279069767"/>
        <n v="40"/>
        <n v="0.275"/>
        <n v="0.325"/>
        <n v="0.4"/>
        <n v="0.608695652173913"/>
        <n v="0.260869565217391"/>
        <n v="0.130434782608696"/>
        <n v="29"/>
        <n v="0.934782608695652"/>
        <n v="0.8"/>
        <n v="0.91304347826087"/>
        <n v="0.928571428571429"/>
        <n v="0.930232558139535"/>
        <n v="0.92"/>
        <n v="0.875"/>
        <n v="6.579426"/>
        <n v="1.923285"/>
        <n v="2.066342"/>
        <n v="2.589799"/>
        <n v="2.500038"/>
        <n v="0.842383"/>
        <n v="3.237005"/>
        <n v="6.68413"/>
        <n v="1.953461"/>
        <n v="2.097266"/>
        <n v="2.633403"/>
        <n v="2.543642"/>
        <n v="0.855058"/>
        <n v="3.28543"/>
        <n v="0.317334"/>
        <n v="0.010563"/>
        <n v="0.219886"/>
        <n v="0.00483800000000001"/>
        <n v="0.0926099999999999"/>
        <n v="0.008717"/>
        <n v="0.00184599999999998"/>
        <n v="29.560637"/>
        <n v="9.675254"/>
        <n v="5.39987"/>
        <n v="8.777097"/>
        <n v="4.927405"/>
        <n v="0.781011"/>
        <n v="0.327301945489199"/>
        <n v="0.182670962063504"/>
        <n v="0.296918398612317"/>
        <n v="0.166688052087646"/>
        <n v="0.0264206417473345"/>
        <n v="16.507274"/>
        <n v="6.336639"/>
        <n v="4.858047"/>
        <n v="1.858677"/>
        <n v="0.558420780986553"/>
        <n v="0.214360705420523"/>
        <n v="0.16434175623482"/>
        <n v="0.0628767573581043"/>
        <n v="29.954228"/>
        <n v="9.806406"/>
        <n v="5.480049"/>
        <n v="8.908902"/>
        <n v="4.971009"/>
        <n v="0.787862"/>
        <n v="0.327379694111963"/>
        <n v="0.182947428990659"/>
        <n v="0.297417179304371"/>
        <n v="0.165953500787936"/>
        <n v="0.0263021968050721"/>
        <n v="16.735914"/>
        <n v="6.424311"/>
        <n v="4.930757"/>
        <n v="1.863246"/>
        <n v="0.558716252009566"/>
        <n v="0.214470925439975"/>
        <n v="0.164609717199188"/>
        <n v="0.0622031053512713"/>
        <n v="0.719304"/>
        <n v="0.127479"/>
        <n v="0.496373"/>
        <n v="0.0484329999999999"/>
        <n v="0.174498"/>
        <n v="0.100053"/>
        <n v="0.0255800000000001"/>
        <s v="-"/>
        <n v="6.436807"/>
        <n v="0.840305"/>
        <n v="2.889361"/>
        <n v="2.707141"/>
        <n v="0.130546868967797"/>
        <n v="0.448881098967236"/>
        <n v="0.420572032064966"/>
        <n v="6.550304"/>
        <n v="0.853543"/>
        <n v="2.939598"/>
        <n v="2.757163"/>
        <n v="0.130305860613492"/>
        <n v="0.448772759249036"/>
        <n v="0.420921380137472"/>
        <n v="0.0186280000000001"/>
        <n v="0.00930200000000004"/>
        <n v="0.0138210000000001"/>
        <n v="0.00480699999999997"/>
        <n v="0.342105263157895"/>
        <n v="0.289473684210526"/>
        <n v="0.210526315789474"/>
        <n v="0.105263157894737"/>
        <n v="0.0526315789473684"/>
        <n v="33"/>
        <n v="0.393939393939394"/>
        <n v="0.363636363636364"/>
        <n v="0.242424242424242"/>
        <n v="0.611111111111111"/>
        <n v="27"/>
        <n v="0.904761904761905"/>
        <n v="0.846153846153846"/>
        <n v="0.857142857142857"/>
        <n v="1.208051"/>
        <n v="0.156231"/>
        <n v="1.05182"/>
        <n v="1.226681"/>
        <n v="0.157458"/>
        <n v="1.069223"/>
        <n v="0.053493"/>
        <n v="0.001395"/>
        <n v="36.953496"/>
        <n v="18.404386"/>
        <n v="6.210151"/>
        <n v="3.500641"/>
        <n v="4.025788"/>
        <n v="4.81253"/>
        <n v="0.498041809088915"/>
        <n v="0.168053139004764"/>
        <n v="0.0947309829630192"/>
        <n v="0.10894200646131"/>
        <n v="0.130232062481991"/>
        <n v="15.296936"/>
        <n v="6.358289"/>
        <n v="4.921855"/>
        <n v="10.376416"/>
        <n v="0.413950983149199"/>
        <n v="0.172061907214408"/>
        <n v="0.133190510581191"/>
        <n v="0.280796599055202"/>
        <n v="37.512638"/>
        <n v="18.677218"/>
        <n v="6.301226"/>
        <n v="3.555544"/>
        <n v="4.087968"/>
        <n v="4.890682"/>
        <n v="0.497891350642949"/>
        <n v="0.167976083153629"/>
        <n v="0.0947825636789394"/>
        <n v="0.108975753717987"/>
        <n v="0.130374248806496"/>
        <n v="15.543239"/>
        <n v="6.448117"/>
        <n v="4.998278"/>
        <n v="10.523004"/>
        <n v="0.414346732959703"/>
        <n v="0.171891856819027"/>
        <n v="0.13324250883129"/>
        <n v="0.28051890138998"/>
        <n v="0.774379"/>
        <n v="0.151622"/>
        <n v="0.45949"/>
        <n v="0.106618"/>
        <n v="0.037772"/>
        <n v="0.170499"/>
        <n v="0.0578770000000001"/>
        <n v="0.022281"/>
        <n v="0.0714640000000001"/>
        <n v="5.9471"/>
        <n v="2.8337"/>
        <n v="3.1134"/>
        <n v="0.476484336903701"/>
        <n v="0.523515663096299"/>
        <n v="6.0521"/>
        <n v="2.8851"/>
        <n v="3.167"/>
        <n v="0.476710563275557"/>
        <n v="0.523289436724443"/>
        <n v="0.0257"/>
        <n v="0.1154"/>
        <n v="19"/>
        <n v="0.263157894736842"/>
        <n v="0.583333333333333"/>
        <n v="0.416666666666667"/>
        <n v="0.95"/>
        <n v="0.9"/>
        <n v="0.923076923076923"/>
        <n v="0.043481"/>
        <n v="0.005775"/>
        <n v="1.358223"/>
        <n v="0.173344"/>
        <n v="0.262892"/>
        <n v="0.035692"/>
        <n v="0.602512"/>
        <n v="0.283783"/>
        <n v="0.127625581366241"/>
        <n v="0.193555844658793"/>
        <n v="0.0262784535381892"/>
        <n v="0.443603149114689"/>
        <n v="0.208936971322088"/>
        <n v="0.499579"/>
        <n v="0.630551"/>
        <n v="0.228093"/>
        <n v="0.367818097617254"/>
        <n v="0.464247034544401"/>
        <n v="0.167934867838345"/>
        <n v="0.1021"/>
        <n v="0.120977"/>
        <n v="0.02944"/>
        <n v="0.050247"/>
        <n v="0.022413"/>
        <n v="0.074195"/>
        <n v="0.046782"/>
      </sharedItems>
    </cacheField>
    <cacheField name="11月" numFmtId="0">
      <sharedItems containsBlank="1" containsNumber="1" containsMixedTypes="1" count="403">
        <n v="4"/>
        <n v="2"/>
        <n v="1"/>
        <n v="0"/>
        <n v="3"/>
        <n v="0.333333333333333"/>
        <n v="0.5"/>
        <n v="0.666666666666667"/>
        <n v="48"/>
        <n v="10"/>
        <n v="15"/>
        <n v="9"/>
        <n v="23"/>
        <n v="13"/>
        <n v="11"/>
        <n v="41"/>
        <n v="42"/>
        <n v="19"/>
        <n v="16"/>
        <n v="7"/>
        <n v="45"/>
        <n v="0.2"/>
        <n v="0.0666666666666667"/>
        <n v="22"/>
        <n v="39"/>
        <n v="12"/>
        <n v="0.307692307692308"/>
        <n v="0.384615384615385"/>
        <n v="18"/>
        <n v="14"/>
        <n v="0.461538461538462"/>
        <n v="0.358974358974359"/>
        <n v="0.17948717948718"/>
        <n v="25"/>
        <n v="20"/>
        <n v="6"/>
        <n v="5"/>
        <n v="0.9375"/>
        <n v="0.9"/>
        <n v="0.75"/>
        <s v=""/>
        <n v="0.956521739130435"/>
        <n v="0.846153846153846"/>
        <n v="0.951219512195122"/>
        <n v="0.923076923076923"/>
        <n v="0.928571428571429"/>
        <n v="0.947368421052632"/>
        <n v="0.875"/>
        <n v="2.171797"/>
        <n v="1.518751"/>
        <n v="0.353048"/>
        <n v="0.299998"/>
        <n v="2.203356"/>
        <n v="1.545235"/>
        <n v="0.358123"/>
        <n v="0.272221"/>
        <n v="0.0351449999999999"/>
        <n v="0.199301"/>
        <n v="0.037775"/>
        <n v="56.240939"/>
        <n v="11.204611"/>
        <n v="7.401429"/>
        <n v="22.649346"/>
        <n v="14.378606"/>
        <n v="0.606947"/>
        <n v="0.199225176521324"/>
        <n v="0.13160215906068"/>
        <n v="0.402719911913277"/>
        <n v="0.255660845207439"/>
        <n v="0.0107919072972804"/>
        <n v="43.218679"/>
        <n v="6.324108"/>
        <n v="6.398154"/>
        <n v="0.76845585739598"/>
        <n v="0.112446700080879"/>
        <n v="0.113763285495642"/>
        <n v="0.00533415702749913"/>
        <n v="57.3422793546"/>
        <n v="11.403673"/>
        <n v="7.507488"/>
        <n v="23.2544423546"/>
        <n v="14.56166"/>
        <n v="0.615016"/>
        <n v="0.198870242486885"/>
        <n v="0.13092412935967"/>
        <n v="0.405537460602088"/>
        <n v="0.253942817828218"/>
        <n v="0.0107253497231387"/>
        <n v="44.121179"/>
        <n v="6.418283"/>
        <n v="6.5028193546"/>
        <n v="0.769435388627616"/>
        <n v="0.11192933158987"/>
        <n v="0.113403572857422"/>
        <n v="0.00523170692509164"/>
        <n v="2.1974716454"/>
        <n v="1.7096499978"/>
        <n v="0.726337999999999"/>
        <n v="0.838546"/>
        <n v="0.5948126454"/>
        <n v="1.502274"/>
        <n v="0.043684"/>
        <n v="0.1636919978"/>
        <m/>
        <n v="0.454545454545455"/>
        <n v="0.0909090909090909"/>
        <n v="0.181818181818182"/>
        <n v="8"/>
        <n v="0.625"/>
        <n v="0.25"/>
        <n v="0.125"/>
        <n v="0.222222222222222"/>
        <n v="0.111111111111111"/>
        <n v="0.8"/>
        <n v="0.857142857142857"/>
        <n v="0.146327"/>
        <n v="0.146694"/>
        <n v="21.79813"/>
        <n v="6.942092"/>
        <n v="7.870485"/>
        <n v="0.780199"/>
        <n v="2.874642"/>
        <n v="2.706678"/>
        <n v="0.624034"/>
        <n v="0.318471905617592"/>
        <n v="0.361062393884246"/>
        <n v="0.0357920151866238"/>
        <n v="0.131875624193451"/>
        <n v="0.12417019258074"/>
        <n v="0.028627868537347"/>
        <n v="11.378999"/>
        <n v="1.750338"/>
        <n v="3.445825"/>
        <n v="4.598934"/>
        <n v="0.522017209733129"/>
        <n v="0.0802976218602238"/>
        <n v="0.158078926953826"/>
        <n v="0.210978372915475"/>
        <n v="22.172651"/>
        <n v="7.051344"/>
        <n v="8.009963"/>
        <n v="0.793825"/>
        <n v="2.923179"/>
        <n v="2.757308"/>
        <n v="0.637032"/>
        <n v="0.3180198885555"/>
        <n v="0.361254186520141"/>
        <n v="0.0358019886751476"/>
        <n v="0.131837144778042"/>
        <n v="0.124356262135728"/>
        <n v="0.0287305293354412"/>
        <n v="11.580273"/>
        <n v="1.788371"/>
        <n v="3.503753"/>
        <n v="4.663222"/>
        <n v="0.52227733165511"/>
        <n v="0.080656616116855"/>
        <n v="0.1580213840916"/>
        <n v="0.210314138800994"/>
        <n v="0.545248"/>
        <n v="0.112701"/>
        <n v="0.381135"/>
        <n v="0.00395200000000004"/>
        <n v="0.048446"/>
        <n v="0.0972439999999999"/>
        <n v="0.014471"/>
        <n v="0.104961"/>
        <n v="0.00773999999999978"/>
        <n v="1.014308"/>
        <n v="50"/>
        <n v="26"/>
        <n v="47"/>
        <n v="28"/>
        <n v="17"/>
        <n v="0.229166666666667"/>
        <n v="0.375"/>
        <n v="0.104166666666667"/>
        <n v="0.0625"/>
        <n v="24"/>
        <n v="0.311111111111111"/>
        <n v="0.288888888888889"/>
        <n v="0.4"/>
        <n v="27"/>
        <n v="0.62962962962963"/>
        <n v="0.259259259259259"/>
        <n v="33"/>
        <n v="0.96"/>
        <n v="0.916666666666667"/>
        <n v="0.957446808510638"/>
        <n v="0.933333333333333"/>
        <n v="0.964285714285714"/>
        <n v="8.208181"/>
        <n v="2.852749"/>
        <n v="1.169307"/>
        <n v="4.17065"/>
        <n v="0.015475"/>
        <n v="7.825651"/>
        <n v="0.38253"/>
        <n v="8.35129"/>
        <n v="2.90608"/>
        <n v="1.18882"/>
        <n v="4.240915"/>
        <n v="7.963041"/>
        <n v="0.388249"/>
        <n v="0.0794760000000003"/>
        <n v="0.0117140000000003"/>
        <n v="0.0624000000000003"/>
        <n v="0.017076"/>
        <n v="37.768818"/>
        <n v="12.528003"/>
        <n v="5.39987"/>
        <n v="9.946404"/>
        <n v="9.098055"/>
        <n v="0.796486"/>
        <n v="0.331702278848123"/>
        <n v="0.142971643963017"/>
        <n v="0.263349623490997"/>
        <n v="0.240887999195527"/>
        <n v="0.0210884545023358"/>
        <n v="24.332925"/>
        <n v="6.719169"/>
        <n v="4.858047"/>
        <n v="1.858677"/>
        <n v="0.644259637672537"/>
        <n v="0.17790254913458"/>
        <n v="0.128625868037491"/>
        <n v="0.0492119451553925"/>
        <n v="38.305518"/>
        <n v="12.712486"/>
        <n v="5.480049"/>
        <n v="10.097722"/>
        <n v="9.211924"/>
        <n v="0.803337"/>
        <n v="0.331870880848028"/>
        <n v="0.143061607990786"/>
        <n v="0.26361011486648"/>
        <n v="0.240485561375257"/>
        <n v="0.0209718349194495"/>
        <n v="24.698955"/>
        <n v="6.81256"/>
        <n v="4.930757"/>
        <n v="1.863246"/>
        <n v="0.644788434919481"/>
        <n v="0.177848006127994"/>
        <n v="0.128721846288569"/>
        <n v="0.0486417126639562"/>
        <n v="0.79878"/>
        <n v="0.139193"/>
        <n v="0.558773"/>
        <n v="0.0655089999999999"/>
        <n v="0.174498"/>
        <n v="0.111767"/>
        <n v="0.0255800000000001"/>
        <n v="0.00184599999999998"/>
        <s v="-"/>
        <n v="1.738247"/>
        <n v="1.770774"/>
        <n v="8.175054"/>
        <n v="0.840305"/>
        <n v="2.889361"/>
        <n v="4.445388"/>
        <n v="0.102788923473778"/>
        <n v="0.353436319809019"/>
        <n v="0.543774756717203"/>
        <n v="4.627608"/>
        <n v="2.707141"/>
        <n v="0.566064517738966"/>
        <n v="0.331146558787257"/>
        <n v="8.321078"/>
        <n v="0.853543"/>
        <n v="2.939598"/>
        <n v="4.527937"/>
        <n v="0.102576012386857"/>
        <n v="0.353271294897128"/>
        <n v="0.544152692716016"/>
        <n v="4.710372"/>
        <n v="2.757163"/>
        <n v="0.566077135678815"/>
        <n v="0.331346851934329"/>
        <n v="0.0186280000000001"/>
        <n v="0.00930200000000004"/>
        <n v="0.0138210000000001"/>
        <n v="0.00480699999999997"/>
        <n v="0.166666666666667"/>
        <n v="0.30952380952381"/>
        <n v="0.214285714285714"/>
        <n v="0.119047619047619"/>
        <n v="0.0476190476190476"/>
        <n v="21"/>
        <n v="36"/>
        <n v="0.361111111111111"/>
        <n v="0.388888888888889"/>
        <n v="0.619047619047619"/>
        <n v="31"/>
        <n v="0.866666666666667"/>
        <n v="0.954545454545455"/>
        <n v="0.764705882352941"/>
        <n v="0.777777777777778"/>
        <n v="0.90068"/>
        <n v="0.445437"/>
        <n v="0.369125"/>
        <n v="0.086118"/>
        <n v="0.814562"/>
        <n v="0.906858"/>
        <n v="0.451615"/>
        <n v="0.82074"/>
        <n v="0.036911"/>
        <n v="0.033268"/>
        <n v="0.00364300000000001"/>
        <n v="37.854176"/>
        <n v="18.404386"/>
        <n v="6.655588"/>
        <n v="3.869766"/>
        <n v="4.111906"/>
        <n v="4.81253"/>
        <n v="0.486191695204249"/>
        <n v="0.175821764024133"/>
        <n v="0.102228245570581"/>
        <n v="0.108624897818407"/>
        <n v="0.12713339738263"/>
        <n v="16.111498"/>
        <n v="6.444407"/>
        <n v="4.921855"/>
        <n v="10.376416"/>
        <n v="0.425620095389212"/>
        <n v="0.170242960776639"/>
        <n v="0.130021453907754"/>
        <n v="0.274115489926396"/>
        <n v="38.419496"/>
        <n v="18.677218"/>
        <n v="6.752841"/>
        <n v="3.924669"/>
        <n v="4.174086"/>
        <n v="4.890682"/>
        <n v="0.4861390685604"/>
        <n v="0.175765996513853"/>
        <n v="0.10215305791622"/>
        <n v="0.108644996280014"/>
        <n v="0.127296880729513"/>
        <n v="16.363979"/>
        <n v="6.534235"/>
        <n v="4.998278"/>
        <n v="10.523004"/>
        <n v="0.425929038735959"/>
        <n v="0.170076020778617"/>
        <n v="0.1300974380299"/>
        <n v="0.273897502455524"/>
        <n v="0.81129"/>
        <n v="0.151622"/>
        <n v="0.492758"/>
        <n v="0.110261"/>
        <n v="0.037772"/>
        <n v="0.170499"/>
        <n v="0.0578770000000001"/>
        <n v="0.022281"/>
        <n v="0.0714640000000001"/>
        <n v="5.9471"/>
        <n v="2.8337"/>
        <n v="3.1134"/>
        <n v="0.476484336903701"/>
        <n v="0.523515663096299"/>
        <n v="6.0521"/>
        <n v="2.8851"/>
        <n v="3.167"/>
        <n v="0.476710563275557"/>
        <n v="0.523289436724443"/>
        <n v="0.0257"/>
        <n v="0.1154"/>
        <n v="0.260869565217391"/>
        <n v="0.217391304347826"/>
        <n v="0.0434782608695652"/>
        <n v="0.304347826086957"/>
        <n v="0.173913043478261"/>
        <n v="0.416666666666667"/>
        <n v="0.0833333333333333"/>
        <n v="0.107279"/>
        <n v="0.042853"/>
        <n v="0.064426"/>
        <n v="0.016687"/>
        <n v="1.465502"/>
        <n v="0.216197"/>
        <n v="0.262892"/>
        <n v="0.035692"/>
        <n v="0.666938"/>
        <n v="0.283783"/>
        <n v="0.147524193075137"/>
        <n v="0.179386995036513"/>
        <n v="0.024354794466333"/>
        <n v="0.455091838837477"/>
        <n v="0.19364217858454"/>
        <n v="0.606858"/>
        <n v="0.630551"/>
        <n v="0.228093"/>
        <n v="0.414095647771207"/>
        <n v="0.430262804144928"/>
        <n v="0.155641548083865"/>
        <n v="0.1021"/>
        <n v="0.137664"/>
        <n v="0.02944"/>
        <n v="0.050247"/>
        <n v="0.022413"/>
        <n v="0.090882"/>
        <n v="0.046782"/>
      </sharedItems>
    </cacheField>
    <cacheField name="12月" numFmtId="0">
      <sharedItems containsBlank="1" containsNumber="1" containsMixedTypes="1" count="412">
        <n v="1"/>
        <n v="0"/>
        <n v="3"/>
        <n v="2"/>
        <e v="#DIV/0!"/>
        <n v="49"/>
        <n v="10"/>
        <n v="15"/>
        <n v="9"/>
        <n v="4"/>
        <n v="23"/>
        <n v="14"/>
        <n v="11"/>
        <n v="42"/>
        <n v="13"/>
        <n v="43"/>
        <n v="19"/>
        <n v="16"/>
        <n v="8"/>
        <n v="48"/>
        <n v="0.208333333333333"/>
        <n v="0.3125"/>
        <n v="0.1875"/>
        <n v="0.0625"/>
        <n v="0.0208333333333333"/>
        <n v="0.333333333333333"/>
        <n v="0.30952380952381"/>
        <n v="0.357142857142857"/>
        <n v="0.452380952380952"/>
        <n v="0.19047619047619"/>
        <n v="26"/>
        <n v="22"/>
        <n v="7"/>
        <n v="12"/>
        <n v="6"/>
        <n v="0.979591836734694"/>
        <n v="0.75"/>
        <n v="0.928571428571429"/>
        <s v=""/>
        <n v="0.976744186046512"/>
        <n v="0.9375"/>
        <n v="4.390938"/>
        <n v="0.764851"/>
        <n v="2.700835"/>
        <n v="0.925252"/>
        <n v="1.690103"/>
        <n v="4.470686"/>
        <n v="0.777904"/>
        <n v="2.751374"/>
        <n v="0.941408"/>
        <n v="1.719312"/>
        <n v="0.217011"/>
        <n v="0.0695290000000002"/>
        <n v="0.0620420000000002"/>
        <n v="0.00748699999999999"/>
        <n v="60.631877"/>
        <n v="11.969462"/>
        <n v="10.102264"/>
        <n v="22.649346"/>
        <n v="14.378606"/>
        <n v="0.606947"/>
        <n v="0.197412031298322"/>
        <n v="0.166616382336308"/>
        <n v="0.373555085553429"/>
        <n v="0.237145981807556"/>
        <n v="0.0100103613813572"/>
        <n v="0.0152601576230272"/>
        <n v="45.919514"/>
        <n v="8.014211"/>
        <n v="6.398154"/>
        <n v="0.299998"/>
        <n v="0.757349372509118"/>
        <n v="0.132178177495643"/>
        <n v="0.105524590637364"/>
        <n v="0.0049478593578754"/>
        <n v="61.8129653546"/>
        <n v="12.181577"/>
        <n v="10.258862"/>
        <n v="23.2544423546"/>
        <n v="14.56166"/>
        <n v="0.615016"/>
        <n v="0.197071551738675"/>
        <n v="0.165966184297233"/>
        <n v="0.376206548597"/>
        <n v="0.235576143556044"/>
        <n v="0.00994962782438704"/>
        <n v="0.0152299439866614"/>
        <n v="46.872553"/>
        <n v="8.137595"/>
        <n v="6.5028193546"/>
        <n v="0.758296463065767"/>
        <n v="0.131648675214292"/>
        <n v="0.105201543354142"/>
        <n v="0.00485331836579936"/>
        <n v="2.4144826454"/>
        <n v="1.7791789978"/>
        <n v="0.726337999999999"/>
        <n v="1.055557"/>
        <n v="0.5948126454"/>
        <n v="0.037775"/>
        <n v="1.564316"/>
        <n v="0.051171"/>
        <n v="0.1636919978"/>
        <n v="5"/>
        <m/>
        <n v="0.416666666666667"/>
        <n v="0.0833333333333333"/>
        <n v="0.25"/>
        <n v="0.555555555555556"/>
        <n v="0.111111111111111"/>
        <n v="0.7"/>
        <n v="0.2"/>
        <n v="0.1"/>
        <n v="0.923076923076923"/>
        <n v="0.5"/>
        <n v="0.8"/>
        <n v="0.9"/>
        <n v="4.0903"/>
        <n v="4.163586"/>
        <n v="0.0240720000000001"/>
        <n v="25.88843"/>
        <n v="6.942092"/>
        <n v="7.870485"/>
        <n v="0.780199"/>
        <n v="6.964942"/>
        <n v="2.706678"/>
        <n v="0.624034"/>
        <n v="0.268154229514884"/>
        <n v="0.30401553898788"/>
        <n v="0.0301369762476906"/>
        <n v="0.269036863185601"/>
        <n v="0.104551647203017"/>
        <n v="0.0241047448609282"/>
        <n v="15.469299"/>
        <n v="1.750338"/>
        <n v="3.445825"/>
        <n v="4.598934"/>
        <n v="0.597537162353994"/>
        <n v="0.0676108207411574"/>
        <n v="0.133102895772359"/>
        <n v="0.177644376271562"/>
        <n v="26.336237"/>
        <n v="7.051344"/>
        <n v="8.009963"/>
        <n v="0.793825"/>
        <n v="7.086765"/>
        <n v="2.757308"/>
        <n v="0.637032"/>
        <n v="0.26774303405608"/>
        <n v="0.304142273628537"/>
        <n v="0.0301419295398959"/>
        <n v="0.269087987019558"/>
        <n v="0.104696354304527"/>
        <n v="0.0241884214514017"/>
        <n v="15.743859"/>
        <n v="1.788371"/>
        <n v="3.503753"/>
        <n v="4.663222"/>
        <n v="0.597802146145632"/>
        <n v="0.0679053351471586"/>
        <n v="0.133039241710955"/>
        <n v="0.177064855544853"/>
        <n v="0.545248"/>
        <n v="0.136773"/>
        <n v="0.381135"/>
        <n v="0.00395200000000004"/>
        <n v="0.048446"/>
        <n v="0.0972439999999999"/>
        <n v="0.014471"/>
        <n v="0.129033"/>
        <n v="0.00773999999999978"/>
        <n v="1.014308"/>
        <s v="-"/>
        <n v="53"/>
        <n v="20"/>
        <n v="50"/>
        <n v="31"/>
        <n v="18"/>
        <n v="0.226415094339623"/>
        <n v="0.377358490566038"/>
        <n v="0.0943396226415094"/>
        <n v="0.0754716981132076"/>
        <n v="0.32"/>
        <n v="0.28"/>
        <n v="0.4"/>
        <n v="0.580645161290323"/>
        <n v="0.290322580645161"/>
        <n v="0.129032258064516"/>
        <n v="38"/>
        <n v="2.925687"/>
        <n v="0.287845"/>
        <n v="1.046857"/>
        <n v="1.469378"/>
        <n v="0.121607"/>
        <n v="0.687711"/>
        <n v="2.116369"/>
        <n v="2.96778"/>
        <n v="0.291646"/>
        <n v="1.063294"/>
        <n v="1.491233"/>
        <n v="0.697797"/>
        <n v="2.148376"/>
        <n v="0.07941"/>
        <n v="0.050158"/>
        <n v="0.001095"/>
        <n v="0.028157"/>
        <n v="40.694505"/>
        <n v="12.815848"/>
        <n v="6.446727"/>
        <n v="11.415782"/>
        <n v="9.098055"/>
        <n v="0.918093"/>
        <n v="0.31492821942422"/>
        <n v="0.158417629112333"/>
        <n v="0.280523918401268"/>
        <n v="0.223569619534628"/>
        <n v="0.0225606135275512"/>
        <n v="25.020636"/>
        <n v="6.840776"/>
        <n v="6.974416"/>
        <n v="1.858677"/>
        <n v="0.614840652319029"/>
        <n v="0.168100730061712"/>
        <n v="0.171384711523091"/>
        <n v="0.045673906096167"/>
        <n v="41.273298"/>
        <n v="13.004132"/>
        <n v="6.543343"/>
        <n v="11.588955"/>
        <n v="9.211924"/>
        <n v="0.924944"/>
        <n v="0.3150737312051"/>
        <n v="0.158536955297345"/>
        <n v="0.280785775830175"/>
        <n v="0.223193310115417"/>
        <n v="0.0224102275519635"/>
        <n v="25.396752"/>
        <n v="6.934167"/>
        <n v="7.079133"/>
        <n v="1.863246"/>
        <n v="0.615331297246951"/>
        <n v="0.168006128320543"/>
        <n v="0.171518471821661"/>
        <n v="0.0451441026108454"/>
        <n v="0.87819"/>
        <n v="0.139193"/>
        <n v="0.608931"/>
        <n v="0.0666039999999999"/>
        <n v="0.202655"/>
        <n v="0.111767"/>
        <n v="0.0255800000000001"/>
        <n v="0.00184599999999998"/>
        <n v="0.666666666666667"/>
        <n v="8.175054"/>
        <n v="0.840305"/>
        <n v="2.889361"/>
        <n v="4.445388"/>
        <n v="0.102788923473778"/>
        <n v="0.353436319809019"/>
        <n v="0.543774756717203"/>
        <n v="4.627608"/>
        <n v="2.707141"/>
        <n v="0.566064517738966"/>
        <n v="0.331146558787257"/>
        <n v="8.321078"/>
        <n v="0.853543"/>
        <n v="2.939598"/>
        <n v="4.527937"/>
        <n v="0.102576012386857"/>
        <n v="0.353271294897128"/>
        <n v="0.544152692716016"/>
        <n v="4.710372"/>
        <n v="2.757163"/>
        <n v="0.566077135678815"/>
        <n v="0.331346851934329"/>
        <n v="0.0186280000000001"/>
        <n v="0.00930200000000004"/>
        <n v="0.0138210000000001"/>
        <n v="0.00480699999999997"/>
        <n v="25"/>
        <n v="0.326530612244898"/>
        <n v="0.26530612244898"/>
        <n v="0.204081632653061"/>
        <n v="0.102040816326531"/>
        <n v="0.0816326530612245"/>
        <n v="0.0204081632653061"/>
        <n v="0.418604651162791"/>
        <n v="0.348837209302326"/>
        <n v="0.232558139534884"/>
        <n v="0.56"/>
        <n v="0.36"/>
        <n v="0.08"/>
        <n v="36"/>
        <n v="17"/>
        <n v="4.456078"/>
        <n v="2.254626"/>
        <n v="0.45082"/>
        <n v="0.425627"/>
        <n v="1.325005"/>
        <n v="0.411307"/>
        <n v="2.604999"/>
        <n v="0.988952"/>
        <n v="4.535337"/>
        <n v="2.29929"/>
        <n v="0.457906"/>
        <n v="0.432026"/>
        <n v="1.346115"/>
        <n v="0.417706"/>
        <n v="2.64588"/>
        <n v="1.013845"/>
        <n v="0.0586710000000002"/>
        <n v="0.0157679999999998"/>
        <n v="0.024673"/>
        <n v="0.0254760000000001"/>
        <n v="0.00852200000000003"/>
        <n v="42.310254"/>
        <n v="20.659012"/>
        <n v="6.655588"/>
        <n v="4.320586"/>
        <n v="4.111906"/>
        <n v="5.238157"/>
        <n v="0.488274355431664"/>
        <n v="0.157304373545004"/>
        <n v="0.102116758741273"/>
        <n v="0.0971846210140927"/>
        <n v="0.123803487447747"/>
        <n v="0.0313164038202182"/>
        <n v="16.522805"/>
        <n v="9.049406"/>
        <n v="5.372675"/>
        <n v="11.365368"/>
        <n v="0.390515381921366"/>
        <n v="0.213882100542341"/>
        <n v="0.126982811306214"/>
        <n v="0.268619706230078"/>
        <n v="42.954833"/>
        <n v="20.976508"/>
        <n v="6.752841"/>
        <n v="4.382575"/>
        <n v="4.174086"/>
        <n v="5.322708"/>
        <n v="0.48833871615797"/>
        <n v="0.157207944447136"/>
        <n v="0.102027518067641"/>
        <n v="0.0971738383897337"/>
        <n v="0.123914065735048"/>
        <n v="0.0313379172024717"/>
        <n v="16.781685"/>
        <n v="9.180115"/>
        <n v="5.456184"/>
        <n v="11.536849"/>
        <n v="0.390682114862372"/>
        <n v="0.213715532312744"/>
        <n v="0.127021422711619"/>
        <n v="0.268580930113266"/>
        <n v="0.869961"/>
        <n v="0.16739"/>
        <n v="0.517431"/>
        <n v="0.135737"/>
        <n v="0.0462940000000001"/>
        <n v="0.170499"/>
        <n v="0.0578770000000001"/>
        <n v="0.0380489999999998"/>
        <n v="0.0714640000000001"/>
        <n v="1.7388"/>
        <n v="1.7692"/>
        <n v="0.0129"/>
        <n v="7.6859"/>
        <n v="2.8337"/>
        <n v="4.8522"/>
        <n v="0.368688117201629"/>
        <n v="0.631311882798371"/>
        <n v="7.8213"/>
        <n v="2.8851"/>
        <n v="4.9362"/>
        <n v="0.368877296613095"/>
        <n v="0.631122703386905"/>
        <n v="0.0386"/>
        <n v="0.1154"/>
        <n v="0.0257"/>
        <n v="0.24"/>
        <n v="0.04"/>
        <n v="0.571428571428571"/>
        <n v="0.0714285714285714"/>
        <n v="0.444444444444444"/>
        <n v="-0.022186"/>
        <n v="0.026462"/>
        <n v="1.443316"/>
        <n v="0.216197"/>
        <n v="0.262892"/>
        <n v="0.035692"/>
        <n v="0.666938"/>
        <n v="0.261597"/>
        <n v="0.149791868170241"/>
        <n v="0.182144450695482"/>
        <n v="0.0247291653387062"/>
        <n v="0.462087304512664"/>
        <n v="0.181247211282907"/>
        <n v="0.606858"/>
        <n v="0.630551"/>
        <n v="0.228093"/>
        <n v="0.420460938560925"/>
        <n v="0.436876609141726"/>
        <n v="-0.0153715471871718"/>
        <n v="0.15803399948452"/>
        <n v="0.1021"/>
        <n v="0.164126"/>
        <n v="0.02944"/>
        <n v="0.050247"/>
        <n v="0.022413"/>
        <n v="0.090882"/>
        <n v="0.046782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195"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1"/>
    <x v="1"/>
    <x v="1"/>
    <x v="0"/>
    <x v="1"/>
    <x v="1"/>
    <x v="1"/>
    <x v="1"/>
    <x v="1"/>
    <x v="1"/>
    <x v="1"/>
    <x v="1"/>
    <x v="1"/>
    <x v="1"/>
  </r>
  <r>
    <x v="0"/>
    <x v="0"/>
    <x v="0"/>
    <x v="1"/>
    <x v="2"/>
    <x v="2"/>
    <x v="1"/>
    <x v="2"/>
    <x v="2"/>
    <x v="1"/>
    <x v="2"/>
    <x v="2"/>
    <x v="2"/>
    <x v="2"/>
    <x v="2"/>
    <x v="2"/>
    <x v="1"/>
  </r>
  <r>
    <x v="0"/>
    <x v="0"/>
    <x v="0"/>
    <x v="1"/>
    <x v="3"/>
    <x v="1"/>
    <x v="1"/>
    <x v="3"/>
    <x v="3"/>
    <x v="0"/>
    <x v="2"/>
    <x v="3"/>
    <x v="3"/>
    <x v="3"/>
    <x v="3"/>
    <x v="3"/>
    <x v="2"/>
  </r>
  <r>
    <x v="0"/>
    <x v="0"/>
    <x v="0"/>
    <x v="1"/>
    <x v="4"/>
    <x v="2"/>
    <x v="1"/>
    <x v="3"/>
    <x v="2"/>
    <x v="1"/>
    <x v="3"/>
    <x v="1"/>
    <x v="3"/>
    <x v="2"/>
    <x v="3"/>
    <x v="2"/>
    <x v="2"/>
  </r>
  <r>
    <x v="0"/>
    <x v="0"/>
    <x v="0"/>
    <x v="1"/>
    <x v="5"/>
    <x v="3"/>
    <x v="1"/>
    <x v="3"/>
    <x v="3"/>
    <x v="1"/>
    <x v="3"/>
    <x v="1"/>
    <x v="2"/>
    <x v="2"/>
    <x v="1"/>
    <x v="2"/>
    <x v="2"/>
  </r>
  <r>
    <x v="0"/>
    <x v="0"/>
    <x v="0"/>
    <x v="1"/>
    <x v="6"/>
    <x v="1"/>
    <x v="1"/>
    <x v="3"/>
    <x v="3"/>
    <x v="1"/>
    <x v="2"/>
    <x v="2"/>
    <x v="3"/>
    <x v="2"/>
    <x v="1"/>
    <x v="4"/>
    <x v="2"/>
  </r>
  <r>
    <x v="0"/>
    <x v="0"/>
    <x v="0"/>
    <x v="1"/>
    <x v="7"/>
    <x v="3"/>
    <x v="1"/>
    <x v="3"/>
    <x v="3"/>
    <x v="1"/>
    <x v="3"/>
    <x v="2"/>
    <x v="2"/>
    <x v="2"/>
    <x v="1"/>
    <x v="4"/>
    <x v="2"/>
  </r>
  <r>
    <x v="0"/>
    <x v="0"/>
    <x v="0"/>
    <x v="2"/>
    <x v="8"/>
    <x v="4"/>
    <x v="1"/>
    <x v="4"/>
    <x v="2"/>
    <x v="1"/>
    <x v="1"/>
    <x v="4"/>
    <x v="1"/>
    <x v="4"/>
    <x v="1"/>
    <x v="3"/>
    <x v="1"/>
  </r>
  <r>
    <x v="0"/>
    <x v="0"/>
    <x v="0"/>
    <x v="2"/>
    <x v="9"/>
    <x v="3"/>
    <x v="0"/>
    <x v="1"/>
    <x v="4"/>
    <x v="0"/>
    <x v="4"/>
    <x v="3"/>
    <x v="1"/>
    <x v="5"/>
    <x v="4"/>
    <x v="5"/>
    <x v="1"/>
  </r>
  <r>
    <x v="0"/>
    <x v="0"/>
    <x v="0"/>
    <x v="2"/>
    <x v="10"/>
    <x v="1"/>
    <x v="1"/>
    <x v="1"/>
    <x v="4"/>
    <x v="1"/>
    <x v="3"/>
    <x v="1"/>
    <x v="2"/>
    <x v="2"/>
    <x v="2"/>
    <x v="1"/>
    <x v="2"/>
  </r>
  <r>
    <x v="0"/>
    <x v="0"/>
    <x v="0"/>
    <x v="2"/>
    <x v="11"/>
    <x v="3"/>
    <x v="1"/>
    <x v="3"/>
    <x v="3"/>
    <x v="1"/>
    <x v="3"/>
    <x v="2"/>
    <x v="3"/>
    <x v="2"/>
    <x v="1"/>
    <x v="4"/>
    <x v="2"/>
  </r>
  <r>
    <x v="0"/>
    <x v="0"/>
    <x v="0"/>
    <x v="2"/>
    <x v="12"/>
    <x v="1"/>
    <x v="1"/>
    <x v="3"/>
    <x v="3"/>
    <x v="1"/>
    <x v="3"/>
    <x v="2"/>
    <x v="3"/>
    <x v="2"/>
    <x v="1"/>
    <x v="4"/>
    <x v="2"/>
  </r>
  <r>
    <x v="0"/>
    <x v="0"/>
    <x v="0"/>
    <x v="0"/>
    <x v="13"/>
    <x v="0"/>
    <x v="0"/>
    <x v="0"/>
    <x v="5"/>
    <x v="0"/>
    <x v="5"/>
    <x v="5"/>
    <x v="0"/>
    <x v="0"/>
    <x v="0"/>
    <x v="6"/>
    <x v="0"/>
  </r>
  <r>
    <x v="0"/>
    <x v="0"/>
    <x v="0"/>
    <x v="3"/>
    <x v="1"/>
    <x v="3"/>
    <x v="0"/>
    <x v="1"/>
    <x v="1"/>
    <x v="1"/>
    <x v="1"/>
    <x v="4"/>
    <x v="1"/>
    <x v="1"/>
    <x v="1"/>
    <x v="1"/>
    <x v="1"/>
  </r>
  <r>
    <x v="0"/>
    <x v="0"/>
    <x v="0"/>
    <x v="3"/>
    <x v="2"/>
    <x v="5"/>
    <x v="1"/>
    <x v="2"/>
    <x v="2"/>
    <x v="1"/>
    <x v="2"/>
    <x v="2"/>
    <x v="1"/>
    <x v="2"/>
    <x v="2"/>
    <x v="1"/>
    <x v="1"/>
  </r>
  <r>
    <x v="0"/>
    <x v="0"/>
    <x v="0"/>
    <x v="3"/>
    <x v="3"/>
    <x v="2"/>
    <x v="1"/>
    <x v="3"/>
    <x v="3"/>
    <x v="0"/>
    <x v="2"/>
    <x v="3"/>
    <x v="2"/>
    <x v="3"/>
    <x v="4"/>
    <x v="3"/>
    <x v="2"/>
  </r>
  <r>
    <x v="0"/>
    <x v="0"/>
    <x v="0"/>
    <x v="0"/>
    <x v="14"/>
    <x v="4"/>
    <x v="0"/>
    <x v="0"/>
    <x v="5"/>
    <x v="1"/>
    <x v="5"/>
    <x v="0"/>
    <x v="4"/>
    <x v="0"/>
    <x v="0"/>
    <x v="6"/>
    <x v="0"/>
  </r>
  <r>
    <x v="0"/>
    <x v="0"/>
    <x v="0"/>
    <x v="4"/>
    <x v="4"/>
    <x v="2"/>
    <x v="1"/>
    <x v="1"/>
    <x v="2"/>
    <x v="1"/>
    <x v="3"/>
    <x v="1"/>
    <x v="3"/>
    <x v="2"/>
    <x v="5"/>
    <x v="1"/>
    <x v="2"/>
  </r>
  <r>
    <x v="0"/>
    <x v="0"/>
    <x v="0"/>
    <x v="4"/>
    <x v="5"/>
    <x v="3"/>
    <x v="0"/>
    <x v="2"/>
    <x v="4"/>
    <x v="1"/>
    <x v="4"/>
    <x v="5"/>
    <x v="5"/>
    <x v="1"/>
    <x v="4"/>
    <x v="3"/>
    <x v="1"/>
  </r>
  <r>
    <x v="0"/>
    <x v="0"/>
    <x v="0"/>
    <x v="4"/>
    <x v="6"/>
    <x v="1"/>
    <x v="1"/>
    <x v="3"/>
    <x v="3"/>
    <x v="1"/>
    <x v="2"/>
    <x v="2"/>
    <x v="3"/>
    <x v="2"/>
    <x v="1"/>
    <x v="4"/>
    <x v="2"/>
  </r>
  <r>
    <x v="0"/>
    <x v="0"/>
    <x v="0"/>
    <x v="4"/>
    <x v="7"/>
    <x v="3"/>
    <x v="1"/>
    <x v="3"/>
    <x v="2"/>
    <x v="1"/>
    <x v="3"/>
    <x v="2"/>
    <x v="2"/>
    <x v="3"/>
    <x v="4"/>
    <x v="1"/>
    <x v="1"/>
  </r>
  <r>
    <x v="0"/>
    <x v="1"/>
    <x v="0"/>
    <x v="0"/>
    <x v="15"/>
    <x v="4"/>
    <x v="2"/>
    <x v="1"/>
    <x v="0"/>
    <x v="2"/>
    <x v="1"/>
    <x v="0"/>
    <x v="4"/>
    <x v="4"/>
    <x v="3"/>
    <x v="7"/>
    <x v="0"/>
  </r>
  <r>
    <x v="0"/>
    <x v="1"/>
    <x v="0"/>
    <x v="1"/>
    <x v="1"/>
    <x v="1"/>
    <x v="1"/>
    <x v="1"/>
    <x v="4"/>
    <x v="3"/>
    <x v="2"/>
    <x v="1"/>
    <x v="1"/>
    <x v="3"/>
    <x v="3"/>
    <x v="2"/>
    <x v="2"/>
  </r>
  <r>
    <x v="0"/>
    <x v="1"/>
    <x v="0"/>
    <x v="1"/>
    <x v="2"/>
    <x v="3"/>
    <x v="0"/>
    <x v="3"/>
    <x v="1"/>
    <x v="0"/>
    <x v="3"/>
    <x v="1"/>
    <x v="3"/>
    <x v="5"/>
    <x v="1"/>
    <x v="5"/>
    <x v="2"/>
  </r>
  <r>
    <x v="0"/>
    <x v="1"/>
    <x v="0"/>
    <x v="1"/>
    <x v="3"/>
    <x v="1"/>
    <x v="1"/>
    <x v="3"/>
    <x v="3"/>
    <x v="0"/>
    <x v="3"/>
    <x v="3"/>
    <x v="2"/>
    <x v="2"/>
    <x v="1"/>
    <x v="2"/>
    <x v="1"/>
  </r>
  <r>
    <x v="0"/>
    <x v="1"/>
    <x v="0"/>
    <x v="1"/>
    <x v="4"/>
    <x v="3"/>
    <x v="0"/>
    <x v="3"/>
    <x v="3"/>
    <x v="0"/>
    <x v="3"/>
    <x v="2"/>
    <x v="2"/>
    <x v="2"/>
    <x v="1"/>
    <x v="2"/>
    <x v="1"/>
  </r>
  <r>
    <x v="0"/>
    <x v="1"/>
    <x v="0"/>
    <x v="1"/>
    <x v="5"/>
    <x v="3"/>
    <x v="1"/>
    <x v="3"/>
    <x v="3"/>
    <x v="1"/>
    <x v="3"/>
    <x v="1"/>
    <x v="3"/>
    <x v="5"/>
    <x v="1"/>
    <x v="4"/>
    <x v="2"/>
  </r>
  <r>
    <x v="0"/>
    <x v="1"/>
    <x v="0"/>
    <x v="1"/>
    <x v="6"/>
    <x v="1"/>
    <x v="1"/>
    <x v="3"/>
    <x v="3"/>
    <x v="1"/>
    <x v="2"/>
    <x v="2"/>
    <x v="3"/>
    <x v="2"/>
    <x v="1"/>
    <x v="4"/>
    <x v="2"/>
  </r>
  <r>
    <x v="0"/>
    <x v="1"/>
    <x v="0"/>
    <x v="1"/>
    <x v="7"/>
    <x v="3"/>
    <x v="1"/>
    <x v="3"/>
    <x v="3"/>
    <x v="1"/>
    <x v="3"/>
    <x v="2"/>
    <x v="3"/>
    <x v="2"/>
    <x v="1"/>
    <x v="4"/>
    <x v="2"/>
  </r>
  <r>
    <x v="0"/>
    <x v="1"/>
    <x v="0"/>
    <x v="2"/>
    <x v="8"/>
    <x v="4"/>
    <x v="1"/>
    <x v="3"/>
    <x v="4"/>
    <x v="0"/>
    <x v="2"/>
    <x v="1"/>
    <x v="1"/>
    <x v="3"/>
    <x v="3"/>
    <x v="1"/>
    <x v="2"/>
  </r>
  <r>
    <x v="0"/>
    <x v="1"/>
    <x v="0"/>
    <x v="2"/>
    <x v="9"/>
    <x v="1"/>
    <x v="0"/>
    <x v="1"/>
    <x v="4"/>
    <x v="3"/>
    <x v="2"/>
    <x v="5"/>
    <x v="2"/>
    <x v="5"/>
    <x v="1"/>
    <x v="1"/>
    <x v="0"/>
  </r>
  <r>
    <x v="0"/>
    <x v="1"/>
    <x v="0"/>
    <x v="2"/>
    <x v="10"/>
    <x v="1"/>
    <x v="1"/>
    <x v="3"/>
    <x v="2"/>
    <x v="3"/>
    <x v="3"/>
    <x v="2"/>
    <x v="2"/>
    <x v="5"/>
    <x v="1"/>
    <x v="1"/>
    <x v="2"/>
  </r>
  <r>
    <x v="0"/>
    <x v="1"/>
    <x v="0"/>
    <x v="2"/>
    <x v="11"/>
    <x v="1"/>
    <x v="0"/>
    <x v="3"/>
    <x v="3"/>
    <x v="1"/>
    <x v="3"/>
    <x v="2"/>
    <x v="3"/>
    <x v="2"/>
    <x v="1"/>
    <x v="4"/>
    <x v="2"/>
  </r>
  <r>
    <x v="0"/>
    <x v="1"/>
    <x v="0"/>
    <x v="2"/>
    <x v="12"/>
    <x v="1"/>
    <x v="1"/>
    <x v="3"/>
    <x v="3"/>
    <x v="1"/>
    <x v="3"/>
    <x v="2"/>
    <x v="3"/>
    <x v="2"/>
    <x v="1"/>
    <x v="4"/>
    <x v="2"/>
  </r>
  <r>
    <x v="0"/>
    <x v="1"/>
    <x v="0"/>
    <x v="0"/>
    <x v="16"/>
    <x v="4"/>
    <x v="0"/>
    <x v="3"/>
    <x v="1"/>
    <x v="3"/>
    <x v="2"/>
    <x v="5"/>
    <x v="5"/>
    <x v="3"/>
    <x v="1"/>
    <x v="7"/>
    <x v="0"/>
  </r>
  <r>
    <x v="0"/>
    <x v="1"/>
    <x v="0"/>
    <x v="0"/>
    <x v="17"/>
    <x v="1"/>
    <x v="0"/>
    <x v="1"/>
    <x v="4"/>
    <x v="4"/>
    <x v="2"/>
    <x v="1"/>
    <x v="2"/>
    <x v="3"/>
    <x v="3"/>
    <x v="4"/>
    <x v="2"/>
  </r>
  <r>
    <x v="0"/>
    <x v="1"/>
    <x v="0"/>
    <x v="0"/>
    <x v="18"/>
    <x v="1"/>
    <x v="1"/>
    <x v="3"/>
    <x v="3"/>
    <x v="1"/>
    <x v="3"/>
    <x v="2"/>
    <x v="3"/>
    <x v="2"/>
    <x v="1"/>
    <x v="4"/>
    <x v="2"/>
  </r>
  <r>
    <x v="0"/>
    <x v="1"/>
    <x v="0"/>
    <x v="5"/>
    <x v="8"/>
    <x v="4"/>
    <x v="1"/>
    <x v="3"/>
    <x v="3"/>
    <x v="1"/>
    <x v="2"/>
    <x v="1"/>
    <x v="1"/>
    <x v="5"/>
    <x v="1"/>
    <x v="1"/>
    <x v="2"/>
  </r>
  <r>
    <x v="0"/>
    <x v="1"/>
    <x v="0"/>
    <x v="5"/>
    <x v="9"/>
    <x v="1"/>
    <x v="1"/>
    <x v="3"/>
    <x v="4"/>
    <x v="0"/>
    <x v="3"/>
    <x v="6"/>
    <x v="2"/>
    <x v="2"/>
    <x v="1"/>
    <x v="1"/>
    <x v="0"/>
  </r>
  <r>
    <x v="0"/>
    <x v="1"/>
    <x v="0"/>
    <x v="5"/>
    <x v="10"/>
    <x v="1"/>
    <x v="1"/>
    <x v="3"/>
    <x v="2"/>
    <x v="0"/>
    <x v="3"/>
    <x v="2"/>
    <x v="3"/>
    <x v="5"/>
    <x v="1"/>
    <x v="1"/>
    <x v="2"/>
  </r>
  <r>
    <x v="0"/>
    <x v="1"/>
    <x v="0"/>
    <x v="5"/>
    <x v="11"/>
    <x v="1"/>
    <x v="0"/>
    <x v="3"/>
    <x v="3"/>
    <x v="1"/>
    <x v="3"/>
    <x v="2"/>
    <x v="3"/>
    <x v="2"/>
    <x v="1"/>
    <x v="4"/>
    <x v="2"/>
  </r>
  <r>
    <x v="0"/>
    <x v="1"/>
    <x v="0"/>
    <x v="5"/>
    <x v="12"/>
    <x v="1"/>
    <x v="1"/>
    <x v="3"/>
    <x v="3"/>
    <x v="1"/>
    <x v="3"/>
    <x v="2"/>
    <x v="3"/>
    <x v="2"/>
    <x v="1"/>
    <x v="4"/>
    <x v="2"/>
  </r>
  <r>
    <x v="0"/>
    <x v="1"/>
    <x v="0"/>
    <x v="6"/>
    <x v="8"/>
    <x v="1"/>
    <x v="1"/>
    <x v="3"/>
    <x v="4"/>
    <x v="0"/>
    <x v="3"/>
    <x v="2"/>
    <x v="3"/>
    <x v="5"/>
    <x v="3"/>
    <x v="4"/>
    <x v="2"/>
  </r>
  <r>
    <x v="0"/>
    <x v="1"/>
    <x v="0"/>
    <x v="6"/>
    <x v="9"/>
    <x v="1"/>
    <x v="0"/>
    <x v="1"/>
    <x v="3"/>
    <x v="0"/>
    <x v="2"/>
    <x v="1"/>
    <x v="3"/>
    <x v="5"/>
    <x v="1"/>
    <x v="4"/>
    <x v="2"/>
  </r>
  <r>
    <x v="0"/>
    <x v="1"/>
    <x v="0"/>
    <x v="6"/>
    <x v="10"/>
    <x v="1"/>
    <x v="1"/>
    <x v="3"/>
    <x v="3"/>
    <x v="0"/>
    <x v="3"/>
    <x v="2"/>
    <x v="2"/>
    <x v="2"/>
    <x v="1"/>
    <x v="4"/>
    <x v="2"/>
  </r>
  <r>
    <x v="0"/>
    <x v="1"/>
    <x v="0"/>
    <x v="6"/>
    <x v="11"/>
    <x v="1"/>
    <x v="1"/>
    <x v="3"/>
    <x v="3"/>
    <x v="1"/>
    <x v="3"/>
    <x v="2"/>
    <x v="3"/>
    <x v="2"/>
    <x v="1"/>
    <x v="4"/>
    <x v="2"/>
  </r>
  <r>
    <x v="0"/>
    <x v="1"/>
    <x v="0"/>
    <x v="6"/>
    <x v="12"/>
    <x v="1"/>
    <x v="1"/>
    <x v="3"/>
    <x v="3"/>
    <x v="1"/>
    <x v="3"/>
    <x v="2"/>
    <x v="3"/>
    <x v="2"/>
    <x v="1"/>
    <x v="4"/>
    <x v="2"/>
  </r>
  <r>
    <x v="0"/>
    <x v="1"/>
    <x v="0"/>
    <x v="7"/>
    <x v="8"/>
    <x v="1"/>
    <x v="1"/>
    <x v="3"/>
    <x v="3"/>
    <x v="1"/>
    <x v="3"/>
    <x v="2"/>
    <x v="3"/>
    <x v="2"/>
    <x v="1"/>
    <x v="4"/>
    <x v="2"/>
  </r>
  <r>
    <x v="0"/>
    <x v="1"/>
    <x v="0"/>
    <x v="7"/>
    <x v="9"/>
    <x v="1"/>
    <x v="1"/>
    <x v="3"/>
    <x v="3"/>
    <x v="1"/>
    <x v="3"/>
    <x v="2"/>
    <x v="3"/>
    <x v="2"/>
    <x v="1"/>
    <x v="4"/>
    <x v="2"/>
  </r>
  <r>
    <x v="0"/>
    <x v="1"/>
    <x v="0"/>
    <x v="7"/>
    <x v="10"/>
    <x v="1"/>
    <x v="1"/>
    <x v="3"/>
    <x v="3"/>
    <x v="1"/>
    <x v="3"/>
    <x v="2"/>
    <x v="3"/>
    <x v="2"/>
    <x v="1"/>
    <x v="4"/>
    <x v="2"/>
  </r>
  <r>
    <x v="0"/>
    <x v="1"/>
    <x v="0"/>
    <x v="7"/>
    <x v="11"/>
    <x v="1"/>
    <x v="1"/>
    <x v="3"/>
    <x v="3"/>
    <x v="1"/>
    <x v="3"/>
    <x v="2"/>
    <x v="3"/>
    <x v="2"/>
    <x v="1"/>
    <x v="4"/>
    <x v="2"/>
  </r>
  <r>
    <x v="0"/>
    <x v="1"/>
    <x v="0"/>
    <x v="7"/>
    <x v="12"/>
    <x v="1"/>
    <x v="1"/>
    <x v="3"/>
    <x v="3"/>
    <x v="1"/>
    <x v="3"/>
    <x v="2"/>
    <x v="3"/>
    <x v="2"/>
    <x v="1"/>
    <x v="4"/>
    <x v="2"/>
  </r>
  <r>
    <x v="0"/>
    <x v="1"/>
    <x v="0"/>
    <x v="0"/>
    <x v="19"/>
    <x v="4"/>
    <x v="2"/>
    <x v="1"/>
    <x v="0"/>
    <x v="5"/>
    <x v="2"/>
    <x v="5"/>
    <x v="4"/>
    <x v="4"/>
    <x v="3"/>
    <x v="8"/>
    <x v="0"/>
  </r>
  <r>
    <x v="0"/>
    <x v="1"/>
    <x v="0"/>
    <x v="3"/>
    <x v="1"/>
    <x v="1"/>
    <x v="0"/>
    <x v="1"/>
    <x v="4"/>
    <x v="3"/>
    <x v="2"/>
    <x v="1"/>
    <x v="5"/>
    <x v="3"/>
    <x v="3"/>
    <x v="2"/>
    <x v="2"/>
  </r>
  <r>
    <x v="0"/>
    <x v="1"/>
    <x v="0"/>
    <x v="3"/>
    <x v="2"/>
    <x v="2"/>
    <x v="0"/>
    <x v="3"/>
    <x v="1"/>
    <x v="0"/>
    <x v="3"/>
    <x v="1"/>
    <x v="3"/>
    <x v="3"/>
    <x v="1"/>
    <x v="5"/>
    <x v="2"/>
  </r>
  <r>
    <x v="0"/>
    <x v="1"/>
    <x v="0"/>
    <x v="3"/>
    <x v="3"/>
    <x v="2"/>
    <x v="1"/>
    <x v="3"/>
    <x v="3"/>
    <x v="0"/>
    <x v="3"/>
    <x v="3"/>
    <x v="2"/>
    <x v="2"/>
    <x v="1"/>
    <x v="2"/>
    <x v="0"/>
  </r>
  <r>
    <x v="0"/>
    <x v="1"/>
    <x v="0"/>
    <x v="0"/>
    <x v="20"/>
    <x v="5"/>
    <x v="0"/>
    <x v="1"/>
    <x v="5"/>
    <x v="5"/>
    <x v="1"/>
    <x v="5"/>
    <x v="5"/>
    <x v="4"/>
    <x v="3"/>
    <x v="7"/>
    <x v="0"/>
  </r>
  <r>
    <x v="0"/>
    <x v="1"/>
    <x v="0"/>
    <x v="4"/>
    <x v="4"/>
    <x v="3"/>
    <x v="0"/>
    <x v="3"/>
    <x v="2"/>
    <x v="0"/>
    <x v="3"/>
    <x v="2"/>
    <x v="2"/>
    <x v="2"/>
    <x v="1"/>
    <x v="2"/>
    <x v="0"/>
  </r>
  <r>
    <x v="0"/>
    <x v="1"/>
    <x v="0"/>
    <x v="4"/>
    <x v="5"/>
    <x v="3"/>
    <x v="1"/>
    <x v="1"/>
    <x v="1"/>
    <x v="3"/>
    <x v="2"/>
    <x v="5"/>
    <x v="1"/>
    <x v="4"/>
    <x v="1"/>
    <x v="3"/>
    <x v="2"/>
  </r>
  <r>
    <x v="0"/>
    <x v="1"/>
    <x v="0"/>
    <x v="4"/>
    <x v="6"/>
    <x v="1"/>
    <x v="1"/>
    <x v="3"/>
    <x v="3"/>
    <x v="1"/>
    <x v="2"/>
    <x v="2"/>
    <x v="3"/>
    <x v="2"/>
    <x v="1"/>
    <x v="4"/>
    <x v="2"/>
  </r>
  <r>
    <x v="0"/>
    <x v="1"/>
    <x v="0"/>
    <x v="4"/>
    <x v="7"/>
    <x v="3"/>
    <x v="1"/>
    <x v="3"/>
    <x v="3"/>
    <x v="0"/>
    <x v="3"/>
    <x v="2"/>
    <x v="3"/>
    <x v="2"/>
    <x v="3"/>
    <x v="2"/>
    <x v="2"/>
  </r>
  <r>
    <x v="0"/>
    <x v="2"/>
    <x v="1"/>
    <x v="0"/>
    <x v="21"/>
    <x v="2"/>
    <x v="0"/>
    <x v="0"/>
    <x v="5"/>
    <x v="1"/>
    <x v="4"/>
    <x v="3"/>
    <x v="4"/>
    <x v="0"/>
    <x v="6"/>
    <x v="9"/>
    <x v="3"/>
  </r>
  <r>
    <x v="0"/>
    <x v="2"/>
    <x v="1"/>
    <x v="1"/>
    <x v="1"/>
    <x v="1"/>
    <x v="0"/>
    <x v="1"/>
    <x v="4"/>
    <x v="1"/>
    <x v="2"/>
    <x v="1"/>
    <x v="2"/>
    <x v="3"/>
    <x v="3"/>
    <x v="1"/>
    <x v="4"/>
  </r>
  <r>
    <x v="0"/>
    <x v="2"/>
    <x v="1"/>
    <x v="1"/>
    <x v="2"/>
    <x v="3"/>
    <x v="1"/>
    <x v="2"/>
    <x v="2"/>
    <x v="1"/>
    <x v="2"/>
    <x v="2"/>
    <x v="2"/>
    <x v="2"/>
    <x v="2"/>
    <x v="5"/>
    <x v="5"/>
  </r>
  <r>
    <x v="0"/>
    <x v="2"/>
    <x v="1"/>
    <x v="1"/>
    <x v="3"/>
    <x v="1"/>
    <x v="1"/>
    <x v="3"/>
    <x v="3"/>
    <x v="1"/>
    <x v="2"/>
    <x v="1"/>
    <x v="3"/>
    <x v="3"/>
    <x v="5"/>
    <x v="7"/>
    <x v="6"/>
  </r>
  <r>
    <x v="0"/>
    <x v="2"/>
    <x v="1"/>
    <x v="1"/>
    <x v="4"/>
    <x v="3"/>
    <x v="1"/>
    <x v="3"/>
    <x v="2"/>
    <x v="1"/>
    <x v="3"/>
    <x v="1"/>
    <x v="3"/>
    <x v="2"/>
    <x v="3"/>
    <x v="2"/>
    <x v="2"/>
  </r>
  <r>
    <x v="0"/>
    <x v="2"/>
    <x v="1"/>
    <x v="1"/>
    <x v="5"/>
    <x v="1"/>
    <x v="1"/>
    <x v="3"/>
    <x v="3"/>
    <x v="1"/>
    <x v="3"/>
    <x v="2"/>
    <x v="2"/>
    <x v="2"/>
    <x v="1"/>
    <x v="2"/>
    <x v="1"/>
  </r>
  <r>
    <x v="0"/>
    <x v="2"/>
    <x v="1"/>
    <x v="1"/>
    <x v="6"/>
    <x v="1"/>
    <x v="1"/>
    <x v="3"/>
    <x v="3"/>
    <x v="1"/>
    <x v="3"/>
    <x v="2"/>
    <x v="3"/>
    <x v="2"/>
    <x v="1"/>
    <x v="4"/>
    <x v="2"/>
  </r>
  <r>
    <x v="0"/>
    <x v="2"/>
    <x v="1"/>
    <x v="1"/>
    <x v="7"/>
    <x v="1"/>
    <x v="1"/>
    <x v="3"/>
    <x v="3"/>
    <x v="1"/>
    <x v="3"/>
    <x v="2"/>
    <x v="2"/>
    <x v="5"/>
    <x v="3"/>
    <x v="2"/>
    <x v="1"/>
  </r>
  <r>
    <x v="0"/>
    <x v="2"/>
    <x v="1"/>
    <x v="8"/>
    <x v="1"/>
    <x v="1"/>
    <x v="0"/>
    <x v="5"/>
    <x v="6"/>
    <x v="6"/>
    <x v="6"/>
    <x v="7"/>
    <x v="6"/>
    <x v="6"/>
    <x v="7"/>
    <x v="10"/>
    <x v="7"/>
  </r>
  <r>
    <x v="0"/>
    <x v="2"/>
    <x v="1"/>
    <x v="8"/>
    <x v="2"/>
    <x v="6"/>
    <x v="1"/>
    <x v="6"/>
    <x v="7"/>
    <x v="6"/>
    <x v="6"/>
    <x v="2"/>
    <x v="6"/>
    <x v="2"/>
    <x v="8"/>
    <x v="11"/>
    <x v="8"/>
  </r>
  <r>
    <x v="0"/>
    <x v="2"/>
    <x v="1"/>
    <x v="8"/>
    <x v="3"/>
    <x v="1"/>
    <x v="1"/>
    <x v="3"/>
    <x v="3"/>
    <x v="6"/>
    <x v="6"/>
    <x v="7"/>
    <x v="3"/>
    <x v="6"/>
    <x v="9"/>
    <x v="12"/>
    <x v="9"/>
  </r>
  <r>
    <x v="0"/>
    <x v="2"/>
    <x v="1"/>
    <x v="8"/>
    <x v="4"/>
    <x v="6"/>
    <x v="1"/>
    <x v="3"/>
    <x v="7"/>
    <x v="6"/>
    <x v="3"/>
    <x v="7"/>
    <x v="3"/>
    <x v="2"/>
    <x v="7"/>
    <x v="13"/>
    <x v="2"/>
  </r>
  <r>
    <x v="0"/>
    <x v="2"/>
    <x v="1"/>
    <x v="8"/>
    <x v="5"/>
    <x v="1"/>
    <x v="1"/>
    <x v="3"/>
    <x v="3"/>
    <x v="6"/>
    <x v="3"/>
    <x v="2"/>
    <x v="6"/>
    <x v="2"/>
    <x v="1"/>
    <x v="13"/>
    <x v="10"/>
  </r>
  <r>
    <x v="0"/>
    <x v="2"/>
    <x v="1"/>
    <x v="8"/>
    <x v="6"/>
    <x v="1"/>
    <x v="1"/>
    <x v="3"/>
    <x v="3"/>
    <x v="6"/>
    <x v="3"/>
    <x v="2"/>
    <x v="3"/>
    <x v="2"/>
    <x v="1"/>
    <x v="4"/>
    <x v="2"/>
  </r>
  <r>
    <x v="0"/>
    <x v="2"/>
    <x v="1"/>
    <x v="8"/>
    <x v="7"/>
    <x v="1"/>
    <x v="1"/>
    <x v="3"/>
    <x v="3"/>
    <x v="6"/>
    <x v="3"/>
    <x v="2"/>
    <x v="6"/>
    <x v="7"/>
    <x v="7"/>
    <x v="13"/>
    <x v="10"/>
  </r>
  <r>
    <x v="0"/>
    <x v="2"/>
    <x v="1"/>
    <x v="2"/>
    <x v="8"/>
    <x v="1"/>
    <x v="3"/>
    <x v="7"/>
    <x v="8"/>
    <x v="7"/>
    <x v="7"/>
    <x v="8"/>
    <x v="7"/>
    <x v="8"/>
    <x v="10"/>
    <x v="14"/>
    <x v="11"/>
  </r>
  <r>
    <x v="0"/>
    <x v="2"/>
    <x v="1"/>
    <x v="2"/>
    <x v="9"/>
    <x v="3"/>
    <x v="2"/>
    <x v="2"/>
    <x v="1"/>
    <x v="2"/>
    <x v="8"/>
    <x v="9"/>
    <x v="8"/>
    <x v="9"/>
    <x v="10"/>
    <x v="15"/>
    <x v="12"/>
  </r>
  <r>
    <x v="0"/>
    <x v="2"/>
    <x v="1"/>
    <x v="2"/>
    <x v="10"/>
    <x v="1"/>
    <x v="1"/>
    <x v="1"/>
    <x v="4"/>
    <x v="3"/>
    <x v="4"/>
    <x v="6"/>
    <x v="0"/>
    <x v="4"/>
    <x v="11"/>
    <x v="16"/>
    <x v="13"/>
  </r>
  <r>
    <x v="0"/>
    <x v="2"/>
    <x v="1"/>
    <x v="2"/>
    <x v="11"/>
    <x v="3"/>
    <x v="1"/>
    <x v="1"/>
    <x v="2"/>
    <x v="0"/>
    <x v="2"/>
    <x v="1"/>
    <x v="2"/>
    <x v="5"/>
    <x v="3"/>
    <x v="2"/>
    <x v="1"/>
  </r>
  <r>
    <x v="0"/>
    <x v="2"/>
    <x v="1"/>
    <x v="2"/>
    <x v="12"/>
    <x v="1"/>
    <x v="1"/>
    <x v="3"/>
    <x v="3"/>
    <x v="1"/>
    <x v="3"/>
    <x v="2"/>
    <x v="3"/>
    <x v="2"/>
    <x v="1"/>
    <x v="4"/>
    <x v="2"/>
  </r>
  <r>
    <x v="0"/>
    <x v="2"/>
    <x v="1"/>
    <x v="0"/>
    <x v="22"/>
    <x v="2"/>
    <x v="0"/>
    <x v="0"/>
    <x v="1"/>
    <x v="1"/>
    <x v="4"/>
    <x v="3"/>
    <x v="4"/>
    <x v="0"/>
    <x v="6"/>
    <x v="9"/>
    <x v="3"/>
  </r>
  <r>
    <x v="0"/>
    <x v="2"/>
    <x v="1"/>
    <x v="3"/>
    <x v="1"/>
    <x v="3"/>
    <x v="0"/>
    <x v="1"/>
    <x v="4"/>
    <x v="1"/>
    <x v="2"/>
    <x v="4"/>
    <x v="2"/>
    <x v="3"/>
    <x v="3"/>
    <x v="1"/>
    <x v="4"/>
  </r>
  <r>
    <x v="0"/>
    <x v="2"/>
    <x v="1"/>
    <x v="3"/>
    <x v="2"/>
    <x v="3"/>
    <x v="1"/>
    <x v="2"/>
    <x v="2"/>
    <x v="1"/>
    <x v="2"/>
    <x v="2"/>
    <x v="1"/>
    <x v="2"/>
    <x v="2"/>
    <x v="3"/>
    <x v="6"/>
  </r>
  <r>
    <x v="0"/>
    <x v="2"/>
    <x v="1"/>
    <x v="3"/>
    <x v="3"/>
    <x v="1"/>
    <x v="1"/>
    <x v="3"/>
    <x v="3"/>
    <x v="1"/>
    <x v="2"/>
    <x v="1"/>
    <x v="2"/>
    <x v="1"/>
    <x v="2"/>
    <x v="6"/>
    <x v="14"/>
  </r>
  <r>
    <x v="0"/>
    <x v="2"/>
    <x v="1"/>
    <x v="9"/>
    <x v="1"/>
    <x v="6"/>
    <x v="0"/>
    <x v="5"/>
    <x v="9"/>
    <x v="6"/>
    <x v="6"/>
    <x v="10"/>
    <x v="6"/>
    <x v="6"/>
    <x v="7"/>
    <x v="10"/>
    <x v="7"/>
  </r>
  <r>
    <x v="0"/>
    <x v="2"/>
    <x v="1"/>
    <x v="9"/>
    <x v="2"/>
    <x v="6"/>
    <x v="1"/>
    <x v="6"/>
    <x v="10"/>
    <x v="6"/>
    <x v="6"/>
    <x v="2"/>
    <x v="9"/>
    <x v="2"/>
    <x v="8"/>
    <x v="17"/>
    <x v="9"/>
  </r>
  <r>
    <x v="0"/>
    <x v="2"/>
    <x v="1"/>
    <x v="9"/>
    <x v="3"/>
    <x v="1"/>
    <x v="1"/>
    <x v="3"/>
    <x v="3"/>
    <x v="6"/>
    <x v="6"/>
    <x v="7"/>
    <x v="6"/>
    <x v="10"/>
    <x v="8"/>
    <x v="18"/>
    <x v="15"/>
  </r>
  <r>
    <x v="0"/>
    <x v="2"/>
    <x v="1"/>
    <x v="0"/>
    <x v="23"/>
    <x v="3"/>
    <x v="0"/>
    <x v="0"/>
    <x v="5"/>
    <x v="1"/>
    <x v="1"/>
    <x v="3"/>
    <x v="4"/>
    <x v="0"/>
    <x v="6"/>
    <x v="19"/>
    <x v="16"/>
  </r>
  <r>
    <x v="0"/>
    <x v="2"/>
    <x v="1"/>
    <x v="4"/>
    <x v="4"/>
    <x v="3"/>
    <x v="1"/>
    <x v="1"/>
    <x v="2"/>
    <x v="1"/>
    <x v="3"/>
    <x v="1"/>
    <x v="3"/>
    <x v="2"/>
    <x v="5"/>
    <x v="3"/>
    <x v="0"/>
  </r>
  <r>
    <x v="0"/>
    <x v="2"/>
    <x v="1"/>
    <x v="4"/>
    <x v="5"/>
    <x v="1"/>
    <x v="0"/>
    <x v="2"/>
    <x v="4"/>
    <x v="1"/>
    <x v="1"/>
    <x v="4"/>
    <x v="5"/>
    <x v="3"/>
    <x v="12"/>
    <x v="3"/>
    <x v="6"/>
  </r>
  <r>
    <x v="0"/>
    <x v="2"/>
    <x v="1"/>
    <x v="4"/>
    <x v="6"/>
    <x v="1"/>
    <x v="1"/>
    <x v="3"/>
    <x v="3"/>
    <x v="1"/>
    <x v="3"/>
    <x v="2"/>
    <x v="3"/>
    <x v="2"/>
    <x v="1"/>
    <x v="4"/>
    <x v="2"/>
  </r>
  <r>
    <x v="0"/>
    <x v="2"/>
    <x v="1"/>
    <x v="4"/>
    <x v="7"/>
    <x v="1"/>
    <x v="1"/>
    <x v="3"/>
    <x v="2"/>
    <x v="1"/>
    <x v="3"/>
    <x v="2"/>
    <x v="2"/>
    <x v="1"/>
    <x v="12"/>
    <x v="8"/>
    <x v="14"/>
  </r>
  <r>
    <x v="0"/>
    <x v="2"/>
    <x v="1"/>
    <x v="10"/>
    <x v="4"/>
    <x v="3"/>
    <x v="1"/>
    <x v="5"/>
    <x v="7"/>
    <x v="6"/>
    <x v="3"/>
    <x v="7"/>
    <x v="3"/>
    <x v="2"/>
    <x v="9"/>
    <x v="20"/>
    <x v="17"/>
  </r>
  <r>
    <x v="0"/>
    <x v="2"/>
    <x v="1"/>
    <x v="10"/>
    <x v="5"/>
    <x v="1"/>
    <x v="0"/>
    <x v="6"/>
    <x v="6"/>
    <x v="6"/>
    <x v="2"/>
    <x v="10"/>
    <x v="10"/>
    <x v="6"/>
    <x v="13"/>
    <x v="20"/>
    <x v="18"/>
  </r>
  <r>
    <x v="0"/>
    <x v="2"/>
    <x v="1"/>
    <x v="10"/>
    <x v="6"/>
    <x v="1"/>
    <x v="1"/>
    <x v="3"/>
    <x v="3"/>
    <x v="6"/>
    <x v="3"/>
    <x v="2"/>
    <x v="3"/>
    <x v="2"/>
    <x v="1"/>
    <x v="4"/>
    <x v="2"/>
  </r>
  <r>
    <x v="0"/>
    <x v="2"/>
    <x v="1"/>
    <x v="10"/>
    <x v="7"/>
    <x v="1"/>
    <x v="1"/>
    <x v="3"/>
    <x v="7"/>
    <x v="6"/>
    <x v="3"/>
    <x v="2"/>
    <x v="6"/>
    <x v="10"/>
    <x v="13"/>
    <x v="21"/>
    <x v="19"/>
  </r>
  <r>
    <x v="0"/>
    <x v="0"/>
    <x v="2"/>
    <x v="0"/>
    <x v="24"/>
    <x v="0"/>
    <x v="4"/>
    <x v="8"/>
    <x v="11"/>
    <x v="8"/>
    <x v="9"/>
    <x v="11"/>
    <x v="11"/>
    <x v="11"/>
    <x v="14"/>
    <x v="22"/>
    <x v="20"/>
  </r>
  <r>
    <x v="0"/>
    <x v="0"/>
    <x v="2"/>
    <x v="1"/>
    <x v="1"/>
    <x v="1"/>
    <x v="0"/>
    <x v="4"/>
    <x v="0"/>
    <x v="2"/>
    <x v="10"/>
    <x v="9"/>
    <x v="12"/>
    <x v="12"/>
    <x v="15"/>
    <x v="23"/>
    <x v="21"/>
  </r>
  <r>
    <x v="0"/>
    <x v="0"/>
    <x v="2"/>
    <x v="1"/>
    <x v="2"/>
    <x v="2"/>
    <x v="2"/>
    <x v="9"/>
    <x v="12"/>
    <x v="9"/>
    <x v="10"/>
    <x v="12"/>
    <x v="13"/>
    <x v="13"/>
    <x v="15"/>
    <x v="9"/>
    <x v="22"/>
  </r>
  <r>
    <x v="0"/>
    <x v="0"/>
    <x v="2"/>
    <x v="1"/>
    <x v="3"/>
    <x v="1"/>
    <x v="1"/>
    <x v="3"/>
    <x v="3"/>
    <x v="0"/>
    <x v="1"/>
    <x v="5"/>
    <x v="0"/>
    <x v="14"/>
    <x v="16"/>
    <x v="24"/>
    <x v="13"/>
  </r>
  <r>
    <x v="0"/>
    <x v="0"/>
    <x v="2"/>
    <x v="1"/>
    <x v="4"/>
    <x v="2"/>
    <x v="2"/>
    <x v="4"/>
    <x v="1"/>
    <x v="4"/>
    <x v="4"/>
    <x v="6"/>
    <x v="4"/>
    <x v="4"/>
    <x v="2"/>
    <x v="7"/>
    <x v="14"/>
  </r>
  <r>
    <x v="0"/>
    <x v="0"/>
    <x v="2"/>
    <x v="1"/>
    <x v="5"/>
    <x v="3"/>
    <x v="0"/>
    <x v="1"/>
    <x v="2"/>
    <x v="0"/>
    <x v="2"/>
    <x v="4"/>
    <x v="5"/>
    <x v="1"/>
    <x v="5"/>
    <x v="3"/>
    <x v="5"/>
  </r>
  <r>
    <x v="0"/>
    <x v="0"/>
    <x v="2"/>
    <x v="1"/>
    <x v="6"/>
    <x v="1"/>
    <x v="1"/>
    <x v="3"/>
    <x v="3"/>
    <x v="1"/>
    <x v="2"/>
    <x v="1"/>
    <x v="2"/>
    <x v="5"/>
    <x v="3"/>
    <x v="2"/>
    <x v="1"/>
  </r>
  <r>
    <x v="0"/>
    <x v="0"/>
    <x v="2"/>
    <x v="1"/>
    <x v="7"/>
    <x v="3"/>
    <x v="0"/>
    <x v="1"/>
    <x v="2"/>
    <x v="0"/>
    <x v="2"/>
    <x v="1"/>
    <x v="1"/>
    <x v="3"/>
    <x v="4"/>
    <x v="1"/>
    <x v="0"/>
  </r>
  <r>
    <x v="0"/>
    <x v="0"/>
    <x v="2"/>
    <x v="2"/>
    <x v="8"/>
    <x v="4"/>
    <x v="3"/>
    <x v="7"/>
    <x v="8"/>
    <x v="7"/>
    <x v="8"/>
    <x v="13"/>
    <x v="8"/>
    <x v="15"/>
    <x v="10"/>
    <x v="25"/>
    <x v="11"/>
  </r>
  <r>
    <x v="0"/>
    <x v="0"/>
    <x v="2"/>
    <x v="2"/>
    <x v="9"/>
    <x v="3"/>
    <x v="2"/>
    <x v="2"/>
    <x v="0"/>
    <x v="9"/>
    <x v="8"/>
    <x v="14"/>
    <x v="14"/>
    <x v="9"/>
    <x v="10"/>
    <x v="26"/>
    <x v="23"/>
  </r>
  <r>
    <x v="0"/>
    <x v="0"/>
    <x v="2"/>
    <x v="2"/>
    <x v="10"/>
    <x v="1"/>
    <x v="1"/>
    <x v="1"/>
    <x v="1"/>
    <x v="4"/>
    <x v="4"/>
    <x v="6"/>
    <x v="0"/>
    <x v="0"/>
    <x v="11"/>
    <x v="24"/>
    <x v="13"/>
  </r>
  <r>
    <x v="0"/>
    <x v="0"/>
    <x v="2"/>
    <x v="2"/>
    <x v="11"/>
    <x v="3"/>
    <x v="0"/>
    <x v="1"/>
    <x v="2"/>
    <x v="0"/>
    <x v="2"/>
    <x v="1"/>
    <x v="2"/>
    <x v="5"/>
    <x v="3"/>
    <x v="2"/>
    <x v="1"/>
  </r>
  <r>
    <x v="0"/>
    <x v="0"/>
    <x v="2"/>
    <x v="2"/>
    <x v="12"/>
    <x v="1"/>
    <x v="1"/>
    <x v="3"/>
    <x v="3"/>
    <x v="1"/>
    <x v="3"/>
    <x v="2"/>
    <x v="3"/>
    <x v="2"/>
    <x v="1"/>
    <x v="4"/>
    <x v="2"/>
  </r>
  <r>
    <x v="0"/>
    <x v="0"/>
    <x v="2"/>
    <x v="0"/>
    <x v="25"/>
    <x v="0"/>
    <x v="4"/>
    <x v="8"/>
    <x v="13"/>
    <x v="10"/>
    <x v="11"/>
    <x v="15"/>
    <x v="15"/>
    <x v="16"/>
    <x v="17"/>
    <x v="27"/>
    <x v="24"/>
  </r>
  <r>
    <x v="0"/>
    <x v="0"/>
    <x v="2"/>
    <x v="3"/>
    <x v="1"/>
    <x v="3"/>
    <x v="2"/>
    <x v="2"/>
    <x v="12"/>
    <x v="9"/>
    <x v="7"/>
    <x v="8"/>
    <x v="16"/>
    <x v="9"/>
    <x v="18"/>
    <x v="28"/>
    <x v="25"/>
  </r>
  <r>
    <x v="0"/>
    <x v="0"/>
    <x v="2"/>
    <x v="3"/>
    <x v="2"/>
    <x v="5"/>
    <x v="5"/>
    <x v="7"/>
    <x v="8"/>
    <x v="7"/>
    <x v="7"/>
    <x v="9"/>
    <x v="12"/>
    <x v="17"/>
    <x v="18"/>
    <x v="28"/>
    <x v="25"/>
  </r>
  <r>
    <x v="0"/>
    <x v="0"/>
    <x v="2"/>
    <x v="3"/>
    <x v="3"/>
    <x v="2"/>
    <x v="2"/>
    <x v="4"/>
    <x v="4"/>
    <x v="4"/>
    <x v="5"/>
    <x v="12"/>
    <x v="13"/>
    <x v="17"/>
    <x v="19"/>
    <x v="29"/>
    <x v="21"/>
  </r>
  <r>
    <x v="0"/>
    <x v="0"/>
    <x v="2"/>
    <x v="0"/>
    <x v="26"/>
    <x v="4"/>
    <x v="6"/>
    <x v="10"/>
    <x v="14"/>
    <x v="11"/>
    <x v="12"/>
    <x v="16"/>
    <x v="17"/>
    <x v="18"/>
    <x v="20"/>
    <x v="30"/>
    <x v="26"/>
  </r>
  <r>
    <x v="0"/>
    <x v="0"/>
    <x v="2"/>
    <x v="4"/>
    <x v="4"/>
    <x v="2"/>
    <x v="2"/>
    <x v="2"/>
    <x v="5"/>
    <x v="5"/>
    <x v="5"/>
    <x v="5"/>
    <x v="0"/>
    <x v="0"/>
    <x v="16"/>
    <x v="16"/>
    <x v="27"/>
  </r>
  <r>
    <x v="0"/>
    <x v="0"/>
    <x v="2"/>
    <x v="4"/>
    <x v="5"/>
    <x v="3"/>
    <x v="2"/>
    <x v="9"/>
    <x v="8"/>
    <x v="7"/>
    <x v="13"/>
    <x v="17"/>
    <x v="18"/>
    <x v="19"/>
    <x v="21"/>
    <x v="31"/>
    <x v="28"/>
  </r>
  <r>
    <x v="0"/>
    <x v="0"/>
    <x v="2"/>
    <x v="4"/>
    <x v="6"/>
    <x v="1"/>
    <x v="1"/>
    <x v="3"/>
    <x v="3"/>
    <x v="1"/>
    <x v="2"/>
    <x v="1"/>
    <x v="2"/>
    <x v="5"/>
    <x v="3"/>
    <x v="2"/>
    <x v="1"/>
  </r>
  <r>
    <x v="0"/>
    <x v="0"/>
    <x v="2"/>
    <x v="4"/>
    <x v="7"/>
    <x v="3"/>
    <x v="0"/>
    <x v="1"/>
    <x v="4"/>
    <x v="3"/>
    <x v="1"/>
    <x v="4"/>
    <x v="5"/>
    <x v="0"/>
    <x v="0"/>
    <x v="0"/>
    <x v="27"/>
  </r>
  <r>
    <x v="0"/>
    <x v="1"/>
    <x v="2"/>
    <x v="0"/>
    <x v="27"/>
    <x v="4"/>
    <x v="7"/>
    <x v="11"/>
    <x v="15"/>
    <x v="8"/>
    <x v="14"/>
    <x v="15"/>
    <x v="19"/>
    <x v="20"/>
    <x v="22"/>
    <x v="32"/>
    <x v="29"/>
  </r>
  <r>
    <x v="0"/>
    <x v="1"/>
    <x v="2"/>
    <x v="1"/>
    <x v="1"/>
    <x v="1"/>
    <x v="1"/>
    <x v="1"/>
    <x v="1"/>
    <x v="2"/>
    <x v="15"/>
    <x v="12"/>
    <x v="20"/>
    <x v="21"/>
    <x v="19"/>
    <x v="19"/>
    <x v="16"/>
  </r>
  <r>
    <x v="0"/>
    <x v="1"/>
    <x v="2"/>
    <x v="1"/>
    <x v="2"/>
    <x v="3"/>
    <x v="2"/>
    <x v="4"/>
    <x v="0"/>
    <x v="9"/>
    <x v="15"/>
    <x v="12"/>
    <x v="21"/>
    <x v="13"/>
    <x v="16"/>
    <x v="33"/>
    <x v="30"/>
  </r>
  <r>
    <x v="0"/>
    <x v="1"/>
    <x v="2"/>
    <x v="1"/>
    <x v="3"/>
    <x v="1"/>
    <x v="1"/>
    <x v="3"/>
    <x v="3"/>
    <x v="0"/>
    <x v="2"/>
    <x v="6"/>
    <x v="0"/>
    <x v="0"/>
    <x v="2"/>
    <x v="7"/>
    <x v="31"/>
  </r>
  <r>
    <x v="0"/>
    <x v="1"/>
    <x v="2"/>
    <x v="1"/>
    <x v="4"/>
    <x v="3"/>
    <x v="2"/>
    <x v="4"/>
    <x v="4"/>
    <x v="4"/>
    <x v="4"/>
    <x v="3"/>
    <x v="4"/>
    <x v="4"/>
    <x v="12"/>
    <x v="8"/>
    <x v="14"/>
  </r>
  <r>
    <x v="0"/>
    <x v="1"/>
    <x v="2"/>
    <x v="1"/>
    <x v="5"/>
    <x v="3"/>
    <x v="0"/>
    <x v="1"/>
    <x v="2"/>
    <x v="0"/>
    <x v="2"/>
    <x v="4"/>
    <x v="1"/>
    <x v="1"/>
    <x v="5"/>
    <x v="5"/>
    <x v="4"/>
  </r>
  <r>
    <x v="0"/>
    <x v="1"/>
    <x v="2"/>
    <x v="1"/>
    <x v="6"/>
    <x v="1"/>
    <x v="1"/>
    <x v="3"/>
    <x v="3"/>
    <x v="1"/>
    <x v="2"/>
    <x v="1"/>
    <x v="2"/>
    <x v="5"/>
    <x v="3"/>
    <x v="2"/>
    <x v="1"/>
  </r>
  <r>
    <x v="0"/>
    <x v="1"/>
    <x v="2"/>
    <x v="1"/>
    <x v="7"/>
    <x v="3"/>
    <x v="0"/>
    <x v="1"/>
    <x v="2"/>
    <x v="0"/>
    <x v="2"/>
    <x v="1"/>
    <x v="2"/>
    <x v="5"/>
    <x v="3"/>
    <x v="2"/>
    <x v="1"/>
  </r>
  <r>
    <x v="0"/>
    <x v="1"/>
    <x v="2"/>
    <x v="11"/>
    <x v="1"/>
    <x v="1"/>
    <x v="1"/>
    <x v="12"/>
    <x v="7"/>
    <x v="12"/>
    <x v="16"/>
    <x v="18"/>
    <x v="22"/>
    <x v="22"/>
    <x v="23"/>
    <x v="34"/>
    <x v="32"/>
  </r>
  <r>
    <x v="0"/>
    <x v="1"/>
    <x v="2"/>
    <x v="11"/>
    <x v="2"/>
    <x v="7"/>
    <x v="8"/>
    <x v="13"/>
    <x v="16"/>
    <x v="13"/>
    <x v="16"/>
    <x v="18"/>
    <x v="23"/>
    <x v="23"/>
    <x v="24"/>
    <x v="35"/>
    <x v="33"/>
  </r>
  <r>
    <x v="0"/>
    <x v="1"/>
    <x v="2"/>
    <x v="11"/>
    <x v="3"/>
    <x v="1"/>
    <x v="1"/>
    <x v="3"/>
    <x v="3"/>
    <x v="14"/>
    <x v="17"/>
    <x v="19"/>
    <x v="24"/>
    <x v="24"/>
    <x v="25"/>
    <x v="36"/>
    <x v="34"/>
  </r>
  <r>
    <x v="0"/>
    <x v="1"/>
    <x v="2"/>
    <x v="11"/>
    <x v="4"/>
    <x v="7"/>
    <x v="8"/>
    <x v="13"/>
    <x v="17"/>
    <x v="15"/>
    <x v="18"/>
    <x v="20"/>
    <x v="25"/>
    <x v="25"/>
    <x v="26"/>
    <x v="37"/>
    <x v="35"/>
  </r>
  <r>
    <x v="0"/>
    <x v="1"/>
    <x v="2"/>
    <x v="11"/>
    <x v="5"/>
    <x v="7"/>
    <x v="9"/>
    <x v="12"/>
    <x v="18"/>
    <x v="14"/>
    <x v="17"/>
    <x v="21"/>
    <x v="26"/>
    <x v="26"/>
    <x v="27"/>
    <x v="38"/>
    <x v="10"/>
  </r>
  <r>
    <x v="0"/>
    <x v="1"/>
    <x v="2"/>
    <x v="11"/>
    <x v="6"/>
    <x v="1"/>
    <x v="1"/>
    <x v="3"/>
    <x v="3"/>
    <x v="1"/>
    <x v="19"/>
    <x v="22"/>
    <x v="27"/>
    <x v="7"/>
    <x v="28"/>
    <x v="39"/>
    <x v="36"/>
  </r>
  <r>
    <x v="0"/>
    <x v="1"/>
    <x v="2"/>
    <x v="11"/>
    <x v="7"/>
    <x v="7"/>
    <x v="9"/>
    <x v="12"/>
    <x v="18"/>
    <x v="14"/>
    <x v="17"/>
    <x v="23"/>
    <x v="28"/>
    <x v="27"/>
    <x v="29"/>
    <x v="40"/>
    <x v="37"/>
  </r>
  <r>
    <x v="0"/>
    <x v="1"/>
    <x v="2"/>
    <x v="2"/>
    <x v="8"/>
    <x v="4"/>
    <x v="1"/>
    <x v="3"/>
    <x v="3"/>
    <x v="1"/>
    <x v="2"/>
    <x v="1"/>
    <x v="1"/>
    <x v="5"/>
    <x v="1"/>
    <x v="1"/>
    <x v="2"/>
  </r>
  <r>
    <x v="0"/>
    <x v="1"/>
    <x v="2"/>
    <x v="2"/>
    <x v="9"/>
    <x v="1"/>
    <x v="1"/>
    <x v="3"/>
    <x v="4"/>
    <x v="0"/>
    <x v="3"/>
    <x v="6"/>
    <x v="2"/>
    <x v="2"/>
    <x v="1"/>
    <x v="1"/>
    <x v="0"/>
  </r>
  <r>
    <x v="0"/>
    <x v="1"/>
    <x v="2"/>
    <x v="2"/>
    <x v="10"/>
    <x v="1"/>
    <x v="1"/>
    <x v="3"/>
    <x v="2"/>
    <x v="0"/>
    <x v="3"/>
    <x v="2"/>
    <x v="3"/>
    <x v="5"/>
    <x v="1"/>
    <x v="1"/>
    <x v="2"/>
  </r>
  <r>
    <x v="0"/>
    <x v="1"/>
    <x v="2"/>
    <x v="2"/>
    <x v="11"/>
    <x v="1"/>
    <x v="0"/>
    <x v="3"/>
    <x v="3"/>
    <x v="1"/>
    <x v="3"/>
    <x v="2"/>
    <x v="3"/>
    <x v="2"/>
    <x v="1"/>
    <x v="4"/>
    <x v="2"/>
  </r>
  <r>
    <x v="0"/>
    <x v="1"/>
    <x v="2"/>
    <x v="2"/>
    <x v="12"/>
    <x v="1"/>
    <x v="1"/>
    <x v="3"/>
    <x v="3"/>
    <x v="1"/>
    <x v="3"/>
    <x v="2"/>
    <x v="3"/>
    <x v="2"/>
    <x v="1"/>
    <x v="4"/>
    <x v="2"/>
  </r>
  <r>
    <x v="0"/>
    <x v="1"/>
    <x v="2"/>
    <x v="0"/>
    <x v="28"/>
    <x v="4"/>
    <x v="7"/>
    <x v="11"/>
    <x v="15"/>
    <x v="10"/>
    <x v="12"/>
    <x v="24"/>
    <x v="29"/>
    <x v="28"/>
    <x v="30"/>
    <x v="41"/>
    <x v="38"/>
  </r>
  <r>
    <x v="0"/>
    <x v="1"/>
    <x v="2"/>
    <x v="3"/>
    <x v="1"/>
    <x v="1"/>
    <x v="0"/>
    <x v="4"/>
    <x v="5"/>
    <x v="9"/>
    <x v="10"/>
    <x v="9"/>
    <x v="7"/>
    <x v="12"/>
    <x v="31"/>
    <x v="23"/>
    <x v="22"/>
  </r>
  <r>
    <x v="0"/>
    <x v="1"/>
    <x v="2"/>
    <x v="3"/>
    <x v="2"/>
    <x v="2"/>
    <x v="5"/>
    <x v="2"/>
    <x v="12"/>
    <x v="7"/>
    <x v="10"/>
    <x v="9"/>
    <x v="13"/>
    <x v="17"/>
    <x v="11"/>
    <x v="19"/>
    <x v="16"/>
  </r>
  <r>
    <x v="0"/>
    <x v="1"/>
    <x v="2"/>
    <x v="3"/>
    <x v="3"/>
    <x v="2"/>
    <x v="2"/>
    <x v="4"/>
    <x v="4"/>
    <x v="4"/>
    <x v="4"/>
    <x v="0"/>
    <x v="21"/>
    <x v="14"/>
    <x v="0"/>
    <x v="6"/>
    <x v="27"/>
  </r>
  <r>
    <x v="0"/>
    <x v="1"/>
    <x v="2"/>
    <x v="12"/>
    <x v="1"/>
    <x v="1"/>
    <x v="9"/>
    <x v="13"/>
    <x v="10"/>
    <x v="16"/>
    <x v="20"/>
    <x v="25"/>
    <x v="30"/>
    <x v="29"/>
    <x v="32"/>
    <x v="42"/>
    <x v="39"/>
  </r>
  <r>
    <x v="0"/>
    <x v="1"/>
    <x v="2"/>
    <x v="12"/>
    <x v="2"/>
    <x v="6"/>
    <x v="10"/>
    <x v="14"/>
    <x v="6"/>
    <x v="17"/>
    <x v="20"/>
    <x v="25"/>
    <x v="31"/>
    <x v="22"/>
    <x v="33"/>
    <x v="43"/>
    <x v="40"/>
  </r>
  <r>
    <x v="0"/>
    <x v="1"/>
    <x v="2"/>
    <x v="12"/>
    <x v="3"/>
    <x v="6"/>
    <x v="8"/>
    <x v="13"/>
    <x v="17"/>
    <x v="18"/>
    <x v="21"/>
    <x v="26"/>
    <x v="32"/>
    <x v="30"/>
    <x v="34"/>
    <x v="44"/>
    <x v="41"/>
  </r>
  <r>
    <x v="0"/>
    <x v="1"/>
    <x v="2"/>
    <x v="0"/>
    <x v="29"/>
    <x v="5"/>
    <x v="3"/>
    <x v="9"/>
    <x v="19"/>
    <x v="11"/>
    <x v="22"/>
    <x v="27"/>
    <x v="33"/>
    <x v="31"/>
    <x v="35"/>
    <x v="45"/>
    <x v="42"/>
  </r>
  <r>
    <x v="0"/>
    <x v="1"/>
    <x v="2"/>
    <x v="4"/>
    <x v="4"/>
    <x v="3"/>
    <x v="2"/>
    <x v="4"/>
    <x v="1"/>
    <x v="5"/>
    <x v="5"/>
    <x v="6"/>
    <x v="0"/>
    <x v="0"/>
    <x v="2"/>
    <x v="7"/>
    <x v="43"/>
  </r>
  <r>
    <x v="0"/>
    <x v="1"/>
    <x v="2"/>
    <x v="4"/>
    <x v="5"/>
    <x v="3"/>
    <x v="0"/>
    <x v="4"/>
    <x v="0"/>
    <x v="7"/>
    <x v="7"/>
    <x v="28"/>
    <x v="34"/>
    <x v="32"/>
    <x v="36"/>
    <x v="46"/>
    <x v="44"/>
  </r>
  <r>
    <x v="0"/>
    <x v="1"/>
    <x v="2"/>
    <x v="4"/>
    <x v="6"/>
    <x v="1"/>
    <x v="1"/>
    <x v="3"/>
    <x v="3"/>
    <x v="1"/>
    <x v="2"/>
    <x v="1"/>
    <x v="2"/>
    <x v="5"/>
    <x v="3"/>
    <x v="2"/>
    <x v="1"/>
  </r>
  <r>
    <x v="0"/>
    <x v="1"/>
    <x v="2"/>
    <x v="4"/>
    <x v="7"/>
    <x v="3"/>
    <x v="0"/>
    <x v="1"/>
    <x v="2"/>
    <x v="3"/>
    <x v="1"/>
    <x v="4"/>
    <x v="1"/>
    <x v="3"/>
    <x v="5"/>
    <x v="3"/>
    <x v="5"/>
  </r>
  <r>
    <x v="0"/>
    <x v="1"/>
    <x v="2"/>
    <x v="13"/>
    <x v="4"/>
    <x v="8"/>
    <x v="10"/>
    <x v="15"/>
    <x v="10"/>
    <x v="19"/>
    <x v="23"/>
    <x v="29"/>
    <x v="35"/>
    <x v="33"/>
    <x v="37"/>
    <x v="47"/>
    <x v="45"/>
  </r>
  <r>
    <x v="0"/>
    <x v="1"/>
    <x v="2"/>
    <x v="13"/>
    <x v="5"/>
    <x v="8"/>
    <x v="11"/>
    <x v="15"/>
    <x v="20"/>
    <x v="20"/>
    <x v="24"/>
    <x v="30"/>
    <x v="36"/>
    <x v="34"/>
    <x v="38"/>
    <x v="48"/>
    <x v="46"/>
  </r>
  <r>
    <x v="0"/>
    <x v="1"/>
    <x v="2"/>
    <x v="13"/>
    <x v="6"/>
    <x v="1"/>
    <x v="1"/>
    <x v="3"/>
    <x v="3"/>
    <x v="1"/>
    <x v="25"/>
    <x v="31"/>
    <x v="37"/>
    <x v="35"/>
    <x v="39"/>
    <x v="49"/>
    <x v="47"/>
  </r>
  <r>
    <x v="0"/>
    <x v="1"/>
    <x v="2"/>
    <x v="13"/>
    <x v="7"/>
    <x v="8"/>
    <x v="11"/>
    <x v="16"/>
    <x v="21"/>
    <x v="21"/>
    <x v="26"/>
    <x v="32"/>
    <x v="38"/>
    <x v="36"/>
    <x v="40"/>
    <x v="50"/>
    <x v="48"/>
  </r>
  <r>
    <x v="0"/>
    <x v="1"/>
    <x v="2"/>
    <x v="0"/>
    <x v="30"/>
    <x v="4"/>
    <x v="6"/>
    <x v="9"/>
    <x v="22"/>
    <x v="22"/>
    <x v="27"/>
    <x v="33"/>
    <x v="39"/>
    <x v="19"/>
    <x v="41"/>
    <x v="31"/>
    <x v="49"/>
  </r>
  <r>
    <x v="0"/>
    <x v="1"/>
    <x v="2"/>
    <x v="0"/>
    <x v="31"/>
    <x v="1"/>
    <x v="0"/>
    <x v="4"/>
    <x v="5"/>
    <x v="7"/>
    <x v="7"/>
    <x v="34"/>
    <x v="12"/>
    <x v="37"/>
    <x v="15"/>
    <x v="19"/>
    <x v="16"/>
  </r>
  <r>
    <x v="0"/>
    <x v="1"/>
    <x v="2"/>
    <x v="0"/>
    <x v="32"/>
    <x v="1"/>
    <x v="1"/>
    <x v="3"/>
    <x v="3"/>
    <x v="1"/>
    <x v="3"/>
    <x v="2"/>
    <x v="3"/>
    <x v="2"/>
    <x v="1"/>
    <x v="4"/>
    <x v="2"/>
  </r>
  <r>
    <x v="0"/>
    <x v="1"/>
    <x v="2"/>
    <x v="14"/>
    <x v="8"/>
    <x v="4"/>
    <x v="3"/>
    <x v="0"/>
    <x v="5"/>
    <x v="5"/>
    <x v="0"/>
    <x v="0"/>
    <x v="13"/>
    <x v="38"/>
    <x v="42"/>
    <x v="33"/>
    <x v="30"/>
  </r>
  <r>
    <x v="0"/>
    <x v="1"/>
    <x v="2"/>
    <x v="14"/>
    <x v="9"/>
    <x v="1"/>
    <x v="1"/>
    <x v="3"/>
    <x v="4"/>
    <x v="4"/>
    <x v="4"/>
    <x v="12"/>
    <x v="13"/>
    <x v="13"/>
    <x v="16"/>
    <x v="16"/>
    <x v="13"/>
  </r>
  <r>
    <x v="0"/>
    <x v="1"/>
    <x v="2"/>
    <x v="14"/>
    <x v="10"/>
    <x v="1"/>
    <x v="1"/>
    <x v="3"/>
    <x v="2"/>
    <x v="3"/>
    <x v="1"/>
    <x v="4"/>
    <x v="1"/>
    <x v="1"/>
    <x v="5"/>
    <x v="8"/>
    <x v="6"/>
  </r>
  <r>
    <x v="0"/>
    <x v="1"/>
    <x v="2"/>
    <x v="14"/>
    <x v="11"/>
    <x v="1"/>
    <x v="0"/>
    <x v="1"/>
    <x v="2"/>
    <x v="0"/>
    <x v="2"/>
    <x v="1"/>
    <x v="2"/>
    <x v="5"/>
    <x v="3"/>
    <x v="2"/>
    <x v="1"/>
  </r>
  <r>
    <x v="0"/>
    <x v="1"/>
    <x v="2"/>
    <x v="14"/>
    <x v="12"/>
    <x v="1"/>
    <x v="1"/>
    <x v="3"/>
    <x v="3"/>
    <x v="1"/>
    <x v="3"/>
    <x v="2"/>
    <x v="3"/>
    <x v="2"/>
    <x v="1"/>
    <x v="4"/>
    <x v="2"/>
  </r>
  <r>
    <x v="0"/>
    <x v="1"/>
    <x v="2"/>
    <x v="15"/>
    <x v="8"/>
    <x v="1"/>
    <x v="1"/>
    <x v="3"/>
    <x v="4"/>
    <x v="4"/>
    <x v="4"/>
    <x v="3"/>
    <x v="5"/>
    <x v="4"/>
    <x v="2"/>
    <x v="8"/>
    <x v="6"/>
  </r>
  <r>
    <x v="0"/>
    <x v="1"/>
    <x v="2"/>
    <x v="15"/>
    <x v="9"/>
    <x v="1"/>
    <x v="0"/>
    <x v="4"/>
    <x v="4"/>
    <x v="4"/>
    <x v="5"/>
    <x v="5"/>
    <x v="0"/>
    <x v="39"/>
    <x v="43"/>
    <x v="7"/>
    <x v="14"/>
  </r>
  <r>
    <x v="0"/>
    <x v="1"/>
    <x v="2"/>
    <x v="15"/>
    <x v="10"/>
    <x v="1"/>
    <x v="1"/>
    <x v="3"/>
    <x v="3"/>
    <x v="0"/>
    <x v="2"/>
    <x v="1"/>
    <x v="1"/>
    <x v="3"/>
    <x v="4"/>
    <x v="1"/>
    <x v="0"/>
  </r>
  <r>
    <x v="0"/>
    <x v="1"/>
    <x v="2"/>
    <x v="15"/>
    <x v="11"/>
    <x v="1"/>
    <x v="1"/>
    <x v="3"/>
    <x v="3"/>
    <x v="1"/>
    <x v="3"/>
    <x v="2"/>
    <x v="3"/>
    <x v="2"/>
    <x v="1"/>
    <x v="4"/>
    <x v="2"/>
  </r>
  <r>
    <x v="0"/>
    <x v="1"/>
    <x v="2"/>
    <x v="15"/>
    <x v="12"/>
    <x v="1"/>
    <x v="1"/>
    <x v="3"/>
    <x v="3"/>
    <x v="1"/>
    <x v="3"/>
    <x v="2"/>
    <x v="3"/>
    <x v="2"/>
    <x v="1"/>
    <x v="4"/>
    <x v="2"/>
  </r>
  <r>
    <x v="0"/>
    <x v="1"/>
    <x v="2"/>
    <x v="16"/>
    <x v="8"/>
    <x v="1"/>
    <x v="1"/>
    <x v="3"/>
    <x v="3"/>
    <x v="1"/>
    <x v="3"/>
    <x v="2"/>
    <x v="3"/>
    <x v="2"/>
    <x v="1"/>
    <x v="4"/>
    <x v="2"/>
  </r>
  <r>
    <x v="0"/>
    <x v="1"/>
    <x v="2"/>
    <x v="16"/>
    <x v="9"/>
    <x v="1"/>
    <x v="1"/>
    <x v="3"/>
    <x v="3"/>
    <x v="1"/>
    <x v="3"/>
    <x v="2"/>
    <x v="3"/>
    <x v="2"/>
    <x v="1"/>
    <x v="4"/>
    <x v="2"/>
  </r>
  <r>
    <x v="0"/>
    <x v="1"/>
    <x v="2"/>
    <x v="16"/>
    <x v="10"/>
    <x v="1"/>
    <x v="1"/>
    <x v="3"/>
    <x v="3"/>
    <x v="1"/>
    <x v="3"/>
    <x v="2"/>
    <x v="3"/>
    <x v="2"/>
    <x v="1"/>
    <x v="4"/>
    <x v="2"/>
  </r>
  <r>
    <x v="0"/>
    <x v="1"/>
    <x v="2"/>
    <x v="16"/>
    <x v="11"/>
    <x v="1"/>
    <x v="1"/>
    <x v="3"/>
    <x v="3"/>
    <x v="1"/>
    <x v="3"/>
    <x v="2"/>
    <x v="3"/>
    <x v="2"/>
    <x v="1"/>
    <x v="4"/>
    <x v="2"/>
  </r>
  <r>
    <x v="0"/>
    <x v="1"/>
    <x v="2"/>
    <x v="16"/>
    <x v="12"/>
    <x v="1"/>
    <x v="1"/>
    <x v="3"/>
    <x v="3"/>
    <x v="1"/>
    <x v="3"/>
    <x v="2"/>
    <x v="3"/>
    <x v="2"/>
    <x v="1"/>
    <x v="4"/>
    <x v="2"/>
  </r>
  <r>
    <x v="0"/>
    <x v="1"/>
    <x v="3"/>
    <x v="0"/>
    <x v="33"/>
    <x v="9"/>
    <x v="12"/>
    <x v="17"/>
    <x v="23"/>
    <x v="0"/>
    <x v="28"/>
    <x v="35"/>
    <x v="40"/>
    <x v="40"/>
    <x v="44"/>
    <x v="51"/>
    <x v="50"/>
  </r>
  <r>
    <x v="0"/>
    <x v="1"/>
    <x v="3"/>
    <x v="3"/>
    <x v="1"/>
    <x v="10"/>
    <x v="1"/>
    <x v="18"/>
    <x v="24"/>
    <x v="0"/>
    <x v="29"/>
    <x v="36"/>
    <x v="41"/>
    <x v="41"/>
    <x v="45"/>
    <x v="52"/>
    <x v="51"/>
  </r>
  <r>
    <x v="0"/>
    <x v="1"/>
    <x v="3"/>
    <x v="3"/>
    <x v="2"/>
    <x v="6"/>
    <x v="0"/>
    <x v="15"/>
    <x v="25"/>
    <x v="0"/>
    <x v="29"/>
    <x v="1"/>
    <x v="42"/>
    <x v="5"/>
    <x v="46"/>
    <x v="53"/>
    <x v="52"/>
  </r>
  <r>
    <x v="0"/>
    <x v="1"/>
    <x v="3"/>
    <x v="3"/>
    <x v="3"/>
    <x v="11"/>
    <x v="13"/>
    <x v="19"/>
    <x v="26"/>
    <x v="0"/>
    <x v="19"/>
    <x v="37"/>
    <x v="2"/>
    <x v="42"/>
    <x v="47"/>
    <x v="54"/>
    <x v="53"/>
  </r>
  <r>
    <x v="0"/>
    <x v="1"/>
    <x v="3"/>
    <x v="4"/>
    <x v="4"/>
    <x v="6"/>
    <x v="0"/>
    <x v="1"/>
    <x v="9"/>
    <x v="0"/>
    <x v="2"/>
    <x v="38"/>
    <x v="2"/>
    <x v="5"/>
    <x v="48"/>
    <x v="55"/>
    <x v="1"/>
  </r>
  <r>
    <x v="0"/>
    <x v="1"/>
    <x v="3"/>
    <x v="4"/>
    <x v="5"/>
    <x v="3"/>
    <x v="0"/>
    <x v="1"/>
    <x v="2"/>
    <x v="0"/>
    <x v="2"/>
    <x v="1"/>
    <x v="43"/>
    <x v="5"/>
    <x v="3"/>
    <x v="56"/>
    <x v="50"/>
  </r>
  <r>
    <x v="0"/>
    <x v="1"/>
    <x v="3"/>
    <x v="4"/>
    <x v="6"/>
    <x v="11"/>
    <x v="13"/>
    <x v="19"/>
    <x v="26"/>
    <x v="6"/>
    <x v="2"/>
    <x v="1"/>
    <x v="2"/>
    <x v="5"/>
    <x v="3"/>
    <x v="2"/>
    <x v="1"/>
  </r>
  <r>
    <x v="0"/>
    <x v="1"/>
    <x v="3"/>
    <x v="4"/>
    <x v="7"/>
    <x v="3"/>
    <x v="0"/>
    <x v="1"/>
    <x v="2"/>
    <x v="0"/>
    <x v="2"/>
    <x v="1"/>
    <x v="9"/>
    <x v="43"/>
    <x v="49"/>
    <x v="54"/>
    <x v="54"/>
  </r>
  <r>
    <x v="0"/>
    <x v="1"/>
    <x v="3"/>
    <x v="2"/>
    <x v="8"/>
    <x v="3"/>
    <x v="1"/>
    <x v="3"/>
    <x v="3"/>
    <x v="1"/>
    <x v="30"/>
    <x v="39"/>
    <x v="44"/>
    <x v="44"/>
    <x v="1"/>
    <x v="57"/>
    <x v="2"/>
  </r>
  <r>
    <x v="0"/>
    <x v="1"/>
    <x v="3"/>
    <x v="2"/>
    <x v="9"/>
    <x v="1"/>
    <x v="1"/>
    <x v="3"/>
    <x v="27"/>
    <x v="23"/>
    <x v="3"/>
    <x v="7"/>
    <x v="45"/>
    <x v="2"/>
    <x v="1"/>
    <x v="58"/>
    <x v="55"/>
  </r>
  <r>
    <x v="0"/>
    <x v="1"/>
    <x v="3"/>
    <x v="2"/>
    <x v="10"/>
    <x v="11"/>
    <x v="13"/>
    <x v="3"/>
    <x v="10"/>
    <x v="24"/>
    <x v="3"/>
    <x v="2"/>
    <x v="3"/>
    <x v="7"/>
    <x v="1"/>
    <x v="59"/>
    <x v="2"/>
  </r>
  <r>
    <x v="0"/>
    <x v="1"/>
    <x v="3"/>
    <x v="2"/>
    <x v="11"/>
    <x v="1"/>
    <x v="0"/>
    <x v="3"/>
    <x v="3"/>
    <x v="1"/>
    <x v="3"/>
    <x v="2"/>
    <x v="3"/>
    <x v="2"/>
    <x v="1"/>
    <x v="4"/>
    <x v="2"/>
  </r>
  <r>
    <x v="0"/>
    <x v="1"/>
    <x v="3"/>
    <x v="2"/>
    <x v="12"/>
    <x v="11"/>
    <x v="13"/>
    <x v="19"/>
    <x v="26"/>
    <x v="6"/>
    <x v="31"/>
    <x v="40"/>
    <x v="46"/>
    <x v="45"/>
    <x v="50"/>
    <x v="60"/>
    <x v="56"/>
  </r>
  <r>
    <x v="0"/>
    <x v="1"/>
    <x v="3"/>
    <x v="0"/>
    <x v="34"/>
    <x v="9"/>
    <x v="12"/>
    <x v="17"/>
    <x v="28"/>
    <x v="0"/>
    <x v="32"/>
    <x v="41"/>
    <x v="47"/>
    <x v="46"/>
    <x v="51"/>
    <x v="61"/>
    <x v="57"/>
  </r>
  <r>
    <x v="0"/>
    <x v="1"/>
    <x v="3"/>
    <x v="3"/>
    <x v="1"/>
    <x v="1"/>
    <x v="10"/>
    <x v="20"/>
    <x v="9"/>
    <x v="0"/>
    <x v="33"/>
    <x v="37"/>
    <x v="48"/>
    <x v="47"/>
    <x v="52"/>
    <x v="62"/>
    <x v="58"/>
  </r>
  <r>
    <x v="0"/>
    <x v="1"/>
    <x v="3"/>
    <x v="3"/>
    <x v="2"/>
    <x v="9"/>
    <x v="0"/>
    <x v="18"/>
    <x v="29"/>
    <x v="0"/>
    <x v="33"/>
    <x v="1"/>
    <x v="49"/>
    <x v="5"/>
    <x v="53"/>
    <x v="63"/>
    <x v="59"/>
  </r>
  <r>
    <x v="0"/>
    <x v="1"/>
    <x v="3"/>
    <x v="3"/>
    <x v="3"/>
    <x v="3"/>
    <x v="0"/>
    <x v="1"/>
    <x v="2"/>
    <x v="0"/>
    <x v="34"/>
    <x v="42"/>
    <x v="42"/>
    <x v="48"/>
    <x v="54"/>
    <x v="54"/>
    <x v="60"/>
  </r>
  <r>
    <x v="0"/>
    <x v="1"/>
    <x v="3"/>
    <x v="0"/>
    <x v="35"/>
    <x v="12"/>
    <x v="14"/>
    <x v="21"/>
    <x v="30"/>
    <x v="0"/>
    <x v="35"/>
    <x v="43"/>
    <x v="50"/>
    <x v="49"/>
    <x v="55"/>
    <x v="64"/>
    <x v="61"/>
  </r>
  <r>
    <x v="0"/>
    <x v="1"/>
    <x v="3"/>
    <x v="4"/>
    <x v="4"/>
    <x v="6"/>
    <x v="0"/>
    <x v="20"/>
    <x v="23"/>
    <x v="0"/>
    <x v="2"/>
    <x v="37"/>
    <x v="2"/>
    <x v="5"/>
    <x v="47"/>
    <x v="65"/>
    <x v="62"/>
  </r>
  <r>
    <x v="0"/>
    <x v="1"/>
    <x v="3"/>
    <x v="4"/>
    <x v="5"/>
    <x v="3"/>
    <x v="10"/>
    <x v="15"/>
    <x v="31"/>
    <x v="0"/>
    <x v="36"/>
    <x v="44"/>
    <x v="51"/>
    <x v="50"/>
    <x v="56"/>
    <x v="66"/>
    <x v="63"/>
  </r>
  <r>
    <x v="0"/>
    <x v="1"/>
    <x v="3"/>
    <x v="4"/>
    <x v="6"/>
    <x v="11"/>
    <x v="13"/>
    <x v="19"/>
    <x v="26"/>
    <x v="6"/>
    <x v="2"/>
    <x v="1"/>
    <x v="2"/>
    <x v="5"/>
    <x v="3"/>
    <x v="2"/>
    <x v="1"/>
  </r>
  <r>
    <x v="0"/>
    <x v="1"/>
    <x v="3"/>
    <x v="4"/>
    <x v="7"/>
    <x v="3"/>
    <x v="0"/>
    <x v="1"/>
    <x v="6"/>
    <x v="0"/>
    <x v="2"/>
    <x v="1"/>
    <x v="43"/>
    <x v="6"/>
    <x v="57"/>
    <x v="67"/>
    <x v="64"/>
  </r>
  <r>
    <x v="0"/>
    <x v="1"/>
    <x v="4"/>
    <x v="0"/>
    <x v="15"/>
    <x v="13"/>
    <x v="15"/>
    <x v="22"/>
    <x v="32"/>
    <x v="25"/>
    <x v="37"/>
    <x v="45"/>
    <x v="52"/>
    <x v="51"/>
    <x v="58"/>
    <x v="68"/>
    <x v="65"/>
  </r>
  <r>
    <x v="0"/>
    <x v="1"/>
    <x v="4"/>
    <x v="1"/>
    <x v="1"/>
    <x v="1"/>
    <x v="1"/>
    <x v="22"/>
    <x v="33"/>
    <x v="26"/>
    <x v="38"/>
    <x v="46"/>
    <x v="53"/>
    <x v="52"/>
    <x v="58"/>
    <x v="69"/>
    <x v="2"/>
  </r>
  <r>
    <x v="0"/>
    <x v="1"/>
    <x v="4"/>
    <x v="1"/>
    <x v="2"/>
    <x v="14"/>
    <x v="16"/>
    <x v="3"/>
    <x v="34"/>
    <x v="27"/>
    <x v="3"/>
    <x v="47"/>
    <x v="3"/>
    <x v="53"/>
    <x v="1"/>
    <x v="70"/>
    <x v="2"/>
  </r>
  <r>
    <x v="0"/>
    <x v="1"/>
    <x v="4"/>
    <x v="1"/>
    <x v="3"/>
    <x v="1"/>
    <x v="1"/>
    <x v="3"/>
    <x v="3"/>
    <x v="28"/>
    <x v="3"/>
    <x v="48"/>
    <x v="54"/>
    <x v="2"/>
    <x v="1"/>
    <x v="71"/>
    <x v="66"/>
  </r>
  <r>
    <x v="0"/>
    <x v="1"/>
    <x v="4"/>
    <x v="1"/>
    <x v="4"/>
    <x v="15"/>
    <x v="17"/>
    <x v="3"/>
    <x v="3"/>
    <x v="29"/>
    <x v="3"/>
    <x v="2"/>
    <x v="55"/>
    <x v="2"/>
    <x v="1"/>
    <x v="72"/>
    <x v="67"/>
  </r>
  <r>
    <x v="0"/>
    <x v="1"/>
    <x v="4"/>
    <x v="1"/>
    <x v="5"/>
    <x v="16"/>
    <x v="1"/>
    <x v="3"/>
    <x v="3"/>
    <x v="1"/>
    <x v="3"/>
    <x v="49"/>
    <x v="3"/>
    <x v="54"/>
    <x v="1"/>
    <x v="4"/>
    <x v="2"/>
  </r>
  <r>
    <x v="0"/>
    <x v="1"/>
    <x v="4"/>
    <x v="1"/>
    <x v="6"/>
    <x v="1"/>
    <x v="1"/>
    <x v="3"/>
    <x v="3"/>
    <x v="1"/>
    <x v="39"/>
    <x v="2"/>
    <x v="3"/>
    <x v="2"/>
    <x v="1"/>
    <x v="4"/>
    <x v="2"/>
  </r>
  <r>
    <x v="0"/>
    <x v="1"/>
    <x v="4"/>
    <x v="1"/>
    <x v="7"/>
    <x v="17"/>
    <x v="1"/>
    <x v="3"/>
    <x v="3"/>
    <x v="1"/>
    <x v="3"/>
    <x v="2"/>
    <x v="3"/>
    <x v="2"/>
    <x v="1"/>
    <x v="4"/>
    <x v="2"/>
  </r>
  <r>
    <x v="0"/>
    <x v="1"/>
    <x v="4"/>
    <x v="2"/>
    <x v="8"/>
    <x v="13"/>
    <x v="1"/>
    <x v="3"/>
    <x v="35"/>
    <x v="30"/>
    <x v="38"/>
    <x v="47"/>
    <x v="56"/>
    <x v="55"/>
    <x v="58"/>
    <x v="73"/>
    <x v="2"/>
  </r>
  <r>
    <x v="0"/>
    <x v="1"/>
    <x v="4"/>
    <x v="2"/>
    <x v="9"/>
    <x v="1"/>
    <x v="16"/>
    <x v="22"/>
    <x v="33"/>
    <x v="31"/>
    <x v="39"/>
    <x v="50"/>
    <x v="57"/>
    <x v="56"/>
    <x v="1"/>
    <x v="74"/>
    <x v="65"/>
  </r>
  <r>
    <x v="0"/>
    <x v="1"/>
    <x v="4"/>
    <x v="2"/>
    <x v="10"/>
    <x v="1"/>
    <x v="1"/>
    <x v="3"/>
    <x v="36"/>
    <x v="32"/>
    <x v="3"/>
    <x v="2"/>
    <x v="55"/>
    <x v="54"/>
    <x v="1"/>
    <x v="75"/>
    <x v="2"/>
  </r>
  <r>
    <x v="0"/>
    <x v="1"/>
    <x v="4"/>
    <x v="2"/>
    <x v="11"/>
    <x v="1"/>
    <x v="17"/>
    <x v="3"/>
    <x v="3"/>
    <x v="1"/>
    <x v="3"/>
    <x v="2"/>
    <x v="3"/>
    <x v="2"/>
    <x v="1"/>
    <x v="4"/>
    <x v="2"/>
  </r>
  <r>
    <x v="0"/>
    <x v="1"/>
    <x v="4"/>
    <x v="2"/>
    <x v="12"/>
    <x v="1"/>
    <x v="1"/>
    <x v="3"/>
    <x v="3"/>
    <x v="1"/>
    <x v="3"/>
    <x v="2"/>
    <x v="3"/>
    <x v="2"/>
    <x v="1"/>
    <x v="4"/>
    <x v="2"/>
  </r>
  <r>
    <x v="0"/>
    <x v="1"/>
    <x v="5"/>
    <x v="0"/>
    <x v="15"/>
    <x v="18"/>
    <x v="18"/>
    <x v="23"/>
    <x v="37"/>
    <x v="33"/>
    <x v="40"/>
    <x v="51"/>
    <x v="58"/>
    <x v="57"/>
    <x v="59"/>
    <x v="76"/>
    <x v="68"/>
  </r>
  <r>
    <x v="0"/>
    <x v="1"/>
    <x v="5"/>
    <x v="2"/>
    <x v="8"/>
    <x v="18"/>
    <x v="1"/>
    <x v="3"/>
    <x v="38"/>
    <x v="34"/>
    <x v="41"/>
    <x v="52"/>
    <x v="59"/>
    <x v="58"/>
    <x v="59"/>
    <x v="77"/>
    <x v="2"/>
  </r>
  <r>
    <x v="0"/>
    <x v="1"/>
    <x v="5"/>
    <x v="2"/>
    <x v="9"/>
    <x v="1"/>
    <x v="19"/>
    <x v="23"/>
    <x v="39"/>
    <x v="35"/>
    <x v="42"/>
    <x v="53"/>
    <x v="60"/>
    <x v="59"/>
    <x v="1"/>
    <x v="78"/>
    <x v="68"/>
  </r>
  <r>
    <x v="0"/>
    <x v="1"/>
    <x v="5"/>
    <x v="2"/>
    <x v="10"/>
    <x v="1"/>
    <x v="1"/>
    <x v="3"/>
    <x v="40"/>
    <x v="36"/>
    <x v="3"/>
    <x v="2"/>
    <x v="61"/>
    <x v="60"/>
    <x v="1"/>
    <x v="79"/>
    <x v="2"/>
  </r>
  <r>
    <x v="0"/>
    <x v="1"/>
    <x v="5"/>
    <x v="2"/>
    <x v="11"/>
    <x v="1"/>
    <x v="20"/>
    <x v="3"/>
    <x v="3"/>
    <x v="1"/>
    <x v="3"/>
    <x v="2"/>
    <x v="3"/>
    <x v="2"/>
    <x v="1"/>
    <x v="4"/>
    <x v="2"/>
  </r>
  <r>
    <x v="0"/>
    <x v="1"/>
    <x v="5"/>
    <x v="2"/>
    <x v="12"/>
    <x v="1"/>
    <x v="1"/>
    <x v="3"/>
    <x v="3"/>
    <x v="1"/>
    <x v="3"/>
    <x v="2"/>
    <x v="3"/>
    <x v="2"/>
    <x v="1"/>
    <x v="4"/>
    <x v="2"/>
  </r>
  <r>
    <x v="0"/>
    <x v="1"/>
    <x v="6"/>
    <x v="0"/>
    <x v="15"/>
    <x v="18"/>
    <x v="21"/>
    <x v="24"/>
    <x v="41"/>
    <x v="37"/>
    <x v="43"/>
    <x v="54"/>
    <x v="62"/>
    <x v="61"/>
    <x v="60"/>
    <x v="80"/>
    <x v="69"/>
  </r>
  <r>
    <x v="0"/>
    <x v="1"/>
    <x v="7"/>
    <x v="0"/>
    <x v="15"/>
    <x v="19"/>
    <x v="22"/>
    <x v="25"/>
    <x v="42"/>
    <x v="38"/>
    <x v="44"/>
    <x v="55"/>
    <x v="63"/>
    <x v="62"/>
    <x v="61"/>
    <x v="81"/>
    <x v="70"/>
  </r>
  <r>
    <x v="0"/>
    <x v="1"/>
    <x v="7"/>
    <x v="1"/>
    <x v="1"/>
    <x v="1"/>
    <x v="1"/>
    <x v="25"/>
    <x v="43"/>
    <x v="39"/>
    <x v="45"/>
    <x v="56"/>
    <x v="64"/>
    <x v="63"/>
    <x v="61"/>
    <x v="82"/>
    <x v="2"/>
  </r>
  <r>
    <x v="0"/>
    <x v="1"/>
    <x v="7"/>
    <x v="1"/>
    <x v="2"/>
    <x v="14"/>
    <x v="16"/>
    <x v="3"/>
    <x v="44"/>
    <x v="40"/>
    <x v="3"/>
    <x v="57"/>
    <x v="3"/>
    <x v="64"/>
    <x v="1"/>
    <x v="83"/>
    <x v="2"/>
  </r>
  <r>
    <x v="0"/>
    <x v="1"/>
    <x v="7"/>
    <x v="1"/>
    <x v="3"/>
    <x v="1"/>
    <x v="1"/>
    <x v="3"/>
    <x v="3"/>
    <x v="41"/>
    <x v="3"/>
    <x v="58"/>
    <x v="54"/>
    <x v="2"/>
    <x v="1"/>
    <x v="84"/>
    <x v="71"/>
  </r>
  <r>
    <x v="0"/>
    <x v="1"/>
    <x v="7"/>
    <x v="1"/>
    <x v="4"/>
    <x v="20"/>
    <x v="23"/>
    <x v="3"/>
    <x v="3"/>
    <x v="29"/>
    <x v="3"/>
    <x v="2"/>
    <x v="65"/>
    <x v="2"/>
    <x v="1"/>
    <x v="72"/>
    <x v="72"/>
  </r>
  <r>
    <x v="0"/>
    <x v="1"/>
    <x v="7"/>
    <x v="1"/>
    <x v="5"/>
    <x v="21"/>
    <x v="1"/>
    <x v="3"/>
    <x v="3"/>
    <x v="1"/>
    <x v="3"/>
    <x v="49"/>
    <x v="3"/>
    <x v="65"/>
    <x v="1"/>
    <x v="4"/>
    <x v="2"/>
  </r>
  <r>
    <x v="0"/>
    <x v="1"/>
    <x v="7"/>
    <x v="1"/>
    <x v="6"/>
    <x v="1"/>
    <x v="1"/>
    <x v="3"/>
    <x v="3"/>
    <x v="1"/>
    <x v="39"/>
    <x v="2"/>
    <x v="3"/>
    <x v="2"/>
    <x v="1"/>
    <x v="4"/>
    <x v="2"/>
  </r>
  <r>
    <x v="0"/>
    <x v="1"/>
    <x v="7"/>
    <x v="1"/>
    <x v="7"/>
    <x v="22"/>
    <x v="1"/>
    <x v="3"/>
    <x v="3"/>
    <x v="1"/>
    <x v="3"/>
    <x v="2"/>
    <x v="3"/>
    <x v="2"/>
    <x v="1"/>
    <x v="4"/>
    <x v="2"/>
  </r>
  <r>
    <x v="0"/>
    <x v="1"/>
    <x v="7"/>
    <x v="2"/>
    <x v="8"/>
    <x v="19"/>
    <x v="1"/>
    <x v="3"/>
    <x v="45"/>
    <x v="42"/>
    <x v="45"/>
    <x v="57"/>
    <x v="66"/>
    <x v="66"/>
    <x v="61"/>
    <x v="85"/>
    <x v="2"/>
  </r>
  <r>
    <x v="0"/>
    <x v="1"/>
    <x v="7"/>
    <x v="2"/>
    <x v="9"/>
    <x v="1"/>
    <x v="16"/>
    <x v="25"/>
    <x v="43"/>
    <x v="43"/>
    <x v="39"/>
    <x v="59"/>
    <x v="67"/>
    <x v="67"/>
    <x v="1"/>
    <x v="86"/>
    <x v="70"/>
  </r>
  <r>
    <x v="0"/>
    <x v="1"/>
    <x v="7"/>
    <x v="2"/>
    <x v="10"/>
    <x v="1"/>
    <x v="1"/>
    <x v="3"/>
    <x v="46"/>
    <x v="44"/>
    <x v="3"/>
    <x v="2"/>
    <x v="65"/>
    <x v="65"/>
    <x v="1"/>
    <x v="87"/>
    <x v="2"/>
  </r>
  <r>
    <x v="0"/>
    <x v="1"/>
    <x v="7"/>
    <x v="2"/>
    <x v="11"/>
    <x v="1"/>
    <x v="23"/>
    <x v="3"/>
    <x v="3"/>
    <x v="1"/>
    <x v="3"/>
    <x v="2"/>
    <x v="3"/>
    <x v="2"/>
    <x v="1"/>
    <x v="4"/>
    <x v="2"/>
  </r>
  <r>
    <x v="0"/>
    <x v="1"/>
    <x v="7"/>
    <x v="2"/>
    <x v="12"/>
    <x v="1"/>
    <x v="1"/>
    <x v="3"/>
    <x v="3"/>
    <x v="1"/>
    <x v="3"/>
    <x v="2"/>
    <x v="3"/>
    <x v="2"/>
    <x v="1"/>
    <x v="4"/>
    <x v="2"/>
  </r>
  <r>
    <x v="0"/>
    <x v="1"/>
    <x v="4"/>
    <x v="0"/>
    <x v="36"/>
    <x v="23"/>
    <x v="24"/>
    <x v="3"/>
    <x v="47"/>
    <x v="45"/>
    <x v="46"/>
    <x v="60"/>
    <x v="68"/>
    <x v="68"/>
    <x v="1"/>
    <x v="88"/>
    <x v="73"/>
  </r>
  <r>
    <x v="0"/>
    <x v="1"/>
    <x v="4"/>
    <x v="0"/>
    <x v="37"/>
    <x v="1"/>
    <x v="25"/>
    <x v="26"/>
    <x v="48"/>
    <x v="46"/>
    <x v="47"/>
    <x v="61"/>
    <x v="69"/>
    <x v="69"/>
    <x v="62"/>
    <x v="4"/>
    <x v="2"/>
  </r>
  <r>
    <x v="0"/>
    <x v="1"/>
    <x v="4"/>
    <x v="0"/>
    <x v="38"/>
    <x v="1"/>
    <x v="1"/>
    <x v="3"/>
    <x v="3"/>
    <x v="1"/>
    <x v="3"/>
    <x v="2"/>
    <x v="3"/>
    <x v="2"/>
    <x v="1"/>
    <x v="4"/>
    <x v="2"/>
  </r>
  <r>
    <x v="0"/>
    <x v="1"/>
    <x v="4"/>
    <x v="5"/>
    <x v="8"/>
    <x v="23"/>
    <x v="1"/>
    <x v="3"/>
    <x v="3"/>
    <x v="1"/>
    <x v="46"/>
    <x v="62"/>
    <x v="70"/>
    <x v="70"/>
    <x v="1"/>
    <x v="89"/>
    <x v="2"/>
  </r>
  <r>
    <x v="0"/>
    <x v="1"/>
    <x v="4"/>
    <x v="5"/>
    <x v="9"/>
    <x v="1"/>
    <x v="1"/>
    <x v="3"/>
    <x v="49"/>
    <x v="47"/>
    <x v="3"/>
    <x v="63"/>
    <x v="71"/>
    <x v="2"/>
    <x v="1"/>
    <x v="90"/>
    <x v="73"/>
  </r>
  <r>
    <x v="0"/>
    <x v="1"/>
    <x v="4"/>
    <x v="5"/>
    <x v="10"/>
    <x v="1"/>
    <x v="1"/>
    <x v="3"/>
    <x v="50"/>
    <x v="48"/>
    <x v="3"/>
    <x v="2"/>
    <x v="3"/>
    <x v="71"/>
    <x v="1"/>
    <x v="91"/>
    <x v="2"/>
  </r>
  <r>
    <x v="0"/>
    <x v="1"/>
    <x v="4"/>
    <x v="5"/>
    <x v="11"/>
    <x v="1"/>
    <x v="24"/>
    <x v="3"/>
    <x v="3"/>
    <x v="1"/>
    <x v="3"/>
    <x v="2"/>
    <x v="3"/>
    <x v="2"/>
    <x v="1"/>
    <x v="4"/>
    <x v="2"/>
  </r>
  <r>
    <x v="0"/>
    <x v="1"/>
    <x v="4"/>
    <x v="5"/>
    <x v="12"/>
    <x v="1"/>
    <x v="1"/>
    <x v="3"/>
    <x v="3"/>
    <x v="1"/>
    <x v="3"/>
    <x v="2"/>
    <x v="3"/>
    <x v="2"/>
    <x v="1"/>
    <x v="4"/>
    <x v="2"/>
  </r>
  <r>
    <x v="0"/>
    <x v="1"/>
    <x v="4"/>
    <x v="6"/>
    <x v="8"/>
    <x v="1"/>
    <x v="1"/>
    <x v="3"/>
    <x v="48"/>
    <x v="49"/>
    <x v="3"/>
    <x v="2"/>
    <x v="3"/>
    <x v="72"/>
    <x v="62"/>
    <x v="4"/>
    <x v="2"/>
  </r>
  <r>
    <x v="0"/>
    <x v="1"/>
    <x v="4"/>
    <x v="6"/>
    <x v="9"/>
    <x v="1"/>
    <x v="25"/>
    <x v="26"/>
    <x v="3"/>
    <x v="50"/>
    <x v="47"/>
    <x v="61"/>
    <x v="3"/>
    <x v="73"/>
    <x v="1"/>
    <x v="4"/>
    <x v="2"/>
  </r>
  <r>
    <x v="0"/>
    <x v="1"/>
    <x v="4"/>
    <x v="6"/>
    <x v="10"/>
    <x v="1"/>
    <x v="1"/>
    <x v="3"/>
    <x v="3"/>
    <x v="51"/>
    <x v="3"/>
    <x v="2"/>
    <x v="69"/>
    <x v="2"/>
    <x v="1"/>
    <x v="4"/>
    <x v="2"/>
  </r>
  <r>
    <x v="0"/>
    <x v="1"/>
    <x v="4"/>
    <x v="6"/>
    <x v="11"/>
    <x v="1"/>
    <x v="1"/>
    <x v="3"/>
    <x v="3"/>
    <x v="1"/>
    <x v="3"/>
    <x v="2"/>
    <x v="3"/>
    <x v="2"/>
    <x v="1"/>
    <x v="4"/>
    <x v="2"/>
  </r>
  <r>
    <x v="0"/>
    <x v="1"/>
    <x v="4"/>
    <x v="6"/>
    <x v="12"/>
    <x v="1"/>
    <x v="1"/>
    <x v="3"/>
    <x v="3"/>
    <x v="1"/>
    <x v="3"/>
    <x v="2"/>
    <x v="3"/>
    <x v="2"/>
    <x v="1"/>
    <x v="4"/>
    <x v="2"/>
  </r>
  <r>
    <x v="0"/>
    <x v="1"/>
    <x v="4"/>
    <x v="0"/>
    <x v="39"/>
    <x v="18"/>
    <x v="20"/>
    <x v="3"/>
    <x v="51"/>
    <x v="52"/>
    <x v="41"/>
    <x v="64"/>
    <x v="72"/>
    <x v="74"/>
    <x v="1"/>
    <x v="76"/>
    <x v="68"/>
  </r>
  <r>
    <x v="0"/>
    <x v="1"/>
    <x v="4"/>
    <x v="0"/>
    <x v="40"/>
    <x v="1"/>
    <x v="19"/>
    <x v="23"/>
    <x v="38"/>
    <x v="53"/>
    <x v="42"/>
    <x v="65"/>
    <x v="61"/>
    <x v="75"/>
    <x v="59"/>
    <x v="4"/>
    <x v="2"/>
  </r>
  <r>
    <x v="0"/>
    <x v="1"/>
    <x v="4"/>
    <x v="0"/>
    <x v="41"/>
    <x v="1"/>
    <x v="1"/>
    <x v="3"/>
    <x v="3"/>
    <x v="1"/>
    <x v="3"/>
    <x v="2"/>
    <x v="3"/>
    <x v="2"/>
    <x v="1"/>
    <x v="4"/>
    <x v="2"/>
  </r>
  <r>
    <x v="0"/>
    <x v="1"/>
    <x v="8"/>
    <x v="0"/>
    <x v="39"/>
    <x v="18"/>
    <x v="26"/>
    <x v="27"/>
    <x v="52"/>
    <x v="54"/>
    <x v="48"/>
    <x v="66"/>
    <x v="73"/>
    <x v="76"/>
    <x v="63"/>
    <x v="92"/>
    <x v="74"/>
  </r>
  <r>
    <x v="0"/>
    <x v="1"/>
    <x v="8"/>
    <x v="0"/>
    <x v="40"/>
    <x v="1"/>
    <x v="19"/>
    <x v="28"/>
    <x v="53"/>
    <x v="55"/>
    <x v="49"/>
    <x v="67"/>
    <x v="74"/>
    <x v="77"/>
    <x v="64"/>
    <x v="93"/>
    <x v="75"/>
  </r>
  <r>
    <x v="0"/>
    <x v="1"/>
    <x v="8"/>
    <x v="0"/>
    <x v="41"/>
    <x v="1"/>
    <x v="1"/>
    <x v="3"/>
    <x v="3"/>
    <x v="1"/>
    <x v="3"/>
    <x v="2"/>
    <x v="3"/>
    <x v="2"/>
    <x v="1"/>
    <x v="4"/>
    <x v="2"/>
  </r>
  <r>
    <x v="0"/>
    <x v="1"/>
    <x v="7"/>
    <x v="0"/>
    <x v="36"/>
    <x v="24"/>
    <x v="27"/>
    <x v="3"/>
    <x v="54"/>
    <x v="56"/>
    <x v="50"/>
    <x v="68"/>
    <x v="75"/>
    <x v="78"/>
    <x v="1"/>
    <x v="94"/>
    <x v="76"/>
  </r>
  <r>
    <x v="0"/>
    <x v="1"/>
    <x v="7"/>
    <x v="0"/>
    <x v="37"/>
    <x v="1"/>
    <x v="25"/>
    <x v="29"/>
    <x v="55"/>
    <x v="57"/>
    <x v="47"/>
    <x v="61"/>
    <x v="76"/>
    <x v="79"/>
    <x v="65"/>
    <x v="4"/>
    <x v="2"/>
  </r>
  <r>
    <x v="0"/>
    <x v="1"/>
    <x v="7"/>
    <x v="0"/>
    <x v="38"/>
    <x v="1"/>
    <x v="1"/>
    <x v="3"/>
    <x v="3"/>
    <x v="1"/>
    <x v="3"/>
    <x v="2"/>
    <x v="3"/>
    <x v="2"/>
    <x v="1"/>
    <x v="4"/>
    <x v="2"/>
  </r>
  <r>
    <x v="0"/>
    <x v="1"/>
    <x v="7"/>
    <x v="5"/>
    <x v="8"/>
    <x v="24"/>
    <x v="1"/>
    <x v="3"/>
    <x v="3"/>
    <x v="1"/>
    <x v="50"/>
    <x v="69"/>
    <x v="77"/>
    <x v="80"/>
    <x v="1"/>
    <x v="95"/>
    <x v="2"/>
  </r>
  <r>
    <x v="0"/>
    <x v="1"/>
    <x v="7"/>
    <x v="5"/>
    <x v="9"/>
    <x v="1"/>
    <x v="1"/>
    <x v="3"/>
    <x v="56"/>
    <x v="47"/>
    <x v="3"/>
    <x v="70"/>
    <x v="78"/>
    <x v="2"/>
    <x v="1"/>
    <x v="96"/>
    <x v="76"/>
  </r>
  <r>
    <x v="0"/>
    <x v="1"/>
    <x v="7"/>
    <x v="5"/>
    <x v="10"/>
    <x v="1"/>
    <x v="1"/>
    <x v="3"/>
    <x v="57"/>
    <x v="58"/>
    <x v="3"/>
    <x v="2"/>
    <x v="3"/>
    <x v="81"/>
    <x v="1"/>
    <x v="97"/>
    <x v="2"/>
  </r>
  <r>
    <x v="0"/>
    <x v="1"/>
    <x v="7"/>
    <x v="5"/>
    <x v="11"/>
    <x v="1"/>
    <x v="27"/>
    <x v="3"/>
    <x v="3"/>
    <x v="1"/>
    <x v="3"/>
    <x v="2"/>
    <x v="3"/>
    <x v="2"/>
    <x v="1"/>
    <x v="4"/>
    <x v="2"/>
  </r>
  <r>
    <x v="0"/>
    <x v="1"/>
    <x v="7"/>
    <x v="5"/>
    <x v="12"/>
    <x v="1"/>
    <x v="1"/>
    <x v="3"/>
    <x v="3"/>
    <x v="1"/>
    <x v="3"/>
    <x v="2"/>
    <x v="3"/>
    <x v="2"/>
    <x v="1"/>
    <x v="4"/>
    <x v="2"/>
  </r>
  <r>
    <x v="0"/>
    <x v="1"/>
    <x v="7"/>
    <x v="6"/>
    <x v="8"/>
    <x v="1"/>
    <x v="1"/>
    <x v="3"/>
    <x v="55"/>
    <x v="59"/>
    <x v="3"/>
    <x v="2"/>
    <x v="3"/>
    <x v="82"/>
    <x v="65"/>
    <x v="4"/>
    <x v="2"/>
  </r>
  <r>
    <x v="0"/>
    <x v="1"/>
    <x v="7"/>
    <x v="6"/>
    <x v="9"/>
    <x v="1"/>
    <x v="25"/>
    <x v="29"/>
    <x v="3"/>
    <x v="60"/>
    <x v="47"/>
    <x v="61"/>
    <x v="3"/>
    <x v="83"/>
    <x v="1"/>
    <x v="4"/>
    <x v="2"/>
  </r>
  <r>
    <x v="0"/>
    <x v="1"/>
    <x v="7"/>
    <x v="6"/>
    <x v="10"/>
    <x v="1"/>
    <x v="1"/>
    <x v="3"/>
    <x v="3"/>
    <x v="61"/>
    <x v="3"/>
    <x v="2"/>
    <x v="76"/>
    <x v="2"/>
    <x v="1"/>
    <x v="4"/>
    <x v="2"/>
  </r>
  <r>
    <x v="0"/>
    <x v="1"/>
    <x v="7"/>
    <x v="6"/>
    <x v="11"/>
    <x v="1"/>
    <x v="1"/>
    <x v="3"/>
    <x v="3"/>
    <x v="1"/>
    <x v="3"/>
    <x v="2"/>
    <x v="3"/>
    <x v="2"/>
    <x v="1"/>
    <x v="4"/>
    <x v="2"/>
  </r>
  <r>
    <x v="0"/>
    <x v="1"/>
    <x v="7"/>
    <x v="6"/>
    <x v="12"/>
    <x v="1"/>
    <x v="1"/>
    <x v="3"/>
    <x v="3"/>
    <x v="1"/>
    <x v="3"/>
    <x v="2"/>
    <x v="3"/>
    <x v="2"/>
    <x v="1"/>
    <x v="4"/>
    <x v="2"/>
  </r>
  <r>
    <x v="0"/>
    <x v="1"/>
    <x v="8"/>
    <x v="0"/>
    <x v="27"/>
    <x v="13"/>
    <x v="28"/>
    <x v="30"/>
    <x v="58"/>
    <x v="62"/>
    <x v="51"/>
    <x v="71"/>
    <x v="79"/>
    <x v="84"/>
    <x v="66"/>
    <x v="98"/>
    <x v="77"/>
  </r>
  <r>
    <x v="0"/>
    <x v="1"/>
    <x v="8"/>
    <x v="1"/>
    <x v="1"/>
    <x v="1"/>
    <x v="1"/>
    <x v="22"/>
    <x v="59"/>
    <x v="63"/>
    <x v="52"/>
    <x v="72"/>
    <x v="80"/>
    <x v="85"/>
    <x v="67"/>
    <x v="99"/>
    <x v="78"/>
  </r>
  <r>
    <x v="0"/>
    <x v="1"/>
    <x v="8"/>
    <x v="1"/>
    <x v="2"/>
    <x v="14"/>
    <x v="29"/>
    <x v="31"/>
    <x v="60"/>
    <x v="64"/>
    <x v="53"/>
    <x v="73"/>
    <x v="81"/>
    <x v="86"/>
    <x v="68"/>
    <x v="100"/>
    <x v="79"/>
  </r>
  <r>
    <x v="0"/>
    <x v="1"/>
    <x v="8"/>
    <x v="1"/>
    <x v="3"/>
    <x v="1"/>
    <x v="1"/>
    <x v="3"/>
    <x v="3"/>
    <x v="28"/>
    <x v="54"/>
    <x v="74"/>
    <x v="82"/>
    <x v="87"/>
    <x v="69"/>
    <x v="101"/>
    <x v="80"/>
  </r>
  <r>
    <x v="0"/>
    <x v="1"/>
    <x v="8"/>
    <x v="1"/>
    <x v="4"/>
    <x v="15"/>
    <x v="30"/>
    <x v="32"/>
    <x v="61"/>
    <x v="65"/>
    <x v="55"/>
    <x v="75"/>
    <x v="83"/>
    <x v="88"/>
    <x v="70"/>
    <x v="102"/>
    <x v="81"/>
  </r>
  <r>
    <x v="0"/>
    <x v="1"/>
    <x v="8"/>
    <x v="1"/>
    <x v="5"/>
    <x v="16"/>
    <x v="31"/>
    <x v="33"/>
    <x v="62"/>
    <x v="66"/>
    <x v="56"/>
    <x v="76"/>
    <x v="84"/>
    <x v="89"/>
    <x v="71"/>
    <x v="103"/>
    <x v="82"/>
  </r>
  <r>
    <x v="0"/>
    <x v="1"/>
    <x v="8"/>
    <x v="1"/>
    <x v="6"/>
    <x v="1"/>
    <x v="1"/>
    <x v="3"/>
    <x v="3"/>
    <x v="1"/>
    <x v="39"/>
    <x v="77"/>
    <x v="85"/>
    <x v="90"/>
    <x v="72"/>
    <x v="104"/>
    <x v="83"/>
  </r>
  <r>
    <x v="0"/>
    <x v="1"/>
    <x v="8"/>
    <x v="1"/>
    <x v="7"/>
    <x v="17"/>
    <x v="32"/>
    <x v="34"/>
    <x v="63"/>
    <x v="67"/>
    <x v="57"/>
    <x v="78"/>
    <x v="86"/>
    <x v="91"/>
    <x v="73"/>
    <x v="105"/>
    <x v="84"/>
  </r>
  <r>
    <x v="0"/>
    <x v="1"/>
    <x v="8"/>
    <x v="11"/>
    <x v="1"/>
    <x v="1"/>
    <x v="1"/>
    <x v="35"/>
    <x v="64"/>
    <x v="68"/>
    <x v="58"/>
    <x v="79"/>
    <x v="87"/>
    <x v="92"/>
    <x v="74"/>
    <x v="106"/>
    <x v="85"/>
  </r>
  <r>
    <x v="0"/>
    <x v="1"/>
    <x v="8"/>
    <x v="11"/>
    <x v="2"/>
    <x v="25"/>
    <x v="33"/>
    <x v="36"/>
    <x v="65"/>
    <x v="69"/>
    <x v="59"/>
    <x v="80"/>
    <x v="88"/>
    <x v="93"/>
    <x v="75"/>
    <x v="107"/>
    <x v="86"/>
  </r>
  <r>
    <x v="0"/>
    <x v="1"/>
    <x v="8"/>
    <x v="11"/>
    <x v="3"/>
    <x v="1"/>
    <x v="1"/>
    <x v="3"/>
    <x v="3"/>
    <x v="70"/>
    <x v="60"/>
    <x v="81"/>
    <x v="89"/>
    <x v="94"/>
    <x v="76"/>
    <x v="108"/>
    <x v="87"/>
  </r>
  <r>
    <x v="0"/>
    <x v="1"/>
    <x v="8"/>
    <x v="11"/>
    <x v="4"/>
    <x v="26"/>
    <x v="34"/>
    <x v="37"/>
    <x v="66"/>
    <x v="71"/>
    <x v="61"/>
    <x v="82"/>
    <x v="90"/>
    <x v="95"/>
    <x v="77"/>
    <x v="109"/>
    <x v="88"/>
  </r>
  <r>
    <x v="0"/>
    <x v="1"/>
    <x v="8"/>
    <x v="11"/>
    <x v="5"/>
    <x v="27"/>
    <x v="35"/>
    <x v="38"/>
    <x v="67"/>
    <x v="72"/>
    <x v="62"/>
    <x v="83"/>
    <x v="91"/>
    <x v="96"/>
    <x v="78"/>
    <x v="110"/>
    <x v="89"/>
  </r>
  <r>
    <x v="0"/>
    <x v="1"/>
    <x v="8"/>
    <x v="11"/>
    <x v="6"/>
    <x v="1"/>
    <x v="1"/>
    <x v="3"/>
    <x v="3"/>
    <x v="1"/>
    <x v="63"/>
    <x v="84"/>
    <x v="92"/>
    <x v="97"/>
    <x v="79"/>
    <x v="111"/>
    <x v="90"/>
  </r>
  <r>
    <x v="0"/>
    <x v="1"/>
    <x v="8"/>
    <x v="11"/>
    <x v="7"/>
    <x v="28"/>
    <x v="36"/>
    <x v="39"/>
    <x v="68"/>
    <x v="73"/>
    <x v="64"/>
    <x v="85"/>
    <x v="93"/>
    <x v="98"/>
    <x v="80"/>
    <x v="112"/>
    <x v="91"/>
  </r>
  <r>
    <x v="0"/>
    <x v="1"/>
    <x v="8"/>
    <x v="2"/>
    <x v="8"/>
    <x v="13"/>
    <x v="37"/>
    <x v="40"/>
    <x v="69"/>
    <x v="74"/>
    <x v="65"/>
    <x v="86"/>
    <x v="94"/>
    <x v="99"/>
    <x v="81"/>
    <x v="113"/>
    <x v="92"/>
  </r>
  <r>
    <x v="0"/>
    <x v="1"/>
    <x v="8"/>
    <x v="2"/>
    <x v="9"/>
    <x v="1"/>
    <x v="16"/>
    <x v="41"/>
    <x v="70"/>
    <x v="75"/>
    <x v="66"/>
    <x v="87"/>
    <x v="95"/>
    <x v="100"/>
    <x v="82"/>
    <x v="114"/>
    <x v="93"/>
  </r>
  <r>
    <x v="0"/>
    <x v="1"/>
    <x v="8"/>
    <x v="2"/>
    <x v="10"/>
    <x v="1"/>
    <x v="1"/>
    <x v="3"/>
    <x v="36"/>
    <x v="76"/>
    <x v="67"/>
    <x v="88"/>
    <x v="96"/>
    <x v="101"/>
    <x v="83"/>
    <x v="115"/>
    <x v="94"/>
  </r>
  <r>
    <x v="0"/>
    <x v="1"/>
    <x v="8"/>
    <x v="2"/>
    <x v="11"/>
    <x v="1"/>
    <x v="17"/>
    <x v="42"/>
    <x v="71"/>
    <x v="77"/>
    <x v="68"/>
    <x v="89"/>
    <x v="97"/>
    <x v="102"/>
    <x v="84"/>
    <x v="116"/>
    <x v="95"/>
  </r>
  <r>
    <x v="0"/>
    <x v="1"/>
    <x v="8"/>
    <x v="2"/>
    <x v="12"/>
    <x v="1"/>
    <x v="1"/>
    <x v="3"/>
    <x v="3"/>
    <x v="1"/>
    <x v="3"/>
    <x v="2"/>
    <x v="3"/>
    <x v="2"/>
    <x v="1"/>
    <x v="4"/>
    <x v="2"/>
  </r>
  <r>
    <x v="0"/>
    <x v="1"/>
    <x v="8"/>
    <x v="11"/>
    <x v="8"/>
    <x v="3"/>
    <x v="38"/>
    <x v="43"/>
    <x v="72"/>
    <x v="78"/>
    <x v="69"/>
    <x v="90"/>
    <x v="98"/>
    <x v="103"/>
    <x v="85"/>
    <x v="117"/>
    <x v="96"/>
  </r>
  <r>
    <x v="0"/>
    <x v="1"/>
    <x v="8"/>
    <x v="11"/>
    <x v="9"/>
    <x v="1"/>
    <x v="39"/>
    <x v="44"/>
    <x v="73"/>
    <x v="79"/>
    <x v="70"/>
    <x v="91"/>
    <x v="99"/>
    <x v="104"/>
    <x v="86"/>
    <x v="118"/>
    <x v="97"/>
  </r>
  <r>
    <x v="0"/>
    <x v="1"/>
    <x v="8"/>
    <x v="11"/>
    <x v="10"/>
    <x v="1"/>
    <x v="1"/>
    <x v="3"/>
    <x v="74"/>
    <x v="80"/>
    <x v="71"/>
    <x v="92"/>
    <x v="100"/>
    <x v="105"/>
    <x v="87"/>
    <x v="119"/>
    <x v="98"/>
  </r>
  <r>
    <x v="0"/>
    <x v="1"/>
    <x v="8"/>
    <x v="11"/>
    <x v="11"/>
    <x v="1"/>
    <x v="40"/>
    <x v="45"/>
    <x v="75"/>
    <x v="81"/>
    <x v="72"/>
    <x v="93"/>
    <x v="101"/>
    <x v="106"/>
    <x v="88"/>
    <x v="120"/>
    <x v="99"/>
  </r>
  <r>
    <x v="0"/>
    <x v="1"/>
    <x v="8"/>
    <x v="11"/>
    <x v="12"/>
    <x v="1"/>
    <x v="1"/>
    <x v="3"/>
    <x v="3"/>
    <x v="1"/>
    <x v="3"/>
    <x v="2"/>
    <x v="3"/>
    <x v="2"/>
    <x v="1"/>
    <x v="4"/>
    <x v="2"/>
  </r>
  <r>
    <x v="0"/>
    <x v="1"/>
    <x v="9"/>
    <x v="0"/>
    <x v="27"/>
    <x v="19"/>
    <x v="41"/>
    <x v="46"/>
    <x v="76"/>
    <x v="82"/>
    <x v="73"/>
    <x v="94"/>
    <x v="102"/>
    <x v="107"/>
    <x v="89"/>
    <x v="121"/>
    <x v="100"/>
  </r>
  <r>
    <x v="0"/>
    <x v="1"/>
    <x v="9"/>
    <x v="1"/>
    <x v="1"/>
    <x v="1"/>
    <x v="1"/>
    <x v="25"/>
    <x v="77"/>
    <x v="83"/>
    <x v="74"/>
    <x v="95"/>
    <x v="103"/>
    <x v="108"/>
    <x v="90"/>
    <x v="122"/>
    <x v="101"/>
  </r>
  <r>
    <x v="0"/>
    <x v="1"/>
    <x v="9"/>
    <x v="1"/>
    <x v="2"/>
    <x v="14"/>
    <x v="29"/>
    <x v="31"/>
    <x v="78"/>
    <x v="84"/>
    <x v="75"/>
    <x v="96"/>
    <x v="104"/>
    <x v="109"/>
    <x v="91"/>
    <x v="123"/>
    <x v="102"/>
  </r>
  <r>
    <x v="0"/>
    <x v="1"/>
    <x v="9"/>
    <x v="1"/>
    <x v="3"/>
    <x v="1"/>
    <x v="1"/>
    <x v="3"/>
    <x v="3"/>
    <x v="41"/>
    <x v="76"/>
    <x v="97"/>
    <x v="105"/>
    <x v="110"/>
    <x v="92"/>
    <x v="124"/>
    <x v="103"/>
  </r>
  <r>
    <x v="0"/>
    <x v="1"/>
    <x v="9"/>
    <x v="1"/>
    <x v="4"/>
    <x v="20"/>
    <x v="42"/>
    <x v="47"/>
    <x v="79"/>
    <x v="85"/>
    <x v="77"/>
    <x v="98"/>
    <x v="106"/>
    <x v="111"/>
    <x v="93"/>
    <x v="125"/>
    <x v="104"/>
  </r>
  <r>
    <x v="0"/>
    <x v="1"/>
    <x v="9"/>
    <x v="1"/>
    <x v="5"/>
    <x v="21"/>
    <x v="43"/>
    <x v="48"/>
    <x v="80"/>
    <x v="86"/>
    <x v="78"/>
    <x v="99"/>
    <x v="107"/>
    <x v="112"/>
    <x v="94"/>
    <x v="126"/>
    <x v="105"/>
  </r>
  <r>
    <x v="0"/>
    <x v="1"/>
    <x v="9"/>
    <x v="1"/>
    <x v="6"/>
    <x v="1"/>
    <x v="1"/>
    <x v="3"/>
    <x v="3"/>
    <x v="1"/>
    <x v="39"/>
    <x v="77"/>
    <x v="85"/>
    <x v="90"/>
    <x v="72"/>
    <x v="104"/>
    <x v="83"/>
  </r>
  <r>
    <x v="0"/>
    <x v="1"/>
    <x v="9"/>
    <x v="1"/>
    <x v="7"/>
    <x v="22"/>
    <x v="44"/>
    <x v="49"/>
    <x v="81"/>
    <x v="87"/>
    <x v="79"/>
    <x v="100"/>
    <x v="108"/>
    <x v="113"/>
    <x v="95"/>
    <x v="127"/>
    <x v="106"/>
  </r>
  <r>
    <x v="0"/>
    <x v="1"/>
    <x v="9"/>
    <x v="11"/>
    <x v="1"/>
    <x v="1"/>
    <x v="1"/>
    <x v="50"/>
    <x v="82"/>
    <x v="88"/>
    <x v="80"/>
    <x v="101"/>
    <x v="109"/>
    <x v="114"/>
    <x v="96"/>
    <x v="128"/>
    <x v="107"/>
  </r>
  <r>
    <x v="0"/>
    <x v="1"/>
    <x v="9"/>
    <x v="11"/>
    <x v="2"/>
    <x v="29"/>
    <x v="45"/>
    <x v="51"/>
    <x v="83"/>
    <x v="89"/>
    <x v="81"/>
    <x v="102"/>
    <x v="110"/>
    <x v="115"/>
    <x v="97"/>
    <x v="129"/>
    <x v="108"/>
  </r>
  <r>
    <x v="0"/>
    <x v="1"/>
    <x v="9"/>
    <x v="11"/>
    <x v="3"/>
    <x v="1"/>
    <x v="1"/>
    <x v="3"/>
    <x v="3"/>
    <x v="90"/>
    <x v="82"/>
    <x v="103"/>
    <x v="111"/>
    <x v="116"/>
    <x v="98"/>
    <x v="130"/>
    <x v="109"/>
  </r>
  <r>
    <x v="0"/>
    <x v="1"/>
    <x v="9"/>
    <x v="11"/>
    <x v="4"/>
    <x v="30"/>
    <x v="46"/>
    <x v="52"/>
    <x v="84"/>
    <x v="91"/>
    <x v="83"/>
    <x v="104"/>
    <x v="112"/>
    <x v="117"/>
    <x v="99"/>
    <x v="131"/>
    <x v="110"/>
  </r>
  <r>
    <x v="0"/>
    <x v="1"/>
    <x v="9"/>
    <x v="11"/>
    <x v="5"/>
    <x v="31"/>
    <x v="47"/>
    <x v="53"/>
    <x v="85"/>
    <x v="92"/>
    <x v="84"/>
    <x v="105"/>
    <x v="113"/>
    <x v="118"/>
    <x v="100"/>
    <x v="132"/>
    <x v="111"/>
  </r>
  <r>
    <x v="0"/>
    <x v="1"/>
    <x v="9"/>
    <x v="11"/>
    <x v="6"/>
    <x v="1"/>
    <x v="1"/>
    <x v="3"/>
    <x v="3"/>
    <x v="1"/>
    <x v="85"/>
    <x v="106"/>
    <x v="114"/>
    <x v="119"/>
    <x v="101"/>
    <x v="133"/>
    <x v="112"/>
  </r>
  <r>
    <x v="0"/>
    <x v="1"/>
    <x v="9"/>
    <x v="11"/>
    <x v="7"/>
    <x v="32"/>
    <x v="48"/>
    <x v="54"/>
    <x v="86"/>
    <x v="93"/>
    <x v="86"/>
    <x v="107"/>
    <x v="115"/>
    <x v="120"/>
    <x v="102"/>
    <x v="134"/>
    <x v="113"/>
  </r>
  <r>
    <x v="0"/>
    <x v="1"/>
    <x v="9"/>
    <x v="2"/>
    <x v="8"/>
    <x v="19"/>
    <x v="49"/>
    <x v="55"/>
    <x v="87"/>
    <x v="94"/>
    <x v="87"/>
    <x v="108"/>
    <x v="116"/>
    <x v="121"/>
    <x v="103"/>
    <x v="135"/>
    <x v="114"/>
  </r>
  <r>
    <x v="0"/>
    <x v="1"/>
    <x v="9"/>
    <x v="2"/>
    <x v="9"/>
    <x v="1"/>
    <x v="16"/>
    <x v="56"/>
    <x v="88"/>
    <x v="95"/>
    <x v="88"/>
    <x v="109"/>
    <x v="117"/>
    <x v="122"/>
    <x v="104"/>
    <x v="136"/>
    <x v="115"/>
  </r>
  <r>
    <x v="0"/>
    <x v="1"/>
    <x v="9"/>
    <x v="2"/>
    <x v="10"/>
    <x v="1"/>
    <x v="1"/>
    <x v="3"/>
    <x v="46"/>
    <x v="96"/>
    <x v="89"/>
    <x v="110"/>
    <x v="118"/>
    <x v="123"/>
    <x v="105"/>
    <x v="137"/>
    <x v="116"/>
  </r>
  <r>
    <x v="0"/>
    <x v="1"/>
    <x v="9"/>
    <x v="2"/>
    <x v="11"/>
    <x v="1"/>
    <x v="23"/>
    <x v="57"/>
    <x v="89"/>
    <x v="97"/>
    <x v="90"/>
    <x v="111"/>
    <x v="119"/>
    <x v="124"/>
    <x v="106"/>
    <x v="138"/>
    <x v="117"/>
  </r>
  <r>
    <x v="0"/>
    <x v="1"/>
    <x v="9"/>
    <x v="2"/>
    <x v="12"/>
    <x v="1"/>
    <x v="1"/>
    <x v="3"/>
    <x v="3"/>
    <x v="1"/>
    <x v="3"/>
    <x v="2"/>
    <x v="3"/>
    <x v="2"/>
    <x v="1"/>
    <x v="4"/>
    <x v="2"/>
  </r>
  <r>
    <x v="0"/>
    <x v="1"/>
    <x v="9"/>
    <x v="11"/>
    <x v="8"/>
    <x v="3"/>
    <x v="50"/>
    <x v="58"/>
    <x v="90"/>
    <x v="98"/>
    <x v="91"/>
    <x v="112"/>
    <x v="120"/>
    <x v="125"/>
    <x v="107"/>
    <x v="139"/>
    <x v="118"/>
  </r>
  <r>
    <x v="0"/>
    <x v="1"/>
    <x v="9"/>
    <x v="11"/>
    <x v="9"/>
    <x v="1"/>
    <x v="51"/>
    <x v="59"/>
    <x v="91"/>
    <x v="99"/>
    <x v="92"/>
    <x v="113"/>
    <x v="121"/>
    <x v="126"/>
    <x v="108"/>
    <x v="140"/>
    <x v="119"/>
  </r>
  <r>
    <x v="0"/>
    <x v="1"/>
    <x v="9"/>
    <x v="11"/>
    <x v="10"/>
    <x v="1"/>
    <x v="1"/>
    <x v="3"/>
    <x v="92"/>
    <x v="100"/>
    <x v="93"/>
    <x v="114"/>
    <x v="122"/>
    <x v="127"/>
    <x v="109"/>
    <x v="141"/>
    <x v="120"/>
  </r>
  <r>
    <x v="0"/>
    <x v="1"/>
    <x v="9"/>
    <x v="11"/>
    <x v="11"/>
    <x v="1"/>
    <x v="52"/>
    <x v="60"/>
    <x v="93"/>
    <x v="101"/>
    <x v="94"/>
    <x v="115"/>
    <x v="123"/>
    <x v="128"/>
    <x v="110"/>
    <x v="142"/>
    <x v="121"/>
  </r>
  <r>
    <x v="0"/>
    <x v="1"/>
    <x v="9"/>
    <x v="11"/>
    <x v="12"/>
    <x v="1"/>
    <x v="1"/>
    <x v="3"/>
    <x v="3"/>
    <x v="1"/>
    <x v="3"/>
    <x v="2"/>
    <x v="3"/>
    <x v="2"/>
    <x v="1"/>
    <x v="4"/>
    <x v="2"/>
  </r>
  <r>
    <x v="0"/>
    <x v="1"/>
    <x v="8"/>
    <x v="0"/>
    <x v="30"/>
    <x v="23"/>
    <x v="53"/>
    <x v="61"/>
    <x v="94"/>
    <x v="102"/>
    <x v="95"/>
    <x v="116"/>
    <x v="124"/>
    <x v="129"/>
    <x v="111"/>
    <x v="143"/>
    <x v="122"/>
  </r>
  <r>
    <x v="0"/>
    <x v="1"/>
    <x v="8"/>
    <x v="0"/>
    <x v="31"/>
    <x v="1"/>
    <x v="25"/>
    <x v="62"/>
    <x v="95"/>
    <x v="103"/>
    <x v="96"/>
    <x v="117"/>
    <x v="125"/>
    <x v="130"/>
    <x v="112"/>
    <x v="144"/>
    <x v="123"/>
  </r>
  <r>
    <x v="0"/>
    <x v="1"/>
    <x v="8"/>
    <x v="14"/>
    <x v="8"/>
    <x v="23"/>
    <x v="54"/>
    <x v="63"/>
    <x v="96"/>
    <x v="104"/>
    <x v="97"/>
    <x v="118"/>
    <x v="126"/>
    <x v="131"/>
    <x v="113"/>
    <x v="145"/>
    <x v="124"/>
  </r>
  <r>
    <x v="0"/>
    <x v="1"/>
    <x v="8"/>
    <x v="14"/>
    <x v="9"/>
    <x v="1"/>
    <x v="1"/>
    <x v="3"/>
    <x v="49"/>
    <x v="105"/>
    <x v="98"/>
    <x v="119"/>
    <x v="127"/>
    <x v="132"/>
    <x v="114"/>
    <x v="146"/>
    <x v="125"/>
  </r>
  <r>
    <x v="0"/>
    <x v="1"/>
    <x v="8"/>
    <x v="14"/>
    <x v="10"/>
    <x v="1"/>
    <x v="1"/>
    <x v="3"/>
    <x v="50"/>
    <x v="106"/>
    <x v="99"/>
    <x v="120"/>
    <x v="128"/>
    <x v="133"/>
    <x v="115"/>
    <x v="147"/>
    <x v="126"/>
  </r>
  <r>
    <x v="0"/>
    <x v="1"/>
    <x v="8"/>
    <x v="14"/>
    <x v="11"/>
    <x v="1"/>
    <x v="24"/>
    <x v="64"/>
    <x v="97"/>
    <x v="107"/>
    <x v="100"/>
    <x v="121"/>
    <x v="129"/>
    <x v="134"/>
    <x v="116"/>
    <x v="148"/>
    <x v="127"/>
  </r>
  <r>
    <x v="0"/>
    <x v="1"/>
    <x v="8"/>
    <x v="14"/>
    <x v="12"/>
    <x v="1"/>
    <x v="1"/>
    <x v="3"/>
    <x v="3"/>
    <x v="1"/>
    <x v="3"/>
    <x v="2"/>
    <x v="3"/>
    <x v="2"/>
    <x v="1"/>
    <x v="4"/>
    <x v="2"/>
  </r>
  <r>
    <x v="0"/>
    <x v="1"/>
    <x v="8"/>
    <x v="15"/>
    <x v="8"/>
    <x v="1"/>
    <x v="1"/>
    <x v="3"/>
    <x v="48"/>
    <x v="108"/>
    <x v="101"/>
    <x v="122"/>
    <x v="130"/>
    <x v="135"/>
    <x v="117"/>
    <x v="149"/>
    <x v="128"/>
  </r>
  <r>
    <x v="0"/>
    <x v="1"/>
    <x v="8"/>
    <x v="15"/>
    <x v="9"/>
    <x v="1"/>
    <x v="25"/>
    <x v="62"/>
    <x v="98"/>
    <x v="109"/>
    <x v="102"/>
    <x v="123"/>
    <x v="131"/>
    <x v="136"/>
    <x v="118"/>
    <x v="150"/>
    <x v="129"/>
  </r>
  <r>
    <x v="0"/>
    <x v="1"/>
    <x v="8"/>
    <x v="15"/>
    <x v="10"/>
    <x v="1"/>
    <x v="1"/>
    <x v="3"/>
    <x v="3"/>
    <x v="51"/>
    <x v="103"/>
    <x v="124"/>
    <x v="132"/>
    <x v="137"/>
    <x v="119"/>
    <x v="151"/>
    <x v="130"/>
  </r>
  <r>
    <x v="0"/>
    <x v="1"/>
    <x v="8"/>
    <x v="15"/>
    <x v="11"/>
    <x v="1"/>
    <x v="1"/>
    <x v="3"/>
    <x v="3"/>
    <x v="1"/>
    <x v="3"/>
    <x v="2"/>
    <x v="3"/>
    <x v="2"/>
    <x v="1"/>
    <x v="4"/>
    <x v="2"/>
  </r>
  <r>
    <x v="0"/>
    <x v="1"/>
    <x v="8"/>
    <x v="15"/>
    <x v="12"/>
    <x v="1"/>
    <x v="1"/>
    <x v="3"/>
    <x v="3"/>
    <x v="1"/>
    <x v="3"/>
    <x v="2"/>
    <x v="3"/>
    <x v="2"/>
    <x v="1"/>
    <x v="4"/>
    <x v="2"/>
  </r>
  <r>
    <x v="0"/>
    <x v="1"/>
    <x v="9"/>
    <x v="0"/>
    <x v="30"/>
    <x v="24"/>
    <x v="55"/>
    <x v="65"/>
    <x v="99"/>
    <x v="110"/>
    <x v="104"/>
    <x v="125"/>
    <x v="133"/>
    <x v="138"/>
    <x v="120"/>
    <x v="152"/>
    <x v="131"/>
  </r>
  <r>
    <x v="0"/>
    <x v="1"/>
    <x v="9"/>
    <x v="0"/>
    <x v="31"/>
    <x v="1"/>
    <x v="25"/>
    <x v="66"/>
    <x v="100"/>
    <x v="111"/>
    <x v="105"/>
    <x v="126"/>
    <x v="134"/>
    <x v="139"/>
    <x v="121"/>
    <x v="153"/>
    <x v="132"/>
  </r>
  <r>
    <x v="0"/>
    <x v="1"/>
    <x v="9"/>
    <x v="14"/>
    <x v="8"/>
    <x v="24"/>
    <x v="56"/>
    <x v="67"/>
    <x v="101"/>
    <x v="112"/>
    <x v="106"/>
    <x v="127"/>
    <x v="135"/>
    <x v="140"/>
    <x v="122"/>
    <x v="154"/>
    <x v="133"/>
  </r>
  <r>
    <x v="0"/>
    <x v="1"/>
    <x v="9"/>
    <x v="14"/>
    <x v="9"/>
    <x v="1"/>
    <x v="1"/>
    <x v="3"/>
    <x v="56"/>
    <x v="113"/>
    <x v="107"/>
    <x v="128"/>
    <x v="136"/>
    <x v="141"/>
    <x v="123"/>
    <x v="155"/>
    <x v="134"/>
  </r>
  <r>
    <x v="0"/>
    <x v="1"/>
    <x v="9"/>
    <x v="14"/>
    <x v="10"/>
    <x v="1"/>
    <x v="1"/>
    <x v="3"/>
    <x v="57"/>
    <x v="114"/>
    <x v="108"/>
    <x v="129"/>
    <x v="137"/>
    <x v="142"/>
    <x v="124"/>
    <x v="156"/>
    <x v="135"/>
  </r>
  <r>
    <x v="0"/>
    <x v="1"/>
    <x v="9"/>
    <x v="14"/>
    <x v="11"/>
    <x v="1"/>
    <x v="27"/>
    <x v="68"/>
    <x v="102"/>
    <x v="115"/>
    <x v="109"/>
    <x v="130"/>
    <x v="138"/>
    <x v="143"/>
    <x v="125"/>
    <x v="157"/>
    <x v="136"/>
  </r>
  <r>
    <x v="0"/>
    <x v="1"/>
    <x v="9"/>
    <x v="14"/>
    <x v="12"/>
    <x v="1"/>
    <x v="1"/>
    <x v="3"/>
    <x v="3"/>
    <x v="1"/>
    <x v="3"/>
    <x v="2"/>
    <x v="3"/>
    <x v="2"/>
    <x v="1"/>
    <x v="4"/>
    <x v="2"/>
  </r>
  <r>
    <x v="0"/>
    <x v="1"/>
    <x v="9"/>
    <x v="15"/>
    <x v="8"/>
    <x v="1"/>
    <x v="1"/>
    <x v="3"/>
    <x v="55"/>
    <x v="116"/>
    <x v="110"/>
    <x v="131"/>
    <x v="139"/>
    <x v="144"/>
    <x v="126"/>
    <x v="158"/>
    <x v="137"/>
  </r>
  <r>
    <x v="0"/>
    <x v="1"/>
    <x v="9"/>
    <x v="15"/>
    <x v="9"/>
    <x v="1"/>
    <x v="25"/>
    <x v="66"/>
    <x v="103"/>
    <x v="117"/>
    <x v="111"/>
    <x v="132"/>
    <x v="140"/>
    <x v="145"/>
    <x v="127"/>
    <x v="159"/>
    <x v="138"/>
  </r>
  <r>
    <x v="0"/>
    <x v="1"/>
    <x v="9"/>
    <x v="15"/>
    <x v="10"/>
    <x v="1"/>
    <x v="1"/>
    <x v="3"/>
    <x v="3"/>
    <x v="61"/>
    <x v="112"/>
    <x v="133"/>
    <x v="141"/>
    <x v="146"/>
    <x v="128"/>
    <x v="160"/>
    <x v="139"/>
  </r>
  <r>
    <x v="0"/>
    <x v="1"/>
    <x v="9"/>
    <x v="15"/>
    <x v="11"/>
    <x v="1"/>
    <x v="1"/>
    <x v="3"/>
    <x v="3"/>
    <x v="1"/>
    <x v="3"/>
    <x v="2"/>
    <x v="3"/>
    <x v="2"/>
    <x v="1"/>
    <x v="4"/>
    <x v="2"/>
  </r>
  <r>
    <x v="0"/>
    <x v="1"/>
    <x v="9"/>
    <x v="15"/>
    <x v="12"/>
    <x v="1"/>
    <x v="1"/>
    <x v="3"/>
    <x v="3"/>
    <x v="1"/>
    <x v="3"/>
    <x v="2"/>
    <x v="3"/>
    <x v="2"/>
    <x v="1"/>
    <x v="4"/>
    <x v="2"/>
  </r>
  <r>
    <x v="1"/>
    <x v="0"/>
    <x v="0"/>
    <x v="0"/>
    <x v="0"/>
    <x v="3"/>
    <x v="1"/>
    <x v="3"/>
    <x v="3"/>
    <x v="1"/>
    <x v="3"/>
    <x v="2"/>
    <x v="1"/>
    <x v="5"/>
    <x v="3"/>
    <x v="1"/>
    <x v="5"/>
  </r>
  <r>
    <x v="1"/>
    <x v="0"/>
    <x v="0"/>
    <x v="1"/>
    <x v="1"/>
    <x v="1"/>
    <x v="1"/>
    <x v="3"/>
    <x v="3"/>
    <x v="1"/>
    <x v="3"/>
    <x v="2"/>
    <x v="2"/>
    <x v="5"/>
    <x v="1"/>
    <x v="4"/>
    <x v="0"/>
  </r>
  <r>
    <x v="1"/>
    <x v="0"/>
    <x v="0"/>
    <x v="1"/>
    <x v="2"/>
    <x v="3"/>
    <x v="1"/>
    <x v="3"/>
    <x v="3"/>
    <x v="1"/>
    <x v="3"/>
    <x v="2"/>
    <x v="3"/>
    <x v="2"/>
    <x v="3"/>
    <x v="2"/>
    <x v="2"/>
  </r>
  <r>
    <x v="1"/>
    <x v="0"/>
    <x v="0"/>
    <x v="1"/>
    <x v="3"/>
    <x v="1"/>
    <x v="1"/>
    <x v="3"/>
    <x v="3"/>
    <x v="1"/>
    <x v="3"/>
    <x v="2"/>
    <x v="3"/>
    <x v="2"/>
    <x v="1"/>
    <x v="4"/>
    <x v="1"/>
  </r>
  <r>
    <x v="1"/>
    <x v="0"/>
    <x v="0"/>
    <x v="1"/>
    <x v="4"/>
    <x v="1"/>
    <x v="1"/>
    <x v="3"/>
    <x v="3"/>
    <x v="1"/>
    <x v="3"/>
    <x v="2"/>
    <x v="2"/>
    <x v="2"/>
    <x v="1"/>
    <x v="2"/>
    <x v="1"/>
  </r>
  <r>
    <x v="1"/>
    <x v="0"/>
    <x v="0"/>
    <x v="1"/>
    <x v="5"/>
    <x v="1"/>
    <x v="1"/>
    <x v="3"/>
    <x v="3"/>
    <x v="1"/>
    <x v="3"/>
    <x v="2"/>
    <x v="3"/>
    <x v="2"/>
    <x v="1"/>
    <x v="4"/>
    <x v="2"/>
  </r>
  <r>
    <x v="1"/>
    <x v="0"/>
    <x v="0"/>
    <x v="1"/>
    <x v="6"/>
    <x v="1"/>
    <x v="1"/>
    <x v="3"/>
    <x v="3"/>
    <x v="1"/>
    <x v="3"/>
    <x v="2"/>
    <x v="3"/>
    <x v="2"/>
    <x v="1"/>
    <x v="4"/>
    <x v="2"/>
  </r>
  <r>
    <x v="1"/>
    <x v="0"/>
    <x v="0"/>
    <x v="1"/>
    <x v="7"/>
    <x v="1"/>
    <x v="1"/>
    <x v="3"/>
    <x v="3"/>
    <x v="1"/>
    <x v="3"/>
    <x v="2"/>
    <x v="3"/>
    <x v="2"/>
    <x v="1"/>
    <x v="4"/>
    <x v="2"/>
  </r>
  <r>
    <x v="1"/>
    <x v="0"/>
    <x v="0"/>
    <x v="2"/>
    <x v="8"/>
    <x v="3"/>
    <x v="1"/>
    <x v="3"/>
    <x v="3"/>
    <x v="1"/>
    <x v="3"/>
    <x v="2"/>
    <x v="2"/>
    <x v="5"/>
    <x v="1"/>
    <x v="1"/>
    <x v="1"/>
  </r>
  <r>
    <x v="1"/>
    <x v="0"/>
    <x v="0"/>
    <x v="2"/>
    <x v="9"/>
    <x v="1"/>
    <x v="1"/>
    <x v="3"/>
    <x v="3"/>
    <x v="1"/>
    <x v="3"/>
    <x v="2"/>
    <x v="2"/>
    <x v="2"/>
    <x v="3"/>
    <x v="4"/>
    <x v="0"/>
  </r>
  <r>
    <x v="1"/>
    <x v="0"/>
    <x v="0"/>
    <x v="2"/>
    <x v="10"/>
    <x v="1"/>
    <x v="1"/>
    <x v="3"/>
    <x v="3"/>
    <x v="1"/>
    <x v="3"/>
    <x v="2"/>
    <x v="3"/>
    <x v="2"/>
    <x v="1"/>
    <x v="4"/>
    <x v="1"/>
  </r>
  <r>
    <x v="1"/>
    <x v="0"/>
    <x v="0"/>
    <x v="2"/>
    <x v="11"/>
    <x v="1"/>
    <x v="1"/>
    <x v="3"/>
    <x v="3"/>
    <x v="1"/>
    <x v="3"/>
    <x v="2"/>
    <x v="3"/>
    <x v="2"/>
    <x v="1"/>
    <x v="4"/>
    <x v="2"/>
  </r>
  <r>
    <x v="1"/>
    <x v="0"/>
    <x v="0"/>
    <x v="2"/>
    <x v="12"/>
    <x v="1"/>
    <x v="1"/>
    <x v="3"/>
    <x v="3"/>
    <x v="1"/>
    <x v="3"/>
    <x v="2"/>
    <x v="3"/>
    <x v="2"/>
    <x v="1"/>
    <x v="4"/>
    <x v="2"/>
  </r>
  <r>
    <x v="1"/>
    <x v="0"/>
    <x v="0"/>
    <x v="0"/>
    <x v="13"/>
    <x v="3"/>
    <x v="1"/>
    <x v="3"/>
    <x v="3"/>
    <x v="1"/>
    <x v="3"/>
    <x v="2"/>
    <x v="1"/>
    <x v="5"/>
    <x v="3"/>
    <x v="2"/>
    <x v="4"/>
  </r>
  <r>
    <x v="1"/>
    <x v="0"/>
    <x v="0"/>
    <x v="3"/>
    <x v="1"/>
    <x v="1"/>
    <x v="1"/>
    <x v="3"/>
    <x v="3"/>
    <x v="1"/>
    <x v="3"/>
    <x v="2"/>
    <x v="2"/>
    <x v="5"/>
    <x v="1"/>
    <x v="4"/>
    <x v="0"/>
  </r>
  <r>
    <x v="1"/>
    <x v="0"/>
    <x v="0"/>
    <x v="3"/>
    <x v="2"/>
    <x v="3"/>
    <x v="1"/>
    <x v="3"/>
    <x v="3"/>
    <x v="1"/>
    <x v="3"/>
    <x v="2"/>
    <x v="2"/>
    <x v="2"/>
    <x v="3"/>
    <x v="2"/>
    <x v="2"/>
  </r>
  <r>
    <x v="1"/>
    <x v="0"/>
    <x v="0"/>
    <x v="3"/>
    <x v="3"/>
    <x v="1"/>
    <x v="1"/>
    <x v="3"/>
    <x v="3"/>
    <x v="1"/>
    <x v="3"/>
    <x v="2"/>
    <x v="3"/>
    <x v="2"/>
    <x v="1"/>
    <x v="4"/>
    <x v="1"/>
  </r>
  <r>
    <x v="1"/>
    <x v="0"/>
    <x v="0"/>
    <x v="0"/>
    <x v="14"/>
    <x v="3"/>
    <x v="1"/>
    <x v="3"/>
    <x v="3"/>
    <x v="1"/>
    <x v="3"/>
    <x v="2"/>
    <x v="1"/>
    <x v="2"/>
    <x v="1"/>
    <x v="1"/>
    <x v="4"/>
  </r>
  <r>
    <x v="1"/>
    <x v="0"/>
    <x v="0"/>
    <x v="4"/>
    <x v="4"/>
    <x v="1"/>
    <x v="1"/>
    <x v="3"/>
    <x v="3"/>
    <x v="1"/>
    <x v="3"/>
    <x v="2"/>
    <x v="2"/>
    <x v="2"/>
    <x v="1"/>
    <x v="1"/>
    <x v="0"/>
  </r>
  <r>
    <x v="1"/>
    <x v="0"/>
    <x v="0"/>
    <x v="4"/>
    <x v="5"/>
    <x v="1"/>
    <x v="1"/>
    <x v="3"/>
    <x v="3"/>
    <x v="1"/>
    <x v="3"/>
    <x v="2"/>
    <x v="3"/>
    <x v="2"/>
    <x v="1"/>
    <x v="4"/>
    <x v="1"/>
  </r>
  <r>
    <x v="1"/>
    <x v="0"/>
    <x v="0"/>
    <x v="4"/>
    <x v="6"/>
    <x v="1"/>
    <x v="1"/>
    <x v="3"/>
    <x v="3"/>
    <x v="1"/>
    <x v="3"/>
    <x v="2"/>
    <x v="3"/>
    <x v="2"/>
    <x v="1"/>
    <x v="4"/>
    <x v="2"/>
  </r>
  <r>
    <x v="1"/>
    <x v="0"/>
    <x v="0"/>
    <x v="4"/>
    <x v="7"/>
    <x v="3"/>
    <x v="1"/>
    <x v="3"/>
    <x v="3"/>
    <x v="1"/>
    <x v="3"/>
    <x v="2"/>
    <x v="2"/>
    <x v="2"/>
    <x v="1"/>
    <x v="4"/>
    <x v="2"/>
  </r>
  <r>
    <x v="1"/>
    <x v="1"/>
    <x v="0"/>
    <x v="0"/>
    <x v="15"/>
    <x v="1"/>
    <x v="0"/>
    <x v="3"/>
    <x v="3"/>
    <x v="1"/>
    <x v="3"/>
    <x v="2"/>
    <x v="3"/>
    <x v="5"/>
    <x v="5"/>
    <x v="4"/>
    <x v="2"/>
  </r>
  <r>
    <x v="1"/>
    <x v="1"/>
    <x v="0"/>
    <x v="1"/>
    <x v="1"/>
    <x v="1"/>
    <x v="1"/>
    <x v="3"/>
    <x v="3"/>
    <x v="1"/>
    <x v="3"/>
    <x v="2"/>
    <x v="3"/>
    <x v="2"/>
    <x v="4"/>
    <x v="4"/>
    <x v="2"/>
  </r>
  <r>
    <x v="1"/>
    <x v="1"/>
    <x v="0"/>
    <x v="1"/>
    <x v="2"/>
    <x v="1"/>
    <x v="0"/>
    <x v="3"/>
    <x v="3"/>
    <x v="1"/>
    <x v="3"/>
    <x v="2"/>
    <x v="3"/>
    <x v="2"/>
    <x v="3"/>
    <x v="4"/>
    <x v="2"/>
  </r>
  <r>
    <x v="1"/>
    <x v="1"/>
    <x v="0"/>
    <x v="1"/>
    <x v="3"/>
    <x v="1"/>
    <x v="1"/>
    <x v="3"/>
    <x v="3"/>
    <x v="1"/>
    <x v="3"/>
    <x v="2"/>
    <x v="3"/>
    <x v="2"/>
    <x v="1"/>
    <x v="4"/>
    <x v="2"/>
  </r>
  <r>
    <x v="1"/>
    <x v="1"/>
    <x v="0"/>
    <x v="1"/>
    <x v="4"/>
    <x v="1"/>
    <x v="1"/>
    <x v="3"/>
    <x v="3"/>
    <x v="1"/>
    <x v="3"/>
    <x v="2"/>
    <x v="3"/>
    <x v="5"/>
    <x v="1"/>
    <x v="4"/>
    <x v="2"/>
  </r>
  <r>
    <x v="1"/>
    <x v="1"/>
    <x v="0"/>
    <x v="1"/>
    <x v="5"/>
    <x v="1"/>
    <x v="1"/>
    <x v="3"/>
    <x v="3"/>
    <x v="1"/>
    <x v="3"/>
    <x v="2"/>
    <x v="3"/>
    <x v="2"/>
    <x v="1"/>
    <x v="4"/>
    <x v="2"/>
  </r>
  <r>
    <x v="1"/>
    <x v="1"/>
    <x v="0"/>
    <x v="1"/>
    <x v="6"/>
    <x v="1"/>
    <x v="1"/>
    <x v="3"/>
    <x v="3"/>
    <x v="1"/>
    <x v="3"/>
    <x v="2"/>
    <x v="3"/>
    <x v="2"/>
    <x v="1"/>
    <x v="4"/>
    <x v="2"/>
  </r>
  <r>
    <x v="1"/>
    <x v="1"/>
    <x v="0"/>
    <x v="1"/>
    <x v="7"/>
    <x v="1"/>
    <x v="1"/>
    <x v="3"/>
    <x v="3"/>
    <x v="1"/>
    <x v="3"/>
    <x v="2"/>
    <x v="3"/>
    <x v="2"/>
    <x v="1"/>
    <x v="4"/>
    <x v="2"/>
  </r>
  <r>
    <x v="1"/>
    <x v="1"/>
    <x v="0"/>
    <x v="2"/>
    <x v="8"/>
    <x v="1"/>
    <x v="0"/>
    <x v="3"/>
    <x v="3"/>
    <x v="1"/>
    <x v="3"/>
    <x v="2"/>
    <x v="3"/>
    <x v="5"/>
    <x v="3"/>
    <x v="4"/>
    <x v="2"/>
  </r>
  <r>
    <x v="1"/>
    <x v="1"/>
    <x v="0"/>
    <x v="2"/>
    <x v="9"/>
    <x v="1"/>
    <x v="1"/>
    <x v="3"/>
    <x v="3"/>
    <x v="1"/>
    <x v="3"/>
    <x v="2"/>
    <x v="3"/>
    <x v="2"/>
    <x v="4"/>
    <x v="4"/>
    <x v="2"/>
  </r>
  <r>
    <x v="1"/>
    <x v="1"/>
    <x v="0"/>
    <x v="2"/>
    <x v="10"/>
    <x v="1"/>
    <x v="1"/>
    <x v="3"/>
    <x v="3"/>
    <x v="1"/>
    <x v="3"/>
    <x v="2"/>
    <x v="3"/>
    <x v="2"/>
    <x v="1"/>
    <x v="4"/>
    <x v="2"/>
  </r>
  <r>
    <x v="1"/>
    <x v="1"/>
    <x v="0"/>
    <x v="2"/>
    <x v="11"/>
    <x v="1"/>
    <x v="1"/>
    <x v="3"/>
    <x v="3"/>
    <x v="1"/>
    <x v="3"/>
    <x v="2"/>
    <x v="3"/>
    <x v="2"/>
    <x v="1"/>
    <x v="4"/>
    <x v="2"/>
  </r>
  <r>
    <x v="1"/>
    <x v="1"/>
    <x v="0"/>
    <x v="2"/>
    <x v="12"/>
    <x v="1"/>
    <x v="1"/>
    <x v="3"/>
    <x v="3"/>
    <x v="1"/>
    <x v="3"/>
    <x v="2"/>
    <x v="3"/>
    <x v="2"/>
    <x v="1"/>
    <x v="4"/>
    <x v="2"/>
  </r>
  <r>
    <x v="1"/>
    <x v="1"/>
    <x v="0"/>
    <x v="0"/>
    <x v="16"/>
    <x v="1"/>
    <x v="1"/>
    <x v="3"/>
    <x v="3"/>
    <x v="1"/>
    <x v="3"/>
    <x v="2"/>
    <x v="3"/>
    <x v="2"/>
    <x v="5"/>
    <x v="4"/>
    <x v="2"/>
  </r>
  <r>
    <x v="1"/>
    <x v="1"/>
    <x v="0"/>
    <x v="0"/>
    <x v="17"/>
    <x v="1"/>
    <x v="0"/>
    <x v="3"/>
    <x v="3"/>
    <x v="1"/>
    <x v="3"/>
    <x v="2"/>
    <x v="3"/>
    <x v="5"/>
    <x v="1"/>
    <x v="4"/>
    <x v="2"/>
  </r>
  <r>
    <x v="1"/>
    <x v="1"/>
    <x v="0"/>
    <x v="0"/>
    <x v="18"/>
    <x v="1"/>
    <x v="1"/>
    <x v="3"/>
    <x v="3"/>
    <x v="1"/>
    <x v="3"/>
    <x v="2"/>
    <x v="3"/>
    <x v="2"/>
    <x v="1"/>
    <x v="4"/>
    <x v="2"/>
  </r>
  <r>
    <x v="1"/>
    <x v="1"/>
    <x v="0"/>
    <x v="5"/>
    <x v="8"/>
    <x v="1"/>
    <x v="1"/>
    <x v="3"/>
    <x v="3"/>
    <x v="1"/>
    <x v="3"/>
    <x v="2"/>
    <x v="3"/>
    <x v="2"/>
    <x v="3"/>
    <x v="4"/>
    <x v="2"/>
  </r>
  <r>
    <x v="1"/>
    <x v="1"/>
    <x v="0"/>
    <x v="5"/>
    <x v="9"/>
    <x v="1"/>
    <x v="1"/>
    <x v="3"/>
    <x v="3"/>
    <x v="1"/>
    <x v="3"/>
    <x v="2"/>
    <x v="3"/>
    <x v="2"/>
    <x v="4"/>
    <x v="4"/>
    <x v="2"/>
  </r>
  <r>
    <x v="1"/>
    <x v="1"/>
    <x v="0"/>
    <x v="5"/>
    <x v="10"/>
    <x v="1"/>
    <x v="1"/>
    <x v="3"/>
    <x v="3"/>
    <x v="1"/>
    <x v="3"/>
    <x v="2"/>
    <x v="3"/>
    <x v="2"/>
    <x v="1"/>
    <x v="4"/>
    <x v="2"/>
  </r>
  <r>
    <x v="1"/>
    <x v="1"/>
    <x v="0"/>
    <x v="5"/>
    <x v="11"/>
    <x v="1"/>
    <x v="1"/>
    <x v="3"/>
    <x v="3"/>
    <x v="1"/>
    <x v="3"/>
    <x v="2"/>
    <x v="3"/>
    <x v="2"/>
    <x v="1"/>
    <x v="4"/>
    <x v="2"/>
  </r>
  <r>
    <x v="1"/>
    <x v="1"/>
    <x v="0"/>
    <x v="5"/>
    <x v="12"/>
    <x v="1"/>
    <x v="1"/>
    <x v="3"/>
    <x v="3"/>
    <x v="1"/>
    <x v="3"/>
    <x v="2"/>
    <x v="3"/>
    <x v="2"/>
    <x v="1"/>
    <x v="4"/>
    <x v="2"/>
  </r>
  <r>
    <x v="1"/>
    <x v="1"/>
    <x v="0"/>
    <x v="6"/>
    <x v="8"/>
    <x v="1"/>
    <x v="0"/>
    <x v="3"/>
    <x v="3"/>
    <x v="1"/>
    <x v="3"/>
    <x v="2"/>
    <x v="3"/>
    <x v="5"/>
    <x v="1"/>
    <x v="4"/>
    <x v="2"/>
  </r>
  <r>
    <x v="1"/>
    <x v="1"/>
    <x v="0"/>
    <x v="6"/>
    <x v="9"/>
    <x v="1"/>
    <x v="1"/>
    <x v="3"/>
    <x v="3"/>
    <x v="1"/>
    <x v="3"/>
    <x v="2"/>
    <x v="3"/>
    <x v="2"/>
    <x v="1"/>
    <x v="4"/>
    <x v="2"/>
  </r>
  <r>
    <x v="1"/>
    <x v="1"/>
    <x v="0"/>
    <x v="6"/>
    <x v="10"/>
    <x v="1"/>
    <x v="1"/>
    <x v="3"/>
    <x v="3"/>
    <x v="1"/>
    <x v="3"/>
    <x v="2"/>
    <x v="3"/>
    <x v="2"/>
    <x v="1"/>
    <x v="4"/>
    <x v="2"/>
  </r>
  <r>
    <x v="1"/>
    <x v="1"/>
    <x v="0"/>
    <x v="6"/>
    <x v="11"/>
    <x v="1"/>
    <x v="1"/>
    <x v="3"/>
    <x v="3"/>
    <x v="1"/>
    <x v="3"/>
    <x v="2"/>
    <x v="3"/>
    <x v="2"/>
    <x v="1"/>
    <x v="4"/>
    <x v="2"/>
  </r>
  <r>
    <x v="1"/>
    <x v="1"/>
    <x v="0"/>
    <x v="6"/>
    <x v="12"/>
    <x v="1"/>
    <x v="1"/>
    <x v="3"/>
    <x v="3"/>
    <x v="1"/>
    <x v="3"/>
    <x v="2"/>
    <x v="3"/>
    <x v="2"/>
    <x v="1"/>
    <x v="4"/>
    <x v="2"/>
  </r>
  <r>
    <x v="1"/>
    <x v="1"/>
    <x v="0"/>
    <x v="7"/>
    <x v="8"/>
    <x v="1"/>
    <x v="1"/>
    <x v="3"/>
    <x v="3"/>
    <x v="1"/>
    <x v="3"/>
    <x v="2"/>
    <x v="3"/>
    <x v="2"/>
    <x v="1"/>
    <x v="4"/>
    <x v="2"/>
  </r>
  <r>
    <x v="1"/>
    <x v="1"/>
    <x v="0"/>
    <x v="7"/>
    <x v="9"/>
    <x v="1"/>
    <x v="1"/>
    <x v="3"/>
    <x v="3"/>
    <x v="1"/>
    <x v="3"/>
    <x v="2"/>
    <x v="3"/>
    <x v="2"/>
    <x v="1"/>
    <x v="4"/>
    <x v="2"/>
  </r>
  <r>
    <x v="1"/>
    <x v="1"/>
    <x v="0"/>
    <x v="7"/>
    <x v="10"/>
    <x v="1"/>
    <x v="1"/>
    <x v="3"/>
    <x v="3"/>
    <x v="1"/>
    <x v="3"/>
    <x v="2"/>
    <x v="3"/>
    <x v="2"/>
    <x v="1"/>
    <x v="4"/>
    <x v="2"/>
  </r>
  <r>
    <x v="1"/>
    <x v="1"/>
    <x v="0"/>
    <x v="7"/>
    <x v="11"/>
    <x v="1"/>
    <x v="1"/>
    <x v="3"/>
    <x v="3"/>
    <x v="1"/>
    <x v="3"/>
    <x v="2"/>
    <x v="3"/>
    <x v="2"/>
    <x v="1"/>
    <x v="4"/>
    <x v="2"/>
  </r>
  <r>
    <x v="1"/>
    <x v="1"/>
    <x v="0"/>
    <x v="7"/>
    <x v="12"/>
    <x v="1"/>
    <x v="1"/>
    <x v="3"/>
    <x v="3"/>
    <x v="1"/>
    <x v="3"/>
    <x v="2"/>
    <x v="3"/>
    <x v="2"/>
    <x v="1"/>
    <x v="4"/>
    <x v="2"/>
  </r>
  <r>
    <x v="1"/>
    <x v="1"/>
    <x v="0"/>
    <x v="0"/>
    <x v="19"/>
    <x v="1"/>
    <x v="0"/>
    <x v="3"/>
    <x v="3"/>
    <x v="1"/>
    <x v="3"/>
    <x v="2"/>
    <x v="3"/>
    <x v="5"/>
    <x v="5"/>
    <x v="4"/>
    <x v="2"/>
  </r>
  <r>
    <x v="1"/>
    <x v="1"/>
    <x v="0"/>
    <x v="3"/>
    <x v="1"/>
    <x v="1"/>
    <x v="1"/>
    <x v="3"/>
    <x v="3"/>
    <x v="1"/>
    <x v="3"/>
    <x v="2"/>
    <x v="3"/>
    <x v="2"/>
    <x v="4"/>
    <x v="4"/>
    <x v="2"/>
  </r>
  <r>
    <x v="1"/>
    <x v="1"/>
    <x v="0"/>
    <x v="3"/>
    <x v="2"/>
    <x v="1"/>
    <x v="0"/>
    <x v="3"/>
    <x v="3"/>
    <x v="1"/>
    <x v="3"/>
    <x v="2"/>
    <x v="3"/>
    <x v="5"/>
    <x v="3"/>
    <x v="4"/>
    <x v="2"/>
  </r>
  <r>
    <x v="1"/>
    <x v="1"/>
    <x v="0"/>
    <x v="3"/>
    <x v="3"/>
    <x v="1"/>
    <x v="1"/>
    <x v="3"/>
    <x v="3"/>
    <x v="1"/>
    <x v="3"/>
    <x v="2"/>
    <x v="3"/>
    <x v="2"/>
    <x v="1"/>
    <x v="4"/>
    <x v="2"/>
  </r>
  <r>
    <x v="1"/>
    <x v="1"/>
    <x v="0"/>
    <x v="0"/>
    <x v="20"/>
    <x v="1"/>
    <x v="0"/>
    <x v="3"/>
    <x v="3"/>
    <x v="1"/>
    <x v="3"/>
    <x v="2"/>
    <x v="3"/>
    <x v="5"/>
    <x v="3"/>
    <x v="4"/>
    <x v="2"/>
  </r>
  <r>
    <x v="1"/>
    <x v="1"/>
    <x v="0"/>
    <x v="4"/>
    <x v="4"/>
    <x v="1"/>
    <x v="1"/>
    <x v="3"/>
    <x v="3"/>
    <x v="1"/>
    <x v="3"/>
    <x v="2"/>
    <x v="3"/>
    <x v="5"/>
    <x v="1"/>
    <x v="4"/>
    <x v="2"/>
  </r>
  <r>
    <x v="1"/>
    <x v="1"/>
    <x v="0"/>
    <x v="4"/>
    <x v="5"/>
    <x v="1"/>
    <x v="1"/>
    <x v="3"/>
    <x v="3"/>
    <x v="1"/>
    <x v="3"/>
    <x v="2"/>
    <x v="3"/>
    <x v="2"/>
    <x v="1"/>
    <x v="4"/>
    <x v="2"/>
  </r>
  <r>
    <x v="1"/>
    <x v="1"/>
    <x v="0"/>
    <x v="4"/>
    <x v="6"/>
    <x v="1"/>
    <x v="1"/>
    <x v="3"/>
    <x v="3"/>
    <x v="1"/>
    <x v="3"/>
    <x v="2"/>
    <x v="3"/>
    <x v="2"/>
    <x v="1"/>
    <x v="4"/>
    <x v="2"/>
  </r>
  <r>
    <x v="1"/>
    <x v="1"/>
    <x v="0"/>
    <x v="4"/>
    <x v="7"/>
    <x v="1"/>
    <x v="0"/>
    <x v="3"/>
    <x v="3"/>
    <x v="1"/>
    <x v="3"/>
    <x v="2"/>
    <x v="3"/>
    <x v="2"/>
    <x v="3"/>
    <x v="4"/>
    <x v="2"/>
  </r>
  <r>
    <x v="1"/>
    <x v="2"/>
    <x v="1"/>
    <x v="0"/>
    <x v="21"/>
    <x v="3"/>
    <x v="1"/>
    <x v="3"/>
    <x v="3"/>
    <x v="1"/>
    <x v="3"/>
    <x v="2"/>
    <x v="1"/>
    <x v="3"/>
    <x v="1"/>
    <x v="1"/>
    <x v="14"/>
  </r>
  <r>
    <x v="1"/>
    <x v="2"/>
    <x v="1"/>
    <x v="1"/>
    <x v="1"/>
    <x v="1"/>
    <x v="1"/>
    <x v="3"/>
    <x v="3"/>
    <x v="1"/>
    <x v="3"/>
    <x v="2"/>
    <x v="2"/>
    <x v="3"/>
    <x v="1"/>
    <x v="4"/>
    <x v="0"/>
  </r>
  <r>
    <x v="1"/>
    <x v="2"/>
    <x v="1"/>
    <x v="1"/>
    <x v="2"/>
    <x v="3"/>
    <x v="1"/>
    <x v="3"/>
    <x v="3"/>
    <x v="1"/>
    <x v="3"/>
    <x v="2"/>
    <x v="3"/>
    <x v="2"/>
    <x v="1"/>
    <x v="2"/>
    <x v="1"/>
  </r>
  <r>
    <x v="1"/>
    <x v="2"/>
    <x v="1"/>
    <x v="1"/>
    <x v="3"/>
    <x v="1"/>
    <x v="1"/>
    <x v="3"/>
    <x v="3"/>
    <x v="1"/>
    <x v="3"/>
    <x v="2"/>
    <x v="3"/>
    <x v="2"/>
    <x v="1"/>
    <x v="4"/>
    <x v="1"/>
  </r>
  <r>
    <x v="1"/>
    <x v="2"/>
    <x v="1"/>
    <x v="1"/>
    <x v="4"/>
    <x v="1"/>
    <x v="1"/>
    <x v="3"/>
    <x v="3"/>
    <x v="1"/>
    <x v="3"/>
    <x v="2"/>
    <x v="2"/>
    <x v="2"/>
    <x v="1"/>
    <x v="2"/>
    <x v="0"/>
  </r>
  <r>
    <x v="1"/>
    <x v="2"/>
    <x v="1"/>
    <x v="1"/>
    <x v="5"/>
    <x v="1"/>
    <x v="1"/>
    <x v="3"/>
    <x v="3"/>
    <x v="1"/>
    <x v="3"/>
    <x v="2"/>
    <x v="3"/>
    <x v="2"/>
    <x v="1"/>
    <x v="4"/>
    <x v="2"/>
  </r>
  <r>
    <x v="1"/>
    <x v="2"/>
    <x v="1"/>
    <x v="1"/>
    <x v="6"/>
    <x v="1"/>
    <x v="1"/>
    <x v="3"/>
    <x v="3"/>
    <x v="1"/>
    <x v="3"/>
    <x v="2"/>
    <x v="3"/>
    <x v="2"/>
    <x v="1"/>
    <x v="4"/>
    <x v="2"/>
  </r>
  <r>
    <x v="1"/>
    <x v="2"/>
    <x v="1"/>
    <x v="1"/>
    <x v="7"/>
    <x v="1"/>
    <x v="1"/>
    <x v="3"/>
    <x v="3"/>
    <x v="1"/>
    <x v="3"/>
    <x v="2"/>
    <x v="3"/>
    <x v="2"/>
    <x v="1"/>
    <x v="4"/>
    <x v="2"/>
  </r>
  <r>
    <x v="1"/>
    <x v="2"/>
    <x v="1"/>
    <x v="8"/>
    <x v="1"/>
    <x v="1"/>
    <x v="13"/>
    <x v="19"/>
    <x v="26"/>
    <x v="6"/>
    <x v="31"/>
    <x v="40"/>
    <x v="9"/>
    <x v="5"/>
    <x v="50"/>
    <x v="4"/>
    <x v="140"/>
  </r>
  <r>
    <x v="1"/>
    <x v="2"/>
    <x v="1"/>
    <x v="8"/>
    <x v="2"/>
    <x v="3"/>
    <x v="13"/>
    <x v="19"/>
    <x v="26"/>
    <x v="6"/>
    <x v="31"/>
    <x v="40"/>
    <x v="3"/>
    <x v="2"/>
    <x v="50"/>
    <x v="54"/>
    <x v="34"/>
  </r>
  <r>
    <x v="1"/>
    <x v="2"/>
    <x v="1"/>
    <x v="8"/>
    <x v="3"/>
    <x v="1"/>
    <x v="13"/>
    <x v="19"/>
    <x v="26"/>
    <x v="6"/>
    <x v="31"/>
    <x v="40"/>
    <x v="3"/>
    <x v="2"/>
    <x v="50"/>
    <x v="4"/>
    <x v="34"/>
  </r>
  <r>
    <x v="1"/>
    <x v="2"/>
    <x v="1"/>
    <x v="8"/>
    <x v="4"/>
    <x v="1"/>
    <x v="13"/>
    <x v="19"/>
    <x v="26"/>
    <x v="6"/>
    <x v="31"/>
    <x v="40"/>
    <x v="9"/>
    <x v="2"/>
    <x v="50"/>
    <x v="54"/>
    <x v="140"/>
  </r>
  <r>
    <x v="1"/>
    <x v="2"/>
    <x v="1"/>
    <x v="8"/>
    <x v="5"/>
    <x v="1"/>
    <x v="13"/>
    <x v="19"/>
    <x v="26"/>
    <x v="6"/>
    <x v="31"/>
    <x v="40"/>
    <x v="3"/>
    <x v="2"/>
    <x v="50"/>
    <x v="4"/>
    <x v="2"/>
  </r>
  <r>
    <x v="1"/>
    <x v="2"/>
    <x v="1"/>
    <x v="8"/>
    <x v="6"/>
    <x v="1"/>
    <x v="13"/>
    <x v="19"/>
    <x v="26"/>
    <x v="6"/>
    <x v="31"/>
    <x v="40"/>
    <x v="3"/>
    <x v="2"/>
    <x v="50"/>
    <x v="4"/>
    <x v="2"/>
  </r>
  <r>
    <x v="1"/>
    <x v="2"/>
    <x v="1"/>
    <x v="8"/>
    <x v="7"/>
    <x v="1"/>
    <x v="13"/>
    <x v="19"/>
    <x v="26"/>
    <x v="6"/>
    <x v="31"/>
    <x v="40"/>
    <x v="3"/>
    <x v="2"/>
    <x v="50"/>
    <x v="4"/>
    <x v="2"/>
  </r>
  <r>
    <x v="1"/>
    <x v="2"/>
    <x v="1"/>
    <x v="2"/>
    <x v="8"/>
    <x v="3"/>
    <x v="1"/>
    <x v="1"/>
    <x v="2"/>
    <x v="0"/>
    <x v="2"/>
    <x v="1"/>
    <x v="1"/>
    <x v="3"/>
    <x v="4"/>
    <x v="8"/>
    <x v="14"/>
  </r>
  <r>
    <x v="1"/>
    <x v="2"/>
    <x v="1"/>
    <x v="2"/>
    <x v="9"/>
    <x v="1"/>
    <x v="1"/>
    <x v="3"/>
    <x v="3"/>
    <x v="1"/>
    <x v="3"/>
    <x v="2"/>
    <x v="2"/>
    <x v="5"/>
    <x v="1"/>
    <x v="1"/>
    <x v="5"/>
  </r>
  <r>
    <x v="1"/>
    <x v="2"/>
    <x v="1"/>
    <x v="2"/>
    <x v="10"/>
    <x v="1"/>
    <x v="1"/>
    <x v="3"/>
    <x v="3"/>
    <x v="1"/>
    <x v="3"/>
    <x v="2"/>
    <x v="3"/>
    <x v="2"/>
    <x v="1"/>
    <x v="4"/>
    <x v="1"/>
  </r>
  <r>
    <x v="1"/>
    <x v="2"/>
    <x v="1"/>
    <x v="2"/>
    <x v="11"/>
    <x v="1"/>
    <x v="1"/>
    <x v="3"/>
    <x v="3"/>
    <x v="1"/>
    <x v="3"/>
    <x v="2"/>
    <x v="3"/>
    <x v="2"/>
    <x v="1"/>
    <x v="4"/>
    <x v="2"/>
  </r>
  <r>
    <x v="1"/>
    <x v="2"/>
    <x v="1"/>
    <x v="2"/>
    <x v="12"/>
    <x v="1"/>
    <x v="1"/>
    <x v="3"/>
    <x v="3"/>
    <x v="1"/>
    <x v="3"/>
    <x v="2"/>
    <x v="3"/>
    <x v="2"/>
    <x v="1"/>
    <x v="4"/>
    <x v="2"/>
  </r>
  <r>
    <x v="1"/>
    <x v="2"/>
    <x v="1"/>
    <x v="0"/>
    <x v="22"/>
    <x v="3"/>
    <x v="1"/>
    <x v="3"/>
    <x v="3"/>
    <x v="1"/>
    <x v="3"/>
    <x v="2"/>
    <x v="1"/>
    <x v="3"/>
    <x v="1"/>
    <x v="2"/>
    <x v="5"/>
  </r>
  <r>
    <x v="1"/>
    <x v="2"/>
    <x v="1"/>
    <x v="3"/>
    <x v="1"/>
    <x v="1"/>
    <x v="1"/>
    <x v="3"/>
    <x v="3"/>
    <x v="1"/>
    <x v="3"/>
    <x v="2"/>
    <x v="2"/>
    <x v="3"/>
    <x v="1"/>
    <x v="4"/>
    <x v="0"/>
  </r>
  <r>
    <x v="1"/>
    <x v="2"/>
    <x v="1"/>
    <x v="3"/>
    <x v="2"/>
    <x v="3"/>
    <x v="1"/>
    <x v="3"/>
    <x v="3"/>
    <x v="1"/>
    <x v="3"/>
    <x v="2"/>
    <x v="2"/>
    <x v="2"/>
    <x v="1"/>
    <x v="2"/>
    <x v="1"/>
  </r>
  <r>
    <x v="1"/>
    <x v="2"/>
    <x v="1"/>
    <x v="3"/>
    <x v="3"/>
    <x v="1"/>
    <x v="1"/>
    <x v="3"/>
    <x v="3"/>
    <x v="1"/>
    <x v="3"/>
    <x v="2"/>
    <x v="3"/>
    <x v="2"/>
    <x v="1"/>
    <x v="4"/>
    <x v="1"/>
  </r>
  <r>
    <x v="1"/>
    <x v="2"/>
    <x v="1"/>
    <x v="9"/>
    <x v="1"/>
    <x v="1"/>
    <x v="13"/>
    <x v="19"/>
    <x v="26"/>
    <x v="6"/>
    <x v="31"/>
    <x v="40"/>
    <x v="9"/>
    <x v="5"/>
    <x v="50"/>
    <x v="4"/>
    <x v="54"/>
  </r>
  <r>
    <x v="1"/>
    <x v="2"/>
    <x v="1"/>
    <x v="9"/>
    <x v="2"/>
    <x v="3"/>
    <x v="13"/>
    <x v="19"/>
    <x v="26"/>
    <x v="6"/>
    <x v="31"/>
    <x v="40"/>
    <x v="9"/>
    <x v="2"/>
    <x v="50"/>
    <x v="2"/>
    <x v="141"/>
  </r>
  <r>
    <x v="1"/>
    <x v="2"/>
    <x v="1"/>
    <x v="9"/>
    <x v="3"/>
    <x v="1"/>
    <x v="13"/>
    <x v="19"/>
    <x v="26"/>
    <x v="6"/>
    <x v="31"/>
    <x v="40"/>
    <x v="3"/>
    <x v="2"/>
    <x v="50"/>
    <x v="4"/>
    <x v="141"/>
  </r>
  <r>
    <x v="1"/>
    <x v="2"/>
    <x v="1"/>
    <x v="0"/>
    <x v="23"/>
    <x v="3"/>
    <x v="1"/>
    <x v="3"/>
    <x v="3"/>
    <x v="1"/>
    <x v="3"/>
    <x v="2"/>
    <x v="1"/>
    <x v="5"/>
    <x v="1"/>
    <x v="1"/>
    <x v="6"/>
  </r>
  <r>
    <x v="1"/>
    <x v="2"/>
    <x v="1"/>
    <x v="4"/>
    <x v="4"/>
    <x v="1"/>
    <x v="1"/>
    <x v="3"/>
    <x v="3"/>
    <x v="1"/>
    <x v="3"/>
    <x v="2"/>
    <x v="2"/>
    <x v="2"/>
    <x v="1"/>
    <x v="1"/>
    <x v="5"/>
  </r>
  <r>
    <x v="1"/>
    <x v="2"/>
    <x v="1"/>
    <x v="4"/>
    <x v="5"/>
    <x v="1"/>
    <x v="1"/>
    <x v="3"/>
    <x v="3"/>
    <x v="1"/>
    <x v="3"/>
    <x v="2"/>
    <x v="3"/>
    <x v="2"/>
    <x v="1"/>
    <x v="4"/>
    <x v="1"/>
  </r>
  <r>
    <x v="1"/>
    <x v="2"/>
    <x v="1"/>
    <x v="4"/>
    <x v="6"/>
    <x v="1"/>
    <x v="1"/>
    <x v="3"/>
    <x v="3"/>
    <x v="1"/>
    <x v="3"/>
    <x v="2"/>
    <x v="3"/>
    <x v="2"/>
    <x v="1"/>
    <x v="4"/>
    <x v="2"/>
  </r>
  <r>
    <x v="1"/>
    <x v="2"/>
    <x v="1"/>
    <x v="4"/>
    <x v="7"/>
    <x v="3"/>
    <x v="1"/>
    <x v="3"/>
    <x v="3"/>
    <x v="1"/>
    <x v="3"/>
    <x v="2"/>
    <x v="2"/>
    <x v="5"/>
    <x v="1"/>
    <x v="4"/>
    <x v="2"/>
  </r>
  <r>
    <x v="1"/>
    <x v="2"/>
    <x v="1"/>
    <x v="10"/>
    <x v="4"/>
    <x v="1"/>
    <x v="57"/>
    <x v="69"/>
    <x v="104"/>
    <x v="118"/>
    <x v="113"/>
    <x v="134"/>
    <x v="9"/>
    <x v="2"/>
    <x v="129"/>
    <x v="2"/>
    <x v="62"/>
  </r>
  <r>
    <x v="1"/>
    <x v="2"/>
    <x v="1"/>
    <x v="10"/>
    <x v="5"/>
    <x v="1"/>
    <x v="57"/>
    <x v="69"/>
    <x v="104"/>
    <x v="118"/>
    <x v="113"/>
    <x v="134"/>
    <x v="3"/>
    <x v="2"/>
    <x v="129"/>
    <x v="4"/>
    <x v="142"/>
  </r>
  <r>
    <x v="1"/>
    <x v="2"/>
    <x v="1"/>
    <x v="10"/>
    <x v="6"/>
    <x v="1"/>
    <x v="57"/>
    <x v="69"/>
    <x v="104"/>
    <x v="118"/>
    <x v="113"/>
    <x v="134"/>
    <x v="3"/>
    <x v="2"/>
    <x v="129"/>
    <x v="4"/>
    <x v="2"/>
  </r>
  <r>
    <x v="1"/>
    <x v="2"/>
    <x v="1"/>
    <x v="10"/>
    <x v="7"/>
    <x v="3"/>
    <x v="57"/>
    <x v="69"/>
    <x v="104"/>
    <x v="118"/>
    <x v="113"/>
    <x v="134"/>
    <x v="9"/>
    <x v="5"/>
    <x v="129"/>
    <x v="4"/>
    <x v="2"/>
  </r>
  <r>
    <x v="1"/>
    <x v="0"/>
    <x v="2"/>
    <x v="0"/>
    <x v="24"/>
    <x v="3"/>
    <x v="0"/>
    <x v="1"/>
    <x v="2"/>
    <x v="0"/>
    <x v="2"/>
    <x v="1"/>
    <x v="5"/>
    <x v="4"/>
    <x v="2"/>
    <x v="161"/>
    <x v="30"/>
  </r>
  <r>
    <x v="1"/>
    <x v="0"/>
    <x v="2"/>
    <x v="1"/>
    <x v="1"/>
    <x v="1"/>
    <x v="1"/>
    <x v="3"/>
    <x v="3"/>
    <x v="1"/>
    <x v="3"/>
    <x v="2"/>
    <x v="2"/>
    <x v="3"/>
    <x v="4"/>
    <x v="1"/>
    <x v="5"/>
  </r>
  <r>
    <x v="1"/>
    <x v="0"/>
    <x v="2"/>
    <x v="1"/>
    <x v="2"/>
    <x v="3"/>
    <x v="0"/>
    <x v="1"/>
    <x v="2"/>
    <x v="0"/>
    <x v="2"/>
    <x v="1"/>
    <x v="2"/>
    <x v="5"/>
    <x v="4"/>
    <x v="5"/>
    <x v="4"/>
  </r>
  <r>
    <x v="1"/>
    <x v="0"/>
    <x v="2"/>
    <x v="1"/>
    <x v="3"/>
    <x v="1"/>
    <x v="1"/>
    <x v="3"/>
    <x v="3"/>
    <x v="1"/>
    <x v="3"/>
    <x v="2"/>
    <x v="3"/>
    <x v="2"/>
    <x v="1"/>
    <x v="4"/>
    <x v="1"/>
  </r>
  <r>
    <x v="1"/>
    <x v="0"/>
    <x v="2"/>
    <x v="1"/>
    <x v="4"/>
    <x v="1"/>
    <x v="1"/>
    <x v="3"/>
    <x v="3"/>
    <x v="1"/>
    <x v="3"/>
    <x v="2"/>
    <x v="2"/>
    <x v="5"/>
    <x v="3"/>
    <x v="1"/>
    <x v="4"/>
  </r>
  <r>
    <x v="1"/>
    <x v="0"/>
    <x v="2"/>
    <x v="1"/>
    <x v="5"/>
    <x v="1"/>
    <x v="1"/>
    <x v="3"/>
    <x v="3"/>
    <x v="1"/>
    <x v="3"/>
    <x v="2"/>
    <x v="3"/>
    <x v="2"/>
    <x v="1"/>
    <x v="4"/>
    <x v="2"/>
  </r>
  <r>
    <x v="1"/>
    <x v="0"/>
    <x v="2"/>
    <x v="1"/>
    <x v="6"/>
    <x v="1"/>
    <x v="1"/>
    <x v="3"/>
    <x v="3"/>
    <x v="1"/>
    <x v="3"/>
    <x v="2"/>
    <x v="3"/>
    <x v="2"/>
    <x v="1"/>
    <x v="4"/>
    <x v="2"/>
  </r>
  <r>
    <x v="1"/>
    <x v="0"/>
    <x v="2"/>
    <x v="1"/>
    <x v="7"/>
    <x v="1"/>
    <x v="1"/>
    <x v="3"/>
    <x v="3"/>
    <x v="1"/>
    <x v="3"/>
    <x v="2"/>
    <x v="3"/>
    <x v="2"/>
    <x v="1"/>
    <x v="4"/>
    <x v="2"/>
  </r>
  <r>
    <x v="1"/>
    <x v="0"/>
    <x v="2"/>
    <x v="2"/>
    <x v="8"/>
    <x v="3"/>
    <x v="0"/>
    <x v="1"/>
    <x v="2"/>
    <x v="0"/>
    <x v="2"/>
    <x v="1"/>
    <x v="1"/>
    <x v="1"/>
    <x v="5"/>
    <x v="8"/>
    <x v="14"/>
  </r>
  <r>
    <x v="1"/>
    <x v="0"/>
    <x v="2"/>
    <x v="2"/>
    <x v="9"/>
    <x v="1"/>
    <x v="1"/>
    <x v="3"/>
    <x v="3"/>
    <x v="1"/>
    <x v="3"/>
    <x v="2"/>
    <x v="2"/>
    <x v="5"/>
    <x v="4"/>
    <x v="1"/>
    <x v="5"/>
  </r>
  <r>
    <x v="1"/>
    <x v="0"/>
    <x v="2"/>
    <x v="2"/>
    <x v="10"/>
    <x v="1"/>
    <x v="1"/>
    <x v="3"/>
    <x v="3"/>
    <x v="1"/>
    <x v="3"/>
    <x v="2"/>
    <x v="3"/>
    <x v="2"/>
    <x v="1"/>
    <x v="4"/>
    <x v="1"/>
  </r>
  <r>
    <x v="1"/>
    <x v="0"/>
    <x v="2"/>
    <x v="2"/>
    <x v="11"/>
    <x v="1"/>
    <x v="1"/>
    <x v="3"/>
    <x v="3"/>
    <x v="1"/>
    <x v="3"/>
    <x v="2"/>
    <x v="3"/>
    <x v="2"/>
    <x v="1"/>
    <x v="4"/>
    <x v="2"/>
  </r>
  <r>
    <x v="1"/>
    <x v="0"/>
    <x v="2"/>
    <x v="2"/>
    <x v="12"/>
    <x v="1"/>
    <x v="1"/>
    <x v="3"/>
    <x v="3"/>
    <x v="1"/>
    <x v="3"/>
    <x v="2"/>
    <x v="3"/>
    <x v="2"/>
    <x v="1"/>
    <x v="4"/>
    <x v="2"/>
  </r>
  <r>
    <x v="1"/>
    <x v="0"/>
    <x v="2"/>
    <x v="0"/>
    <x v="25"/>
    <x v="3"/>
    <x v="0"/>
    <x v="1"/>
    <x v="2"/>
    <x v="0"/>
    <x v="2"/>
    <x v="1"/>
    <x v="5"/>
    <x v="4"/>
    <x v="2"/>
    <x v="7"/>
    <x v="143"/>
  </r>
  <r>
    <x v="1"/>
    <x v="0"/>
    <x v="2"/>
    <x v="3"/>
    <x v="1"/>
    <x v="1"/>
    <x v="1"/>
    <x v="3"/>
    <x v="3"/>
    <x v="1"/>
    <x v="3"/>
    <x v="2"/>
    <x v="2"/>
    <x v="3"/>
    <x v="4"/>
    <x v="1"/>
    <x v="5"/>
  </r>
  <r>
    <x v="1"/>
    <x v="0"/>
    <x v="2"/>
    <x v="3"/>
    <x v="2"/>
    <x v="3"/>
    <x v="0"/>
    <x v="1"/>
    <x v="2"/>
    <x v="0"/>
    <x v="2"/>
    <x v="1"/>
    <x v="1"/>
    <x v="3"/>
    <x v="5"/>
    <x v="3"/>
    <x v="5"/>
  </r>
  <r>
    <x v="1"/>
    <x v="0"/>
    <x v="2"/>
    <x v="3"/>
    <x v="3"/>
    <x v="1"/>
    <x v="1"/>
    <x v="3"/>
    <x v="3"/>
    <x v="1"/>
    <x v="3"/>
    <x v="2"/>
    <x v="3"/>
    <x v="2"/>
    <x v="1"/>
    <x v="4"/>
    <x v="1"/>
  </r>
  <r>
    <x v="1"/>
    <x v="0"/>
    <x v="2"/>
    <x v="0"/>
    <x v="26"/>
    <x v="3"/>
    <x v="0"/>
    <x v="1"/>
    <x v="2"/>
    <x v="0"/>
    <x v="2"/>
    <x v="1"/>
    <x v="5"/>
    <x v="1"/>
    <x v="5"/>
    <x v="8"/>
    <x v="43"/>
  </r>
  <r>
    <x v="1"/>
    <x v="0"/>
    <x v="2"/>
    <x v="4"/>
    <x v="4"/>
    <x v="1"/>
    <x v="1"/>
    <x v="3"/>
    <x v="3"/>
    <x v="1"/>
    <x v="3"/>
    <x v="2"/>
    <x v="2"/>
    <x v="5"/>
    <x v="3"/>
    <x v="5"/>
    <x v="6"/>
  </r>
  <r>
    <x v="1"/>
    <x v="0"/>
    <x v="2"/>
    <x v="4"/>
    <x v="5"/>
    <x v="1"/>
    <x v="1"/>
    <x v="3"/>
    <x v="3"/>
    <x v="1"/>
    <x v="3"/>
    <x v="2"/>
    <x v="3"/>
    <x v="2"/>
    <x v="1"/>
    <x v="4"/>
    <x v="1"/>
  </r>
  <r>
    <x v="1"/>
    <x v="0"/>
    <x v="2"/>
    <x v="4"/>
    <x v="6"/>
    <x v="1"/>
    <x v="1"/>
    <x v="3"/>
    <x v="3"/>
    <x v="1"/>
    <x v="3"/>
    <x v="2"/>
    <x v="3"/>
    <x v="2"/>
    <x v="1"/>
    <x v="4"/>
    <x v="2"/>
  </r>
  <r>
    <x v="1"/>
    <x v="0"/>
    <x v="2"/>
    <x v="4"/>
    <x v="7"/>
    <x v="3"/>
    <x v="0"/>
    <x v="1"/>
    <x v="2"/>
    <x v="0"/>
    <x v="2"/>
    <x v="1"/>
    <x v="1"/>
    <x v="3"/>
    <x v="4"/>
    <x v="1"/>
    <x v="0"/>
  </r>
  <r>
    <x v="1"/>
    <x v="1"/>
    <x v="2"/>
    <x v="0"/>
    <x v="27"/>
    <x v="1"/>
    <x v="0"/>
    <x v="1"/>
    <x v="2"/>
    <x v="0"/>
    <x v="2"/>
    <x v="1"/>
    <x v="2"/>
    <x v="3"/>
    <x v="2"/>
    <x v="8"/>
    <x v="6"/>
  </r>
  <r>
    <x v="1"/>
    <x v="1"/>
    <x v="2"/>
    <x v="1"/>
    <x v="1"/>
    <x v="1"/>
    <x v="1"/>
    <x v="3"/>
    <x v="3"/>
    <x v="1"/>
    <x v="3"/>
    <x v="2"/>
    <x v="3"/>
    <x v="2"/>
    <x v="4"/>
    <x v="1"/>
    <x v="0"/>
  </r>
  <r>
    <x v="1"/>
    <x v="1"/>
    <x v="2"/>
    <x v="1"/>
    <x v="2"/>
    <x v="1"/>
    <x v="0"/>
    <x v="1"/>
    <x v="2"/>
    <x v="0"/>
    <x v="2"/>
    <x v="1"/>
    <x v="2"/>
    <x v="5"/>
    <x v="4"/>
    <x v="1"/>
    <x v="0"/>
  </r>
  <r>
    <x v="1"/>
    <x v="1"/>
    <x v="2"/>
    <x v="1"/>
    <x v="3"/>
    <x v="1"/>
    <x v="1"/>
    <x v="3"/>
    <x v="3"/>
    <x v="1"/>
    <x v="3"/>
    <x v="2"/>
    <x v="3"/>
    <x v="2"/>
    <x v="1"/>
    <x v="4"/>
    <x v="2"/>
  </r>
  <r>
    <x v="1"/>
    <x v="1"/>
    <x v="2"/>
    <x v="1"/>
    <x v="4"/>
    <x v="1"/>
    <x v="1"/>
    <x v="3"/>
    <x v="3"/>
    <x v="1"/>
    <x v="3"/>
    <x v="2"/>
    <x v="3"/>
    <x v="5"/>
    <x v="3"/>
    <x v="2"/>
    <x v="1"/>
  </r>
  <r>
    <x v="1"/>
    <x v="1"/>
    <x v="2"/>
    <x v="1"/>
    <x v="5"/>
    <x v="1"/>
    <x v="1"/>
    <x v="3"/>
    <x v="3"/>
    <x v="1"/>
    <x v="3"/>
    <x v="2"/>
    <x v="3"/>
    <x v="2"/>
    <x v="1"/>
    <x v="4"/>
    <x v="2"/>
  </r>
  <r>
    <x v="1"/>
    <x v="1"/>
    <x v="2"/>
    <x v="1"/>
    <x v="6"/>
    <x v="1"/>
    <x v="1"/>
    <x v="3"/>
    <x v="3"/>
    <x v="1"/>
    <x v="3"/>
    <x v="2"/>
    <x v="3"/>
    <x v="2"/>
    <x v="1"/>
    <x v="4"/>
    <x v="2"/>
  </r>
  <r>
    <x v="1"/>
    <x v="1"/>
    <x v="2"/>
    <x v="1"/>
    <x v="7"/>
    <x v="1"/>
    <x v="1"/>
    <x v="3"/>
    <x v="3"/>
    <x v="1"/>
    <x v="3"/>
    <x v="2"/>
    <x v="3"/>
    <x v="2"/>
    <x v="1"/>
    <x v="4"/>
    <x v="2"/>
  </r>
  <r>
    <x v="1"/>
    <x v="1"/>
    <x v="2"/>
    <x v="11"/>
    <x v="1"/>
    <x v="11"/>
    <x v="1"/>
    <x v="3"/>
    <x v="3"/>
    <x v="1"/>
    <x v="3"/>
    <x v="2"/>
    <x v="3"/>
    <x v="2"/>
    <x v="130"/>
    <x v="162"/>
    <x v="64"/>
  </r>
  <r>
    <x v="1"/>
    <x v="1"/>
    <x v="2"/>
    <x v="11"/>
    <x v="2"/>
    <x v="11"/>
    <x v="0"/>
    <x v="1"/>
    <x v="2"/>
    <x v="0"/>
    <x v="2"/>
    <x v="1"/>
    <x v="2"/>
    <x v="43"/>
    <x v="130"/>
    <x v="162"/>
    <x v="64"/>
  </r>
  <r>
    <x v="1"/>
    <x v="1"/>
    <x v="2"/>
    <x v="11"/>
    <x v="3"/>
    <x v="11"/>
    <x v="1"/>
    <x v="3"/>
    <x v="3"/>
    <x v="1"/>
    <x v="3"/>
    <x v="2"/>
    <x v="3"/>
    <x v="2"/>
    <x v="1"/>
    <x v="4"/>
    <x v="2"/>
  </r>
  <r>
    <x v="1"/>
    <x v="1"/>
    <x v="2"/>
    <x v="11"/>
    <x v="4"/>
    <x v="11"/>
    <x v="1"/>
    <x v="3"/>
    <x v="3"/>
    <x v="1"/>
    <x v="3"/>
    <x v="2"/>
    <x v="3"/>
    <x v="43"/>
    <x v="131"/>
    <x v="163"/>
    <x v="142"/>
  </r>
  <r>
    <x v="1"/>
    <x v="1"/>
    <x v="2"/>
    <x v="11"/>
    <x v="5"/>
    <x v="11"/>
    <x v="1"/>
    <x v="3"/>
    <x v="3"/>
    <x v="1"/>
    <x v="3"/>
    <x v="2"/>
    <x v="3"/>
    <x v="2"/>
    <x v="1"/>
    <x v="4"/>
    <x v="2"/>
  </r>
  <r>
    <x v="1"/>
    <x v="1"/>
    <x v="2"/>
    <x v="11"/>
    <x v="6"/>
    <x v="11"/>
    <x v="1"/>
    <x v="3"/>
    <x v="3"/>
    <x v="1"/>
    <x v="3"/>
    <x v="2"/>
    <x v="3"/>
    <x v="2"/>
    <x v="1"/>
    <x v="4"/>
    <x v="2"/>
  </r>
  <r>
    <x v="1"/>
    <x v="1"/>
    <x v="2"/>
    <x v="11"/>
    <x v="7"/>
    <x v="11"/>
    <x v="1"/>
    <x v="3"/>
    <x v="3"/>
    <x v="1"/>
    <x v="3"/>
    <x v="2"/>
    <x v="3"/>
    <x v="2"/>
    <x v="1"/>
    <x v="4"/>
    <x v="2"/>
  </r>
  <r>
    <x v="1"/>
    <x v="1"/>
    <x v="2"/>
    <x v="2"/>
    <x v="8"/>
    <x v="1"/>
    <x v="0"/>
    <x v="3"/>
    <x v="3"/>
    <x v="1"/>
    <x v="3"/>
    <x v="2"/>
    <x v="3"/>
    <x v="5"/>
    <x v="3"/>
    <x v="4"/>
    <x v="2"/>
  </r>
  <r>
    <x v="1"/>
    <x v="1"/>
    <x v="2"/>
    <x v="2"/>
    <x v="9"/>
    <x v="1"/>
    <x v="1"/>
    <x v="3"/>
    <x v="3"/>
    <x v="1"/>
    <x v="3"/>
    <x v="2"/>
    <x v="3"/>
    <x v="2"/>
    <x v="4"/>
    <x v="4"/>
    <x v="2"/>
  </r>
  <r>
    <x v="1"/>
    <x v="1"/>
    <x v="2"/>
    <x v="2"/>
    <x v="10"/>
    <x v="1"/>
    <x v="1"/>
    <x v="3"/>
    <x v="3"/>
    <x v="1"/>
    <x v="3"/>
    <x v="2"/>
    <x v="3"/>
    <x v="2"/>
    <x v="1"/>
    <x v="4"/>
    <x v="2"/>
  </r>
  <r>
    <x v="1"/>
    <x v="1"/>
    <x v="2"/>
    <x v="2"/>
    <x v="11"/>
    <x v="1"/>
    <x v="1"/>
    <x v="3"/>
    <x v="3"/>
    <x v="1"/>
    <x v="3"/>
    <x v="2"/>
    <x v="3"/>
    <x v="2"/>
    <x v="1"/>
    <x v="4"/>
    <x v="2"/>
  </r>
  <r>
    <x v="1"/>
    <x v="1"/>
    <x v="2"/>
    <x v="2"/>
    <x v="12"/>
    <x v="1"/>
    <x v="1"/>
    <x v="3"/>
    <x v="3"/>
    <x v="1"/>
    <x v="3"/>
    <x v="2"/>
    <x v="3"/>
    <x v="2"/>
    <x v="1"/>
    <x v="4"/>
    <x v="2"/>
  </r>
  <r>
    <x v="1"/>
    <x v="1"/>
    <x v="2"/>
    <x v="0"/>
    <x v="28"/>
    <x v="1"/>
    <x v="0"/>
    <x v="1"/>
    <x v="2"/>
    <x v="0"/>
    <x v="2"/>
    <x v="1"/>
    <x v="2"/>
    <x v="3"/>
    <x v="2"/>
    <x v="8"/>
    <x v="6"/>
  </r>
  <r>
    <x v="1"/>
    <x v="1"/>
    <x v="2"/>
    <x v="3"/>
    <x v="1"/>
    <x v="1"/>
    <x v="1"/>
    <x v="3"/>
    <x v="3"/>
    <x v="1"/>
    <x v="3"/>
    <x v="2"/>
    <x v="3"/>
    <x v="2"/>
    <x v="4"/>
    <x v="1"/>
    <x v="0"/>
  </r>
  <r>
    <x v="1"/>
    <x v="1"/>
    <x v="2"/>
    <x v="3"/>
    <x v="2"/>
    <x v="1"/>
    <x v="0"/>
    <x v="1"/>
    <x v="2"/>
    <x v="0"/>
    <x v="2"/>
    <x v="1"/>
    <x v="2"/>
    <x v="3"/>
    <x v="5"/>
    <x v="5"/>
    <x v="4"/>
  </r>
  <r>
    <x v="1"/>
    <x v="1"/>
    <x v="2"/>
    <x v="3"/>
    <x v="3"/>
    <x v="1"/>
    <x v="1"/>
    <x v="3"/>
    <x v="3"/>
    <x v="1"/>
    <x v="3"/>
    <x v="2"/>
    <x v="3"/>
    <x v="2"/>
    <x v="1"/>
    <x v="4"/>
    <x v="2"/>
  </r>
  <r>
    <x v="1"/>
    <x v="1"/>
    <x v="2"/>
    <x v="12"/>
    <x v="1"/>
    <x v="11"/>
    <x v="1"/>
    <x v="3"/>
    <x v="3"/>
    <x v="1"/>
    <x v="3"/>
    <x v="2"/>
    <x v="3"/>
    <x v="2"/>
    <x v="130"/>
    <x v="162"/>
    <x v="64"/>
  </r>
  <r>
    <x v="1"/>
    <x v="1"/>
    <x v="2"/>
    <x v="12"/>
    <x v="2"/>
    <x v="11"/>
    <x v="0"/>
    <x v="1"/>
    <x v="2"/>
    <x v="0"/>
    <x v="2"/>
    <x v="1"/>
    <x v="2"/>
    <x v="5"/>
    <x v="132"/>
    <x v="65"/>
    <x v="144"/>
  </r>
  <r>
    <x v="1"/>
    <x v="1"/>
    <x v="2"/>
    <x v="12"/>
    <x v="3"/>
    <x v="11"/>
    <x v="1"/>
    <x v="3"/>
    <x v="3"/>
    <x v="1"/>
    <x v="3"/>
    <x v="2"/>
    <x v="3"/>
    <x v="2"/>
    <x v="1"/>
    <x v="4"/>
    <x v="2"/>
  </r>
  <r>
    <x v="1"/>
    <x v="1"/>
    <x v="2"/>
    <x v="0"/>
    <x v="29"/>
    <x v="1"/>
    <x v="0"/>
    <x v="1"/>
    <x v="2"/>
    <x v="0"/>
    <x v="2"/>
    <x v="1"/>
    <x v="2"/>
    <x v="3"/>
    <x v="5"/>
    <x v="5"/>
    <x v="4"/>
  </r>
  <r>
    <x v="1"/>
    <x v="1"/>
    <x v="2"/>
    <x v="4"/>
    <x v="4"/>
    <x v="1"/>
    <x v="1"/>
    <x v="3"/>
    <x v="3"/>
    <x v="1"/>
    <x v="3"/>
    <x v="2"/>
    <x v="3"/>
    <x v="5"/>
    <x v="3"/>
    <x v="2"/>
    <x v="1"/>
  </r>
  <r>
    <x v="1"/>
    <x v="1"/>
    <x v="2"/>
    <x v="4"/>
    <x v="5"/>
    <x v="1"/>
    <x v="1"/>
    <x v="3"/>
    <x v="3"/>
    <x v="1"/>
    <x v="3"/>
    <x v="2"/>
    <x v="3"/>
    <x v="2"/>
    <x v="1"/>
    <x v="4"/>
    <x v="2"/>
  </r>
  <r>
    <x v="1"/>
    <x v="1"/>
    <x v="2"/>
    <x v="4"/>
    <x v="6"/>
    <x v="1"/>
    <x v="1"/>
    <x v="3"/>
    <x v="3"/>
    <x v="1"/>
    <x v="3"/>
    <x v="2"/>
    <x v="3"/>
    <x v="2"/>
    <x v="1"/>
    <x v="4"/>
    <x v="2"/>
  </r>
  <r>
    <x v="1"/>
    <x v="1"/>
    <x v="2"/>
    <x v="4"/>
    <x v="7"/>
    <x v="1"/>
    <x v="0"/>
    <x v="1"/>
    <x v="2"/>
    <x v="0"/>
    <x v="2"/>
    <x v="1"/>
    <x v="2"/>
    <x v="5"/>
    <x v="4"/>
    <x v="1"/>
    <x v="0"/>
  </r>
  <r>
    <x v="1"/>
    <x v="1"/>
    <x v="2"/>
    <x v="13"/>
    <x v="4"/>
    <x v="11"/>
    <x v="1"/>
    <x v="3"/>
    <x v="3"/>
    <x v="1"/>
    <x v="3"/>
    <x v="2"/>
    <x v="3"/>
    <x v="43"/>
    <x v="133"/>
    <x v="164"/>
    <x v="140"/>
  </r>
  <r>
    <x v="1"/>
    <x v="1"/>
    <x v="2"/>
    <x v="13"/>
    <x v="5"/>
    <x v="11"/>
    <x v="1"/>
    <x v="3"/>
    <x v="3"/>
    <x v="1"/>
    <x v="3"/>
    <x v="2"/>
    <x v="3"/>
    <x v="2"/>
    <x v="1"/>
    <x v="4"/>
    <x v="2"/>
  </r>
  <r>
    <x v="1"/>
    <x v="1"/>
    <x v="2"/>
    <x v="13"/>
    <x v="6"/>
    <x v="11"/>
    <x v="1"/>
    <x v="3"/>
    <x v="3"/>
    <x v="1"/>
    <x v="3"/>
    <x v="2"/>
    <x v="3"/>
    <x v="2"/>
    <x v="1"/>
    <x v="4"/>
    <x v="2"/>
  </r>
  <r>
    <x v="1"/>
    <x v="1"/>
    <x v="2"/>
    <x v="13"/>
    <x v="7"/>
    <x v="11"/>
    <x v="0"/>
    <x v="1"/>
    <x v="2"/>
    <x v="0"/>
    <x v="2"/>
    <x v="1"/>
    <x v="2"/>
    <x v="43"/>
    <x v="53"/>
    <x v="165"/>
    <x v="145"/>
  </r>
  <r>
    <x v="1"/>
    <x v="1"/>
    <x v="2"/>
    <x v="0"/>
    <x v="30"/>
    <x v="1"/>
    <x v="1"/>
    <x v="3"/>
    <x v="3"/>
    <x v="1"/>
    <x v="3"/>
    <x v="2"/>
    <x v="3"/>
    <x v="2"/>
    <x v="5"/>
    <x v="5"/>
    <x v="4"/>
  </r>
  <r>
    <x v="1"/>
    <x v="1"/>
    <x v="2"/>
    <x v="0"/>
    <x v="31"/>
    <x v="1"/>
    <x v="0"/>
    <x v="1"/>
    <x v="2"/>
    <x v="0"/>
    <x v="2"/>
    <x v="1"/>
    <x v="2"/>
    <x v="3"/>
    <x v="4"/>
    <x v="1"/>
    <x v="0"/>
  </r>
  <r>
    <x v="1"/>
    <x v="1"/>
    <x v="2"/>
    <x v="0"/>
    <x v="32"/>
    <x v="1"/>
    <x v="1"/>
    <x v="3"/>
    <x v="3"/>
    <x v="1"/>
    <x v="3"/>
    <x v="2"/>
    <x v="3"/>
    <x v="2"/>
    <x v="1"/>
    <x v="4"/>
    <x v="2"/>
  </r>
  <r>
    <x v="1"/>
    <x v="1"/>
    <x v="2"/>
    <x v="14"/>
    <x v="8"/>
    <x v="1"/>
    <x v="1"/>
    <x v="3"/>
    <x v="3"/>
    <x v="1"/>
    <x v="3"/>
    <x v="2"/>
    <x v="3"/>
    <x v="2"/>
    <x v="3"/>
    <x v="2"/>
    <x v="1"/>
  </r>
  <r>
    <x v="1"/>
    <x v="1"/>
    <x v="2"/>
    <x v="14"/>
    <x v="9"/>
    <x v="1"/>
    <x v="1"/>
    <x v="3"/>
    <x v="3"/>
    <x v="1"/>
    <x v="3"/>
    <x v="2"/>
    <x v="3"/>
    <x v="2"/>
    <x v="4"/>
    <x v="1"/>
    <x v="0"/>
  </r>
  <r>
    <x v="1"/>
    <x v="1"/>
    <x v="2"/>
    <x v="14"/>
    <x v="10"/>
    <x v="1"/>
    <x v="1"/>
    <x v="3"/>
    <x v="3"/>
    <x v="1"/>
    <x v="3"/>
    <x v="2"/>
    <x v="3"/>
    <x v="2"/>
    <x v="1"/>
    <x v="4"/>
    <x v="2"/>
  </r>
  <r>
    <x v="1"/>
    <x v="1"/>
    <x v="2"/>
    <x v="14"/>
    <x v="11"/>
    <x v="1"/>
    <x v="1"/>
    <x v="3"/>
    <x v="3"/>
    <x v="1"/>
    <x v="3"/>
    <x v="2"/>
    <x v="3"/>
    <x v="2"/>
    <x v="1"/>
    <x v="4"/>
    <x v="2"/>
  </r>
  <r>
    <x v="1"/>
    <x v="1"/>
    <x v="2"/>
    <x v="14"/>
    <x v="12"/>
    <x v="1"/>
    <x v="1"/>
    <x v="3"/>
    <x v="3"/>
    <x v="1"/>
    <x v="3"/>
    <x v="2"/>
    <x v="3"/>
    <x v="2"/>
    <x v="1"/>
    <x v="4"/>
    <x v="2"/>
  </r>
  <r>
    <x v="1"/>
    <x v="1"/>
    <x v="2"/>
    <x v="15"/>
    <x v="8"/>
    <x v="1"/>
    <x v="0"/>
    <x v="1"/>
    <x v="2"/>
    <x v="0"/>
    <x v="2"/>
    <x v="1"/>
    <x v="2"/>
    <x v="3"/>
    <x v="4"/>
    <x v="1"/>
    <x v="0"/>
  </r>
  <r>
    <x v="1"/>
    <x v="1"/>
    <x v="2"/>
    <x v="15"/>
    <x v="9"/>
    <x v="1"/>
    <x v="1"/>
    <x v="3"/>
    <x v="3"/>
    <x v="1"/>
    <x v="3"/>
    <x v="2"/>
    <x v="3"/>
    <x v="2"/>
    <x v="1"/>
    <x v="4"/>
    <x v="2"/>
  </r>
  <r>
    <x v="1"/>
    <x v="1"/>
    <x v="2"/>
    <x v="15"/>
    <x v="10"/>
    <x v="1"/>
    <x v="1"/>
    <x v="3"/>
    <x v="3"/>
    <x v="1"/>
    <x v="3"/>
    <x v="2"/>
    <x v="3"/>
    <x v="2"/>
    <x v="1"/>
    <x v="4"/>
    <x v="2"/>
  </r>
  <r>
    <x v="1"/>
    <x v="1"/>
    <x v="2"/>
    <x v="15"/>
    <x v="11"/>
    <x v="1"/>
    <x v="1"/>
    <x v="3"/>
    <x v="3"/>
    <x v="1"/>
    <x v="3"/>
    <x v="2"/>
    <x v="3"/>
    <x v="2"/>
    <x v="1"/>
    <x v="4"/>
    <x v="2"/>
  </r>
  <r>
    <x v="1"/>
    <x v="1"/>
    <x v="2"/>
    <x v="15"/>
    <x v="12"/>
    <x v="1"/>
    <x v="1"/>
    <x v="3"/>
    <x v="3"/>
    <x v="1"/>
    <x v="3"/>
    <x v="2"/>
    <x v="3"/>
    <x v="2"/>
    <x v="1"/>
    <x v="4"/>
    <x v="2"/>
  </r>
  <r>
    <x v="1"/>
    <x v="1"/>
    <x v="2"/>
    <x v="16"/>
    <x v="8"/>
    <x v="1"/>
    <x v="1"/>
    <x v="3"/>
    <x v="3"/>
    <x v="1"/>
    <x v="3"/>
    <x v="2"/>
    <x v="3"/>
    <x v="2"/>
    <x v="1"/>
    <x v="4"/>
    <x v="2"/>
  </r>
  <r>
    <x v="1"/>
    <x v="1"/>
    <x v="2"/>
    <x v="16"/>
    <x v="9"/>
    <x v="1"/>
    <x v="1"/>
    <x v="3"/>
    <x v="3"/>
    <x v="1"/>
    <x v="3"/>
    <x v="2"/>
    <x v="3"/>
    <x v="2"/>
    <x v="1"/>
    <x v="4"/>
    <x v="2"/>
  </r>
  <r>
    <x v="1"/>
    <x v="1"/>
    <x v="2"/>
    <x v="16"/>
    <x v="10"/>
    <x v="1"/>
    <x v="1"/>
    <x v="3"/>
    <x v="3"/>
    <x v="1"/>
    <x v="3"/>
    <x v="2"/>
    <x v="3"/>
    <x v="2"/>
    <x v="1"/>
    <x v="4"/>
    <x v="2"/>
  </r>
  <r>
    <x v="1"/>
    <x v="1"/>
    <x v="2"/>
    <x v="16"/>
    <x v="11"/>
    <x v="1"/>
    <x v="1"/>
    <x v="3"/>
    <x v="3"/>
    <x v="1"/>
    <x v="3"/>
    <x v="2"/>
    <x v="3"/>
    <x v="2"/>
    <x v="1"/>
    <x v="4"/>
    <x v="2"/>
  </r>
  <r>
    <x v="1"/>
    <x v="1"/>
    <x v="2"/>
    <x v="16"/>
    <x v="12"/>
    <x v="1"/>
    <x v="1"/>
    <x v="3"/>
    <x v="3"/>
    <x v="1"/>
    <x v="3"/>
    <x v="2"/>
    <x v="3"/>
    <x v="2"/>
    <x v="1"/>
    <x v="4"/>
    <x v="2"/>
  </r>
  <r>
    <x v="1"/>
    <x v="1"/>
    <x v="3"/>
    <x v="0"/>
    <x v="33"/>
    <x v="1"/>
    <x v="0"/>
    <x v="1"/>
    <x v="2"/>
    <x v="0"/>
    <x v="2"/>
    <x v="1"/>
    <x v="27"/>
    <x v="43"/>
    <x v="3"/>
    <x v="166"/>
    <x v="146"/>
  </r>
  <r>
    <x v="1"/>
    <x v="1"/>
    <x v="3"/>
    <x v="3"/>
    <x v="1"/>
    <x v="10"/>
    <x v="57"/>
    <x v="69"/>
    <x v="104"/>
    <x v="118"/>
    <x v="113"/>
    <x v="134"/>
    <x v="3"/>
    <x v="2"/>
    <x v="3"/>
    <x v="2"/>
    <x v="54"/>
  </r>
  <r>
    <x v="1"/>
    <x v="1"/>
    <x v="3"/>
    <x v="3"/>
    <x v="2"/>
    <x v="1"/>
    <x v="0"/>
    <x v="1"/>
    <x v="2"/>
    <x v="0"/>
    <x v="2"/>
    <x v="1"/>
    <x v="2"/>
    <x v="5"/>
    <x v="3"/>
    <x v="165"/>
    <x v="145"/>
  </r>
  <r>
    <x v="1"/>
    <x v="1"/>
    <x v="3"/>
    <x v="3"/>
    <x v="3"/>
    <x v="10"/>
    <x v="57"/>
    <x v="69"/>
    <x v="104"/>
    <x v="118"/>
    <x v="113"/>
    <x v="134"/>
    <x v="142"/>
    <x v="147"/>
    <x v="129"/>
    <x v="167"/>
    <x v="2"/>
  </r>
  <r>
    <x v="1"/>
    <x v="1"/>
    <x v="3"/>
    <x v="4"/>
    <x v="4"/>
    <x v="11"/>
    <x v="13"/>
    <x v="19"/>
    <x v="26"/>
    <x v="6"/>
    <x v="31"/>
    <x v="40"/>
    <x v="3"/>
    <x v="5"/>
    <x v="3"/>
    <x v="54"/>
    <x v="140"/>
  </r>
  <r>
    <x v="1"/>
    <x v="1"/>
    <x v="3"/>
    <x v="4"/>
    <x v="5"/>
    <x v="11"/>
    <x v="13"/>
    <x v="19"/>
    <x v="26"/>
    <x v="6"/>
    <x v="31"/>
    <x v="40"/>
    <x v="46"/>
    <x v="45"/>
    <x v="50"/>
    <x v="60"/>
    <x v="56"/>
  </r>
  <r>
    <x v="1"/>
    <x v="1"/>
    <x v="3"/>
    <x v="4"/>
    <x v="6"/>
    <x v="11"/>
    <x v="13"/>
    <x v="19"/>
    <x v="26"/>
    <x v="6"/>
    <x v="31"/>
    <x v="40"/>
    <x v="46"/>
    <x v="45"/>
    <x v="50"/>
    <x v="60"/>
    <x v="56"/>
  </r>
  <r>
    <x v="1"/>
    <x v="1"/>
    <x v="3"/>
    <x v="4"/>
    <x v="7"/>
    <x v="11"/>
    <x v="13"/>
    <x v="19"/>
    <x v="26"/>
    <x v="6"/>
    <x v="31"/>
    <x v="40"/>
    <x v="46"/>
    <x v="45"/>
    <x v="50"/>
    <x v="60"/>
    <x v="56"/>
  </r>
  <r>
    <x v="1"/>
    <x v="1"/>
    <x v="3"/>
    <x v="2"/>
    <x v="8"/>
    <x v="1"/>
    <x v="0"/>
    <x v="3"/>
    <x v="3"/>
    <x v="1"/>
    <x v="3"/>
    <x v="2"/>
    <x v="3"/>
    <x v="22"/>
    <x v="133"/>
    <x v="4"/>
    <x v="2"/>
  </r>
  <r>
    <x v="1"/>
    <x v="1"/>
    <x v="3"/>
    <x v="2"/>
    <x v="9"/>
    <x v="11"/>
    <x v="57"/>
    <x v="69"/>
    <x v="104"/>
    <x v="118"/>
    <x v="113"/>
    <x v="134"/>
    <x v="3"/>
    <x v="2"/>
    <x v="3"/>
    <x v="4"/>
    <x v="2"/>
  </r>
  <r>
    <x v="1"/>
    <x v="1"/>
    <x v="3"/>
    <x v="2"/>
    <x v="10"/>
    <x v="11"/>
    <x v="57"/>
    <x v="69"/>
    <x v="104"/>
    <x v="118"/>
    <x v="113"/>
    <x v="134"/>
    <x v="142"/>
    <x v="147"/>
    <x v="129"/>
    <x v="167"/>
    <x v="2"/>
  </r>
  <r>
    <x v="1"/>
    <x v="1"/>
    <x v="3"/>
    <x v="2"/>
    <x v="11"/>
    <x v="11"/>
    <x v="57"/>
    <x v="69"/>
    <x v="104"/>
    <x v="118"/>
    <x v="113"/>
    <x v="134"/>
    <x v="142"/>
    <x v="147"/>
    <x v="129"/>
    <x v="167"/>
    <x v="147"/>
  </r>
  <r>
    <x v="1"/>
    <x v="1"/>
    <x v="3"/>
    <x v="2"/>
    <x v="12"/>
    <x v="11"/>
    <x v="57"/>
    <x v="69"/>
    <x v="104"/>
    <x v="6"/>
    <x v="31"/>
    <x v="40"/>
    <x v="46"/>
    <x v="45"/>
    <x v="50"/>
    <x v="60"/>
    <x v="56"/>
  </r>
  <r>
    <x v="1"/>
    <x v="1"/>
    <x v="3"/>
    <x v="0"/>
    <x v="34"/>
    <x v="1"/>
    <x v="0"/>
    <x v="1"/>
    <x v="2"/>
    <x v="0"/>
    <x v="2"/>
    <x v="1"/>
    <x v="27"/>
    <x v="43"/>
    <x v="3"/>
    <x v="55"/>
    <x v="148"/>
  </r>
  <r>
    <x v="1"/>
    <x v="1"/>
    <x v="3"/>
    <x v="3"/>
    <x v="1"/>
    <x v="10"/>
    <x v="57"/>
    <x v="69"/>
    <x v="104"/>
    <x v="118"/>
    <x v="113"/>
    <x v="134"/>
    <x v="3"/>
    <x v="2"/>
    <x v="3"/>
    <x v="2"/>
    <x v="54"/>
  </r>
  <r>
    <x v="1"/>
    <x v="1"/>
    <x v="3"/>
    <x v="3"/>
    <x v="2"/>
    <x v="1"/>
    <x v="0"/>
    <x v="1"/>
    <x v="2"/>
    <x v="0"/>
    <x v="2"/>
    <x v="1"/>
    <x v="9"/>
    <x v="5"/>
    <x v="3"/>
    <x v="56"/>
    <x v="50"/>
  </r>
  <r>
    <x v="1"/>
    <x v="1"/>
    <x v="3"/>
    <x v="3"/>
    <x v="3"/>
    <x v="10"/>
    <x v="57"/>
    <x v="69"/>
    <x v="104"/>
    <x v="118"/>
    <x v="113"/>
    <x v="134"/>
    <x v="142"/>
    <x v="147"/>
    <x v="129"/>
    <x v="167"/>
    <x v="2"/>
  </r>
  <r>
    <x v="1"/>
    <x v="1"/>
    <x v="3"/>
    <x v="0"/>
    <x v="35"/>
    <x v="1"/>
    <x v="0"/>
    <x v="1"/>
    <x v="2"/>
    <x v="0"/>
    <x v="2"/>
    <x v="1"/>
    <x v="27"/>
    <x v="148"/>
    <x v="3"/>
    <x v="65"/>
    <x v="149"/>
  </r>
  <r>
    <x v="1"/>
    <x v="1"/>
    <x v="3"/>
    <x v="4"/>
    <x v="4"/>
    <x v="10"/>
    <x v="57"/>
    <x v="69"/>
    <x v="104"/>
    <x v="118"/>
    <x v="113"/>
    <x v="134"/>
    <x v="3"/>
    <x v="5"/>
    <x v="3"/>
    <x v="164"/>
    <x v="142"/>
  </r>
  <r>
    <x v="1"/>
    <x v="1"/>
    <x v="3"/>
    <x v="4"/>
    <x v="5"/>
    <x v="10"/>
    <x v="57"/>
    <x v="69"/>
    <x v="104"/>
    <x v="118"/>
    <x v="113"/>
    <x v="134"/>
    <x v="142"/>
    <x v="147"/>
    <x v="129"/>
    <x v="167"/>
    <x v="2"/>
  </r>
  <r>
    <x v="1"/>
    <x v="1"/>
    <x v="3"/>
    <x v="4"/>
    <x v="6"/>
    <x v="10"/>
    <x v="57"/>
    <x v="69"/>
    <x v="104"/>
    <x v="118"/>
    <x v="113"/>
    <x v="134"/>
    <x v="142"/>
    <x v="147"/>
    <x v="129"/>
    <x v="167"/>
    <x v="147"/>
  </r>
  <r>
    <x v="1"/>
    <x v="1"/>
    <x v="3"/>
    <x v="4"/>
    <x v="7"/>
    <x v="1"/>
    <x v="0"/>
    <x v="1"/>
    <x v="2"/>
    <x v="0"/>
    <x v="2"/>
    <x v="1"/>
    <x v="9"/>
    <x v="43"/>
    <x v="3"/>
    <x v="2"/>
    <x v="1"/>
  </r>
  <r>
    <x v="1"/>
    <x v="1"/>
    <x v="4"/>
    <x v="0"/>
    <x v="15"/>
    <x v="1"/>
    <x v="58"/>
    <x v="3"/>
    <x v="3"/>
    <x v="1"/>
    <x v="3"/>
    <x v="2"/>
    <x v="3"/>
    <x v="149"/>
    <x v="134"/>
    <x v="4"/>
    <x v="2"/>
  </r>
  <r>
    <x v="1"/>
    <x v="1"/>
    <x v="4"/>
    <x v="1"/>
    <x v="1"/>
    <x v="1"/>
    <x v="1"/>
    <x v="3"/>
    <x v="3"/>
    <x v="1"/>
    <x v="3"/>
    <x v="2"/>
    <x v="3"/>
    <x v="2"/>
    <x v="135"/>
    <x v="4"/>
    <x v="2"/>
  </r>
  <r>
    <x v="1"/>
    <x v="1"/>
    <x v="4"/>
    <x v="1"/>
    <x v="2"/>
    <x v="1"/>
    <x v="58"/>
    <x v="3"/>
    <x v="3"/>
    <x v="1"/>
    <x v="3"/>
    <x v="2"/>
    <x v="3"/>
    <x v="2"/>
    <x v="136"/>
    <x v="4"/>
    <x v="2"/>
  </r>
  <r>
    <x v="1"/>
    <x v="1"/>
    <x v="4"/>
    <x v="1"/>
    <x v="3"/>
    <x v="1"/>
    <x v="1"/>
    <x v="3"/>
    <x v="3"/>
    <x v="1"/>
    <x v="3"/>
    <x v="2"/>
    <x v="3"/>
    <x v="2"/>
    <x v="1"/>
    <x v="4"/>
    <x v="2"/>
  </r>
  <r>
    <x v="1"/>
    <x v="1"/>
    <x v="4"/>
    <x v="1"/>
    <x v="4"/>
    <x v="1"/>
    <x v="1"/>
    <x v="3"/>
    <x v="3"/>
    <x v="1"/>
    <x v="3"/>
    <x v="2"/>
    <x v="3"/>
    <x v="149"/>
    <x v="1"/>
    <x v="4"/>
    <x v="2"/>
  </r>
  <r>
    <x v="1"/>
    <x v="1"/>
    <x v="4"/>
    <x v="1"/>
    <x v="5"/>
    <x v="1"/>
    <x v="1"/>
    <x v="3"/>
    <x v="3"/>
    <x v="1"/>
    <x v="3"/>
    <x v="2"/>
    <x v="3"/>
    <x v="2"/>
    <x v="1"/>
    <x v="4"/>
    <x v="2"/>
  </r>
  <r>
    <x v="1"/>
    <x v="1"/>
    <x v="4"/>
    <x v="1"/>
    <x v="6"/>
    <x v="1"/>
    <x v="1"/>
    <x v="3"/>
    <x v="3"/>
    <x v="1"/>
    <x v="3"/>
    <x v="2"/>
    <x v="3"/>
    <x v="2"/>
    <x v="1"/>
    <x v="4"/>
    <x v="2"/>
  </r>
  <r>
    <x v="1"/>
    <x v="1"/>
    <x v="4"/>
    <x v="1"/>
    <x v="7"/>
    <x v="1"/>
    <x v="1"/>
    <x v="3"/>
    <x v="3"/>
    <x v="1"/>
    <x v="3"/>
    <x v="2"/>
    <x v="3"/>
    <x v="2"/>
    <x v="1"/>
    <x v="4"/>
    <x v="2"/>
  </r>
  <r>
    <x v="1"/>
    <x v="1"/>
    <x v="4"/>
    <x v="2"/>
    <x v="8"/>
    <x v="1"/>
    <x v="58"/>
    <x v="3"/>
    <x v="3"/>
    <x v="1"/>
    <x v="3"/>
    <x v="2"/>
    <x v="3"/>
    <x v="149"/>
    <x v="137"/>
    <x v="4"/>
    <x v="2"/>
  </r>
  <r>
    <x v="1"/>
    <x v="1"/>
    <x v="4"/>
    <x v="2"/>
    <x v="9"/>
    <x v="1"/>
    <x v="1"/>
    <x v="3"/>
    <x v="3"/>
    <x v="1"/>
    <x v="3"/>
    <x v="2"/>
    <x v="3"/>
    <x v="2"/>
    <x v="138"/>
    <x v="4"/>
    <x v="2"/>
  </r>
  <r>
    <x v="1"/>
    <x v="1"/>
    <x v="4"/>
    <x v="2"/>
    <x v="10"/>
    <x v="1"/>
    <x v="1"/>
    <x v="3"/>
    <x v="3"/>
    <x v="1"/>
    <x v="3"/>
    <x v="2"/>
    <x v="3"/>
    <x v="2"/>
    <x v="1"/>
    <x v="4"/>
    <x v="2"/>
  </r>
  <r>
    <x v="1"/>
    <x v="1"/>
    <x v="4"/>
    <x v="2"/>
    <x v="11"/>
    <x v="1"/>
    <x v="1"/>
    <x v="3"/>
    <x v="3"/>
    <x v="1"/>
    <x v="3"/>
    <x v="2"/>
    <x v="3"/>
    <x v="2"/>
    <x v="1"/>
    <x v="4"/>
    <x v="2"/>
  </r>
  <r>
    <x v="1"/>
    <x v="1"/>
    <x v="4"/>
    <x v="2"/>
    <x v="12"/>
    <x v="1"/>
    <x v="1"/>
    <x v="3"/>
    <x v="3"/>
    <x v="1"/>
    <x v="3"/>
    <x v="2"/>
    <x v="3"/>
    <x v="2"/>
    <x v="1"/>
    <x v="4"/>
    <x v="2"/>
  </r>
  <r>
    <x v="1"/>
    <x v="1"/>
    <x v="5"/>
    <x v="0"/>
    <x v="15"/>
    <x v="1"/>
    <x v="59"/>
    <x v="3"/>
    <x v="3"/>
    <x v="1"/>
    <x v="3"/>
    <x v="2"/>
    <x v="3"/>
    <x v="150"/>
    <x v="139"/>
    <x v="4"/>
    <x v="2"/>
  </r>
  <r>
    <x v="1"/>
    <x v="1"/>
    <x v="5"/>
    <x v="2"/>
    <x v="8"/>
    <x v="1"/>
    <x v="59"/>
    <x v="3"/>
    <x v="3"/>
    <x v="1"/>
    <x v="3"/>
    <x v="2"/>
    <x v="3"/>
    <x v="150"/>
    <x v="140"/>
    <x v="4"/>
    <x v="2"/>
  </r>
  <r>
    <x v="1"/>
    <x v="1"/>
    <x v="5"/>
    <x v="2"/>
    <x v="9"/>
    <x v="1"/>
    <x v="1"/>
    <x v="3"/>
    <x v="3"/>
    <x v="1"/>
    <x v="3"/>
    <x v="2"/>
    <x v="3"/>
    <x v="2"/>
    <x v="141"/>
    <x v="4"/>
    <x v="2"/>
  </r>
  <r>
    <x v="1"/>
    <x v="1"/>
    <x v="5"/>
    <x v="2"/>
    <x v="10"/>
    <x v="1"/>
    <x v="1"/>
    <x v="3"/>
    <x v="3"/>
    <x v="1"/>
    <x v="3"/>
    <x v="2"/>
    <x v="3"/>
    <x v="2"/>
    <x v="1"/>
    <x v="4"/>
    <x v="2"/>
  </r>
  <r>
    <x v="1"/>
    <x v="1"/>
    <x v="5"/>
    <x v="2"/>
    <x v="11"/>
    <x v="1"/>
    <x v="1"/>
    <x v="3"/>
    <x v="3"/>
    <x v="1"/>
    <x v="3"/>
    <x v="2"/>
    <x v="3"/>
    <x v="2"/>
    <x v="1"/>
    <x v="4"/>
    <x v="2"/>
  </r>
  <r>
    <x v="1"/>
    <x v="1"/>
    <x v="5"/>
    <x v="2"/>
    <x v="12"/>
    <x v="1"/>
    <x v="1"/>
    <x v="3"/>
    <x v="3"/>
    <x v="1"/>
    <x v="3"/>
    <x v="2"/>
    <x v="3"/>
    <x v="2"/>
    <x v="1"/>
    <x v="4"/>
    <x v="2"/>
  </r>
  <r>
    <x v="1"/>
    <x v="1"/>
    <x v="6"/>
    <x v="0"/>
    <x v="15"/>
    <x v="1"/>
    <x v="59"/>
    <x v="70"/>
    <x v="105"/>
    <x v="119"/>
    <x v="114"/>
    <x v="135"/>
    <x v="143"/>
    <x v="151"/>
    <x v="142"/>
    <x v="168"/>
    <x v="150"/>
  </r>
  <r>
    <x v="1"/>
    <x v="1"/>
    <x v="7"/>
    <x v="0"/>
    <x v="15"/>
    <x v="1"/>
    <x v="60"/>
    <x v="3"/>
    <x v="3"/>
    <x v="1"/>
    <x v="3"/>
    <x v="2"/>
    <x v="3"/>
    <x v="152"/>
    <x v="143"/>
    <x v="4"/>
    <x v="2"/>
  </r>
  <r>
    <x v="1"/>
    <x v="1"/>
    <x v="7"/>
    <x v="1"/>
    <x v="1"/>
    <x v="1"/>
    <x v="1"/>
    <x v="3"/>
    <x v="3"/>
    <x v="1"/>
    <x v="3"/>
    <x v="2"/>
    <x v="3"/>
    <x v="2"/>
    <x v="144"/>
    <x v="4"/>
    <x v="2"/>
  </r>
  <r>
    <x v="1"/>
    <x v="1"/>
    <x v="7"/>
    <x v="1"/>
    <x v="2"/>
    <x v="1"/>
    <x v="60"/>
    <x v="3"/>
    <x v="3"/>
    <x v="1"/>
    <x v="3"/>
    <x v="2"/>
    <x v="3"/>
    <x v="2"/>
    <x v="145"/>
    <x v="4"/>
    <x v="2"/>
  </r>
  <r>
    <x v="1"/>
    <x v="1"/>
    <x v="7"/>
    <x v="1"/>
    <x v="3"/>
    <x v="1"/>
    <x v="1"/>
    <x v="3"/>
    <x v="3"/>
    <x v="1"/>
    <x v="3"/>
    <x v="2"/>
    <x v="3"/>
    <x v="2"/>
    <x v="1"/>
    <x v="4"/>
    <x v="2"/>
  </r>
  <r>
    <x v="1"/>
    <x v="1"/>
    <x v="7"/>
    <x v="1"/>
    <x v="4"/>
    <x v="1"/>
    <x v="1"/>
    <x v="3"/>
    <x v="3"/>
    <x v="1"/>
    <x v="3"/>
    <x v="2"/>
    <x v="3"/>
    <x v="152"/>
    <x v="1"/>
    <x v="4"/>
    <x v="2"/>
  </r>
  <r>
    <x v="1"/>
    <x v="1"/>
    <x v="7"/>
    <x v="1"/>
    <x v="5"/>
    <x v="1"/>
    <x v="1"/>
    <x v="3"/>
    <x v="3"/>
    <x v="1"/>
    <x v="3"/>
    <x v="2"/>
    <x v="3"/>
    <x v="2"/>
    <x v="1"/>
    <x v="4"/>
    <x v="2"/>
  </r>
  <r>
    <x v="1"/>
    <x v="1"/>
    <x v="7"/>
    <x v="1"/>
    <x v="6"/>
    <x v="1"/>
    <x v="1"/>
    <x v="3"/>
    <x v="3"/>
    <x v="1"/>
    <x v="3"/>
    <x v="2"/>
    <x v="3"/>
    <x v="2"/>
    <x v="1"/>
    <x v="4"/>
    <x v="2"/>
  </r>
  <r>
    <x v="1"/>
    <x v="1"/>
    <x v="7"/>
    <x v="1"/>
    <x v="7"/>
    <x v="1"/>
    <x v="1"/>
    <x v="3"/>
    <x v="3"/>
    <x v="1"/>
    <x v="3"/>
    <x v="2"/>
    <x v="3"/>
    <x v="2"/>
    <x v="1"/>
    <x v="4"/>
    <x v="2"/>
  </r>
  <r>
    <x v="1"/>
    <x v="1"/>
    <x v="7"/>
    <x v="2"/>
    <x v="8"/>
    <x v="1"/>
    <x v="60"/>
    <x v="3"/>
    <x v="3"/>
    <x v="1"/>
    <x v="3"/>
    <x v="2"/>
    <x v="3"/>
    <x v="152"/>
    <x v="146"/>
    <x v="4"/>
    <x v="2"/>
  </r>
  <r>
    <x v="1"/>
    <x v="1"/>
    <x v="7"/>
    <x v="2"/>
    <x v="9"/>
    <x v="1"/>
    <x v="1"/>
    <x v="3"/>
    <x v="3"/>
    <x v="1"/>
    <x v="3"/>
    <x v="2"/>
    <x v="3"/>
    <x v="2"/>
    <x v="147"/>
    <x v="4"/>
    <x v="2"/>
  </r>
  <r>
    <x v="1"/>
    <x v="1"/>
    <x v="7"/>
    <x v="2"/>
    <x v="10"/>
    <x v="1"/>
    <x v="1"/>
    <x v="3"/>
    <x v="3"/>
    <x v="1"/>
    <x v="3"/>
    <x v="2"/>
    <x v="3"/>
    <x v="2"/>
    <x v="1"/>
    <x v="4"/>
    <x v="2"/>
  </r>
  <r>
    <x v="1"/>
    <x v="1"/>
    <x v="7"/>
    <x v="2"/>
    <x v="11"/>
    <x v="1"/>
    <x v="1"/>
    <x v="3"/>
    <x v="3"/>
    <x v="1"/>
    <x v="3"/>
    <x v="2"/>
    <x v="3"/>
    <x v="2"/>
    <x v="1"/>
    <x v="4"/>
    <x v="2"/>
  </r>
  <r>
    <x v="1"/>
    <x v="1"/>
    <x v="7"/>
    <x v="2"/>
    <x v="12"/>
    <x v="1"/>
    <x v="1"/>
    <x v="3"/>
    <x v="3"/>
    <x v="1"/>
    <x v="3"/>
    <x v="2"/>
    <x v="3"/>
    <x v="2"/>
    <x v="1"/>
    <x v="4"/>
    <x v="2"/>
  </r>
  <r>
    <x v="1"/>
    <x v="1"/>
    <x v="4"/>
    <x v="0"/>
    <x v="36"/>
    <x v="1"/>
    <x v="1"/>
    <x v="3"/>
    <x v="3"/>
    <x v="1"/>
    <x v="3"/>
    <x v="2"/>
    <x v="3"/>
    <x v="2"/>
    <x v="148"/>
    <x v="4"/>
    <x v="2"/>
  </r>
  <r>
    <x v="1"/>
    <x v="1"/>
    <x v="4"/>
    <x v="0"/>
    <x v="37"/>
    <x v="1"/>
    <x v="61"/>
    <x v="3"/>
    <x v="3"/>
    <x v="1"/>
    <x v="3"/>
    <x v="2"/>
    <x v="3"/>
    <x v="153"/>
    <x v="1"/>
    <x v="4"/>
    <x v="2"/>
  </r>
  <r>
    <x v="1"/>
    <x v="1"/>
    <x v="4"/>
    <x v="0"/>
    <x v="38"/>
    <x v="1"/>
    <x v="1"/>
    <x v="3"/>
    <x v="3"/>
    <x v="1"/>
    <x v="3"/>
    <x v="2"/>
    <x v="3"/>
    <x v="2"/>
    <x v="1"/>
    <x v="4"/>
    <x v="2"/>
  </r>
  <r>
    <x v="1"/>
    <x v="1"/>
    <x v="4"/>
    <x v="5"/>
    <x v="8"/>
    <x v="1"/>
    <x v="1"/>
    <x v="3"/>
    <x v="3"/>
    <x v="1"/>
    <x v="3"/>
    <x v="2"/>
    <x v="3"/>
    <x v="2"/>
    <x v="149"/>
    <x v="4"/>
    <x v="2"/>
  </r>
  <r>
    <x v="1"/>
    <x v="1"/>
    <x v="4"/>
    <x v="5"/>
    <x v="9"/>
    <x v="1"/>
    <x v="1"/>
    <x v="3"/>
    <x v="3"/>
    <x v="1"/>
    <x v="3"/>
    <x v="2"/>
    <x v="3"/>
    <x v="2"/>
    <x v="150"/>
    <x v="4"/>
    <x v="2"/>
  </r>
  <r>
    <x v="1"/>
    <x v="1"/>
    <x v="4"/>
    <x v="5"/>
    <x v="10"/>
    <x v="1"/>
    <x v="1"/>
    <x v="3"/>
    <x v="3"/>
    <x v="1"/>
    <x v="3"/>
    <x v="2"/>
    <x v="3"/>
    <x v="2"/>
    <x v="1"/>
    <x v="4"/>
    <x v="2"/>
  </r>
  <r>
    <x v="1"/>
    <x v="1"/>
    <x v="4"/>
    <x v="5"/>
    <x v="11"/>
    <x v="1"/>
    <x v="1"/>
    <x v="3"/>
    <x v="3"/>
    <x v="1"/>
    <x v="3"/>
    <x v="2"/>
    <x v="3"/>
    <x v="2"/>
    <x v="1"/>
    <x v="4"/>
    <x v="2"/>
  </r>
  <r>
    <x v="1"/>
    <x v="1"/>
    <x v="4"/>
    <x v="5"/>
    <x v="12"/>
    <x v="1"/>
    <x v="1"/>
    <x v="3"/>
    <x v="3"/>
    <x v="1"/>
    <x v="3"/>
    <x v="2"/>
    <x v="3"/>
    <x v="2"/>
    <x v="1"/>
    <x v="4"/>
    <x v="2"/>
  </r>
  <r>
    <x v="1"/>
    <x v="1"/>
    <x v="4"/>
    <x v="6"/>
    <x v="8"/>
    <x v="1"/>
    <x v="61"/>
    <x v="3"/>
    <x v="3"/>
    <x v="1"/>
    <x v="3"/>
    <x v="2"/>
    <x v="3"/>
    <x v="153"/>
    <x v="1"/>
    <x v="4"/>
    <x v="2"/>
  </r>
  <r>
    <x v="1"/>
    <x v="1"/>
    <x v="4"/>
    <x v="6"/>
    <x v="9"/>
    <x v="1"/>
    <x v="1"/>
    <x v="3"/>
    <x v="3"/>
    <x v="1"/>
    <x v="3"/>
    <x v="2"/>
    <x v="3"/>
    <x v="2"/>
    <x v="1"/>
    <x v="4"/>
    <x v="2"/>
  </r>
  <r>
    <x v="1"/>
    <x v="1"/>
    <x v="4"/>
    <x v="6"/>
    <x v="10"/>
    <x v="1"/>
    <x v="1"/>
    <x v="3"/>
    <x v="3"/>
    <x v="1"/>
    <x v="3"/>
    <x v="2"/>
    <x v="3"/>
    <x v="2"/>
    <x v="1"/>
    <x v="4"/>
    <x v="2"/>
  </r>
  <r>
    <x v="1"/>
    <x v="1"/>
    <x v="4"/>
    <x v="6"/>
    <x v="11"/>
    <x v="1"/>
    <x v="1"/>
    <x v="3"/>
    <x v="3"/>
    <x v="1"/>
    <x v="3"/>
    <x v="2"/>
    <x v="3"/>
    <x v="2"/>
    <x v="1"/>
    <x v="4"/>
    <x v="2"/>
  </r>
  <r>
    <x v="1"/>
    <x v="1"/>
    <x v="4"/>
    <x v="6"/>
    <x v="12"/>
    <x v="1"/>
    <x v="1"/>
    <x v="3"/>
    <x v="3"/>
    <x v="1"/>
    <x v="3"/>
    <x v="2"/>
    <x v="3"/>
    <x v="2"/>
    <x v="1"/>
    <x v="4"/>
    <x v="2"/>
  </r>
  <r>
    <x v="1"/>
    <x v="1"/>
    <x v="4"/>
    <x v="0"/>
    <x v="39"/>
    <x v="1"/>
    <x v="1"/>
    <x v="3"/>
    <x v="3"/>
    <x v="1"/>
    <x v="3"/>
    <x v="2"/>
    <x v="3"/>
    <x v="2"/>
    <x v="139"/>
    <x v="4"/>
    <x v="2"/>
  </r>
  <r>
    <x v="1"/>
    <x v="1"/>
    <x v="4"/>
    <x v="0"/>
    <x v="40"/>
    <x v="1"/>
    <x v="59"/>
    <x v="3"/>
    <x v="3"/>
    <x v="1"/>
    <x v="3"/>
    <x v="2"/>
    <x v="3"/>
    <x v="150"/>
    <x v="1"/>
    <x v="4"/>
    <x v="2"/>
  </r>
  <r>
    <x v="1"/>
    <x v="1"/>
    <x v="4"/>
    <x v="0"/>
    <x v="41"/>
    <x v="1"/>
    <x v="1"/>
    <x v="3"/>
    <x v="3"/>
    <x v="1"/>
    <x v="3"/>
    <x v="2"/>
    <x v="3"/>
    <x v="2"/>
    <x v="1"/>
    <x v="4"/>
    <x v="2"/>
  </r>
  <r>
    <x v="1"/>
    <x v="1"/>
    <x v="8"/>
    <x v="0"/>
    <x v="39"/>
    <x v="1"/>
    <x v="1"/>
    <x v="3"/>
    <x v="3"/>
    <x v="1"/>
    <x v="3"/>
    <x v="2"/>
    <x v="3"/>
    <x v="2"/>
    <x v="139"/>
    <x v="169"/>
    <x v="151"/>
  </r>
  <r>
    <x v="1"/>
    <x v="1"/>
    <x v="8"/>
    <x v="0"/>
    <x v="40"/>
    <x v="1"/>
    <x v="59"/>
    <x v="70"/>
    <x v="105"/>
    <x v="119"/>
    <x v="114"/>
    <x v="135"/>
    <x v="143"/>
    <x v="151"/>
    <x v="151"/>
    <x v="170"/>
    <x v="152"/>
  </r>
  <r>
    <x v="1"/>
    <x v="1"/>
    <x v="8"/>
    <x v="0"/>
    <x v="41"/>
    <x v="1"/>
    <x v="1"/>
    <x v="3"/>
    <x v="3"/>
    <x v="1"/>
    <x v="3"/>
    <x v="2"/>
    <x v="3"/>
    <x v="2"/>
    <x v="1"/>
    <x v="4"/>
    <x v="2"/>
  </r>
  <r>
    <x v="1"/>
    <x v="1"/>
    <x v="8"/>
    <x v="0"/>
    <x v="27"/>
    <x v="1"/>
    <x v="58"/>
    <x v="71"/>
    <x v="106"/>
    <x v="120"/>
    <x v="115"/>
    <x v="136"/>
    <x v="144"/>
    <x v="154"/>
    <x v="152"/>
    <x v="171"/>
    <x v="153"/>
  </r>
  <r>
    <x v="1"/>
    <x v="1"/>
    <x v="8"/>
    <x v="1"/>
    <x v="1"/>
    <x v="1"/>
    <x v="1"/>
    <x v="3"/>
    <x v="3"/>
    <x v="1"/>
    <x v="3"/>
    <x v="2"/>
    <x v="3"/>
    <x v="2"/>
    <x v="135"/>
    <x v="172"/>
    <x v="154"/>
  </r>
  <r>
    <x v="1"/>
    <x v="1"/>
    <x v="8"/>
    <x v="1"/>
    <x v="2"/>
    <x v="1"/>
    <x v="58"/>
    <x v="71"/>
    <x v="106"/>
    <x v="120"/>
    <x v="115"/>
    <x v="136"/>
    <x v="144"/>
    <x v="155"/>
    <x v="153"/>
    <x v="173"/>
    <x v="155"/>
  </r>
  <r>
    <x v="1"/>
    <x v="1"/>
    <x v="8"/>
    <x v="1"/>
    <x v="3"/>
    <x v="1"/>
    <x v="1"/>
    <x v="3"/>
    <x v="3"/>
    <x v="1"/>
    <x v="3"/>
    <x v="2"/>
    <x v="3"/>
    <x v="2"/>
    <x v="1"/>
    <x v="4"/>
    <x v="2"/>
  </r>
  <r>
    <x v="1"/>
    <x v="1"/>
    <x v="8"/>
    <x v="1"/>
    <x v="4"/>
    <x v="1"/>
    <x v="1"/>
    <x v="3"/>
    <x v="3"/>
    <x v="1"/>
    <x v="3"/>
    <x v="2"/>
    <x v="3"/>
    <x v="149"/>
    <x v="154"/>
    <x v="174"/>
    <x v="156"/>
  </r>
  <r>
    <x v="1"/>
    <x v="1"/>
    <x v="8"/>
    <x v="1"/>
    <x v="5"/>
    <x v="1"/>
    <x v="1"/>
    <x v="3"/>
    <x v="3"/>
    <x v="1"/>
    <x v="3"/>
    <x v="2"/>
    <x v="3"/>
    <x v="2"/>
    <x v="1"/>
    <x v="4"/>
    <x v="2"/>
  </r>
  <r>
    <x v="1"/>
    <x v="1"/>
    <x v="8"/>
    <x v="1"/>
    <x v="6"/>
    <x v="1"/>
    <x v="1"/>
    <x v="3"/>
    <x v="3"/>
    <x v="1"/>
    <x v="3"/>
    <x v="2"/>
    <x v="3"/>
    <x v="2"/>
    <x v="1"/>
    <x v="4"/>
    <x v="2"/>
  </r>
  <r>
    <x v="1"/>
    <x v="1"/>
    <x v="8"/>
    <x v="1"/>
    <x v="7"/>
    <x v="1"/>
    <x v="1"/>
    <x v="3"/>
    <x v="3"/>
    <x v="1"/>
    <x v="3"/>
    <x v="2"/>
    <x v="3"/>
    <x v="2"/>
    <x v="1"/>
    <x v="4"/>
    <x v="2"/>
  </r>
  <r>
    <x v="1"/>
    <x v="1"/>
    <x v="8"/>
    <x v="11"/>
    <x v="1"/>
    <x v="11"/>
    <x v="1"/>
    <x v="3"/>
    <x v="3"/>
    <x v="1"/>
    <x v="3"/>
    <x v="2"/>
    <x v="3"/>
    <x v="2"/>
    <x v="155"/>
    <x v="175"/>
    <x v="157"/>
  </r>
  <r>
    <x v="1"/>
    <x v="1"/>
    <x v="8"/>
    <x v="11"/>
    <x v="2"/>
    <x v="11"/>
    <x v="0"/>
    <x v="1"/>
    <x v="2"/>
    <x v="0"/>
    <x v="2"/>
    <x v="1"/>
    <x v="2"/>
    <x v="156"/>
    <x v="156"/>
    <x v="176"/>
    <x v="158"/>
  </r>
  <r>
    <x v="1"/>
    <x v="1"/>
    <x v="8"/>
    <x v="11"/>
    <x v="3"/>
    <x v="11"/>
    <x v="1"/>
    <x v="3"/>
    <x v="3"/>
    <x v="1"/>
    <x v="3"/>
    <x v="2"/>
    <x v="3"/>
    <x v="2"/>
    <x v="1"/>
    <x v="4"/>
    <x v="2"/>
  </r>
  <r>
    <x v="1"/>
    <x v="1"/>
    <x v="8"/>
    <x v="11"/>
    <x v="4"/>
    <x v="11"/>
    <x v="1"/>
    <x v="3"/>
    <x v="3"/>
    <x v="1"/>
    <x v="3"/>
    <x v="2"/>
    <x v="3"/>
    <x v="157"/>
    <x v="157"/>
    <x v="177"/>
    <x v="159"/>
  </r>
  <r>
    <x v="1"/>
    <x v="1"/>
    <x v="8"/>
    <x v="11"/>
    <x v="5"/>
    <x v="11"/>
    <x v="1"/>
    <x v="3"/>
    <x v="3"/>
    <x v="1"/>
    <x v="3"/>
    <x v="2"/>
    <x v="3"/>
    <x v="2"/>
    <x v="1"/>
    <x v="4"/>
    <x v="2"/>
  </r>
  <r>
    <x v="1"/>
    <x v="1"/>
    <x v="8"/>
    <x v="11"/>
    <x v="6"/>
    <x v="11"/>
    <x v="1"/>
    <x v="3"/>
    <x v="3"/>
    <x v="1"/>
    <x v="3"/>
    <x v="2"/>
    <x v="3"/>
    <x v="2"/>
    <x v="1"/>
    <x v="4"/>
    <x v="2"/>
  </r>
  <r>
    <x v="1"/>
    <x v="1"/>
    <x v="8"/>
    <x v="11"/>
    <x v="7"/>
    <x v="11"/>
    <x v="1"/>
    <x v="3"/>
    <x v="3"/>
    <x v="1"/>
    <x v="3"/>
    <x v="2"/>
    <x v="3"/>
    <x v="2"/>
    <x v="1"/>
    <x v="4"/>
    <x v="2"/>
  </r>
  <r>
    <x v="1"/>
    <x v="1"/>
    <x v="8"/>
    <x v="2"/>
    <x v="8"/>
    <x v="1"/>
    <x v="58"/>
    <x v="71"/>
    <x v="106"/>
    <x v="120"/>
    <x v="115"/>
    <x v="136"/>
    <x v="144"/>
    <x v="154"/>
    <x v="158"/>
    <x v="178"/>
    <x v="160"/>
  </r>
  <r>
    <x v="1"/>
    <x v="1"/>
    <x v="8"/>
    <x v="2"/>
    <x v="9"/>
    <x v="1"/>
    <x v="1"/>
    <x v="3"/>
    <x v="3"/>
    <x v="1"/>
    <x v="3"/>
    <x v="2"/>
    <x v="3"/>
    <x v="2"/>
    <x v="138"/>
    <x v="179"/>
    <x v="161"/>
  </r>
  <r>
    <x v="1"/>
    <x v="1"/>
    <x v="8"/>
    <x v="2"/>
    <x v="10"/>
    <x v="1"/>
    <x v="1"/>
    <x v="3"/>
    <x v="3"/>
    <x v="1"/>
    <x v="3"/>
    <x v="2"/>
    <x v="3"/>
    <x v="2"/>
    <x v="1"/>
    <x v="4"/>
    <x v="2"/>
  </r>
  <r>
    <x v="1"/>
    <x v="1"/>
    <x v="8"/>
    <x v="2"/>
    <x v="11"/>
    <x v="1"/>
    <x v="1"/>
    <x v="3"/>
    <x v="3"/>
    <x v="1"/>
    <x v="3"/>
    <x v="2"/>
    <x v="3"/>
    <x v="2"/>
    <x v="1"/>
    <x v="4"/>
    <x v="2"/>
  </r>
  <r>
    <x v="1"/>
    <x v="1"/>
    <x v="8"/>
    <x v="2"/>
    <x v="12"/>
    <x v="1"/>
    <x v="1"/>
    <x v="3"/>
    <x v="3"/>
    <x v="1"/>
    <x v="3"/>
    <x v="2"/>
    <x v="3"/>
    <x v="2"/>
    <x v="1"/>
    <x v="4"/>
    <x v="2"/>
  </r>
  <r>
    <x v="1"/>
    <x v="1"/>
    <x v="8"/>
    <x v="11"/>
    <x v="8"/>
    <x v="11"/>
    <x v="0"/>
    <x v="1"/>
    <x v="2"/>
    <x v="0"/>
    <x v="2"/>
    <x v="1"/>
    <x v="2"/>
    <x v="5"/>
    <x v="159"/>
    <x v="180"/>
    <x v="162"/>
  </r>
  <r>
    <x v="1"/>
    <x v="1"/>
    <x v="8"/>
    <x v="11"/>
    <x v="9"/>
    <x v="11"/>
    <x v="1"/>
    <x v="3"/>
    <x v="3"/>
    <x v="1"/>
    <x v="3"/>
    <x v="2"/>
    <x v="3"/>
    <x v="2"/>
    <x v="160"/>
    <x v="181"/>
    <x v="163"/>
  </r>
  <r>
    <x v="1"/>
    <x v="1"/>
    <x v="8"/>
    <x v="11"/>
    <x v="10"/>
    <x v="11"/>
    <x v="1"/>
    <x v="3"/>
    <x v="3"/>
    <x v="1"/>
    <x v="3"/>
    <x v="2"/>
    <x v="3"/>
    <x v="2"/>
    <x v="1"/>
    <x v="4"/>
    <x v="2"/>
  </r>
  <r>
    <x v="1"/>
    <x v="1"/>
    <x v="8"/>
    <x v="11"/>
    <x v="11"/>
    <x v="11"/>
    <x v="1"/>
    <x v="3"/>
    <x v="3"/>
    <x v="1"/>
    <x v="3"/>
    <x v="2"/>
    <x v="3"/>
    <x v="2"/>
    <x v="1"/>
    <x v="4"/>
    <x v="2"/>
  </r>
  <r>
    <x v="1"/>
    <x v="1"/>
    <x v="8"/>
    <x v="11"/>
    <x v="12"/>
    <x v="11"/>
    <x v="1"/>
    <x v="3"/>
    <x v="3"/>
    <x v="1"/>
    <x v="3"/>
    <x v="2"/>
    <x v="3"/>
    <x v="2"/>
    <x v="1"/>
    <x v="4"/>
    <x v="2"/>
  </r>
  <r>
    <x v="1"/>
    <x v="1"/>
    <x v="9"/>
    <x v="0"/>
    <x v="27"/>
    <x v="1"/>
    <x v="60"/>
    <x v="72"/>
    <x v="107"/>
    <x v="121"/>
    <x v="116"/>
    <x v="137"/>
    <x v="145"/>
    <x v="158"/>
    <x v="161"/>
    <x v="182"/>
    <x v="164"/>
  </r>
  <r>
    <x v="1"/>
    <x v="1"/>
    <x v="9"/>
    <x v="1"/>
    <x v="1"/>
    <x v="1"/>
    <x v="1"/>
    <x v="3"/>
    <x v="3"/>
    <x v="1"/>
    <x v="3"/>
    <x v="2"/>
    <x v="3"/>
    <x v="2"/>
    <x v="144"/>
    <x v="183"/>
    <x v="165"/>
  </r>
  <r>
    <x v="1"/>
    <x v="1"/>
    <x v="9"/>
    <x v="1"/>
    <x v="2"/>
    <x v="1"/>
    <x v="60"/>
    <x v="72"/>
    <x v="107"/>
    <x v="121"/>
    <x v="116"/>
    <x v="137"/>
    <x v="145"/>
    <x v="159"/>
    <x v="162"/>
    <x v="184"/>
    <x v="166"/>
  </r>
  <r>
    <x v="1"/>
    <x v="1"/>
    <x v="9"/>
    <x v="1"/>
    <x v="3"/>
    <x v="1"/>
    <x v="1"/>
    <x v="3"/>
    <x v="3"/>
    <x v="1"/>
    <x v="3"/>
    <x v="2"/>
    <x v="3"/>
    <x v="2"/>
    <x v="1"/>
    <x v="4"/>
    <x v="2"/>
  </r>
  <r>
    <x v="1"/>
    <x v="1"/>
    <x v="9"/>
    <x v="1"/>
    <x v="4"/>
    <x v="1"/>
    <x v="1"/>
    <x v="3"/>
    <x v="3"/>
    <x v="1"/>
    <x v="3"/>
    <x v="2"/>
    <x v="3"/>
    <x v="152"/>
    <x v="163"/>
    <x v="185"/>
    <x v="167"/>
  </r>
  <r>
    <x v="1"/>
    <x v="1"/>
    <x v="9"/>
    <x v="1"/>
    <x v="5"/>
    <x v="1"/>
    <x v="1"/>
    <x v="3"/>
    <x v="3"/>
    <x v="1"/>
    <x v="3"/>
    <x v="2"/>
    <x v="3"/>
    <x v="2"/>
    <x v="1"/>
    <x v="4"/>
    <x v="2"/>
  </r>
  <r>
    <x v="1"/>
    <x v="1"/>
    <x v="9"/>
    <x v="1"/>
    <x v="6"/>
    <x v="1"/>
    <x v="1"/>
    <x v="3"/>
    <x v="3"/>
    <x v="1"/>
    <x v="3"/>
    <x v="2"/>
    <x v="3"/>
    <x v="2"/>
    <x v="1"/>
    <x v="4"/>
    <x v="2"/>
  </r>
  <r>
    <x v="1"/>
    <x v="1"/>
    <x v="9"/>
    <x v="1"/>
    <x v="7"/>
    <x v="1"/>
    <x v="1"/>
    <x v="3"/>
    <x v="3"/>
    <x v="1"/>
    <x v="3"/>
    <x v="2"/>
    <x v="3"/>
    <x v="2"/>
    <x v="1"/>
    <x v="4"/>
    <x v="2"/>
  </r>
  <r>
    <x v="1"/>
    <x v="1"/>
    <x v="9"/>
    <x v="11"/>
    <x v="1"/>
    <x v="11"/>
    <x v="1"/>
    <x v="3"/>
    <x v="3"/>
    <x v="1"/>
    <x v="3"/>
    <x v="2"/>
    <x v="3"/>
    <x v="2"/>
    <x v="164"/>
    <x v="186"/>
    <x v="168"/>
  </r>
  <r>
    <x v="1"/>
    <x v="1"/>
    <x v="9"/>
    <x v="11"/>
    <x v="2"/>
    <x v="11"/>
    <x v="0"/>
    <x v="1"/>
    <x v="2"/>
    <x v="0"/>
    <x v="2"/>
    <x v="1"/>
    <x v="2"/>
    <x v="160"/>
    <x v="165"/>
    <x v="187"/>
    <x v="169"/>
  </r>
  <r>
    <x v="1"/>
    <x v="1"/>
    <x v="9"/>
    <x v="11"/>
    <x v="3"/>
    <x v="11"/>
    <x v="1"/>
    <x v="3"/>
    <x v="3"/>
    <x v="1"/>
    <x v="3"/>
    <x v="2"/>
    <x v="3"/>
    <x v="2"/>
    <x v="1"/>
    <x v="4"/>
    <x v="2"/>
  </r>
  <r>
    <x v="1"/>
    <x v="1"/>
    <x v="9"/>
    <x v="11"/>
    <x v="4"/>
    <x v="11"/>
    <x v="1"/>
    <x v="3"/>
    <x v="3"/>
    <x v="1"/>
    <x v="3"/>
    <x v="2"/>
    <x v="3"/>
    <x v="161"/>
    <x v="166"/>
    <x v="188"/>
    <x v="170"/>
  </r>
  <r>
    <x v="1"/>
    <x v="1"/>
    <x v="9"/>
    <x v="11"/>
    <x v="5"/>
    <x v="11"/>
    <x v="1"/>
    <x v="3"/>
    <x v="3"/>
    <x v="1"/>
    <x v="3"/>
    <x v="2"/>
    <x v="3"/>
    <x v="2"/>
    <x v="1"/>
    <x v="4"/>
    <x v="2"/>
  </r>
  <r>
    <x v="1"/>
    <x v="1"/>
    <x v="9"/>
    <x v="11"/>
    <x v="6"/>
    <x v="11"/>
    <x v="1"/>
    <x v="3"/>
    <x v="3"/>
    <x v="1"/>
    <x v="3"/>
    <x v="2"/>
    <x v="3"/>
    <x v="2"/>
    <x v="1"/>
    <x v="4"/>
    <x v="2"/>
  </r>
  <r>
    <x v="1"/>
    <x v="1"/>
    <x v="9"/>
    <x v="11"/>
    <x v="7"/>
    <x v="11"/>
    <x v="1"/>
    <x v="3"/>
    <x v="3"/>
    <x v="1"/>
    <x v="3"/>
    <x v="2"/>
    <x v="3"/>
    <x v="2"/>
    <x v="1"/>
    <x v="4"/>
    <x v="2"/>
  </r>
  <r>
    <x v="1"/>
    <x v="1"/>
    <x v="9"/>
    <x v="2"/>
    <x v="8"/>
    <x v="1"/>
    <x v="60"/>
    <x v="72"/>
    <x v="107"/>
    <x v="121"/>
    <x v="116"/>
    <x v="137"/>
    <x v="145"/>
    <x v="158"/>
    <x v="167"/>
    <x v="189"/>
    <x v="171"/>
  </r>
  <r>
    <x v="1"/>
    <x v="1"/>
    <x v="9"/>
    <x v="2"/>
    <x v="9"/>
    <x v="1"/>
    <x v="1"/>
    <x v="3"/>
    <x v="3"/>
    <x v="1"/>
    <x v="3"/>
    <x v="2"/>
    <x v="3"/>
    <x v="2"/>
    <x v="147"/>
    <x v="190"/>
    <x v="172"/>
  </r>
  <r>
    <x v="1"/>
    <x v="1"/>
    <x v="9"/>
    <x v="2"/>
    <x v="10"/>
    <x v="1"/>
    <x v="1"/>
    <x v="3"/>
    <x v="3"/>
    <x v="1"/>
    <x v="3"/>
    <x v="2"/>
    <x v="3"/>
    <x v="2"/>
    <x v="1"/>
    <x v="4"/>
    <x v="2"/>
  </r>
  <r>
    <x v="1"/>
    <x v="1"/>
    <x v="9"/>
    <x v="2"/>
    <x v="11"/>
    <x v="1"/>
    <x v="1"/>
    <x v="3"/>
    <x v="3"/>
    <x v="1"/>
    <x v="3"/>
    <x v="2"/>
    <x v="3"/>
    <x v="2"/>
    <x v="1"/>
    <x v="4"/>
    <x v="2"/>
  </r>
  <r>
    <x v="1"/>
    <x v="1"/>
    <x v="9"/>
    <x v="2"/>
    <x v="12"/>
    <x v="1"/>
    <x v="1"/>
    <x v="3"/>
    <x v="3"/>
    <x v="1"/>
    <x v="3"/>
    <x v="2"/>
    <x v="3"/>
    <x v="2"/>
    <x v="1"/>
    <x v="4"/>
    <x v="2"/>
  </r>
  <r>
    <x v="1"/>
    <x v="1"/>
    <x v="9"/>
    <x v="11"/>
    <x v="8"/>
    <x v="11"/>
    <x v="0"/>
    <x v="1"/>
    <x v="2"/>
    <x v="0"/>
    <x v="2"/>
    <x v="1"/>
    <x v="2"/>
    <x v="5"/>
    <x v="168"/>
    <x v="191"/>
    <x v="173"/>
  </r>
  <r>
    <x v="1"/>
    <x v="1"/>
    <x v="9"/>
    <x v="11"/>
    <x v="9"/>
    <x v="11"/>
    <x v="1"/>
    <x v="3"/>
    <x v="3"/>
    <x v="1"/>
    <x v="3"/>
    <x v="2"/>
    <x v="3"/>
    <x v="2"/>
    <x v="169"/>
    <x v="192"/>
    <x v="174"/>
  </r>
  <r>
    <x v="1"/>
    <x v="1"/>
    <x v="9"/>
    <x v="11"/>
    <x v="10"/>
    <x v="11"/>
    <x v="1"/>
    <x v="3"/>
    <x v="3"/>
    <x v="1"/>
    <x v="3"/>
    <x v="2"/>
    <x v="3"/>
    <x v="2"/>
    <x v="1"/>
    <x v="4"/>
    <x v="2"/>
  </r>
  <r>
    <x v="1"/>
    <x v="1"/>
    <x v="9"/>
    <x v="11"/>
    <x v="11"/>
    <x v="11"/>
    <x v="1"/>
    <x v="3"/>
    <x v="3"/>
    <x v="1"/>
    <x v="3"/>
    <x v="2"/>
    <x v="3"/>
    <x v="2"/>
    <x v="1"/>
    <x v="4"/>
    <x v="2"/>
  </r>
  <r>
    <x v="1"/>
    <x v="1"/>
    <x v="9"/>
    <x v="11"/>
    <x v="12"/>
    <x v="11"/>
    <x v="1"/>
    <x v="3"/>
    <x v="3"/>
    <x v="1"/>
    <x v="3"/>
    <x v="2"/>
    <x v="3"/>
    <x v="2"/>
    <x v="1"/>
    <x v="4"/>
    <x v="2"/>
  </r>
  <r>
    <x v="1"/>
    <x v="1"/>
    <x v="8"/>
    <x v="0"/>
    <x v="30"/>
    <x v="1"/>
    <x v="1"/>
    <x v="3"/>
    <x v="3"/>
    <x v="1"/>
    <x v="3"/>
    <x v="2"/>
    <x v="3"/>
    <x v="2"/>
    <x v="148"/>
    <x v="193"/>
    <x v="175"/>
  </r>
  <r>
    <x v="1"/>
    <x v="1"/>
    <x v="8"/>
    <x v="0"/>
    <x v="31"/>
    <x v="1"/>
    <x v="61"/>
    <x v="73"/>
    <x v="108"/>
    <x v="122"/>
    <x v="117"/>
    <x v="138"/>
    <x v="146"/>
    <x v="162"/>
    <x v="170"/>
    <x v="194"/>
    <x v="176"/>
  </r>
  <r>
    <x v="1"/>
    <x v="1"/>
    <x v="8"/>
    <x v="14"/>
    <x v="8"/>
    <x v="1"/>
    <x v="1"/>
    <x v="3"/>
    <x v="3"/>
    <x v="1"/>
    <x v="3"/>
    <x v="2"/>
    <x v="3"/>
    <x v="2"/>
    <x v="149"/>
    <x v="195"/>
    <x v="177"/>
  </r>
  <r>
    <x v="1"/>
    <x v="1"/>
    <x v="8"/>
    <x v="14"/>
    <x v="9"/>
    <x v="1"/>
    <x v="1"/>
    <x v="3"/>
    <x v="3"/>
    <x v="1"/>
    <x v="3"/>
    <x v="2"/>
    <x v="3"/>
    <x v="2"/>
    <x v="150"/>
    <x v="196"/>
    <x v="178"/>
  </r>
  <r>
    <x v="1"/>
    <x v="1"/>
    <x v="8"/>
    <x v="14"/>
    <x v="10"/>
    <x v="1"/>
    <x v="1"/>
    <x v="3"/>
    <x v="3"/>
    <x v="1"/>
    <x v="3"/>
    <x v="2"/>
    <x v="3"/>
    <x v="2"/>
    <x v="1"/>
    <x v="4"/>
    <x v="2"/>
  </r>
  <r>
    <x v="1"/>
    <x v="1"/>
    <x v="8"/>
    <x v="14"/>
    <x v="11"/>
    <x v="1"/>
    <x v="1"/>
    <x v="3"/>
    <x v="3"/>
    <x v="1"/>
    <x v="3"/>
    <x v="2"/>
    <x v="3"/>
    <x v="2"/>
    <x v="1"/>
    <x v="4"/>
    <x v="2"/>
  </r>
  <r>
    <x v="1"/>
    <x v="1"/>
    <x v="8"/>
    <x v="14"/>
    <x v="12"/>
    <x v="1"/>
    <x v="1"/>
    <x v="3"/>
    <x v="3"/>
    <x v="1"/>
    <x v="3"/>
    <x v="2"/>
    <x v="3"/>
    <x v="2"/>
    <x v="1"/>
    <x v="4"/>
    <x v="2"/>
  </r>
  <r>
    <x v="1"/>
    <x v="1"/>
    <x v="8"/>
    <x v="15"/>
    <x v="8"/>
    <x v="1"/>
    <x v="61"/>
    <x v="73"/>
    <x v="108"/>
    <x v="122"/>
    <x v="117"/>
    <x v="138"/>
    <x v="146"/>
    <x v="162"/>
    <x v="170"/>
    <x v="194"/>
    <x v="176"/>
  </r>
  <r>
    <x v="1"/>
    <x v="1"/>
    <x v="8"/>
    <x v="15"/>
    <x v="9"/>
    <x v="1"/>
    <x v="1"/>
    <x v="3"/>
    <x v="3"/>
    <x v="1"/>
    <x v="3"/>
    <x v="2"/>
    <x v="3"/>
    <x v="2"/>
    <x v="1"/>
    <x v="4"/>
    <x v="2"/>
  </r>
  <r>
    <x v="1"/>
    <x v="1"/>
    <x v="8"/>
    <x v="15"/>
    <x v="10"/>
    <x v="1"/>
    <x v="1"/>
    <x v="3"/>
    <x v="3"/>
    <x v="1"/>
    <x v="3"/>
    <x v="2"/>
    <x v="3"/>
    <x v="2"/>
    <x v="1"/>
    <x v="4"/>
    <x v="2"/>
  </r>
  <r>
    <x v="1"/>
    <x v="1"/>
    <x v="8"/>
    <x v="15"/>
    <x v="11"/>
    <x v="1"/>
    <x v="1"/>
    <x v="3"/>
    <x v="3"/>
    <x v="1"/>
    <x v="3"/>
    <x v="2"/>
    <x v="3"/>
    <x v="2"/>
    <x v="1"/>
    <x v="4"/>
    <x v="2"/>
  </r>
  <r>
    <x v="1"/>
    <x v="1"/>
    <x v="8"/>
    <x v="15"/>
    <x v="12"/>
    <x v="1"/>
    <x v="1"/>
    <x v="3"/>
    <x v="3"/>
    <x v="1"/>
    <x v="3"/>
    <x v="2"/>
    <x v="3"/>
    <x v="2"/>
    <x v="1"/>
    <x v="4"/>
    <x v="2"/>
  </r>
  <r>
    <x v="2"/>
    <x v="0"/>
    <x v="0"/>
    <x v="0"/>
    <x v="0"/>
    <x v="0"/>
    <x v="0"/>
    <x v="7"/>
    <x v="0"/>
    <x v="0"/>
    <x v="4"/>
    <x v="0"/>
    <x v="0"/>
    <x v="4"/>
    <x v="5"/>
    <x v="7"/>
    <x v="14"/>
  </r>
  <r>
    <x v="2"/>
    <x v="0"/>
    <x v="0"/>
    <x v="1"/>
    <x v="1"/>
    <x v="3"/>
    <x v="1"/>
    <x v="2"/>
    <x v="2"/>
    <x v="1"/>
    <x v="3"/>
    <x v="4"/>
    <x v="1"/>
    <x v="3"/>
    <x v="3"/>
    <x v="2"/>
    <x v="5"/>
  </r>
  <r>
    <x v="2"/>
    <x v="0"/>
    <x v="0"/>
    <x v="1"/>
    <x v="2"/>
    <x v="5"/>
    <x v="1"/>
    <x v="3"/>
    <x v="4"/>
    <x v="0"/>
    <x v="2"/>
    <x v="3"/>
    <x v="3"/>
    <x v="5"/>
    <x v="1"/>
    <x v="1"/>
    <x v="1"/>
  </r>
  <r>
    <x v="2"/>
    <x v="0"/>
    <x v="0"/>
    <x v="1"/>
    <x v="3"/>
    <x v="3"/>
    <x v="0"/>
    <x v="3"/>
    <x v="3"/>
    <x v="1"/>
    <x v="3"/>
    <x v="2"/>
    <x v="1"/>
    <x v="5"/>
    <x v="4"/>
    <x v="1"/>
    <x v="2"/>
  </r>
  <r>
    <x v="2"/>
    <x v="0"/>
    <x v="0"/>
    <x v="1"/>
    <x v="4"/>
    <x v="1"/>
    <x v="1"/>
    <x v="4"/>
    <x v="3"/>
    <x v="1"/>
    <x v="1"/>
    <x v="1"/>
    <x v="3"/>
    <x v="2"/>
    <x v="1"/>
    <x v="2"/>
    <x v="2"/>
  </r>
  <r>
    <x v="2"/>
    <x v="0"/>
    <x v="0"/>
    <x v="1"/>
    <x v="5"/>
    <x v="3"/>
    <x v="1"/>
    <x v="3"/>
    <x v="2"/>
    <x v="1"/>
    <x v="3"/>
    <x v="2"/>
    <x v="2"/>
    <x v="2"/>
    <x v="1"/>
    <x v="4"/>
    <x v="1"/>
  </r>
  <r>
    <x v="2"/>
    <x v="0"/>
    <x v="0"/>
    <x v="1"/>
    <x v="6"/>
    <x v="1"/>
    <x v="1"/>
    <x v="3"/>
    <x v="3"/>
    <x v="1"/>
    <x v="3"/>
    <x v="2"/>
    <x v="3"/>
    <x v="2"/>
    <x v="1"/>
    <x v="4"/>
    <x v="2"/>
  </r>
  <r>
    <x v="2"/>
    <x v="0"/>
    <x v="0"/>
    <x v="1"/>
    <x v="7"/>
    <x v="1"/>
    <x v="1"/>
    <x v="1"/>
    <x v="2"/>
    <x v="1"/>
    <x v="3"/>
    <x v="2"/>
    <x v="3"/>
    <x v="2"/>
    <x v="1"/>
    <x v="4"/>
    <x v="2"/>
  </r>
  <r>
    <x v="2"/>
    <x v="0"/>
    <x v="0"/>
    <x v="2"/>
    <x v="8"/>
    <x v="5"/>
    <x v="1"/>
    <x v="4"/>
    <x v="1"/>
    <x v="1"/>
    <x v="2"/>
    <x v="6"/>
    <x v="1"/>
    <x v="5"/>
    <x v="3"/>
    <x v="1"/>
    <x v="4"/>
  </r>
  <r>
    <x v="2"/>
    <x v="0"/>
    <x v="0"/>
    <x v="2"/>
    <x v="9"/>
    <x v="5"/>
    <x v="1"/>
    <x v="4"/>
    <x v="4"/>
    <x v="1"/>
    <x v="3"/>
    <x v="1"/>
    <x v="5"/>
    <x v="5"/>
    <x v="3"/>
    <x v="5"/>
    <x v="0"/>
  </r>
  <r>
    <x v="2"/>
    <x v="0"/>
    <x v="0"/>
    <x v="2"/>
    <x v="10"/>
    <x v="1"/>
    <x v="0"/>
    <x v="3"/>
    <x v="3"/>
    <x v="0"/>
    <x v="2"/>
    <x v="1"/>
    <x v="3"/>
    <x v="3"/>
    <x v="3"/>
    <x v="2"/>
    <x v="1"/>
  </r>
  <r>
    <x v="2"/>
    <x v="0"/>
    <x v="0"/>
    <x v="2"/>
    <x v="11"/>
    <x v="1"/>
    <x v="1"/>
    <x v="1"/>
    <x v="3"/>
    <x v="1"/>
    <x v="2"/>
    <x v="2"/>
    <x v="3"/>
    <x v="2"/>
    <x v="1"/>
    <x v="4"/>
    <x v="2"/>
  </r>
  <r>
    <x v="2"/>
    <x v="0"/>
    <x v="0"/>
    <x v="2"/>
    <x v="12"/>
    <x v="1"/>
    <x v="1"/>
    <x v="1"/>
    <x v="3"/>
    <x v="1"/>
    <x v="3"/>
    <x v="2"/>
    <x v="3"/>
    <x v="2"/>
    <x v="1"/>
    <x v="4"/>
    <x v="2"/>
  </r>
  <r>
    <x v="2"/>
    <x v="0"/>
    <x v="0"/>
    <x v="0"/>
    <x v="13"/>
    <x v="33"/>
    <x v="0"/>
    <x v="0"/>
    <x v="0"/>
    <x v="0"/>
    <x v="4"/>
    <x v="0"/>
    <x v="0"/>
    <x v="4"/>
    <x v="5"/>
    <x v="7"/>
    <x v="6"/>
  </r>
  <r>
    <x v="2"/>
    <x v="0"/>
    <x v="0"/>
    <x v="3"/>
    <x v="1"/>
    <x v="3"/>
    <x v="1"/>
    <x v="2"/>
    <x v="4"/>
    <x v="1"/>
    <x v="2"/>
    <x v="4"/>
    <x v="1"/>
    <x v="3"/>
    <x v="3"/>
    <x v="1"/>
    <x v="5"/>
  </r>
  <r>
    <x v="2"/>
    <x v="0"/>
    <x v="0"/>
    <x v="3"/>
    <x v="2"/>
    <x v="5"/>
    <x v="1"/>
    <x v="3"/>
    <x v="4"/>
    <x v="0"/>
    <x v="2"/>
    <x v="6"/>
    <x v="2"/>
    <x v="5"/>
    <x v="1"/>
    <x v="1"/>
    <x v="1"/>
  </r>
  <r>
    <x v="2"/>
    <x v="0"/>
    <x v="0"/>
    <x v="3"/>
    <x v="3"/>
    <x v="3"/>
    <x v="0"/>
    <x v="1"/>
    <x v="2"/>
    <x v="1"/>
    <x v="2"/>
    <x v="2"/>
    <x v="1"/>
    <x v="5"/>
    <x v="4"/>
    <x v="1"/>
    <x v="2"/>
  </r>
  <r>
    <x v="2"/>
    <x v="0"/>
    <x v="0"/>
    <x v="0"/>
    <x v="14"/>
    <x v="5"/>
    <x v="0"/>
    <x v="7"/>
    <x v="5"/>
    <x v="1"/>
    <x v="4"/>
    <x v="6"/>
    <x v="5"/>
    <x v="4"/>
    <x v="4"/>
    <x v="8"/>
    <x v="14"/>
  </r>
  <r>
    <x v="2"/>
    <x v="0"/>
    <x v="0"/>
    <x v="4"/>
    <x v="4"/>
    <x v="2"/>
    <x v="0"/>
    <x v="2"/>
    <x v="2"/>
    <x v="1"/>
    <x v="1"/>
    <x v="1"/>
    <x v="2"/>
    <x v="5"/>
    <x v="1"/>
    <x v="2"/>
    <x v="2"/>
  </r>
  <r>
    <x v="2"/>
    <x v="0"/>
    <x v="0"/>
    <x v="4"/>
    <x v="5"/>
    <x v="3"/>
    <x v="1"/>
    <x v="1"/>
    <x v="4"/>
    <x v="1"/>
    <x v="3"/>
    <x v="3"/>
    <x v="1"/>
    <x v="1"/>
    <x v="1"/>
    <x v="5"/>
    <x v="14"/>
  </r>
  <r>
    <x v="2"/>
    <x v="0"/>
    <x v="0"/>
    <x v="4"/>
    <x v="6"/>
    <x v="1"/>
    <x v="1"/>
    <x v="3"/>
    <x v="3"/>
    <x v="1"/>
    <x v="3"/>
    <x v="2"/>
    <x v="3"/>
    <x v="2"/>
    <x v="1"/>
    <x v="4"/>
    <x v="2"/>
  </r>
  <r>
    <x v="2"/>
    <x v="0"/>
    <x v="0"/>
    <x v="4"/>
    <x v="7"/>
    <x v="1"/>
    <x v="1"/>
    <x v="4"/>
    <x v="2"/>
    <x v="1"/>
    <x v="2"/>
    <x v="2"/>
    <x v="3"/>
    <x v="2"/>
    <x v="4"/>
    <x v="2"/>
    <x v="2"/>
  </r>
  <r>
    <x v="2"/>
    <x v="1"/>
    <x v="0"/>
    <x v="0"/>
    <x v="15"/>
    <x v="0"/>
    <x v="1"/>
    <x v="1"/>
    <x v="22"/>
    <x v="4"/>
    <x v="4"/>
    <x v="6"/>
    <x v="147"/>
    <x v="4"/>
    <x v="12"/>
    <x v="1"/>
    <x v="6"/>
  </r>
  <r>
    <x v="2"/>
    <x v="1"/>
    <x v="0"/>
    <x v="1"/>
    <x v="1"/>
    <x v="3"/>
    <x v="1"/>
    <x v="3"/>
    <x v="5"/>
    <x v="1"/>
    <x v="3"/>
    <x v="1"/>
    <x v="5"/>
    <x v="5"/>
    <x v="3"/>
    <x v="1"/>
    <x v="1"/>
  </r>
  <r>
    <x v="2"/>
    <x v="1"/>
    <x v="0"/>
    <x v="1"/>
    <x v="2"/>
    <x v="5"/>
    <x v="1"/>
    <x v="3"/>
    <x v="3"/>
    <x v="3"/>
    <x v="2"/>
    <x v="4"/>
    <x v="1"/>
    <x v="2"/>
    <x v="3"/>
    <x v="4"/>
    <x v="2"/>
  </r>
  <r>
    <x v="2"/>
    <x v="1"/>
    <x v="0"/>
    <x v="1"/>
    <x v="3"/>
    <x v="3"/>
    <x v="1"/>
    <x v="1"/>
    <x v="3"/>
    <x v="1"/>
    <x v="3"/>
    <x v="2"/>
    <x v="2"/>
    <x v="3"/>
    <x v="4"/>
    <x v="4"/>
    <x v="0"/>
  </r>
  <r>
    <x v="2"/>
    <x v="1"/>
    <x v="0"/>
    <x v="1"/>
    <x v="4"/>
    <x v="1"/>
    <x v="1"/>
    <x v="3"/>
    <x v="4"/>
    <x v="1"/>
    <x v="1"/>
    <x v="1"/>
    <x v="3"/>
    <x v="2"/>
    <x v="1"/>
    <x v="4"/>
    <x v="1"/>
  </r>
  <r>
    <x v="2"/>
    <x v="1"/>
    <x v="0"/>
    <x v="1"/>
    <x v="5"/>
    <x v="3"/>
    <x v="1"/>
    <x v="3"/>
    <x v="2"/>
    <x v="1"/>
    <x v="3"/>
    <x v="2"/>
    <x v="3"/>
    <x v="5"/>
    <x v="1"/>
    <x v="4"/>
    <x v="1"/>
  </r>
  <r>
    <x v="2"/>
    <x v="1"/>
    <x v="0"/>
    <x v="1"/>
    <x v="6"/>
    <x v="1"/>
    <x v="1"/>
    <x v="3"/>
    <x v="3"/>
    <x v="1"/>
    <x v="3"/>
    <x v="2"/>
    <x v="3"/>
    <x v="2"/>
    <x v="1"/>
    <x v="4"/>
    <x v="2"/>
  </r>
  <r>
    <x v="2"/>
    <x v="1"/>
    <x v="0"/>
    <x v="1"/>
    <x v="7"/>
    <x v="1"/>
    <x v="1"/>
    <x v="3"/>
    <x v="2"/>
    <x v="0"/>
    <x v="3"/>
    <x v="2"/>
    <x v="3"/>
    <x v="2"/>
    <x v="1"/>
    <x v="4"/>
    <x v="2"/>
  </r>
  <r>
    <x v="2"/>
    <x v="1"/>
    <x v="0"/>
    <x v="2"/>
    <x v="8"/>
    <x v="5"/>
    <x v="1"/>
    <x v="3"/>
    <x v="5"/>
    <x v="0"/>
    <x v="2"/>
    <x v="3"/>
    <x v="1"/>
    <x v="3"/>
    <x v="3"/>
    <x v="2"/>
    <x v="1"/>
  </r>
  <r>
    <x v="2"/>
    <x v="1"/>
    <x v="0"/>
    <x v="2"/>
    <x v="9"/>
    <x v="5"/>
    <x v="1"/>
    <x v="3"/>
    <x v="1"/>
    <x v="0"/>
    <x v="3"/>
    <x v="2"/>
    <x v="5"/>
    <x v="5"/>
    <x v="3"/>
    <x v="2"/>
    <x v="4"/>
  </r>
  <r>
    <x v="2"/>
    <x v="1"/>
    <x v="0"/>
    <x v="2"/>
    <x v="10"/>
    <x v="1"/>
    <x v="1"/>
    <x v="1"/>
    <x v="3"/>
    <x v="1"/>
    <x v="2"/>
    <x v="1"/>
    <x v="2"/>
    <x v="5"/>
    <x v="4"/>
    <x v="4"/>
    <x v="1"/>
  </r>
  <r>
    <x v="2"/>
    <x v="1"/>
    <x v="0"/>
    <x v="2"/>
    <x v="11"/>
    <x v="1"/>
    <x v="1"/>
    <x v="3"/>
    <x v="2"/>
    <x v="1"/>
    <x v="2"/>
    <x v="2"/>
    <x v="3"/>
    <x v="2"/>
    <x v="1"/>
    <x v="4"/>
    <x v="2"/>
  </r>
  <r>
    <x v="2"/>
    <x v="1"/>
    <x v="0"/>
    <x v="2"/>
    <x v="12"/>
    <x v="1"/>
    <x v="1"/>
    <x v="3"/>
    <x v="3"/>
    <x v="0"/>
    <x v="3"/>
    <x v="2"/>
    <x v="3"/>
    <x v="2"/>
    <x v="1"/>
    <x v="4"/>
    <x v="2"/>
  </r>
  <r>
    <x v="2"/>
    <x v="1"/>
    <x v="0"/>
    <x v="0"/>
    <x v="16"/>
    <x v="4"/>
    <x v="1"/>
    <x v="3"/>
    <x v="1"/>
    <x v="4"/>
    <x v="4"/>
    <x v="4"/>
    <x v="0"/>
    <x v="4"/>
    <x v="5"/>
    <x v="2"/>
    <x v="5"/>
  </r>
  <r>
    <x v="2"/>
    <x v="1"/>
    <x v="0"/>
    <x v="0"/>
    <x v="17"/>
    <x v="2"/>
    <x v="1"/>
    <x v="1"/>
    <x v="5"/>
    <x v="1"/>
    <x v="3"/>
    <x v="4"/>
    <x v="2"/>
    <x v="2"/>
    <x v="3"/>
    <x v="2"/>
    <x v="1"/>
  </r>
  <r>
    <x v="2"/>
    <x v="1"/>
    <x v="0"/>
    <x v="0"/>
    <x v="18"/>
    <x v="1"/>
    <x v="1"/>
    <x v="3"/>
    <x v="2"/>
    <x v="1"/>
    <x v="3"/>
    <x v="2"/>
    <x v="3"/>
    <x v="2"/>
    <x v="1"/>
    <x v="4"/>
    <x v="2"/>
  </r>
  <r>
    <x v="2"/>
    <x v="1"/>
    <x v="0"/>
    <x v="5"/>
    <x v="8"/>
    <x v="2"/>
    <x v="1"/>
    <x v="3"/>
    <x v="2"/>
    <x v="0"/>
    <x v="2"/>
    <x v="4"/>
    <x v="2"/>
    <x v="3"/>
    <x v="3"/>
    <x v="2"/>
    <x v="1"/>
  </r>
  <r>
    <x v="2"/>
    <x v="1"/>
    <x v="0"/>
    <x v="5"/>
    <x v="9"/>
    <x v="2"/>
    <x v="1"/>
    <x v="3"/>
    <x v="4"/>
    <x v="0"/>
    <x v="3"/>
    <x v="2"/>
    <x v="5"/>
    <x v="5"/>
    <x v="3"/>
    <x v="4"/>
    <x v="0"/>
  </r>
  <r>
    <x v="2"/>
    <x v="1"/>
    <x v="0"/>
    <x v="5"/>
    <x v="10"/>
    <x v="1"/>
    <x v="1"/>
    <x v="3"/>
    <x v="3"/>
    <x v="1"/>
    <x v="2"/>
    <x v="2"/>
    <x v="2"/>
    <x v="5"/>
    <x v="3"/>
    <x v="4"/>
    <x v="1"/>
  </r>
  <r>
    <x v="2"/>
    <x v="1"/>
    <x v="0"/>
    <x v="5"/>
    <x v="11"/>
    <x v="1"/>
    <x v="1"/>
    <x v="3"/>
    <x v="3"/>
    <x v="1"/>
    <x v="2"/>
    <x v="2"/>
    <x v="3"/>
    <x v="2"/>
    <x v="1"/>
    <x v="4"/>
    <x v="2"/>
  </r>
  <r>
    <x v="2"/>
    <x v="1"/>
    <x v="0"/>
    <x v="5"/>
    <x v="12"/>
    <x v="1"/>
    <x v="1"/>
    <x v="3"/>
    <x v="3"/>
    <x v="0"/>
    <x v="3"/>
    <x v="2"/>
    <x v="3"/>
    <x v="2"/>
    <x v="1"/>
    <x v="4"/>
    <x v="2"/>
  </r>
  <r>
    <x v="2"/>
    <x v="1"/>
    <x v="0"/>
    <x v="6"/>
    <x v="8"/>
    <x v="3"/>
    <x v="1"/>
    <x v="3"/>
    <x v="1"/>
    <x v="1"/>
    <x v="3"/>
    <x v="1"/>
    <x v="2"/>
    <x v="2"/>
    <x v="1"/>
    <x v="4"/>
    <x v="2"/>
  </r>
  <r>
    <x v="2"/>
    <x v="1"/>
    <x v="0"/>
    <x v="6"/>
    <x v="9"/>
    <x v="3"/>
    <x v="1"/>
    <x v="3"/>
    <x v="2"/>
    <x v="1"/>
    <x v="3"/>
    <x v="2"/>
    <x v="3"/>
    <x v="2"/>
    <x v="1"/>
    <x v="2"/>
    <x v="1"/>
  </r>
  <r>
    <x v="2"/>
    <x v="1"/>
    <x v="0"/>
    <x v="6"/>
    <x v="10"/>
    <x v="1"/>
    <x v="1"/>
    <x v="1"/>
    <x v="3"/>
    <x v="1"/>
    <x v="3"/>
    <x v="1"/>
    <x v="3"/>
    <x v="2"/>
    <x v="3"/>
    <x v="4"/>
    <x v="2"/>
  </r>
  <r>
    <x v="2"/>
    <x v="1"/>
    <x v="0"/>
    <x v="6"/>
    <x v="11"/>
    <x v="1"/>
    <x v="1"/>
    <x v="3"/>
    <x v="3"/>
    <x v="1"/>
    <x v="3"/>
    <x v="2"/>
    <x v="3"/>
    <x v="2"/>
    <x v="1"/>
    <x v="4"/>
    <x v="2"/>
  </r>
  <r>
    <x v="2"/>
    <x v="1"/>
    <x v="0"/>
    <x v="6"/>
    <x v="12"/>
    <x v="1"/>
    <x v="1"/>
    <x v="3"/>
    <x v="3"/>
    <x v="1"/>
    <x v="3"/>
    <x v="2"/>
    <x v="3"/>
    <x v="2"/>
    <x v="1"/>
    <x v="4"/>
    <x v="2"/>
  </r>
  <r>
    <x v="2"/>
    <x v="1"/>
    <x v="0"/>
    <x v="7"/>
    <x v="8"/>
    <x v="1"/>
    <x v="1"/>
    <x v="3"/>
    <x v="3"/>
    <x v="1"/>
    <x v="3"/>
    <x v="2"/>
    <x v="3"/>
    <x v="2"/>
    <x v="1"/>
    <x v="4"/>
    <x v="2"/>
  </r>
  <r>
    <x v="2"/>
    <x v="1"/>
    <x v="0"/>
    <x v="7"/>
    <x v="9"/>
    <x v="1"/>
    <x v="1"/>
    <x v="3"/>
    <x v="3"/>
    <x v="1"/>
    <x v="3"/>
    <x v="2"/>
    <x v="3"/>
    <x v="2"/>
    <x v="1"/>
    <x v="4"/>
    <x v="2"/>
  </r>
  <r>
    <x v="2"/>
    <x v="1"/>
    <x v="0"/>
    <x v="7"/>
    <x v="10"/>
    <x v="1"/>
    <x v="1"/>
    <x v="3"/>
    <x v="3"/>
    <x v="1"/>
    <x v="3"/>
    <x v="2"/>
    <x v="3"/>
    <x v="2"/>
    <x v="1"/>
    <x v="4"/>
    <x v="2"/>
  </r>
  <r>
    <x v="2"/>
    <x v="1"/>
    <x v="0"/>
    <x v="7"/>
    <x v="11"/>
    <x v="1"/>
    <x v="1"/>
    <x v="3"/>
    <x v="2"/>
    <x v="1"/>
    <x v="3"/>
    <x v="2"/>
    <x v="3"/>
    <x v="2"/>
    <x v="1"/>
    <x v="4"/>
    <x v="2"/>
  </r>
  <r>
    <x v="2"/>
    <x v="1"/>
    <x v="0"/>
    <x v="7"/>
    <x v="12"/>
    <x v="1"/>
    <x v="1"/>
    <x v="3"/>
    <x v="3"/>
    <x v="1"/>
    <x v="3"/>
    <x v="2"/>
    <x v="3"/>
    <x v="2"/>
    <x v="1"/>
    <x v="4"/>
    <x v="2"/>
  </r>
  <r>
    <x v="2"/>
    <x v="1"/>
    <x v="0"/>
    <x v="0"/>
    <x v="19"/>
    <x v="33"/>
    <x v="1"/>
    <x v="1"/>
    <x v="8"/>
    <x v="3"/>
    <x v="4"/>
    <x v="6"/>
    <x v="147"/>
    <x v="4"/>
    <x v="12"/>
    <x v="1"/>
    <x v="5"/>
  </r>
  <r>
    <x v="2"/>
    <x v="1"/>
    <x v="0"/>
    <x v="3"/>
    <x v="1"/>
    <x v="3"/>
    <x v="1"/>
    <x v="3"/>
    <x v="0"/>
    <x v="1"/>
    <x v="2"/>
    <x v="1"/>
    <x v="5"/>
    <x v="5"/>
    <x v="3"/>
    <x v="1"/>
    <x v="0"/>
  </r>
  <r>
    <x v="2"/>
    <x v="1"/>
    <x v="0"/>
    <x v="3"/>
    <x v="2"/>
    <x v="5"/>
    <x v="1"/>
    <x v="3"/>
    <x v="3"/>
    <x v="3"/>
    <x v="2"/>
    <x v="3"/>
    <x v="1"/>
    <x v="5"/>
    <x v="3"/>
    <x v="4"/>
    <x v="2"/>
  </r>
  <r>
    <x v="2"/>
    <x v="1"/>
    <x v="0"/>
    <x v="3"/>
    <x v="3"/>
    <x v="3"/>
    <x v="1"/>
    <x v="1"/>
    <x v="4"/>
    <x v="1"/>
    <x v="2"/>
    <x v="2"/>
    <x v="2"/>
    <x v="3"/>
    <x v="4"/>
    <x v="4"/>
    <x v="0"/>
  </r>
  <r>
    <x v="2"/>
    <x v="1"/>
    <x v="0"/>
    <x v="0"/>
    <x v="20"/>
    <x v="5"/>
    <x v="1"/>
    <x v="1"/>
    <x v="22"/>
    <x v="3"/>
    <x v="1"/>
    <x v="4"/>
    <x v="0"/>
    <x v="1"/>
    <x v="12"/>
    <x v="2"/>
    <x v="6"/>
  </r>
  <r>
    <x v="2"/>
    <x v="1"/>
    <x v="0"/>
    <x v="4"/>
    <x v="4"/>
    <x v="2"/>
    <x v="1"/>
    <x v="1"/>
    <x v="1"/>
    <x v="0"/>
    <x v="1"/>
    <x v="1"/>
    <x v="2"/>
    <x v="2"/>
    <x v="3"/>
    <x v="4"/>
    <x v="1"/>
  </r>
  <r>
    <x v="2"/>
    <x v="1"/>
    <x v="0"/>
    <x v="4"/>
    <x v="5"/>
    <x v="3"/>
    <x v="1"/>
    <x v="3"/>
    <x v="1"/>
    <x v="1"/>
    <x v="3"/>
    <x v="2"/>
    <x v="4"/>
    <x v="1"/>
    <x v="3"/>
    <x v="4"/>
    <x v="5"/>
  </r>
  <r>
    <x v="2"/>
    <x v="1"/>
    <x v="0"/>
    <x v="4"/>
    <x v="6"/>
    <x v="1"/>
    <x v="1"/>
    <x v="3"/>
    <x v="3"/>
    <x v="1"/>
    <x v="3"/>
    <x v="2"/>
    <x v="3"/>
    <x v="2"/>
    <x v="1"/>
    <x v="4"/>
    <x v="2"/>
  </r>
  <r>
    <x v="2"/>
    <x v="1"/>
    <x v="0"/>
    <x v="4"/>
    <x v="7"/>
    <x v="1"/>
    <x v="1"/>
    <x v="3"/>
    <x v="4"/>
    <x v="0"/>
    <x v="3"/>
    <x v="1"/>
    <x v="3"/>
    <x v="2"/>
    <x v="4"/>
    <x v="2"/>
    <x v="2"/>
  </r>
  <r>
    <x v="2"/>
    <x v="2"/>
    <x v="1"/>
    <x v="0"/>
    <x v="21"/>
    <x v="1"/>
    <x v="0"/>
    <x v="7"/>
    <x v="1"/>
    <x v="0"/>
    <x v="2"/>
    <x v="3"/>
    <x v="1"/>
    <x v="3"/>
    <x v="3"/>
    <x v="8"/>
    <x v="14"/>
  </r>
  <r>
    <x v="2"/>
    <x v="2"/>
    <x v="1"/>
    <x v="1"/>
    <x v="1"/>
    <x v="1"/>
    <x v="1"/>
    <x v="2"/>
    <x v="3"/>
    <x v="1"/>
    <x v="3"/>
    <x v="1"/>
    <x v="3"/>
    <x v="5"/>
    <x v="3"/>
    <x v="4"/>
    <x v="4"/>
  </r>
  <r>
    <x v="2"/>
    <x v="2"/>
    <x v="1"/>
    <x v="1"/>
    <x v="2"/>
    <x v="1"/>
    <x v="1"/>
    <x v="3"/>
    <x v="4"/>
    <x v="0"/>
    <x v="2"/>
    <x v="4"/>
    <x v="3"/>
    <x v="5"/>
    <x v="1"/>
    <x v="1"/>
    <x v="4"/>
  </r>
  <r>
    <x v="2"/>
    <x v="2"/>
    <x v="1"/>
    <x v="1"/>
    <x v="3"/>
    <x v="1"/>
    <x v="0"/>
    <x v="3"/>
    <x v="3"/>
    <x v="1"/>
    <x v="3"/>
    <x v="2"/>
    <x v="2"/>
    <x v="2"/>
    <x v="1"/>
    <x v="1"/>
    <x v="2"/>
  </r>
  <r>
    <x v="2"/>
    <x v="2"/>
    <x v="1"/>
    <x v="1"/>
    <x v="4"/>
    <x v="1"/>
    <x v="1"/>
    <x v="4"/>
    <x v="3"/>
    <x v="1"/>
    <x v="3"/>
    <x v="2"/>
    <x v="3"/>
    <x v="2"/>
    <x v="1"/>
    <x v="2"/>
    <x v="2"/>
  </r>
  <r>
    <x v="2"/>
    <x v="2"/>
    <x v="1"/>
    <x v="1"/>
    <x v="5"/>
    <x v="1"/>
    <x v="1"/>
    <x v="3"/>
    <x v="3"/>
    <x v="1"/>
    <x v="3"/>
    <x v="2"/>
    <x v="2"/>
    <x v="2"/>
    <x v="1"/>
    <x v="4"/>
    <x v="2"/>
  </r>
  <r>
    <x v="2"/>
    <x v="2"/>
    <x v="1"/>
    <x v="1"/>
    <x v="6"/>
    <x v="1"/>
    <x v="1"/>
    <x v="3"/>
    <x v="3"/>
    <x v="1"/>
    <x v="3"/>
    <x v="2"/>
    <x v="3"/>
    <x v="2"/>
    <x v="1"/>
    <x v="4"/>
    <x v="2"/>
  </r>
  <r>
    <x v="2"/>
    <x v="2"/>
    <x v="1"/>
    <x v="1"/>
    <x v="7"/>
    <x v="1"/>
    <x v="1"/>
    <x v="1"/>
    <x v="2"/>
    <x v="1"/>
    <x v="3"/>
    <x v="2"/>
    <x v="3"/>
    <x v="2"/>
    <x v="1"/>
    <x v="4"/>
    <x v="2"/>
  </r>
  <r>
    <x v="2"/>
    <x v="2"/>
    <x v="1"/>
    <x v="8"/>
    <x v="1"/>
    <x v="11"/>
    <x v="1"/>
    <x v="18"/>
    <x v="3"/>
    <x v="1"/>
    <x v="3"/>
    <x v="7"/>
    <x v="3"/>
    <x v="43"/>
    <x v="3"/>
    <x v="4"/>
    <x v="54"/>
  </r>
  <r>
    <x v="2"/>
    <x v="2"/>
    <x v="1"/>
    <x v="8"/>
    <x v="2"/>
    <x v="11"/>
    <x v="1"/>
    <x v="3"/>
    <x v="9"/>
    <x v="0"/>
    <x v="2"/>
    <x v="10"/>
    <x v="3"/>
    <x v="43"/>
    <x v="1"/>
    <x v="162"/>
    <x v="54"/>
  </r>
  <r>
    <x v="2"/>
    <x v="2"/>
    <x v="1"/>
    <x v="8"/>
    <x v="3"/>
    <x v="11"/>
    <x v="0"/>
    <x v="3"/>
    <x v="3"/>
    <x v="1"/>
    <x v="3"/>
    <x v="2"/>
    <x v="9"/>
    <x v="2"/>
    <x v="1"/>
    <x v="162"/>
    <x v="2"/>
  </r>
  <r>
    <x v="2"/>
    <x v="2"/>
    <x v="1"/>
    <x v="8"/>
    <x v="4"/>
    <x v="11"/>
    <x v="1"/>
    <x v="74"/>
    <x v="3"/>
    <x v="1"/>
    <x v="3"/>
    <x v="2"/>
    <x v="3"/>
    <x v="2"/>
    <x v="1"/>
    <x v="163"/>
    <x v="2"/>
  </r>
  <r>
    <x v="2"/>
    <x v="2"/>
    <x v="1"/>
    <x v="8"/>
    <x v="5"/>
    <x v="11"/>
    <x v="1"/>
    <x v="3"/>
    <x v="3"/>
    <x v="1"/>
    <x v="3"/>
    <x v="2"/>
    <x v="9"/>
    <x v="2"/>
    <x v="1"/>
    <x v="4"/>
    <x v="2"/>
  </r>
  <r>
    <x v="2"/>
    <x v="2"/>
    <x v="1"/>
    <x v="8"/>
    <x v="6"/>
    <x v="11"/>
    <x v="1"/>
    <x v="3"/>
    <x v="3"/>
    <x v="1"/>
    <x v="3"/>
    <x v="2"/>
    <x v="3"/>
    <x v="2"/>
    <x v="1"/>
    <x v="4"/>
    <x v="2"/>
  </r>
  <r>
    <x v="2"/>
    <x v="2"/>
    <x v="1"/>
    <x v="8"/>
    <x v="7"/>
    <x v="11"/>
    <x v="1"/>
    <x v="75"/>
    <x v="10"/>
    <x v="1"/>
    <x v="3"/>
    <x v="2"/>
    <x v="3"/>
    <x v="2"/>
    <x v="1"/>
    <x v="4"/>
    <x v="2"/>
  </r>
  <r>
    <x v="2"/>
    <x v="2"/>
    <x v="1"/>
    <x v="2"/>
    <x v="8"/>
    <x v="3"/>
    <x v="5"/>
    <x v="9"/>
    <x v="8"/>
    <x v="7"/>
    <x v="7"/>
    <x v="13"/>
    <x v="14"/>
    <x v="163"/>
    <x v="171"/>
    <x v="15"/>
    <x v="23"/>
  </r>
  <r>
    <x v="2"/>
    <x v="2"/>
    <x v="1"/>
    <x v="2"/>
    <x v="9"/>
    <x v="3"/>
    <x v="5"/>
    <x v="9"/>
    <x v="0"/>
    <x v="9"/>
    <x v="10"/>
    <x v="9"/>
    <x v="13"/>
    <x v="21"/>
    <x v="19"/>
    <x v="29"/>
    <x v="21"/>
  </r>
  <r>
    <x v="2"/>
    <x v="2"/>
    <x v="1"/>
    <x v="2"/>
    <x v="10"/>
    <x v="1"/>
    <x v="0"/>
    <x v="1"/>
    <x v="2"/>
    <x v="3"/>
    <x v="1"/>
    <x v="6"/>
    <x v="5"/>
    <x v="0"/>
    <x v="43"/>
    <x v="6"/>
    <x v="43"/>
  </r>
  <r>
    <x v="2"/>
    <x v="2"/>
    <x v="1"/>
    <x v="2"/>
    <x v="11"/>
    <x v="1"/>
    <x v="1"/>
    <x v="1"/>
    <x v="2"/>
    <x v="0"/>
    <x v="2"/>
    <x v="4"/>
    <x v="1"/>
    <x v="3"/>
    <x v="4"/>
    <x v="1"/>
    <x v="0"/>
  </r>
  <r>
    <x v="2"/>
    <x v="2"/>
    <x v="1"/>
    <x v="2"/>
    <x v="12"/>
    <x v="1"/>
    <x v="1"/>
    <x v="1"/>
    <x v="2"/>
    <x v="1"/>
    <x v="2"/>
    <x v="1"/>
    <x v="2"/>
    <x v="5"/>
    <x v="3"/>
    <x v="2"/>
    <x v="1"/>
  </r>
  <r>
    <x v="2"/>
    <x v="2"/>
    <x v="1"/>
    <x v="0"/>
    <x v="22"/>
    <x v="1"/>
    <x v="0"/>
    <x v="0"/>
    <x v="4"/>
    <x v="0"/>
    <x v="2"/>
    <x v="3"/>
    <x v="1"/>
    <x v="3"/>
    <x v="3"/>
    <x v="8"/>
    <x v="14"/>
  </r>
  <r>
    <x v="2"/>
    <x v="2"/>
    <x v="1"/>
    <x v="3"/>
    <x v="1"/>
    <x v="1"/>
    <x v="1"/>
    <x v="2"/>
    <x v="3"/>
    <x v="1"/>
    <x v="3"/>
    <x v="1"/>
    <x v="3"/>
    <x v="5"/>
    <x v="3"/>
    <x v="2"/>
    <x v="4"/>
  </r>
  <r>
    <x v="2"/>
    <x v="2"/>
    <x v="1"/>
    <x v="3"/>
    <x v="2"/>
    <x v="1"/>
    <x v="1"/>
    <x v="3"/>
    <x v="4"/>
    <x v="0"/>
    <x v="2"/>
    <x v="4"/>
    <x v="2"/>
    <x v="5"/>
    <x v="1"/>
    <x v="1"/>
    <x v="4"/>
  </r>
  <r>
    <x v="2"/>
    <x v="2"/>
    <x v="1"/>
    <x v="3"/>
    <x v="3"/>
    <x v="1"/>
    <x v="0"/>
    <x v="1"/>
    <x v="3"/>
    <x v="1"/>
    <x v="3"/>
    <x v="2"/>
    <x v="2"/>
    <x v="2"/>
    <x v="1"/>
    <x v="1"/>
    <x v="2"/>
  </r>
  <r>
    <x v="2"/>
    <x v="2"/>
    <x v="1"/>
    <x v="9"/>
    <x v="1"/>
    <x v="11"/>
    <x v="1"/>
    <x v="6"/>
    <x v="3"/>
    <x v="1"/>
    <x v="3"/>
    <x v="7"/>
    <x v="3"/>
    <x v="43"/>
    <x v="3"/>
    <x v="163"/>
    <x v="54"/>
  </r>
  <r>
    <x v="2"/>
    <x v="2"/>
    <x v="1"/>
    <x v="9"/>
    <x v="2"/>
    <x v="11"/>
    <x v="1"/>
    <x v="3"/>
    <x v="2"/>
    <x v="0"/>
    <x v="2"/>
    <x v="10"/>
    <x v="9"/>
    <x v="43"/>
    <x v="1"/>
    <x v="162"/>
    <x v="54"/>
  </r>
  <r>
    <x v="2"/>
    <x v="2"/>
    <x v="1"/>
    <x v="9"/>
    <x v="3"/>
    <x v="11"/>
    <x v="0"/>
    <x v="5"/>
    <x v="3"/>
    <x v="1"/>
    <x v="3"/>
    <x v="2"/>
    <x v="9"/>
    <x v="2"/>
    <x v="1"/>
    <x v="162"/>
    <x v="2"/>
  </r>
  <r>
    <x v="2"/>
    <x v="2"/>
    <x v="1"/>
    <x v="0"/>
    <x v="23"/>
    <x v="1"/>
    <x v="0"/>
    <x v="7"/>
    <x v="4"/>
    <x v="1"/>
    <x v="2"/>
    <x v="3"/>
    <x v="2"/>
    <x v="3"/>
    <x v="1"/>
    <x v="3"/>
    <x v="6"/>
  </r>
  <r>
    <x v="2"/>
    <x v="2"/>
    <x v="1"/>
    <x v="4"/>
    <x v="4"/>
    <x v="1"/>
    <x v="0"/>
    <x v="2"/>
    <x v="2"/>
    <x v="1"/>
    <x v="3"/>
    <x v="2"/>
    <x v="3"/>
    <x v="5"/>
    <x v="1"/>
    <x v="2"/>
    <x v="2"/>
  </r>
  <r>
    <x v="2"/>
    <x v="2"/>
    <x v="1"/>
    <x v="4"/>
    <x v="5"/>
    <x v="1"/>
    <x v="1"/>
    <x v="1"/>
    <x v="3"/>
    <x v="1"/>
    <x v="3"/>
    <x v="3"/>
    <x v="2"/>
    <x v="5"/>
    <x v="1"/>
    <x v="5"/>
    <x v="6"/>
  </r>
  <r>
    <x v="2"/>
    <x v="2"/>
    <x v="1"/>
    <x v="4"/>
    <x v="6"/>
    <x v="1"/>
    <x v="1"/>
    <x v="3"/>
    <x v="3"/>
    <x v="1"/>
    <x v="3"/>
    <x v="2"/>
    <x v="3"/>
    <x v="2"/>
    <x v="1"/>
    <x v="4"/>
    <x v="2"/>
  </r>
  <r>
    <x v="2"/>
    <x v="2"/>
    <x v="1"/>
    <x v="4"/>
    <x v="7"/>
    <x v="1"/>
    <x v="1"/>
    <x v="4"/>
    <x v="2"/>
    <x v="1"/>
    <x v="2"/>
    <x v="2"/>
    <x v="3"/>
    <x v="2"/>
    <x v="1"/>
    <x v="4"/>
    <x v="2"/>
  </r>
  <r>
    <x v="2"/>
    <x v="2"/>
    <x v="1"/>
    <x v="10"/>
    <x v="4"/>
    <x v="10"/>
    <x v="0"/>
    <x v="18"/>
    <x v="6"/>
    <x v="118"/>
    <x v="3"/>
    <x v="2"/>
    <x v="3"/>
    <x v="43"/>
    <x v="129"/>
    <x v="197"/>
    <x v="2"/>
  </r>
  <r>
    <x v="2"/>
    <x v="2"/>
    <x v="1"/>
    <x v="10"/>
    <x v="5"/>
    <x v="10"/>
    <x v="1"/>
    <x v="75"/>
    <x v="3"/>
    <x v="118"/>
    <x v="3"/>
    <x v="1"/>
    <x v="2"/>
    <x v="43"/>
    <x v="129"/>
    <x v="56"/>
    <x v="1"/>
  </r>
  <r>
    <x v="2"/>
    <x v="2"/>
    <x v="1"/>
    <x v="10"/>
    <x v="6"/>
    <x v="10"/>
    <x v="1"/>
    <x v="3"/>
    <x v="3"/>
    <x v="118"/>
    <x v="3"/>
    <x v="2"/>
    <x v="3"/>
    <x v="2"/>
    <x v="129"/>
    <x v="4"/>
    <x v="2"/>
  </r>
  <r>
    <x v="2"/>
    <x v="2"/>
    <x v="1"/>
    <x v="10"/>
    <x v="7"/>
    <x v="10"/>
    <x v="1"/>
    <x v="74"/>
    <x v="6"/>
    <x v="118"/>
    <x v="2"/>
    <x v="2"/>
    <x v="3"/>
    <x v="2"/>
    <x v="129"/>
    <x v="4"/>
    <x v="2"/>
  </r>
  <r>
    <x v="2"/>
    <x v="0"/>
    <x v="2"/>
    <x v="0"/>
    <x v="24"/>
    <x v="0"/>
    <x v="4"/>
    <x v="76"/>
    <x v="109"/>
    <x v="123"/>
    <x v="9"/>
    <x v="11"/>
    <x v="11"/>
    <x v="164"/>
    <x v="172"/>
    <x v="198"/>
    <x v="24"/>
  </r>
  <r>
    <x v="2"/>
    <x v="0"/>
    <x v="2"/>
    <x v="1"/>
    <x v="1"/>
    <x v="3"/>
    <x v="0"/>
    <x v="0"/>
    <x v="0"/>
    <x v="2"/>
    <x v="0"/>
    <x v="12"/>
    <x v="20"/>
    <x v="21"/>
    <x v="19"/>
    <x v="19"/>
    <x v="179"/>
  </r>
  <r>
    <x v="2"/>
    <x v="0"/>
    <x v="2"/>
    <x v="1"/>
    <x v="2"/>
    <x v="5"/>
    <x v="5"/>
    <x v="2"/>
    <x v="0"/>
    <x v="9"/>
    <x v="10"/>
    <x v="8"/>
    <x v="12"/>
    <x v="21"/>
    <x v="6"/>
    <x v="19"/>
    <x v="3"/>
  </r>
  <r>
    <x v="2"/>
    <x v="0"/>
    <x v="2"/>
    <x v="1"/>
    <x v="3"/>
    <x v="3"/>
    <x v="2"/>
    <x v="4"/>
    <x v="4"/>
    <x v="3"/>
    <x v="1"/>
    <x v="4"/>
    <x v="4"/>
    <x v="0"/>
    <x v="0"/>
    <x v="0"/>
    <x v="143"/>
  </r>
  <r>
    <x v="2"/>
    <x v="0"/>
    <x v="2"/>
    <x v="1"/>
    <x v="4"/>
    <x v="1"/>
    <x v="1"/>
    <x v="4"/>
    <x v="4"/>
    <x v="3"/>
    <x v="5"/>
    <x v="5"/>
    <x v="0"/>
    <x v="0"/>
    <x v="2"/>
    <x v="7"/>
    <x v="14"/>
  </r>
  <r>
    <x v="2"/>
    <x v="0"/>
    <x v="2"/>
    <x v="1"/>
    <x v="5"/>
    <x v="3"/>
    <x v="0"/>
    <x v="1"/>
    <x v="4"/>
    <x v="3"/>
    <x v="1"/>
    <x v="4"/>
    <x v="5"/>
    <x v="1"/>
    <x v="5"/>
    <x v="5"/>
    <x v="5"/>
  </r>
  <r>
    <x v="2"/>
    <x v="0"/>
    <x v="2"/>
    <x v="1"/>
    <x v="6"/>
    <x v="1"/>
    <x v="1"/>
    <x v="3"/>
    <x v="3"/>
    <x v="1"/>
    <x v="3"/>
    <x v="2"/>
    <x v="3"/>
    <x v="2"/>
    <x v="1"/>
    <x v="4"/>
    <x v="2"/>
  </r>
  <r>
    <x v="2"/>
    <x v="0"/>
    <x v="2"/>
    <x v="1"/>
    <x v="7"/>
    <x v="1"/>
    <x v="1"/>
    <x v="1"/>
    <x v="4"/>
    <x v="3"/>
    <x v="1"/>
    <x v="4"/>
    <x v="1"/>
    <x v="3"/>
    <x v="4"/>
    <x v="1"/>
    <x v="0"/>
  </r>
  <r>
    <x v="2"/>
    <x v="0"/>
    <x v="2"/>
    <x v="2"/>
    <x v="8"/>
    <x v="5"/>
    <x v="5"/>
    <x v="9"/>
    <x v="22"/>
    <x v="124"/>
    <x v="8"/>
    <x v="28"/>
    <x v="34"/>
    <x v="8"/>
    <x v="10"/>
    <x v="14"/>
    <x v="11"/>
  </r>
  <r>
    <x v="2"/>
    <x v="0"/>
    <x v="2"/>
    <x v="2"/>
    <x v="9"/>
    <x v="5"/>
    <x v="5"/>
    <x v="9"/>
    <x v="8"/>
    <x v="7"/>
    <x v="10"/>
    <x v="9"/>
    <x v="7"/>
    <x v="37"/>
    <x v="15"/>
    <x v="29"/>
    <x v="25"/>
  </r>
  <r>
    <x v="2"/>
    <x v="0"/>
    <x v="2"/>
    <x v="2"/>
    <x v="10"/>
    <x v="1"/>
    <x v="0"/>
    <x v="1"/>
    <x v="2"/>
    <x v="3"/>
    <x v="4"/>
    <x v="6"/>
    <x v="4"/>
    <x v="39"/>
    <x v="0"/>
    <x v="6"/>
    <x v="143"/>
  </r>
  <r>
    <x v="2"/>
    <x v="0"/>
    <x v="2"/>
    <x v="2"/>
    <x v="11"/>
    <x v="1"/>
    <x v="1"/>
    <x v="1"/>
    <x v="2"/>
    <x v="0"/>
    <x v="1"/>
    <x v="4"/>
    <x v="1"/>
    <x v="3"/>
    <x v="4"/>
    <x v="1"/>
    <x v="0"/>
  </r>
  <r>
    <x v="2"/>
    <x v="0"/>
    <x v="2"/>
    <x v="2"/>
    <x v="12"/>
    <x v="1"/>
    <x v="1"/>
    <x v="1"/>
    <x v="2"/>
    <x v="0"/>
    <x v="2"/>
    <x v="1"/>
    <x v="2"/>
    <x v="5"/>
    <x v="3"/>
    <x v="2"/>
    <x v="1"/>
  </r>
  <r>
    <x v="2"/>
    <x v="0"/>
    <x v="2"/>
    <x v="0"/>
    <x v="25"/>
    <x v="33"/>
    <x v="7"/>
    <x v="77"/>
    <x v="13"/>
    <x v="10"/>
    <x v="14"/>
    <x v="15"/>
    <x v="15"/>
    <x v="165"/>
    <x v="173"/>
    <x v="199"/>
    <x v="180"/>
  </r>
  <r>
    <x v="2"/>
    <x v="0"/>
    <x v="2"/>
    <x v="3"/>
    <x v="1"/>
    <x v="3"/>
    <x v="0"/>
    <x v="0"/>
    <x v="12"/>
    <x v="9"/>
    <x v="10"/>
    <x v="34"/>
    <x v="7"/>
    <x v="12"/>
    <x v="31"/>
    <x v="29"/>
    <x v="181"/>
  </r>
  <r>
    <x v="2"/>
    <x v="0"/>
    <x v="2"/>
    <x v="3"/>
    <x v="2"/>
    <x v="5"/>
    <x v="5"/>
    <x v="2"/>
    <x v="0"/>
    <x v="9"/>
    <x v="10"/>
    <x v="13"/>
    <x v="16"/>
    <x v="12"/>
    <x v="15"/>
    <x v="23"/>
    <x v="21"/>
  </r>
  <r>
    <x v="2"/>
    <x v="0"/>
    <x v="2"/>
    <x v="3"/>
    <x v="3"/>
    <x v="3"/>
    <x v="2"/>
    <x v="2"/>
    <x v="5"/>
    <x v="5"/>
    <x v="0"/>
    <x v="5"/>
    <x v="21"/>
    <x v="13"/>
    <x v="11"/>
    <x v="24"/>
    <x v="13"/>
  </r>
  <r>
    <x v="2"/>
    <x v="0"/>
    <x v="2"/>
    <x v="0"/>
    <x v="26"/>
    <x v="5"/>
    <x v="3"/>
    <x v="77"/>
    <x v="110"/>
    <x v="125"/>
    <x v="12"/>
    <x v="139"/>
    <x v="148"/>
    <x v="166"/>
    <x v="174"/>
    <x v="200"/>
    <x v="182"/>
  </r>
  <r>
    <x v="2"/>
    <x v="0"/>
    <x v="2"/>
    <x v="4"/>
    <x v="4"/>
    <x v="2"/>
    <x v="5"/>
    <x v="7"/>
    <x v="8"/>
    <x v="7"/>
    <x v="8"/>
    <x v="8"/>
    <x v="7"/>
    <x v="37"/>
    <x v="19"/>
    <x v="19"/>
    <x v="16"/>
  </r>
  <r>
    <x v="2"/>
    <x v="0"/>
    <x v="2"/>
    <x v="4"/>
    <x v="5"/>
    <x v="3"/>
    <x v="0"/>
    <x v="4"/>
    <x v="5"/>
    <x v="5"/>
    <x v="5"/>
    <x v="12"/>
    <x v="20"/>
    <x v="37"/>
    <x v="19"/>
    <x v="23"/>
    <x v="23"/>
  </r>
  <r>
    <x v="2"/>
    <x v="0"/>
    <x v="2"/>
    <x v="4"/>
    <x v="6"/>
    <x v="1"/>
    <x v="1"/>
    <x v="3"/>
    <x v="3"/>
    <x v="1"/>
    <x v="3"/>
    <x v="2"/>
    <x v="3"/>
    <x v="2"/>
    <x v="1"/>
    <x v="4"/>
    <x v="2"/>
  </r>
  <r>
    <x v="2"/>
    <x v="0"/>
    <x v="2"/>
    <x v="4"/>
    <x v="7"/>
    <x v="1"/>
    <x v="1"/>
    <x v="4"/>
    <x v="1"/>
    <x v="4"/>
    <x v="5"/>
    <x v="6"/>
    <x v="4"/>
    <x v="4"/>
    <x v="43"/>
    <x v="161"/>
    <x v="31"/>
  </r>
  <r>
    <x v="2"/>
    <x v="1"/>
    <x v="2"/>
    <x v="0"/>
    <x v="27"/>
    <x v="0"/>
    <x v="7"/>
    <x v="11"/>
    <x v="13"/>
    <x v="126"/>
    <x v="118"/>
    <x v="15"/>
    <x v="149"/>
    <x v="16"/>
    <x v="20"/>
    <x v="201"/>
    <x v="183"/>
  </r>
  <r>
    <x v="2"/>
    <x v="1"/>
    <x v="2"/>
    <x v="1"/>
    <x v="1"/>
    <x v="3"/>
    <x v="0"/>
    <x v="1"/>
    <x v="0"/>
    <x v="2"/>
    <x v="0"/>
    <x v="0"/>
    <x v="20"/>
    <x v="17"/>
    <x v="6"/>
    <x v="19"/>
    <x v="3"/>
  </r>
  <r>
    <x v="2"/>
    <x v="1"/>
    <x v="2"/>
    <x v="1"/>
    <x v="2"/>
    <x v="5"/>
    <x v="5"/>
    <x v="2"/>
    <x v="1"/>
    <x v="2"/>
    <x v="15"/>
    <x v="9"/>
    <x v="12"/>
    <x v="17"/>
    <x v="6"/>
    <x v="33"/>
    <x v="30"/>
  </r>
  <r>
    <x v="2"/>
    <x v="1"/>
    <x v="2"/>
    <x v="1"/>
    <x v="3"/>
    <x v="3"/>
    <x v="0"/>
    <x v="4"/>
    <x v="4"/>
    <x v="3"/>
    <x v="1"/>
    <x v="4"/>
    <x v="5"/>
    <x v="0"/>
    <x v="0"/>
    <x v="161"/>
    <x v="143"/>
  </r>
  <r>
    <x v="2"/>
    <x v="1"/>
    <x v="2"/>
    <x v="1"/>
    <x v="4"/>
    <x v="1"/>
    <x v="1"/>
    <x v="3"/>
    <x v="4"/>
    <x v="3"/>
    <x v="5"/>
    <x v="5"/>
    <x v="0"/>
    <x v="0"/>
    <x v="2"/>
    <x v="8"/>
    <x v="14"/>
  </r>
  <r>
    <x v="2"/>
    <x v="1"/>
    <x v="2"/>
    <x v="1"/>
    <x v="5"/>
    <x v="3"/>
    <x v="0"/>
    <x v="1"/>
    <x v="4"/>
    <x v="3"/>
    <x v="1"/>
    <x v="4"/>
    <x v="1"/>
    <x v="1"/>
    <x v="5"/>
    <x v="5"/>
    <x v="5"/>
  </r>
  <r>
    <x v="2"/>
    <x v="1"/>
    <x v="2"/>
    <x v="1"/>
    <x v="6"/>
    <x v="1"/>
    <x v="1"/>
    <x v="3"/>
    <x v="3"/>
    <x v="1"/>
    <x v="3"/>
    <x v="2"/>
    <x v="3"/>
    <x v="2"/>
    <x v="1"/>
    <x v="4"/>
    <x v="2"/>
  </r>
  <r>
    <x v="2"/>
    <x v="1"/>
    <x v="2"/>
    <x v="1"/>
    <x v="7"/>
    <x v="1"/>
    <x v="1"/>
    <x v="3"/>
    <x v="2"/>
    <x v="3"/>
    <x v="1"/>
    <x v="4"/>
    <x v="1"/>
    <x v="3"/>
    <x v="4"/>
    <x v="1"/>
    <x v="0"/>
  </r>
  <r>
    <x v="2"/>
    <x v="1"/>
    <x v="2"/>
    <x v="11"/>
    <x v="1"/>
    <x v="34"/>
    <x v="9"/>
    <x v="12"/>
    <x v="10"/>
    <x v="127"/>
    <x v="119"/>
    <x v="140"/>
    <x v="150"/>
    <x v="167"/>
    <x v="175"/>
    <x v="202"/>
    <x v="184"/>
  </r>
  <r>
    <x v="2"/>
    <x v="1"/>
    <x v="2"/>
    <x v="11"/>
    <x v="2"/>
    <x v="6"/>
    <x v="10"/>
    <x v="14"/>
    <x v="111"/>
    <x v="127"/>
    <x v="120"/>
    <x v="141"/>
    <x v="151"/>
    <x v="167"/>
    <x v="175"/>
    <x v="203"/>
    <x v="185"/>
  </r>
  <r>
    <x v="2"/>
    <x v="1"/>
    <x v="2"/>
    <x v="11"/>
    <x v="3"/>
    <x v="34"/>
    <x v="9"/>
    <x v="13"/>
    <x v="112"/>
    <x v="128"/>
    <x v="121"/>
    <x v="21"/>
    <x v="152"/>
    <x v="168"/>
    <x v="176"/>
    <x v="204"/>
    <x v="186"/>
  </r>
  <r>
    <x v="2"/>
    <x v="1"/>
    <x v="2"/>
    <x v="11"/>
    <x v="4"/>
    <x v="1"/>
    <x v="1"/>
    <x v="3"/>
    <x v="112"/>
    <x v="128"/>
    <x v="122"/>
    <x v="29"/>
    <x v="153"/>
    <x v="168"/>
    <x v="177"/>
    <x v="205"/>
    <x v="187"/>
  </r>
  <r>
    <x v="2"/>
    <x v="1"/>
    <x v="2"/>
    <x v="11"/>
    <x v="5"/>
    <x v="34"/>
    <x v="9"/>
    <x v="12"/>
    <x v="112"/>
    <x v="128"/>
    <x v="121"/>
    <x v="21"/>
    <x v="154"/>
    <x v="169"/>
    <x v="178"/>
    <x v="206"/>
    <x v="188"/>
  </r>
  <r>
    <x v="2"/>
    <x v="1"/>
    <x v="2"/>
    <x v="11"/>
    <x v="6"/>
    <x v="1"/>
    <x v="1"/>
    <x v="3"/>
    <x v="3"/>
    <x v="1"/>
    <x v="3"/>
    <x v="2"/>
    <x v="3"/>
    <x v="2"/>
    <x v="1"/>
    <x v="4"/>
    <x v="2"/>
  </r>
  <r>
    <x v="2"/>
    <x v="1"/>
    <x v="2"/>
    <x v="11"/>
    <x v="7"/>
    <x v="1"/>
    <x v="1"/>
    <x v="3"/>
    <x v="113"/>
    <x v="128"/>
    <x v="121"/>
    <x v="21"/>
    <x v="154"/>
    <x v="170"/>
    <x v="179"/>
    <x v="207"/>
    <x v="189"/>
  </r>
  <r>
    <x v="2"/>
    <x v="1"/>
    <x v="2"/>
    <x v="2"/>
    <x v="8"/>
    <x v="2"/>
    <x v="1"/>
    <x v="3"/>
    <x v="2"/>
    <x v="0"/>
    <x v="2"/>
    <x v="4"/>
    <x v="2"/>
    <x v="3"/>
    <x v="3"/>
    <x v="2"/>
    <x v="1"/>
  </r>
  <r>
    <x v="2"/>
    <x v="1"/>
    <x v="2"/>
    <x v="2"/>
    <x v="9"/>
    <x v="2"/>
    <x v="1"/>
    <x v="3"/>
    <x v="4"/>
    <x v="0"/>
    <x v="3"/>
    <x v="2"/>
    <x v="5"/>
    <x v="5"/>
    <x v="3"/>
    <x v="4"/>
    <x v="0"/>
  </r>
  <r>
    <x v="2"/>
    <x v="1"/>
    <x v="2"/>
    <x v="2"/>
    <x v="10"/>
    <x v="1"/>
    <x v="1"/>
    <x v="3"/>
    <x v="3"/>
    <x v="1"/>
    <x v="2"/>
    <x v="2"/>
    <x v="2"/>
    <x v="5"/>
    <x v="3"/>
    <x v="4"/>
    <x v="1"/>
  </r>
  <r>
    <x v="2"/>
    <x v="1"/>
    <x v="2"/>
    <x v="2"/>
    <x v="11"/>
    <x v="1"/>
    <x v="1"/>
    <x v="3"/>
    <x v="3"/>
    <x v="1"/>
    <x v="2"/>
    <x v="2"/>
    <x v="3"/>
    <x v="2"/>
    <x v="1"/>
    <x v="4"/>
    <x v="2"/>
  </r>
  <r>
    <x v="2"/>
    <x v="1"/>
    <x v="2"/>
    <x v="2"/>
    <x v="12"/>
    <x v="1"/>
    <x v="1"/>
    <x v="3"/>
    <x v="3"/>
    <x v="0"/>
    <x v="3"/>
    <x v="2"/>
    <x v="3"/>
    <x v="2"/>
    <x v="1"/>
    <x v="4"/>
    <x v="2"/>
  </r>
  <r>
    <x v="2"/>
    <x v="1"/>
    <x v="2"/>
    <x v="0"/>
    <x v="28"/>
    <x v="33"/>
    <x v="6"/>
    <x v="7"/>
    <x v="14"/>
    <x v="129"/>
    <x v="123"/>
    <x v="24"/>
    <x v="155"/>
    <x v="18"/>
    <x v="180"/>
    <x v="208"/>
    <x v="29"/>
  </r>
  <r>
    <x v="2"/>
    <x v="1"/>
    <x v="2"/>
    <x v="3"/>
    <x v="1"/>
    <x v="3"/>
    <x v="0"/>
    <x v="1"/>
    <x v="12"/>
    <x v="9"/>
    <x v="10"/>
    <x v="9"/>
    <x v="7"/>
    <x v="37"/>
    <x v="15"/>
    <x v="23"/>
    <x v="179"/>
  </r>
  <r>
    <x v="2"/>
    <x v="1"/>
    <x v="2"/>
    <x v="3"/>
    <x v="2"/>
    <x v="5"/>
    <x v="5"/>
    <x v="2"/>
    <x v="1"/>
    <x v="2"/>
    <x v="15"/>
    <x v="34"/>
    <x v="7"/>
    <x v="37"/>
    <x v="15"/>
    <x v="19"/>
    <x v="16"/>
  </r>
  <r>
    <x v="2"/>
    <x v="1"/>
    <x v="2"/>
    <x v="3"/>
    <x v="3"/>
    <x v="3"/>
    <x v="0"/>
    <x v="4"/>
    <x v="5"/>
    <x v="5"/>
    <x v="0"/>
    <x v="5"/>
    <x v="147"/>
    <x v="13"/>
    <x v="11"/>
    <x v="16"/>
    <x v="13"/>
  </r>
  <r>
    <x v="2"/>
    <x v="1"/>
    <x v="2"/>
    <x v="12"/>
    <x v="1"/>
    <x v="35"/>
    <x v="62"/>
    <x v="75"/>
    <x v="114"/>
    <x v="130"/>
    <x v="124"/>
    <x v="25"/>
    <x v="156"/>
    <x v="171"/>
    <x v="181"/>
    <x v="209"/>
    <x v="190"/>
  </r>
  <r>
    <x v="2"/>
    <x v="1"/>
    <x v="2"/>
    <x v="12"/>
    <x v="2"/>
    <x v="36"/>
    <x v="63"/>
    <x v="18"/>
    <x v="115"/>
    <x v="24"/>
    <x v="6"/>
    <x v="142"/>
    <x v="156"/>
    <x v="171"/>
    <x v="181"/>
    <x v="210"/>
    <x v="32"/>
  </r>
  <r>
    <x v="2"/>
    <x v="1"/>
    <x v="2"/>
    <x v="12"/>
    <x v="3"/>
    <x v="35"/>
    <x v="62"/>
    <x v="74"/>
    <x v="116"/>
    <x v="131"/>
    <x v="125"/>
    <x v="143"/>
    <x v="157"/>
    <x v="172"/>
    <x v="182"/>
    <x v="211"/>
    <x v="8"/>
  </r>
  <r>
    <x v="2"/>
    <x v="1"/>
    <x v="2"/>
    <x v="0"/>
    <x v="29"/>
    <x v="5"/>
    <x v="5"/>
    <x v="0"/>
    <x v="15"/>
    <x v="125"/>
    <x v="126"/>
    <x v="144"/>
    <x v="33"/>
    <x v="173"/>
    <x v="174"/>
    <x v="212"/>
    <x v="42"/>
  </r>
  <r>
    <x v="2"/>
    <x v="1"/>
    <x v="2"/>
    <x v="4"/>
    <x v="4"/>
    <x v="2"/>
    <x v="2"/>
    <x v="2"/>
    <x v="12"/>
    <x v="7"/>
    <x v="8"/>
    <x v="8"/>
    <x v="7"/>
    <x v="21"/>
    <x v="19"/>
    <x v="24"/>
    <x v="16"/>
  </r>
  <r>
    <x v="2"/>
    <x v="1"/>
    <x v="2"/>
    <x v="4"/>
    <x v="5"/>
    <x v="3"/>
    <x v="0"/>
    <x v="1"/>
    <x v="5"/>
    <x v="5"/>
    <x v="5"/>
    <x v="6"/>
    <x v="13"/>
    <x v="21"/>
    <x v="19"/>
    <x v="24"/>
    <x v="21"/>
  </r>
  <r>
    <x v="2"/>
    <x v="1"/>
    <x v="2"/>
    <x v="4"/>
    <x v="6"/>
    <x v="1"/>
    <x v="1"/>
    <x v="3"/>
    <x v="3"/>
    <x v="1"/>
    <x v="3"/>
    <x v="2"/>
    <x v="3"/>
    <x v="2"/>
    <x v="1"/>
    <x v="4"/>
    <x v="2"/>
  </r>
  <r>
    <x v="2"/>
    <x v="1"/>
    <x v="2"/>
    <x v="4"/>
    <x v="7"/>
    <x v="1"/>
    <x v="1"/>
    <x v="3"/>
    <x v="4"/>
    <x v="4"/>
    <x v="4"/>
    <x v="6"/>
    <x v="4"/>
    <x v="4"/>
    <x v="43"/>
    <x v="161"/>
    <x v="31"/>
  </r>
  <r>
    <x v="2"/>
    <x v="1"/>
    <x v="2"/>
    <x v="13"/>
    <x v="4"/>
    <x v="9"/>
    <x v="64"/>
    <x v="6"/>
    <x v="6"/>
    <x v="132"/>
    <x v="127"/>
    <x v="145"/>
    <x v="158"/>
    <x v="174"/>
    <x v="130"/>
    <x v="213"/>
    <x v="191"/>
  </r>
  <r>
    <x v="2"/>
    <x v="1"/>
    <x v="2"/>
    <x v="13"/>
    <x v="5"/>
    <x v="8"/>
    <x v="8"/>
    <x v="5"/>
    <x v="10"/>
    <x v="133"/>
    <x v="128"/>
    <x v="146"/>
    <x v="159"/>
    <x v="174"/>
    <x v="130"/>
    <x v="213"/>
    <x v="192"/>
  </r>
  <r>
    <x v="2"/>
    <x v="1"/>
    <x v="2"/>
    <x v="13"/>
    <x v="6"/>
    <x v="1"/>
    <x v="1"/>
    <x v="3"/>
    <x v="3"/>
    <x v="1"/>
    <x v="3"/>
    <x v="2"/>
    <x v="3"/>
    <x v="2"/>
    <x v="1"/>
    <x v="4"/>
    <x v="2"/>
  </r>
  <r>
    <x v="2"/>
    <x v="1"/>
    <x v="2"/>
    <x v="13"/>
    <x v="7"/>
    <x v="1"/>
    <x v="1"/>
    <x v="3"/>
    <x v="17"/>
    <x v="134"/>
    <x v="129"/>
    <x v="146"/>
    <x v="160"/>
    <x v="175"/>
    <x v="131"/>
    <x v="214"/>
    <x v="193"/>
  </r>
  <r>
    <x v="2"/>
    <x v="1"/>
    <x v="2"/>
    <x v="0"/>
    <x v="30"/>
    <x v="4"/>
    <x v="3"/>
    <x v="0"/>
    <x v="8"/>
    <x v="22"/>
    <x v="130"/>
    <x v="17"/>
    <x v="161"/>
    <x v="176"/>
    <x v="183"/>
    <x v="215"/>
    <x v="194"/>
  </r>
  <r>
    <x v="2"/>
    <x v="1"/>
    <x v="2"/>
    <x v="0"/>
    <x v="31"/>
    <x v="2"/>
    <x v="2"/>
    <x v="2"/>
    <x v="8"/>
    <x v="7"/>
    <x v="10"/>
    <x v="34"/>
    <x v="12"/>
    <x v="17"/>
    <x v="6"/>
    <x v="24"/>
    <x v="16"/>
  </r>
  <r>
    <x v="2"/>
    <x v="1"/>
    <x v="2"/>
    <x v="0"/>
    <x v="32"/>
    <x v="1"/>
    <x v="1"/>
    <x v="3"/>
    <x v="2"/>
    <x v="0"/>
    <x v="2"/>
    <x v="1"/>
    <x v="2"/>
    <x v="5"/>
    <x v="3"/>
    <x v="2"/>
    <x v="1"/>
  </r>
  <r>
    <x v="2"/>
    <x v="1"/>
    <x v="2"/>
    <x v="14"/>
    <x v="8"/>
    <x v="2"/>
    <x v="2"/>
    <x v="4"/>
    <x v="1"/>
    <x v="5"/>
    <x v="0"/>
    <x v="12"/>
    <x v="13"/>
    <x v="17"/>
    <x v="6"/>
    <x v="24"/>
    <x v="16"/>
  </r>
  <r>
    <x v="2"/>
    <x v="1"/>
    <x v="2"/>
    <x v="14"/>
    <x v="9"/>
    <x v="2"/>
    <x v="2"/>
    <x v="4"/>
    <x v="5"/>
    <x v="2"/>
    <x v="0"/>
    <x v="5"/>
    <x v="13"/>
    <x v="38"/>
    <x v="11"/>
    <x v="16"/>
    <x v="13"/>
  </r>
  <r>
    <x v="2"/>
    <x v="1"/>
    <x v="2"/>
    <x v="14"/>
    <x v="10"/>
    <x v="1"/>
    <x v="1"/>
    <x v="3"/>
    <x v="3"/>
    <x v="1"/>
    <x v="2"/>
    <x v="1"/>
    <x v="1"/>
    <x v="1"/>
    <x v="12"/>
    <x v="3"/>
    <x v="6"/>
  </r>
  <r>
    <x v="2"/>
    <x v="1"/>
    <x v="2"/>
    <x v="14"/>
    <x v="11"/>
    <x v="1"/>
    <x v="1"/>
    <x v="3"/>
    <x v="3"/>
    <x v="1"/>
    <x v="2"/>
    <x v="1"/>
    <x v="2"/>
    <x v="5"/>
    <x v="3"/>
    <x v="2"/>
    <x v="1"/>
  </r>
  <r>
    <x v="2"/>
    <x v="1"/>
    <x v="2"/>
    <x v="14"/>
    <x v="12"/>
    <x v="1"/>
    <x v="1"/>
    <x v="3"/>
    <x v="3"/>
    <x v="0"/>
    <x v="2"/>
    <x v="1"/>
    <x v="2"/>
    <x v="5"/>
    <x v="3"/>
    <x v="2"/>
    <x v="1"/>
  </r>
  <r>
    <x v="2"/>
    <x v="1"/>
    <x v="2"/>
    <x v="15"/>
    <x v="8"/>
    <x v="3"/>
    <x v="0"/>
    <x v="1"/>
    <x v="5"/>
    <x v="5"/>
    <x v="5"/>
    <x v="5"/>
    <x v="147"/>
    <x v="39"/>
    <x v="43"/>
    <x v="7"/>
    <x v="14"/>
  </r>
  <r>
    <x v="2"/>
    <x v="1"/>
    <x v="2"/>
    <x v="15"/>
    <x v="9"/>
    <x v="3"/>
    <x v="0"/>
    <x v="1"/>
    <x v="4"/>
    <x v="3"/>
    <x v="1"/>
    <x v="4"/>
    <x v="1"/>
    <x v="3"/>
    <x v="4"/>
    <x v="5"/>
    <x v="5"/>
  </r>
  <r>
    <x v="2"/>
    <x v="1"/>
    <x v="2"/>
    <x v="15"/>
    <x v="10"/>
    <x v="1"/>
    <x v="1"/>
    <x v="1"/>
    <x v="2"/>
    <x v="0"/>
    <x v="2"/>
    <x v="4"/>
    <x v="1"/>
    <x v="3"/>
    <x v="5"/>
    <x v="5"/>
    <x v="4"/>
  </r>
  <r>
    <x v="2"/>
    <x v="1"/>
    <x v="2"/>
    <x v="15"/>
    <x v="11"/>
    <x v="1"/>
    <x v="1"/>
    <x v="3"/>
    <x v="3"/>
    <x v="1"/>
    <x v="3"/>
    <x v="2"/>
    <x v="3"/>
    <x v="2"/>
    <x v="1"/>
    <x v="4"/>
    <x v="2"/>
  </r>
  <r>
    <x v="2"/>
    <x v="1"/>
    <x v="2"/>
    <x v="15"/>
    <x v="12"/>
    <x v="1"/>
    <x v="1"/>
    <x v="3"/>
    <x v="3"/>
    <x v="1"/>
    <x v="3"/>
    <x v="2"/>
    <x v="3"/>
    <x v="2"/>
    <x v="1"/>
    <x v="4"/>
    <x v="2"/>
  </r>
  <r>
    <x v="2"/>
    <x v="1"/>
    <x v="2"/>
    <x v="16"/>
    <x v="8"/>
    <x v="1"/>
    <x v="1"/>
    <x v="3"/>
    <x v="3"/>
    <x v="1"/>
    <x v="3"/>
    <x v="2"/>
    <x v="3"/>
    <x v="2"/>
    <x v="1"/>
    <x v="4"/>
    <x v="2"/>
  </r>
  <r>
    <x v="2"/>
    <x v="1"/>
    <x v="2"/>
    <x v="16"/>
    <x v="9"/>
    <x v="1"/>
    <x v="1"/>
    <x v="3"/>
    <x v="3"/>
    <x v="1"/>
    <x v="3"/>
    <x v="2"/>
    <x v="3"/>
    <x v="2"/>
    <x v="1"/>
    <x v="4"/>
    <x v="2"/>
  </r>
  <r>
    <x v="2"/>
    <x v="1"/>
    <x v="2"/>
    <x v="16"/>
    <x v="10"/>
    <x v="1"/>
    <x v="1"/>
    <x v="3"/>
    <x v="3"/>
    <x v="1"/>
    <x v="3"/>
    <x v="2"/>
    <x v="3"/>
    <x v="2"/>
    <x v="1"/>
    <x v="4"/>
    <x v="2"/>
  </r>
  <r>
    <x v="2"/>
    <x v="1"/>
    <x v="2"/>
    <x v="16"/>
    <x v="11"/>
    <x v="1"/>
    <x v="1"/>
    <x v="3"/>
    <x v="2"/>
    <x v="0"/>
    <x v="2"/>
    <x v="1"/>
    <x v="2"/>
    <x v="5"/>
    <x v="3"/>
    <x v="2"/>
    <x v="1"/>
  </r>
  <r>
    <x v="2"/>
    <x v="1"/>
    <x v="2"/>
    <x v="16"/>
    <x v="12"/>
    <x v="1"/>
    <x v="1"/>
    <x v="3"/>
    <x v="3"/>
    <x v="1"/>
    <x v="3"/>
    <x v="2"/>
    <x v="3"/>
    <x v="2"/>
    <x v="1"/>
    <x v="4"/>
    <x v="2"/>
  </r>
  <r>
    <x v="2"/>
    <x v="1"/>
    <x v="3"/>
    <x v="0"/>
    <x v="33"/>
    <x v="3"/>
    <x v="12"/>
    <x v="78"/>
    <x v="25"/>
    <x v="135"/>
    <x v="131"/>
    <x v="35"/>
    <x v="162"/>
    <x v="177"/>
    <x v="184"/>
    <x v="216"/>
    <x v="195"/>
  </r>
  <r>
    <x v="2"/>
    <x v="1"/>
    <x v="3"/>
    <x v="3"/>
    <x v="1"/>
    <x v="3"/>
    <x v="0"/>
    <x v="5"/>
    <x v="2"/>
    <x v="0"/>
    <x v="2"/>
    <x v="42"/>
    <x v="2"/>
    <x v="178"/>
    <x v="185"/>
    <x v="2"/>
    <x v="196"/>
  </r>
  <r>
    <x v="2"/>
    <x v="1"/>
    <x v="3"/>
    <x v="3"/>
    <x v="2"/>
    <x v="3"/>
    <x v="0"/>
    <x v="1"/>
    <x v="24"/>
    <x v="136"/>
    <x v="29"/>
    <x v="37"/>
    <x v="2"/>
    <x v="178"/>
    <x v="3"/>
    <x v="217"/>
    <x v="197"/>
  </r>
  <r>
    <x v="2"/>
    <x v="1"/>
    <x v="3"/>
    <x v="3"/>
    <x v="3"/>
    <x v="3"/>
    <x v="10"/>
    <x v="1"/>
    <x v="2"/>
    <x v="0"/>
    <x v="2"/>
    <x v="1"/>
    <x v="10"/>
    <x v="5"/>
    <x v="3"/>
    <x v="218"/>
    <x v="1"/>
  </r>
  <r>
    <x v="2"/>
    <x v="1"/>
    <x v="3"/>
    <x v="4"/>
    <x v="4"/>
    <x v="11"/>
    <x v="13"/>
    <x v="3"/>
    <x v="2"/>
    <x v="0"/>
    <x v="2"/>
    <x v="1"/>
    <x v="2"/>
    <x v="5"/>
    <x v="3"/>
    <x v="55"/>
    <x v="1"/>
  </r>
  <r>
    <x v="2"/>
    <x v="1"/>
    <x v="3"/>
    <x v="4"/>
    <x v="5"/>
    <x v="3"/>
    <x v="0"/>
    <x v="1"/>
    <x v="2"/>
    <x v="0"/>
    <x v="2"/>
    <x v="1"/>
    <x v="43"/>
    <x v="5"/>
    <x v="3"/>
    <x v="2"/>
    <x v="1"/>
  </r>
  <r>
    <x v="2"/>
    <x v="1"/>
    <x v="3"/>
    <x v="4"/>
    <x v="6"/>
    <x v="11"/>
    <x v="13"/>
    <x v="19"/>
    <x v="26"/>
    <x v="6"/>
    <x v="31"/>
    <x v="40"/>
    <x v="46"/>
    <x v="45"/>
    <x v="50"/>
    <x v="60"/>
    <x v="56"/>
  </r>
  <r>
    <x v="2"/>
    <x v="1"/>
    <x v="3"/>
    <x v="4"/>
    <x v="7"/>
    <x v="11"/>
    <x v="13"/>
    <x v="3"/>
    <x v="6"/>
    <x v="0"/>
    <x v="2"/>
    <x v="1"/>
    <x v="2"/>
    <x v="5"/>
    <x v="3"/>
    <x v="2"/>
    <x v="1"/>
  </r>
  <r>
    <x v="2"/>
    <x v="1"/>
    <x v="3"/>
    <x v="2"/>
    <x v="8"/>
    <x v="9"/>
    <x v="1"/>
    <x v="3"/>
    <x v="117"/>
    <x v="137"/>
    <x v="30"/>
    <x v="147"/>
    <x v="163"/>
    <x v="179"/>
    <x v="186"/>
    <x v="219"/>
    <x v="198"/>
  </r>
  <r>
    <x v="2"/>
    <x v="1"/>
    <x v="3"/>
    <x v="2"/>
    <x v="9"/>
    <x v="9"/>
    <x v="1"/>
    <x v="3"/>
    <x v="118"/>
    <x v="138"/>
    <x v="3"/>
    <x v="2"/>
    <x v="164"/>
    <x v="180"/>
    <x v="178"/>
    <x v="4"/>
    <x v="48"/>
  </r>
  <r>
    <x v="2"/>
    <x v="1"/>
    <x v="3"/>
    <x v="2"/>
    <x v="10"/>
    <x v="10"/>
    <x v="1"/>
    <x v="3"/>
    <x v="3"/>
    <x v="1"/>
    <x v="6"/>
    <x v="2"/>
    <x v="6"/>
    <x v="181"/>
    <x v="28"/>
    <x v="4"/>
    <x v="48"/>
  </r>
  <r>
    <x v="2"/>
    <x v="1"/>
    <x v="3"/>
    <x v="2"/>
    <x v="11"/>
    <x v="11"/>
    <x v="13"/>
    <x v="3"/>
    <x v="3"/>
    <x v="1"/>
    <x v="19"/>
    <x v="2"/>
    <x v="3"/>
    <x v="2"/>
    <x v="1"/>
    <x v="4"/>
    <x v="2"/>
  </r>
  <r>
    <x v="2"/>
    <x v="1"/>
    <x v="3"/>
    <x v="2"/>
    <x v="12"/>
    <x v="11"/>
    <x v="13"/>
    <x v="3"/>
    <x v="3"/>
    <x v="0"/>
    <x v="3"/>
    <x v="2"/>
    <x v="3"/>
    <x v="2"/>
    <x v="1"/>
    <x v="4"/>
    <x v="2"/>
  </r>
  <r>
    <x v="2"/>
    <x v="1"/>
    <x v="3"/>
    <x v="0"/>
    <x v="34"/>
    <x v="3"/>
    <x v="65"/>
    <x v="79"/>
    <x v="119"/>
    <x v="139"/>
    <x v="132"/>
    <x v="41"/>
    <x v="165"/>
    <x v="182"/>
    <x v="187"/>
    <x v="220"/>
    <x v="199"/>
  </r>
  <r>
    <x v="2"/>
    <x v="1"/>
    <x v="3"/>
    <x v="3"/>
    <x v="1"/>
    <x v="3"/>
    <x v="0"/>
    <x v="5"/>
    <x v="2"/>
    <x v="0"/>
    <x v="2"/>
    <x v="148"/>
    <x v="2"/>
    <x v="183"/>
    <x v="188"/>
    <x v="221"/>
    <x v="200"/>
  </r>
  <r>
    <x v="2"/>
    <x v="1"/>
    <x v="3"/>
    <x v="3"/>
    <x v="2"/>
    <x v="3"/>
    <x v="0"/>
    <x v="1"/>
    <x v="24"/>
    <x v="136"/>
    <x v="29"/>
    <x v="149"/>
    <x v="48"/>
    <x v="183"/>
    <x v="3"/>
    <x v="52"/>
    <x v="51"/>
  </r>
  <r>
    <x v="2"/>
    <x v="1"/>
    <x v="3"/>
    <x v="3"/>
    <x v="3"/>
    <x v="3"/>
    <x v="10"/>
    <x v="20"/>
    <x v="2"/>
    <x v="0"/>
    <x v="2"/>
    <x v="1"/>
    <x v="166"/>
    <x v="5"/>
    <x v="3"/>
    <x v="55"/>
    <x v="1"/>
  </r>
  <r>
    <x v="2"/>
    <x v="1"/>
    <x v="3"/>
    <x v="0"/>
    <x v="35"/>
    <x v="3"/>
    <x v="66"/>
    <x v="15"/>
    <x v="29"/>
    <x v="0"/>
    <x v="133"/>
    <x v="42"/>
    <x v="167"/>
    <x v="184"/>
    <x v="3"/>
    <x v="222"/>
    <x v="201"/>
  </r>
  <r>
    <x v="2"/>
    <x v="1"/>
    <x v="3"/>
    <x v="4"/>
    <x v="4"/>
    <x v="3"/>
    <x v="64"/>
    <x v="18"/>
    <x v="29"/>
    <x v="0"/>
    <x v="2"/>
    <x v="1"/>
    <x v="2"/>
    <x v="185"/>
    <x v="3"/>
    <x v="223"/>
    <x v="1"/>
  </r>
  <r>
    <x v="2"/>
    <x v="1"/>
    <x v="3"/>
    <x v="4"/>
    <x v="5"/>
    <x v="3"/>
    <x v="0"/>
    <x v="18"/>
    <x v="2"/>
    <x v="0"/>
    <x v="2"/>
    <x v="150"/>
    <x v="168"/>
    <x v="185"/>
    <x v="3"/>
    <x v="224"/>
    <x v="202"/>
  </r>
  <r>
    <x v="2"/>
    <x v="1"/>
    <x v="3"/>
    <x v="4"/>
    <x v="6"/>
    <x v="11"/>
    <x v="13"/>
    <x v="19"/>
    <x v="26"/>
    <x v="6"/>
    <x v="31"/>
    <x v="40"/>
    <x v="46"/>
    <x v="45"/>
    <x v="50"/>
    <x v="60"/>
    <x v="56"/>
  </r>
  <r>
    <x v="2"/>
    <x v="1"/>
    <x v="3"/>
    <x v="4"/>
    <x v="7"/>
    <x v="11"/>
    <x v="13"/>
    <x v="3"/>
    <x v="9"/>
    <x v="0"/>
    <x v="34"/>
    <x v="1"/>
    <x v="2"/>
    <x v="5"/>
    <x v="3"/>
    <x v="2"/>
    <x v="1"/>
  </r>
  <r>
    <x v="2"/>
    <x v="1"/>
    <x v="4"/>
    <x v="0"/>
    <x v="15"/>
    <x v="37"/>
    <x v="1"/>
    <x v="80"/>
    <x v="120"/>
    <x v="140"/>
    <x v="134"/>
    <x v="151"/>
    <x v="169"/>
    <x v="186"/>
    <x v="189"/>
    <x v="225"/>
    <x v="203"/>
  </r>
  <r>
    <x v="2"/>
    <x v="1"/>
    <x v="4"/>
    <x v="1"/>
    <x v="1"/>
    <x v="38"/>
    <x v="1"/>
    <x v="3"/>
    <x v="121"/>
    <x v="1"/>
    <x v="3"/>
    <x v="152"/>
    <x v="170"/>
    <x v="187"/>
    <x v="190"/>
    <x v="225"/>
    <x v="204"/>
  </r>
  <r>
    <x v="2"/>
    <x v="1"/>
    <x v="4"/>
    <x v="1"/>
    <x v="2"/>
    <x v="39"/>
    <x v="1"/>
    <x v="3"/>
    <x v="3"/>
    <x v="141"/>
    <x v="135"/>
    <x v="153"/>
    <x v="171"/>
    <x v="2"/>
    <x v="191"/>
    <x v="4"/>
    <x v="2"/>
  </r>
  <r>
    <x v="2"/>
    <x v="1"/>
    <x v="4"/>
    <x v="1"/>
    <x v="3"/>
    <x v="40"/>
    <x v="1"/>
    <x v="80"/>
    <x v="3"/>
    <x v="1"/>
    <x v="3"/>
    <x v="2"/>
    <x v="172"/>
    <x v="188"/>
    <x v="192"/>
    <x v="4"/>
    <x v="205"/>
  </r>
  <r>
    <x v="2"/>
    <x v="1"/>
    <x v="4"/>
    <x v="1"/>
    <x v="4"/>
    <x v="1"/>
    <x v="1"/>
    <x v="3"/>
    <x v="122"/>
    <x v="1"/>
    <x v="136"/>
    <x v="154"/>
    <x v="3"/>
    <x v="2"/>
    <x v="1"/>
    <x v="4"/>
    <x v="206"/>
  </r>
  <r>
    <x v="2"/>
    <x v="1"/>
    <x v="4"/>
    <x v="1"/>
    <x v="5"/>
    <x v="41"/>
    <x v="1"/>
    <x v="3"/>
    <x v="123"/>
    <x v="1"/>
    <x v="3"/>
    <x v="2"/>
    <x v="3"/>
    <x v="189"/>
    <x v="1"/>
    <x v="4"/>
    <x v="207"/>
  </r>
  <r>
    <x v="2"/>
    <x v="1"/>
    <x v="4"/>
    <x v="1"/>
    <x v="6"/>
    <x v="1"/>
    <x v="1"/>
    <x v="3"/>
    <x v="3"/>
    <x v="1"/>
    <x v="3"/>
    <x v="2"/>
    <x v="3"/>
    <x v="2"/>
    <x v="1"/>
    <x v="4"/>
    <x v="2"/>
  </r>
  <r>
    <x v="2"/>
    <x v="1"/>
    <x v="4"/>
    <x v="1"/>
    <x v="7"/>
    <x v="1"/>
    <x v="1"/>
    <x v="3"/>
    <x v="124"/>
    <x v="142"/>
    <x v="3"/>
    <x v="2"/>
    <x v="3"/>
    <x v="2"/>
    <x v="1"/>
    <x v="4"/>
    <x v="2"/>
  </r>
  <r>
    <x v="2"/>
    <x v="1"/>
    <x v="4"/>
    <x v="2"/>
    <x v="8"/>
    <x v="42"/>
    <x v="1"/>
    <x v="3"/>
    <x v="125"/>
    <x v="143"/>
    <x v="137"/>
    <x v="155"/>
    <x v="173"/>
    <x v="190"/>
    <x v="193"/>
    <x v="226"/>
    <x v="204"/>
  </r>
  <r>
    <x v="2"/>
    <x v="1"/>
    <x v="4"/>
    <x v="2"/>
    <x v="9"/>
    <x v="43"/>
    <x v="1"/>
    <x v="3"/>
    <x v="126"/>
    <x v="144"/>
    <x v="3"/>
    <x v="2"/>
    <x v="174"/>
    <x v="191"/>
    <x v="190"/>
    <x v="227"/>
    <x v="208"/>
  </r>
  <r>
    <x v="2"/>
    <x v="1"/>
    <x v="4"/>
    <x v="2"/>
    <x v="10"/>
    <x v="1"/>
    <x v="1"/>
    <x v="80"/>
    <x v="3"/>
    <x v="1"/>
    <x v="135"/>
    <x v="156"/>
    <x v="175"/>
    <x v="192"/>
    <x v="194"/>
    <x v="4"/>
    <x v="206"/>
  </r>
  <r>
    <x v="2"/>
    <x v="1"/>
    <x v="4"/>
    <x v="2"/>
    <x v="11"/>
    <x v="1"/>
    <x v="1"/>
    <x v="3"/>
    <x v="127"/>
    <x v="1"/>
    <x v="138"/>
    <x v="2"/>
    <x v="3"/>
    <x v="2"/>
    <x v="1"/>
    <x v="4"/>
    <x v="2"/>
  </r>
  <r>
    <x v="2"/>
    <x v="1"/>
    <x v="4"/>
    <x v="2"/>
    <x v="12"/>
    <x v="1"/>
    <x v="1"/>
    <x v="3"/>
    <x v="3"/>
    <x v="142"/>
    <x v="3"/>
    <x v="2"/>
    <x v="3"/>
    <x v="2"/>
    <x v="1"/>
    <x v="4"/>
    <x v="2"/>
  </r>
  <r>
    <x v="2"/>
    <x v="1"/>
    <x v="5"/>
    <x v="0"/>
    <x v="15"/>
    <x v="44"/>
    <x v="1"/>
    <x v="81"/>
    <x v="128"/>
    <x v="145"/>
    <x v="139"/>
    <x v="157"/>
    <x v="176"/>
    <x v="193"/>
    <x v="195"/>
    <x v="228"/>
    <x v="209"/>
  </r>
  <r>
    <x v="2"/>
    <x v="1"/>
    <x v="5"/>
    <x v="2"/>
    <x v="8"/>
    <x v="45"/>
    <x v="1"/>
    <x v="3"/>
    <x v="129"/>
    <x v="146"/>
    <x v="140"/>
    <x v="158"/>
    <x v="177"/>
    <x v="194"/>
    <x v="196"/>
    <x v="229"/>
    <x v="210"/>
  </r>
  <r>
    <x v="2"/>
    <x v="1"/>
    <x v="5"/>
    <x v="2"/>
    <x v="9"/>
    <x v="46"/>
    <x v="1"/>
    <x v="3"/>
    <x v="130"/>
    <x v="147"/>
    <x v="3"/>
    <x v="2"/>
    <x v="178"/>
    <x v="195"/>
    <x v="197"/>
    <x v="230"/>
    <x v="211"/>
  </r>
  <r>
    <x v="2"/>
    <x v="1"/>
    <x v="5"/>
    <x v="2"/>
    <x v="10"/>
    <x v="1"/>
    <x v="1"/>
    <x v="81"/>
    <x v="3"/>
    <x v="1"/>
    <x v="141"/>
    <x v="159"/>
    <x v="179"/>
    <x v="196"/>
    <x v="198"/>
    <x v="4"/>
    <x v="212"/>
  </r>
  <r>
    <x v="2"/>
    <x v="1"/>
    <x v="5"/>
    <x v="2"/>
    <x v="11"/>
    <x v="1"/>
    <x v="1"/>
    <x v="3"/>
    <x v="127"/>
    <x v="1"/>
    <x v="142"/>
    <x v="2"/>
    <x v="3"/>
    <x v="2"/>
    <x v="1"/>
    <x v="4"/>
    <x v="2"/>
  </r>
  <r>
    <x v="2"/>
    <x v="1"/>
    <x v="5"/>
    <x v="2"/>
    <x v="12"/>
    <x v="1"/>
    <x v="1"/>
    <x v="3"/>
    <x v="3"/>
    <x v="148"/>
    <x v="3"/>
    <x v="2"/>
    <x v="3"/>
    <x v="2"/>
    <x v="1"/>
    <x v="4"/>
    <x v="2"/>
  </r>
  <r>
    <x v="2"/>
    <x v="1"/>
    <x v="6"/>
    <x v="0"/>
    <x v="15"/>
    <x v="44"/>
    <x v="67"/>
    <x v="82"/>
    <x v="131"/>
    <x v="149"/>
    <x v="143"/>
    <x v="160"/>
    <x v="180"/>
    <x v="197"/>
    <x v="199"/>
    <x v="231"/>
    <x v="213"/>
  </r>
  <r>
    <x v="2"/>
    <x v="1"/>
    <x v="7"/>
    <x v="0"/>
    <x v="15"/>
    <x v="47"/>
    <x v="1"/>
    <x v="83"/>
    <x v="132"/>
    <x v="150"/>
    <x v="144"/>
    <x v="161"/>
    <x v="181"/>
    <x v="198"/>
    <x v="200"/>
    <x v="232"/>
    <x v="214"/>
  </r>
  <r>
    <x v="2"/>
    <x v="1"/>
    <x v="7"/>
    <x v="1"/>
    <x v="1"/>
    <x v="48"/>
    <x v="1"/>
    <x v="3"/>
    <x v="133"/>
    <x v="1"/>
    <x v="3"/>
    <x v="162"/>
    <x v="182"/>
    <x v="199"/>
    <x v="201"/>
    <x v="232"/>
    <x v="215"/>
  </r>
  <r>
    <x v="2"/>
    <x v="1"/>
    <x v="7"/>
    <x v="1"/>
    <x v="2"/>
    <x v="49"/>
    <x v="1"/>
    <x v="3"/>
    <x v="3"/>
    <x v="151"/>
    <x v="145"/>
    <x v="163"/>
    <x v="183"/>
    <x v="2"/>
    <x v="202"/>
    <x v="4"/>
    <x v="2"/>
  </r>
  <r>
    <x v="2"/>
    <x v="1"/>
    <x v="7"/>
    <x v="1"/>
    <x v="3"/>
    <x v="50"/>
    <x v="1"/>
    <x v="83"/>
    <x v="3"/>
    <x v="1"/>
    <x v="3"/>
    <x v="2"/>
    <x v="184"/>
    <x v="200"/>
    <x v="203"/>
    <x v="4"/>
    <x v="216"/>
  </r>
  <r>
    <x v="2"/>
    <x v="1"/>
    <x v="7"/>
    <x v="1"/>
    <x v="4"/>
    <x v="1"/>
    <x v="1"/>
    <x v="3"/>
    <x v="134"/>
    <x v="1"/>
    <x v="146"/>
    <x v="164"/>
    <x v="3"/>
    <x v="2"/>
    <x v="1"/>
    <x v="4"/>
    <x v="217"/>
  </r>
  <r>
    <x v="2"/>
    <x v="1"/>
    <x v="7"/>
    <x v="1"/>
    <x v="5"/>
    <x v="51"/>
    <x v="1"/>
    <x v="3"/>
    <x v="135"/>
    <x v="1"/>
    <x v="3"/>
    <x v="2"/>
    <x v="3"/>
    <x v="201"/>
    <x v="1"/>
    <x v="4"/>
    <x v="207"/>
  </r>
  <r>
    <x v="2"/>
    <x v="1"/>
    <x v="7"/>
    <x v="1"/>
    <x v="6"/>
    <x v="1"/>
    <x v="1"/>
    <x v="3"/>
    <x v="3"/>
    <x v="1"/>
    <x v="3"/>
    <x v="2"/>
    <x v="3"/>
    <x v="2"/>
    <x v="1"/>
    <x v="4"/>
    <x v="2"/>
  </r>
  <r>
    <x v="2"/>
    <x v="1"/>
    <x v="7"/>
    <x v="1"/>
    <x v="7"/>
    <x v="1"/>
    <x v="1"/>
    <x v="3"/>
    <x v="136"/>
    <x v="152"/>
    <x v="3"/>
    <x v="2"/>
    <x v="3"/>
    <x v="2"/>
    <x v="1"/>
    <x v="4"/>
    <x v="2"/>
  </r>
  <r>
    <x v="2"/>
    <x v="1"/>
    <x v="7"/>
    <x v="2"/>
    <x v="8"/>
    <x v="52"/>
    <x v="1"/>
    <x v="3"/>
    <x v="137"/>
    <x v="153"/>
    <x v="147"/>
    <x v="165"/>
    <x v="185"/>
    <x v="202"/>
    <x v="204"/>
    <x v="233"/>
    <x v="215"/>
  </r>
  <r>
    <x v="2"/>
    <x v="1"/>
    <x v="7"/>
    <x v="2"/>
    <x v="9"/>
    <x v="53"/>
    <x v="1"/>
    <x v="3"/>
    <x v="138"/>
    <x v="154"/>
    <x v="3"/>
    <x v="2"/>
    <x v="186"/>
    <x v="203"/>
    <x v="201"/>
    <x v="234"/>
    <x v="218"/>
  </r>
  <r>
    <x v="2"/>
    <x v="1"/>
    <x v="7"/>
    <x v="2"/>
    <x v="10"/>
    <x v="1"/>
    <x v="1"/>
    <x v="83"/>
    <x v="3"/>
    <x v="1"/>
    <x v="145"/>
    <x v="166"/>
    <x v="187"/>
    <x v="204"/>
    <x v="205"/>
    <x v="4"/>
    <x v="217"/>
  </r>
  <r>
    <x v="2"/>
    <x v="1"/>
    <x v="7"/>
    <x v="2"/>
    <x v="11"/>
    <x v="1"/>
    <x v="1"/>
    <x v="3"/>
    <x v="127"/>
    <x v="1"/>
    <x v="148"/>
    <x v="2"/>
    <x v="3"/>
    <x v="2"/>
    <x v="1"/>
    <x v="4"/>
    <x v="2"/>
  </r>
  <r>
    <x v="2"/>
    <x v="1"/>
    <x v="7"/>
    <x v="2"/>
    <x v="12"/>
    <x v="1"/>
    <x v="1"/>
    <x v="3"/>
    <x v="3"/>
    <x v="152"/>
    <x v="3"/>
    <x v="2"/>
    <x v="3"/>
    <x v="2"/>
    <x v="1"/>
    <x v="4"/>
    <x v="2"/>
  </r>
  <r>
    <x v="2"/>
    <x v="1"/>
    <x v="4"/>
    <x v="0"/>
    <x v="36"/>
    <x v="54"/>
    <x v="1"/>
    <x v="3"/>
    <x v="139"/>
    <x v="155"/>
    <x v="149"/>
    <x v="167"/>
    <x v="188"/>
    <x v="205"/>
    <x v="206"/>
    <x v="235"/>
    <x v="219"/>
  </r>
  <r>
    <x v="2"/>
    <x v="1"/>
    <x v="4"/>
    <x v="0"/>
    <x v="37"/>
    <x v="55"/>
    <x v="1"/>
    <x v="84"/>
    <x v="140"/>
    <x v="1"/>
    <x v="3"/>
    <x v="168"/>
    <x v="189"/>
    <x v="2"/>
    <x v="207"/>
    <x v="236"/>
    <x v="220"/>
  </r>
  <r>
    <x v="2"/>
    <x v="1"/>
    <x v="4"/>
    <x v="0"/>
    <x v="38"/>
    <x v="1"/>
    <x v="1"/>
    <x v="3"/>
    <x v="3"/>
    <x v="1"/>
    <x v="3"/>
    <x v="2"/>
    <x v="3"/>
    <x v="2"/>
    <x v="1"/>
    <x v="4"/>
    <x v="2"/>
  </r>
  <r>
    <x v="2"/>
    <x v="1"/>
    <x v="4"/>
    <x v="5"/>
    <x v="8"/>
    <x v="56"/>
    <x v="1"/>
    <x v="3"/>
    <x v="141"/>
    <x v="156"/>
    <x v="150"/>
    <x v="167"/>
    <x v="190"/>
    <x v="206"/>
    <x v="208"/>
    <x v="235"/>
    <x v="221"/>
  </r>
  <r>
    <x v="2"/>
    <x v="1"/>
    <x v="4"/>
    <x v="5"/>
    <x v="9"/>
    <x v="57"/>
    <x v="1"/>
    <x v="3"/>
    <x v="142"/>
    <x v="157"/>
    <x v="3"/>
    <x v="2"/>
    <x v="191"/>
    <x v="207"/>
    <x v="209"/>
    <x v="4"/>
    <x v="222"/>
  </r>
  <r>
    <x v="2"/>
    <x v="1"/>
    <x v="4"/>
    <x v="5"/>
    <x v="10"/>
    <x v="1"/>
    <x v="1"/>
    <x v="3"/>
    <x v="3"/>
    <x v="1"/>
    <x v="151"/>
    <x v="2"/>
    <x v="192"/>
    <x v="208"/>
    <x v="210"/>
    <x v="4"/>
    <x v="223"/>
  </r>
  <r>
    <x v="2"/>
    <x v="1"/>
    <x v="4"/>
    <x v="5"/>
    <x v="11"/>
    <x v="1"/>
    <x v="1"/>
    <x v="3"/>
    <x v="3"/>
    <x v="1"/>
    <x v="152"/>
    <x v="2"/>
    <x v="3"/>
    <x v="2"/>
    <x v="1"/>
    <x v="4"/>
    <x v="2"/>
  </r>
  <r>
    <x v="2"/>
    <x v="1"/>
    <x v="4"/>
    <x v="5"/>
    <x v="12"/>
    <x v="1"/>
    <x v="1"/>
    <x v="3"/>
    <x v="3"/>
    <x v="158"/>
    <x v="3"/>
    <x v="2"/>
    <x v="3"/>
    <x v="2"/>
    <x v="1"/>
    <x v="4"/>
    <x v="2"/>
  </r>
  <r>
    <x v="2"/>
    <x v="1"/>
    <x v="4"/>
    <x v="6"/>
    <x v="8"/>
    <x v="58"/>
    <x v="1"/>
    <x v="3"/>
    <x v="143"/>
    <x v="1"/>
    <x v="3"/>
    <x v="169"/>
    <x v="189"/>
    <x v="2"/>
    <x v="1"/>
    <x v="4"/>
    <x v="2"/>
  </r>
  <r>
    <x v="2"/>
    <x v="1"/>
    <x v="4"/>
    <x v="6"/>
    <x v="9"/>
    <x v="59"/>
    <x v="1"/>
    <x v="3"/>
    <x v="144"/>
    <x v="1"/>
    <x v="3"/>
    <x v="2"/>
    <x v="3"/>
    <x v="2"/>
    <x v="1"/>
    <x v="236"/>
    <x v="220"/>
  </r>
  <r>
    <x v="2"/>
    <x v="1"/>
    <x v="4"/>
    <x v="6"/>
    <x v="10"/>
    <x v="1"/>
    <x v="1"/>
    <x v="84"/>
    <x v="3"/>
    <x v="1"/>
    <x v="3"/>
    <x v="170"/>
    <x v="3"/>
    <x v="2"/>
    <x v="207"/>
    <x v="4"/>
    <x v="2"/>
  </r>
  <r>
    <x v="2"/>
    <x v="1"/>
    <x v="4"/>
    <x v="6"/>
    <x v="11"/>
    <x v="1"/>
    <x v="1"/>
    <x v="3"/>
    <x v="3"/>
    <x v="1"/>
    <x v="3"/>
    <x v="2"/>
    <x v="3"/>
    <x v="2"/>
    <x v="1"/>
    <x v="4"/>
    <x v="2"/>
  </r>
  <r>
    <x v="2"/>
    <x v="1"/>
    <x v="4"/>
    <x v="6"/>
    <x v="12"/>
    <x v="1"/>
    <x v="1"/>
    <x v="3"/>
    <x v="3"/>
    <x v="1"/>
    <x v="3"/>
    <x v="2"/>
    <x v="3"/>
    <x v="2"/>
    <x v="1"/>
    <x v="4"/>
    <x v="2"/>
  </r>
  <r>
    <x v="2"/>
    <x v="1"/>
    <x v="4"/>
    <x v="0"/>
    <x v="39"/>
    <x v="60"/>
    <x v="1"/>
    <x v="3"/>
    <x v="145"/>
    <x v="145"/>
    <x v="139"/>
    <x v="171"/>
    <x v="193"/>
    <x v="193"/>
    <x v="211"/>
    <x v="229"/>
    <x v="224"/>
  </r>
  <r>
    <x v="2"/>
    <x v="1"/>
    <x v="4"/>
    <x v="0"/>
    <x v="40"/>
    <x v="61"/>
    <x v="1"/>
    <x v="81"/>
    <x v="146"/>
    <x v="1"/>
    <x v="3"/>
    <x v="172"/>
    <x v="194"/>
    <x v="2"/>
    <x v="212"/>
    <x v="230"/>
    <x v="225"/>
  </r>
  <r>
    <x v="2"/>
    <x v="1"/>
    <x v="4"/>
    <x v="0"/>
    <x v="41"/>
    <x v="1"/>
    <x v="1"/>
    <x v="3"/>
    <x v="127"/>
    <x v="1"/>
    <x v="3"/>
    <x v="2"/>
    <x v="3"/>
    <x v="2"/>
    <x v="1"/>
    <x v="4"/>
    <x v="2"/>
  </r>
  <r>
    <x v="2"/>
    <x v="1"/>
    <x v="8"/>
    <x v="0"/>
    <x v="39"/>
    <x v="60"/>
    <x v="68"/>
    <x v="85"/>
    <x v="147"/>
    <x v="159"/>
    <x v="153"/>
    <x v="173"/>
    <x v="195"/>
    <x v="209"/>
    <x v="213"/>
    <x v="237"/>
    <x v="226"/>
  </r>
  <r>
    <x v="2"/>
    <x v="1"/>
    <x v="8"/>
    <x v="0"/>
    <x v="40"/>
    <x v="61"/>
    <x v="69"/>
    <x v="86"/>
    <x v="148"/>
    <x v="160"/>
    <x v="154"/>
    <x v="174"/>
    <x v="196"/>
    <x v="210"/>
    <x v="214"/>
    <x v="238"/>
    <x v="227"/>
  </r>
  <r>
    <x v="2"/>
    <x v="1"/>
    <x v="8"/>
    <x v="0"/>
    <x v="41"/>
    <x v="1"/>
    <x v="1"/>
    <x v="3"/>
    <x v="127"/>
    <x v="161"/>
    <x v="155"/>
    <x v="175"/>
    <x v="197"/>
    <x v="211"/>
    <x v="215"/>
    <x v="239"/>
    <x v="228"/>
  </r>
  <r>
    <x v="2"/>
    <x v="1"/>
    <x v="8"/>
    <x v="0"/>
    <x v="27"/>
    <x v="37"/>
    <x v="70"/>
    <x v="87"/>
    <x v="149"/>
    <x v="162"/>
    <x v="156"/>
    <x v="176"/>
    <x v="198"/>
    <x v="212"/>
    <x v="216"/>
    <x v="240"/>
    <x v="229"/>
  </r>
  <r>
    <x v="2"/>
    <x v="1"/>
    <x v="8"/>
    <x v="1"/>
    <x v="1"/>
    <x v="38"/>
    <x v="71"/>
    <x v="88"/>
    <x v="150"/>
    <x v="163"/>
    <x v="157"/>
    <x v="177"/>
    <x v="199"/>
    <x v="213"/>
    <x v="217"/>
    <x v="241"/>
    <x v="230"/>
  </r>
  <r>
    <x v="2"/>
    <x v="1"/>
    <x v="8"/>
    <x v="1"/>
    <x v="2"/>
    <x v="39"/>
    <x v="72"/>
    <x v="89"/>
    <x v="151"/>
    <x v="164"/>
    <x v="158"/>
    <x v="178"/>
    <x v="200"/>
    <x v="214"/>
    <x v="218"/>
    <x v="242"/>
    <x v="231"/>
  </r>
  <r>
    <x v="2"/>
    <x v="1"/>
    <x v="8"/>
    <x v="1"/>
    <x v="3"/>
    <x v="40"/>
    <x v="73"/>
    <x v="90"/>
    <x v="152"/>
    <x v="165"/>
    <x v="159"/>
    <x v="179"/>
    <x v="201"/>
    <x v="215"/>
    <x v="219"/>
    <x v="243"/>
    <x v="232"/>
  </r>
  <r>
    <x v="2"/>
    <x v="1"/>
    <x v="8"/>
    <x v="1"/>
    <x v="4"/>
    <x v="1"/>
    <x v="1"/>
    <x v="3"/>
    <x v="122"/>
    <x v="166"/>
    <x v="160"/>
    <x v="180"/>
    <x v="202"/>
    <x v="216"/>
    <x v="220"/>
    <x v="244"/>
    <x v="233"/>
  </r>
  <r>
    <x v="2"/>
    <x v="1"/>
    <x v="8"/>
    <x v="1"/>
    <x v="5"/>
    <x v="41"/>
    <x v="74"/>
    <x v="91"/>
    <x v="153"/>
    <x v="167"/>
    <x v="161"/>
    <x v="181"/>
    <x v="203"/>
    <x v="217"/>
    <x v="221"/>
    <x v="245"/>
    <x v="234"/>
  </r>
  <r>
    <x v="2"/>
    <x v="1"/>
    <x v="8"/>
    <x v="1"/>
    <x v="6"/>
    <x v="1"/>
    <x v="1"/>
    <x v="3"/>
    <x v="3"/>
    <x v="1"/>
    <x v="3"/>
    <x v="2"/>
    <x v="3"/>
    <x v="2"/>
    <x v="1"/>
    <x v="4"/>
    <x v="2"/>
  </r>
  <r>
    <x v="2"/>
    <x v="1"/>
    <x v="8"/>
    <x v="1"/>
    <x v="7"/>
    <x v="1"/>
    <x v="1"/>
    <x v="3"/>
    <x v="124"/>
    <x v="168"/>
    <x v="162"/>
    <x v="182"/>
    <x v="204"/>
    <x v="218"/>
    <x v="222"/>
    <x v="246"/>
    <x v="235"/>
  </r>
  <r>
    <x v="2"/>
    <x v="1"/>
    <x v="8"/>
    <x v="11"/>
    <x v="1"/>
    <x v="62"/>
    <x v="75"/>
    <x v="92"/>
    <x v="154"/>
    <x v="169"/>
    <x v="163"/>
    <x v="183"/>
    <x v="205"/>
    <x v="219"/>
    <x v="223"/>
    <x v="247"/>
    <x v="236"/>
  </r>
  <r>
    <x v="2"/>
    <x v="1"/>
    <x v="8"/>
    <x v="11"/>
    <x v="2"/>
    <x v="63"/>
    <x v="76"/>
    <x v="93"/>
    <x v="155"/>
    <x v="170"/>
    <x v="164"/>
    <x v="184"/>
    <x v="206"/>
    <x v="220"/>
    <x v="224"/>
    <x v="248"/>
    <x v="237"/>
  </r>
  <r>
    <x v="2"/>
    <x v="1"/>
    <x v="8"/>
    <x v="11"/>
    <x v="3"/>
    <x v="64"/>
    <x v="77"/>
    <x v="94"/>
    <x v="156"/>
    <x v="171"/>
    <x v="165"/>
    <x v="185"/>
    <x v="207"/>
    <x v="221"/>
    <x v="225"/>
    <x v="249"/>
    <x v="238"/>
  </r>
  <r>
    <x v="2"/>
    <x v="1"/>
    <x v="8"/>
    <x v="11"/>
    <x v="4"/>
    <x v="1"/>
    <x v="1"/>
    <x v="3"/>
    <x v="157"/>
    <x v="172"/>
    <x v="166"/>
    <x v="186"/>
    <x v="208"/>
    <x v="222"/>
    <x v="226"/>
    <x v="250"/>
    <x v="239"/>
  </r>
  <r>
    <x v="2"/>
    <x v="1"/>
    <x v="8"/>
    <x v="11"/>
    <x v="5"/>
    <x v="65"/>
    <x v="78"/>
    <x v="95"/>
    <x v="158"/>
    <x v="173"/>
    <x v="167"/>
    <x v="187"/>
    <x v="209"/>
    <x v="223"/>
    <x v="227"/>
    <x v="251"/>
    <x v="240"/>
  </r>
  <r>
    <x v="2"/>
    <x v="1"/>
    <x v="8"/>
    <x v="11"/>
    <x v="6"/>
    <x v="1"/>
    <x v="1"/>
    <x v="3"/>
    <x v="3"/>
    <x v="1"/>
    <x v="3"/>
    <x v="2"/>
    <x v="3"/>
    <x v="2"/>
    <x v="1"/>
    <x v="4"/>
    <x v="2"/>
  </r>
  <r>
    <x v="2"/>
    <x v="1"/>
    <x v="8"/>
    <x v="11"/>
    <x v="7"/>
    <x v="1"/>
    <x v="1"/>
    <x v="3"/>
    <x v="159"/>
    <x v="174"/>
    <x v="168"/>
    <x v="188"/>
    <x v="210"/>
    <x v="224"/>
    <x v="228"/>
    <x v="252"/>
    <x v="241"/>
  </r>
  <r>
    <x v="2"/>
    <x v="1"/>
    <x v="8"/>
    <x v="2"/>
    <x v="8"/>
    <x v="42"/>
    <x v="79"/>
    <x v="96"/>
    <x v="160"/>
    <x v="175"/>
    <x v="169"/>
    <x v="189"/>
    <x v="211"/>
    <x v="225"/>
    <x v="229"/>
    <x v="253"/>
    <x v="242"/>
  </r>
  <r>
    <x v="2"/>
    <x v="1"/>
    <x v="8"/>
    <x v="2"/>
    <x v="9"/>
    <x v="43"/>
    <x v="80"/>
    <x v="97"/>
    <x v="161"/>
    <x v="176"/>
    <x v="170"/>
    <x v="190"/>
    <x v="212"/>
    <x v="226"/>
    <x v="230"/>
    <x v="254"/>
    <x v="243"/>
  </r>
  <r>
    <x v="2"/>
    <x v="1"/>
    <x v="8"/>
    <x v="2"/>
    <x v="10"/>
    <x v="1"/>
    <x v="1"/>
    <x v="80"/>
    <x v="162"/>
    <x v="177"/>
    <x v="171"/>
    <x v="191"/>
    <x v="213"/>
    <x v="227"/>
    <x v="231"/>
    <x v="255"/>
    <x v="244"/>
  </r>
  <r>
    <x v="2"/>
    <x v="1"/>
    <x v="8"/>
    <x v="2"/>
    <x v="11"/>
    <x v="1"/>
    <x v="1"/>
    <x v="3"/>
    <x v="127"/>
    <x v="161"/>
    <x v="172"/>
    <x v="192"/>
    <x v="214"/>
    <x v="228"/>
    <x v="232"/>
    <x v="256"/>
    <x v="245"/>
  </r>
  <r>
    <x v="2"/>
    <x v="1"/>
    <x v="8"/>
    <x v="2"/>
    <x v="12"/>
    <x v="1"/>
    <x v="1"/>
    <x v="3"/>
    <x v="3"/>
    <x v="142"/>
    <x v="173"/>
    <x v="193"/>
    <x v="215"/>
    <x v="229"/>
    <x v="233"/>
    <x v="257"/>
    <x v="246"/>
  </r>
  <r>
    <x v="2"/>
    <x v="1"/>
    <x v="8"/>
    <x v="11"/>
    <x v="8"/>
    <x v="66"/>
    <x v="81"/>
    <x v="98"/>
    <x v="163"/>
    <x v="178"/>
    <x v="174"/>
    <x v="194"/>
    <x v="216"/>
    <x v="230"/>
    <x v="234"/>
    <x v="258"/>
    <x v="247"/>
  </r>
  <r>
    <x v="2"/>
    <x v="1"/>
    <x v="8"/>
    <x v="11"/>
    <x v="9"/>
    <x v="67"/>
    <x v="82"/>
    <x v="99"/>
    <x v="164"/>
    <x v="179"/>
    <x v="175"/>
    <x v="195"/>
    <x v="217"/>
    <x v="231"/>
    <x v="235"/>
    <x v="259"/>
    <x v="248"/>
  </r>
  <r>
    <x v="2"/>
    <x v="1"/>
    <x v="8"/>
    <x v="11"/>
    <x v="10"/>
    <x v="1"/>
    <x v="1"/>
    <x v="100"/>
    <x v="165"/>
    <x v="180"/>
    <x v="176"/>
    <x v="196"/>
    <x v="218"/>
    <x v="232"/>
    <x v="236"/>
    <x v="260"/>
    <x v="249"/>
  </r>
  <r>
    <x v="2"/>
    <x v="1"/>
    <x v="8"/>
    <x v="11"/>
    <x v="11"/>
    <x v="1"/>
    <x v="1"/>
    <x v="3"/>
    <x v="166"/>
    <x v="181"/>
    <x v="177"/>
    <x v="197"/>
    <x v="219"/>
    <x v="233"/>
    <x v="237"/>
    <x v="261"/>
    <x v="250"/>
  </r>
  <r>
    <x v="2"/>
    <x v="1"/>
    <x v="8"/>
    <x v="11"/>
    <x v="12"/>
    <x v="1"/>
    <x v="1"/>
    <x v="3"/>
    <x v="3"/>
    <x v="182"/>
    <x v="178"/>
    <x v="198"/>
    <x v="220"/>
    <x v="234"/>
    <x v="238"/>
    <x v="262"/>
    <x v="251"/>
  </r>
  <r>
    <x v="2"/>
    <x v="1"/>
    <x v="9"/>
    <x v="0"/>
    <x v="27"/>
    <x v="47"/>
    <x v="83"/>
    <x v="101"/>
    <x v="167"/>
    <x v="183"/>
    <x v="179"/>
    <x v="199"/>
    <x v="221"/>
    <x v="235"/>
    <x v="239"/>
    <x v="263"/>
    <x v="252"/>
  </r>
  <r>
    <x v="2"/>
    <x v="1"/>
    <x v="9"/>
    <x v="1"/>
    <x v="1"/>
    <x v="48"/>
    <x v="84"/>
    <x v="102"/>
    <x v="168"/>
    <x v="184"/>
    <x v="180"/>
    <x v="200"/>
    <x v="222"/>
    <x v="236"/>
    <x v="240"/>
    <x v="264"/>
    <x v="253"/>
  </r>
  <r>
    <x v="2"/>
    <x v="1"/>
    <x v="9"/>
    <x v="1"/>
    <x v="2"/>
    <x v="49"/>
    <x v="85"/>
    <x v="103"/>
    <x v="169"/>
    <x v="185"/>
    <x v="181"/>
    <x v="201"/>
    <x v="223"/>
    <x v="237"/>
    <x v="241"/>
    <x v="265"/>
    <x v="254"/>
  </r>
  <r>
    <x v="2"/>
    <x v="1"/>
    <x v="9"/>
    <x v="1"/>
    <x v="3"/>
    <x v="50"/>
    <x v="86"/>
    <x v="104"/>
    <x v="170"/>
    <x v="186"/>
    <x v="182"/>
    <x v="202"/>
    <x v="224"/>
    <x v="238"/>
    <x v="242"/>
    <x v="266"/>
    <x v="255"/>
  </r>
  <r>
    <x v="2"/>
    <x v="1"/>
    <x v="9"/>
    <x v="1"/>
    <x v="4"/>
    <x v="1"/>
    <x v="1"/>
    <x v="3"/>
    <x v="134"/>
    <x v="187"/>
    <x v="183"/>
    <x v="203"/>
    <x v="225"/>
    <x v="239"/>
    <x v="243"/>
    <x v="267"/>
    <x v="256"/>
  </r>
  <r>
    <x v="2"/>
    <x v="1"/>
    <x v="9"/>
    <x v="1"/>
    <x v="5"/>
    <x v="51"/>
    <x v="87"/>
    <x v="105"/>
    <x v="171"/>
    <x v="188"/>
    <x v="184"/>
    <x v="204"/>
    <x v="226"/>
    <x v="240"/>
    <x v="244"/>
    <x v="268"/>
    <x v="257"/>
  </r>
  <r>
    <x v="2"/>
    <x v="1"/>
    <x v="9"/>
    <x v="1"/>
    <x v="6"/>
    <x v="1"/>
    <x v="1"/>
    <x v="3"/>
    <x v="3"/>
    <x v="1"/>
    <x v="3"/>
    <x v="2"/>
    <x v="3"/>
    <x v="2"/>
    <x v="1"/>
    <x v="4"/>
    <x v="2"/>
  </r>
  <r>
    <x v="2"/>
    <x v="1"/>
    <x v="9"/>
    <x v="1"/>
    <x v="7"/>
    <x v="1"/>
    <x v="1"/>
    <x v="3"/>
    <x v="136"/>
    <x v="189"/>
    <x v="185"/>
    <x v="205"/>
    <x v="227"/>
    <x v="241"/>
    <x v="245"/>
    <x v="269"/>
    <x v="258"/>
  </r>
  <r>
    <x v="2"/>
    <x v="1"/>
    <x v="9"/>
    <x v="11"/>
    <x v="1"/>
    <x v="68"/>
    <x v="88"/>
    <x v="106"/>
    <x v="172"/>
    <x v="190"/>
    <x v="186"/>
    <x v="206"/>
    <x v="228"/>
    <x v="242"/>
    <x v="246"/>
    <x v="270"/>
    <x v="259"/>
  </r>
  <r>
    <x v="2"/>
    <x v="1"/>
    <x v="9"/>
    <x v="11"/>
    <x v="2"/>
    <x v="69"/>
    <x v="89"/>
    <x v="107"/>
    <x v="173"/>
    <x v="191"/>
    <x v="187"/>
    <x v="207"/>
    <x v="229"/>
    <x v="243"/>
    <x v="247"/>
    <x v="271"/>
    <x v="260"/>
  </r>
  <r>
    <x v="2"/>
    <x v="1"/>
    <x v="9"/>
    <x v="11"/>
    <x v="3"/>
    <x v="70"/>
    <x v="90"/>
    <x v="108"/>
    <x v="174"/>
    <x v="192"/>
    <x v="188"/>
    <x v="208"/>
    <x v="230"/>
    <x v="244"/>
    <x v="248"/>
    <x v="272"/>
    <x v="261"/>
  </r>
  <r>
    <x v="2"/>
    <x v="1"/>
    <x v="9"/>
    <x v="11"/>
    <x v="4"/>
    <x v="1"/>
    <x v="1"/>
    <x v="3"/>
    <x v="175"/>
    <x v="193"/>
    <x v="189"/>
    <x v="209"/>
    <x v="231"/>
    <x v="245"/>
    <x v="249"/>
    <x v="273"/>
    <x v="262"/>
  </r>
  <r>
    <x v="2"/>
    <x v="1"/>
    <x v="9"/>
    <x v="11"/>
    <x v="5"/>
    <x v="71"/>
    <x v="91"/>
    <x v="109"/>
    <x v="176"/>
    <x v="194"/>
    <x v="190"/>
    <x v="210"/>
    <x v="232"/>
    <x v="246"/>
    <x v="250"/>
    <x v="274"/>
    <x v="263"/>
  </r>
  <r>
    <x v="2"/>
    <x v="1"/>
    <x v="9"/>
    <x v="11"/>
    <x v="6"/>
    <x v="1"/>
    <x v="1"/>
    <x v="3"/>
    <x v="3"/>
    <x v="1"/>
    <x v="3"/>
    <x v="2"/>
    <x v="3"/>
    <x v="2"/>
    <x v="1"/>
    <x v="4"/>
    <x v="2"/>
  </r>
  <r>
    <x v="2"/>
    <x v="1"/>
    <x v="9"/>
    <x v="11"/>
    <x v="7"/>
    <x v="1"/>
    <x v="1"/>
    <x v="3"/>
    <x v="177"/>
    <x v="195"/>
    <x v="191"/>
    <x v="211"/>
    <x v="233"/>
    <x v="247"/>
    <x v="251"/>
    <x v="275"/>
    <x v="264"/>
  </r>
  <r>
    <x v="2"/>
    <x v="1"/>
    <x v="9"/>
    <x v="2"/>
    <x v="8"/>
    <x v="52"/>
    <x v="92"/>
    <x v="110"/>
    <x v="178"/>
    <x v="196"/>
    <x v="192"/>
    <x v="212"/>
    <x v="234"/>
    <x v="248"/>
    <x v="252"/>
    <x v="276"/>
    <x v="265"/>
  </r>
  <r>
    <x v="2"/>
    <x v="1"/>
    <x v="9"/>
    <x v="2"/>
    <x v="9"/>
    <x v="53"/>
    <x v="93"/>
    <x v="111"/>
    <x v="179"/>
    <x v="197"/>
    <x v="193"/>
    <x v="213"/>
    <x v="235"/>
    <x v="249"/>
    <x v="253"/>
    <x v="277"/>
    <x v="266"/>
  </r>
  <r>
    <x v="2"/>
    <x v="1"/>
    <x v="9"/>
    <x v="2"/>
    <x v="10"/>
    <x v="1"/>
    <x v="1"/>
    <x v="83"/>
    <x v="180"/>
    <x v="198"/>
    <x v="194"/>
    <x v="214"/>
    <x v="236"/>
    <x v="250"/>
    <x v="254"/>
    <x v="278"/>
    <x v="267"/>
  </r>
  <r>
    <x v="2"/>
    <x v="1"/>
    <x v="9"/>
    <x v="2"/>
    <x v="11"/>
    <x v="1"/>
    <x v="1"/>
    <x v="3"/>
    <x v="127"/>
    <x v="161"/>
    <x v="195"/>
    <x v="215"/>
    <x v="237"/>
    <x v="251"/>
    <x v="255"/>
    <x v="279"/>
    <x v="268"/>
  </r>
  <r>
    <x v="2"/>
    <x v="1"/>
    <x v="9"/>
    <x v="2"/>
    <x v="12"/>
    <x v="1"/>
    <x v="1"/>
    <x v="3"/>
    <x v="3"/>
    <x v="152"/>
    <x v="196"/>
    <x v="216"/>
    <x v="238"/>
    <x v="252"/>
    <x v="256"/>
    <x v="280"/>
    <x v="269"/>
  </r>
  <r>
    <x v="2"/>
    <x v="1"/>
    <x v="9"/>
    <x v="11"/>
    <x v="8"/>
    <x v="72"/>
    <x v="94"/>
    <x v="112"/>
    <x v="181"/>
    <x v="199"/>
    <x v="197"/>
    <x v="217"/>
    <x v="239"/>
    <x v="253"/>
    <x v="257"/>
    <x v="281"/>
    <x v="270"/>
  </r>
  <r>
    <x v="2"/>
    <x v="1"/>
    <x v="9"/>
    <x v="11"/>
    <x v="9"/>
    <x v="73"/>
    <x v="95"/>
    <x v="113"/>
    <x v="182"/>
    <x v="200"/>
    <x v="198"/>
    <x v="218"/>
    <x v="240"/>
    <x v="254"/>
    <x v="258"/>
    <x v="282"/>
    <x v="271"/>
  </r>
  <r>
    <x v="2"/>
    <x v="1"/>
    <x v="9"/>
    <x v="11"/>
    <x v="10"/>
    <x v="1"/>
    <x v="1"/>
    <x v="114"/>
    <x v="183"/>
    <x v="201"/>
    <x v="199"/>
    <x v="219"/>
    <x v="241"/>
    <x v="255"/>
    <x v="259"/>
    <x v="283"/>
    <x v="272"/>
  </r>
  <r>
    <x v="2"/>
    <x v="1"/>
    <x v="9"/>
    <x v="11"/>
    <x v="11"/>
    <x v="1"/>
    <x v="1"/>
    <x v="3"/>
    <x v="184"/>
    <x v="202"/>
    <x v="200"/>
    <x v="220"/>
    <x v="242"/>
    <x v="256"/>
    <x v="260"/>
    <x v="284"/>
    <x v="273"/>
  </r>
  <r>
    <x v="2"/>
    <x v="1"/>
    <x v="9"/>
    <x v="11"/>
    <x v="12"/>
    <x v="1"/>
    <x v="1"/>
    <x v="3"/>
    <x v="3"/>
    <x v="203"/>
    <x v="201"/>
    <x v="221"/>
    <x v="243"/>
    <x v="257"/>
    <x v="261"/>
    <x v="285"/>
    <x v="274"/>
  </r>
  <r>
    <x v="2"/>
    <x v="1"/>
    <x v="8"/>
    <x v="0"/>
    <x v="30"/>
    <x v="54"/>
    <x v="96"/>
    <x v="115"/>
    <x v="185"/>
    <x v="204"/>
    <x v="202"/>
    <x v="222"/>
    <x v="244"/>
    <x v="258"/>
    <x v="262"/>
    <x v="286"/>
    <x v="275"/>
  </r>
  <r>
    <x v="2"/>
    <x v="1"/>
    <x v="8"/>
    <x v="0"/>
    <x v="31"/>
    <x v="55"/>
    <x v="97"/>
    <x v="116"/>
    <x v="186"/>
    <x v="205"/>
    <x v="203"/>
    <x v="223"/>
    <x v="245"/>
    <x v="259"/>
    <x v="263"/>
    <x v="287"/>
    <x v="276"/>
  </r>
  <r>
    <x v="2"/>
    <x v="1"/>
    <x v="8"/>
    <x v="14"/>
    <x v="8"/>
    <x v="56"/>
    <x v="98"/>
    <x v="117"/>
    <x v="187"/>
    <x v="206"/>
    <x v="204"/>
    <x v="224"/>
    <x v="246"/>
    <x v="260"/>
    <x v="264"/>
    <x v="288"/>
    <x v="277"/>
  </r>
  <r>
    <x v="2"/>
    <x v="1"/>
    <x v="8"/>
    <x v="14"/>
    <x v="9"/>
    <x v="57"/>
    <x v="99"/>
    <x v="118"/>
    <x v="188"/>
    <x v="207"/>
    <x v="205"/>
    <x v="225"/>
    <x v="247"/>
    <x v="261"/>
    <x v="265"/>
    <x v="289"/>
    <x v="278"/>
  </r>
  <r>
    <x v="2"/>
    <x v="1"/>
    <x v="8"/>
    <x v="14"/>
    <x v="10"/>
    <x v="1"/>
    <x v="1"/>
    <x v="3"/>
    <x v="3"/>
    <x v="1"/>
    <x v="151"/>
    <x v="226"/>
    <x v="248"/>
    <x v="262"/>
    <x v="266"/>
    <x v="290"/>
    <x v="279"/>
  </r>
  <r>
    <x v="2"/>
    <x v="1"/>
    <x v="8"/>
    <x v="14"/>
    <x v="11"/>
    <x v="1"/>
    <x v="1"/>
    <x v="3"/>
    <x v="3"/>
    <x v="1"/>
    <x v="152"/>
    <x v="227"/>
    <x v="249"/>
    <x v="263"/>
    <x v="267"/>
    <x v="291"/>
    <x v="280"/>
  </r>
  <r>
    <x v="2"/>
    <x v="1"/>
    <x v="8"/>
    <x v="14"/>
    <x v="12"/>
    <x v="1"/>
    <x v="1"/>
    <x v="3"/>
    <x v="3"/>
    <x v="158"/>
    <x v="206"/>
    <x v="228"/>
    <x v="250"/>
    <x v="264"/>
    <x v="268"/>
    <x v="292"/>
    <x v="281"/>
  </r>
  <r>
    <x v="2"/>
    <x v="1"/>
    <x v="8"/>
    <x v="15"/>
    <x v="8"/>
    <x v="58"/>
    <x v="100"/>
    <x v="119"/>
    <x v="189"/>
    <x v="208"/>
    <x v="207"/>
    <x v="229"/>
    <x v="251"/>
    <x v="265"/>
    <x v="269"/>
    <x v="293"/>
    <x v="282"/>
  </r>
  <r>
    <x v="2"/>
    <x v="1"/>
    <x v="8"/>
    <x v="15"/>
    <x v="9"/>
    <x v="59"/>
    <x v="101"/>
    <x v="120"/>
    <x v="190"/>
    <x v="209"/>
    <x v="208"/>
    <x v="230"/>
    <x v="252"/>
    <x v="266"/>
    <x v="270"/>
    <x v="294"/>
    <x v="283"/>
  </r>
  <r>
    <x v="2"/>
    <x v="1"/>
    <x v="8"/>
    <x v="15"/>
    <x v="10"/>
    <x v="1"/>
    <x v="1"/>
    <x v="84"/>
    <x v="191"/>
    <x v="210"/>
    <x v="209"/>
    <x v="231"/>
    <x v="253"/>
    <x v="267"/>
    <x v="271"/>
    <x v="295"/>
    <x v="284"/>
  </r>
  <r>
    <x v="2"/>
    <x v="1"/>
    <x v="8"/>
    <x v="15"/>
    <x v="11"/>
    <x v="1"/>
    <x v="1"/>
    <x v="3"/>
    <x v="3"/>
    <x v="1"/>
    <x v="3"/>
    <x v="2"/>
    <x v="3"/>
    <x v="2"/>
    <x v="1"/>
    <x v="4"/>
    <x v="2"/>
  </r>
  <r>
    <x v="2"/>
    <x v="1"/>
    <x v="8"/>
    <x v="15"/>
    <x v="12"/>
    <x v="1"/>
    <x v="1"/>
    <x v="3"/>
    <x v="3"/>
    <x v="1"/>
    <x v="3"/>
    <x v="2"/>
    <x v="3"/>
    <x v="2"/>
    <x v="1"/>
    <x v="4"/>
    <x v="2"/>
  </r>
  <r>
    <x v="3"/>
    <x v="0"/>
    <x v="0"/>
    <x v="0"/>
    <x v="0"/>
    <x v="3"/>
    <x v="1"/>
    <x v="3"/>
    <x v="2"/>
    <x v="0"/>
    <x v="2"/>
    <x v="4"/>
    <x v="3"/>
    <x v="1"/>
    <x v="3"/>
    <x v="4"/>
    <x v="1"/>
  </r>
  <r>
    <x v="3"/>
    <x v="0"/>
    <x v="0"/>
    <x v="1"/>
    <x v="1"/>
    <x v="1"/>
    <x v="1"/>
    <x v="3"/>
    <x v="3"/>
    <x v="1"/>
    <x v="3"/>
    <x v="2"/>
    <x v="3"/>
    <x v="5"/>
    <x v="1"/>
    <x v="4"/>
    <x v="1"/>
  </r>
  <r>
    <x v="3"/>
    <x v="0"/>
    <x v="0"/>
    <x v="1"/>
    <x v="2"/>
    <x v="3"/>
    <x v="1"/>
    <x v="3"/>
    <x v="3"/>
    <x v="0"/>
    <x v="2"/>
    <x v="2"/>
    <x v="3"/>
    <x v="5"/>
    <x v="1"/>
    <x v="4"/>
    <x v="2"/>
  </r>
  <r>
    <x v="3"/>
    <x v="0"/>
    <x v="0"/>
    <x v="1"/>
    <x v="3"/>
    <x v="1"/>
    <x v="1"/>
    <x v="3"/>
    <x v="3"/>
    <x v="1"/>
    <x v="3"/>
    <x v="1"/>
    <x v="3"/>
    <x v="2"/>
    <x v="1"/>
    <x v="4"/>
    <x v="2"/>
  </r>
  <r>
    <x v="3"/>
    <x v="0"/>
    <x v="0"/>
    <x v="1"/>
    <x v="4"/>
    <x v="1"/>
    <x v="1"/>
    <x v="3"/>
    <x v="2"/>
    <x v="1"/>
    <x v="3"/>
    <x v="2"/>
    <x v="3"/>
    <x v="5"/>
    <x v="3"/>
    <x v="4"/>
    <x v="2"/>
  </r>
  <r>
    <x v="3"/>
    <x v="0"/>
    <x v="0"/>
    <x v="1"/>
    <x v="5"/>
    <x v="1"/>
    <x v="1"/>
    <x v="3"/>
    <x v="3"/>
    <x v="1"/>
    <x v="3"/>
    <x v="2"/>
    <x v="3"/>
    <x v="2"/>
    <x v="1"/>
    <x v="4"/>
    <x v="2"/>
  </r>
  <r>
    <x v="3"/>
    <x v="0"/>
    <x v="0"/>
    <x v="1"/>
    <x v="6"/>
    <x v="1"/>
    <x v="1"/>
    <x v="3"/>
    <x v="3"/>
    <x v="1"/>
    <x v="3"/>
    <x v="1"/>
    <x v="3"/>
    <x v="2"/>
    <x v="1"/>
    <x v="4"/>
    <x v="2"/>
  </r>
  <r>
    <x v="3"/>
    <x v="0"/>
    <x v="0"/>
    <x v="1"/>
    <x v="7"/>
    <x v="1"/>
    <x v="1"/>
    <x v="3"/>
    <x v="3"/>
    <x v="1"/>
    <x v="3"/>
    <x v="2"/>
    <x v="3"/>
    <x v="2"/>
    <x v="1"/>
    <x v="4"/>
    <x v="2"/>
  </r>
  <r>
    <x v="3"/>
    <x v="0"/>
    <x v="0"/>
    <x v="2"/>
    <x v="8"/>
    <x v="3"/>
    <x v="1"/>
    <x v="3"/>
    <x v="3"/>
    <x v="0"/>
    <x v="3"/>
    <x v="4"/>
    <x v="3"/>
    <x v="3"/>
    <x v="3"/>
    <x v="4"/>
    <x v="2"/>
  </r>
  <r>
    <x v="3"/>
    <x v="0"/>
    <x v="0"/>
    <x v="2"/>
    <x v="9"/>
    <x v="1"/>
    <x v="1"/>
    <x v="3"/>
    <x v="3"/>
    <x v="1"/>
    <x v="2"/>
    <x v="2"/>
    <x v="3"/>
    <x v="2"/>
    <x v="1"/>
    <x v="4"/>
    <x v="1"/>
  </r>
  <r>
    <x v="3"/>
    <x v="0"/>
    <x v="0"/>
    <x v="2"/>
    <x v="10"/>
    <x v="1"/>
    <x v="1"/>
    <x v="3"/>
    <x v="2"/>
    <x v="1"/>
    <x v="3"/>
    <x v="2"/>
    <x v="3"/>
    <x v="5"/>
    <x v="1"/>
    <x v="4"/>
    <x v="2"/>
  </r>
  <r>
    <x v="3"/>
    <x v="0"/>
    <x v="0"/>
    <x v="2"/>
    <x v="11"/>
    <x v="1"/>
    <x v="1"/>
    <x v="3"/>
    <x v="3"/>
    <x v="1"/>
    <x v="3"/>
    <x v="2"/>
    <x v="3"/>
    <x v="2"/>
    <x v="1"/>
    <x v="4"/>
    <x v="2"/>
  </r>
  <r>
    <x v="3"/>
    <x v="0"/>
    <x v="0"/>
    <x v="2"/>
    <x v="12"/>
    <x v="1"/>
    <x v="1"/>
    <x v="3"/>
    <x v="3"/>
    <x v="1"/>
    <x v="3"/>
    <x v="2"/>
    <x v="3"/>
    <x v="2"/>
    <x v="1"/>
    <x v="4"/>
    <x v="2"/>
  </r>
  <r>
    <x v="3"/>
    <x v="0"/>
    <x v="0"/>
    <x v="0"/>
    <x v="13"/>
    <x v="3"/>
    <x v="1"/>
    <x v="3"/>
    <x v="3"/>
    <x v="0"/>
    <x v="2"/>
    <x v="4"/>
    <x v="3"/>
    <x v="1"/>
    <x v="3"/>
    <x v="4"/>
    <x v="1"/>
  </r>
  <r>
    <x v="3"/>
    <x v="0"/>
    <x v="0"/>
    <x v="3"/>
    <x v="1"/>
    <x v="1"/>
    <x v="1"/>
    <x v="3"/>
    <x v="3"/>
    <x v="1"/>
    <x v="3"/>
    <x v="1"/>
    <x v="3"/>
    <x v="5"/>
    <x v="1"/>
    <x v="4"/>
    <x v="1"/>
  </r>
  <r>
    <x v="3"/>
    <x v="0"/>
    <x v="0"/>
    <x v="3"/>
    <x v="2"/>
    <x v="3"/>
    <x v="1"/>
    <x v="3"/>
    <x v="3"/>
    <x v="0"/>
    <x v="2"/>
    <x v="2"/>
    <x v="3"/>
    <x v="3"/>
    <x v="3"/>
    <x v="4"/>
    <x v="2"/>
  </r>
  <r>
    <x v="3"/>
    <x v="0"/>
    <x v="0"/>
    <x v="3"/>
    <x v="3"/>
    <x v="1"/>
    <x v="1"/>
    <x v="3"/>
    <x v="3"/>
    <x v="1"/>
    <x v="3"/>
    <x v="1"/>
    <x v="3"/>
    <x v="2"/>
    <x v="1"/>
    <x v="4"/>
    <x v="2"/>
  </r>
  <r>
    <x v="3"/>
    <x v="0"/>
    <x v="0"/>
    <x v="0"/>
    <x v="14"/>
    <x v="3"/>
    <x v="1"/>
    <x v="3"/>
    <x v="2"/>
    <x v="0"/>
    <x v="2"/>
    <x v="1"/>
    <x v="3"/>
    <x v="5"/>
    <x v="3"/>
    <x v="4"/>
    <x v="1"/>
  </r>
  <r>
    <x v="3"/>
    <x v="0"/>
    <x v="0"/>
    <x v="4"/>
    <x v="4"/>
    <x v="1"/>
    <x v="1"/>
    <x v="3"/>
    <x v="2"/>
    <x v="1"/>
    <x v="2"/>
    <x v="2"/>
    <x v="3"/>
    <x v="5"/>
    <x v="3"/>
    <x v="4"/>
    <x v="2"/>
  </r>
  <r>
    <x v="3"/>
    <x v="0"/>
    <x v="0"/>
    <x v="4"/>
    <x v="5"/>
    <x v="3"/>
    <x v="1"/>
    <x v="3"/>
    <x v="3"/>
    <x v="1"/>
    <x v="3"/>
    <x v="2"/>
    <x v="3"/>
    <x v="2"/>
    <x v="1"/>
    <x v="4"/>
    <x v="2"/>
  </r>
  <r>
    <x v="3"/>
    <x v="0"/>
    <x v="0"/>
    <x v="4"/>
    <x v="6"/>
    <x v="1"/>
    <x v="1"/>
    <x v="3"/>
    <x v="3"/>
    <x v="1"/>
    <x v="3"/>
    <x v="1"/>
    <x v="3"/>
    <x v="2"/>
    <x v="1"/>
    <x v="4"/>
    <x v="2"/>
  </r>
  <r>
    <x v="3"/>
    <x v="0"/>
    <x v="0"/>
    <x v="4"/>
    <x v="7"/>
    <x v="1"/>
    <x v="1"/>
    <x v="3"/>
    <x v="3"/>
    <x v="0"/>
    <x v="3"/>
    <x v="2"/>
    <x v="3"/>
    <x v="2"/>
    <x v="1"/>
    <x v="4"/>
    <x v="1"/>
  </r>
  <r>
    <x v="3"/>
    <x v="1"/>
    <x v="0"/>
    <x v="0"/>
    <x v="15"/>
    <x v="3"/>
    <x v="1"/>
    <x v="3"/>
    <x v="2"/>
    <x v="1"/>
    <x v="1"/>
    <x v="1"/>
    <x v="2"/>
    <x v="1"/>
    <x v="1"/>
    <x v="2"/>
    <x v="2"/>
  </r>
  <r>
    <x v="3"/>
    <x v="1"/>
    <x v="0"/>
    <x v="1"/>
    <x v="1"/>
    <x v="1"/>
    <x v="1"/>
    <x v="3"/>
    <x v="3"/>
    <x v="1"/>
    <x v="3"/>
    <x v="2"/>
    <x v="3"/>
    <x v="5"/>
    <x v="1"/>
    <x v="4"/>
    <x v="2"/>
  </r>
  <r>
    <x v="3"/>
    <x v="1"/>
    <x v="0"/>
    <x v="1"/>
    <x v="2"/>
    <x v="3"/>
    <x v="1"/>
    <x v="3"/>
    <x v="3"/>
    <x v="1"/>
    <x v="1"/>
    <x v="2"/>
    <x v="3"/>
    <x v="5"/>
    <x v="1"/>
    <x v="4"/>
    <x v="2"/>
  </r>
  <r>
    <x v="3"/>
    <x v="1"/>
    <x v="0"/>
    <x v="1"/>
    <x v="3"/>
    <x v="1"/>
    <x v="1"/>
    <x v="3"/>
    <x v="3"/>
    <x v="1"/>
    <x v="3"/>
    <x v="1"/>
    <x v="3"/>
    <x v="2"/>
    <x v="1"/>
    <x v="4"/>
    <x v="2"/>
  </r>
  <r>
    <x v="3"/>
    <x v="1"/>
    <x v="0"/>
    <x v="1"/>
    <x v="4"/>
    <x v="1"/>
    <x v="1"/>
    <x v="3"/>
    <x v="2"/>
    <x v="1"/>
    <x v="3"/>
    <x v="2"/>
    <x v="3"/>
    <x v="5"/>
    <x v="1"/>
    <x v="2"/>
    <x v="2"/>
  </r>
  <r>
    <x v="3"/>
    <x v="1"/>
    <x v="0"/>
    <x v="1"/>
    <x v="5"/>
    <x v="1"/>
    <x v="1"/>
    <x v="3"/>
    <x v="3"/>
    <x v="1"/>
    <x v="3"/>
    <x v="2"/>
    <x v="3"/>
    <x v="2"/>
    <x v="1"/>
    <x v="4"/>
    <x v="2"/>
  </r>
  <r>
    <x v="3"/>
    <x v="1"/>
    <x v="0"/>
    <x v="1"/>
    <x v="6"/>
    <x v="1"/>
    <x v="1"/>
    <x v="3"/>
    <x v="3"/>
    <x v="1"/>
    <x v="3"/>
    <x v="2"/>
    <x v="2"/>
    <x v="2"/>
    <x v="1"/>
    <x v="4"/>
    <x v="2"/>
  </r>
  <r>
    <x v="3"/>
    <x v="1"/>
    <x v="0"/>
    <x v="1"/>
    <x v="7"/>
    <x v="1"/>
    <x v="1"/>
    <x v="3"/>
    <x v="3"/>
    <x v="1"/>
    <x v="3"/>
    <x v="2"/>
    <x v="3"/>
    <x v="2"/>
    <x v="1"/>
    <x v="4"/>
    <x v="2"/>
  </r>
  <r>
    <x v="3"/>
    <x v="1"/>
    <x v="0"/>
    <x v="2"/>
    <x v="8"/>
    <x v="3"/>
    <x v="1"/>
    <x v="3"/>
    <x v="3"/>
    <x v="1"/>
    <x v="2"/>
    <x v="1"/>
    <x v="2"/>
    <x v="3"/>
    <x v="1"/>
    <x v="2"/>
    <x v="2"/>
  </r>
  <r>
    <x v="3"/>
    <x v="1"/>
    <x v="0"/>
    <x v="2"/>
    <x v="9"/>
    <x v="1"/>
    <x v="1"/>
    <x v="3"/>
    <x v="3"/>
    <x v="1"/>
    <x v="2"/>
    <x v="2"/>
    <x v="3"/>
    <x v="2"/>
    <x v="1"/>
    <x v="4"/>
    <x v="2"/>
  </r>
  <r>
    <x v="3"/>
    <x v="1"/>
    <x v="0"/>
    <x v="2"/>
    <x v="10"/>
    <x v="1"/>
    <x v="1"/>
    <x v="3"/>
    <x v="2"/>
    <x v="1"/>
    <x v="3"/>
    <x v="2"/>
    <x v="3"/>
    <x v="5"/>
    <x v="1"/>
    <x v="4"/>
    <x v="2"/>
  </r>
  <r>
    <x v="3"/>
    <x v="1"/>
    <x v="0"/>
    <x v="2"/>
    <x v="11"/>
    <x v="1"/>
    <x v="1"/>
    <x v="3"/>
    <x v="3"/>
    <x v="1"/>
    <x v="3"/>
    <x v="2"/>
    <x v="3"/>
    <x v="2"/>
    <x v="1"/>
    <x v="4"/>
    <x v="2"/>
  </r>
  <r>
    <x v="3"/>
    <x v="1"/>
    <x v="0"/>
    <x v="2"/>
    <x v="12"/>
    <x v="1"/>
    <x v="1"/>
    <x v="3"/>
    <x v="3"/>
    <x v="1"/>
    <x v="3"/>
    <x v="2"/>
    <x v="3"/>
    <x v="2"/>
    <x v="1"/>
    <x v="4"/>
    <x v="2"/>
  </r>
  <r>
    <x v="3"/>
    <x v="1"/>
    <x v="0"/>
    <x v="0"/>
    <x v="16"/>
    <x v="1"/>
    <x v="1"/>
    <x v="3"/>
    <x v="3"/>
    <x v="1"/>
    <x v="2"/>
    <x v="1"/>
    <x v="2"/>
    <x v="5"/>
    <x v="1"/>
    <x v="4"/>
    <x v="2"/>
  </r>
  <r>
    <x v="3"/>
    <x v="1"/>
    <x v="0"/>
    <x v="0"/>
    <x v="17"/>
    <x v="3"/>
    <x v="1"/>
    <x v="3"/>
    <x v="3"/>
    <x v="1"/>
    <x v="2"/>
    <x v="2"/>
    <x v="3"/>
    <x v="2"/>
    <x v="1"/>
    <x v="2"/>
    <x v="2"/>
  </r>
  <r>
    <x v="3"/>
    <x v="1"/>
    <x v="0"/>
    <x v="0"/>
    <x v="18"/>
    <x v="1"/>
    <x v="1"/>
    <x v="3"/>
    <x v="2"/>
    <x v="1"/>
    <x v="3"/>
    <x v="2"/>
    <x v="3"/>
    <x v="3"/>
    <x v="1"/>
    <x v="4"/>
    <x v="2"/>
  </r>
  <r>
    <x v="3"/>
    <x v="1"/>
    <x v="0"/>
    <x v="5"/>
    <x v="8"/>
    <x v="1"/>
    <x v="1"/>
    <x v="3"/>
    <x v="3"/>
    <x v="1"/>
    <x v="3"/>
    <x v="1"/>
    <x v="2"/>
    <x v="5"/>
    <x v="1"/>
    <x v="4"/>
    <x v="2"/>
  </r>
  <r>
    <x v="3"/>
    <x v="1"/>
    <x v="0"/>
    <x v="5"/>
    <x v="9"/>
    <x v="1"/>
    <x v="1"/>
    <x v="3"/>
    <x v="3"/>
    <x v="1"/>
    <x v="2"/>
    <x v="2"/>
    <x v="3"/>
    <x v="2"/>
    <x v="1"/>
    <x v="4"/>
    <x v="2"/>
  </r>
  <r>
    <x v="3"/>
    <x v="1"/>
    <x v="0"/>
    <x v="5"/>
    <x v="10"/>
    <x v="1"/>
    <x v="1"/>
    <x v="3"/>
    <x v="3"/>
    <x v="1"/>
    <x v="3"/>
    <x v="2"/>
    <x v="3"/>
    <x v="2"/>
    <x v="1"/>
    <x v="4"/>
    <x v="2"/>
  </r>
  <r>
    <x v="3"/>
    <x v="1"/>
    <x v="0"/>
    <x v="5"/>
    <x v="11"/>
    <x v="1"/>
    <x v="1"/>
    <x v="3"/>
    <x v="3"/>
    <x v="1"/>
    <x v="3"/>
    <x v="2"/>
    <x v="3"/>
    <x v="2"/>
    <x v="1"/>
    <x v="4"/>
    <x v="2"/>
  </r>
  <r>
    <x v="3"/>
    <x v="1"/>
    <x v="0"/>
    <x v="5"/>
    <x v="12"/>
    <x v="1"/>
    <x v="1"/>
    <x v="3"/>
    <x v="3"/>
    <x v="1"/>
    <x v="3"/>
    <x v="2"/>
    <x v="3"/>
    <x v="2"/>
    <x v="1"/>
    <x v="4"/>
    <x v="2"/>
  </r>
  <r>
    <x v="3"/>
    <x v="1"/>
    <x v="0"/>
    <x v="6"/>
    <x v="8"/>
    <x v="3"/>
    <x v="1"/>
    <x v="3"/>
    <x v="3"/>
    <x v="1"/>
    <x v="2"/>
    <x v="2"/>
    <x v="3"/>
    <x v="2"/>
    <x v="1"/>
    <x v="2"/>
    <x v="2"/>
  </r>
  <r>
    <x v="3"/>
    <x v="1"/>
    <x v="0"/>
    <x v="6"/>
    <x v="9"/>
    <x v="1"/>
    <x v="1"/>
    <x v="3"/>
    <x v="3"/>
    <x v="1"/>
    <x v="3"/>
    <x v="2"/>
    <x v="3"/>
    <x v="2"/>
    <x v="1"/>
    <x v="4"/>
    <x v="2"/>
  </r>
  <r>
    <x v="3"/>
    <x v="1"/>
    <x v="0"/>
    <x v="6"/>
    <x v="10"/>
    <x v="1"/>
    <x v="1"/>
    <x v="3"/>
    <x v="3"/>
    <x v="1"/>
    <x v="3"/>
    <x v="2"/>
    <x v="3"/>
    <x v="2"/>
    <x v="1"/>
    <x v="4"/>
    <x v="2"/>
  </r>
  <r>
    <x v="3"/>
    <x v="1"/>
    <x v="0"/>
    <x v="6"/>
    <x v="11"/>
    <x v="1"/>
    <x v="1"/>
    <x v="3"/>
    <x v="3"/>
    <x v="1"/>
    <x v="3"/>
    <x v="2"/>
    <x v="3"/>
    <x v="2"/>
    <x v="1"/>
    <x v="4"/>
    <x v="2"/>
  </r>
  <r>
    <x v="3"/>
    <x v="1"/>
    <x v="0"/>
    <x v="6"/>
    <x v="12"/>
    <x v="1"/>
    <x v="1"/>
    <x v="3"/>
    <x v="3"/>
    <x v="1"/>
    <x v="3"/>
    <x v="2"/>
    <x v="3"/>
    <x v="2"/>
    <x v="1"/>
    <x v="4"/>
    <x v="2"/>
  </r>
  <r>
    <x v="3"/>
    <x v="1"/>
    <x v="0"/>
    <x v="7"/>
    <x v="8"/>
    <x v="1"/>
    <x v="1"/>
    <x v="3"/>
    <x v="3"/>
    <x v="1"/>
    <x v="3"/>
    <x v="2"/>
    <x v="3"/>
    <x v="5"/>
    <x v="1"/>
    <x v="4"/>
    <x v="2"/>
  </r>
  <r>
    <x v="3"/>
    <x v="1"/>
    <x v="0"/>
    <x v="7"/>
    <x v="9"/>
    <x v="1"/>
    <x v="1"/>
    <x v="3"/>
    <x v="3"/>
    <x v="1"/>
    <x v="3"/>
    <x v="2"/>
    <x v="3"/>
    <x v="2"/>
    <x v="1"/>
    <x v="4"/>
    <x v="2"/>
  </r>
  <r>
    <x v="3"/>
    <x v="1"/>
    <x v="0"/>
    <x v="7"/>
    <x v="10"/>
    <x v="1"/>
    <x v="1"/>
    <x v="3"/>
    <x v="2"/>
    <x v="1"/>
    <x v="3"/>
    <x v="2"/>
    <x v="3"/>
    <x v="5"/>
    <x v="1"/>
    <x v="4"/>
    <x v="2"/>
  </r>
  <r>
    <x v="3"/>
    <x v="1"/>
    <x v="0"/>
    <x v="7"/>
    <x v="11"/>
    <x v="1"/>
    <x v="1"/>
    <x v="3"/>
    <x v="3"/>
    <x v="1"/>
    <x v="3"/>
    <x v="2"/>
    <x v="3"/>
    <x v="2"/>
    <x v="1"/>
    <x v="4"/>
    <x v="2"/>
  </r>
  <r>
    <x v="3"/>
    <x v="1"/>
    <x v="0"/>
    <x v="7"/>
    <x v="12"/>
    <x v="1"/>
    <x v="1"/>
    <x v="3"/>
    <x v="3"/>
    <x v="1"/>
    <x v="3"/>
    <x v="2"/>
    <x v="3"/>
    <x v="2"/>
    <x v="1"/>
    <x v="4"/>
    <x v="2"/>
  </r>
  <r>
    <x v="3"/>
    <x v="1"/>
    <x v="0"/>
    <x v="0"/>
    <x v="19"/>
    <x v="3"/>
    <x v="1"/>
    <x v="3"/>
    <x v="3"/>
    <x v="1"/>
    <x v="1"/>
    <x v="1"/>
    <x v="2"/>
    <x v="1"/>
    <x v="1"/>
    <x v="2"/>
    <x v="2"/>
  </r>
  <r>
    <x v="3"/>
    <x v="1"/>
    <x v="0"/>
    <x v="3"/>
    <x v="1"/>
    <x v="1"/>
    <x v="1"/>
    <x v="3"/>
    <x v="3"/>
    <x v="1"/>
    <x v="3"/>
    <x v="2"/>
    <x v="2"/>
    <x v="5"/>
    <x v="1"/>
    <x v="4"/>
    <x v="2"/>
  </r>
  <r>
    <x v="3"/>
    <x v="1"/>
    <x v="0"/>
    <x v="3"/>
    <x v="2"/>
    <x v="3"/>
    <x v="1"/>
    <x v="3"/>
    <x v="3"/>
    <x v="1"/>
    <x v="1"/>
    <x v="2"/>
    <x v="3"/>
    <x v="3"/>
    <x v="1"/>
    <x v="2"/>
    <x v="2"/>
  </r>
  <r>
    <x v="3"/>
    <x v="1"/>
    <x v="0"/>
    <x v="3"/>
    <x v="3"/>
    <x v="1"/>
    <x v="1"/>
    <x v="3"/>
    <x v="3"/>
    <x v="1"/>
    <x v="3"/>
    <x v="1"/>
    <x v="3"/>
    <x v="2"/>
    <x v="1"/>
    <x v="4"/>
    <x v="2"/>
  </r>
  <r>
    <x v="3"/>
    <x v="1"/>
    <x v="0"/>
    <x v="0"/>
    <x v="20"/>
    <x v="3"/>
    <x v="1"/>
    <x v="3"/>
    <x v="2"/>
    <x v="1"/>
    <x v="1"/>
    <x v="2"/>
    <x v="2"/>
    <x v="5"/>
    <x v="1"/>
    <x v="2"/>
    <x v="2"/>
  </r>
  <r>
    <x v="3"/>
    <x v="1"/>
    <x v="0"/>
    <x v="4"/>
    <x v="4"/>
    <x v="1"/>
    <x v="1"/>
    <x v="3"/>
    <x v="2"/>
    <x v="1"/>
    <x v="2"/>
    <x v="2"/>
    <x v="3"/>
    <x v="5"/>
    <x v="1"/>
    <x v="2"/>
    <x v="2"/>
  </r>
  <r>
    <x v="3"/>
    <x v="1"/>
    <x v="0"/>
    <x v="4"/>
    <x v="5"/>
    <x v="3"/>
    <x v="1"/>
    <x v="3"/>
    <x v="3"/>
    <x v="1"/>
    <x v="3"/>
    <x v="2"/>
    <x v="3"/>
    <x v="2"/>
    <x v="1"/>
    <x v="4"/>
    <x v="2"/>
  </r>
  <r>
    <x v="3"/>
    <x v="1"/>
    <x v="0"/>
    <x v="4"/>
    <x v="6"/>
    <x v="1"/>
    <x v="1"/>
    <x v="3"/>
    <x v="3"/>
    <x v="1"/>
    <x v="3"/>
    <x v="2"/>
    <x v="2"/>
    <x v="2"/>
    <x v="1"/>
    <x v="4"/>
    <x v="2"/>
  </r>
  <r>
    <x v="3"/>
    <x v="1"/>
    <x v="0"/>
    <x v="4"/>
    <x v="7"/>
    <x v="1"/>
    <x v="1"/>
    <x v="3"/>
    <x v="3"/>
    <x v="1"/>
    <x v="2"/>
    <x v="2"/>
    <x v="3"/>
    <x v="2"/>
    <x v="1"/>
    <x v="4"/>
    <x v="2"/>
  </r>
  <r>
    <x v="3"/>
    <x v="2"/>
    <x v="1"/>
    <x v="0"/>
    <x v="21"/>
    <x v="1"/>
    <x v="1"/>
    <x v="3"/>
    <x v="3"/>
    <x v="0"/>
    <x v="3"/>
    <x v="1"/>
    <x v="3"/>
    <x v="2"/>
    <x v="3"/>
    <x v="4"/>
    <x v="1"/>
  </r>
  <r>
    <x v="3"/>
    <x v="2"/>
    <x v="1"/>
    <x v="1"/>
    <x v="1"/>
    <x v="1"/>
    <x v="1"/>
    <x v="3"/>
    <x v="3"/>
    <x v="1"/>
    <x v="3"/>
    <x v="2"/>
    <x v="3"/>
    <x v="2"/>
    <x v="1"/>
    <x v="4"/>
    <x v="1"/>
  </r>
  <r>
    <x v="3"/>
    <x v="2"/>
    <x v="1"/>
    <x v="1"/>
    <x v="2"/>
    <x v="1"/>
    <x v="1"/>
    <x v="3"/>
    <x v="3"/>
    <x v="0"/>
    <x v="3"/>
    <x v="2"/>
    <x v="3"/>
    <x v="2"/>
    <x v="1"/>
    <x v="4"/>
    <x v="2"/>
  </r>
  <r>
    <x v="3"/>
    <x v="2"/>
    <x v="1"/>
    <x v="1"/>
    <x v="3"/>
    <x v="1"/>
    <x v="1"/>
    <x v="3"/>
    <x v="3"/>
    <x v="1"/>
    <x v="3"/>
    <x v="2"/>
    <x v="3"/>
    <x v="2"/>
    <x v="1"/>
    <x v="4"/>
    <x v="2"/>
  </r>
  <r>
    <x v="3"/>
    <x v="2"/>
    <x v="1"/>
    <x v="1"/>
    <x v="4"/>
    <x v="1"/>
    <x v="1"/>
    <x v="3"/>
    <x v="3"/>
    <x v="1"/>
    <x v="3"/>
    <x v="2"/>
    <x v="3"/>
    <x v="2"/>
    <x v="3"/>
    <x v="4"/>
    <x v="2"/>
  </r>
  <r>
    <x v="3"/>
    <x v="2"/>
    <x v="1"/>
    <x v="1"/>
    <x v="5"/>
    <x v="1"/>
    <x v="1"/>
    <x v="3"/>
    <x v="3"/>
    <x v="1"/>
    <x v="3"/>
    <x v="2"/>
    <x v="3"/>
    <x v="2"/>
    <x v="1"/>
    <x v="4"/>
    <x v="2"/>
  </r>
  <r>
    <x v="3"/>
    <x v="2"/>
    <x v="1"/>
    <x v="1"/>
    <x v="6"/>
    <x v="1"/>
    <x v="1"/>
    <x v="3"/>
    <x v="3"/>
    <x v="1"/>
    <x v="3"/>
    <x v="1"/>
    <x v="3"/>
    <x v="2"/>
    <x v="1"/>
    <x v="4"/>
    <x v="2"/>
  </r>
  <r>
    <x v="3"/>
    <x v="2"/>
    <x v="1"/>
    <x v="1"/>
    <x v="7"/>
    <x v="1"/>
    <x v="1"/>
    <x v="3"/>
    <x v="3"/>
    <x v="1"/>
    <x v="3"/>
    <x v="2"/>
    <x v="3"/>
    <x v="2"/>
    <x v="1"/>
    <x v="4"/>
    <x v="2"/>
  </r>
  <r>
    <x v="3"/>
    <x v="2"/>
    <x v="1"/>
    <x v="8"/>
    <x v="1"/>
    <x v="11"/>
    <x v="13"/>
    <x v="19"/>
    <x v="26"/>
    <x v="1"/>
    <x v="31"/>
    <x v="2"/>
    <x v="46"/>
    <x v="45"/>
    <x v="1"/>
    <x v="60"/>
    <x v="1"/>
  </r>
  <r>
    <x v="3"/>
    <x v="2"/>
    <x v="1"/>
    <x v="8"/>
    <x v="2"/>
    <x v="11"/>
    <x v="13"/>
    <x v="19"/>
    <x v="26"/>
    <x v="0"/>
    <x v="31"/>
    <x v="2"/>
    <x v="46"/>
    <x v="45"/>
    <x v="1"/>
    <x v="60"/>
    <x v="2"/>
  </r>
  <r>
    <x v="3"/>
    <x v="2"/>
    <x v="1"/>
    <x v="8"/>
    <x v="3"/>
    <x v="11"/>
    <x v="13"/>
    <x v="19"/>
    <x v="26"/>
    <x v="1"/>
    <x v="31"/>
    <x v="2"/>
    <x v="46"/>
    <x v="45"/>
    <x v="1"/>
    <x v="60"/>
    <x v="2"/>
  </r>
  <r>
    <x v="3"/>
    <x v="2"/>
    <x v="1"/>
    <x v="8"/>
    <x v="4"/>
    <x v="11"/>
    <x v="13"/>
    <x v="19"/>
    <x v="26"/>
    <x v="1"/>
    <x v="31"/>
    <x v="2"/>
    <x v="46"/>
    <x v="45"/>
    <x v="3"/>
    <x v="60"/>
    <x v="2"/>
  </r>
  <r>
    <x v="3"/>
    <x v="2"/>
    <x v="1"/>
    <x v="8"/>
    <x v="5"/>
    <x v="11"/>
    <x v="13"/>
    <x v="19"/>
    <x v="26"/>
    <x v="1"/>
    <x v="31"/>
    <x v="2"/>
    <x v="46"/>
    <x v="45"/>
    <x v="1"/>
    <x v="60"/>
    <x v="2"/>
  </r>
  <r>
    <x v="3"/>
    <x v="2"/>
    <x v="1"/>
    <x v="8"/>
    <x v="6"/>
    <x v="11"/>
    <x v="13"/>
    <x v="19"/>
    <x v="26"/>
    <x v="1"/>
    <x v="31"/>
    <x v="1"/>
    <x v="46"/>
    <x v="45"/>
    <x v="1"/>
    <x v="60"/>
    <x v="2"/>
  </r>
  <r>
    <x v="3"/>
    <x v="2"/>
    <x v="1"/>
    <x v="8"/>
    <x v="7"/>
    <x v="11"/>
    <x v="13"/>
    <x v="19"/>
    <x v="26"/>
    <x v="1"/>
    <x v="31"/>
    <x v="2"/>
    <x v="46"/>
    <x v="45"/>
    <x v="1"/>
    <x v="60"/>
    <x v="2"/>
  </r>
  <r>
    <x v="3"/>
    <x v="2"/>
    <x v="1"/>
    <x v="2"/>
    <x v="8"/>
    <x v="3"/>
    <x v="0"/>
    <x v="1"/>
    <x v="2"/>
    <x v="3"/>
    <x v="1"/>
    <x v="3"/>
    <x v="5"/>
    <x v="0"/>
    <x v="0"/>
    <x v="161"/>
    <x v="31"/>
  </r>
  <r>
    <x v="3"/>
    <x v="2"/>
    <x v="1"/>
    <x v="2"/>
    <x v="9"/>
    <x v="1"/>
    <x v="1"/>
    <x v="3"/>
    <x v="3"/>
    <x v="1"/>
    <x v="3"/>
    <x v="1"/>
    <x v="2"/>
    <x v="5"/>
    <x v="3"/>
    <x v="2"/>
    <x v="0"/>
  </r>
  <r>
    <x v="3"/>
    <x v="2"/>
    <x v="1"/>
    <x v="2"/>
    <x v="10"/>
    <x v="1"/>
    <x v="1"/>
    <x v="3"/>
    <x v="2"/>
    <x v="0"/>
    <x v="2"/>
    <x v="1"/>
    <x v="2"/>
    <x v="3"/>
    <x v="4"/>
    <x v="1"/>
    <x v="0"/>
  </r>
  <r>
    <x v="3"/>
    <x v="2"/>
    <x v="1"/>
    <x v="2"/>
    <x v="11"/>
    <x v="1"/>
    <x v="1"/>
    <x v="3"/>
    <x v="3"/>
    <x v="1"/>
    <x v="3"/>
    <x v="2"/>
    <x v="3"/>
    <x v="2"/>
    <x v="1"/>
    <x v="4"/>
    <x v="2"/>
  </r>
  <r>
    <x v="3"/>
    <x v="2"/>
    <x v="1"/>
    <x v="2"/>
    <x v="12"/>
    <x v="1"/>
    <x v="1"/>
    <x v="3"/>
    <x v="3"/>
    <x v="1"/>
    <x v="3"/>
    <x v="2"/>
    <x v="3"/>
    <x v="2"/>
    <x v="1"/>
    <x v="4"/>
    <x v="2"/>
  </r>
  <r>
    <x v="3"/>
    <x v="2"/>
    <x v="1"/>
    <x v="0"/>
    <x v="22"/>
    <x v="1"/>
    <x v="1"/>
    <x v="3"/>
    <x v="3"/>
    <x v="0"/>
    <x v="3"/>
    <x v="1"/>
    <x v="3"/>
    <x v="2"/>
    <x v="3"/>
    <x v="4"/>
    <x v="1"/>
  </r>
  <r>
    <x v="3"/>
    <x v="2"/>
    <x v="1"/>
    <x v="3"/>
    <x v="1"/>
    <x v="1"/>
    <x v="1"/>
    <x v="3"/>
    <x v="3"/>
    <x v="1"/>
    <x v="3"/>
    <x v="1"/>
    <x v="3"/>
    <x v="2"/>
    <x v="1"/>
    <x v="4"/>
    <x v="1"/>
  </r>
  <r>
    <x v="3"/>
    <x v="2"/>
    <x v="1"/>
    <x v="3"/>
    <x v="2"/>
    <x v="1"/>
    <x v="1"/>
    <x v="3"/>
    <x v="3"/>
    <x v="0"/>
    <x v="3"/>
    <x v="2"/>
    <x v="3"/>
    <x v="2"/>
    <x v="3"/>
    <x v="4"/>
    <x v="2"/>
  </r>
  <r>
    <x v="3"/>
    <x v="2"/>
    <x v="1"/>
    <x v="3"/>
    <x v="3"/>
    <x v="1"/>
    <x v="1"/>
    <x v="3"/>
    <x v="3"/>
    <x v="1"/>
    <x v="3"/>
    <x v="2"/>
    <x v="3"/>
    <x v="2"/>
    <x v="1"/>
    <x v="4"/>
    <x v="2"/>
  </r>
  <r>
    <x v="3"/>
    <x v="2"/>
    <x v="1"/>
    <x v="9"/>
    <x v="1"/>
    <x v="11"/>
    <x v="13"/>
    <x v="19"/>
    <x v="26"/>
    <x v="1"/>
    <x v="31"/>
    <x v="1"/>
    <x v="46"/>
    <x v="45"/>
    <x v="1"/>
    <x v="60"/>
    <x v="1"/>
  </r>
  <r>
    <x v="3"/>
    <x v="2"/>
    <x v="1"/>
    <x v="9"/>
    <x v="2"/>
    <x v="11"/>
    <x v="13"/>
    <x v="19"/>
    <x v="26"/>
    <x v="0"/>
    <x v="31"/>
    <x v="2"/>
    <x v="46"/>
    <x v="45"/>
    <x v="3"/>
    <x v="60"/>
    <x v="2"/>
  </r>
  <r>
    <x v="3"/>
    <x v="2"/>
    <x v="1"/>
    <x v="9"/>
    <x v="3"/>
    <x v="11"/>
    <x v="13"/>
    <x v="19"/>
    <x v="26"/>
    <x v="1"/>
    <x v="31"/>
    <x v="2"/>
    <x v="46"/>
    <x v="45"/>
    <x v="1"/>
    <x v="60"/>
    <x v="2"/>
  </r>
  <r>
    <x v="3"/>
    <x v="2"/>
    <x v="1"/>
    <x v="0"/>
    <x v="23"/>
    <x v="1"/>
    <x v="1"/>
    <x v="3"/>
    <x v="3"/>
    <x v="0"/>
    <x v="3"/>
    <x v="2"/>
    <x v="3"/>
    <x v="2"/>
    <x v="3"/>
    <x v="4"/>
    <x v="1"/>
  </r>
  <r>
    <x v="3"/>
    <x v="2"/>
    <x v="1"/>
    <x v="4"/>
    <x v="4"/>
    <x v="1"/>
    <x v="1"/>
    <x v="3"/>
    <x v="3"/>
    <x v="1"/>
    <x v="3"/>
    <x v="2"/>
    <x v="3"/>
    <x v="2"/>
    <x v="3"/>
    <x v="4"/>
    <x v="2"/>
  </r>
  <r>
    <x v="3"/>
    <x v="2"/>
    <x v="1"/>
    <x v="4"/>
    <x v="5"/>
    <x v="1"/>
    <x v="1"/>
    <x v="3"/>
    <x v="3"/>
    <x v="1"/>
    <x v="3"/>
    <x v="2"/>
    <x v="3"/>
    <x v="2"/>
    <x v="1"/>
    <x v="4"/>
    <x v="2"/>
  </r>
  <r>
    <x v="3"/>
    <x v="2"/>
    <x v="1"/>
    <x v="4"/>
    <x v="6"/>
    <x v="1"/>
    <x v="1"/>
    <x v="3"/>
    <x v="3"/>
    <x v="1"/>
    <x v="3"/>
    <x v="2"/>
    <x v="3"/>
    <x v="2"/>
    <x v="1"/>
    <x v="4"/>
    <x v="2"/>
  </r>
  <r>
    <x v="3"/>
    <x v="2"/>
    <x v="1"/>
    <x v="4"/>
    <x v="7"/>
    <x v="1"/>
    <x v="1"/>
    <x v="3"/>
    <x v="3"/>
    <x v="0"/>
    <x v="3"/>
    <x v="2"/>
    <x v="3"/>
    <x v="2"/>
    <x v="1"/>
    <x v="4"/>
    <x v="1"/>
  </r>
  <r>
    <x v="3"/>
    <x v="2"/>
    <x v="1"/>
    <x v="10"/>
    <x v="4"/>
    <x v="11"/>
    <x v="57"/>
    <x v="69"/>
    <x v="104"/>
    <x v="1"/>
    <x v="113"/>
    <x v="134"/>
    <x v="142"/>
    <x v="147"/>
    <x v="3"/>
    <x v="167"/>
    <x v="2"/>
  </r>
  <r>
    <x v="3"/>
    <x v="2"/>
    <x v="1"/>
    <x v="10"/>
    <x v="5"/>
    <x v="11"/>
    <x v="57"/>
    <x v="69"/>
    <x v="104"/>
    <x v="1"/>
    <x v="113"/>
    <x v="134"/>
    <x v="142"/>
    <x v="147"/>
    <x v="1"/>
    <x v="167"/>
    <x v="2"/>
  </r>
  <r>
    <x v="3"/>
    <x v="2"/>
    <x v="1"/>
    <x v="10"/>
    <x v="6"/>
    <x v="11"/>
    <x v="57"/>
    <x v="69"/>
    <x v="104"/>
    <x v="1"/>
    <x v="113"/>
    <x v="134"/>
    <x v="142"/>
    <x v="147"/>
    <x v="1"/>
    <x v="167"/>
    <x v="2"/>
  </r>
  <r>
    <x v="3"/>
    <x v="2"/>
    <x v="1"/>
    <x v="10"/>
    <x v="7"/>
    <x v="11"/>
    <x v="57"/>
    <x v="69"/>
    <x v="104"/>
    <x v="0"/>
    <x v="113"/>
    <x v="134"/>
    <x v="142"/>
    <x v="147"/>
    <x v="1"/>
    <x v="167"/>
    <x v="1"/>
  </r>
  <r>
    <x v="3"/>
    <x v="0"/>
    <x v="2"/>
    <x v="0"/>
    <x v="24"/>
    <x v="3"/>
    <x v="0"/>
    <x v="1"/>
    <x v="4"/>
    <x v="4"/>
    <x v="5"/>
    <x v="0"/>
    <x v="147"/>
    <x v="38"/>
    <x v="11"/>
    <x v="16"/>
    <x v="30"/>
  </r>
  <r>
    <x v="3"/>
    <x v="0"/>
    <x v="2"/>
    <x v="1"/>
    <x v="1"/>
    <x v="1"/>
    <x v="1"/>
    <x v="3"/>
    <x v="3"/>
    <x v="1"/>
    <x v="3"/>
    <x v="2"/>
    <x v="3"/>
    <x v="5"/>
    <x v="3"/>
    <x v="2"/>
    <x v="0"/>
  </r>
  <r>
    <x v="3"/>
    <x v="0"/>
    <x v="2"/>
    <x v="1"/>
    <x v="2"/>
    <x v="3"/>
    <x v="0"/>
    <x v="1"/>
    <x v="2"/>
    <x v="3"/>
    <x v="4"/>
    <x v="3"/>
    <x v="5"/>
    <x v="4"/>
    <x v="12"/>
    <x v="3"/>
    <x v="5"/>
  </r>
  <r>
    <x v="3"/>
    <x v="0"/>
    <x v="2"/>
    <x v="1"/>
    <x v="3"/>
    <x v="1"/>
    <x v="1"/>
    <x v="3"/>
    <x v="3"/>
    <x v="1"/>
    <x v="3"/>
    <x v="1"/>
    <x v="2"/>
    <x v="5"/>
    <x v="3"/>
    <x v="2"/>
    <x v="1"/>
  </r>
  <r>
    <x v="3"/>
    <x v="0"/>
    <x v="2"/>
    <x v="1"/>
    <x v="4"/>
    <x v="1"/>
    <x v="1"/>
    <x v="3"/>
    <x v="2"/>
    <x v="0"/>
    <x v="2"/>
    <x v="1"/>
    <x v="2"/>
    <x v="3"/>
    <x v="5"/>
    <x v="5"/>
    <x v="4"/>
  </r>
  <r>
    <x v="3"/>
    <x v="0"/>
    <x v="2"/>
    <x v="1"/>
    <x v="5"/>
    <x v="1"/>
    <x v="1"/>
    <x v="3"/>
    <x v="3"/>
    <x v="1"/>
    <x v="3"/>
    <x v="2"/>
    <x v="3"/>
    <x v="2"/>
    <x v="1"/>
    <x v="4"/>
    <x v="2"/>
  </r>
  <r>
    <x v="3"/>
    <x v="0"/>
    <x v="2"/>
    <x v="1"/>
    <x v="6"/>
    <x v="1"/>
    <x v="1"/>
    <x v="3"/>
    <x v="3"/>
    <x v="1"/>
    <x v="3"/>
    <x v="1"/>
    <x v="2"/>
    <x v="5"/>
    <x v="3"/>
    <x v="2"/>
    <x v="1"/>
  </r>
  <r>
    <x v="3"/>
    <x v="0"/>
    <x v="2"/>
    <x v="1"/>
    <x v="7"/>
    <x v="1"/>
    <x v="1"/>
    <x v="3"/>
    <x v="3"/>
    <x v="1"/>
    <x v="3"/>
    <x v="2"/>
    <x v="3"/>
    <x v="2"/>
    <x v="1"/>
    <x v="4"/>
    <x v="2"/>
  </r>
  <r>
    <x v="3"/>
    <x v="0"/>
    <x v="2"/>
    <x v="2"/>
    <x v="8"/>
    <x v="3"/>
    <x v="0"/>
    <x v="1"/>
    <x v="2"/>
    <x v="3"/>
    <x v="1"/>
    <x v="6"/>
    <x v="4"/>
    <x v="39"/>
    <x v="0"/>
    <x v="161"/>
    <x v="31"/>
  </r>
  <r>
    <x v="3"/>
    <x v="0"/>
    <x v="2"/>
    <x v="2"/>
    <x v="9"/>
    <x v="1"/>
    <x v="1"/>
    <x v="3"/>
    <x v="3"/>
    <x v="1"/>
    <x v="2"/>
    <x v="1"/>
    <x v="2"/>
    <x v="5"/>
    <x v="3"/>
    <x v="2"/>
    <x v="0"/>
  </r>
  <r>
    <x v="3"/>
    <x v="0"/>
    <x v="2"/>
    <x v="2"/>
    <x v="10"/>
    <x v="1"/>
    <x v="1"/>
    <x v="3"/>
    <x v="2"/>
    <x v="0"/>
    <x v="2"/>
    <x v="1"/>
    <x v="2"/>
    <x v="3"/>
    <x v="4"/>
    <x v="1"/>
    <x v="0"/>
  </r>
  <r>
    <x v="3"/>
    <x v="0"/>
    <x v="2"/>
    <x v="2"/>
    <x v="11"/>
    <x v="1"/>
    <x v="1"/>
    <x v="3"/>
    <x v="3"/>
    <x v="1"/>
    <x v="3"/>
    <x v="2"/>
    <x v="3"/>
    <x v="2"/>
    <x v="1"/>
    <x v="4"/>
    <x v="2"/>
  </r>
  <r>
    <x v="3"/>
    <x v="0"/>
    <x v="2"/>
    <x v="2"/>
    <x v="12"/>
    <x v="1"/>
    <x v="1"/>
    <x v="3"/>
    <x v="3"/>
    <x v="1"/>
    <x v="3"/>
    <x v="2"/>
    <x v="3"/>
    <x v="2"/>
    <x v="1"/>
    <x v="4"/>
    <x v="2"/>
  </r>
  <r>
    <x v="3"/>
    <x v="0"/>
    <x v="2"/>
    <x v="0"/>
    <x v="25"/>
    <x v="3"/>
    <x v="0"/>
    <x v="1"/>
    <x v="2"/>
    <x v="3"/>
    <x v="4"/>
    <x v="5"/>
    <x v="0"/>
    <x v="13"/>
    <x v="42"/>
    <x v="0"/>
    <x v="27"/>
  </r>
  <r>
    <x v="3"/>
    <x v="0"/>
    <x v="2"/>
    <x v="3"/>
    <x v="1"/>
    <x v="1"/>
    <x v="1"/>
    <x v="3"/>
    <x v="3"/>
    <x v="1"/>
    <x v="3"/>
    <x v="1"/>
    <x v="2"/>
    <x v="3"/>
    <x v="4"/>
    <x v="1"/>
    <x v="4"/>
  </r>
  <r>
    <x v="3"/>
    <x v="0"/>
    <x v="2"/>
    <x v="3"/>
    <x v="2"/>
    <x v="3"/>
    <x v="0"/>
    <x v="1"/>
    <x v="2"/>
    <x v="3"/>
    <x v="4"/>
    <x v="3"/>
    <x v="5"/>
    <x v="0"/>
    <x v="43"/>
    <x v="7"/>
    <x v="14"/>
  </r>
  <r>
    <x v="3"/>
    <x v="0"/>
    <x v="2"/>
    <x v="3"/>
    <x v="3"/>
    <x v="1"/>
    <x v="1"/>
    <x v="3"/>
    <x v="3"/>
    <x v="1"/>
    <x v="3"/>
    <x v="1"/>
    <x v="2"/>
    <x v="5"/>
    <x v="3"/>
    <x v="2"/>
    <x v="1"/>
  </r>
  <r>
    <x v="3"/>
    <x v="0"/>
    <x v="2"/>
    <x v="0"/>
    <x v="26"/>
    <x v="3"/>
    <x v="0"/>
    <x v="1"/>
    <x v="4"/>
    <x v="4"/>
    <x v="5"/>
    <x v="5"/>
    <x v="0"/>
    <x v="39"/>
    <x v="0"/>
    <x v="161"/>
    <x v="43"/>
  </r>
  <r>
    <x v="3"/>
    <x v="0"/>
    <x v="2"/>
    <x v="4"/>
    <x v="4"/>
    <x v="1"/>
    <x v="1"/>
    <x v="3"/>
    <x v="2"/>
    <x v="0"/>
    <x v="1"/>
    <x v="4"/>
    <x v="1"/>
    <x v="1"/>
    <x v="12"/>
    <x v="3"/>
    <x v="5"/>
  </r>
  <r>
    <x v="3"/>
    <x v="0"/>
    <x v="2"/>
    <x v="4"/>
    <x v="5"/>
    <x v="3"/>
    <x v="0"/>
    <x v="1"/>
    <x v="2"/>
    <x v="0"/>
    <x v="2"/>
    <x v="1"/>
    <x v="2"/>
    <x v="5"/>
    <x v="3"/>
    <x v="2"/>
    <x v="1"/>
  </r>
  <r>
    <x v="3"/>
    <x v="0"/>
    <x v="2"/>
    <x v="4"/>
    <x v="6"/>
    <x v="1"/>
    <x v="1"/>
    <x v="3"/>
    <x v="3"/>
    <x v="1"/>
    <x v="3"/>
    <x v="1"/>
    <x v="2"/>
    <x v="5"/>
    <x v="3"/>
    <x v="2"/>
    <x v="1"/>
  </r>
  <r>
    <x v="3"/>
    <x v="0"/>
    <x v="2"/>
    <x v="4"/>
    <x v="7"/>
    <x v="1"/>
    <x v="1"/>
    <x v="3"/>
    <x v="3"/>
    <x v="0"/>
    <x v="2"/>
    <x v="1"/>
    <x v="2"/>
    <x v="5"/>
    <x v="3"/>
    <x v="2"/>
    <x v="0"/>
  </r>
  <r>
    <x v="3"/>
    <x v="1"/>
    <x v="2"/>
    <x v="0"/>
    <x v="27"/>
    <x v="3"/>
    <x v="0"/>
    <x v="1"/>
    <x v="4"/>
    <x v="3"/>
    <x v="5"/>
    <x v="5"/>
    <x v="147"/>
    <x v="38"/>
    <x v="42"/>
    <x v="16"/>
    <x v="27"/>
  </r>
  <r>
    <x v="3"/>
    <x v="1"/>
    <x v="2"/>
    <x v="1"/>
    <x v="1"/>
    <x v="1"/>
    <x v="1"/>
    <x v="3"/>
    <x v="3"/>
    <x v="1"/>
    <x v="3"/>
    <x v="2"/>
    <x v="3"/>
    <x v="5"/>
    <x v="3"/>
    <x v="2"/>
    <x v="1"/>
  </r>
  <r>
    <x v="3"/>
    <x v="1"/>
    <x v="2"/>
    <x v="1"/>
    <x v="2"/>
    <x v="3"/>
    <x v="0"/>
    <x v="1"/>
    <x v="2"/>
    <x v="0"/>
    <x v="4"/>
    <x v="3"/>
    <x v="5"/>
    <x v="4"/>
    <x v="12"/>
    <x v="3"/>
    <x v="5"/>
  </r>
  <r>
    <x v="3"/>
    <x v="1"/>
    <x v="2"/>
    <x v="1"/>
    <x v="3"/>
    <x v="1"/>
    <x v="1"/>
    <x v="3"/>
    <x v="3"/>
    <x v="1"/>
    <x v="3"/>
    <x v="1"/>
    <x v="2"/>
    <x v="5"/>
    <x v="3"/>
    <x v="2"/>
    <x v="1"/>
  </r>
  <r>
    <x v="3"/>
    <x v="1"/>
    <x v="2"/>
    <x v="1"/>
    <x v="4"/>
    <x v="1"/>
    <x v="1"/>
    <x v="3"/>
    <x v="2"/>
    <x v="0"/>
    <x v="2"/>
    <x v="1"/>
    <x v="2"/>
    <x v="3"/>
    <x v="4"/>
    <x v="5"/>
    <x v="4"/>
  </r>
  <r>
    <x v="3"/>
    <x v="1"/>
    <x v="2"/>
    <x v="1"/>
    <x v="5"/>
    <x v="1"/>
    <x v="1"/>
    <x v="3"/>
    <x v="3"/>
    <x v="1"/>
    <x v="3"/>
    <x v="2"/>
    <x v="3"/>
    <x v="2"/>
    <x v="1"/>
    <x v="4"/>
    <x v="2"/>
  </r>
  <r>
    <x v="3"/>
    <x v="1"/>
    <x v="2"/>
    <x v="1"/>
    <x v="6"/>
    <x v="1"/>
    <x v="1"/>
    <x v="3"/>
    <x v="3"/>
    <x v="1"/>
    <x v="3"/>
    <x v="2"/>
    <x v="2"/>
    <x v="5"/>
    <x v="3"/>
    <x v="2"/>
    <x v="1"/>
  </r>
  <r>
    <x v="3"/>
    <x v="1"/>
    <x v="2"/>
    <x v="1"/>
    <x v="7"/>
    <x v="1"/>
    <x v="1"/>
    <x v="3"/>
    <x v="3"/>
    <x v="1"/>
    <x v="3"/>
    <x v="2"/>
    <x v="3"/>
    <x v="2"/>
    <x v="1"/>
    <x v="4"/>
    <x v="2"/>
  </r>
  <r>
    <x v="3"/>
    <x v="1"/>
    <x v="2"/>
    <x v="11"/>
    <x v="1"/>
    <x v="1"/>
    <x v="1"/>
    <x v="3"/>
    <x v="3"/>
    <x v="1"/>
    <x v="3"/>
    <x v="2"/>
    <x v="3"/>
    <x v="268"/>
    <x v="272"/>
    <x v="58"/>
    <x v="36"/>
  </r>
  <r>
    <x v="3"/>
    <x v="1"/>
    <x v="2"/>
    <x v="11"/>
    <x v="2"/>
    <x v="3"/>
    <x v="0"/>
    <x v="1"/>
    <x v="6"/>
    <x v="132"/>
    <x v="34"/>
    <x v="232"/>
    <x v="9"/>
    <x v="269"/>
    <x v="273"/>
    <x v="162"/>
    <x v="64"/>
  </r>
  <r>
    <x v="3"/>
    <x v="1"/>
    <x v="2"/>
    <x v="11"/>
    <x v="3"/>
    <x v="1"/>
    <x v="1"/>
    <x v="3"/>
    <x v="3"/>
    <x v="1"/>
    <x v="3"/>
    <x v="29"/>
    <x v="254"/>
    <x v="268"/>
    <x v="272"/>
    <x v="58"/>
    <x v="36"/>
  </r>
  <r>
    <x v="3"/>
    <x v="1"/>
    <x v="2"/>
    <x v="11"/>
    <x v="4"/>
    <x v="1"/>
    <x v="1"/>
    <x v="3"/>
    <x v="6"/>
    <x v="132"/>
    <x v="128"/>
    <x v="29"/>
    <x v="254"/>
    <x v="270"/>
    <x v="274"/>
    <x v="296"/>
    <x v="285"/>
  </r>
  <r>
    <x v="3"/>
    <x v="1"/>
    <x v="2"/>
    <x v="11"/>
    <x v="5"/>
    <x v="1"/>
    <x v="1"/>
    <x v="3"/>
    <x v="3"/>
    <x v="1"/>
    <x v="3"/>
    <x v="2"/>
    <x v="3"/>
    <x v="2"/>
    <x v="1"/>
    <x v="4"/>
    <x v="2"/>
  </r>
  <r>
    <x v="3"/>
    <x v="1"/>
    <x v="2"/>
    <x v="11"/>
    <x v="6"/>
    <x v="1"/>
    <x v="1"/>
    <x v="3"/>
    <x v="3"/>
    <x v="1"/>
    <x v="3"/>
    <x v="2"/>
    <x v="254"/>
    <x v="268"/>
    <x v="272"/>
    <x v="58"/>
    <x v="36"/>
  </r>
  <r>
    <x v="3"/>
    <x v="1"/>
    <x v="2"/>
    <x v="11"/>
    <x v="7"/>
    <x v="1"/>
    <x v="1"/>
    <x v="3"/>
    <x v="3"/>
    <x v="1"/>
    <x v="3"/>
    <x v="2"/>
    <x v="3"/>
    <x v="2"/>
    <x v="1"/>
    <x v="4"/>
    <x v="2"/>
  </r>
  <r>
    <x v="3"/>
    <x v="1"/>
    <x v="2"/>
    <x v="2"/>
    <x v="8"/>
    <x v="1"/>
    <x v="1"/>
    <x v="3"/>
    <x v="3"/>
    <x v="1"/>
    <x v="3"/>
    <x v="1"/>
    <x v="2"/>
    <x v="5"/>
    <x v="1"/>
    <x v="4"/>
    <x v="2"/>
  </r>
  <r>
    <x v="3"/>
    <x v="1"/>
    <x v="2"/>
    <x v="2"/>
    <x v="9"/>
    <x v="1"/>
    <x v="1"/>
    <x v="3"/>
    <x v="3"/>
    <x v="1"/>
    <x v="2"/>
    <x v="2"/>
    <x v="3"/>
    <x v="2"/>
    <x v="1"/>
    <x v="4"/>
    <x v="2"/>
  </r>
  <r>
    <x v="3"/>
    <x v="1"/>
    <x v="2"/>
    <x v="2"/>
    <x v="10"/>
    <x v="1"/>
    <x v="1"/>
    <x v="3"/>
    <x v="3"/>
    <x v="1"/>
    <x v="3"/>
    <x v="2"/>
    <x v="3"/>
    <x v="2"/>
    <x v="1"/>
    <x v="4"/>
    <x v="2"/>
  </r>
  <r>
    <x v="3"/>
    <x v="1"/>
    <x v="2"/>
    <x v="2"/>
    <x v="11"/>
    <x v="1"/>
    <x v="1"/>
    <x v="3"/>
    <x v="3"/>
    <x v="1"/>
    <x v="3"/>
    <x v="2"/>
    <x v="3"/>
    <x v="2"/>
    <x v="1"/>
    <x v="4"/>
    <x v="2"/>
  </r>
  <r>
    <x v="3"/>
    <x v="1"/>
    <x v="2"/>
    <x v="2"/>
    <x v="12"/>
    <x v="1"/>
    <x v="1"/>
    <x v="3"/>
    <x v="3"/>
    <x v="1"/>
    <x v="3"/>
    <x v="2"/>
    <x v="3"/>
    <x v="2"/>
    <x v="1"/>
    <x v="4"/>
    <x v="2"/>
  </r>
  <r>
    <x v="3"/>
    <x v="1"/>
    <x v="2"/>
    <x v="0"/>
    <x v="28"/>
    <x v="3"/>
    <x v="0"/>
    <x v="1"/>
    <x v="2"/>
    <x v="0"/>
    <x v="4"/>
    <x v="6"/>
    <x v="0"/>
    <x v="13"/>
    <x v="16"/>
    <x v="0"/>
    <x v="143"/>
  </r>
  <r>
    <x v="3"/>
    <x v="1"/>
    <x v="2"/>
    <x v="3"/>
    <x v="1"/>
    <x v="1"/>
    <x v="1"/>
    <x v="3"/>
    <x v="3"/>
    <x v="1"/>
    <x v="3"/>
    <x v="2"/>
    <x v="2"/>
    <x v="3"/>
    <x v="4"/>
    <x v="1"/>
    <x v="0"/>
  </r>
  <r>
    <x v="3"/>
    <x v="1"/>
    <x v="2"/>
    <x v="3"/>
    <x v="2"/>
    <x v="3"/>
    <x v="0"/>
    <x v="1"/>
    <x v="2"/>
    <x v="0"/>
    <x v="4"/>
    <x v="3"/>
    <x v="5"/>
    <x v="0"/>
    <x v="2"/>
    <x v="7"/>
    <x v="14"/>
  </r>
  <r>
    <x v="3"/>
    <x v="1"/>
    <x v="2"/>
    <x v="3"/>
    <x v="3"/>
    <x v="1"/>
    <x v="1"/>
    <x v="3"/>
    <x v="3"/>
    <x v="1"/>
    <x v="3"/>
    <x v="1"/>
    <x v="2"/>
    <x v="5"/>
    <x v="3"/>
    <x v="2"/>
    <x v="1"/>
  </r>
  <r>
    <x v="3"/>
    <x v="1"/>
    <x v="2"/>
    <x v="12"/>
    <x v="1"/>
    <x v="1"/>
    <x v="1"/>
    <x v="3"/>
    <x v="3"/>
    <x v="1"/>
    <x v="3"/>
    <x v="2"/>
    <x v="255"/>
    <x v="172"/>
    <x v="275"/>
    <x v="44"/>
    <x v="45"/>
  </r>
  <r>
    <x v="3"/>
    <x v="1"/>
    <x v="2"/>
    <x v="12"/>
    <x v="2"/>
    <x v="3"/>
    <x v="0"/>
    <x v="1"/>
    <x v="2"/>
    <x v="0"/>
    <x v="2"/>
    <x v="38"/>
    <x v="256"/>
    <x v="271"/>
    <x v="47"/>
    <x v="165"/>
    <x v="145"/>
  </r>
  <r>
    <x v="3"/>
    <x v="1"/>
    <x v="2"/>
    <x v="12"/>
    <x v="3"/>
    <x v="1"/>
    <x v="1"/>
    <x v="3"/>
    <x v="3"/>
    <x v="1"/>
    <x v="3"/>
    <x v="233"/>
    <x v="255"/>
    <x v="179"/>
    <x v="276"/>
    <x v="39"/>
    <x v="48"/>
  </r>
  <r>
    <x v="3"/>
    <x v="1"/>
    <x v="2"/>
    <x v="0"/>
    <x v="29"/>
    <x v="3"/>
    <x v="0"/>
    <x v="1"/>
    <x v="4"/>
    <x v="3"/>
    <x v="5"/>
    <x v="6"/>
    <x v="0"/>
    <x v="39"/>
    <x v="43"/>
    <x v="161"/>
    <x v="31"/>
  </r>
  <r>
    <x v="3"/>
    <x v="1"/>
    <x v="2"/>
    <x v="4"/>
    <x v="4"/>
    <x v="1"/>
    <x v="1"/>
    <x v="3"/>
    <x v="2"/>
    <x v="0"/>
    <x v="1"/>
    <x v="4"/>
    <x v="1"/>
    <x v="1"/>
    <x v="5"/>
    <x v="3"/>
    <x v="5"/>
  </r>
  <r>
    <x v="3"/>
    <x v="1"/>
    <x v="2"/>
    <x v="4"/>
    <x v="5"/>
    <x v="3"/>
    <x v="0"/>
    <x v="1"/>
    <x v="2"/>
    <x v="0"/>
    <x v="2"/>
    <x v="1"/>
    <x v="2"/>
    <x v="5"/>
    <x v="3"/>
    <x v="2"/>
    <x v="1"/>
  </r>
  <r>
    <x v="3"/>
    <x v="1"/>
    <x v="2"/>
    <x v="4"/>
    <x v="6"/>
    <x v="1"/>
    <x v="1"/>
    <x v="3"/>
    <x v="3"/>
    <x v="1"/>
    <x v="3"/>
    <x v="2"/>
    <x v="2"/>
    <x v="5"/>
    <x v="3"/>
    <x v="2"/>
    <x v="1"/>
  </r>
  <r>
    <x v="3"/>
    <x v="1"/>
    <x v="2"/>
    <x v="4"/>
    <x v="7"/>
    <x v="1"/>
    <x v="1"/>
    <x v="3"/>
    <x v="3"/>
    <x v="1"/>
    <x v="2"/>
    <x v="1"/>
    <x v="2"/>
    <x v="5"/>
    <x v="3"/>
    <x v="2"/>
    <x v="1"/>
  </r>
  <r>
    <x v="3"/>
    <x v="1"/>
    <x v="2"/>
    <x v="13"/>
    <x v="4"/>
    <x v="1"/>
    <x v="1"/>
    <x v="3"/>
    <x v="6"/>
    <x v="132"/>
    <x v="19"/>
    <x v="22"/>
    <x v="257"/>
    <x v="43"/>
    <x v="49"/>
    <x v="18"/>
    <x v="286"/>
  </r>
  <r>
    <x v="3"/>
    <x v="1"/>
    <x v="2"/>
    <x v="13"/>
    <x v="5"/>
    <x v="3"/>
    <x v="0"/>
    <x v="1"/>
    <x v="6"/>
    <x v="132"/>
    <x v="128"/>
    <x v="233"/>
    <x v="255"/>
    <x v="181"/>
    <x v="277"/>
    <x v="10"/>
    <x v="35"/>
  </r>
  <r>
    <x v="3"/>
    <x v="1"/>
    <x v="2"/>
    <x v="13"/>
    <x v="6"/>
    <x v="1"/>
    <x v="1"/>
    <x v="3"/>
    <x v="3"/>
    <x v="1"/>
    <x v="3"/>
    <x v="2"/>
    <x v="255"/>
    <x v="181"/>
    <x v="277"/>
    <x v="10"/>
    <x v="35"/>
  </r>
  <r>
    <x v="3"/>
    <x v="1"/>
    <x v="2"/>
    <x v="13"/>
    <x v="7"/>
    <x v="1"/>
    <x v="1"/>
    <x v="3"/>
    <x v="3"/>
    <x v="1"/>
    <x v="128"/>
    <x v="233"/>
    <x v="255"/>
    <x v="181"/>
    <x v="277"/>
    <x v="10"/>
    <x v="35"/>
  </r>
  <r>
    <x v="3"/>
    <x v="1"/>
    <x v="2"/>
    <x v="0"/>
    <x v="30"/>
    <x v="1"/>
    <x v="1"/>
    <x v="3"/>
    <x v="3"/>
    <x v="1"/>
    <x v="2"/>
    <x v="4"/>
    <x v="5"/>
    <x v="4"/>
    <x v="12"/>
    <x v="3"/>
    <x v="5"/>
  </r>
  <r>
    <x v="3"/>
    <x v="1"/>
    <x v="2"/>
    <x v="0"/>
    <x v="31"/>
    <x v="3"/>
    <x v="0"/>
    <x v="1"/>
    <x v="2"/>
    <x v="0"/>
    <x v="1"/>
    <x v="4"/>
    <x v="1"/>
    <x v="3"/>
    <x v="4"/>
    <x v="5"/>
    <x v="4"/>
  </r>
  <r>
    <x v="3"/>
    <x v="1"/>
    <x v="2"/>
    <x v="0"/>
    <x v="32"/>
    <x v="1"/>
    <x v="1"/>
    <x v="3"/>
    <x v="2"/>
    <x v="0"/>
    <x v="2"/>
    <x v="1"/>
    <x v="2"/>
    <x v="1"/>
    <x v="5"/>
    <x v="5"/>
    <x v="4"/>
  </r>
  <r>
    <x v="3"/>
    <x v="1"/>
    <x v="2"/>
    <x v="14"/>
    <x v="8"/>
    <x v="1"/>
    <x v="1"/>
    <x v="3"/>
    <x v="3"/>
    <x v="1"/>
    <x v="3"/>
    <x v="1"/>
    <x v="1"/>
    <x v="1"/>
    <x v="5"/>
    <x v="5"/>
    <x v="4"/>
  </r>
  <r>
    <x v="3"/>
    <x v="1"/>
    <x v="2"/>
    <x v="14"/>
    <x v="9"/>
    <x v="1"/>
    <x v="1"/>
    <x v="3"/>
    <x v="3"/>
    <x v="1"/>
    <x v="2"/>
    <x v="1"/>
    <x v="2"/>
    <x v="5"/>
    <x v="3"/>
    <x v="2"/>
    <x v="1"/>
  </r>
  <r>
    <x v="3"/>
    <x v="1"/>
    <x v="2"/>
    <x v="14"/>
    <x v="10"/>
    <x v="1"/>
    <x v="1"/>
    <x v="3"/>
    <x v="3"/>
    <x v="1"/>
    <x v="3"/>
    <x v="2"/>
    <x v="3"/>
    <x v="2"/>
    <x v="1"/>
    <x v="4"/>
    <x v="2"/>
  </r>
  <r>
    <x v="3"/>
    <x v="1"/>
    <x v="2"/>
    <x v="14"/>
    <x v="11"/>
    <x v="1"/>
    <x v="1"/>
    <x v="3"/>
    <x v="3"/>
    <x v="1"/>
    <x v="3"/>
    <x v="2"/>
    <x v="3"/>
    <x v="2"/>
    <x v="1"/>
    <x v="4"/>
    <x v="2"/>
  </r>
  <r>
    <x v="3"/>
    <x v="1"/>
    <x v="2"/>
    <x v="14"/>
    <x v="12"/>
    <x v="1"/>
    <x v="1"/>
    <x v="3"/>
    <x v="3"/>
    <x v="1"/>
    <x v="3"/>
    <x v="2"/>
    <x v="3"/>
    <x v="2"/>
    <x v="1"/>
    <x v="4"/>
    <x v="2"/>
  </r>
  <r>
    <x v="3"/>
    <x v="1"/>
    <x v="2"/>
    <x v="15"/>
    <x v="8"/>
    <x v="3"/>
    <x v="0"/>
    <x v="1"/>
    <x v="2"/>
    <x v="0"/>
    <x v="1"/>
    <x v="4"/>
    <x v="1"/>
    <x v="3"/>
    <x v="4"/>
    <x v="5"/>
    <x v="4"/>
  </r>
  <r>
    <x v="3"/>
    <x v="1"/>
    <x v="2"/>
    <x v="15"/>
    <x v="9"/>
    <x v="1"/>
    <x v="1"/>
    <x v="3"/>
    <x v="3"/>
    <x v="1"/>
    <x v="3"/>
    <x v="2"/>
    <x v="3"/>
    <x v="2"/>
    <x v="1"/>
    <x v="4"/>
    <x v="2"/>
  </r>
  <r>
    <x v="3"/>
    <x v="1"/>
    <x v="2"/>
    <x v="15"/>
    <x v="10"/>
    <x v="1"/>
    <x v="1"/>
    <x v="3"/>
    <x v="3"/>
    <x v="1"/>
    <x v="3"/>
    <x v="2"/>
    <x v="3"/>
    <x v="2"/>
    <x v="1"/>
    <x v="4"/>
    <x v="2"/>
  </r>
  <r>
    <x v="3"/>
    <x v="1"/>
    <x v="2"/>
    <x v="15"/>
    <x v="11"/>
    <x v="1"/>
    <x v="1"/>
    <x v="3"/>
    <x v="3"/>
    <x v="1"/>
    <x v="3"/>
    <x v="2"/>
    <x v="3"/>
    <x v="2"/>
    <x v="1"/>
    <x v="4"/>
    <x v="2"/>
  </r>
  <r>
    <x v="3"/>
    <x v="1"/>
    <x v="2"/>
    <x v="15"/>
    <x v="12"/>
    <x v="1"/>
    <x v="1"/>
    <x v="3"/>
    <x v="3"/>
    <x v="1"/>
    <x v="3"/>
    <x v="2"/>
    <x v="3"/>
    <x v="2"/>
    <x v="1"/>
    <x v="4"/>
    <x v="2"/>
  </r>
  <r>
    <x v="3"/>
    <x v="1"/>
    <x v="2"/>
    <x v="16"/>
    <x v="8"/>
    <x v="1"/>
    <x v="1"/>
    <x v="3"/>
    <x v="3"/>
    <x v="1"/>
    <x v="3"/>
    <x v="2"/>
    <x v="3"/>
    <x v="5"/>
    <x v="3"/>
    <x v="2"/>
    <x v="1"/>
  </r>
  <r>
    <x v="3"/>
    <x v="1"/>
    <x v="2"/>
    <x v="16"/>
    <x v="9"/>
    <x v="1"/>
    <x v="1"/>
    <x v="3"/>
    <x v="3"/>
    <x v="1"/>
    <x v="3"/>
    <x v="2"/>
    <x v="3"/>
    <x v="2"/>
    <x v="1"/>
    <x v="4"/>
    <x v="2"/>
  </r>
  <r>
    <x v="3"/>
    <x v="1"/>
    <x v="2"/>
    <x v="16"/>
    <x v="10"/>
    <x v="1"/>
    <x v="1"/>
    <x v="3"/>
    <x v="2"/>
    <x v="0"/>
    <x v="2"/>
    <x v="1"/>
    <x v="2"/>
    <x v="3"/>
    <x v="4"/>
    <x v="1"/>
    <x v="0"/>
  </r>
  <r>
    <x v="3"/>
    <x v="1"/>
    <x v="2"/>
    <x v="16"/>
    <x v="11"/>
    <x v="1"/>
    <x v="1"/>
    <x v="3"/>
    <x v="3"/>
    <x v="1"/>
    <x v="3"/>
    <x v="2"/>
    <x v="3"/>
    <x v="2"/>
    <x v="1"/>
    <x v="4"/>
    <x v="2"/>
  </r>
  <r>
    <x v="3"/>
    <x v="1"/>
    <x v="2"/>
    <x v="16"/>
    <x v="12"/>
    <x v="1"/>
    <x v="1"/>
    <x v="3"/>
    <x v="3"/>
    <x v="1"/>
    <x v="3"/>
    <x v="2"/>
    <x v="3"/>
    <x v="2"/>
    <x v="1"/>
    <x v="4"/>
    <x v="2"/>
  </r>
  <r>
    <x v="3"/>
    <x v="1"/>
    <x v="3"/>
    <x v="0"/>
    <x v="33"/>
    <x v="3"/>
    <x v="0"/>
    <x v="1"/>
    <x v="2"/>
    <x v="211"/>
    <x v="2"/>
    <x v="234"/>
    <x v="2"/>
    <x v="5"/>
    <x v="278"/>
    <x v="2"/>
    <x v="287"/>
  </r>
  <r>
    <x v="3"/>
    <x v="1"/>
    <x v="3"/>
    <x v="3"/>
    <x v="1"/>
    <x v="11"/>
    <x v="57"/>
    <x v="69"/>
    <x v="104"/>
    <x v="118"/>
    <x v="113"/>
    <x v="134"/>
    <x v="142"/>
    <x v="5"/>
    <x v="3"/>
    <x v="2"/>
    <x v="54"/>
  </r>
  <r>
    <x v="3"/>
    <x v="1"/>
    <x v="3"/>
    <x v="3"/>
    <x v="2"/>
    <x v="3"/>
    <x v="0"/>
    <x v="1"/>
    <x v="2"/>
    <x v="132"/>
    <x v="2"/>
    <x v="1"/>
    <x v="2"/>
    <x v="5"/>
    <x v="3"/>
    <x v="2"/>
    <x v="1"/>
  </r>
  <r>
    <x v="3"/>
    <x v="1"/>
    <x v="3"/>
    <x v="3"/>
    <x v="3"/>
    <x v="11"/>
    <x v="57"/>
    <x v="69"/>
    <x v="104"/>
    <x v="118"/>
    <x v="113"/>
    <x v="1"/>
    <x v="2"/>
    <x v="5"/>
    <x v="3"/>
    <x v="2"/>
    <x v="1"/>
  </r>
  <r>
    <x v="3"/>
    <x v="1"/>
    <x v="3"/>
    <x v="4"/>
    <x v="4"/>
    <x v="11"/>
    <x v="57"/>
    <x v="69"/>
    <x v="2"/>
    <x v="0"/>
    <x v="2"/>
    <x v="1"/>
    <x v="2"/>
    <x v="5"/>
    <x v="53"/>
    <x v="2"/>
    <x v="1"/>
  </r>
  <r>
    <x v="3"/>
    <x v="1"/>
    <x v="3"/>
    <x v="4"/>
    <x v="5"/>
    <x v="11"/>
    <x v="57"/>
    <x v="69"/>
    <x v="104"/>
    <x v="118"/>
    <x v="113"/>
    <x v="134"/>
    <x v="142"/>
    <x v="147"/>
    <x v="129"/>
    <x v="167"/>
    <x v="147"/>
  </r>
  <r>
    <x v="3"/>
    <x v="1"/>
    <x v="3"/>
    <x v="4"/>
    <x v="6"/>
    <x v="11"/>
    <x v="57"/>
    <x v="69"/>
    <x v="104"/>
    <x v="118"/>
    <x v="113"/>
    <x v="2"/>
    <x v="2"/>
    <x v="5"/>
    <x v="3"/>
    <x v="2"/>
    <x v="1"/>
  </r>
  <r>
    <x v="3"/>
    <x v="1"/>
    <x v="3"/>
    <x v="4"/>
    <x v="7"/>
    <x v="11"/>
    <x v="57"/>
    <x v="69"/>
    <x v="104"/>
    <x v="118"/>
    <x v="113"/>
    <x v="134"/>
    <x v="142"/>
    <x v="147"/>
    <x v="129"/>
    <x v="167"/>
    <x v="147"/>
  </r>
  <r>
    <x v="3"/>
    <x v="1"/>
    <x v="3"/>
    <x v="2"/>
    <x v="8"/>
    <x v="1"/>
    <x v="1"/>
    <x v="3"/>
    <x v="3"/>
    <x v="1"/>
    <x v="3"/>
    <x v="233"/>
    <x v="6"/>
    <x v="181"/>
    <x v="1"/>
    <x v="4"/>
    <x v="2"/>
  </r>
  <r>
    <x v="3"/>
    <x v="1"/>
    <x v="3"/>
    <x v="2"/>
    <x v="9"/>
    <x v="11"/>
    <x v="57"/>
    <x v="69"/>
    <x v="104"/>
    <x v="118"/>
    <x v="2"/>
    <x v="2"/>
    <x v="3"/>
    <x v="2"/>
    <x v="1"/>
    <x v="4"/>
    <x v="2"/>
  </r>
  <r>
    <x v="3"/>
    <x v="1"/>
    <x v="3"/>
    <x v="2"/>
    <x v="10"/>
    <x v="11"/>
    <x v="57"/>
    <x v="69"/>
    <x v="3"/>
    <x v="1"/>
    <x v="3"/>
    <x v="2"/>
    <x v="3"/>
    <x v="2"/>
    <x v="1"/>
    <x v="4"/>
    <x v="2"/>
  </r>
  <r>
    <x v="3"/>
    <x v="1"/>
    <x v="3"/>
    <x v="2"/>
    <x v="11"/>
    <x v="11"/>
    <x v="57"/>
    <x v="69"/>
    <x v="104"/>
    <x v="118"/>
    <x v="113"/>
    <x v="134"/>
    <x v="142"/>
    <x v="147"/>
    <x v="129"/>
    <x v="167"/>
    <x v="147"/>
  </r>
  <r>
    <x v="3"/>
    <x v="1"/>
    <x v="3"/>
    <x v="2"/>
    <x v="12"/>
    <x v="11"/>
    <x v="57"/>
    <x v="69"/>
    <x v="104"/>
    <x v="6"/>
    <x v="31"/>
    <x v="40"/>
    <x v="46"/>
    <x v="45"/>
    <x v="50"/>
    <x v="60"/>
    <x v="56"/>
  </r>
  <r>
    <x v="3"/>
    <x v="1"/>
    <x v="3"/>
    <x v="0"/>
    <x v="34"/>
    <x v="3"/>
    <x v="0"/>
    <x v="1"/>
    <x v="2"/>
    <x v="132"/>
    <x v="2"/>
    <x v="37"/>
    <x v="2"/>
    <x v="5"/>
    <x v="279"/>
    <x v="2"/>
    <x v="288"/>
  </r>
  <r>
    <x v="3"/>
    <x v="1"/>
    <x v="3"/>
    <x v="3"/>
    <x v="1"/>
    <x v="11"/>
    <x v="57"/>
    <x v="69"/>
    <x v="104"/>
    <x v="118"/>
    <x v="113"/>
    <x v="2"/>
    <x v="2"/>
    <x v="5"/>
    <x v="3"/>
    <x v="2"/>
    <x v="145"/>
  </r>
  <r>
    <x v="3"/>
    <x v="1"/>
    <x v="3"/>
    <x v="3"/>
    <x v="2"/>
    <x v="3"/>
    <x v="0"/>
    <x v="1"/>
    <x v="2"/>
    <x v="132"/>
    <x v="2"/>
    <x v="1"/>
    <x v="2"/>
    <x v="5"/>
    <x v="280"/>
    <x v="2"/>
    <x v="1"/>
  </r>
  <r>
    <x v="3"/>
    <x v="1"/>
    <x v="3"/>
    <x v="3"/>
    <x v="3"/>
    <x v="11"/>
    <x v="57"/>
    <x v="69"/>
    <x v="104"/>
    <x v="118"/>
    <x v="113"/>
    <x v="1"/>
    <x v="2"/>
    <x v="5"/>
    <x v="3"/>
    <x v="2"/>
    <x v="1"/>
  </r>
  <r>
    <x v="3"/>
    <x v="1"/>
    <x v="3"/>
    <x v="0"/>
    <x v="35"/>
    <x v="3"/>
    <x v="0"/>
    <x v="1"/>
    <x v="2"/>
    <x v="211"/>
    <x v="2"/>
    <x v="37"/>
    <x v="2"/>
    <x v="5"/>
    <x v="281"/>
    <x v="2"/>
    <x v="199"/>
  </r>
  <r>
    <x v="3"/>
    <x v="1"/>
    <x v="3"/>
    <x v="4"/>
    <x v="4"/>
    <x v="11"/>
    <x v="57"/>
    <x v="69"/>
    <x v="2"/>
    <x v="0"/>
    <x v="2"/>
    <x v="1"/>
    <x v="2"/>
    <x v="5"/>
    <x v="282"/>
    <x v="2"/>
    <x v="1"/>
  </r>
  <r>
    <x v="3"/>
    <x v="1"/>
    <x v="3"/>
    <x v="4"/>
    <x v="5"/>
    <x v="3"/>
    <x v="0"/>
    <x v="1"/>
    <x v="2"/>
    <x v="0"/>
    <x v="2"/>
    <x v="1"/>
    <x v="2"/>
    <x v="5"/>
    <x v="3"/>
    <x v="2"/>
    <x v="1"/>
  </r>
  <r>
    <x v="3"/>
    <x v="1"/>
    <x v="3"/>
    <x v="4"/>
    <x v="6"/>
    <x v="11"/>
    <x v="57"/>
    <x v="69"/>
    <x v="104"/>
    <x v="118"/>
    <x v="113"/>
    <x v="2"/>
    <x v="2"/>
    <x v="5"/>
    <x v="3"/>
    <x v="2"/>
    <x v="1"/>
  </r>
  <r>
    <x v="3"/>
    <x v="1"/>
    <x v="3"/>
    <x v="4"/>
    <x v="7"/>
    <x v="11"/>
    <x v="57"/>
    <x v="69"/>
    <x v="104"/>
    <x v="1"/>
    <x v="2"/>
    <x v="1"/>
    <x v="2"/>
    <x v="5"/>
    <x v="3"/>
    <x v="2"/>
    <x v="54"/>
  </r>
  <r>
    <x v="3"/>
    <x v="1"/>
    <x v="4"/>
    <x v="0"/>
    <x v="15"/>
    <x v="74"/>
    <x v="1"/>
    <x v="3"/>
    <x v="192"/>
    <x v="1"/>
    <x v="210"/>
    <x v="235"/>
    <x v="258"/>
    <x v="272"/>
    <x v="1"/>
    <x v="297"/>
    <x v="2"/>
  </r>
  <r>
    <x v="3"/>
    <x v="1"/>
    <x v="4"/>
    <x v="1"/>
    <x v="1"/>
    <x v="1"/>
    <x v="1"/>
    <x v="3"/>
    <x v="3"/>
    <x v="1"/>
    <x v="3"/>
    <x v="2"/>
    <x v="3"/>
    <x v="273"/>
    <x v="1"/>
    <x v="4"/>
    <x v="2"/>
  </r>
  <r>
    <x v="3"/>
    <x v="1"/>
    <x v="4"/>
    <x v="1"/>
    <x v="2"/>
    <x v="74"/>
    <x v="1"/>
    <x v="3"/>
    <x v="3"/>
    <x v="1"/>
    <x v="210"/>
    <x v="2"/>
    <x v="3"/>
    <x v="274"/>
    <x v="1"/>
    <x v="4"/>
    <x v="2"/>
  </r>
  <r>
    <x v="3"/>
    <x v="1"/>
    <x v="4"/>
    <x v="1"/>
    <x v="3"/>
    <x v="1"/>
    <x v="1"/>
    <x v="3"/>
    <x v="3"/>
    <x v="1"/>
    <x v="3"/>
    <x v="235"/>
    <x v="3"/>
    <x v="2"/>
    <x v="1"/>
    <x v="4"/>
    <x v="2"/>
  </r>
  <r>
    <x v="3"/>
    <x v="1"/>
    <x v="4"/>
    <x v="1"/>
    <x v="4"/>
    <x v="1"/>
    <x v="1"/>
    <x v="3"/>
    <x v="192"/>
    <x v="1"/>
    <x v="3"/>
    <x v="2"/>
    <x v="3"/>
    <x v="275"/>
    <x v="1"/>
    <x v="297"/>
    <x v="2"/>
  </r>
  <r>
    <x v="3"/>
    <x v="1"/>
    <x v="4"/>
    <x v="1"/>
    <x v="5"/>
    <x v="1"/>
    <x v="1"/>
    <x v="3"/>
    <x v="3"/>
    <x v="1"/>
    <x v="3"/>
    <x v="2"/>
    <x v="3"/>
    <x v="2"/>
    <x v="1"/>
    <x v="4"/>
    <x v="2"/>
  </r>
  <r>
    <x v="3"/>
    <x v="1"/>
    <x v="4"/>
    <x v="1"/>
    <x v="6"/>
    <x v="1"/>
    <x v="1"/>
    <x v="3"/>
    <x v="3"/>
    <x v="1"/>
    <x v="3"/>
    <x v="2"/>
    <x v="258"/>
    <x v="2"/>
    <x v="1"/>
    <x v="4"/>
    <x v="2"/>
  </r>
  <r>
    <x v="3"/>
    <x v="1"/>
    <x v="4"/>
    <x v="1"/>
    <x v="7"/>
    <x v="1"/>
    <x v="1"/>
    <x v="3"/>
    <x v="3"/>
    <x v="1"/>
    <x v="3"/>
    <x v="2"/>
    <x v="3"/>
    <x v="2"/>
    <x v="1"/>
    <x v="4"/>
    <x v="2"/>
  </r>
  <r>
    <x v="3"/>
    <x v="1"/>
    <x v="4"/>
    <x v="2"/>
    <x v="8"/>
    <x v="74"/>
    <x v="1"/>
    <x v="3"/>
    <x v="3"/>
    <x v="1"/>
    <x v="211"/>
    <x v="235"/>
    <x v="258"/>
    <x v="276"/>
    <x v="1"/>
    <x v="297"/>
    <x v="2"/>
  </r>
  <r>
    <x v="3"/>
    <x v="1"/>
    <x v="4"/>
    <x v="2"/>
    <x v="9"/>
    <x v="1"/>
    <x v="1"/>
    <x v="3"/>
    <x v="3"/>
    <x v="1"/>
    <x v="212"/>
    <x v="2"/>
    <x v="3"/>
    <x v="2"/>
    <x v="1"/>
    <x v="4"/>
    <x v="2"/>
  </r>
  <r>
    <x v="3"/>
    <x v="1"/>
    <x v="4"/>
    <x v="2"/>
    <x v="10"/>
    <x v="1"/>
    <x v="1"/>
    <x v="3"/>
    <x v="192"/>
    <x v="1"/>
    <x v="3"/>
    <x v="2"/>
    <x v="3"/>
    <x v="274"/>
    <x v="1"/>
    <x v="4"/>
    <x v="2"/>
  </r>
  <r>
    <x v="3"/>
    <x v="1"/>
    <x v="4"/>
    <x v="2"/>
    <x v="11"/>
    <x v="1"/>
    <x v="1"/>
    <x v="3"/>
    <x v="3"/>
    <x v="1"/>
    <x v="3"/>
    <x v="2"/>
    <x v="3"/>
    <x v="2"/>
    <x v="1"/>
    <x v="4"/>
    <x v="2"/>
  </r>
  <r>
    <x v="3"/>
    <x v="1"/>
    <x v="4"/>
    <x v="2"/>
    <x v="12"/>
    <x v="1"/>
    <x v="1"/>
    <x v="3"/>
    <x v="3"/>
    <x v="1"/>
    <x v="3"/>
    <x v="2"/>
    <x v="3"/>
    <x v="2"/>
    <x v="1"/>
    <x v="4"/>
    <x v="2"/>
  </r>
  <r>
    <x v="3"/>
    <x v="1"/>
    <x v="5"/>
    <x v="0"/>
    <x v="15"/>
    <x v="75"/>
    <x v="1"/>
    <x v="3"/>
    <x v="192"/>
    <x v="1"/>
    <x v="213"/>
    <x v="236"/>
    <x v="259"/>
    <x v="277"/>
    <x v="1"/>
    <x v="298"/>
    <x v="2"/>
  </r>
  <r>
    <x v="3"/>
    <x v="1"/>
    <x v="5"/>
    <x v="2"/>
    <x v="8"/>
    <x v="75"/>
    <x v="1"/>
    <x v="3"/>
    <x v="3"/>
    <x v="1"/>
    <x v="214"/>
    <x v="236"/>
    <x v="259"/>
    <x v="278"/>
    <x v="1"/>
    <x v="298"/>
    <x v="2"/>
  </r>
  <r>
    <x v="3"/>
    <x v="1"/>
    <x v="5"/>
    <x v="2"/>
    <x v="9"/>
    <x v="1"/>
    <x v="1"/>
    <x v="3"/>
    <x v="3"/>
    <x v="1"/>
    <x v="215"/>
    <x v="2"/>
    <x v="3"/>
    <x v="2"/>
    <x v="1"/>
    <x v="4"/>
    <x v="2"/>
  </r>
  <r>
    <x v="3"/>
    <x v="1"/>
    <x v="5"/>
    <x v="2"/>
    <x v="10"/>
    <x v="1"/>
    <x v="1"/>
    <x v="3"/>
    <x v="192"/>
    <x v="1"/>
    <x v="3"/>
    <x v="2"/>
    <x v="3"/>
    <x v="274"/>
    <x v="1"/>
    <x v="4"/>
    <x v="2"/>
  </r>
  <r>
    <x v="3"/>
    <x v="1"/>
    <x v="5"/>
    <x v="2"/>
    <x v="11"/>
    <x v="1"/>
    <x v="1"/>
    <x v="3"/>
    <x v="3"/>
    <x v="1"/>
    <x v="3"/>
    <x v="2"/>
    <x v="3"/>
    <x v="2"/>
    <x v="1"/>
    <x v="4"/>
    <x v="2"/>
  </r>
  <r>
    <x v="3"/>
    <x v="1"/>
    <x v="5"/>
    <x v="2"/>
    <x v="12"/>
    <x v="1"/>
    <x v="1"/>
    <x v="3"/>
    <x v="3"/>
    <x v="1"/>
    <x v="3"/>
    <x v="2"/>
    <x v="3"/>
    <x v="2"/>
    <x v="1"/>
    <x v="4"/>
    <x v="2"/>
  </r>
  <r>
    <x v="3"/>
    <x v="1"/>
    <x v="6"/>
    <x v="0"/>
    <x v="15"/>
    <x v="75"/>
    <x v="102"/>
    <x v="121"/>
    <x v="193"/>
    <x v="212"/>
    <x v="216"/>
    <x v="237"/>
    <x v="260"/>
    <x v="279"/>
    <x v="283"/>
    <x v="299"/>
    <x v="289"/>
  </r>
  <r>
    <x v="3"/>
    <x v="1"/>
    <x v="7"/>
    <x v="0"/>
    <x v="15"/>
    <x v="76"/>
    <x v="1"/>
    <x v="3"/>
    <x v="194"/>
    <x v="1"/>
    <x v="217"/>
    <x v="238"/>
    <x v="261"/>
    <x v="280"/>
    <x v="1"/>
    <x v="300"/>
    <x v="2"/>
  </r>
  <r>
    <x v="3"/>
    <x v="1"/>
    <x v="7"/>
    <x v="1"/>
    <x v="1"/>
    <x v="1"/>
    <x v="1"/>
    <x v="3"/>
    <x v="3"/>
    <x v="1"/>
    <x v="3"/>
    <x v="2"/>
    <x v="3"/>
    <x v="281"/>
    <x v="1"/>
    <x v="4"/>
    <x v="2"/>
  </r>
  <r>
    <x v="3"/>
    <x v="1"/>
    <x v="7"/>
    <x v="1"/>
    <x v="2"/>
    <x v="76"/>
    <x v="1"/>
    <x v="3"/>
    <x v="3"/>
    <x v="1"/>
    <x v="217"/>
    <x v="2"/>
    <x v="3"/>
    <x v="282"/>
    <x v="1"/>
    <x v="4"/>
    <x v="2"/>
  </r>
  <r>
    <x v="3"/>
    <x v="1"/>
    <x v="7"/>
    <x v="1"/>
    <x v="3"/>
    <x v="1"/>
    <x v="1"/>
    <x v="3"/>
    <x v="3"/>
    <x v="1"/>
    <x v="3"/>
    <x v="238"/>
    <x v="3"/>
    <x v="2"/>
    <x v="1"/>
    <x v="4"/>
    <x v="2"/>
  </r>
  <r>
    <x v="3"/>
    <x v="1"/>
    <x v="7"/>
    <x v="1"/>
    <x v="4"/>
    <x v="1"/>
    <x v="1"/>
    <x v="3"/>
    <x v="194"/>
    <x v="1"/>
    <x v="3"/>
    <x v="2"/>
    <x v="3"/>
    <x v="283"/>
    <x v="1"/>
    <x v="300"/>
    <x v="2"/>
  </r>
  <r>
    <x v="3"/>
    <x v="1"/>
    <x v="7"/>
    <x v="1"/>
    <x v="5"/>
    <x v="1"/>
    <x v="1"/>
    <x v="3"/>
    <x v="3"/>
    <x v="1"/>
    <x v="3"/>
    <x v="2"/>
    <x v="3"/>
    <x v="2"/>
    <x v="1"/>
    <x v="4"/>
    <x v="2"/>
  </r>
  <r>
    <x v="3"/>
    <x v="1"/>
    <x v="7"/>
    <x v="1"/>
    <x v="6"/>
    <x v="1"/>
    <x v="1"/>
    <x v="3"/>
    <x v="3"/>
    <x v="1"/>
    <x v="3"/>
    <x v="2"/>
    <x v="261"/>
    <x v="2"/>
    <x v="1"/>
    <x v="4"/>
    <x v="2"/>
  </r>
  <r>
    <x v="3"/>
    <x v="1"/>
    <x v="7"/>
    <x v="1"/>
    <x v="7"/>
    <x v="1"/>
    <x v="1"/>
    <x v="3"/>
    <x v="3"/>
    <x v="1"/>
    <x v="3"/>
    <x v="2"/>
    <x v="3"/>
    <x v="2"/>
    <x v="1"/>
    <x v="4"/>
    <x v="2"/>
  </r>
  <r>
    <x v="3"/>
    <x v="1"/>
    <x v="7"/>
    <x v="2"/>
    <x v="8"/>
    <x v="76"/>
    <x v="1"/>
    <x v="3"/>
    <x v="3"/>
    <x v="1"/>
    <x v="218"/>
    <x v="238"/>
    <x v="261"/>
    <x v="284"/>
    <x v="1"/>
    <x v="300"/>
    <x v="2"/>
  </r>
  <r>
    <x v="3"/>
    <x v="1"/>
    <x v="7"/>
    <x v="2"/>
    <x v="9"/>
    <x v="1"/>
    <x v="1"/>
    <x v="3"/>
    <x v="3"/>
    <x v="1"/>
    <x v="219"/>
    <x v="2"/>
    <x v="3"/>
    <x v="2"/>
    <x v="1"/>
    <x v="4"/>
    <x v="2"/>
  </r>
  <r>
    <x v="3"/>
    <x v="1"/>
    <x v="7"/>
    <x v="2"/>
    <x v="10"/>
    <x v="1"/>
    <x v="1"/>
    <x v="3"/>
    <x v="194"/>
    <x v="1"/>
    <x v="3"/>
    <x v="2"/>
    <x v="3"/>
    <x v="282"/>
    <x v="1"/>
    <x v="4"/>
    <x v="2"/>
  </r>
  <r>
    <x v="3"/>
    <x v="1"/>
    <x v="7"/>
    <x v="2"/>
    <x v="11"/>
    <x v="1"/>
    <x v="1"/>
    <x v="3"/>
    <x v="3"/>
    <x v="1"/>
    <x v="3"/>
    <x v="2"/>
    <x v="3"/>
    <x v="2"/>
    <x v="1"/>
    <x v="4"/>
    <x v="2"/>
  </r>
  <r>
    <x v="3"/>
    <x v="1"/>
    <x v="7"/>
    <x v="2"/>
    <x v="12"/>
    <x v="1"/>
    <x v="1"/>
    <x v="3"/>
    <x v="3"/>
    <x v="1"/>
    <x v="3"/>
    <x v="2"/>
    <x v="3"/>
    <x v="2"/>
    <x v="1"/>
    <x v="4"/>
    <x v="2"/>
  </r>
  <r>
    <x v="3"/>
    <x v="1"/>
    <x v="4"/>
    <x v="0"/>
    <x v="36"/>
    <x v="1"/>
    <x v="1"/>
    <x v="3"/>
    <x v="3"/>
    <x v="1"/>
    <x v="220"/>
    <x v="239"/>
    <x v="262"/>
    <x v="285"/>
    <x v="1"/>
    <x v="4"/>
    <x v="2"/>
  </r>
  <r>
    <x v="3"/>
    <x v="1"/>
    <x v="4"/>
    <x v="0"/>
    <x v="37"/>
    <x v="77"/>
    <x v="1"/>
    <x v="3"/>
    <x v="3"/>
    <x v="1"/>
    <x v="221"/>
    <x v="2"/>
    <x v="3"/>
    <x v="2"/>
    <x v="1"/>
    <x v="301"/>
    <x v="2"/>
  </r>
  <r>
    <x v="3"/>
    <x v="1"/>
    <x v="4"/>
    <x v="0"/>
    <x v="38"/>
    <x v="1"/>
    <x v="1"/>
    <x v="3"/>
    <x v="3"/>
    <x v="1"/>
    <x v="3"/>
    <x v="2"/>
    <x v="3"/>
    <x v="2"/>
    <x v="1"/>
    <x v="4"/>
    <x v="2"/>
  </r>
  <r>
    <x v="3"/>
    <x v="1"/>
    <x v="4"/>
    <x v="5"/>
    <x v="8"/>
    <x v="1"/>
    <x v="1"/>
    <x v="3"/>
    <x v="3"/>
    <x v="1"/>
    <x v="3"/>
    <x v="239"/>
    <x v="262"/>
    <x v="285"/>
    <x v="1"/>
    <x v="4"/>
    <x v="2"/>
  </r>
  <r>
    <x v="3"/>
    <x v="1"/>
    <x v="4"/>
    <x v="5"/>
    <x v="9"/>
    <x v="1"/>
    <x v="1"/>
    <x v="3"/>
    <x v="3"/>
    <x v="1"/>
    <x v="220"/>
    <x v="2"/>
    <x v="3"/>
    <x v="2"/>
    <x v="1"/>
    <x v="4"/>
    <x v="2"/>
  </r>
  <r>
    <x v="3"/>
    <x v="1"/>
    <x v="4"/>
    <x v="5"/>
    <x v="10"/>
    <x v="1"/>
    <x v="1"/>
    <x v="3"/>
    <x v="3"/>
    <x v="1"/>
    <x v="3"/>
    <x v="2"/>
    <x v="3"/>
    <x v="2"/>
    <x v="1"/>
    <x v="4"/>
    <x v="2"/>
  </r>
  <r>
    <x v="3"/>
    <x v="1"/>
    <x v="4"/>
    <x v="5"/>
    <x v="11"/>
    <x v="1"/>
    <x v="1"/>
    <x v="3"/>
    <x v="3"/>
    <x v="1"/>
    <x v="3"/>
    <x v="2"/>
    <x v="3"/>
    <x v="2"/>
    <x v="1"/>
    <x v="4"/>
    <x v="2"/>
  </r>
  <r>
    <x v="3"/>
    <x v="1"/>
    <x v="4"/>
    <x v="5"/>
    <x v="12"/>
    <x v="1"/>
    <x v="1"/>
    <x v="3"/>
    <x v="3"/>
    <x v="1"/>
    <x v="3"/>
    <x v="2"/>
    <x v="3"/>
    <x v="2"/>
    <x v="1"/>
    <x v="4"/>
    <x v="2"/>
  </r>
  <r>
    <x v="3"/>
    <x v="1"/>
    <x v="4"/>
    <x v="6"/>
    <x v="8"/>
    <x v="77"/>
    <x v="1"/>
    <x v="3"/>
    <x v="3"/>
    <x v="1"/>
    <x v="221"/>
    <x v="2"/>
    <x v="3"/>
    <x v="2"/>
    <x v="1"/>
    <x v="301"/>
    <x v="2"/>
  </r>
  <r>
    <x v="3"/>
    <x v="1"/>
    <x v="4"/>
    <x v="6"/>
    <x v="9"/>
    <x v="1"/>
    <x v="1"/>
    <x v="3"/>
    <x v="3"/>
    <x v="1"/>
    <x v="3"/>
    <x v="2"/>
    <x v="3"/>
    <x v="2"/>
    <x v="1"/>
    <x v="4"/>
    <x v="2"/>
  </r>
  <r>
    <x v="3"/>
    <x v="1"/>
    <x v="4"/>
    <x v="6"/>
    <x v="10"/>
    <x v="1"/>
    <x v="1"/>
    <x v="3"/>
    <x v="3"/>
    <x v="1"/>
    <x v="3"/>
    <x v="2"/>
    <x v="3"/>
    <x v="2"/>
    <x v="1"/>
    <x v="4"/>
    <x v="2"/>
  </r>
  <r>
    <x v="3"/>
    <x v="1"/>
    <x v="4"/>
    <x v="6"/>
    <x v="11"/>
    <x v="1"/>
    <x v="1"/>
    <x v="3"/>
    <x v="3"/>
    <x v="1"/>
    <x v="3"/>
    <x v="2"/>
    <x v="3"/>
    <x v="2"/>
    <x v="1"/>
    <x v="4"/>
    <x v="2"/>
  </r>
  <r>
    <x v="3"/>
    <x v="1"/>
    <x v="4"/>
    <x v="6"/>
    <x v="12"/>
    <x v="1"/>
    <x v="1"/>
    <x v="3"/>
    <x v="3"/>
    <x v="1"/>
    <x v="3"/>
    <x v="2"/>
    <x v="3"/>
    <x v="2"/>
    <x v="1"/>
    <x v="4"/>
    <x v="2"/>
  </r>
  <r>
    <x v="3"/>
    <x v="1"/>
    <x v="4"/>
    <x v="0"/>
    <x v="39"/>
    <x v="1"/>
    <x v="1"/>
    <x v="3"/>
    <x v="3"/>
    <x v="1"/>
    <x v="215"/>
    <x v="236"/>
    <x v="259"/>
    <x v="286"/>
    <x v="1"/>
    <x v="4"/>
    <x v="2"/>
  </r>
  <r>
    <x v="3"/>
    <x v="1"/>
    <x v="4"/>
    <x v="0"/>
    <x v="40"/>
    <x v="75"/>
    <x v="1"/>
    <x v="3"/>
    <x v="3"/>
    <x v="1"/>
    <x v="214"/>
    <x v="2"/>
    <x v="3"/>
    <x v="2"/>
    <x v="1"/>
    <x v="298"/>
    <x v="2"/>
  </r>
  <r>
    <x v="3"/>
    <x v="1"/>
    <x v="4"/>
    <x v="0"/>
    <x v="41"/>
    <x v="1"/>
    <x v="1"/>
    <x v="3"/>
    <x v="192"/>
    <x v="1"/>
    <x v="3"/>
    <x v="2"/>
    <x v="3"/>
    <x v="287"/>
    <x v="1"/>
    <x v="4"/>
    <x v="2"/>
  </r>
  <r>
    <x v="3"/>
    <x v="1"/>
    <x v="8"/>
    <x v="0"/>
    <x v="39"/>
    <x v="1"/>
    <x v="1"/>
    <x v="3"/>
    <x v="3"/>
    <x v="1"/>
    <x v="215"/>
    <x v="240"/>
    <x v="263"/>
    <x v="288"/>
    <x v="284"/>
    <x v="302"/>
    <x v="290"/>
  </r>
  <r>
    <x v="3"/>
    <x v="1"/>
    <x v="8"/>
    <x v="0"/>
    <x v="40"/>
    <x v="75"/>
    <x v="102"/>
    <x v="121"/>
    <x v="195"/>
    <x v="213"/>
    <x v="222"/>
    <x v="241"/>
    <x v="264"/>
    <x v="289"/>
    <x v="285"/>
    <x v="303"/>
    <x v="291"/>
  </r>
  <r>
    <x v="3"/>
    <x v="1"/>
    <x v="8"/>
    <x v="0"/>
    <x v="41"/>
    <x v="1"/>
    <x v="1"/>
    <x v="3"/>
    <x v="192"/>
    <x v="214"/>
    <x v="223"/>
    <x v="242"/>
    <x v="265"/>
    <x v="290"/>
    <x v="286"/>
    <x v="304"/>
    <x v="292"/>
  </r>
  <r>
    <x v="3"/>
    <x v="1"/>
    <x v="8"/>
    <x v="0"/>
    <x v="27"/>
    <x v="74"/>
    <x v="103"/>
    <x v="122"/>
    <x v="196"/>
    <x v="215"/>
    <x v="224"/>
    <x v="243"/>
    <x v="266"/>
    <x v="291"/>
    <x v="287"/>
    <x v="305"/>
    <x v="293"/>
  </r>
  <r>
    <x v="3"/>
    <x v="1"/>
    <x v="8"/>
    <x v="1"/>
    <x v="1"/>
    <x v="1"/>
    <x v="1"/>
    <x v="3"/>
    <x v="3"/>
    <x v="1"/>
    <x v="3"/>
    <x v="2"/>
    <x v="3"/>
    <x v="273"/>
    <x v="288"/>
    <x v="306"/>
    <x v="294"/>
  </r>
  <r>
    <x v="3"/>
    <x v="1"/>
    <x v="8"/>
    <x v="1"/>
    <x v="2"/>
    <x v="74"/>
    <x v="103"/>
    <x v="122"/>
    <x v="197"/>
    <x v="216"/>
    <x v="225"/>
    <x v="244"/>
    <x v="267"/>
    <x v="292"/>
    <x v="289"/>
    <x v="307"/>
    <x v="295"/>
  </r>
  <r>
    <x v="3"/>
    <x v="1"/>
    <x v="8"/>
    <x v="1"/>
    <x v="3"/>
    <x v="1"/>
    <x v="1"/>
    <x v="3"/>
    <x v="3"/>
    <x v="1"/>
    <x v="3"/>
    <x v="235"/>
    <x v="268"/>
    <x v="293"/>
    <x v="290"/>
    <x v="308"/>
    <x v="296"/>
  </r>
  <r>
    <x v="3"/>
    <x v="1"/>
    <x v="8"/>
    <x v="1"/>
    <x v="4"/>
    <x v="1"/>
    <x v="1"/>
    <x v="3"/>
    <x v="192"/>
    <x v="214"/>
    <x v="223"/>
    <x v="242"/>
    <x v="265"/>
    <x v="294"/>
    <x v="291"/>
    <x v="309"/>
    <x v="297"/>
  </r>
  <r>
    <x v="3"/>
    <x v="1"/>
    <x v="8"/>
    <x v="1"/>
    <x v="5"/>
    <x v="1"/>
    <x v="1"/>
    <x v="3"/>
    <x v="3"/>
    <x v="1"/>
    <x v="3"/>
    <x v="2"/>
    <x v="3"/>
    <x v="2"/>
    <x v="1"/>
    <x v="4"/>
    <x v="2"/>
  </r>
  <r>
    <x v="3"/>
    <x v="1"/>
    <x v="8"/>
    <x v="1"/>
    <x v="6"/>
    <x v="1"/>
    <x v="1"/>
    <x v="3"/>
    <x v="3"/>
    <x v="1"/>
    <x v="3"/>
    <x v="2"/>
    <x v="258"/>
    <x v="295"/>
    <x v="292"/>
    <x v="310"/>
    <x v="298"/>
  </r>
  <r>
    <x v="3"/>
    <x v="1"/>
    <x v="8"/>
    <x v="1"/>
    <x v="7"/>
    <x v="1"/>
    <x v="1"/>
    <x v="3"/>
    <x v="3"/>
    <x v="1"/>
    <x v="3"/>
    <x v="2"/>
    <x v="3"/>
    <x v="2"/>
    <x v="1"/>
    <x v="4"/>
    <x v="2"/>
  </r>
  <r>
    <x v="3"/>
    <x v="1"/>
    <x v="8"/>
    <x v="11"/>
    <x v="1"/>
    <x v="1"/>
    <x v="1"/>
    <x v="3"/>
    <x v="3"/>
    <x v="1"/>
    <x v="3"/>
    <x v="2"/>
    <x v="3"/>
    <x v="296"/>
    <x v="293"/>
    <x v="311"/>
    <x v="299"/>
  </r>
  <r>
    <x v="3"/>
    <x v="1"/>
    <x v="8"/>
    <x v="11"/>
    <x v="2"/>
    <x v="3"/>
    <x v="0"/>
    <x v="1"/>
    <x v="198"/>
    <x v="217"/>
    <x v="226"/>
    <x v="245"/>
    <x v="269"/>
    <x v="297"/>
    <x v="294"/>
    <x v="312"/>
    <x v="300"/>
  </r>
  <r>
    <x v="3"/>
    <x v="1"/>
    <x v="8"/>
    <x v="11"/>
    <x v="3"/>
    <x v="1"/>
    <x v="1"/>
    <x v="3"/>
    <x v="3"/>
    <x v="1"/>
    <x v="3"/>
    <x v="246"/>
    <x v="270"/>
    <x v="298"/>
    <x v="295"/>
    <x v="313"/>
    <x v="301"/>
  </r>
  <r>
    <x v="3"/>
    <x v="1"/>
    <x v="8"/>
    <x v="11"/>
    <x v="4"/>
    <x v="1"/>
    <x v="1"/>
    <x v="3"/>
    <x v="199"/>
    <x v="218"/>
    <x v="227"/>
    <x v="247"/>
    <x v="271"/>
    <x v="299"/>
    <x v="296"/>
    <x v="314"/>
    <x v="302"/>
  </r>
  <r>
    <x v="3"/>
    <x v="1"/>
    <x v="8"/>
    <x v="11"/>
    <x v="5"/>
    <x v="1"/>
    <x v="1"/>
    <x v="3"/>
    <x v="3"/>
    <x v="1"/>
    <x v="3"/>
    <x v="2"/>
    <x v="3"/>
    <x v="2"/>
    <x v="1"/>
    <x v="4"/>
    <x v="2"/>
  </r>
  <r>
    <x v="3"/>
    <x v="1"/>
    <x v="8"/>
    <x v="11"/>
    <x v="6"/>
    <x v="1"/>
    <x v="1"/>
    <x v="3"/>
    <x v="3"/>
    <x v="1"/>
    <x v="3"/>
    <x v="2"/>
    <x v="272"/>
    <x v="300"/>
    <x v="297"/>
    <x v="315"/>
    <x v="303"/>
  </r>
  <r>
    <x v="3"/>
    <x v="1"/>
    <x v="8"/>
    <x v="11"/>
    <x v="7"/>
    <x v="1"/>
    <x v="1"/>
    <x v="3"/>
    <x v="3"/>
    <x v="1"/>
    <x v="3"/>
    <x v="2"/>
    <x v="3"/>
    <x v="2"/>
    <x v="1"/>
    <x v="4"/>
    <x v="2"/>
  </r>
  <r>
    <x v="3"/>
    <x v="1"/>
    <x v="8"/>
    <x v="2"/>
    <x v="8"/>
    <x v="74"/>
    <x v="103"/>
    <x v="122"/>
    <x v="197"/>
    <x v="216"/>
    <x v="228"/>
    <x v="248"/>
    <x v="273"/>
    <x v="301"/>
    <x v="298"/>
    <x v="316"/>
    <x v="304"/>
  </r>
  <r>
    <x v="3"/>
    <x v="1"/>
    <x v="8"/>
    <x v="2"/>
    <x v="9"/>
    <x v="1"/>
    <x v="1"/>
    <x v="3"/>
    <x v="3"/>
    <x v="1"/>
    <x v="212"/>
    <x v="249"/>
    <x v="274"/>
    <x v="302"/>
    <x v="299"/>
    <x v="317"/>
    <x v="305"/>
  </r>
  <r>
    <x v="3"/>
    <x v="1"/>
    <x v="8"/>
    <x v="2"/>
    <x v="10"/>
    <x v="1"/>
    <x v="1"/>
    <x v="3"/>
    <x v="192"/>
    <x v="214"/>
    <x v="223"/>
    <x v="242"/>
    <x v="265"/>
    <x v="303"/>
    <x v="300"/>
    <x v="318"/>
    <x v="306"/>
  </r>
  <r>
    <x v="3"/>
    <x v="1"/>
    <x v="8"/>
    <x v="2"/>
    <x v="11"/>
    <x v="1"/>
    <x v="1"/>
    <x v="3"/>
    <x v="3"/>
    <x v="1"/>
    <x v="3"/>
    <x v="2"/>
    <x v="3"/>
    <x v="2"/>
    <x v="1"/>
    <x v="4"/>
    <x v="2"/>
  </r>
  <r>
    <x v="3"/>
    <x v="1"/>
    <x v="8"/>
    <x v="2"/>
    <x v="12"/>
    <x v="1"/>
    <x v="1"/>
    <x v="3"/>
    <x v="3"/>
    <x v="1"/>
    <x v="3"/>
    <x v="2"/>
    <x v="3"/>
    <x v="2"/>
    <x v="1"/>
    <x v="4"/>
    <x v="2"/>
  </r>
  <r>
    <x v="3"/>
    <x v="1"/>
    <x v="8"/>
    <x v="11"/>
    <x v="8"/>
    <x v="3"/>
    <x v="0"/>
    <x v="1"/>
    <x v="198"/>
    <x v="217"/>
    <x v="229"/>
    <x v="250"/>
    <x v="275"/>
    <x v="304"/>
    <x v="301"/>
    <x v="319"/>
    <x v="307"/>
  </r>
  <r>
    <x v="3"/>
    <x v="1"/>
    <x v="8"/>
    <x v="11"/>
    <x v="9"/>
    <x v="1"/>
    <x v="1"/>
    <x v="3"/>
    <x v="3"/>
    <x v="1"/>
    <x v="230"/>
    <x v="251"/>
    <x v="276"/>
    <x v="305"/>
    <x v="302"/>
    <x v="320"/>
    <x v="308"/>
  </r>
  <r>
    <x v="3"/>
    <x v="1"/>
    <x v="8"/>
    <x v="11"/>
    <x v="10"/>
    <x v="1"/>
    <x v="1"/>
    <x v="3"/>
    <x v="199"/>
    <x v="218"/>
    <x v="227"/>
    <x v="247"/>
    <x v="271"/>
    <x v="306"/>
    <x v="303"/>
    <x v="321"/>
    <x v="309"/>
  </r>
  <r>
    <x v="3"/>
    <x v="1"/>
    <x v="8"/>
    <x v="11"/>
    <x v="11"/>
    <x v="1"/>
    <x v="1"/>
    <x v="3"/>
    <x v="3"/>
    <x v="1"/>
    <x v="3"/>
    <x v="2"/>
    <x v="3"/>
    <x v="2"/>
    <x v="1"/>
    <x v="4"/>
    <x v="2"/>
  </r>
  <r>
    <x v="3"/>
    <x v="1"/>
    <x v="8"/>
    <x v="11"/>
    <x v="12"/>
    <x v="1"/>
    <x v="1"/>
    <x v="3"/>
    <x v="3"/>
    <x v="1"/>
    <x v="3"/>
    <x v="2"/>
    <x v="3"/>
    <x v="2"/>
    <x v="1"/>
    <x v="4"/>
    <x v="2"/>
  </r>
  <r>
    <x v="3"/>
    <x v="1"/>
    <x v="9"/>
    <x v="0"/>
    <x v="27"/>
    <x v="76"/>
    <x v="104"/>
    <x v="123"/>
    <x v="200"/>
    <x v="219"/>
    <x v="231"/>
    <x v="252"/>
    <x v="277"/>
    <x v="307"/>
    <x v="304"/>
    <x v="322"/>
    <x v="310"/>
  </r>
  <r>
    <x v="3"/>
    <x v="1"/>
    <x v="9"/>
    <x v="1"/>
    <x v="1"/>
    <x v="1"/>
    <x v="1"/>
    <x v="3"/>
    <x v="3"/>
    <x v="1"/>
    <x v="3"/>
    <x v="2"/>
    <x v="3"/>
    <x v="281"/>
    <x v="305"/>
    <x v="323"/>
    <x v="311"/>
  </r>
  <r>
    <x v="3"/>
    <x v="1"/>
    <x v="9"/>
    <x v="1"/>
    <x v="2"/>
    <x v="76"/>
    <x v="104"/>
    <x v="123"/>
    <x v="201"/>
    <x v="220"/>
    <x v="232"/>
    <x v="253"/>
    <x v="278"/>
    <x v="308"/>
    <x v="306"/>
    <x v="324"/>
    <x v="312"/>
  </r>
  <r>
    <x v="3"/>
    <x v="1"/>
    <x v="9"/>
    <x v="1"/>
    <x v="3"/>
    <x v="1"/>
    <x v="1"/>
    <x v="3"/>
    <x v="3"/>
    <x v="1"/>
    <x v="3"/>
    <x v="238"/>
    <x v="279"/>
    <x v="309"/>
    <x v="307"/>
    <x v="325"/>
    <x v="313"/>
  </r>
  <r>
    <x v="3"/>
    <x v="1"/>
    <x v="9"/>
    <x v="1"/>
    <x v="4"/>
    <x v="1"/>
    <x v="1"/>
    <x v="3"/>
    <x v="194"/>
    <x v="221"/>
    <x v="233"/>
    <x v="254"/>
    <x v="280"/>
    <x v="310"/>
    <x v="308"/>
    <x v="326"/>
    <x v="314"/>
  </r>
  <r>
    <x v="3"/>
    <x v="1"/>
    <x v="9"/>
    <x v="1"/>
    <x v="5"/>
    <x v="1"/>
    <x v="1"/>
    <x v="3"/>
    <x v="3"/>
    <x v="1"/>
    <x v="3"/>
    <x v="2"/>
    <x v="3"/>
    <x v="2"/>
    <x v="1"/>
    <x v="4"/>
    <x v="2"/>
  </r>
  <r>
    <x v="3"/>
    <x v="1"/>
    <x v="9"/>
    <x v="1"/>
    <x v="6"/>
    <x v="1"/>
    <x v="1"/>
    <x v="3"/>
    <x v="3"/>
    <x v="1"/>
    <x v="3"/>
    <x v="2"/>
    <x v="261"/>
    <x v="311"/>
    <x v="309"/>
    <x v="327"/>
    <x v="315"/>
  </r>
  <r>
    <x v="3"/>
    <x v="1"/>
    <x v="9"/>
    <x v="1"/>
    <x v="7"/>
    <x v="1"/>
    <x v="1"/>
    <x v="3"/>
    <x v="3"/>
    <x v="1"/>
    <x v="3"/>
    <x v="2"/>
    <x v="3"/>
    <x v="2"/>
    <x v="1"/>
    <x v="4"/>
    <x v="2"/>
  </r>
  <r>
    <x v="3"/>
    <x v="1"/>
    <x v="9"/>
    <x v="11"/>
    <x v="1"/>
    <x v="1"/>
    <x v="1"/>
    <x v="3"/>
    <x v="3"/>
    <x v="1"/>
    <x v="3"/>
    <x v="2"/>
    <x v="3"/>
    <x v="312"/>
    <x v="310"/>
    <x v="328"/>
    <x v="316"/>
  </r>
  <r>
    <x v="3"/>
    <x v="1"/>
    <x v="9"/>
    <x v="11"/>
    <x v="2"/>
    <x v="3"/>
    <x v="0"/>
    <x v="1"/>
    <x v="202"/>
    <x v="222"/>
    <x v="234"/>
    <x v="255"/>
    <x v="281"/>
    <x v="313"/>
    <x v="311"/>
    <x v="329"/>
    <x v="317"/>
  </r>
  <r>
    <x v="3"/>
    <x v="1"/>
    <x v="9"/>
    <x v="11"/>
    <x v="3"/>
    <x v="1"/>
    <x v="1"/>
    <x v="3"/>
    <x v="3"/>
    <x v="1"/>
    <x v="3"/>
    <x v="256"/>
    <x v="282"/>
    <x v="314"/>
    <x v="312"/>
    <x v="330"/>
    <x v="318"/>
  </r>
  <r>
    <x v="3"/>
    <x v="1"/>
    <x v="9"/>
    <x v="11"/>
    <x v="4"/>
    <x v="1"/>
    <x v="1"/>
    <x v="3"/>
    <x v="203"/>
    <x v="223"/>
    <x v="235"/>
    <x v="257"/>
    <x v="283"/>
    <x v="315"/>
    <x v="313"/>
    <x v="331"/>
    <x v="319"/>
  </r>
  <r>
    <x v="3"/>
    <x v="1"/>
    <x v="9"/>
    <x v="11"/>
    <x v="5"/>
    <x v="1"/>
    <x v="1"/>
    <x v="3"/>
    <x v="3"/>
    <x v="1"/>
    <x v="3"/>
    <x v="2"/>
    <x v="3"/>
    <x v="2"/>
    <x v="1"/>
    <x v="4"/>
    <x v="2"/>
  </r>
  <r>
    <x v="3"/>
    <x v="1"/>
    <x v="9"/>
    <x v="11"/>
    <x v="6"/>
    <x v="1"/>
    <x v="1"/>
    <x v="3"/>
    <x v="3"/>
    <x v="1"/>
    <x v="3"/>
    <x v="2"/>
    <x v="284"/>
    <x v="316"/>
    <x v="314"/>
    <x v="332"/>
    <x v="320"/>
  </r>
  <r>
    <x v="3"/>
    <x v="1"/>
    <x v="9"/>
    <x v="11"/>
    <x v="7"/>
    <x v="1"/>
    <x v="1"/>
    <x v="3"/>
    <x v="3"/>
    <x v="1"/>
    <x v="3"/>
    <x v="2"/>
    <x v="3"/>
    <x v="2"/>
    <x v="1"/>
    <x v="4"/>
    <x v="2"/>
  </r>
  <r>
    <x v="3"/>
    <x v="1"/>
    <x v="9"/>
    <x v="2"/>
    <x v="8"/>
    <x v="76"/>
    <x v="104"/>
    <x v="123"/>
    <x v="201"/>
    <x v="220"/>
    <x v="236"/>
    <x v="258"/>
    <x v="285"/>
    <x v="317"/>
    <x v="315"/>
    <x v="333"/>
    <x v="321"/>
  </r>
  <r>
    <x v="3"/>
    <x v="1"/>
    <x v="9"/>
    <x v="2"/>
    <x v="9"/>
    <x v="1"/>
    <x v="1"/>
    <x v="3"/>
    <x v="3"/>
    <x v="1"/>
    <x v="219"/>
    <x v="259"/>
    <x v="286"/>
    <x v="318"/>
    <x v="316"/>
    <x v="334"/>
    <x v="322"/>
  </r>
  <r>
    <x v="3"/>
    <x v="1"/>
    <x v="9"/>
    <x v="2"/>
    <x v="10"/>
    <x v="1"/>
    <x v="1"/>
    <x v="3"/>
    <x v="194"/>
    <x v="221"/>
    <x v="233"/>
    <x v="254"/>
    <x v="280"/>
    <x v="319"/>
    <x v="317"/>
    <x v="335"/>
    <x v="323"/>
  </r>
  <r>
    <x v="3"/>
    <x v="1"/>
    <x v="9"/>
    <x v="2"/>
    <x v="11"/>
    <x v="1"/>
    <x v="1"/>
    <x v="3"/>
    <x v="3"/>
    <x v="1"/>
    <x v="3"/>
    <x v="2"/>
    <x v="3"/>
    <x v="2"/>
    <x v="1"/>
    <x v="4"/>
    <x v="2"/>
  </r>
  <r>
    <x v="3"/>
    <x v="1"/>
    <x v="9"/>
    <x v="2"/>
    <x v="12"/>
    <x v="1"/>
    <x v="1"/>
    <x v="3"/>
    <x v="3"/>
    <x v="1"/>
    <x v="3"/>
    <x v="2"/>
    <x v="3"/>
    <x v="2"/>
    <x v="1"/>
    <x v="4"/>
    <x v="2"/>
  </r>
  <r>
    <x v="3"/>
    <x v="1"/>
    <x v="9"/>
    <x v="11"/>
    <x v="8"/>
    <x v="3"/>
    <x v="0"/>
    <x v="1"/>
    <x v="202"/>
    <x v="222"/>
    <x v="237"/>
    <x v="260"/>
    <x v="287"/>
    <x v="320"/>
    <x v="318"/>
    <x v="336"/>
    <x v="324"/>
  </r>
  <r>
    <x v="3"/>
    <x v="1"/>
    <x v="9"/>
    <x v="11"/>
    <x v="9"/>
    <x v="1"/>
    <x v="1"/>
    <x v="3"/>
    <x v="3"/>
    <x v="1"/>
    <x v="238"/>
    <x v="261"/>
    <x v="288"/>
    <x v="321"/>
    <x v="319"/>
    <x v="337"/>
    <x v="325"/>
  </r>
  <r>
    <x v="3"/>
    <x v="1"/>
    <x v="9"/>
    <x v="11"/>
    <x v="10"/>
    <x v="1"/>
    <x v="1"/>
    <x v="3"/>
    <x v="203"/>
    <x v="223"/>
    <x v="235"/>
    <x v="257"/>
    <x v="283"/>
    <x v="322"/>
    <x v="320"/>
    <x v="338"/>
    <x v="326"/>
  </r>
  <r>
    <x v="3"/>
    <x v="1"/>
    <x v="9"/>
    <x v="11"/>
    <x v="11"/>
    <x v="1"/>
    <x v="1"/>
    <x v="3"/>
    <x v="3"/>
    <x v="1"/>
    <x v="3"/>
    <x v="2"/>
    <x v="3"/>
    <x v="2"/>
    <x v="1"/>
    <x v="4"/>
    <x v="2"/>
  </r>
  <r>
    <x v="3"/>
    <x v="1"/>
    <x v="9"/>
    <x v="11"/>
    <x v="12"/>
    <x v="1"/>
    <x v="1"/>
    <x v="3"/>
    <x v="3"/>
    <x v="1"/>
    <x v="3"/>
    <x v="2"/>
    <x v="3"/>
    <x v="2"/>
    <x v="1"/>
    <x v="4"/>
    <x v="2"/>
  </r>
  <r>
    <x v="3"/>
    <x v="1"/>
    <x v="8"/>
    <x v="0"/>
    <x v="30"/>
    <x v="1"/>
    <x v="1"/>
    <x v="3"/>
    <x v="3"/>
    <x v="1"/>
    <x v="220"/>
    <x v="262"/>
    <x v="289"/>
    <x v="323"/>
    <x v="321"/>
    <x v="339"/>
    <x v="327"/>
  </r>
  <r>
    <x v="3"/>
    <x v="1"/>
    <x v="8"/>
    <x v="0"/>
    <x v="31"/>
    <x v="77"/>
    <x v="105"/>
    <x v="124"/>
    <x v="204"/>
    <x v="224"/>
    <x v="239"/>
    <x v="263"/>
    <x v="290"/>
    <x v="324"/>
    <x v="322"/>
    <x v="340"/>
    <x v="328"/>
  </r>
  <r>
    <x v="3"/>
    <x v="1"/>
    <x v="8"/>
    <x v="14"/>
    <x v="8"/>
    <x v="1"/>
    <x v="1"/>
    <x v="3"/>
    <x v="3"/>
    <x v="1"/>
    <x v="3"/>
    <x v="239"/>
    <x v="291"/>
    <x v="325"/>
    <x v="323"/>
    <x v="341"/>
    <x v="329"/>
  </r>
  <r>
    <x v="3"/>
    <x v="1"/>
    <x v="8"/>
    <x v="14"/>
    <x v="9"/>
    <x v="1"/>
    <x v="1"/>
    <x v="3"/>
    <x v="3"/>
    <x v="1"/>
    <x v="220"/>
    <x v="264"/>
    <x v="292"/>
    <x v="326"/>
    <x v="324"/>
    <x v="342"/>
    <x v="330"/>
  </r>
  <r>
    <x v="3"/>
    <x v="1"/>
    <x v="8"/>
    <x v="14"/>
    <x v="10"/>
    <x v="1"/>
    <x v="1"/>
    <x v="3"/>
    <x v="3"/>
    <x v="1"/>
    <x v="3"/>
    <x v="2"/>
    <x v="3"/>
    <x v="2"/>
    <x v="1"/>
    <x v="4"/>
    <x v="2"/>
  </r>
  <r>
    <x v="3"/>
    <x v="1"/>
    <x v="8"/>
    <x v="14"/>
    <x v="11"/>
    <x v="1"/>
    <x v="1"/>
    <x v="3"/>
    <x v="3"/>
    <x v="1"/>
    <x v="3"/>
    <x v="2"/>
    <x v="3"/>
    <x v="2"/>
    <x v="1"/>
    <x v="4"/>
    <x v="2"/>
  </r>
  <r>
    <x v="3"/>
    <x v="1"/>
    <x v="8"/>
    <x v="14"/>
    <x v="12"/>
    <x v="1"/>
    <x v="1"/>
    <x v="3"/>
    <x v="3"/>
    <x v="1"/>
    <x v="3"/>
    <x v="2"/>
    <x v="3"/>
    <x v="2"/>
    <x v="1"/>
    <x v="4"/>
    <x v="2"/>
  </r>
  <r>
    <x v="3"/>
    <x v="1"/>
    <x v="8"/>
    <x v="15"/>
    <x v="8"/>
    <x v="77"/>
    <x v="105"/>
    <x v="124"/>
    <x v="204"/>
    <x v="224"/>
    <x v="239"/>
    <x v="263"/>
    <x v="290"/>
    <x v="324"/>
    <x v="322"/>
    <x v="340"/>
    <x v="328"/>
  </r>
  <r>
    <x v="3"/>
    <x v="1"/>
    <x v="8"/>
    <x v="15"/>
    <x v="9"/>
    <x v="1"/>
    <x v="1"/>
    <x v="3"/>
    <x v="3"/>
    <x v="1"/>
    <x v="3"/>
    <x v="2"/>
    <x v="3"/>
    <x v="2"/>
    <x v="1"/>
    <x v="4"/>
    <x v="2"/>
  </r>
  <r>
    <x v="3"/>
    <x v="1"/>
    <x v="8"/>
    <x v="15"/>
    <x v="10"/>
    <x v="1"/>
    <x v="1"/>
    <x v="3"/>
    <x v="3"/>
    <x v="1"/>
    <x v="3"/>
    <x v="2"/>
    <x v="3"/>
    <x v="2"/>
    <x v="1"/>
    <x v="4"/>
    <x v="2"/>
  </r>
  <r>
    <x v="3"/>
    <x v="1"/>
    <x v="8"/>
    <x v="15"/>
    <x v="11"/>
    <x v="1"/>
    <x v="1"/>
    <x v="3"/>
    <x v="3"/>
    <x v="1"/>
    <x v="3"/>
    <x v="2"/>
    <x v="3"/>
    <x v="2"/>
    <x v="1"/>
    <x v="4"/>
    <x v="2"/>
  </r>
  <r>
    <x v="3"/>
    <x v="1"/>
    <x v="8"/>
    <x v="15"/>
    <x v="12"/>
    <x v="1"/>
    <x v="1"/>
    <x v="3"/>
    <x v="3"/>
    <x v="1"/>
    <x v="3"/>
    <x v="2"/>
    <x v="3"/>
    <x v="2"/>
    <x v="1"/>
    <x v="4"/>
    <x v="2"/>
  </r>
  <r>
    <x v="4"/>
    <x v="0"/>
    <x v="0"/>
    <x v="0"/>
    <x v="0"/>
    <x v="33"/>
    <x v="5"/>
    <x v="4"/>
    <x v="5"/>
    <x v="2"/>
    <x v="0"/>
    <x v="5"/>
    <x v="0"/>
    <x v="14"/>
    <x v="5"/>
    <x v="3"/>
    <x v="14"/>
  </r>
  <r>
    <x v="4"/>
    <x v="0"/>
    <x v="0"/>
    <x v="1"/>
    <x v="1"/>
    <x v="3"/>
    <x v="2"/>
    <x v="3"/>
    <x v="3"/>
    <x v="1"/>
    <x v="2"/>
    <x v="1"/>
    <x v="1"/>
    <x v="3"/>
    <x v="3"/>
    <x v="2"/>
    <x v="0"/>
  </r>
  <r>
    <x v="4"/>
    <x v="0"/>
    <x v="0"/>
    <x v="1"/>
    <x v="2"/>
    <x v="1"/>
    <x v="1"/>
    <x v="1"/>
    <x v="2"/>
    <x v="0"/>
    <x v="1"/>
    <x v="1"/>
    <x v="3"/>
    <x v="1"/>
    <x v="1"/>
    <x v="1"/>
    <x v="1"/>
  </r>
  <r>
    <x v="4"/>
    <x v="0"/>
    <x v="0"/>
    <x v="1"/>
    <x v="3"/>
    <x v="4"/>
    <x v="0"/>
    <x v="3"/>
    <x v="2"/>
    <x v="4"/>
    <x v="2"/>
    <x v="1"/>
    <x v="1"/>
    <x v="3"/>
    <x v="3"/>
    <x v="2"/>
    <x v="2"/>
  </r>
  <r>
    <x v="4"/>
    <x v="0"/>
    <x v="0"/>
    <x v="1"/>
    <x v="4"/>
    <x v="1"/>
    <x v="1"/>
    <x v="1"/>
    <x v="4"/>
    <x v="0"/>
    <x v="3"/>
    <x v="2"/>
    <x v="2"/>
    <x v="2"/>
    <x v="3"/>
    <x v="4"/>
    <x v="1"/>
  </r>
  <r>
    <x v="4"/>
    <x v="0"/>
    <x v="0"/>
    <x v="1"/>
    <x v="5"/>
    <x v="1"/>
    <x v="1"/>
    <x v="3"/>
    <x v="3"/>
    <x v="1"/>
    <x v="2"/>
    <x v="2"/>
    <x v="3"/>
    <x v="2"/>
    <x v="1"/>
    <x v="4"/>
    <x v="1"/>
  </r>
  <r>
    <x v="4"/>
    <x v="0"/>
    <x v="0"/>
    <x v="1"/>
    <x v="6"/>
    <x v="1"/>
    <x v="1"/>
    <x v="3"/>
    <x v="3"/>
    <x v="1"/>
    <x v="3"/>
    <x v="2"/>
    <x v="3"/>
    <x v="2"/>
    <x v="1"/>
    <x v="4"/>
    <x v="2"/>
  </r>
  <r>
    <x v="4"/>
    <x v="0"/>
    <x v="0"/>
    <x v="1"/>
    <x v="7"/>
    <x v="1"/>
    <x v="1"/>
    <x v="3"/>
    <x v="3"/>
    <x v="1"/>
    <x v="3"/>
    <x v="4"/>
    <x v="3"/>
    <x v="2"/>
    <x v="1"/>
    <x v="4"/>
    <x v="1"/>
  </r>
  <r>
    <x v="4"/>
    <x v="0"/>
    <x v="0"/>
    <x v="2"/>
    <x v="8"/>
    <x v="1"/>
    <x v="5"/>
    <x v="1"/>
    <x v="1"/>
    <x v="5"/>
    <x v="1"/>
    <x v="4"/>
    <x v="1"/>
    <x v="3"/>
    <x v="1"/>
    <x v="2"/>
    <x v="6"/>
  </r>
  <r>
    <x v="4"/>
    <x v="0"/>
    <x v="0"/>
    <x v="2"/>
    <x v="9"/>
    <x v="2"/>
    <x v="1"/>
    <x v="3"/>
    <x v="2"/>
    <x v="0"/>
    <x v="2"/>
    <x v="1"/>
    <x v="2"/>
    <x v="3"/>
    <x v="4"/>
    <x v="5"/>
    <x v="1"/>
  </r>
  <r>
    <x v="4"/>
    <x v="0"/>
    <x v="0"/>
    <x v="2"/>
    <x v="10"/>
    <x v="2"/>
    <x v="1"/>
    <x v="3"/>
    <x v="3"/>
    <x v="1"/>
    <x v="1"/>
    <x v="2"/>
    <x v="1"/>
    <x v="1"/>
    <x v="1"/>
    <x v="4"/>
    <x v="2"/>
  </r>
  <r>
    <x v="4"/>
    <x v="0"/>
    <x v="0"/>
    <x v="2"/>
    <x v="11"/>
    <x v="3"/>
    <x v="1"/>
    <x v="1"/>
    <x v="3"/>
    <x v="1"/>
    <x v="3"/>
    <x v="1"/>
    <x v="3"/>
    <x v="2"/>
    <x v="3"/>
    <x v="4"/>
    <x v="2"/>
  </r>
  <r>
    <x v="4"/>
    <x v="0"/>
    <x v="0"/>
    <x v="2"/>
    <x v="12"/>
    <x v="1"/>
    <x v="1"/>
    <x v="3"/>
    <x v="3"/>
    <x v="1"/>
    <x v="3"/>
    <x v="1"/>
    <x v="3"/>
    <x v="2"/>
    <x v="1"/>
    <x v="4"/>
    <x v="2"/>
  </r>
  <r>
    <x v="4"/>
    <x v="0"/>
    <x v="0"/>
    <x v="0"/>
    <x v="13"/>
    <x v="33"/>
    <x v="5"/>
    <x v="1"/>
    <x v="5"/>
    <x v="2"/>
    <x v="5"/>
    <x v="6"/>
    <x v="0"/>
    <x v="14"/>
    <x v="5"/>
    <x v="3"/>
    <x v="14"/>
  </r>
  <r>
    <x v="4"/>
    <x v="0"/>
    <x v="0"/>
    <x v="3"/>
    <x v="1"/>
    <x v="3"/>
    <x v="2"/>
    <x v="3"/>
    <x v="3"/>
    <x v="0"/>
    <x v="2"/>
    <x v="1"/>
    <x v="1"/>
    <x v="3"/>
    <x v="4"/>
    <x v="2"/>
    <x v="4"/>
  </r>
  <r>
    <x v="4"/>
    <x v="0"/>
    <x v="0"/>
    <x v="3"/>
    <x v="2"/>
    <x v="1"/>
    <x v="1"/>
    <x v="1"/>
    <x v="1"/>
    <x v="0"/>
    <x v="1"/>
    <x v="4"/>
    <x v="3"/>
    <x v="1"/>
    <x v="1"/>
    <x v="1"/>
    <x v="0"/>
  </r>
  <r>
    <x v="4"/>
    <x v="0"/>
    <x v="0"/>
    <x v="3"/>
    <x v="3"/>
    <x v="4"/>
    <x v="0"/>
    <x v="3"/>
    <x v="2"/>
    <x v="4"/>
    <x v="2"/>
    <x v="1"/>
    <x v="5"/>
    <x v="3"/>
    <x v="3"/>
    <x v="2"/>
    <x v="1"/>
  </r>
  <r>
    <x v="4"/>
    <x v="0"/>
    <x v="0"/>
    <x v="0"/>
    <x v="14"/>
    <x v="3"/>
    <x v="5"/>
    <x v="1"/>
    <x v="5"/>
    <x v="3"/>
    <x v="0"/>
    <x v="6"/>
    <x v="0"/>
    <x v="0"/>
    <x v="5"/>
    <x v="1"/>
    <x v="5"/>
  </r>
  <r>
    <x v="4"/>
    <x v="0"/>
    <x v="0"/>
    <x v="4"/>
    <x v="4"/>
    <x v="3"/>
    <x v="5"/>
    <x v="1"/>
    <x v="1"/>
    <x v="3"/>
    <x v="4"/>
    <x v="1"/>
    <x v="5"/>
    <x v="5"/>
    <x v="3"/>
    <x v="1"/>
    <x v="1"/>
  </r>
  <r>
    <x v="4"/>
    <x v="0"/>
    <x v="0"/>
    <x v="4"/>
    <x v="5"/>
    <x v="1"/>
    <x v="1"/>
    <x v="3"/>
    <x v="2"/>
    <x v="1"/>
    <x v="2"/>
    <x v="1"/>
    <x v="2"/>
    <x v="1"/>
    <x v="4"/>
    <x v="4"/>
    <x v="0"/>
  </r>
  <r>
    <x v="4"/>
    <x v="0"/>
    <x v="0"/>
    <x v="4"/>
    <x v="6"/>
    <x v="1"/>
    <x v="1"/>
    <x v="3"/>
    <x v="3"/>
    <x v="1"/>
    <x v="3"/>
    <x v="2"/>
    <x v="3"/>
    <x v="2"/>
    <x v="1"/>
    <x v="4"/>
    <x v="2"/>
  </r>
  <r>
    <x v="4"/>
    <x v="0"/>
    <x v="0"/>
    <x v="4"/>
    <x v="7"/>
    <x v="1"/>
    <x v="1"/>
    <x v="3"/>
    <x v="3"/>
    <x v="1"/>
    <x v="2"/>
    <x v="4"/>
    <x v="2"/>
    <x v="5"/>
    <x v="1"/>
    <x v="4"/>
    <x v="1"/>
  </r>
  <r>
    <x v="4"/>
    <x v="1"/>
    <x v="0"/>
    <x v="0"/>
    <x v="15"/>
    <x v="33"/>
    <x v="2"/>
    <x v="4"/>
    <x v="4"/>
    <x v="2"/>
    <x v="0"/>
    <x v="3"/>
    <x v="13"/>
    <x v="0"/>
    <x v="2"/>
    <x v="2"/>
    <x v="6"/>
  </r>
  <r>
    <x v="4"/>
    <x v="1"/>
    <x v="0"/>
    <x v="1"/>
    <x v="1"/>
    <x v="3"/>
    <x v="0"/>
    <x v="1"/>
    <x v="3"/>
    <x v="1"/>
    <x v="2"/>
    <x v="1"/>
    <x v="2"/>
    <x v="5"/>
    <x v="5"/>
    <x v="4"/>
    <x v="0"/>
  </r>
  <r>
    <x v="4"/>
    <x v="1"/>
    <x v="0"/>
    <x v="1"/>
    <x v="2"/>
    <x v="1"/>
    <x v="1"/>
    <x v="1"/>
    <x v="3"/>
    <x v="0"/>
    <x v="2"/>
    <x v="1"/>
    <x v="1"/>
    <x v="5"/>
    <x v="4"/>
    <x v="4"/>
    <x v="1"/>
  </r>
  <r>
    <x v="4"/>
    <x v="1"/>
    <x v="0"/>
    <x v="1"/>
    <x v="3"/>
    <x v="4"/>
    <x v="0"/>
    <x v="3"/>
    <x v="3"/>
    <x v="4"/>
    <x v="1"/>
    <x v="2"/>
    <x v="5"/>
    <x v="3"/>
    <x v="1"/>
    <x v="2"/>
    <x v="1"/>
  </r>
  <r>
    <x v="4"/>
    <x v="1"/>
    <x v="0"/>
    <x v="1"/>
    <x v="4"/>
    <x v="1"/>
    <x v="1"/>
    <x v="3"/>
    <x v="4"/>
    <x v="0"/>
    <x v="2"/>
    <x v="2"/>
    <x v="3"/>
    <x v="5"/>
    <x v="1"/>
    <x v="4"/>
    <x v="1"/>
  </r>
  <r>
    <x v="4"/>
    <x v="1"/>
    <x v="0"/>
    <x v="1"/>
    <x v="5"/>
    <x v="1"/>
    <x v="1"/>
    <x v="3"/>
    <x v="3"/>
    <x v="1"/>
    <x v="3"/>
    <x v="1"/>
    <x v="3"/>
    <x v="2"/>
    <x v="1"/>
    <x v="4"/>
    <x v="2"/>
  </r>
  <r>
    <x v="4"/>
    <x v="1"/>
    <x v="0"/>
    <x v="1"/>
    <x v="6"/>
    <x v="1"/>
    <x v="1"/>
    <x v="3"/>
    <x v="3"/>
    <x v="1"/>
    <x v="3"/>
    <x v="2"/>
    <x v="3"/>
    <x v="2"/>
    <x v="1"/>
    <x v="4"/>
    <x v="2"/>
  </r>
  <r>
    <x v="4"/>
    <x v="1"/>
    <x v="0"/>
    <x v="1"/>
    <x v="7"/>
    <x v="1"/>
    <x v="1"/>
    <x v="3"/>
    <x v="3"/>
    <x v="1"/>
    <x v="3"/>
    <x v="2"/>
    <x v="1"/>
    <x v="2"/>
    <x v="1"/>
    <x v="4"/>
    <x v="2"/>
  </r>
  <r>
    <x v="4"/>
    <x v="1"/>
    <x v="0"/>
    <x v="2"/>
    <x v="8"/>
    <x v="1"/>
    <x v="2"/>
    <x v="4"/>
    <x v="2"/>
    <x v="5"/>
    <x v="4"/>
    <x v="1"/>
    <x v="5"/>
    <x v="3"/>
    <x v="3"/>
    <x v="4"/>
    <x v="0"/>
  </r>
  <r>
    <x v="4"/>
    <x v="1"/>
    <x v="0"/>
    <x v="2"/>
    <x v="9"/>
    <x v="2"/>
    <x v="1"/>
    <x v="3"/>
    <x v="3"/>
    <x v="0"/>
    <x v="2"/>
    <x v="2"/>
    <x v="1"/>
    <x v="5"/>
    <x v="5"/>
    <x v="2"/>
    <x v="4"/>
  </r>
  <r>
    <x v="4"/>
    <x v="1"/>
    <x v="0"/>
    <x v="2"/>
    <x v="10"/>
    <x v="2"/>
    <x v="1"/>
    <x v="3"/>
    <x v="3"/>
    <x v="1"/>
    <x v="2"/>
    <x v="1"/>
    <x v="1"/>
    <x v="3"/>
    <x v="3"/>
    <x v="4"/>
    <x v="2"/>
  </r>
  <r>
    <x v="4"/>
    <x v="1"/>
    <x v="0"/>
    <x v="2"/>
    <x v="11"/>
    <x v="3"/>
    <x v="1"/>
    <x v="3"/>
    <x v="2"/>
    <x v="1"/>
    <x v="3"/>
    <x v="1"/>
    <x v="3"/>
    <x v="2"/>
    <x v="1"/>
    <x v="4"/>
    <x v="2"/>
  </r>
  <r>
    <x v="4"/>
    <x v="1"/>
    <x v="0"/>
    <x v="2"/>
    <x v="12"/>
    <x v="1"/>
    <x v="1"/>
    <x v="3"/>
    <x v="3"/>
    <x v="1"/>
    <x v="3"/>
    <x v="2"/>
    <x v="2"/>
    <x v="2"/>
    <x v="1"/>
    <x v="4"/>
    <x v="2"/>
  </r>
  <r>
    <x v="4"/>
    <x v="1"/>
    <x v="0"/>
    <x v="0"/>
    <x v="16"/>
    <x v="4"/>
    <x v="0"/>
    <x v="3"/>
    <x v="3"/>
    <x v="3"/>
    <x v="2"/>
    <x v="1"/>
    <x v="0"/>
    <x v="5"/>
    <x v="4"/>
    <x v="2"/>
    <x v="4"/>
  </r>
  <r>
    <x v="4"/>
    <x v="1"/>
    <x v="0"/>
    <x v="0"/>
    <x v="17"/>
    <x v="3"/>
    <x v="0"/>
    <x v="4"/>
    <x v="2"/>
    <x v="4"/>
    <x v="5"/>
    <x v="1"/>
    <x v="5"/>
    <x v="4"/>
    <x v="5"/>
    <x v="4"/>
    <x v="0"/>
  </r>
  <r>
    <x v="4"/>
    <x v="1"/>
    <x v="0"/>
    <x v="0"/>
    <x v="18"/>
    <x v="1"/>
    <x v="1"/>
    <x v="3"/>
    <x v="2"/>
    <x v="1"/>
    <x v="3"/>
    <x v="1"/>
    <x v="3"/>
    <x v="2"/>
    <x v="1"/>
    <x v="4"/>
    <x v="2"/>
  </r>
  <r>
    <x v="4"/>
    <x v="1"/>
    <x v="0"/>
    <x v="5"/>
    <x v="8"/>
    <x v="1"/>
    <x v="0"/>
    <x v="3"/>
    <x v="3"/>
    <x v="0"/>
    <x v="2"/>
    <x v="2"/>
    <x v="1"/>
    <x v="5"/>
    <x v="1"/>
    <x v="4"/>
    <x v="2"/>
  </r>
  <r>
    <x v="4"/>
    <x v="1"/>
    <x v="0"/>
    <x v="5"/>
    <x v="9"/>
    <x v="2"/>
    <x v="1"/>
    <x v="3"/>
    <x v="3"/>
    <x v="0"/>
    <x v="3"/>
    <x v="2"/>
    <x v="2"/>
    <x v="2"/>
    <x v="3"/>
    <x v="2"/>
    <x v="4"/>
  </r>
  <r>
    <x v="4"/>
    <x v="1"/>
    <x v="0"/>
    <x v="5"/>
    <x v="10"/>
    <x v="2"/>
    <x v="1"/>
    <x v="3"/>
    <x v="3"/>
    <x v="1"/>
    <x v="3"/>
    <x v="1"/>
    <x v="2"/>
    <x v="2"/>
    <x v="3"/>
    <x v="4"/>
    <x v="2"/>
  </r>
  <r>
    <x v="4"/>
    <x v="1"/>
    <x v="0"/>
    <x v="5"/>
    <x v="11"/>
    <x v="1"/>
    <x v="1"/>
    <x v="3"/>
    <x v="3"/>
    <x v="1"/>
    <x v="3"/>
    <x v="2"/>
    <x v="3"/>
    <x v="2"/>
    <x v="1"/>
    <x v="4"/>
    <x v="2"/>
  </r>
  <r>
    <x v="4"/>
    <x v="1"/>
    <x v="0"/>
    <x v="5"/>
    <x v="12"/>
    <x v="1"/>
    <x v="1"/>
    <x v="3"/>
    <x v="3"/>
    <x v="1"/>
    <x v="3"/>
    <x v="2"/>
    <x v="2"/>
    <x v="2"/>
    <x v="1"/>
    <x v="4"/>
    <x v="2"/>
  </r>
  <r>
    <x v="4"/>
    <x v="1"/>
    <x v="0"/>
    <x v="6"/>
    <x v="8"/>
    <x v="1"/>
    <x v="0"/>
    <x v="4"/>
    <x v="2"/>
    <x v="4"/>
    <x v="1"/>
    <x v="1"/>
    <x v="2"/>
    <x v="5"/>
    <x v="3"/>
    <x v="4"/>
    <x v="0"/>
  </r>
  <r>
    <x v="4"/>
    <x v="1"/>
    <x v="0"/>
    <x v="6"/>
    <x v="9"/>
    <x v="1"/>
    <x v="1"/>
    <x v="3"/>
    <x v="3"/>
    <x v="1"/>
    <x v="2"/>
    <x v="2"/>
    <x v="2"/>
    <x v="5"/>
    <x v="4"/>
    <x v="4"/>
    <x v="2"/>
  </r>
  <r>
    <x v="4"/>
    <x v="1"/>
    <x v="0"/>
    <x v="6"/>
    <x v="10"/>
    <x v="1"/>
    <x v="1"/>
    <x v="3"/>
    <x v="3"/>
    <x v="1"/>
    <x v="2"/>
    <x v="2"/>
    <x v="2"/>
    <x v="3"/>
    <x v="1"/>
    <x v="4"/>
    <x v="2"/>
  </r>
  <r>
    <x v="4"/>
    <x v="1"/>
    <x v="0"/>
    <x v="6"/>
    <x v="11"/>
    <x v="3"/>
    <x v="1"/>
    <x v="3"/>
    <x v="3"/>
    <x v="1"/>
    <x v="3"/>
    <x v="2"/>
    <x v="3"/>
    <x v="2"/>
    <x v="1"/>
    <x v="4"/>
    <x v="2"/>
  </r>
  <r>
    <x v="4"/>
    <x v="1"/>
    <x v="0"/>
    <x v="6"/>
    <x v="12"/>
    <x v="1"/>
    <x v="1"/>
    <x v="3"/>
    <x v="3"/>
    <x v="1"/>
    <x v="3"/>
    <x v="2"/>
    <x v="3"/>
    <x v="2"/>
    <x v="1"/>
    <x v="4"/>
    <x v="2"/>
  </r>
  <r>
    <x v="4"/>
    <x v="1"/>
    <x v="0"/>
    <x v="7"/>
    <x v="8"/>
    <x v="1"/>
    <x v="1"/>
    <x v="3"/>
    <x v="3"/>
    <x v="1"/>
    <x v="3"/>
    <x v="2"/>
    <x v="3"/>
    <x v="2"/>
    <x v="1"/>
    <x v="4"/>
    <x v="2"/>
  </r>
  <r>
    <x v="4"/>
    <x v="1"/>
    <x v="0"/>
    <x v="7"/>
    <x v="9"/>
    <x v="1"/>
    <x v="1"/>
    <x v="3"/>
    <x v="3"/>
    <x v="1"/>
    <x v="3"/>
    <x v="2"/>
    <x v="3"/>
    <x v="2"/>
    <x v="1"/>
    <x v="4"/>
    <x v="2"/>
  </r>
  <r>
    <x v="4"/>
    <x v="1"/>
    <x v="0"/>
    <x v="7"/>
    <x v="10"/>
    <x v="1"/>
    <x v="1"/>
    <x v="3"/>
    <x v="3"/>
    <x v="1"/>
    <x v="3"/>
    <x v="2"/>
    <x v="3"/>
    <x v="2"/>
    <x v="1"/>
    <x v="4"/>
    <x v="2"/>
  </r>
  <r>
    <x v="4"/>
    <x v="1"/>
    <x v="0"/>
    <x v="7"/>
    <x v="11"/>
    <x v="1"/>
    <x v="1"/>
    <x v="3"/>
    <x v="2"/>
    <x v="1"/>
    <x v="3"/>
    <x v="1"/>
    <x v="3"/>
    <x v="2"/>
    <x v="1"/>
    <x v="4"/>
    <x v="2"/>
  </r>
  <r>
    <x v="4"/>
    <x v="1"/>
    <x v="0"/>
    <x v="7"/>
    <x v="12"/>
    <x v="1"/>
    <x v="1"/>
    <x v="3"/>
    <x v="3"/>
    <x v="1"/>
    <x v="3"/>
    <x v="2"/>
    <x v="3"/>
    <x v="2"/>
    <x v="1"/>
    <x v="4"/>
    <x v="2"/>
  </r>
  <r>
    <x v="4"/>
    <x v="1"/>
    <x v="0"/>
    <x v="0"/>
    <x v="19"/>
    <x v="33"/>
    <x v="2"/>
    <x v="4"/>
    <x v="2"/>
    <x v="2"/>
    <x v="0"/>
    <x v="4"/>
    <x v="21"/>
    <x v="0"/>
    <x v="2"/>
    <x v="2"/>
    <x v="6"/>
  </r>
  <r>
    <x v="4"/>
    <x v="1"/>
    <x v="0"/>
    <x v="3"/>
    <x v="1"/>
    <x v="3"/>
    <x v="0"/>
    <x v="1"/>
    <x v="3"/>
    <x v="1"/>
    <x v="1"/>
    <x v="1"/>
    <x v="2"/>
    <x v="5"/>
    <x v="5"/>
    <x v="4"/>
    <x v="0"/>
  </r>
  <r>
    <x v="4"/>
    <x v="1"/>
    <x v="0"/>
    <x v="3"/>
    <x v="2"/>
    <x v="1"/>
    <x v="1"/>
    <x v="1"/>
    <x v="2"/>
    <x v="3"/>
    <x v="2"/>
    <x v="1"/>
    <x v="5"/>
    <x v="5"/>
    <x v="4"/>
    <x v="4"/>
    <x v="0"/>
  </r>
  <r>
    <x v="4"/>
    <x v="1"/>
    <x v="0"/>
    <x v="3"/>
    <x v="3"/>
    <x v="4"/>
    <x v="0"/>
    <x v="3"/>
    <x v="3"/>
    <x v="4"/>
    <x v="1"/>
    <x v="2"/>
    <x v="5"/>
    <x v="1"/>
    <x v="1"/>
    <x v="2"/>
    <x v="1"/>
  </r>
  <r>
    <x v="4"/>
    <x v="1"/>
    <x v="0"/>
    <x v="0"/>
    <x v="20"/>
    <x v="3"/>
    <x v="2"/>
    <x v="1"/>
    <x v="4"/>
    <x v="5"/>
    <x v="4"/>
    <x v="4"/>
    <x v="13"/>
    <x v="0"/>
    <x v="5"/>
    <x v="2"/>
    <x v="0"/>
  </r>
  <r>
    <x v="4"/>
    <x v="1"/>
    <x v="0"/>
    <x v="4"/>
    <x v="4"/>
    <x v="3"/>
    <x v="2"/>
    <x v="1"/>
    <x v="4"/>
    <x v="4"/>
    <x v="1"/>
    <x v="1"/>
    <x v="5"/>
    <x v="1"/>
    <x v="1"/>
    <x v="4"/>
    <x v="0"/>
  </r>
  <r>
    <x v="4"/>
    <x v="1"/>
    <x v="0"/>
    <x v="4"/>
    <x v="5"/>
    <x v="1"/>
    <x v="1"/>
    <x v="3"/>
    <x v="3"/>
    <x v="0"/>
    <x v="3"/>
    <x v="1"/>
    <x v="1"/>
    <x v="5"/>
    <x v="5"/>
    <x v="2"/>
    <x v="2"/>
  </r>
  <r>
    <x v="4"/>
    <x v="1"/>
    <x v="0"/>
    <x v="4"/>
    <x v="6"/>
    <x v="1"/>
    <x v="1"/>
    <x v="3"/>
    <x v="3"/>
    <x v="1"/>
    <x v="3"/>
    <x v="2"/>
    <x v="3"/>
    <x v="2"/>
    <x v="1"/>
    <x v="4"/>
    <x v="2"/>
  </r>
  <r>
    <x v="4"/>
    <x v="1"/>
    <x v="0"/>
    <x v="4"/>
    <x v="7"/>
    <x v="1"/>
    <x v="1"/>
    <x v="3"/>
    <x v="3"/>
    <x v="1"/>
    <x v="2"/>
    <x v="2"/>
    <x v="5"/>
    <x v="5"/>
    <x v="1"/>
    <x v="4"/>
    <x v="2"/>
  </r>
  <r>
    <x v="4"/>
    <x v="2"/>
    <x v="1"/>
    <x v="0"/>
    <x v="21"/>
    <x v="1"/>
    <x v="0"/>
    <x v="1"/>
    <x v="1"/>
    <x v="4"/>
    <x v="4"/>
    <x v="5"/>
    <x v="1"/>
    <x v="4"/>
    <x v="4"/>
    <x v="8"/>
    <x v="14"/>
  </r>
  <r>
    <x v="4"/>
    <x v="2"/>
    <x v="1"/>
    <x v="1"/>
    <x v="1"/>
    <x v="1"/>
    <x v="0"/>
    <x v="3"/>
    <x v="3"/>
    <x v="1"/>
    <x v="3"/>
    <x v="2"/>
    <x v="2"/>
    <x v="3"/>
    <x v="1"/>
    <x v="2"/>
    <x v="1"/>
  </r>
  <r>
    <x v="4"/>
    <x v="2"/>
    <x v="1"/>
    <x v="1"/>
    <x v="2"/>
    <x v="1"/>
    <x v="1"/>
    <x v="3"/>
    <x v="2"/>
    <x v="0"/>
    <x v="1"/>
    <x v="4"/>
    <x v="3"/>
    <x v="3"/>
    <x v="1"/>
    <x v="1"/>
    <x v="0"/>
  </r>
  <r>
    <x v="4"/>
    <x v="2"/>
    <x v="1"/>
    <x v="1"/>
    <x v="3"/>
    <x v="1"/>
    <x v="1"/>
    <x v="3"/>
    <x v="2"/>
    <x v="0"/>
    <x v="3"/>
    <x v="1"/>
    <x v="3"/>
    <x v="2"/>
    <x v="3"/>
    <x v="2"/>
    <x v="2"/>
  </r>
  <r>
    <x v="4"/>
    <x v="2"/>
    <x v="1"/>
    <x v="1"/>
    <x v="4"/>
    <x v="1"/>
    <x v="1"/>
    <x v="1"/>
    <x v="2"/>
    <x v="0"/>
    <x v="3"/>
    <x v="2"/>
    <x v="2"/>
    <x v="2"/>
    <x v="3"/>
    <x v="2"/>
    <x v="1"/>
  </r>
  <r>
    <x v="4"/>
    <x v="2"/>
    <x v="1"/>
    <x v="1"/>
    <x v="5"/>
    <x v="1"/>
    <x v="1"/>
    <x v="3"/>
    <x v="3"/>
    <x v="1"/>
    <x v="2"/>
    <x v="2"/>
    <x v="3"/>
    <x v="2"/>
    <x v="1"/>
    <x v="4"/>
    <x v="1"/>
  </r>
  <r>
    <x v="4"/>
    <x v="2"/>
    <x v="1"/>
    <x v="1"/>
    <x v="6"/>
    <x v="1"/>
    <x v="1"/>
    <x v="3"/>
    <x v="3"/>
    <x v="1"/>
    <x v="3"/>
    <x v="2"/>
    <x v="3"/>
    <x v="2"/>
    <x v="1"/>
    <x v="4"/>
    <x v="2"/>
  </r>
  <r>
    <x v="4"/>
    <x v="2"/>
    <x v="1"/>
    <x v="1"/>
    <x v="7"/>
    <x v="1"/>
    <x v="1"/>
    <x v="3"/>
    <x v="3"/>
    <x v="1"/>
    <x v="3"/>
    <x v="4"/>
    <x v="3"/>
    <x v="2"/>
    <x v="1"/>
    <x v="4"/>
    <x v="1"/>
  </r>
  <r>
    <x v="4"/>
    <x v="2"/>
    <x v="1"/>
    <x v="8"/>
    <x v="1"/>
    <x v="11"/>
    <x v="0"/>
    <x v="3"/>
    <x v="3"/>
    <x v="1"/>
    <x v="3"/>
    <x v="2"/>
    <x v="9"/>
    <x v="43"/>
    <x v="1"/>
    <x v="163"/>
    <x v="34"/>
  </r>
  <r>
    <x v="4"/>
    <x v="2"/>
    <x v="1"/>
    <x v="8"/>
    <x v="2"/>
    <x v="11"/>
    <x v="1"/>
    <x v="3"/>
    <x v="10"/>
    <x v="24"/>
    <x v="240"/>
    <x v="265"/>
    <x v="3"/>
    <x v="43"/>
    <x v="1"/>
    <x v="162"/>
    <x v="140"/>
  </r>
  <r>
    <x v="4"/>
    <x v="2"/>
    <x v="1"/>
    <x v="8"/>
    <x v="3"/>
    <x v="11"/>
    <x v="1"/>
    <x v="3"/>
    <x v="10"/>
    <x v="24"/>
    <x v="3"/>
    <x v="29"/>
    <x v="3"/>
    <x v="2"/>
    <x v="49"/>
    <x v="163"/>
    <x v="2"/>
  </r>
  <r>
    <x v="4"/>
    <x v="2"/>
    <x v="1"/>
    <x v="8"/>
    <x v="4"/>
    <x v="11"/>
    <x v="1"/>
    <x v="1"/>
    <x v="10"/>
    <x v="24"/>
    <x v="3"/>
    <x v="2"/>
    <x v="9"/>
    <x v="2"/>
    <x v="49"/>
    <x v="163"/>
    <x v="34"/>
  </r>
  <r>
    <x v="4"/>
    <x v="2"/>
    <x v="1"/>
    <x v="8"/>
    <x v="5"/>
    <x v="11"/>
    <x v="1"/>
    <x v="3"/>
    <x v="3"/>
    <x v="1"/>
    <x v="6"/>
    <x v="2"/>
    <x v="3"/>
    <x v="2"/>
    <x v="1"/>
    <x v="4"/>
    <x v="34"/>
  </r>
  <r>
    <x v="4"/>
    <x v="2"/>
    <x v="1"/>
    <x v="8"/>
    <x v="6"/>
    <x v="11"/>
    <x v="1"/>
    <x v="3"/>
    <x v="3"/>
    <x v="1"/>
    <x v="3"/>
    <x v="2"/>
    <x v="3"/>
    <x v="2"/>
    <x v="1"/>
    <x v="4"/>
    <x v="2"/>
  </r>
  <r>
    <x v="4"/>
    <x v="2"/>
    <x v="1"/>
    <x v="8"/>
    <x v="7"/>
    <x v="11"/>
    <x v="1"/>
    <x v="3"/>
    <x v="3"/>
    <x v="1"/>
    <x v="3"/>
    <x v="265"/>
    <x v="3"/>
    <x v="2"/>
    <x v="1"/>
    <x v="4"/>
    <x v="34"/>
  </r>
  <r>
    <x v="4"/>
    <x v="2"/>
    <x v="1"/>
    <x v="2"/>
    <x v="8"/>
    <x v="1"/>
    <x v="2"/>
    <x v="0"/>
    <x v="8"/>
    <x v="22"/>
    <x v="241"/>
    <x v="17"/>
    <x v="34"/>
    <x v="327"/>
    <x v="36"/>
    <x v="26"/>
    <x v="331"/>
  </r>
  <r>
    <x v="4"/>
    <x v="2"/>
    <x v="1"/>
    <x v="2"/>
    <x v="9"/>
    <x v="1"/>
    <x v="2"/>
    <x v="4"/>
    <x v="1"/>
    <x v="4"/>
    <x v="0"/>
    <x v="0"/>
    <x v="147"/>
    <x v="38"/>
    <x v="11"/>
    <x v="19"/>
    <x v="13"/>
  </r>
  <r>
    <x v="4"/>
    <x v="2"/>
    <x v="1"/>
    <x v="2"/>
    <x v="10"/>
    <x v="1"/>
    <x v="2"/>
    <x v="4"/>
    <x v="4"/>
    <x v="3"/>
    <x v="5"/>
    <x v="3"/>
    <x v="0"/>
    <x v="38"/>
    <x v="16"/>
    <x v="0"/>
    <x v="143"/>
  </r>
  <r>
    <x v="4"/>
    <x v="2"/>
    <x v="1"/>
    <x v="2"/>
    <x v="11"/>
    <x v="3"/>
    <x v="0"/>
    <x v="4"/>
    <x v="4"/>
    <x v="3"/>
    <x v="1"/>
    <x v="3"/>
    <x v="5"/>
    <x v="1"/>
    <x v="12"/>
    <x v="3"/>
    <x v="5"/>
  </r>
  <r>
    <x v="4"/>
    <x v="2"/>
    <x v="1"/>
    <x v="2"/>
    <x v="12"/>
    <x v="1"/>
    <x v="1"/>
    <x v="3"/>
    <x v="3"/>
    <x v="1"/>
    <x v="3"/>
    <x v="1"/>
    <x v="3"/>
    <x v="5"/>
    <x v="3"/>
    <x v="2"/>
    <x v="1"/>
  </r>
  <r>
    <x v="4"/>
    <x v="2"/>
    <x v="1"/>
    <x v="0"/>
    <x v="22"/>
    <x v="1"/>
    <x v="0"/>
    <x v="3"/>
    <x v="1"/>
    <x v="4"/>
    <x v="1"/>
    <x v="6"/>
    <x v="1"/>
    <x v="4"/>
    <x v="4"/>
    <x v="8"/>
    <x v="14"/>
  </r>
  <r>
    <x v="4"/>
    <x v="2"/>
    <x v="1"/>
    <x v="3"/>
    <x v="1"/>
    <x v="1"/>
    <x v="0"/>
    <x v="3"/>
    <x v="3"/>
    <x v="0"/>
    <x v="3"/>
    <x v="2"/>
    <x v="2"/>
    <x v="3"/>
    <x v="3"/>
    <x v="1"/>
    <x v="4"/>
  </r>
  <r>
    <x v="4"/>
    <x v="2"/>
    <x v="1"/>
    <x v="3"/>
    <x v="2"/>
    <x v="1"/>
    <x v="1"/>
    <x v="3"/>
    <x v="4"/>
    <x v="0"/>
    <x v="1"/>
    <x v="3"/>
    <x v="3"/>
    <x v="3"/>
    <x v="1"/>
    <x v="1"/>
    <x v="0"/>
  </r>
  <r>
    <x v="4"/>
    <x v="2"/>
    <x v="1"/>
    <x v="3"/>
    <x v="3"/>
    <x v="1"/>
    <x v="1"/>
    <x v="3"/>
    <x v="2"/>
    <x v="0"/>
    <x v="3"/>
    <x v="1"/>
    <x v="2"/>
    <x v="2"/>
    <x v="3"/>
    <x v="2"/>
    <x v="1"/>
  </r>
  <r>
    <x v="4"/>
    <x v="2"/>
    <x v="1"/>
    <x v="9"/>
    <x v="1"/>
    <x v="11"/>
    <x v="0"/>
    <x v="19"/>
    <x v="3"/>
    <x v="24"/>
    <x v="3"/>
    <x v="2"/>
    <x v="9"/>
    <x v="43"/>
    <x v="49"/>
    <x v="162"/>
    <x v="54"/>
  </r>
  <r>
    <x v="4"/>
    <x v="2"/>
    <x v="1"/>
    <x v="9"/>
    <x v="2"/>
    <x v="11"/>
    <x v="1"/>
    <x v="19"/>
    <x v="9"/>
    <x v="24"/>
    <x v="2"/>
    <x v="38"/>
    <x v="3"/>
    <x v="43"/>
    <x v="1"/>
    <x v="162"/>
    <x v="140"/>
  </r>
  <r>
    <x v="4"/>
    <x v="2"/>
    <x v="1"/>
    <x v="9"/>
    <x v="3"/>
    <x v="11"/>
    <x v="1"/>
    <x v="19"/>
    <x v="10"/>
    <x v="24"/>
    <x v="3"/>
    <x v="233"/>
    <x v="9"/>
    <x v="2"/>
    <x v="49"/>
    <x v="163"/>
    <x v="34"/>
  </r>
  <r>
    <x v="4"/>
    <x v="2"/>
    <x v="1"/>
    <x v="0"/>
    <x v="23"/>
    <x v="1"/>
    <x v="0"/>
    <x v="1"/>
    <x v="1"/>
    <x v="0"/>
    <x v="4"/>
    <x v="5"/>
    <x v="1"/>
    <x v="3"/>
    <x v="4"/>
    <x v="5"/>
    <x v="6"/>
  </r>
  <r>
    <x v="4"/>
    <x v="2"/>
    <x v="1"/>
    <x v="4"/>
    <x v="4"/>
    <x v="1"/>
    <x v="0"/>
    <x v="1"/>
    <x v="4"/>
    <x v="0"/>
    <x v="1"/>
    <x v="4"/>
    <x v="1"/>
    <x v="2"/>
    <x v="3"/>
    <x v="5"/>
    <x v="0"/>
  </r>
  <r>
    <x v="4"/>
    <x v="2"/>
    <x v="1"/>
    <x v="4"/>
    <x v="5"/>
    <x v="1"/>
    <x v="1"/>
    <x v="3"/>
    <x v="2"/>
    <x v="1"/>
    <x v="2"/>
    <x v="1"/>
    <x v="3"/>
    <x v="3"/>
    <x v="3"/>
    <x v="4"/>
    <x v="0"/>
  </r>
  <r>
    <x v="4"/>
    <x v="2"/>
    <x v="1"/>
    <x v="4"/>
    <x v="6"/>
    <x v="1"/>
    <x v="1"/>
    <x v="3"/>
    <x v="3"/>
    <x v="1"/>
    <x v="3"/>
    <x v="2"/>
    <x v="3"/>
    <x v="2"/>
    <x v="1"/>
    <x v="4"/>
    <x v="2"/>
  </r>
  <r>
    <x v="4"/>
    <x v="2"/>
    <x v="1"/>
    <x v="4"/>
    <x v="7"/>
    <x v="1"/>
    <x v="1"/>
    <x v="3"/>
    <x v="3"/>
    <x v="1"/>
    <x v="3"/>
    <x v="4"/>
    <x v="3"/>
    <x v="2"/>
    <x v="1"/>
    <x v="4"/>
    <x v="1"/>
  </r>
  <r>
    <x v="4"/>
    <x v="2"/>
    <x v="1"/>
    <x v="10"/>
    <x v="4"/>
    <x v="10"/>
    <x v="0"/>
    <x v="1"/>
    <x v="9"/>
    <x v="0"/>
    <x v="240"/>
    <x v="265"/>
    <x v="2"/>
    <x v="2"/>
    <x v="49"/>
    <x v="2"/>
    <x v="64"/>
  </r>
  <r>
    <x v="4"/>
    <x v="2"/>
    <x v="1"/>
    <x v="10"/>
    <x v="5"/>
    <x v="10"/>
    <x v="1"/>
    <x v="3"/>
    <x v="10"/>
    <x v="1"/>
    <x v="6"/>
    <x v="29"/>
    <x v="3"/>
    <x v="5"/>
    <x v="49"/>
    <x v="4"/>
    <x v="64"/>
  </r>
  <r>
    <x v="4"/>
    <x v="2"/>
    <x v="1"/>
    <x v="10"/>
    <x v="6"/>
    <x v="10"/>
    <x v="57"/>
    <x v="3"/>
    <x v="3"/>
    <x v="1"/>
    <x v="3"/>
    <x v="2"/>
    <x v="3"/>
    <x v="2"/>
    <x v="1"/>
    <x v="4"/>
    <x v="2"/>
  </r>
  <r>
    <x v="4"/>
    <x v="2"/>
    <x v="1"/>
    <x v="10"/>
    <x v="7"/>
    <x v="10"/>
    <x v="1"/>
    <x v="3"/>
    <x v="3"/>
    <x v="1"/>
    <x v="3"/>
    <x v="265"/>
    <x v="3"/>
    <x v="2"/>
    <x v="1"/>
    <x v="4"/>
    <x v="142"/>
  </r>
  <r>
    <x v="4"/>
    <x v="0"/>
    <x v="2"/>
    <x v="0"/>
    <x v="24"/>
    <x v="33"/>
    <x v="106"/>
    <x v="77"/>
    <x v="110"/>
    <x v="123"/>
    <x v="242"/>
    <x v="266"/>
    <x v="293"/>
    <x v="328"/>
    <x v="325"/>
    <x v="343"/>
    <x v="332"/>
  </r>
  <r>
    <x v="4"/>
    <x v="0"/>
    <x v="2"/>
    <x v="1"/>
    <x v="1"/>
    <x v="3"/>
    <x v="5"/>
    <x v="2"/>
    <x v="1"/>
    <x v="4"/>
    <x v="5"/>
    <x v="5"/>
    <x v="21"/>
    <x v="38"/>
    <x v="11"/>
    <x v="33"/>
    <x v="16"/>
  </r>
  <r>
    <x v="4"/>
    <x v="0"/>
    <x v="2"/>
    <x v="1"/>
    <x v="2"/>
    <x v="1"/>
    <x v="1"/>
    <x v="1"/>
    <x v="4"/>
    <x v="4"/>
    <x v="0"/>
    <x v="0"/>
    <x v="147"/>
    <x v="38"/>
    <x v="42"/>
    <x v="33"/>
    <x v="13"/>
  </r>
  <r>
    <x v="4"/>
    <x v="0"/>
    <x v="2"/>
    <x v="1"/>
    <x v="3"/>
    <x v="4"/>
    <x v="6"/>
    <x v="9"/>
    <x v="12"/>
    <x v="225"/>
    <x v="13"/>
    <x v="13"/>
    <x v="8"/>
    <x v="9"/>
    <x v="171"/>
    <x v="28"/>
    <x v="179"/>
  </r>
  <r>
    <x v="4"/>
    <x v="0"/>
    <x v="2"/>
    <x v="1"/>
    <x v="4"/>
    <x v="1"/>
    <x v="1"/>
    <x v="1"/>
    <x v="1"/>
    <x v="5"/>
    <x v="5"/>
    <x v="6"/>
    <x v="0"/>
    <x v="0"/>
    <x v="43"/>
    <x v="7"/>
    <x v="31"/>
  </r>
  <r>
    <x v="4"/>
    <x v="0"/>
    <x v="2"/>
    <x v="1"/>
    <x v="5"/>
    <x v="1"/>
    <x v="1"/>
    <x v="3"/>
    <x v="3"/>
    <x v="1"/>
    <x v="2"/>
    <x v="1"/>
    <x v="2"/>
    <x v="5"/>
    <x v="3"/>
    <x v="2"/>
    <x v="0"/>
  </r>
  <r>
    <x v="4"/>
    <x v="0"/>
    <x v="2"/>
    <x v="1"/>
    <x v="6"/>
    <x v="1"/>
    <x v="1"/>
    <x v="3"/>
    <x v="3"/>
    <x v="1"/>
    <x v="3"/>
    <x v="2"/>
    <x v="3"/>
    <x v="2"/>
    <x v="1"/>
    <x v="4"/>
    <x v="2"/>
  </r>
  <r>
    <x v="4"/>
    <x v="0"/>
    <x v="2"/>
    <x v="1"/>
    <x v="7"/>
    <x v="1"/>
    <x v="1"/>
    <x v="3"/>
    <x v="3"/>
    <x v="1"/>
    <x v="3"/>
    <x v="4"/>
    <x v="1"/>
    <x v="3"/>
    <x v="4"/>
    <x v="1"/>
    <x v="4"/>
  </r>
  <r>
    <x v="4"/>
    <x v="0"/>
    <x v="2"/>
    <x v="2"/>
    <x v="8"/>
    <x v="1"/>
    <x v="5"/>
    <x v="0"/>
    <x v="8"/>
    <x v="226"/>
    <x v="130"/>
    <x v="17"/>
    <x v="294"/>
    <x v="32"/>
    <x v="36"/>
    <x v="26"/>
    <x v="331"/>
  </r>
  <r>
    <x v="4"/>
    <x v="0"/>
    <x v="2"/>
    <x v="2"/>
    <x v="9"/>
    <x v="2"/>
    <x v="2"/>
    <x v="4"/>
    <x v="1"/>
    <x v="5"/>
    <x v="0"/>
    <x v="0"/>
    <x v="21"/>
    <x v="38"/>
    <x v="6"/>
    <x v="9"/>
    <x v="22"/>
  </r>
  <r>
    <x v="4"/>
    <x v="0"/>
    <x v="2"/>
    <x v="2"/>
    <x v="10"/>
    <x v="2"/>
    <x v="2"/>
    <x v="4"/>
    <x v="4"/>
    <x v="3"/>
    <x v="5"/>
    <x v="6"/>
    <x v="147"/>
    <x v="38"/>
    <x v="42"/>
    <x v="0"/>
    <x v="143"/>
  </r>
  <r>
    <x v="4"/>
    <x v="0"/>
    <x v="2"/>
    <x v="2"/>
    <x v="11"/>
    <x v="3"/>
    <x v="0"/>
    <x v="4"/>
    <x v="4"/>
    <x v="3"/>
    <x v="1"/>
    <x v="3"/>
    <x v="5"/>
    <x v="1"/>
    <x v="12"/>
    <x v="3"/>
    <x v="5"/>
  </r>
  <r>
    <x v="4"/>
    <x v="0"/>
    <x v="2"/>
    <x v="2"/>
    <x v="12"/>
    <x v="1"/>
    <x v="1"/>
    <x v="3"/>
    <x v="3"/>
    <x v="1"/>
    <x v="3"/>
    <x v="1"/>
    <x v="2"/>
    <x v="5"/>
    <x v="3"/>
    <x v="2"/>
    <x v="1"/>
  </r>
  <r>
    <x v="4"/>
    <x v="0"/>
    <x v="2"/>
    <x v="0"/>
    <x v="25"/>
    <x v="33"/>
    <x v="106"/>
    <x v="10"/>
    <x v="14"/>
    <x v="126"/>
    <x v="9"/>
    <x v="267"/>
    <x v="149"/>
    <x v="11"/>
    <x v="326"/>
    <x v="344"/>
    <x v="333"/>
  </r>
  <r>
    <x v="4"/>
    <x v="0"/>
    <x v="2"/>
    <x v="3"/>
    <x v="1"/>
    <x v="3"/>
    <x v="5"/>
    <x v="2"/>
    <x v="1"/>
    <x v="5"/>
    <x v="0"/>
    <x v="0"/>
    <x v="13"/>
    <x v="17"/>
    <x v="19"/>
    <x v="19"/>
    <x v="21"/>
  </r>
  <r>
    <x v="4"/>
    <x v="0"/>
    <x v="2"/>
    <x v="3"/>
    <x v="2"/>
    <x v="1"/>
    <x v="1"/>
    <x v="1"/>
    <x v="5"/>
    <x v="2"/>
    <x v="10"/>
    <x v="34"/>
    <x v="20"/>
    <x v="37"/>
    <x v="19"/>
    <x v="9"/>
    <x v="21"/>
  </r>
  <r>
    <x v="4"/>
    <x v="0"/>
    <x v="2"/>
    <x v="3"/>
    <x v="3"/>
    <x v="4"/>
    <x v="6"/>
    <x v="9"/>
    <x v="12"/>
    <x v="225"/>
    <x v="13"/>
    <x v="13"/>
    <x v="14"/>
    <x v="8"/>
    <x v="10"/>
    <x v="15"/>
    <x v="12"/>
  </r>
  <r>
    <x v="4"/>
    <x v="0"/>
    <x v="2"/>
    <x v="0"/>
    <x v="26"/>
    <x v="3"/>
    <x v="3"/>
    <x v="9"/>
    <x v="19"/>
    <x v="226"/>
    <x v="126"/>
    <x v="27"/>
    <x v="295"/>
    <x v="28"/>
    <x v="327"/>
    <x v="200"/>
    <x v="334"/>
  </r>
  <r>
    <x v="4"/>
    <x v="0"/>
    <x v="2"/>
    <x v="4"/>
    <x v="4"/>
    <x v="3"/>
    <x v="3"/>
    <x v="9"/>
    <x v="22"/>
    <x v="22"/>
    <x v="130"/>
    <x v="268"/>
    <x v="294"/>
    <x v="327"/>
    <x v="36"/>
    <x v="25"/>
    <x v="11"/>
  </r>
  <r>
    <x v="4"/>
    <x v="0"/>
    <x v="2"/>
    <x v="4"/>
    <x v="5"/>
    <x v="1"/>
    <x v="1"/>
    <x v="3"/>
    <x v="2"/>
    <x v="0"/>
    <x v="1"/>
    <x v="3"/>
    <x v="4"/>
    <x v="14"/>
    <x v="42"/>
    <x v="0"/>
    <x v="30"/>
  </r>
  <r>
    <x v="4"/>
    <x v="0"/>
    <x v="2"/>
    <x v="4"/>
    <x v="6"/>
    <x v="1"/>
    <x v="1"/>
    <x v="3"/>
    <x v="3"/>
    <x v="1"/>
    <x v="3"/>
    <x v="2"/>
    <x v="3"/>
    <x v="2"/>
    <x v="1"/>
    <x v="4"/>
    <x v="2"/>
  </r>
  <r>
    <x v="4"/>
    <x v="0"/>
    <x v="2"/>
    <x v="4"/>
    <x v="7"/>
    <x v="1"/>
    <x v="1"/>
    <x v="3"/>
    <x v="3"/>
    <x v="1"/>
    <x v="2"/>
    <x v="3"/>
    <x v="4"/>
    <x v="0"/>
    <x v="2"/>
    <x v="8"/>
    <x v="14"/>
  </r>
  <r>
    <x v="4"/>
    <x v="1"/>
    <x v="2"/>
    <x v="0"/>
    <x v="27"/>
    <x v="33"/>
    <x v="4"/>
    <x v="10"/>
    <x v="205"/>
    <x v="10"/>
    <x v="118"/>
    <x v="269"/>
    <x v="296"/>
    <x v="164"/>
    <x v="17"/>
    <x v="199"/>
    <x v="180"/>
  </r>
  <r>
    <x v="4"/>
    <x v="1"/>
    <x v="2"/>
    <x v="1"/>
    <x v="1"/>
    <x v="3"/>
    <x v="2"/>
    <x v="2"/>
    <x v="1"/>
    <x v="4"/>
    <x v="5"/>
    <x v="5"/>
    <x v="147"/>
    <x v="14"/>
    <x v="11"/>
    <x v="16"/>
    <x v="13"/>
  </r>
  <r>
    <x v="4"/>
    <x v="1"/>
    <x v="2"/>
    <x v="1"/>
    <x v="2"/>
    <x v="1"/>
    <x v="1"/>
    <x v="1"/>
    <x v="2"/>
    <x v="3"/>
    <x v="4"/>
    <x v="6"/>
    <x v="147"/>
    <x v="14"/>
    <x v="42"/>
    <x v="0"/>
    <x v="27"/>
  </r>
  <r>
    <x v="4"/>
    <x v="1"/>
    <x v="2"/>
    <x v="1"/>
    <x v="3"/>
    <x v="4"/>
    <x v="6"/>
    <x v="9"/>
    <x v="0"/>
    <x v="124"/>
    <x v="13"/>
    <x v="8"/>
    <x v="8"/>
    <x v="9"/>
    <x v="18"/>
    <x v="29"/>
    <x v="179"/>
  </r>
  <r>
    <x v="4"/>
    <x v="1"/>
    <x v="2"/>
    <x v="1"/>
    <x v="4"/>
    <x v="1"/>
    <x v="1"/>
    <x v="3"/>
    <x v="4"/>
    <x v="4"/>
    <x v="5"/>
    <x v="6"/>
    <x v="4"/>
    <x v="0"/>
    <x v="2"/>
    <x v="8"/>
    <x v="14"/>
  </r>
  <r>
    <x v="4"/>
    <x v="1"/>
    <x v="2"/>
    <x v="1"/>
    <x v="5"/>
    <x v="1"/>
    <x v="1"/>
    <x v="3"/>
    <x v="3"/>
    <x v="1"/>
    <x v="3"/>
    <x v="1"/>
    <x v="2"/>
    <x v="5"/>
    <x v="3"/>
    <x v="2"/>
    <x v="1"/>
  </r>
  <r>
    <x v="4"/>
    <x v="1"/>
    <x v="2"/>
    <x v="1"/>
    <x v="6"/>
    <x v="1"/>
    <x v="1"/>
    <x v="3"/>
    <x v="3"/>
    <x v="1"/>
    <x v="3"/>
    <x v="2"/>
    <x v="3"/>
    <x v="2"/>
    <x v="1"/>
    <x v="4"/>
    <x v="2"/>
  </r>
  <r>
    <x v="4"/>
    <x v="1"/>
    <x v="2"/>
    <x v="1"/>
    <x v="7"/>
    <x v="1"/>
    <x v="1"/>
    <x v="3"/>
    <x v="3"/>
    <x v="1"/>
    <x v="3"/>
    <x v="2"/>
    <x v="1"/>
    <x v="3"/>
    <x v="4"/>
    <x v="1"/>
    <x v="0"/>
  </r>
  <r>
    <x v="4"/>
    <x v="1"/>
    <x v="2"/>
    <x v="11"/>
    <x v="1"/>
    <x v="35"/>
    <x v="107"/>
    <x v="74"/>
    <x v="206"/>
    <x v="18"/>
    <x v="122"/>
    <x v="270"/>
    <x v="297"/>
    <x v="329"/>
    <x v="328"/>
    <x v="345"/>
    <x v="141"/>
  </r>
  <r>
    <x v="4"/>
    <x v="1"/>
    <x v="2"/>
    <x v="11"/>
    <x v="2"/>
    <x v="1"/>
    <x v="1"/>
    <x v="125"/>
    <x v="207"/>
    <x v="137"/>
    <x v="243"/>
    <x v="271"/>
    <x v="297"/>
    <x v="329"/>
    <x v="329"/>
    <x v="346"/>
    <x v="335"/>
  </r>
  <r>
    <x v="4"/>
    <x v="1"/>
    <x v="2"/>
    <x v="11"/>
    <x v="3"/>
    <x v="78"/>
    <x v="108"/>
    <x v="21"/>
    <x v="208"/>
    <x v="132"/>
    <x v="244"/>
    <x v="272"/>
    <x v="298"/>
    <x v="330"/>
    <x v="330"/>
    <x v="347"/>
    <x v="336"/>
  </r>
  <r>
    <x v="4"/>
    <x v="1"/>
    <x v="2"/>
    <x v="11"/>
    <x v="4"/>
    <x v="1"/>
    <x v="1"/>
    <x v="3"/>
    <x v="209"/>
    <x v="18"/>
    <x v="122"/>
    <x v="271"/>
    <x v="299"/>
    <x v="331"/>
    <x v="331"/>
    <x v="348"/>
    <x v="337"/>
  </r>
  <r>
    <x v="4"/>
    <x v="1"/>
    <x v="2"/>
    <x v="11"/>
    <x v="5"/>
    <x v="1"/>
    <x v="1"/>
    <x v="3"/>
    <x v="3"/>
    <x v="1"/>
    <x v="3"/>
    <x v="273"/>
    <x v="300"/>
    <x v="332"/>
    <x v="332"/>
    <x v="349"/>
    <x v="338"/>
  </r>
  <r>
    <x v="4"/>
    <x v="1"/>
    <x v="2"/>
    <x v="11"/>
    <x v="6"/>
    <x v="1"/>
    <x v="1"/>
    <x v="3"/>
    <x v="3"/>
    <x v="1"/>
    <x v="3"/>
    <x v="2"/>
    <x v="3"/>
    <x v="2"/>
    <x v="1"/>
    <x v="4"/>
    <x v="2"/>
  </r>
  <r>
    <x v="4"/>
    <x v="1"/>
    <x v="2"/>
    <x v="11"/>
    <x v="7"/>
    <x v="1"/>
    <x v="1"/>
    <x v="3"/>
    <x v="3"/>
    <x v="1"/>
    <x v="3"/>
    <x v="2"/>
    <x v="301"/>
    <x v="333"/>
    <x v="333"/>
    <x v="350"/>
    <x v="339"/>
  </r>
  <r>
    <x v="4"/>
    <x v="1"/>
    <x v="2"/>
    <x v="2"/>
    <x v="8"/>
    <x v="1"/>
    <x v="0"/>
    <x v="3"/>
    <x v="3"/>
    <x v="0"/>
    <x v="2"/>
    <x v="2"/>
    <x v="1"/>
    <x v="5"/>
    <x v="1"/>
    <x v="4"/>
    <x v="2"/>
  </r>
  <r>
    <x v="4"/>
    <x v="1"/>
    <x v="2"/>
    <x v="2"/>
    <x v="9"/>
    <x v="2"/>
    <x v="1"/>
    <x v="3"/>
    <x v="3"/>
    <x v="0"/>
    <x v="3"/>
    <x v="2"/>
    <x v="2"/>
    <x v="2"/>
    <x v="3"/>
    <x v="2"/>
    <x v="4"/>
  </r>
  <r>
    <x v="4"/>
    <x v="1"/>
    <x v="2"/>
    <x v="2"/>
    <x v="10"/>
    <x v="2"/>
    <x v="1"/>
    <x v="3"/>
    <x v="3"/>
    <x v="1"/>
    <x v="3"/>
    <x v="1"/>
    <x v="2"/>
    <x v="2"/>
    <x v="3"/>
    <x v="4"/>
    <x v="2"/>
  </r>
  <r>
    <x v="4"/>
    <x v="1"/>
    <x v="2"/>
    <x v="2"/>
    <x v="11"/>
    <x v="1"/>
    <x v="1"/>
    <x v="3"/>
    <x v="3"/>
    <x v="1"/>
    <x v="3"/>
    <x v="2"/>
    <x v="3"/>
    <x v="2"/>
    <x v="1"/>
    <x v="4"/>
    <x v="2"/>
  </r>
  <r>
    <x v="4"/>
    <x v="1"/>
    <x v="2"/>
    <x v="2"/>
    <x v="12"/>
    <x v="1"/>
    <x v="1"/>
    <x v="3"/>
    <x v="3"/>
    <x v="1"/>
    <x v="3"/>
    <x v="2"/>
    <x v="2"/>
    <x v="2"/>
    <x v="1"/>
    <x v="4"/>
    <x v="2"/>
  </r>
  <r>
    <x v="4"/>
    <x v="1"/>
    <x v="2"/>
    <x v="0"/>
    <x v="28"/>
    <x v="33"/>
    <x v="4"/>
    <x v="10"/>
    <x v="210"/>
    <x v="129"/>
    <x v="11"/>
    <x v="24"/>
    <x v="19"/>
    <x v="165"/>
    <x v="20"/>
    <x v="32"/>
    <x v="340"/>
  </r>
  <r>
    <x v="4"/>
    <x v="1"/>
    <x v="2"/>
    <x v="3"/>
    <x v="1"/>
    <x v="3"/>
    <x v="2"/>
    <x v="2"/>
    <x v="1"/>
    <x v="4"/>
    <x v="0"/>
    <x v="0"/>
    <x v="21"/>
    <x v="13"/>
    <x v="6"/>
    <x v="33"/>
    <x v="16"/>
  </r>
  <r>
    <x v="4"/>
    <x v="1"/>
    <x v="2"/>
    <x v="3"/>
    <x v="2"/>
    <x v="1"/>
    <x v="1"/>
    <x v="1"/>
    <x v="4"/>
    <x v="5"/>
    <x v="0"/>
    <x v="0"/>
    <x v="20"/>
    <x v="17"/>
    <x v="19"/>
    <x v="24"/>
    <x v="3"/>
  </r>
  <r>
    <x v="4"/>
    <x v="1"/>
    <x v="2"/>
    <x v="3"/>
    <x v="3"/>
    <x v="4"/>
    <x v="6"/>
    <x v="9"/>
    <x v="0"/>
    <x v="124"/>
    <x v="13"/>
    <x v="8"/>
    <x v="8"/>
    <x v="8"/>
    <x v="171"/>
    <x v="28"/>
    <x v="25"/>
  </r>
  <r>
    <x v="4"/>
    <x v="1"/>
    <x v="2"/>
    <x v="12"/>
    <x v="1"/>
    <x v="35"/>
    <x v="107"/>
    <x v="74"/>
    <x v="211"/>
    <x v="227"/>
    <x v="128"/>
    <x v="26"/>
    <x v="23"/>
    <x v="334"/>
    <x v="175"/>
    <x v="35"/>
    <x v="341"/>
  </r>
  <r>
    <x v="4"/>
    <x v="1"/>
    <x v="2"/>
    <x v="12"/>
    <x v="2"/>
    <x v="1"/>
    <x v="1"/>
    <x v="125"/>
    <x v="111"/>
    <x v="131"/>
    <x v="128"/>
    <x v="26"/>
    <x v="22"/>
    <x v="335"/>
    <x v="334"/>
    <x v="296"/>
    <x v="342"/>
  </r>
  <r>
    <x v="4"/>
    <x v="1"/>
    <x v="2"/>
    <x v="12"/>
    <x v="3"/>
    <x v="78"/>
    <x v="108"/>
    <x v="21"/>
    <x v="6"/>
    <x v="228"/>
    <x v="19"/>
    <x v="274"/>
    <x v="302"/>
    <x v="336"/>
    <x v="335"/>
    <x v="351"/>
    <x v="64"/>
  </r>
  <r>
    <x v="4"/>
    <x v="1"/>
    <x v="2"/>
    <x v="0"/>
    <x v="29"/>
    <x v="3"/>
    <x v="5"/>
    <x v="0"/>
    <x v="12"/>
    <x v="22"/>
    <x v="130"/>
    <x v="17"/>
    <x v="33"/>
    <x v="166"/>
    <x v="30"/>
    <x v="352"/>
    <x v="343"/>
  </r>
  <r>
    <x v="4"/>
    <x v="1"/>
    <x v="2"/>
    <x v="4"/>
    <x v="4"/>
    <x v="3"/>
    <x v="5"/>
    <x v="0"/>
    <x v="12"/>
    <x v="225"/>
    <x v="27"/>
    <x v="14"/>
    <x v="34"/>
    <x v="327"/>
    <x v="336"/>
    <x v="15"/>
    <x v="181"/>
  </r>
  <r>
    <x v="4"/>
    <x v="1"/>
    <x v="2"/>
    <x v="4"/>
    <x v="5"/>
    <x v="1"/>
    <x v="1"/>
    <x v="3"/>
    <x v="3"/>
    <x v="0"/>
    <x v="2"/>
    <x v="4"/>
    <x v="4"/>
    <x v="0"/>
    <x v="16"/>
    <x v="0"/>
    <x v="143"/>
  </r>
  <r>
    <x v="4"/>
    <x v="1"/>
    <x v="2"/>
    <x v="4"/>
    <x v="6"/>
    <x v="1"/>
    <x v="1"/>
    <x v="3"/>
    <x v="3"/>
    <x v="1"/>
    <x v="3"/>
    <x v="2"/>
    <x v="3"/>
    <x v="2"/>
    <x v="1"/>
    <x v="4"/>
    <x v="2"/>
  </r>
  <r>
    <x v="4"/>
    <x v="1"/>
    <x v="2"/>
    <x v="4"/>
    <x v="7"/>
    <x v="1"/>
    <x v="1"/>
    <x v="3"/>
    <x v="3"/>
    <x v="1"/>
    <x v="2"/>
    <x v="1"/>
    <x v="4"/>
    <x v="0"/>
    <x v="2"/>
    <x v="8"/>
    <x v="6"/>
  </r>
  <r>
    <x v="4"/>
    <x v="1"/>
    <x v="2"/>
    <x v="13"/>
    <x v="4"/>
    <x v="3"/>
    <x v="0"/>
    <x v="1"/>
    <x v="2"/>
    <x v="229"/>
    <x v="245"/>
    <x v="37"/>
    <x v="36"/>
    <x v="337"/>
    <x v="337"/>
    <x v="353"/>
    <x v="344"/>
  </r>
  <r>
    <x v="4"/>
    <x v="1"/>
    <x v="2"/>
    <x v="13"/>
    <x v="5"/>
    <x v="1"/>
    <x v="1"/>
    <x v="3"/>
    <x v="3"/>
    <x v="230"/>
    <x v="246"/>
    <x v="275"/>
    <x v="160"/>
    <x v="338"/>
    <x v="338"/>
    <x v="354"/>
    <x v="345"/>
  </r>
  <r>
    <x v="4"/>
    <x v="1"/>
    <x v="2"/>
    <x v="13"/>
    <x v="6"/>
    <x v="1"/>
    <x v="1"/>
    <x v="3"/>
    <x v="3"/>
    <x v="1"/>
    <x v="3"/>
    <x v="2"/>
    <x v="3"/>
    <x v="2"/>
    <x v="1"/>
    <x v="4"/>
    <x v="2"/>
  </r>
  <r>
    <x v="4"/>
    <x v="1"/>
    <x v="2"/>
    <x v="13"/>
    <x v="7"/>
    <x v="1"/>
    <x v="1"/>
    <x v="3"/>
    <x v="3"/>
    <x v="1"/>
    <x v="246"/>
    <x v="276"/>
    <x v="160"/>
    <x v="338"/>
    <x v="339"/>
    <x v="355"/>
    <x v="346"/>
  </r>
  <r>
    <x v="4"/>
    <x v="1"/>
    <x v="2"/>
    <x v="0"/>
    <x v="30"/>
    <x v="4"/>
    <x v="6"/>
    <x v="9"/>
    <x v="0"/>
    <x v="7"/>
    <x v="7"/>
    <x v="34"/>
    <x v="14"/>
    <x v="9"/>
    <x v="10"/>
    <x v="15"/>
    <x v="23"/>
  </r>
  <r>
    <x v="4"/>
    <x v="1"/>
    <x v="2"/>
    <x v="0"/>
    <x v="31"/>
    <x v="3"/>
    <x v="2"/>
    <x v="0"/>
    <x v="0"/>
    <x v="124"/>
    <x v="241"/>
    <x v="28"/>
    <x v="303"/>
    <x v="339"/>
    <x v="21"/>
    <x v="46"/>
    <x v="331"/>
  </r>
  <r>
    <x v="4"/>
    <x v="1"/>
    <x v="2"/>
    <x v="0"/>
    <x v="32"/>
    <x v="1"/>
    <x v="1"/>
    <x v="3"/>
    <x v="2"/>
    <x v="0"/>
    <x v="2"/>
    <x v="4"/>
    <x v="1"/>
    <x v="3"/>
    <x v="4"/>
    <x v="1"/>
    <x v="0"/>
  </r>
  <r>
    <x v="4"/>
    <x v="1"/>
    <x v="2"/>
    <x v="14"/>
    <x v="8"/>
    <x v="1"/>
    <x v="0"/>
    <x v="1"/>
    <x v="2"/>
    <x v="3"/>
    <x v="4"/>
    <x v="3"/>
    <x v="0"/>
    <x v="39"/>
    <x v="43"/>
    <x v="7"/>
    <x v="14"/>
  </r>
  <r>
    <x v="4"/>
    <x v="1"/>
    <x v="2"/>
    <x v="14"/>
    <x v="9"/>
    <x v="2"/>
    <x v="2"/>
    <x v="4"/>
    <x v="4"/>
    <x v="4"/>
    <x v="4"/>
    <x v="3"/>
    <x v="4"/>
    <x v="4"/>
    <x v="2"/>
    <x v="7"/>
    <x v="143"/>
  </r>
  <r>
    <x v="4"/>
    <x v="1"/>
    <x v="2"/>
    <x v="14"/>
    <x v="10"/>
    <x v="2"/>
    <x v="2"/>
    <x v="4"/>
    <x v="4"/>
    <x v="3"/>
    <x v="1"/>
    <x v="3"/>
    <x v="4"/>
    <x v="4"/>
    <x v="2"/>
    <x v="8"/>
    <x v="6"/>
  </r>
  <r>
    <x v="4"/>
    <x v="1"/>
    <x v="2"/>
    <x v="14"/>
    <x v="11"/>
    <x v="1"/>
    <x v="1"/>
    <x v="3"/>
    <x v="3"/>
    <x v="1"/>
    <x v="3"/>
    <x v="2"/>
    <x v="3"/>
    <x v="2"/>
    <x v="1"/>
    <x v="4"/>
    <x v="2"/>
  </r>
  <r>
    <x v="4"/>
    <x v="1"/>
    <x v="2"/>
    <x v="14"/>
    <x v="12"/>
    <x v="1"/>
    <x v="1"/>
    <x v="3"/>
    <x v="3"/>
    <x v="1"/>
    <x v="3"/>
    <x v="2"/>
    <x v="2"/>
    <x v="5"/>
    <x v="3"/>
    <x v="2"/>
    <x v="1"/>
  </r>
  <r>
    <x v="4"/>
    <x v="1"/>
    <x v="2"/>
    <x v="15"/>
    <x v="8"/>
    <x v="1"/>
    <x v="0"/>
    <x v="2"/>
    <x v="5"/>
    <x v="7"/>
    <x v="8"/>
    <x v="8"/>
    <x v="7"/>
    <x v="37"/>
    <x v="15"/>
    <x v="19"/>
    <x v="22"/>
  </r>
  <r>
    <x v="4"/>
    <x v="1"/>
    <x v="2"/>
    <x v="15"/>
    <x v="9"/>
    <x v="1"/>
    <x v="1"/>
    <x v="3"/>
    <x v="3"/>
    <x v="1"/>
    <x v="2"/>
    <x v="1"/>
    <x v="1"/>
    <x v="1"/>
    <x v="2"/>
    <x v="8"/>
    <x v="6"/>
  </r>
  <r>
    <x v="4"/>
    <x v="1"/>
    <x v="2"/>
    <x v="15"/>
    <x v="10"/>
    <x v="1"/>
    <x v="1"/>
    <x v="3"/>
    <x v="3"/>
    <x v="1"/>
    <x v="2"/>
    <x v="1"/>
    <x v="1"/>
    <x v="4"/>
    <x v="12"/>
    <x v="3"/>
    <x v="5"/>
  </r>
  <r>
    <x v="4"/>
    <x v="1"/>
    <x v="2"/>
    <x v="15"/>
    <x v="11"/>
    <x v="3"/>
    <x v="0"/>
    <x v="1"/>
    <x v="2"/>
    <x v="0"/>
    <x v="2"/>
    <x v="1"/>
    <x v="2"/>
    <x v="5"/>
    <x v="3"/>
    <x v="2"/>
    <x v="1"/>
  </r>
  <r>
    <x v="4"/>
    <x v="1"/>
    <x v="2"/>
    <x v="15"/>
    <x v="12"/>
    <x v="1"/>
    <x v="1"/>
    <x v="3"/>
    <x v="3"/>
    <x v="1"/>
    <x v="3"/>
    <x v="2"/>
    <x v="3"/>
    <x v="2"/>
    <x v="1"/>
    <x v="4"/>
    <x v="2"/>
  </r>
  <r>
    <x v="4"/>
    <x v="1"/>
    <x v="2"/>
    <x v="16"/>
    <x v="8"/>
    <x v="1"/>
    <x v="1"/>
    <x v="3"/>
    <x v="3"/>
    <x v="1"/>
    <x v="3"/>
    <x v="2"/>
    <x v="3"/>
    <x v="2"/>
    <x v="1"/>
    <x v="4"/>
    <x v="2"/>
  </r>
  <r>
    <x v="4"/>
    <x v="1"/>
    <x v="2"/>
    <x v="16"/>
    <x v="9"/>
    <x v="1"/>
    <x v="1"/>
    <x v="3"/>
    <x v="3"/>
    <x v="1"/>
    <x v="3"/>
    <x v="2"/>
    <x v="3"/>
    <x v="2"/>
    <x v="1"/>
    <x v="4"/>
    <x v="2"/>
  </r>
  <r>
    <x v="4"/>
    <x v="1"/>
    <x v="2"/>
    <x v="16"/>
    <x v="10"/>
    <x v="1"/>
    <x v="1"/>
    <x v="3"/>
    <x v="3"/>
    <x v="1"/>
    <x v="3"/>
    <x v="2"/>
    <x v="3"/>
    <x v="2"/>
    <x v="1"/>
    <x v="4"/>
    <x v="2"/>
  </r>
  <r>
    <x v="4"/>
    <x v="1"/>
    <x v="2"/>
    <x v="16"/>
    <x v="11"/>
    <x v="1"/>
    <x v="1"/>
    <x v="3"/>
    <x v="2"/>
    <x v="0"/>
    <x v="2"/>
    <x v="4"/>
    <x v="1"/>
    <x v="3"/>
    <x v="4"/>
    <x v="1"/>
    <x v="0"/>
  </r>
  <r>
    <x v="4"/>
    <x v="1"/>
    <x v="2"/>
    <x v="16"/>
    <x v="12"/>
    <x v="1"/>
    <x v="1"/>
    <x v="3"/>
    <x v="3"/>
    <x v="1"/>
    <x v="3"/>
    <x v="2"/>
    <x v="3"/>
    <x v="2"/>
    <x v="1"/>
    <x v="4"/>
    <x v="2"/>
  </r>
  <r>
    <x v="4"/>
    <x v="1"/>
    <x v="3"/>
    <x v="0"/>
    <x v="33"/>
    <x v="3"/>
    <x v="109"/>
    <x v="126"/>
    <x v="212"/>
    <x v="231"/>
    <x v="33"/>
    <x v="277"/>
    <x v="304"/>
    <x v="340"/>
    <x v="340"/>
    <x v="356"/>
    <x v="347"/>
  </r>
  <r>
    <x v="4"/>
    <x v="1"/>
    <x v="3"/>
    <x v="3"/>
    <x v="1"/>
    <x v="3"/>
    <x v="64"/>
    <x v="1"/>
    <x v="2"/>
    <x v="0"/>
    <x v="2"/>
    <x v="1"/>
    <x v="166"/>
    <x v="341"/>
    <x v="3"/>
    <x v="357"/>
    <x v="348"/>
  </r>
  <r>
    <x v="4"/>
    <x v="1"/>
    <x v="3"/>
    <x v="3"/>
    <x v="2"/>
    <x v="11"/>
    <x v="13"/>
    <x v="1"/>
    <x v="6"/>
    <x v="211"/>
    <x v="247"/>
    <x v="10"/>
    <x v="2"/>
    <x v="341"/>
    <x v="3"/>
    <x v="358"/>
    <x v="58"/>
  </r>
  <r>
    <x v="4"/>
    <x v="1"/>
    <x v="3"/>
    <x v="3"/>
    <x v="3"/>
    <x v="3"/>
    <x v="0"/>
    <x v="1"/>
    <x v="25"/>
    <x v="232"/>
    <x v="2"/>
    <x v="278"/>
    <x v="2"/>
    <x v="5"/>
    <x v="341"/>
    <x v="359"/>
    <x v="1"/>
  </r>
  <r>
    <x v="4"/>
    <x v="1"/>
    <x v="3"/>
    <x v="4"/>
    <x v="4"/>
    <x v="11"/>
    <x v="13"/>
    <x v="3"/>
    <x v="9"/>
    <x v="233"/>
    <x v="2"/>
    <x v="1"/>
    <x v="49"/>
    <x v="5"/>
    <x v="280"/>
    <x v="55"/>
    <x v="349"/>
  </r>
  <r>
    <x v="4"/>
    <x v="1"/>
    <x v="3"/>
    <x v="4"/>
    <x v="5"/>
    <x v="11"/>
    <x v="13"/>
    <x v="19"/>
    <x v="26"/>
    <x v="6"/>
    <x v="3"/>
    <x v="1"/>
    <x v="2"/>
    <x v="5"/>
    <x v="3"/>
    <x v="2"/>
    <x v="54"/>
  </r>
  <r>
    <x v="4"/>
    <x v="1"/>
    <x v="3"/>
    <x v="4"/>
    <x v="6"/>
    <x v="11"/>
    <x v="13"/>
    <x v="19"/>
    <x v="26"/>
    <x v="6"/>
    <x v="31"/>
    <x v="40"/>
    <x v="46"/>
    <x v="45"/>
    <x v="50"/>
    <x v="60"/>
    <x v="56"/>
  </r>
  <r>
    <x v="4"/>
    <x v="1"/>
    <x v="3"/>
    <x v="4"/>
    <x v="7"/>
    <x v="11"/>
    <x v="13"/>
    <x v="19"/>
    <x v="26"/>
    <x v="6"/>
    <x v="31"/>
    <x v="2"/>
    <x v="2"/>
    <x v="5"/>
    <x v="3"/>
    <x v="2"/>
    <x v="145"/>
  </r>
  <r>
    <x v="4"/>
    <x v="1"/>
    <x v="3"/>
    <x v="2"/>
    <x v="8"/>
    <x v="10"/>
    <x v="8"/>
    <x v="3"/>
    <x v="3"/>
    <x v="234"/>
    <x v="246"/>
    <x v="2"/>
    <x v="305"/>
    <x v="342"/>
    <x v="1"/>
    <x v="4"/>
    <x v="2"/>
  </r>
  <r>
    <x v="4"/>
    <x v="1"/>
    <x v="3"/>
    <x v="2"/>
    <x v="9"/>
    <x v="3"/>
    <x v="1"/>
    <x v="3"/>
    <x v="3"/>
    <x v="235"/>
    <x v="3"/>
    <x v="2"/>
    <x v="306"/>
    <x v="2"/>
    <x v="7"/>
    <x v="13"/>
    <x v="142"/>
  </r>
  <r>
    <x v="4"/>
    <x v="1"/>
    <x v="3"/>
    <x v="2"/>
    <x v="10"/>
    <x v="3"/>
    <x v="1"/>
    <x v="3"/>
    <x v="3"/>
    <x v="1"/>
    <x v="3"/>
    <x v="233"/>
    <x v="254"/>
    <x v="2"/>
    <x v="272"/>
    <x v="4"/>
    <x v="2"/>
  </r>
  <r>
    <x v="4"/>
    <x v="1"/>
    <x v="3"/>
    <x v="2"/>
    <x v="11"/>
    <x v="1"/>
    <x v="1"/>
    <x v="3"/>
    <x v="3"/>
    <x v="1"/>
    <x v="3"/>
    <x v="2"/>
    <x v="3"/>
    <x v="2"/>
    <x v="1"/>
    <x v="4"/>
    <x v="2"/>
  </r>
  <r>
    <x v="4"/>
    <x v="1"/>
    <x v="3"/>
    <x v="2"/>
    <x v="12"/>
    <x v="11"/>
    <x v="13"/>
    <x v="19"/>
    <x v="26"/>
    <x v="6"/>
    <x v="31"/>
    <x v="2"/>
    <x v="2"/>
    <x v="2"/>
    <x v="1"/>
    <x v="4"/>
    <x v="2"/>
  </r>
  <r>
    <x v="4"/>
    <x v="1"/>
    <x v="3"/>
    <x v="0"/>
    <x v="34"/>
    <x v="3"/>
    <x v="109"/>
    <x v="1"/>
    <x v="213"/>
    <x v="136"/>
    <x v="248"/>
    <x v="279"/>
    <x v="307"/>
    <x v="343"/>
    <x v="342"/>
    <x v="360"/>
    <x v="350"/>
  </r>
  <r>
    <x v="4"/>
    <x v="1"/>
    <x v="3"/>
    <x v="3"/>
    <x v="1"/>
    <x v="3"/>
    <x v="64"/>
    <x v="1"/>
    <x v="2"/>
    <x v="233"/>
    <x v="2"/>
    <x v="1"/>
    <x v="42"/>
    <x v="344"/>
    <x v="185"/>
    <x v="217"/>
    <x v="51"/>
  </r>
  <r>
    <x v="4"/>
    <x v="1"/>
    <x v="3"/>
    <x v="3"/>
    <x v="2"/>
    <x v="11"/>
    <x v="13"/>
    <x v="1"/>
    <x v="6"/>
    <x v="236"/>
    <x v="249"/>
    <x v="10"/>
    <x v="2"/>
    <x v="345"/>
    <x v="3"/>
    <x v="361"/>
    <x v="199"/>
  </r>
  <r>
    <x v="4"/>
    <x v="1"/>
    <x v="3"/>
    <x v="3"/>
    <x v="3"/>
    <x v="3"/>
    <x v="0"/>
    <x v="1"/>
    <x v="25"/>
    <x v="232"/>
    <x v="2"/>
    <x v="278"/>
    <x v="308"/>
    <x v="5"/>
    <x v="343"/>
    <x v="362"/>
    <x v="351"/>
  </r>
  <r>
    <x v="4"/>
    <x v="1"/>
    <x v="3"/>
    <x v="0"/>
    <x v="35"/>
    <x v="3"/>
    <x v="66"/>
    <x v="127"/>
    <x v="9"/>
    <x v="237"/>
    <x v="250"/>
    <x v="38"/>
    <x v="309"/>
    <x v="346"/>
    <x v="344"/>
    <x v="363"/>
    <x v="352"/>
  </r>
  <r>
    <x v="4"/>
    <x v="1"/>
    <x v="3"/>
    <x v="4"/>
    <x v="4"/>
    <x v="3"/>
    <x v="66"/>
    <x v="127"/>
    <x v="23"/>
    <x v="229"/>
    <x v="245"/>
    <x v="42"/>
    <x v="310"/>
    <x v="5"/>
    <x v="345"/>
    <x v="361"/>
    <x v="287"/>
  </r>
  <r>
    <x v="4"/>
    <x v="1"/>
    <x v="3"/>
    <x v="4"/>
    <x v="5"/>
    <x v="11"/>
    <x v="13"/>
    <x v="19"/>
    <x v="3"/>
    <x v="0"/>
    <x v="19"/>
    <x v="10"/>
    <x v="2"/>
    <x v="42"/>
    <x v="279"/>
    <x v="2"/>
    <x v="353"/>
  </r>
  <r>
    <x v="4"/>
    <x v="1"/>
    <x v="3"/>
    <x v="4"/>
    <x v="7"/>
    <x v="11"/>
    <x v="13"/>
    <x v="19"/>
    <x v="26"/>
    <x v="6"/>
    <x v="31"/>
    <x v="40"/>
    <x v="46"/>
    <x v="45"/>
    <x v="50"/>
    <x v="60"/>
    <x v="56"/>
  </r>
  <r>
    <x v="4"/>
    <x v="1"/>
    <x v="3"/>
    <x v="4"/>
    <x v="7"/>
    <x v="11"/>
    <x v="13"/>
    <x v="19"/>
    <x v="26"/>
    <x v="6"/>
    <x v="2"/>
    <x v="7"/>
    <x v="2"/>
    <x v="5"/>
    <x v="3"/>
    <x v="2"/>
    <x v="58"/>
  </r>
  <r>
    <x v="4"/>
    <x v="1"/>
    <x v="4"/>
    <x v="0"/>
    <x v="15"/>
    <x v="79"/>
    <x v="110"/>
    <x v="128"/>
    <x v="214"/>
    <x v="238"/>
    <x v="251"/>
    <x v="280"/>
    <x v="311"/>
    <x v="347"/>
    <x v="346"/>
    <x v="364"/>
    <x v="354"/>
  </r>
  <r>
    <x v="4"/>
    <x v="1"/>
    <x v="4"/>
    <x v="1"/>
    <x v="1"/>
    <x v="80"/>
    <x v="111"/>
    <x v="129"/>
    <x v="3"/>
    <x v="1"/>
    <x v="252"/>
    <x v="281"/>
    <x v="312"/>
    <x v="348"/>
    <x v="347"/>
    <x v="4"/>
    <x v="355"/>
  </r>
  <r>
    <x v="4"/>
    <x v="1"/>
    <x v="4"/>
    <x v="1"/>
    <x v="2"/>
    <x v="1"/>
    <x v="1"/>
    <x v="130"/>
    <x v="3"/>
    <x v="239"/>
    <x v="253"/>
    <x v="282"/>
    <x v="313"/>
    <x v="349"/>
    <x v="348"/>
    <x v="4"/>
    <x v="356"/>
  </r>
  <r>
    <x v="4"/>
    <x v="1"/>
    <x v="4"/>
    <x v="1"/>
    <x v="3"/>
    <x v="81"/>
    <x v="112"/>
    <x v="3"/>
    <x v="3"/>
    <x v="240"/>
    <x v="254"/>
    <x v="2"/>
    <x v="314"/>
    <x v="350"/>
    <x v="1"/>
    <x v="364"/>
    <x v="357"/>
  </r>
  <r>
    <x v="4"/>
    <x v="1"/>
    <x v="4"/>
    <x v="1"/>
    <x v="4"/>
    <x v="1"/>
    <x v="1"/>
    <x v="3"/>
    <x v="214"/>
    <x v="241"/>
    <x v="255"/>
    <x v="2"/>
    <x v="3"/>
    <x v="351"/>
    <x v="1"/>
    <x v="4"/>
    <x v="358"/>
  </r>
  <r>
    <x v="4"/>
    <x v="1"/>
    <x v="4"/>
    <x v="1"/>
    <x v="5"/>
    <x v="1"/>
    <x v="1"/>
    <x v="3"/>
    <x v="3"/>
    <x v="1"/>
    <x v="3"/>
    <x v="283"/>
    <x v="3"/>
    <x v="2"/>
    <x v="1"/>
    <x v="4"/>
    <x v="2"/>
  </r>
  <r>
    <x v="4"/>
    <x v="1"/>
    <x v="4"/>
    <x v="1"/>
    <x v="6"/>
    <x v="1"/>
    <x v="1"/>
    <x v="3"/>
    <x v="3"/>
    <x v="1"/>
    <x v="3"/>
    <x v="2"/>
    <x v="3"/>
    <x v="2"/>
    <x v="1"/>
    <x v="4"/>
    <x v="2"/>
  </r>
  <r>
    <x v="4"/>
    <x v="1"/>
    <x v="4"/>
    <x v="1"/>
    <x v="7"/>
    <x v="1"/>
    <x v="1"/>
    <x v="3"/>
    <x v="3"/>
    <x v="1"/>
    <x v="3"/>
    <x v="2"/>
    <x v="315"/>
    <x v="2"/>
    <x v="1"/>
    <x v="4"/>
    <x v="2"/>
  </r>
  <r>
    <x v="4"/>
    <x v="1"/>
    <x v="4"/>
    <x v="2"/>
    <x v="8"/>
    <x v="1"/>
    <x v="110"/>
    <x v="128"/>
    <x v="215"/>
    <x v="242"/>
    <x v="256"/>
    <x v="283"/>
    <x v="316"/>
    <x v="352"/>
    <x v="349"/>
    <x v="4"/>
    <x v="359"/>
  </r>
  <r>
    <x v="4"/>
    <x v="1"/>
    <x v="4"/>
    <x v="2"/>
    <x v="9"/>
    <x v="82"/>
    <x v="1"/>
    <x v="3"/>
    <x v="3"/>
    <x v="243"/>
    <x v="257"/>
    <x v="2"/>
    <x v="313"/>
    <x v="348"/>
    <x v="347"/>
    <x v="364"/>
    <x v="360"/>
  </r>
  <r>
    <x v="4"/>
    <x v="1"/>
    <x v="4"/>
    <x v="2"/>
    <x v="10"/>
    <x v="83"/>
    <x v="1"/>
    <x v="3"/>
    <x v="3"/>
    <x v="1"/>
    <x v="258"/>
    <x v="282"/>
    <x v="317"/>
    <x v="353"/>
    <x v="350"/>
    <x v="4"/>
    <x v="2"/>
  </r>
  <r>
    <x v="4"/>
    <x v="1"/>
    <x v="4"/>
    <x v="2"/>
    <x v="11"/>
    <x v="84"/>
    <x v="1"/>
    <x v="3"/>
    <x v="216"/>
    <x v="1"/>
    <x v="3"/>
    <x v="281"/>
    <x v="3"/>
    <x v="2"/>
    <x v="1"/>
    <x v="4"/>
    <x v="2"/>
  </r>
  <r>
    <x v="4"/>
    <x v="1"/>
    <x v="4"/>
    <x v="2"/>
    <x v="12"/>
    <x v="1"/>
    <x v="1"/>
    <x v="3"/>
    <x v="3"/>
    <x v="1"/>
    <x v="3"/>
    <x v="2"/>
    <x v="318"/>
    <x v="2"/>
    <x v="1"/>
    <x v="4"/>
    <x v="2"/>
  </r>
  <r>
    <x v="4"/>
    <x v="1"/>
    <x v="5"/>
    <x v="0"/>
    <x v="15"/>
    <x v="85"/>
    <x v="113"/>
    <x v="131"/>
    <x v="217"/>
    <x v="244"/>
    <x v="259"/>
    <x v="284"/>
    <x v="319"/>
    <x v="354"/>
    <x v="351"/>
    <x v="365"/>
    <x v="361"/>
  </r>
  <r>
    <x v="4"/>
    <x v="1"/>
    <x v="5"/>
    <x v="2"/>
    <x v="8"/>
    <x v="1"/>
    <x v="113"/>
    <x v="131"/>
    <x v="218"/>
    <x v="245"/>
    <x v="260"/>
    <x v="285"/>
    <x v="320"/>
    <x v="355"/>
    <x v="352"/>
    <x v="4"/>
    <x v="362"/>
  </r>
  <r>
    <x v="4"/>
    <x v="1"/>
    <x v="5"/>
    <x v="2"/>
    <x v="9"/>
    <x v="86"/>
    <x v="1"/>
    <x v="3"/>
    <x v="3"/>
    <x v="246"/>
    <x v="261"/>
    <x v="2"/>
    <x v="321"/>
    <x v="356"/>
    <x v="353"/>
    <x v="365"/>
    <x v="363"/>
  </r>
  <r>
    <x v="4"/>
    <x v="1"/>
    <x v="5"/>
    <x v="2"/>
    <x v="10"/>
    <x v="87"/>
    <x v="1"/>
    <x v="3"/>
    <x v="3"/>
    <x v="1"/>
    <x v="262"/>
    <x v="286"/>
    <x v="322"/>
    <x v="357"/>
    <x v="354"/>
    <x v="4"/>
    <x v="2"/>
  </r>
  <r>
    <x v="4"/>
    <x v="1"/>
    <x v="5"/>
    <x v="2"/>
    <x v="11"/>
    <x v="88"/>
    <x v="1"/>
    <x v="3"/>
    <x v="216"/>
    <x v="1"/>
    <x v="3"/>
    <x v="281"/>
    <x v="3"/>
    <x v="2"/>
    <x v="1"/>
    <x v="4"/>
    <x v="2"/>
  </r>
  <r>
    <x v="4"/>
    <x v="1"/>
    <x v="5"/>
    <x v="2"/>
    <x v="12"/>
    <x v="1"/>
    <x v="1"/>
    <x v="3"/>
    <x v="3"/>
    <x v="1"/>
    <x v="3"/>
    <x v="2"/>
    <x v="323"/>
    <x v="2"/>
    <x v="1"/>
    <x v="4"/>
    <x v="2"/>
  </r>
  <r>
    <x v="4"/>
    <x v="1"/>
    <x v="6"/>
    <x v="0"/>
    <x v="15"/>
    <x v="85"/>
    <x v="114"/>
    <x v="132"/>
    <x v="219"/>
    <x v="247"/>
    <x v="263"/>
    <x v="287"/>
    <x v="324"/>
    <x v="358"/>
    <x v="355"/>
    <x v="366"/>
    <x v="364"/>
  </r>
  <r>
    <x v="4"/>
    <x v="1"/>
    <x v="7"/>
    <x v="0"/>
    <x v="15"/>
    <x v="89"/>
    <x v="115"/>
    <x v="133"/>
    <x v="220"/>
    <x v="248"/>
    <x v="264"/>
    <x v="288"/>
    <x v="325"/>
    <x v="359"/>
    <x v="356"/>
    <x v="367"/>
    <x v="365"/>
  </r>
  <r>
    <x v="4"/>
    <x v="1"/>
    <x v="7"/>
    <x v="1"/>
    <x v="1"/>
    <x v="90"/>
    <x v="116"/>
    <x v="134"/>
    <x v="3"/>
    <x v="1"/>
    <x v="265"/>
    <x v="281"/>
    <x v="326"/>
    <x v="360"/>
    <x v="357"/>
    <x v="4"/>
    <x v="366"/>
  </r>
  <r>
    <x v="4"/>
    <x v="1"/>
    <x v="7"/>
    <x v="1"/>
    <x v="2"/>
    <x v="1"/>
    <x v="1"/>
    <x v="130"/>
    <x v="3"/>
    <x v="249"/>
    <x v="266"/>
    <x v="289"/>
    <x v="327"/>
    <x v="361"/>
    <x v="358"/>
    <x v="4"/>
    <x v="367"/>
  </r>
  <r>
    <x v="4"/>
    <x v="1"/>
    <x v="7"/>
    <x v="1"/>
    <x v="3"/>
    <x v="91"/>
    <x v="117"/>
    <x v="3"/>
    <x v="3"/>
    <x v="250"/>
    <x v="267"/>
    <x v="2"/>
    <x v="328"/>
    <x v="362"/>
    <x v="1"/>
    <x v="367"/>
    <x v="368"/>
  </r>
  <r>
    <x v="4"/>
    <x v="1"/>
    <x v="7"/>
    <x v="1"/>
    <x v="4"/>
    <x v="1"/>
    <x v="1"/>
    <x v="3"/>
    <x v="220"/>
    <x v="251"/>
    <x v="268"/>
    <x v="2"/>
    <x v="3"/>
    <x v="363"/>
    <x v="1"/>
    <x v="4"/>
    <x v="369"/>
  </r>
  <r>
    <x v="4"/>
    <x v="1"/>
    <x v="7"/>
    <x v="1"/>
    <x v="5"/>
    <x v="1"/>
    <x v="1"/>
    <x v="3"/>
    <x v="3"/>
    <x v="1"/>
    <x v="3"/>
    <x v="290"/>
    <x v="3"/>
    <x v="2"/>
    <x v="1"/>
    <x v="4"/>
    <x v="2"/>
  </r>
  <r>
    <x v="4"/>
    <x v="1"/>
    <x v="7"/>
    <x v="1"/>
    <x v="6"/>
    <x v="1"/>
    <x v="1"/>
    <x v="3"/>
    <x v="3"/>
    <x v="1"/>
    <x v="3"/>
    <x v="2"/>
    <x v="3"/>
    <x v="2"/>
    <x v="1"/>
    <x v="4"/>
    <x v="2"/>
  </r>
  <r>
    <x v="4"/>
    <x v="1"/>
    <x v="7"/>
    <x v="1"/>
    <x v="7"/>
    <x v="1"/>
    <x v="1"/>
    <x v="3"/>
    <x v="3"/>
    <x v="1"/>
    <x v="3"/>
    <x v="2"/>
    <x v="329"/>
    <x v="2"/>
    <x v="1"/>
    <x v="4"/>
    <x v="2"/>
  </r>
  <r>
    <x v="4"/>
    <x v="1"/>
    <x v="7"/>
    <x v="2"/>
    <x v="8"/>
    <x v="1"/>
    <x v="115"/>
    <x v="133"/>
    <x v="221"/>
    <x v="252"/>
    <x v="269"/>
    <x v="290"/>
    <x v="330"/>
    <x v="364"/>
    <x v="359"/>
    <x v="4"/>
    <x v="370"/>
  </r>
  <r>
    <x v="4"/>
    <x v="1"/>
    <x v="7"/>
    <x v="2"/>
    <x v="9"/>
    <x v="92"/>
    <x v="1"/>
    <x v="3"/>
    <x v="3"/>
    <x v="253"/>
    <x v="270"/>
    <x v="2"/>
    <x v="327"/>
    <x v="360"/>
    <x v="357"/>
    <x v="367"/>
    <x v="371"/>
  </r>
  <r>
    <x v="4"/>
    <x v="1"/>
    <x v="7"/>
    <x v="2"/>
    <x v="10"/>
    <x v="93"/>
    <x v="1"/>
    <x v="3"/>
    <x v="3"/>
    <x v="1"/>
    <x v="271"/>
    <x v="289"/>
    <x v="331"/>
    <x v="365"/>
    <x v="360"/>
    <x v="4"/>
    <x v="2"/>
  </r>
  <r>
    <x v="4"/>
    <x v="1"/>
    <x v="7"/>
    <x v="2"/>
    <x v="11"/>
    <x v="94"/>
    <x v="1"/>
    <x v="3"/>
    <x v="216"/>
    <x v="1"/>
    <x v="3"/>
    <x v="281"/>
    <x v="3"/>
    <x v="2"/>
    <x v="1"/>
    <x v="4"/>
    <x v="2"/>
  </r>
  <r>
    <x v="4"/>
    <x v="1"/>
    <x v="7"/>
    <x v="2"/>
    <x v="12"/>
    <x v="1"/>
    <x v="1"/>
    <x v="3"/>
    <x v="3"/>
    <x v="1"/>
    <x v="3"/>
    <x v="2"/>
    <x v="318"/>
    <x v="2"/>
    <x v="1"/>
    <x v="4"/>
    <x v="2"/>
  </r>
  <r>
    <x v="4"/>
    <x v="1"/>
    <x v="4"/>
    <x v="0"/>
    <x v="36"/>
    <x v="95"/>
    <x v="118"/>
    <x v="3"/>
    <x v="3"/>
    <x v="254"/>
    <x v="272"/>
    <x v="291"/>
    <x v="332"/>
    <x v="366"/>
    <x v="361"/>
    <x v="368"/>
    <x v="372"/>
  </r>
  <r>
    <x v="4"/>
    <x v="1"/>
    <x v="4"/>
    <x v="0"/>
    <x v="37"/>
    <x v="96"/>
    <x v="119"/>
    <x v="135"/>
    <x v="222"/>
    <x v="255"/>
    <x v="273"/>
    <x v="292"/>
    <x v="333"/>
    <x v="367"/>
    <x v="362"/>
    <x v="4"/>
    <x v="373"/>
  </r>
  <r>
    <x v="4"/>
    <x v="1"/>
    <x v="4"/>
    <x v="0"/>
    <x v="38"/>
    <x v="1"/>
    <x v="1"/>
    <x v="3"/>
    <x v="3"/>
    <x v="1"/>
    <x v="3"/>
    <x v="2"/>
    <x v="3"/>
    <x v="2"/>
    <x v="1"/>
    <x v="4"/>
    <x v="2"/>
  </r>
  <r>
    <x v="4"/>
    <x v="1"/>
    <x v="4"/>
    <x v="5"/>
    <x v="8"/>
    <x v="1"/>
    <x v="118"/>
    <x v="3"/>
    <x v="3"/>
    <x v="256"/>
    <x v="272"/>
    <x v="2"/>
    <x v="334"/>
    <x v="366"/>
    <x v="1"/>
    <x v="4"/>
    <x v="2"/>
  </r>
  <r>
    <x v="4"/>
    <x v="1"/>
    <x v="4"/>
    <x v="5"/>
    <x v="9"/>
    <x v="97"/>
    <x v="1"/>
    <x v="3"/>
    <x v="3"/>
    <x v="257"/>
    <x v="3"/>
    <x v="2"/>
    <x v="335"/>
    <x v="2"/>
    <x v="363"/>
    <x v="368"/>
    <x v="372"/>
  </r>
  <r>
    <x v="4"/>
    <x v="1"/>
    <x v="4"/>
    <x v="5"/>
    <x v="10"/>
    <x v="98"/>
    <x v="1"/>
    <x v="3"/>
    <x v="3"/>
    <x v="1"/>
    <x v="3"/>
    <x v="291"/>
    <x v="336"/>
    <x v="2"/>
    <x v="364"/>
    <x v="4"/>
    <x v="2"/>
  </r>
  <r>
    <x v="4"/>
    <x v="1"/>
    <x v="4"/>
    <x v="5"/>
    <x v="11"/>
    <x v="1"/>
    <x v="1"/>
    <x v="3"/>
    <x v="3"/>
    <x v="1"/>
    <x v="3"/>
    <x v="2"/>
    <x v="3"/>
    <x v="2"/>
    <x v="1"/>
    <x v="4"/>
    <x v="2"/>
  </r>
  <r>
    <x v="4"/>
    <x v="1"/>
    <x v="4"/>
    <x v="5"/>
    <x v="12"/>
    <x v="1"/>
    <x v="1"/>
    <x v="3"/>
    <x v="3"/>
    <x v="1"/>
    <x v="3"/>
    <x v="2"/>
    <x v="337"/>
    <x v="2"/>
    <x v="1"/>
    <x v="4"/>
    <x v="2"/>
  </r>
  <r>
    <x v="4"/>
    <x v="1"/>
    <x v="4"/>
    <x v="6"/>
    <x v="8"/>
    <x v="1"/>
    <x v="119"/>
    <x v="135"/>
    <x v="222"/>
    <x v="255"/>
    <x v="274"/>
    <x v="292"/>
    <x v="338"/>
    <x v="368"/>
    <x v="365"/>
    <x v="4"/>
    <x v="373"/>
  </r>
  <r>
    <x v="4"/>
    <x v="1"/>
    <x v="4"/>
    <x v="6"/>
    <x v="9"/>
    <x v="1"/>
    <x v="1"/>
    <x v="3"/>
    <x v="3"/>
    <x v="1"/>
    <x v="275"/>
    <x v="2"/>
    <x v="339"/>
    <x v="369"/>
    <x v="366"/>
    <x v="4"/>
    <x v="2"/>
  </r>
  <r>
    <x v="4"/>
    <x v="1"/>
    <x v="4"/>
    <x v="6"/>
    <x v="10"/>
    <x v="1"/>
    <x v="1"/>
    <x v="3"/>
    <x v="3"/>
    <x v="1"/>
    <x v="276"/>
    <x v="2"/>
    <x v="340"/>
    <x v="370"/>
    <x v="1"/>
    <x v="4"/>
    <x v="2"/>
  </r>
  <r>
    <x v="4"/>
    <x v="1"/>
    <x v="4"/>
    <x v="6"/>
    <x v="11"/>
    <x v="96"/>
    <x v="1"/>
    <x v="3"/>
    <x v="3"/>
    <x v="1"/>
    <x v="3"/>
    <x v="2"/>
    <x v="3"/>
    <x v="2"/>
    <x v="1"/>
    <x v="4"/>
    <x v="2"/>
  </r>
  <r>
    <x v="4"/>
    <x v="1"/>
    <x v="4"/>
    <x v="6"/>
    <x v="12"/>
    <x v="1"/>
    <x v="1"/>
    <x v="3"/>
    <x v="3"/>
    <x v="1"/>
    <x v="3"/>
    <x v="2"/>
    <x v="3"/>
    <x v="2"/>
    <x v="1"/>
    <x v="4"/>
    <x v="2"/>
  </r>
  <r>
    <x v="4"/>
    <x v="1"/>
    <x v="4"/>
    <x v="0"/>
    <x v="39"/>
    <x v="99"/>
    <x v="120"/>
    <x v="3"/>
    <x v="3"/>
    <x v="258"/>
    <x v="277"/>
    <x v="286"/>
    <x v="341"/>
    <x v="371"/>
    <x v="367"/>
    <x v="365"/>
    <x v="363"/>
  </r>
  <r>
    <x v="4"/>
    <x v="1"/>
    <x v="4"/>
    <x v="0"/>
    <x v="40"/>
    <x v="88"/>
    <x v="121"/>
    <x v="131"/>
    <x v="218"/>
    <x v="259"/>
    <x v="278"/>
    <x v="285"/>
    <x v="342"/>
    <x v="372"/>
    <x v="368"/>
    <x v="4"/>
    <x v="362"/>
  </r>
  <r>
    <x v="4"/>
    <x v="1"/>
    <x v="4"/>
    <x v="0"/>
    <x v="41"/>
    <x v="1"/>
    <x v="1"/>
    <x v="3"/>
    <x v="216"/>
    <x v="1"/>
    <x v="3"/>
    <x v="281"/>
    <x v="3"/>
    <x v="2"/>
    <x v="1"/>
    <x v="4"/>
    <x v="2"/>
  </r>
  <r>
    <x v="4"/>
    <x v="1"/>
    <x v="8"/>
    <x v="0"/>
    <x v="39"/>
    <x v="99"/>
    <x v="122"/>
    <x v="136"/>
    <x v="223"/>
    <x v="260"/>
    <x v="279"/>
    <x v="293"/>
    <x v="343"/>
    <x v="373"/>
    <x v="369"/>
    <x v="369"/>
    <x v="374"/>
  </r>
  <r>
    <x v="4"/>
    <x v="1"/>
    <x v="8"/>
    <x v="0"/>
    <x v="40"/>
    <x v="88"/>
    <x v="123"/>
    <x v="137"/>
    <x v="224"/>
    <x v="261"/>
    <x v="280"/>
    <x v="294"/>
    <x v="344"/>
    <x v="374"/>
    <x v="370"/>
    <x v="370"/>
    <x v="375"/>
  </r>
  <r>
    <x v="4"/>
    <x v="1"/>
    <x v="8"/>
    <x v="0"/>
    <x v="41"/>
    <x v="1"/>
    <x v="1"/>
    <x v="3"/>
    <x v="216"/>
    <x v="262"/>
    <x v="281"/>
    <x v="295"/>
    <x v="345"/>
    <x v="375"/>
    <x v="371"/>
    <x v="371"/>
    <x v="376"/>
  </r>
  <r>
    <x v="4"/>
    <x v="1"/>
    <x v="8"/>
    <x v="0"/>
    <x v="27"/>
    <x v="79"/>
    <x v="124"/>
    <x v="138"/>
    <x v="225"/>
    <x v="263"/>
    <x v="282"/>
    <x v="296"/>
    <x v="346"/>
    <x v="376"/>
    <x v="372"/>
    <x v="372"/>
    <x v="377"/>
  </r>
  <r>
    <x v="4"/>
    <x v="1"/>
    <x v="8"/>
    <x v="1"/>
    <x v="1"/>
    <x v="80"/>
    <x v="125"/>
    <x v="139"/>
    <x v="226"/>
    <x v="264"/>
    <x v="283"/>
    <x v="297"/>
    <x v="347"/>
    <x v="377"/>
    <x v="373"/>
    <x v="373"/>
    <x v="378"/>
  </r>
  <r>
    <x v="4"/>
    <x v="1"/>
    <x v="8"/>
    <x v="1"/>
    <x v="2"/>
    <x v="1"/>
    <x v="1"/>
    <x v="130"/>
    <x v="227"/>
    <x v="265"/>
    <x v="284"/>
    <x v="298"/>
    <x v="348"/>
    <x v="378"/>
    <x v="374"/>
    <x v="374"/>
    <x v="379"/>
  </r>
  <r>
    <x v="4"/>
    <x v="1"/>
    <x v="8"/>
    <x v="1"/>
    <x v="3"/>
    <x v="81"/>
    <x v="126"/>
    <x v="140"/>
    <x v="228"/>
    <x v="266"/>
    <x v="285"/>
    <x v="299"/>
    <x v="349"/>
    <x v="379"/>
    <x v="375"/>
    <x v="375"/>
    <x v="380"/>
  </r>
  <r>
    <x v="4"/>
    <x v="1"/>
    <x v="8"/>
    <x v="1"/>
    <x v="4"/>
    <x v="1"/>
    <x v="1"/>
    <x v="3"/>
    <x v="214"/>
    <x v="267"/>
    <x v="286"/>
    <x v="300"/>
    <x v="350"/>
    <x v="380"/>
    <x v="376"/>
    <x v="376"/>
    <x v="381"/>
  </r>
  <r>
    <x v="4"/>
    <x v="1"/>
    <x v="8"/>
    <x v="1"/>
    <x v="5"/>
    <x v="1"/>
    <x v="1"/>
    <x v="3"/>
    <x v="3"/>
    <x v="1"/>
    <x v="3"/>
    <x v="283"/>
    <x v="351"/>
    <x v="381"/>
    <x v="377"/>
    <x v="377"/>
    <x v="382"/>
  </r>
  <r>
    <x v="4"/>
    <x v="1"/>
    <x v="8"/>
    <x v="1"/>
    <x v="6"/>
    <x v="1"/>
    <x v="1"/>
    <x v="3"/>
    <x v="3"/>
    <x v="1"/>
    <x v="3"/>
    <x v="2"/>
    <x v="3"/>
    <x v="2"/>
    <x v="1"/>
    <x v="4"/>
    <x v="2"/>
  </r>
  <r>
    <x v="4"/>
    <x v="1"/>
    <x v="8"/>
    <x v="1"/>
    <x v="7"/>
    <x v="1"/>
    <x v="1"/>
    <x v="3"/>
    <x v="3"/>
    <x v="1"/>
    <x v="3"/>
    <x v="2"/>
    <x v="315"/>
    <x v="382"/>
    <x v="378"/>
    <x v="378"/>
    <x v="383"/>
  </r>
  <r>
    <x v="4"/>
    <x v="1"/>
    <x v="8"/>
    <x v="11"/>
    <x v="1"/>
    <x v="100"/>
    <x v="127"/>
    <x v="141"/>
    <x v="229"/>
    <x v="268"/>
    <x v="287"/>
    <x v="301"/>
    <x v="352"/>
    <x v="383"/>
    <x v="379"/>
    <x v="379"/>
    <x v="384"/>
  </r>
  <r>
    <x v="4"/>
    <x v="1"/>
    <x v="8"/>
    <x v="11"/>
    <x v="2"/>
    <x v="1"/>
    <x v="1"/>
    <x v="142"/>
    <x v="230"/>
    <x v="269"/>
    <x v="288"/>
    <x v="302"/>
    <x v="353"/>
    <x v="384"/>
    <x v="380"/>
    <x v="380"/>
    <x v="385"/>
  </r>
  <r>
    <x v="4"/>
    <x v="1"/>
    <x v="8"/>
    <x v="11"/>
    <x v="3"/>
    <x v="101"/>
    <x v="128"/>
    <x v="143"/>
    <x v="231"/>
    <x v="270"/>
    <x v="289"/>
    <x v="303"/>
    <x v="354"/>
    <x v="385"/>
    <x v="381"/>
    <x v="381"/>
    <x v="386"/>
  </r>
  <r>
    <x v="4"/>
    <x v="1"/>
    <x v="8"/>
    <x v="11"/>
    <x v="4"/>
    <x v="1"/>
    <x v="1"/>
    <x v="3"/>
    <x v="232"/>
    <x v="271"/>
    <x v="290"/>
    <x v="304"/>
    <x v="355"/>
    <x v="386"/>
    <x v="382"/>
    <x v="382"/>
    <x v="387"/>
  </r>
  <r>
    <x v="4"/>
    <x v="1"/>
    <x v="8"/>
    <x v="11"/>
    <x v="5"/>
    <x v="1"/>
    <x v="1"/>
    <x v="3"/>
    <x v="3"/>
    <x v="1"/>
    <x v="3"/>
    <x v="305"/>
    <x v="356"/>
    <x v="387"/>
    <x v="383"/>
    <x v="383"/>
    <x v="388"/>
  </r>
  <r>
    <x v="4"/>
    <x v="1"/>
    <x v="8"/>
    <x v="11"/>
    <x v="6"/>
    <x v="1"/>
    <x v="1"/>
    <x v="3"/>
    <x v="3"/>
    <x v="1"/>
    <x v="3"/>
    <x v="2"/>
    <x v="3"/>
    <x v="2"/>
    <x v="1"/>
    <x v="4"/>
    <x v="2"/>
  </r>
  <r>
    <x v="4"/>
    <x v="1"/>
    <x v="8"/>
    <x v="11"/>
    <x v="7"/>
    <x v="1"/>
    <x v="1"/>
    <x v="3"/>
    <x v="3"/>
    <x v="1"/>
    <x v="3"/>
    <x v="2"/>
    <x v="357"/>
    <x v="388"/>
    <x v="384"/>
    <x v="384"/>
    <x v="389"/>
  </r>
  <r>
    <x v="4"/>
    <x v="1"/>
    <x v="8"/>
    <x v="2"/>
    <x v="8"/>
    <x v="1"/>
    <x v="110"/>
    <x v="144"/>
    <x v="233"/>
    <x v="272"/>
    <x v="291"/>
    <x v="306"/>
    <x v="358"/>
    <x v="389"/>
    <x v="385"/>
    <x v="385"/>
    <x v="390"/>
  </r>
  <r>
    <x v="4"/>
    <x v="1"/>
    <x v="8"/>
    <x v="2"/>
    <x v="9"/>
    <x v="82"/>
    <x v="129"/>
    <x v="145"/>
    <x v="234"/>
    <x v="273"/>
    <x v="292"/>
    <x v="307"/>
    <x v="359"/>
    <x v="390"/>
    <x v="386"/>
    <x v="386"/>
    <x v="391"/>
  </r>
  <r>
    <x v="4"/>
    <x v="1"/>
    <x v="8"/>
    <x v="2"/>
    <x v="10"/>
    <x v="83"/>
    <x v="130"/>
    <x v="146"/>
    <x v="235"/>
    <x v="274"/>
    <x v="293"/>
    <x v="308"/>
    <x v="360"/>
    <x v="391"/>
    <x v="387"/>
    <x v="387"/>
    <x v="392"/>
  </r>
  <r>
    <x v="4"/>
    <x v="1"/>
    <x v="8"/>
    <x v="2"/>
    <x v="11"/>
    <x v="84"/>
    <x v="131"/>
    <x v="147"/>
    <x v="236"/>
    <x v="275"/>
    <x v="294"/>
    <x v="309"/>
    <x v="361"/>
    <x v="392"/>
    <x v="388"/>
    <x v="388"/>
    <x v="393"/>
  </r>
  <r>
    <x v="4"/>
    <x v="1"/>
    <x v="8"/>
    <x v="2"/>
    <x v="12"/>
    <x v="1"/>
    <x v="1"/>
    <x v="3"/>
    <x v="3"/>
    <x v="1"/>
    <x v="3"/>
    <x v="2"/>
    <x v="318"/>
    <x v="393"/>
    <x v="389"/>
    <x v="389"/>
    <x v="394"/>
  </r>
  <r>
    <x v="4"/>
    <x v="1"/>
    <x v="8"/>
    <x v="11"/>
    <x v="8"/>
    <x v="1"/>
    <x v="132"/>
    <x v="148"/>
    <x v="237"/>
    <x v="276"/>
    <x v="295"/>
    <x v="310"/>
    <x v="362"/>
    <x v="394"/>
    <x v="390"/>
    <x v="390"/>
    <x v="395"/>
  </r>
  <r>
    <x v="4"/>
    <x v="1"/>
    <x v="8"/>
    <x v="11"/>
    <x v="9"/>
    <x v="102"/>
    <x v="133"/>
    <x v="149"/>
    <x v="238"/>
    <x v="277"/>
    <x v="296"/>
    <x v="311"/>
    <x v="363"/>
    <x v="395"/>
    <x v="391"/>
    <x v="391"/>
    <x v="396"/>
  </r>
  <r>
    <x v="4"/>
    <x v="1"/>
    <x v="8"/>
    <x v="11"/>
    <x v="10"/>
    <x v="103"/>
    <x v="134"/>
    <x v="150"/>
    <x v="239"/>
    <x v="278"/>
    <x v="297"/>
    <x v="312"/>
    <x v="364"/>
    <x v="396"/>
    <x v="392"/>
    <x v="392"/>
    <x v="397"/>
  </r>
  <r>
    <x v="4"/>
    <x v="1"/>
    <x v="8"/>
    <x v="11"/>
    <x v="11"/>
    <x v="104"/>
    <x v="135"/>
    <x v="151"/>
    <x v="240"/>
    <x v="279"/>
    <x v="298"/>
    <x v="313"/>
    <x v="365"/>
    <x v="397"/>
    <x v="393"/>
    <x v="393"/>
    <x v="398"/>
  </r>
  <r>
    <x v="4"/>
    <x v="1"/>
    <x v="8"/>
    <x v="11"/>
    <x v="12"/>
    <x v="1"/>
    <x v="1"/>
    <x v="3"/>
    <x v="3"/>
    <x v="1"/>
    <x v="3"/>
    <x v="2"/>
    <x v="366"/>
    <x v="398"/>
    <x v="394"/>
    <x v="394"/>
    <x v="399"/>
  </r>
  <r>
    <x v="4"/>
    <x v="1"/>
    <x v="9"/>
    <x v="0"/>
    <x v="27"/>
    <x v="89"/>
    <x v="136"/>
    <x v="152"/>
    <x v="241"/>
    <x v="280"/>
    <x v="299"/>
    <x v="314"/>
    <x v="367"/>
    <x v="399"/>
    <x v="395"/>
    <x v="395"/>
    <x v="400"/>
  </r>
  <r>
    <x v="4"/>
    <x v="1"/>
    <x v="9"/>
    <x v="1"/>
    <x v="1"/>
    <x v="90"/>
    <x v="137"/>
    <x v="153"/>
    <x v="242"/>
    <x v="281"/>
    <x v="300"/>
    <x v="315"/>
    <x v="368"/>
    <x v="400"/>
    <x v="396"/>
    <x v="396"/>
    <x v="401"/>
  </r>
  <r>
    <x v="4"/>
    <x v="1"/>
    <x v="9"/>
    <x v="1"/>
    <x v="2"/>
    <x v="1"/>
    <x v="1"/>
    <x v="130"/>
    <x v="227"/>
    <x v="282"/>
    <x v="301"/>
    <x v="316"/>
    <x v="369"/>
    <x v="401"/>
    <x v="397"/>
    <x v="397"/>
    <x v="402"/>
  </r>
  <r>
    <x v="4"/>
    <x v="1"/>
    <x v="9"/>
    <x v="1"/>
    <x v="3"/>
    <x v="91"/>
    <x v="138"/>
    <x v="154"/>
    <x v="243"/>
    <x v="283"/>
    <x v="302"/>
    <x v="317"/>
    <x v="370"/>
    <x v="402"/>
    <x v="398"/>
    <x v="398"/>
    <x v="403"/>
  </r>
  <r>
    <x v="4"/>
    <x v="1"/>
    <x v="9"/>
    <x v="1"/>
    <x v="4"/>
    <x v="1"/>
    <x v="1"/>
    <x v="3"/>
    <x v="220"/>
    <x v="284"/>
    <x v="303"/>
    <x v="318"/>
    <x v="371"/>
    <x v="403"/>
    <x v="399"/>
    <x v="399"/>
    <x v="404"/>
  </r>
  <r>
    <x v="4"/>
    <x v="1"/>
    <x v="9"/>
    <x v="1"/>
    <x v="5"/>
    <x v="1"/>
    <x v="1"/>
    <x v="3"/>
    <x v="3"/>
    <x v="1"/>
    <x v="3"/>
    <x v="290"/>
    <x v="372"/>
    <x v="404"/>
    <x v="400"/>
    <x v="400"/>
    <x v="405"/>
  </r>
  <r>
    <x v="4"/>
    <x v="1"/>
    <x v="9"/>
    <x v="1"/>
    <x v="6"/>
    <x v="1"/>
    <x v="1"/>
    <x v="3"/>
    <x v="3"/>
    <x v="1"/>
    <x v="3"/>
    <x v="2"/>
    <x v="3"/>
    <x v="2"/>
    <x v="1"/>
    <x v="4"/>
    <x v="2"/>
  </r>
  <r>
    <x v="4"/>
    <x v="1"/>
    <x v="9"/>
    <x v="1"/>
    <x v="7"/>
    <x v="1"/>
    <x v="1"/>
    <x v="3"/>
    <x v="3"/>
    <x v="1"/>
    <x v="3"/>
    <x v="2"/>
    <x v="329"/>
    <x v="405"/>
    <x v="401"/>
    <x v="401"/>
    <x v="406"/>
  </r>
  <r>
    <x v="4"/>
    <x v="1"/>
    <x v="9"/>
    <x v="11"/>
    <x v="1"/>
    <x v="105"/>
    <x v="139"/>
    <x v="155"/>
    <x v="244"/>
    <x v="285"/>
    <x v="304"/>
    <x v="319"/>
    <x v="373"/>
    <x v="406"/>
    <x v="402"/>
    <x v="402"/>
    <x v="407"/>
  </r>
  <r>
    <x v="4"/>
    <x v="1"/>
    <x v="9"/>
    <x v="11"/>
    <x v="2"/>
    <x v="1"/>
    <x v="1"/>
    <x v="156"/>
    <x v="245"/>
    <x v="286"/>
    <x v="305"/>
    <x v="320"/>
    <x v="374"/>
    <x v="407"/>
    <x v="403"/>
    <x v="403"/>
    <x v="408"/>
  </r>
  <r>
    <x v="4"/>
    <x v="1"/>
    <x v="9"/>
    <x v="11"/>
    <x v="3"/>
    <x v="106"/>
    <x v="140"/>
    <x v="157"/>
    <x v="246"/>
    <x v="287"/>
    <x v="306"/>
    <x v="321"/>
    <x v="375"/>
    <x v="408"/>
    <x v="404"/>
    <x v="404"/>
    <x v="409"/>
  </r>
  <r>
    <x v="4"/>
    <x v="1"/>
    <x v="9"/>
    <x v="11"/>
    <x v="4"/>
    <x v="1"/>
    <x v="1"/>
    <x v="3"/>
    <x v="247"/>
    <x v="288"/>
    <x v="307"/>
    <x v="322"/>
    <x v="376"/>
    <x v="409"/>
    <x v="405"/>
    <x v="405"/>
    <x v="410"/>
  </r>
  <r>
    <x v="4"/>
    <x v="1"/>
    <x v="9"/>
    <x v="11"/>
    <x v="5"/>
    <x v="1"/>
    <x v="1"/>
    <x v="3"/>
    <x v="3"/>
    <x v="1"/>
    <x v="3"/>
    <x v="323"/>
    <x v="377"/>
    <x v="410"/>
    <x v="406"/>
    <x v="406"/>
    <x v="411"/>
  </r>
  <r>
    <x v="4"/>
    <x v="1"/>
    <x v="9"/>
    <x v="11"/>
    <x v="6"/>
    <x v="1"/>
    <x v="1"/>
    <x v="3"/>
    <x v="3"/>
    <x v="1"/>
    <x v="3"/>
    <x v="2"/>
    <x v="3"/>
    <x v="2"/>
    <x v="1"/>
    <x v="4"/>
    <x v="2"/>
  </r>
  <r>
    <x v="4"/>
    <x v="1"/>
    <x v="9"/>
    <x v="11"/>
    <x v="7"/>
    <x v="1"/>
    <x v="1"/>
    <x v="3"/>
    <x v="3"/>
    <x v="1"/>
    <x v="3"/>
    <x v="2"/>
    <x v="378"/>
    <x v="411"/>
    <x v="407"/>
    <x v="407"/>
    <x v="412"/>
  </r>
  <r>
    <x v="4"/>
    <x v="1"/>
    <x v="9"/>
    <x v="2"/>
    <x v="8"/>
    <x v="1"/>
    <x v="115"/>
    <x v="158"/>
    <x v="248"/>
    <x v="289"/>
    <x v="308"/>
    <x v="324"/>
    <x v="379"/>
    <x v="412"/>
    <x v="408"/>
    <x v="408"/>
    <x v="413"/>
  </r>
  <r>
    <x v="4"/>
    <x v="1"/>
    <x v="9"/>
    <x v="2"/>
    <x v="9"/>
    <x v="92"/>
    <x v="141"/>
    <x v="159"/>
    <x v="249"/>
    <x v="290"/>
    <x v="309"/>
    <x v="325"/>
    <x v="380"/>
    <x v="413"/>
    <x v="409"/>
    <x v="409"/>
    <x v="414"/>
  </r>
  <r>
    <x v="4"/>
    <x v="1"/>
    <x v="9"/>
    <x v="2"/>
    <x v="10"/>
    <x v="93"/>
    <x v="142"/>
    <x v="160"/>
    <x v="250"/>
    <x v="291"/>
    <x v="310"/>
    <x v="326"/>
    <x v="381"/>
    <x v="414"/>
    <x v="410"/>
    <x v="410"/>
    <x v="415"/>
  </r>
  <r>
    <x v="4"/>
    <x v="1"/>
    <x v="9"/>
    <x v="2"/>
    <x v="11"/>
    <x v="94"/>
    <x v="143"/>
    <x v="161"/>
    <x v="251"/>
    <x v="292"/>
    <x v="311"/>
    <x v="327"/>
    <x v="382"/>
    <x v="415"/>
    <x v="411"/>
    <x v="411"/>
    <x v="416"/>
  </r>
  <r>
    <x v="4"/>
    <x v="1"/>
    <x v="9"/>
    <x v="2"/>
    <x v="12"/>
    <x v="1"/>
    <x v="1"/>
    <x v="3"/>
    <x v="3"/>
    <x v="1"/>
    <x v="3"/>
    <x v="2"/>
    <x v="318"/>
    <x v="393"/>
    <x v="389"/>
    <x v="389"/>
    <x v="394"/>
  </r>
  <r>
    <x v="4"/>
    <x v="1"/>
    <x v="9"/>
    <x v="11"/>
    <x v="8"/>
    <x v="1"/>
    <x v="144"/>
    <x v="162"/>
    <x v="252"/>
    <x v="293"/>
    <x v="312"/>
    <x v="328"/>
    <x v="383"/>
    <x v="416"/>
    <x v="412"/>
    <x v="412"/>
    <x v="417"/>
  </r>
  <r>
    <x v="4"/>
    <x v="1"/>
    <x v="9"/>
    <x v="11"/>
    <x v="9"/>
    <x v="107"/>
    <x v="145"/>
    <x v="163"/>
    <x v="253"/>
    <x v="294"/>
    <x v="313"/>
    <x v="329"/>
    <x v="384"/>
    <x v="417"/>
    <x v="413"/>
    <x v="413"/>
    <x v="418"/>
  </r>
  <r>
    <x v="4"/>
    <x v="1"/>
    <x v="9"/>
    <x v="11"/>
    <x v="10"/>
    <x v="108"/>
    <x v="146"/>
    <x v="164"/>
    <x v="254"/>
    <x v="295"/>
    <x v="314"/>
    <x v="330"/>
    <x v="385"/>
    <x v="418"/>
    <x v="414"/>
    <x v="414"/>
    <x v="419"/>
  </r>
  <r>
    <x v="4"/>
    <x v="1"/>
    <x v="9"/>
    <x v="11"/>
    <x v="11"/>
    <x v="109"/>
    <x v="147"/>
    <x v="165"/>
    <x v="255"/>
    <x v="296"/>
    <x v="315"/>
    <x v="331"/>
    <x v="386"/>
    <x v="419"/>
    <x v="415"/>
    <x v="415"/>
    <x v="420"/>
  </r>
  <r>
    <x v="4"/>
    <x v="1"/>
    <x v="9"/>
    <x v="11"/>
    <x v="12"/>
    <x v="1"/>
    <x v="1"/>
    <x v="3"/>
    <x v="3"/>
    <x v="1"/>
    <x v="3"/>
    <x v="2"/>
    <x v="387"/>
    <x v="420"/>
    <x v="416"/>
    <x v="416"/>
    <x v="421"/>
  </r>
  <r>
    <x v="4"/>
    <x v="1"/>
    <x v="8"/>
    <x v="0"/>
    <x v="30"/>
    <x v="95"/>
    <x v="148"/>
    <x v="166"/>
    <x v="256"/>
    <x v="297"/>
    <x v="316"/>
    <x v="332"/>
    <x v="388"/>
    <x v="421"/>
    <x v="417"/>
    <x v="417"/>
    <x v="422"/>
  </r>
  <r>
    <x v="4"/>
    <x v="1"/>
    <x v="8"/>
    <x v="0"/>
    <x v="31"/>
    <x v="96"/>
    <x v="149"/>
    <x v="167"/>
    <x v="257"/>
    <x v="298"/>
    <x v="317"/>
    <x v="333"/>
    <x v="389"/>
    <x v="422"/>
    <x v="418"/>
    <x v="418"/>
    <x v="423"/>
  </r>
  <r>
    <x v="4"/>
    <x v="1"/>
    <x v="8"/>
    <x v="14"/>
    <x v="8"/>
    <x v="1"/>
    <x v="118"/>
    <x v="168"/>
    <x v="258"/>
    <x v="299"/>
    <x v="318"/>
    <x v="334"/>
    <x v="390"/>
    <x v="423"/>
    <x v="419"/>
    <x v="419"/>
    <x v="424"/>
  </r>
  <r>
    <x v="4"/>
    <x v="1"/>
    <x v="8"/>
    <x v="14"/>
    <x v="9"/>
    <x v="97"/>
    <x v="150"/>
    <x v="169"/>
    <x v="259"/>
    <x v="300"/>
    <x v="319"/>
    <x v="335"/>
    <x v="391"/>
    <x v="424"/>
    <x v="420"/>
    <x v="420"/>
    <x v="425"/>
  </r>
  <r>
    <x v="4"/>
    <x v="1"/>
    <x v="8"/>
    <x v="14"/>
    <x v="10"/>
    <x v="98"/>
    <x v="151"/>
    <x v="170"/>
    <x v="260"/>
    <x v="301"/>
    <x v="320"/>
    <x v="336"/>
    <x v="392"/>
    <x v="425"/>
    <x v="421"/>
    <x v="421"/>
    <x v="426"/>
  </r>
  <r>
    <x v="4"/>
    <x v="1"/>
    <x v="8"/>
    <x v="14"/>
    <x v="11"/>
    <x v="1"/>
    <x v="1"/>
    <x v="3"/>
    <x v="3"/>
    <x v="1"/>
    <x v="3"/>
    <x v="2"/>
    <x v="3"/>
    <x v="2"/>
    <x v="1"/>
    <x v="4"/>
    <x v="2"/>
  </r>
  <r>
    <x v="4"/>
    <x v="1"/>
    <x v="8"/>
    <x v="14"/>
    <x v="12"/>
    <x v="1"/>
    <x v="1"/>
    <x v="3"/>
    <x v="3"/>
    <x v="1"/>
    <x v="3"/>
    <x v="2"/>
    <x v="337"/>
    <x v="426"/>
    <x v="422"/>
    <x v="422"/>
    <x v="427"/>
  </r>
  <r>
    <x v="4"/>
    <x v="1"/>
    <x v="8"/>
    <x v="15"/>
    <x v="8"/>
    <x v="1"/>
    <x v="119"/>
    <x v="171"/>
    <x v="261"/>
    <x v="302"/>
    <x v="321"/>
    <x v="337"/>
    <x v="393"/>
    <x v="427"/>
    <x v="423"/>
    <x v="423"/>
    <x v="428"/>
  </r>
  <r>
    <x v="4"/>
    <x v="1"/>
    <x v="8"/>
    <x v="15"/>
    <x v="9"/>
    <x v="1"/>
    <x v="1"/>
    <x v="3"/>
    <x v="3"/>
    <x v="1"/>
    <x v="275"/>
    <x v="338"/>
    <x v="394"/>
    <x v="428"/>
    <x v="424"/>
    <x v="424"/>
    <x v="429"/>
  </r>
  <r>
    <x v="4"/>
    <x v="1"/>
    <x v="8"/>
    <x v="15"/>
    <x v="10"/>
    <x v="1"/>
    <x v="1"/>
    <x v="3"/>
    <x v="3"/>
    <x v="1"/>
    <x v="276"/>
    <x v="339"/>
    <x v="395"/>
    <x v="429"/>
    <x v="425"/>
    <x v="425"/>
    <x v="430"/>
  </r>
  <r>
    <x v="4"/>
    <x v="1"/>
    <x v="8"/>
    <x v="15"/>
    <x v="11"/>
    <x v="96"/>
    <x v="152"/>
    <x v="172"/>
    <x v="262"/>
    <x v="303"/>
    <x v="322"/>
    <x v="340"/>
    <x v="396"/>
    <x v="430"/>
    <x v="426"/>
    <x v="426"/>
    <x v="431"/>
  </r>
  <r>
    <x v="4"/>
    <x v="1"/>
    <x v="8"/>
    <x v="15"/>
    <x v="12"/>
    <x v="1"/>
    <x v="1"/>
    <x v="3"/>
    <x v="3"/>
    <x v="1"/>
    <x v="3"/>
    <x v="2"/>
    <x v="3"/>
    <x v="2"/>
    <x v="1"/>
    <x v="4"/>
    <x v="2"/>
  </r>
  <r>
    <x v="5"/>
    <x v="0"/>
    <x v="0"/>
    <x v="0"/>
    <x v="0"/>
    <x v="1"/>
    <x v="0"/>
    <x v="3"/>
    <x v="3"/>
    <x v="1"/>
    <x v="3"/>
    <x v="4"/>
    <x v="2"/>
    <x v="3"/>
    <x v="4"/>
    <x v="2"/>
    <x v="2"/>
  </r>
  <r>
    <x v="5"/>
    <x v="0"/>
    <x v="0"/>
    <x v="1"/>
    <x v="1"/>
    <x v="1"/>
    <x v="1"/>
    <x v="3"/>
    <x v="3"/>
    <x v="1"/>
    <x v="3"/>
    <x v="2"/>
    <x v="3"/>
    <x v="2"/>
    <x v="4"/>
    <x v="4"/>
    <x v="2"/>
  </r>
  <r>
    <x v="5"/>
    <x v="0"/>
    <x v="0"/>
    <x v="1"/>
    <x v="2"/>
    <x v="1"/>
    <x v="1"/>
    <x v="3"/>
    <x v="3"/>
    <x v="1"/>
    <x v="3"/>
    <x v="2"/>
    <x v="3"/>
    <x v="2"/>
    <x v="1"/>
    <x v="4"/>
    <x v="2"/>
  </r>
  <r>
    <x v="5"/>
    <x v="0"/>
    <x v="0"/>
    <x v="1"/>
    <x v="3"/>
    <x v="1"/>
    <x v="1"/>
    <x v="3"/>
    <x v="3"/>
    <x v="1"/>
    <x v="3"/>
    <x v="2"/>
    <x v="3"/>
    <x v="5"/>
    <x v="1"/>
    <x v="4"/>
    <x v="2"/>
  </r>
  <r>
    <x v="5"/>
    <x v="0"/>
    <x v="0"/>
    <x v="1"/>
    <x v="4"/>
    <x v="1"/>
    <x v="1"/>
    <x v="3"/>
    <x v="3"/>
    <x v="1"/>
    <x v="3"/>
    <x v="2"/>
    <x v="3"/>
    <x v="2"/>
    <x v="1"/>
    <x v="2"/>
    <x v="2"/>
  </r>
  <r>
    <x v="5"/>
    <x v="0"/>
    <x v="0"/>
    <x v="1"/>
    <x v="5"/>
    <x v="1"/>
    <x v="0"/>
    <x v="3"/>
    <x v="3"/>
    <x v="1"/>
    <x v="3"/>
    <x v="4"/>
    <x v="2"/>
    <x v="5"/>
    <x v="1"/>
    <x v="4"/>
    <x v="2"/>
  </r>
  <r>
    <x v="5"/>
    <x v="0"/>
    <x v="0"/>
    <x v="1"/>
    <x v="6"/>
    <x v="1"/>
    <x v="1"/>
    <x v="3"/>
    <x v="3"/>
    <x v="1"/>
    <x v="3"/>
    <x v="2"/>
    <x v="3"/>
    <x v="2"/>
    <x v="1"/>
    <x v="4"/>
    <x v="2"/>
  </r>
  <r>
    <x v="5"/>
    <x v="0"/>
    <x v="0"/>
    <x v="1"/>
    <x v="7"/>
    <x v="1"/>
    <x v="1"/>
    <x v="3"/>
    <x v="3"/>
    <x v="1"/>
    <x v="3"/>
    <x v="2"/>
    <x v="3"/>
    <x v="2"/>
    <x v="1"/>
    <x v="4"/>
    <x v="2"/>
  </r>
  <r>
    <x v="5"/>
    <x v="0"/>
    <x v="0"/>
    <x v="2"/>
    <x v="8"/>
    <x v="1"/>
    <x v="1"/>
    <x v="3"/>
    <x v="3"/>
    <x v="1"/>
    <x v="3"/>
    <x v="2"/>
    <x v="2"/>
    <x v="5"/>
    <x v="4"/>
    <x v="2"/>
    <x v="2"/>
  </r>
  <r>
    <x v="5"/>
    <x v="0"/>
    <x v="0"/>
    <x v="2"/>
    <x v="9"/>
    <x v="1"/>
    <x v="0"/>
    <x v="3"/>
    <x v="3"/>
    <x v="1"/>
    <x v="3"/>
    <x v="1"/>
    <x v="3"/>
    <x v="2"/>
    <x v="1"/>
    <x v="4"/>
    <x v="2"/>
  </r>
  <r>
    <x v="5"/>
    <x v="0"/>
    <x v="0"/>
    <x v="2"/>
    <x v="10"/>
    <x v="1"/>
    <x v="1"/>
    <x v="3"/>
    <x v="3"/>
    <x v="1"/>
    <x v="3"/>
    <x v="1"/>
    <x v="3"/>
    <x v="5"/>
    <x v="1"/>
    <x v="4"/>
    <x v="2"/>
  </r>
  <r>
    <x v="5"/>
    <x v="0"/>
    <x v="0"/>
    <x v="2"/>
    <x v="11"/>
    <x v="1"/>
    <x v="1"/>
    <x v="3"/>
    <x v="3"/>
    <x v="1"/>
    <x v="3"/>
    <x v="2"/>
    <x v="3"/>
    <x v="2"/>
    <x v="1"/>
    <x v="4"/>
    <x v="2"/>
  </r>
  <r>
    <x v="5"/>
    <x v="0"/>
    <x v="0"/>
    <x v="2"/>
    <x v="12"/>
    <x v="1"/>
    <x v="1"/>
    <x v="3"/>
    <x v="3"/>
    <x v="1"/>
    <x v="3"/>
    <x v="2"/>
    <x v="3"/>
    <x v="2"/>
    <x v="1"/>
    <x v="4"/>
    <x v="2"/>
  </r>
  <r>
    <x v="5"/>
    <x v="0"/>
    <x v="0"/>
    <x v="0"/>
    <x v="13"/>
    <x v="1"/>
    <x v="1"/>
    <x v="3"/>
    <x v="3"/>
    <x v="1"/>
    <x v="3"/>
    <x v="2"/>
    <x v="3"/>
    <x v="5"/>
    <x v="4"/>
    <x v="2"/>
    <x v="2"/>
  </r>
  <r>
    <x v="5"/>
    <x v="0"/>
    <x v="0"/>
    <x v="3"/>
    <x v="1"/>
    <x v="1"/>
    <x v="1"/>
    <x v="3"/>
    <x v="3"/>
    <x v="1"/>
    <x v="3"/>
    <x v="2"/>
    <x v="3"/>
    <x v="2"/>
    <x v="4"/>
    <x v="4"/>
    <x v="2"/>
  </r>
  <r>
    <x v="5"/>
    <x v="0"/>
    <x v="0"/>
    <x v="3"/>
    <x v="2"/>
    <x v="1"/>
    <x v="1"/>
    <x v="3"/>
    <x v="3"/>
    <x v="1"/>
    <x v="3"/>
    <x v="2"/>
    <x v="3"/>
    <x v="2"/>
    <x v="1"/>
    <x v="2"/>
    <x v="2"/>
  </r>
  <r>
    <x v="5"/>
    <x v="0"/>
    <x v="0"/>
    <x v="3"/>
    <x v="3"/>
    <x v="1"/>
    <x v="1"/>
    <x v="3"/>
    <x v="3"/>
    <x v="1"/>
    <x v="3"/>
    <x v="2"/>
    <x v="3"/>
    <x v="5"/>
    <x v="1"/>
    <x v="4"/>
    <x v="2"/>
  </r>
  <r>
    <x v="5"/>
    <x v="0"/>
    <x v="0"/>
    <x v="0"/>
    <x v="14"/>
    <x v="1"/>
    <x v="0"/>
    <x v="3"/>
    <x v="3"/>
    <x v="1"/>
    <x v="3"/>
    <x v="4"/>
    <x v="2"/>
    <x v="5"/>
    <x v="1"/>
    <x v="2"/>
    <x v="2"/>
  </r>
  <r>
    <x v="5"/>
    <x v="0"/>
    <x v="0"/>
    <x v="4"/>
    <x v="4"/>
    <x v="1"/>
    <x v="1"/>
    <x v="3"/>
    <x v="3"/>
    <x v="1"/>
    <x v="3"/>
    <x v="2"/>
    <x v="3"/>
    <x v="2"/>
    <x v="1"/>
    <x v="2"/>
    <x v="2"/>
  </r>
  <r>
    <x v="5"/>
    <x v="0"/>
    <x v="0"/>
    <x v="4"/>
    <x v="5"/>
    <x v="1"/>
    <x v="0"/>
    <x v="3"/>
    <x v="3"/>
    <x v="1"/>
    <x v="3"/>
    <x v="4"/>
    <x v="2"/>
    <x v="5"/>
    <x v="1"/>
    <x v="4"/>
    <x v="2"/>
  </r>
  <r>
    <x v="5"/>
    <x v="0"/>
    <x v="0"/>
    <x v="4"/>
    <x v="6"/>
    <x v="1"/>
    <x v="1"/>
    <x v="3"/>
    <x v="3"/>
    <x v="1"/>
    <x v="3"/>
    <x v="2"/>
    <x v="3"/>
    <x v="2"/>
    <x v="1"/>
    <x v="4"/>
    <x v="2"/>
  </r>
  <r>
    <x v="5"/>
    <x v="0"/>
    <x v="0"/>
    <x v="4"/>
    <x v="7"/>
    <x v="1"/>
    <x v="1"/>
    <x v="3"/>
    <x v="3"/>
    <x v="1"/>
    <x v="3"/>
    <x v="2"/>
    <x v="3"/>
    <x v="2"/>
    <x v="1"/>
    <x v="4"/>
    <x v="2"/>
  </r>
  <r>
    <x v="5"/>
    <x v="1"/>
    <x v="0"/>
    <x v="0"/>
    <x v="15"/>
    <x v="1"/>
    <x v="1"/>
    <x v="1"/>
    <x v="3"/>
    <x v="1"/>
    <x v="3"/>
    <x v="1"/>
    <x v="1"/>
    <x v="3"/>
    <x v="4"/>
    <x v="2"/>
    <x v="2"/>
  </r>
  <r>
    <x v="5"/>
    <x v="1"/>
    <x v="0"/>
    <x v="1"/>
    <x v="1"/>
    <x v="1"/>
    <x v="1"/>
    <x v="3"/>
    <x v="3"/>
    <x v="1"/>
    <x v="3"/>
    <x v="2"/>
    <x v="3"/>
    <x v="2"/>
    <x v="4"/>
    <x v="4"/>
    <x v="2"/>
  </r>
  <r>
    <x v="5"/>
    <x v="1"/>
    <x v="0"/>
    <x v="1"/>
    <x v="2"/>
    <x v="1"/>
    <x v="1"/>
    <x v="3"/>
    <x v="3"/>
    <x v="1"/>
    <x v="3"/>
    <x v="2"/>
    <x v="3"/>
    <x v="2"/>
    <x v="1"/>
    <x v="4"/>
    <x v="2"/>
  </r>
  <r>
    <x v="5"/>
    <x v="1"/>
    <x v="0"/>
    <x v="1"/>
    <x v="3"/>
    <x v="1"/>
    <x v="1"/>
    <x v="3"/>
    <x v="3"/>
    <x v="1"/>
    <x v="3"/>
    <x v="2"/>
    <x v="3"/>
    <x v="5"/>
    <x v="1"/>
    <x v="4"/>
    <x v="2"/>
  </r>
  <r>
    <x v="5"/>
    <x v="1"/>
    <x v="0"/>
    <x v="1"/>
    <x v="4"/>
    <x v="1"/>
    <x v="1"/>
    <x v="3"/>
    <x v="3"/>
    <x v="1"/>
    <x v="3"/>
    <x v="2"/>
    <x v="3"/>
    <x v="2"/>
    <x v="1"/>
    <x v="2"/>
    <x v="2"/>
  </r>
  <r>
    <x v="5"/>
    <x v="1"/>
    <x v="0"/>
    <x v="1"/>
    <x v="5"/>
    <x v="1"/>
    <x v="1"/>
    <x v="1"/>
    <x v="3"/>
    <x v="1"/>
    <x v="3"/>
    <x v="1"/>
    <x v="1"/>
    <x v="5"/>
    <x v="1"/>
    <x v="4"/>
    <x v="2"/>
  </r>
  <r>
    <x v="5"/>
    <x v="1"/>
    <x v="0"/>
    <x v="1"/>
    <x v="6"/>
    <x v="1"/>
    <x v="1"/>
    <x v="3"/>
    <x v="3"/>
    <x v="1"/>
    <x v="3"/>
    <x v="2"/>
    <x v="3"/>
    <x v="2"/>
    <x v="1"/>
    <x v="4"/>
    <x v="2"/>
  </r>
  <r>
    <x v="5"/>
    <x v="1"/>
    <x v="0"/>
    <x v="1"/>
    <x v="7"/>
    <x v="1"/>
    <x v="1"/>
    <x v="3"/>
    <x v="3"/>
    <x v="1"/>
    <x v="3"/>
    <x v="2"/>
    <x v="3"/>
    <x v="2"/>
    <x v="1"/>
    <x v="4"/>
    <x v="2"/>
  </r>
  <r>
    <x v="5"/>
    <x v="1"/>
    <x v="0"/>
    <x v="2"/>
    <x v="8"/>
    <x v="1"/>
    <x v="1"/>
    <x v="3"/>
    <x v="3"/>
    <x v="1"/>
    <x v="3"/>
    <x v="2"/>
    <x v="2"/>
    <x v="5"/>
    <x v="4"/>
    <x v="2"/>
    <x v="2"/>
  </r>
  <r>
    <x v="5"/>
    <x v="1"/>
    <x v="0"/>
    <x v="2"/>
    <x v="9"/>
    <x v="1"/>
    <x v="1"/>
    <x v="1"/>
    <x v="3"/>
    <x v="1"/>
    <x v="3"/>
    <x v="1"/>
    <x v="3"/>
    <x v="2"/>
    <x v="1"/>
    <x v="4"/>
    <x v="2"/>
  </r>
  <r>
    <x v="5"/>
    <x v="1"/>
    <x v="0"/>
    <x v="2"/>
    <x v="10"/>
    <x v="1"/>
    <x v="1"/>
    <x v="3"/>
    <x v="3"/>
    <x v="1"/>
    <x v="3"/>
    <x v="2"/>
    <x v="2"/>
    <x v="5"/>
    <x v="1"/>
    <x v="4"/>
    <x v="2"/>
  </r>
  <r>
    <x v="5"/>
    <x v="1"/>
    <x v="0"/>
    <x v="2"/>
    <x v="11"/>
    <x v="1"/>
    <x v="1"/>
    <x v="3"/>
    <x v="3"/>
    <x v="1"/>
    <x v="3"/>
    <x v="2"/>
    <x v="3"/>
    <x v="2"/>
    <x v="1"/>
    <x v="4"/>
    <x v="2"/>
  </r>
  <r>
    <x v="5"/>
    <x v="1"/>
    <x v="0"/>
    <x v="2"/>
    <x v="12"/>
    <x v="1"/>
    <x v="1"/>
    <x v="3"/>
    <x v="3"/>
    <x v="1"/>
    <x v="3"/>
    <x v="2"/>
    <x v="3"/>
    <x v="2"/>
    <x v="1"/>
    <x v="4"/>
    <x v="2"/>
  </r>
  <r>
    <x v="5"/>
    <x v="1"/>
    <x v="0"/>
    <x v="0"/>
    <x v="16"/>
    <x v="1"/>
    <x v="1"/>
    <x v="3"/>
    <x v="3"/>
    <x v="1"/>
    <x v="3"/>
    <x v="2"/>
    <x v="3"/>
    <x v="2"/>
    <x v="1"/>
    <x v="4"/>
    <x v="2"/>
  </r>
  <r>
    <x v="5"/>
    <x v="1"/>
    <x v="0"/>
    <x v="0"/>
    <x v="17"/>
    <x v="1"/>
    <x v="1"/>
    <x v="3"/>
    <x v="3"/>
    <x v="1"/>
    <x v="3"/>
    <x v="2"/>
    <x v="3"/>
    <x v="2"/>
    <x v="1"/>
    <x v="4"/>
    <x v="2"/>
  </r>
  <r>
    <x v="5"/>
    <x v="1"/>
    <x v="0"/>
    <x v="0"/>
    <x v="18"/>
    <x v="1"/>
    <x v="1"/>
    <x v="1"/>
    <x v="3"/>
    <x v="1"/>
    <x v="3"/>
    <x v="1"/>
    <x v="1"/>
    <x v="3"/>
    <x v="4"/>
    <x v="2"/>
    <x v="2"/>
  </r>
  <r>
    <x v="5"/>
    <x v="1"/>
    <x v="0"/>
    <x v="5"/>
    <x v="8"/>
    <x v="1"/>
    <x v="1"/>
    <x v="3"/>
    <x v="3"/>
    <x v="1"/>
    <x v="3"/>
    <x v="2"/>
    <x v="3"/>
    <x v="2"/>
    <x v="1"/>
    <x v="4"/>
    <x v="2"/>
  </r>
  <r>
    <x v="5"/>
    <x v="1"/>
    <x v="0"/>
    <x v="5"/>
    <x v="9"/>
    <x v="1"/>
    <x v="1"/>
    <x v="3"/>
    <x v="3"/>
    <x v="1"/>
    <x v="3"/>
    <x v="2"/>
    <x v="3"/>
    <x v="2"/>
    <x v="1"/>
    <x v="4"/>
    <x v="2"/>
  </r>
  <r>
    <x v="5"/>
    <x v="1"/>
    <x v="0"/>
    <x v="5"/>
    <x v="10"/>
    <x v="1"/>
    <x v="1"/>
    <x v="3"/>
    <x v="3"/>
    <x v="1"/>
    <x v="3"/>
    <x v="2"/>
    <x v="3"/>
    <x v="2"/>
    <x v="1"/>
    <x v="4"/>
    <x v="2"/>
  </r>
  <r>
    <x v="5"/>
    <x v="1"/>
    <x v="0"/>
    <x v="5"/>
    <x v="11"/>
    <x v="1"/>
    <x v="1"/>
    <x v="3"/>
    <x v="3"/>
    <x v="1"/>
    <x v="3"/>
    <x v="2"/>
    <x v="3"/>
    <x v="2"/>
    <x v="1"/>
    <x v="4"/>
    <x v="2"/>
  </r>
  <r>
    <x v="5"/>
    <x v="1"/>
    <x v="0"/>
    <x v="5"/>
    <x v="12"/>
    <x v="1"/>
    <x v="1"/>
    <x v="3"/>
    <x v="3"/>
    <x v="1"/>
    <x v="3"/>
    <x v="2"/>
    <x v="3"/>
    <x v="2"/>
    <x v="1"/>
    <x v="4"/>
    <x v="2"/>
  </r>
  <r>
    <x v="5"/>
    <x v="1"/>
    <x v="0"/>
    <x v="6"/>
    <x v="8"/>
    <x v="1"/>
    <x v="1"/>
    <x v="3"/>
    <x v="3"/>
    <x v="1"/>
    <x v="3"/>
    <x v="2"/>
    <x v="3"/>
    <x v="2"/>
    <x v="1"/>
    <x v="4"/>
    <x v="2"/>
  </r>
  <r>
    <x v="5"/>
    <x v="1"/>
    <x v="0"/>
    <x v="6"/>
    <x v="9"/>
    <x v="1"/>
    <x v="1"/>
    <x v="3"/>
    <x v="3"/>
    <x v="1"/>
    <x v="3"/>
    <x v="2"/>
    <x v="3"/>
    <x v="2"/>
    <x v="1"/>
    <x v="4"/>
    <x v="2"/>
  </r>
  <r>
    <x v="5"/>
    <x v="1"/>
    <x v="0"/>
    <x v="6"/>
    <x v="10"/>
    <x v="1"/>
    <x v="1"/>
    <x v="3"/>
    <x v="3"/>
    <x v="1"/>
    <x v="3"/>
    <x v="2"/>
    <x v="3"/>
    <x v="2"/>
    <x v="1"/>
    <x v="4"/>
    <x v="2"/>
  </r>
  <r>
    <x v="5"/>
    <x v="1"/>
    <x v="0"/>
    <x v="6"/>
    <x v="11"/>
    <x v="1"/>
    <x v="1"/>
    <x v="3"/>
    <x v="3"/>
    <x v="1"/>
    <x v="3"/>
    <x v="2"/>
    <x v="3"/>
    <x v="2"/>
    <x v="1"/>
    <x v="4"/>
    <x v="2"/>
  </r>
  <r>
    <x v="5"/>
    <x v="1"/>
    <x v="0"/>
    <x v="6"/>
    <x v="12"/>
    <x v="1"/>
    <x v="1"/>
    <x v="3"/>
    <x v="3"/>
    <x v="1"/>
    <x v="3"/>
    <x v="2"/>
    <x v="3"/>
    <x v="2"/>
    <x v="1"/>
    <x v="4"/>
    <x v="2"/>
  </r>
  <r>
    <x v="5"/>
    <x v="1"/>
    <x v="0"/>
    <x v="7"/>
    <x v="8"/>
    <x v="1"/>
    <x v="1"/>
    <x v="3"/>
    <x v="3"/>
    <x v="1"/>
    <x v="3"/>
    <x v="2"/>
    <x v="2"/>
    <x v="5"/>
    <x v="4"/>
    <x v="2"/>
    <x v="2"/>
  </r>
  <r>
    <x v="5"/>
    <x v="1"/>
    <x v="0"/>
    <x v="7"/>
    <x v="9"/>
    <x v="1"/>
    <x v="1"/>
    <x v="1"/>
    <x v="3"/>
    <x v="1"/>
    <x v="3"/>
    <x v="1"/>
    <x v="3"/>
    <x v="2"/>
    <x v="1"/>
    <x v="4"/>
    <x v="2"/>
  </r>
  <r>
    <x v="5"/>
    <x v="1"/>
    <x v="0"/>
    <x v="7"/>
    <x v="10"/>
    <x v="1"/>
    <x v="1"/>
    <x v="3"/>
    <x v="3"/>
    <x v="1"/>
    <x v="3"/>
    <x v="2"/>
    <x v="2"/>
    <x v="5"/>
    <x v="1"/>
    <x v="4"/>
    <x v="2"/>
  </r>
  <r>
    <x v="5"/>
    <x v="1"/>
    <x v="0"/>
    <x v="7"/>
    <x v="11"/>
    <x v="1"/>
    <x v="1"/>
    <x v="3"/>
    <x v="3"/>
    <x v="1"/>
    <x v="3"/>
    <x v="2"/>
    <x v="3"/>
    <x v="2"/>
    <x v="1"/>
    <x v="4"/>
    <x v="2"/>
  </r>
  <r>
    <x v="5"/>
    <x v="1"/>
    <x v="0"/>
    <x v="7"/>
    <x v="12"/>
    <x v="1"/>
    <x v="1"/>
    <x v="3"/>
    <x v="3"/>
    <x v="1"/>
    <x v="3"/>
    <x v="2"/>
    <x v="3"/>
    <x v="2"/>
    <x v="1"/>
    <x v="4"/>
    <x v="2"/>
  </r>
  <r>
    <x v="5"/>
    <x v="1"/>
    <x v="0"/>
    <x v="0"/>
    <x v="19"/>
    <x v="1"/>
    <x v="1"/>
    <x v="3"/>
    <x v="3"/>
    <x v="1"/>
    <x v="3"/>
    <x v="2"/>
    <x v="3"/>
    <x v="5"/>
    <x v="4"/>
    <x v="2"/>
    <x v="2"/>
  </r>
  <r>
    <x v="5"/>
    <x v="1"/>
    <x v="0"/>
    <x v="3"/>
    <x v="1"/>
    <x v="1"/>
    <x v="1"/>
    <x v="3"/>
    <x v="3"/>
    <x v="1"/>
    <x v="3"/>
    <x v="2"/>
    <x v="3"/>
    <x v="2"/>
    <x v="4"/>
    <x v="4"/>
    <x v="2"/>
  </r>
  <r>
    <x v="5"/>
    <x v="1"/>
    <x v="0"/>
    <x v="3"/>
    <x v="2"/>
    <x v="1"/>
    <x v="1"/>
    <x v="3"/>
    <x v="3"/>
    <x v="1"/>
    <x v="3"/>
    <x v="2"/>
    <x v="3"/>
    <x v="2"/>
    <x v="1"/>
    <x v="2"/>
    <x v="2"/>
  </r>
  <r>
    <x v="5"/>
    <x v="1"/>
    <x v="0"/>
    <x v="3"/>
    <x v="3"/>
    <x v="1"/>
    <x v="1"/>
    <x v="3"/>
    <x v="3"/>
    <x v="1"/>
    <x v="3"/>
    <x v="2"/>
    <x v="3"/>
    <x v="5"/>
    <x v="1"/>
    <x v="4"/>
    <x v="2"/>
  </r>
  <r>
    <x v="5"/>
    <x v="1"/>
    <x v="0"/>
    <x v="0"/>
    <x v="20"/>
    <x v="1"/>
    <x v="1"/>
    <x v="1"/>
    <x v="3"/>
    <x v="1"/>
    <x v="3"/>
    <x v="1"/>
    <x v="1"/>
    <x v="5"/>
    <x v="1"/>
    <x v="2"/>
    <x v="2"/>
  </r>
  <r>
    <x v="5"/>
    <x v="1"/>
    <x v="0"/>
    <x v="4"/>
    <x v="4"/>
    <x v="1"/>
    <x v="1"/>
    <x v="3"/>
    <x v="3"/>
    <x v="1"/>
    <x v="3"/>
    <x v="2"/>
    <x v="3"/>
    <x v="2"/>
    <x v="1"/>
    <x v="2"/>
    <x v="2"/>
  </r>
  <r>
    <x v="5"/>
    <x v="1"/>
    <x v="0"/>
    <x v="4"/>
    <x v="5"/>
    <x v="1"/>
    <x v="1"/>
    <x v="1"/>
    <x v="3"/>
    <x v="1"/>
    <x v="3"/>
    <x v="1"/>
    <x v="1"/>
    <x v="5"/>
    <x v="1"/>
    <x v="4"/>
    <x v="2"/>
  </r>
  <r>
    <x v="5"/>
    <x v="1"/>
    <x v="0"/>
    <x v="4"/>
    <x v="6"/>
    <x v="1"/>
    <x v="1"/>
    <x v="3"/>
    <x v="3"/>
    <x v="1"/>
    <x v="3"/>
    <x v="2"/>
    <x v="3"/>
    <x v="2"/>
    <x v="1"/>
    <x v="4"/>
    <x v="2"/>
  </r>
  <r>
    <x v="5"/>
    <x v="1"/>
    <x v="0"/>
    <x v="4"/>
    <x v="7"/>
    <x v="1"/>
    <x v="1"/>
    <x v="3"/>
    <x v="3"/>
    <x v="1"/>
    <x v="3"/>
    <x v="2"/>
    <x v="3"/>
    <x v="2"/>
    <x v="1"/>
    <x v="4"/>
    <x v="2"/>
  </r>
  <r>
    <x v="5"/>
    <x v="2"/>
    <x v="1"/>
    <x v="0"/>
    <x v="21"/>
    <x v="1"/>
    <x v="0"/>
    <x v="3"/>
    <x v="3"/>
    <x v="1"/>
    <x v="3"/>
    <x v="1"/>
    <x v="3"/>
    <x v="2"/>
    <x v="1"/>
    <x v="4"/>
    <x v="2"/>
  </r>
  <r>
    <x v="5"/>
    <x v="2"/>
    <x v="1"/>
    <x v="1"/>
    <x v="1"/>
    <x v="1"/>
    <x v="1"/>
    <x v="3"/>
    <x v="3"/>
    <x v="1"/>
    <x v="3"/>
    <x v="2"/>
    <x v="3"/>
    <x v="2"/>
    <x v="1"/>
    <x v="4"/>
    <x v="2"/>
  </r>
  <r>
    <x v="5"/>
    <x v="2"/>
    <x v="1"/>
    <x v="1"/>
    <x v="2"/>
    <x v="1"/>
    <x v="1"/>
    <x v="3"/>
    <x v="3"/>
    <x v="1"/>
    <x v="3"/>
    <x v="2"/>
    <x v="3"/>
    <x v="2"/>
    <x v="1"/>
    <x v="4"/>
    <x v="2"/>
  </r>
  <r>
    <x v="5"/>
    <x v="2"/>
    <x v="1"/>
    <x v="1"/>
    <x v="3"/>
    <x v="1"/>
    <x v="1"/>
    <x v="3"/>
    <x v="3"/>
    <x v="1"/>
    <x v="3"/>
    <x v="2"/>
    <x v="3"/>
    <x v="2"/>
    <x v="1"/>
    <x v="4"/>
    <x v="2"/>
  </r>
  <r>
    <x v="5"/>
    <x v="2"/>
    <x v="1"/>
    <x v="1"/>
    <x v="4"/>
    <x v="1"/>
    <x v="1"/>
    <x v="3"/>
    <x v="3"/>
    <x v="1"/>
    <x v="3"/>
    <x v="2"/>
    <x v="3"/>
    <x v="2"/>
    <x v="1"/>
    <x v="4"/>
    <x v="2"/>
  </r>
  <r>
    <x v="5"/>
    <x v="2"/>
    <x v="1"/>
    <x v="1"/>
    <x v="5"/>
    <x v="1"/>
    <x v="0"/>
    <x v="3"/>
    <x v="3"/>
    <x v="1"/>
    <x v="3"/>
    <x v="1"/>
    <x v="3"/>
    <x v="2"/>
    <x v="1"/>
    <x v="4"/>
    <x v="2"/>
  </r>
  <r>
    <x v="5"/>
    <x v="2"/>
    <x v="1"/>
    <x v="1"/>
    <x v="6"/>
    <x v="1"/>
    <x v="1"/>
    <x v="3"/>
    <x v="3"/>
    <x v="1"/>
    <x v="3"/>
    <x v="2"/>
    <x v="3"/>
    <x v="2"/>
    <x v="1"/>
    <x v="4"/>
    <x v="2"/>
  </r>
  <r>
    <x v="5"/>
    <x v="2"/>
    <x v="1"/>
    <x v="1"/>
    <x v="7"/>
    <x v="1"/>
    <x v="1"/>
    <x v="3"/>
    <x v="3"/>
    <x v="1"/>
    <x v="3"/>
    <x v="2"/>
    <x v="3"/>
    <x v="2"/>
    <x v="1"/>
    <x v="4"/>
    <x v="2"/>
  </r>
  <r>
    <x v="5"/>
    <x v="2"/>
    <x v="1"/>
    <x v="8"/>
    <x v="1"/>
    <x v="11"/>
    <x v="1"/>
    <x v="19"/>
    <x v="26"/>
    <x v="6"/>
    <x v="31"/>
    <x v="2"/>
    <x v="46"/>
    <x v="45"/>
    <x v="50"/>
    <x v="60"/>
    <x v="56"/>
  </r>
  <r>
    <x v="5"/>
    <x v="2"/>
    <x v="1"/>
    <x v="8"/>
    <x v="2"/>
    <x v="11"/>
    <x v="1"/>
    <x v="19"/>
    <x v="26"/>
    <x v="6"/>
    <x v="31"/>
    <x v="2"/>
    <x v="46"/>
    <x v="45"/>
    <x v="50"/>
    <x v="60"/>
    <x v="56"/>
  </r>
  <r>
    <x v="5"/>
    <x v="2"/>
    <x v="1"/>
    <x v="8"/>
    <x v="3"/>
    <x v="11"/>
    <x v="1"/>
    <x v="19"/>
    <x v="26"/>
    <x v="6"/>
    <x v="31"/>
    <x v="2"/>
    <x v="46"/>
    <x v="45"/>
    <x v="50"/>
    <x v="60"/>
    <x v="56"/>
  </r>
  <r>
    <x v="5"/>
    <x v="2"/>
    <x v="1"/>
    <x v="8"/>
    <x v="4"/>
    <x v="11"/>
    <x v="1"/>
    <x v="19"/>
    <x v="26"/>
    <x v="6"/>
    <x v="31"/>
    <x v="2"/>
    <x v="46"/>
    <x v="45"/>
    <x v="50"/>
    <x v="60"/>
    <x v="56"/>
  </r>
  <r>
    <x v="5"/>
    <x v="2"/>
    <x v="1"/>
    <x v="8"/>
    <x v="5"/>
    <x v="11"/>
    <x v="0"/>
    <x v="19"/>
    <x v="26"/>
    <x v="6"/>
    <x v="31"/>
    <x v="1"/>
    <x v="46"/>
    <x v="45"/>
    <x v="50"/>
    <x v="60"/>
    <x v="56"/>
  </r>
  <r>
    <x v="5"/>
    <x v="2"/>
    <x v="1"/>
    <x v="8"/>
    <x v="6"/>
    <x v="11"/>
    <x v="1"/>
    <x v="19"/>
    <x v="26"/>
    <x v="6"/>
    <x v="31"/>
    <x v="2"/>
    <x v="46"/>
    <x v="45"/>
    <x v="50"/>
    <x v="60"/>
    <x v="56"/>
  </r>
  <r>
    <x v="5"/>
    <x v="2"/>
    <x v="1"/>
    <x v="8"/>
    <x v="7"/>
    <x v="11"/>
    <x v="1"/>
    <x v="19"/>
    <x v="26"/>
    <x v="6"/>
    <x v="31"/>
    <x v="2"/>
    <x v="46"/>
    <x v="45"/>
    <x v="50"/>
    <x v="60"/>
    <x v="56"/>
  </r>
  <r>
    <x v="5"/>
    <x v="2"/>
    <x v="1"/>
    <x v="2"/>
    <x v="8"/>
    <x v="1"/>
    <x v="1"/>
    <x v="3"/>
    <x v="3"/>
    <x v="1"/>
    <x v="3"/>
    <x v="2"/>
    <x v="2"/>
    <x v="3"/>
    <x v="12"/>
    <x v="8"/>
    <x v="6"/>
  </r>
  <r>
    <x v="5"/>
    <x v="2"/>
    <x v="1"/>
    <x v="2"/>
    <x v="9"/>
    <x v="1"/>
    <x v="0"/>
    <x v="1"/>
    <x v="2"/>
    <x v="0"/>
    <x v="2"/>
    <x v="4"/>
    <x v="1"/>
    <x v="3"/>
    <x v="4"/>
    <x v="1"/>
    <x v="0"/>
  </r>
  <r>
    <x v="5"/>
    <x v="2"/>
    <x v="1"/>
    <x v="2"/>
    <x v="10"/>
    <x v="1"/>
    <x v="1"/>
    <x v="3"/>
    <x v="3"/>
    <x v="1"/>
    <x v="3"/>
    <x v="1"/>
    <x v="2"/>
    <x v="3"/>
    <x v="4"/>
    <x v="1"/>
    <x v="0"/>
  </r>
  <r>
    <x v="5"/>
    <x v="2"/>
    <x v="1"/>
    <x v="2"/>
    <x v="11"/>
    <x v="1"/>
    <x v="1"/>
    <x v="3"/>
    <x v="3"/>
    <x v="1"/>
    <x v="3"/>
    <x v="2"/>
    <x v="3"/>
    <x v="2"/>
    <x v="1"/>
    <x v="4"/>
    <x v="2"/>
  </r>
  <r>
    <x v="5"/>
    <x v="2"/>
    <x v="1"/>
    <x v="2"/>
    <x v="12"/>
    <x v="1"/>
    <x v="1"/>
    <x v="3"/>
    <x v="3"/>
    <x v="1"/>
    <x v="3"/>
    <x v="2"/>
    <x v="3"/>
    <x v="2"/>
    <x v="1"/>
    <x v="4"/>
    <x v="2"/>
  </r>
  <r>
    <x v="5"/>
    <x v="2"/>
    <x v="1"/>
    <x v="0"/>
    <x v="22"/>
    <x v="1"/>
    <x v="1"/>
    <x v="3"/>
    <x v="3"/>
    <x v="1"/>
    <x v="3"/>
    <x v="2"/>
    <x v="3"/>
    <x v="2"/>
    <x v="1"/>
    <x v="4"/>
    <x v="2"/>
  </r>
  <r>
    <x v="5"/>
    <x v="2"/>
    <x v="1"/>
    <x v="3"/>
    <x v="1"/>
    <x v="1"/>
    <x v="1"/>
    <x v="3"/>
    <x v="3"/>
    <x v="1"/>
    <x v="3"/>
    <x v="2"/>
    <x v="3"/>
    <x v="2"/>
    <x v="1"/>
    <x v="4"/>
    <x v="2"/>
  </r>
  <r>
    <x v="5"/>
    <x v="2"/>
    <x v="1"/>
    <x v="3"/>
    <x v="2"/>
    <x v="1"/>
    <x v="1"/>
    <x v="3"/>
    <x v="3"/>
    <x v="1"/>
    <x v="3"/>
    <x v="2"/>
    <x v="3"/>
    <x v="2"/>
    <x v="1"/>
    <x v="4"/>
    <x v="2"/>
  </r>
  <r>
    <x v="5"/>
    <x v="2"/>
    <x v="1"/>
    <x v="3"/>
    <x v="3"/>
    <x v="1"/>
    <x v="1"/>
    <x v="3"/>
    <x v="3"/>
    <x v="1"/>
    <x v="3"/>
    <x v="2"/>
    <x v="3"/>
    <x v="2"/>
    <x v="1"/>
    <x v="4"/>
    <x v="2"/>
  </r>
  <r>
    <x v="5"/>
    <x v="2"/>
    <x v="1"/>
    <x v="9"/>
    <x v="1"/>
    <x v="11"/>
    <x v="13"/>
    <x v="19"/>
    <x v="26"/>
    <x v="6"/>
    <x v="31"/>
    <x v="40"/>
    <x v="46"/>
    <x v="45"/>
    <x v="50"/>
    <x v="60"/>
    <x v="56"/>
  </r>
  <r>
    <x v="5"/>
    <x v="2"/>
    <x v="1"/>
    <x v="9"/>
    <x v="2"/>
    <x v="11"/>
    <x v="13"/>
    <x v="19"/>
    <x v="26"/>
    <x v="6"/>
    <x v="31"/>
    <x v="40"/>
    <x v="46"/>
    <x v="45"/>
    <x v="50"/>
    <x v="60"/>
    <x v="56"/>
  </r>
  <r>
    <x v="5"/>
    <x v="2"/>
    <x v="1"/>
    <x v="9"/>
    <x v="3"/>
    <x v="11"/>
    <x v="13"/>
    <x v="19"/>
    <x v="26"/>
    <x v="6"/>
    <x v="31"/>
    <x v="40"/>
    <x v="46"/>
    <x v="45"/>
    <x v="50"/>
    <x v="60"/>
    <x v="56"/>
  </r>
  <r>
    <x v="5"/>
    <x v="2"/>
    <x v="1"/>
    <x v="0"/>
    <x v="23"/>
    <x v="1"/>
    <x v="0"/>
    <x v="3"/>
    <x v="3"/>
    <x v="1"/>
    <x v="3"/>
    <x v="4"/>
    <x v="3"/>
    <x v="2"/>
    <x v="1"/>
    <x v="4"/>
    <x v="2"/>
  </r>
  <r>
    <x v="5"/>
    <x v="2"/>
    <x v="1"/>
    <x v="4"/>
    <x v="4"/>
    <x v="1"/>
    <x v="1"/>
    <x v="3"/>
    <x v="3"/>
    <x v="1"/>
    <x v="3"/>
    <x v="2"/>
    <x v="3"/>
    <x v="2"/>
    <x v="1"/>
    <x v="4"/>
    <x v="2"/>
  </r>
  <r>
    <x v="5"/>
    <x v="2"/>
    <x v="1"/>
    <x v="4"/>
    <x v="5"/>
    <x v="1"/>
    <x v="0"/>
    <x v="3"/>
    <x v="3"/>
    <x v="1"/>
    <x v="3"/>
    <x v="1"/>
    <x v="3"/>
    <x v="2"/>
    <x v="1"/>
    <x v="4"/>
    <x v="2"/>
  </r>
  <r>
    <x v="5"/>
    <x v="2"/>
    <x v="1"/>
    <x v="4"/>
    <x v="6"/>
    <x v="1"/>
    <x v="1"/>
    <x v="3"/>
    <x v="3"/>
    <x v="1"/>
    <x v="3"/>
    <x v="1"/>
    <x v="3"/>
    <x v="2"/>
    <x v="1"/>
    <x v="4"/>
    <x v="2"/>
  </r>
  <r>
    <x v="5"/>
    <x v="2"/>
    <x v="1"/>
    <x v="4"/>
    <x v="7"/>
    <x v="1"/>
    <x v="1"/>
    <x v="3"/>
    <x v="3"/>
    <x v="1"/>
    <x v="3"/>
    <x v="2"/>
    <x v="3"/>
    <x v="2"/>
    <x v="1"/>
    <x v="4"/>
    <x v="2"/>
  </r>
  <r>
    <x v="5"/>
    <x v="2"/>
    <x v="1"/>
    <x v="10"/>
    <x v="4"/>
    <x v="11"/>
    <x v="1"/>
    <x v="19"/>
    <x v="26"/>
    <x v="6"/>
    <x v="31"/>
    <x v="2"/>
    <x v="46"/>
    <x v="45"/>
    <x v="50"/>
    <x v="60"/>
    <x v="56"/>
  </r>
  <r>
    <x v="5"/>
    <x v="2"/>
    <x v="1"/>
    <x v="10"/>
    <x v="5"/>
    <x v="11"/>
    <x v="0"/>
    <x v="19"/>
    <x v="26"/>
    <x v="6"/>
    <x v="31"/>
    <x v="22"/>
    <x v="46"/>
    <x v="45"/>
    <x v="50"/>
    <x v="60"/>
    <x v="56"/>
  </r>
  <r>
    <x v="5"/>
    <x v="2"/>
    <x v="1"/>
    <x v="10"/>
    <x v="6"/>
    <x v="11"/>
    <x v="0"/>
    <x v="19"/>
    <x v="26"/>
    <x v="6"/>
    <x v="31"/>
    <x v="22"/>
    <x v="46"/>
    <x v="45"/>
    <x v="50"/>
    <x v="60"/>
    <x v="56"/>
  </r>
  <r>
    <x v="5"/>
    <x v="2"/>
    <x v="1"/>
    <x v="10"/>
    <x v="7"/>
    <x v="11"/>
    <x v="1"/>
    <x v="19"/>
    <x v="26"/>
    <x v="6"/>
    <x v="31"/>
    <x v="2"/>
    <x v="46"/>
    <x v="45"/>
    <x v="50"/>
    <x v="60"/>
    <x v="56"/>
  </r>
  <r>
    <x v="5"/>
    <x v="0"/>
    <x v="2"/>
    <x v="0"/>
    <x v="24"/>
    <x v="1"/>
    <x v="0"/>
    <x v="1"/>
    <x v="2"/>
    <x v="0"/>
    <x v="2"/>
    <x v="3"/>
    <x v="4"/>
    <x v="39"/>
    <x v="16"/>
    <x v="0"/>
    <x v="143"/>
  </r>
  <r>
    <x v="5"/>
    <x v="0"/>
    <x v="2"/>
    <x v="1"/>
    <x v="1"/>
    <x v="1"/>
    <x v="1"/>
    <x v="3"/>
    <x v="3"/>
    <x v="1"/>
    <x v="3"/>
    <x v="2"/>
    <x v="3"/>
    <x v="2"/>
    <x v="4"/>
    <x v="1"/>
    <x v="0"/>
  </r>
  <r>
    <x v="5"/>
    <x v="0"/>
    <x v="2"/>
    <x v="1"/>
    <x v="2"/>
    <x v="1"/>
    <x v="1"/>
    <x v="3"/>
    <x v="3"/>
    <x v="1"/>
    <x v="3"/>
    <x v="2"/>
    <x v="3"/>
    <x v="2"/>
    <x v="1"/>
    <x v="4"/>
    <x v="2"/>
  </r>
  <r>
    <x v="5"/>
    <x v="0"/>
    <x v="2"/>
    <x v="1"/>
    <x v="3"/>
    <x v="1"/>
    <x v="1"/>
    <x v="3"/>
    <x v="3"/>
    <x v="1"/>
    <x v="3"/>
    <x v="2"/>
    <x v="3"/>
    <x v="5"/>
    <x v="3"/>
    <x v="2"/>
    <x v="1"/>
  </r>
  <r>
    <x v="5"/>
    <x v="0"/>
    <x v="2"/>
    <x v="1"/>
    <x v="4"/>
    <x v="1"/>
    <x v="1"/>
    <x v="3"/>
    <x v="3"/>
    <x v="1"/>
    <x v="3"/>
    <x v="2"/>
    <x v="3"/>
    <x v="2"/>
    <x v="1"/>
    <x v="2"/>
    <x v="1"/>
  </r>
  <r>
    <x v="5"/>
    <x v="0"/>
    <x v="2"/>
    <x v="1"/>
    <x v="5"/>
    <x v="1"/>
    <x v="0"/>
    <x v="1"/>
    <x v="2"/>
    <x v="0"/>
    <x v="2"/>
    <x v="3"/>
    <x v="4"/>
    <x v="0"/>
    <x v="2"/>
    <x v="8"/>
    <x v="6"/>
  </r>
  <r>
    <x v="5"/>
    <x v="0"/>
    <x v="2"/>
    <x v="1"/>
    <x v="6"/>
    <x v="1"/>
    <x v="1"/>
    <x v="3"/>
    <x v="3"/>
    <x v="1"/>
    <x v="3"/>
    <x v="2"/>
    <x v="3"/>
    <x v="2"/>
    <x v="1"/>
    <x v="4"/>
    <x v="2"/>
  </r>
  <r>
    <x v="5"/>
    <x v="0"/>
    <x v="2"/>
    <x v="1"/>
    <x v="7"/>
    <x v="1"/>
    <x v="1"/>
    <x v="3"/>
    <x v="3"/>
    <x v="1"/>
    <x v="3"/>
    <x v="2"/>
    <x v="3"/>
    <x v="2"/>
    <x v="1"/>
    <x v="4"/>
    <x v="2"/>
  </r>
  <r>
    <x v="5"/>
    <x v="0"/>
    <x v="2"/>
    <x v="2"/>
    <x v="8"/>
    <x v="1"/>
    <x v="1"/>
    <x v="3"/>
    <x v="3"/>
    <x v="1"/>
    <x v="3"/>
    <x v="2"/>
    <x v="2"/>
    <x v="3"/>
    <x v="12"/>
    <x v="8"/>
    <x v="6"/>
  </r>
  <r>
    <x v="5"/>
    <x v="0"/>
    <x v="2"/>
    <x v="2"/>
    <x v="9"/>
    <x v="1"/>
    <x v="0"/>
    <x v="1"/>
    <x v="2"/>
    <x v="0"/>
    <x v="2"/>
    <x v="4"/>
    <x v="1"/>
    <x v="3"/>
    <x v="4"/>
    <x v="1"/>
    <x v="0"/>
  </r>
  <r>
    <x v="5"/>
    <x v="0"/>
    <x v="2"/>
    <x v="2"/>
    <x v="10"/>
    <x v="1"/>
    <x v="1"/>
    <x v="3"/>
    <x v="3"/>
    <x v="1"/>
    <x v="3"/>
    <x v="1"/>
    <x v="2"/>
    <x v="3"/>
    <x v="4"/>
    <x v="1"/>
    <x v="0"/>
  </r>
  <r>
    <x v="5"/>
    <x v="0"/>
    <x v="2"/>
    <x v="2"/>
    <x v="11"/>
    <x v="1"/>
    <x v="1"/>
    <x v="3"/>
    <x v="3"/>
    <x v="1"/>
    <x v="3"/>
    <x v="2"/>
    <x v="3"/>
    <x v="2"/>
    <x v="1"/>
    <x v="4"/>
    <x v="2"/>
  </r>
  <r>
    <x v="5"/>
    <x v="0"/>
    <x v="2"/>
    <x v="2"/>
    <x v="12"/>
    <x v="1"/>
    <x v="1"/>
    <x v="3"/>
    <x v="3"/>
    <x v="1"/>
    <x v="3"/>
    <x v="2"/>
    <x v="3"/>
    <x v="2"/>
    <x v="1"/>
    <x v="4"/>
    <x v="2"/>
  </r>
  <r>
    <x v="5"/>
    <x v="0"/>
    <x v="2"/>
    <x v="0"/>
    <x v="25"/>
    <x v="1"/>
    <x v="1"/>
    <x v="3"/>
    <x v="3"/>
    <x v="1"/>
    <x v="3"/>
    <x v="2"/>
    <x v="3"/>
    <x v="5"/>
    <x v="5"/>
    <x v="3"/>
    <x v="5"/>
  </r>
  <r>
    <x v="5"/>
    <x v="0"/>
    <x v="2"/>
    <x v="3"/>
    <x v="1"/>
    <x v="1"/>
    <x v="1"/>
    <x v="3"/>
    <x v="3"/>
    <x v="1"/>
    <x v="3"/>
    <x v="2"/>
    <x v="3"/>
    <x v="2"/>
    <x v="4"/>
    <x v="1"/>
    <x v="0"/>
  </r>
  <r>
    <x v="5"/>
    <x v="0"/>
    <x v="2"/>
    <x v="3"/>
    <x v="2"/>
    <x v="1"/>
    <x v="1"/>
    <x v="3"/>
    <x v="3"/>
    <x v="1"/>
    <x v="3"/>
    <x v="2"/>
    <x v="3"/>
    <x v="2"/>
    <x v="1"/>
    <x v="2"/>
    <x v="1"/>
  </r>
  <r>
    <x v="5"/>
    <x v="0"/>
    <x v="2"/>
    <x v="3"/>
    <x v="3"/>
    <x v="1"/>
    <x v="1"/>
    <x v="3"/>
    <x v="3"/>
    <x v="1"/>
    <x v="3"/>
    <x v="2"/>
    <x v="3"/>
    <x v="5"/>
    <x v="3"/>
    <x v="2"/>
    <x v="1"/>
  </r>
  <r>
    <x v="5"/>
    <x v="0"/>
    <x v="2"/>
    <x v="0"/>
    <x v="26"/>
    <x v="1"/>
    <x v="0"/>
    <x v="1"/>
    <x v="2"/>
    <x v="0"/>
    <x v="2"/>
    <x v="3"/>
    <x v="4"/>
    <x v="0"/>
    <x v="2"/>
    <x v="7"/>
    <x v="14"/>
  </r>
  <r>
    <x v="5"/>
    <x v="0"/>
    <x v="2"/>
    <x v="4"/>
    <x v="4"/>
    <x v="1"/>
    <x v="1"/>
    <x v="3"/>
    <x v="3"/>
    <x v="1"/>
    <x v="3"/>
    <x v="2"/>
    <x v="3"/>
    <x v="2"/>
    <x v="1"/>
    <x v="2"/>
    <x v="1"/>
  </r>
  <r>
    <x v="5"/>
    <x v="0"/>
    <x v="2"/>
    <x v="4"/>
    <x v="5"/>
    <x v="1"/>
    <x v="0"/>
    <x v="1"/>
    <x v="2"/>
    <x v="0"/>
    <x v="2"/>
    <x v="3"/>
    <x v="4"/>
    <x v="0"/>
    <x v="2"/>
    <x v="8"/>
    <x v="6"/>
  </r>
  <r>
    <x v="5"/>
    <x v="0"/>
    <x v="2"/>
    <x v="4"/>
    <x v="6"/>
    <x v="1"/>
    <x v="1"/>
    <x v="3"/>
    <x v="3"/>
    <x v="1"/>
    <x v="3"/>
    <x v="2"/>
    <x v="3"/>
    <x v="2"/>
    <x v="1"/>
    <x v="4"/>
    <x v="2"/>
  </r>
  <r>
    <x v="5"/>
    <x v="0"/>
    <x v="2"/>
    <x v="4"/>
    <x v="7"/>
    <x v="1"/>
    <x v="1"/>
    <x v="3"/>
    <x v="3"/>
    <x v="1"/>
    <x v="3"/>
    <x v="2"/>
    <x v="3"/>
    <x v="2"/>
    <x v="1"/>
    <x v="4"/>
    <x v="2"/>
  </r>
  <r>
    <x v="5"/>
    <x v="1"/>
    <x v="2"/>
    <x v="0"/>
    <x v="27"/>
    <x v="1"/>
    <x v="1"/>
    <x v="1"/>
    <x v="2"/>
    <x v="0"/>
    <x v="2"/>
    <x v="4"/>
    <x v="4"/>
    <x v="39"/>
    <x v="16"/>
    <x v="0"/>
    <x v="143"/>
  </r>
  <r>
    <x v="5"/>
    <x v="1"/>
    <x v="2"/>
    <x v="1"/>
    <x v="1"/>
    <x v="1"/>
    <x v="1"/>
    <x v="3"/>
    <x v="3"/>
    <x v="1"/>
    <x v="3"/>
    <x v="2"/>
    <x v="3"/>
    <x v="2"/>
    <x v="4"/>
    <x v="1"/>
    <x v="0"/>
  </r>
  <r>
    <x v="5"/>
    <x v="1"/>
    <x v="2"/>
    <x v="1"/>
    <x v="2"/>
    <x v="1"/>
    <x v="1"/>
    <x v="3"/>
    <x v="3"/>
    <x v="1"/>
    <x v="3"/>
    <x v="2"/>
    <x v="3"/>
    <x v="2"/>
    <x v="1"/>
    <x v="4"/>
    <x v="2"/>
  </r>
  <r>
    <x v="5"/>
    <x v="1"/>
    <x v="2"/>
    <x v="1"/>
    <x v="3"/>
    <x v="1"/>
    <x v="1"/>
    <x v="3"/>
    <x v="3"/>
    <x v="1"/>
    <x v="3"/>
    <x v="2"/>
    <x v="3"/>
    <x v="5"/>
    <x v="3"/>
    <x v="2"/>
    <x v="1"/>
  </r>
  <r>
    <x v="5"/>
    <x v="1"/>
    <x v="2"/>
    <x v="1"/>
    <x v="4"/>
    <x v="1"/>
    <x v="1"/>
    <x v="3"/>
    <x v="3"/>
    <x v="1"/>
    <x v="3"/>
    <x v="2"/>
    <x v="3"/>
    <x v="2"/>
    <x v="1"/>
    <x v="2"/>
    <x v="1"/>
  </r>
  <r>
    <x v="5"/>
    <x v="1"/>
    <x v="2"/>
    <x v="1"/>
    <x v="5"/>
    <x v="1"/>
    <x v="1"/>
    <x v="1"/>
    <x v="2"/>
    <x v="0"/>
    <x v="2"/>
    <x v="4"/>
    <x v="4"/>
    <x v="0"/>
    <x v="2"/>
    <x v="8"/>
    <x v="6"/>
  </r>
  <r>
    <x v="5"/>
    <x v="1"/>
    <x v="2"/>
    <x v="1"/>
    <x v="6"/>
    <x v="1"/>
    <x v="1"/>
    <x v="3"/>
    <x v="3"/>
    <x v="1"/>
    <x v="3"/>
    <x v="2"/>
    <x v="3"/>
    <x v="2"/>
    <x v="1"/>
    <x v="4"/>
    <x v="2"/>
  </r>
  <r>
    <x v="5"/>
    <x v="1"/>
    <x v="2"/>
    <x v="1"/>
    <x v="7"/>
    <x v="1"/>
    <x v="1"/>
    <x v="3"/>
    <x v="3"/>
    <x v="1"/>
    <x v="3"/>
    <x v="2"/>
    <x v="3"/>
    <x v="2"/>
    <x v="1"/>
    <x v="4"/>
    <x v="2"/>
  </r>
  <r>
    <x v="5"/>
    <x v="1"/>
    <x v="2"/>
    <x v="11"/>
    <x v="1"/>
    <x v="11"/>
    <x v="13"/>
    <x v="3"/>
    <x v="3"/>
    <x v="1"/>
    <x v="3"/>
    <x v="2"/>
    <x v="3"/>
    <x v="2"/>
    <x v="275"/>
    <x v="44"/>
    <x v="45"/>
  </r>
  <r>
    <x v="5"/>
    <x v="1"/>
    <x v="2"/>
    <x v="11"/>
    <x v="2"/>
    <x v="11"/>
    <x v="13"/>
    <x v="3"/>
    <x v="3"/>
    <x v="1"/>
    <x v="3"/>
    <x v="2"/>
    <x v="3"/>
    <x v="2"/>
    <x v="1"/>
    <x v="4"/>
    <x v="2"/>
  </r>
  <r>
    <x v="5"/>
    <x v="1"/>
    <x v="2"/>
    <x v="11"/>
    <x v="3"/>
    <x v="11"/>
    <x v="13"/>
    <x v="3"/>
    <x v="3"/>
    <x v="1"/>
    <x v="3"/>
    <x v="2"/>
    <x v="3"/>
    <x v="181"/>
    <x v="276"/>
    <x v="39"/>
    <x v="48"/>
  </r>
  <r>
    <x v="5"/>
    <x v="1"/>
    <x v="2"/>
    <x v="11"/>
    <x v="4"/>
    <x v="11"/>
    <x v="13"/>
    <x v="3"/>
    <x v="3"/>
    <x v="1"/>
    <x v="3"/>
    <x v="2"/>
    <x v="3"/>
    <x v="2"/>
    <x v="1"/>
    <x v="39"/>
    <x v="48"/>
  </r>
  <r>
    <x v="5"/>
    <x v="1"/>
    <x v="2"/>
    <x v="11"/>
    <x v="5"/>
    <x v="11"/>
    <x v="13"/>
    <x v="1"/>
    <x v="2"/>
    <x v="0"/>
    <x v="2"/>
    <x v="1"/>
    <x v="2"/>
    <x v="345"/>
    <x v="47"/>
    <x v="427"/>
    <x v="148"/>
  </r>
  <r>
    <x v="5"/>
    <x v="1"/>
    <x v="2"/>
    <x v="11"/>
    <x v="6"/>
    <x v="11"/>
    <x v="13"/>
    <x v="3"/>
    <x v="3"/>
    <x v="1"/>
    <x v="3"/>
    <x v="2"/>
    <x v="3"/>
    <x v="2"/>
    <x v="1"/>
    <x v="4"/>
    <x v="2"/>
  </r>
  <r>
    <x v="5"/>
    <x v="1"/>
    <x v="2"/>
    <x v="11"/>
    <x v="7"/>
    <x v="11"/>
    <x v="13"/>
    <x v="3"/>
    <x v="3"/>
    <x v="1"/>
    <x v="3"/>
    <x v="2"/>
    <x v="3"/>
    <x v="2"/>
    <x v="1"/>
    <x v="4"/>
    <x v="2"/>
  </r>
  <r>
    <x v="5"/>
    <x v="1"/>
    <x v="2"/>
    <x v="2"/>
    <x v="8"/>
    <x v="1"/>
    <x v="1"/>
    <x v="3"/>
    <x v="3"/>
    <x v="1"/>
    <x v="3"/>
    <x v="2"/>
    <x v="3"/>
    <x v="2"/>
    <x v="1"/>
    <x v="4"/>
    <x v="2"/>
  </r>
  <r>
    <x v="5"/>
    <x v="1"/>
    <x v="2"/>
    <x v="2"/>
    <x v="9"/>
    <x v="1"/>
    <x v="1"/>
    <x v="3"/>
    <x v="3"/>
    <x v="1"/>
    <x v="3"/>
    <x v="2"/>
    <x v="3"/>
    <x v="2"/>
    <x v="1"/>
    <x v="4"/>
    <x v="2"/>
  </r>
  <r>
    <x v="5"/>
    <x v="1"/>
    <x v="2"/>
    <x v="2"/>
    <x v="10"/>
    <x v="1"/>
    <x v="1"/>
    <x v="3"/>
    <x v="3"/>
    <x v="1"/>
    <x v="3"/>
    <x v="2"/>
    <x v="3"/>
    <x v="2"/>
    <x v="1"/>
    <x v="4"/>
    <x v="2"/>
  </r>
  <r>
    <x v="5"/>
    <x v="1"/>
    <x v="2"/>
    <x v="2"/>
    <x v="11"/>
    <x v="1"/>
    <x v="1"/>
    <x v="3"/>
    <x v="3"/>
    <x v="1"/>
    <x v="3"/>
    <x v="2"/>
    <x v="3"/>
    <x v="2"/>
    <x v="1"/>
    <x v="4"/>
    <x v="2"/>
  </r>
  <r>
    <x v="5"/>
    <x v="1"/>
    <x v="2"/>
    <x v="2"/>
    <x v="12"/>
    <x v="1"/>
    <x v="1"/>
    <x v="3"/>
    <x v="3"/>
    <x v="1"/>
    <x v="3"/>
    <x v="2"/>
    <x v="3"/>
    <x v="2"/>
    <x v="1"/>
    <x v="4"/>
    <x v="2"/>
  </r>
  <r>
    <x v="5"/>
    <x v="1"/>
    <x v="2"/>
    <x v="0"/>
    <x v="28"/>
    <x v="1"/>
    <x v="1"/>
    <x v="3"/>
    <x v="3"/>
    <x v="1"/>
    <x v="3"/>
    <x v="2"/>
    <x v="3"/>
    <x v="5"/>
    <x v="5"/>
    <x v="3"/>
    <x v="5"/>
  </r>
  <r>
    <x v="5"/>
    <x v="1"/>
    <x v="2"/>
    <x v="3"/>
    <x v="1"/>
    <x v="1"/>
    <x v="1"/>
    <x v="3"/>
    <x v="3"/>
    <x v="1"/>
    <x v="3"/>
    <x v="2"/>
    <x v="3"/>
    <x v="2"/>
    <x v="4"/>
    <x v="1"/>
    <x v="0"/>
  </r>
  <r>
    <x v="5"/>
    <x v="1"/>
    <x v="2"/>
    <x v="3"/>
    <x v="2"/>
    <x v="1"/>
    <x v="1"/>
    <x v="3"/>
    <x v="3"/>
    <x v="1"/>
    <x v="3"/>
    <x v="2"/>
    <x v="3"/>
    <x v="2"/>
    <x v="1"/>
    <x v="2"/>
    <x v="1"/>
  </r>
  <r>
    <x v="5"/>
    <x v="1"/>
    <x v="2"/>
    <x v="3"/>
    <x v="3"/>
    <x v="1"/>
    <x v="1"/>
    <x v="3"/>
    <x v="3"/>
    <x v="1"/>
    <x v="3"/>
    <x v="2"/>
    <x v="3"/>
    <x v="5"/>
    <x v="3"/>
    <x v="2"/>
    <x v="1"/>
  </r>
  <r>
    <x v="5"/>
    <x v="1"/>
    <x v="2"/>
    <x v="12"/>
    <x v="1"/>
    <x v="11"/>
    <x v="13"/>
    <x v="19"/>
    <x v="26"/>
    <x v="6"/>
    <x v="31"/>
    <x v="40"/>
    <x v="46"/>
    <x v="2"/>
    <x v="53"/>
    <x v="54"/>
    <x v="54"/>
  </r>
  <r>
    <x v="5"/>
    <x v="1"/>
    <x v="2"/>
    <x v="12"/>
    <x v="2"/>
    <x v="11"/>
    <x v="13"/>
    <x v="19"/>
    <x v="26"/>
    <x v="6"/>
    <x v="31"/>
    <x v="40"/>
    <x v="46"/>
    <x v="2"/>
    <x v="1"/>
    <x v="197"/>
    <x v="141"/>
  </r>
  <r>
    <x v="5"/>
    <x v="1"/>
    <x v="2"/>
    <x v="12"/>
    <x v="3"/>
    <x v="11"/>
    <x v="13"/>
    <x v="19"/>
    <x v="26"/>
    <x v="6"/>
    <x v="31"/>
    <x v="40"/>
    <x v="46"/>
    <x v="5"/>
    <x v="133"/>
    <x v="197"/>
    <x v="141"/>
  </r>
  <r>
    <x v="5"/>
    <x v="1"/>
    <x v="2"/>
    <x v="0"/>
    <x v="29"/>
    <x v="1"/>
    <x v="1"/>
    <x v="1"/>
    <x v="2"/>
    <x v="0"/>
    <x v="2"/>
    <x v="4"/>
    <x v="4"/>
    <x v="0"/>
    <x v="2"/>
    <x v="7"/>
    <x v="14"/>
  </r>
  <r>
    <x v="5"/>
    <x v="1"/>
    <x v="2"/>
    <x v="4"/>
    <x v="4"/>
    <x v="1"/>
    <x v="1"/>
    <x v="3"/>
    <x v="3"/>
    <x v="1"/>
    <x v="3"/>
    <x v="2"/>
    <x v="3"/>
    <x v="2"/>
    <x v="1"/>
    <x v="2"/>
    <x v="1"/>
  </r>
  <r>
    <x v="5"/>
    <x v="1"/>
    <x v="2"/>
    <x v="4"/>
    <x v="5"/>
    <x v="1"/>
    <x v="1"/>
    <x v="1"/>
    <x v="2"/>
    <x v="0"/>
    <x v="2"/>
    <x v="4"/>
    <x v="4"/>
    <x v="0"/>
    <x v="2"/>
    <x v="8"/>
    <x v="6"/>
  </r>
  <r>
    <x v="5"/>
    <x v="1"/>
    <x v="2"/>
    <x v="4"/>
    <x v="6"/>
    <x v="1"/>
    <x v="1"/>
    <x v="3"/>
    <x v="3"/>
    <x v="1"/>
    <x v="3"/>
    <x v="2"/>
    <x v="3"/>
    <x v="2"/>
    <x v="1"/>
    <x v="4"/>
    <x v="2"/>
  </r>
  <r>
    <x v="5"/>
    <x v="1"/>
    <x v="2"/>
    <x v="4"/>
    <x v="7"/>
    <x v="1"/>
    <x v="1"/>
    <x v="3"/>
    <x v="3"/>
    <x v="1"/>
    <x v="3"/>
    <x v="2"/>
    <x v="3"/>
    <x v="2"/>
    <x v="1"/>
    <x v="4"/>
    <x v="2"/>
  </r>
  <r>
    <x v="5"/>
    <x v="1"/>
    <x v="2"/>
    <x v="13"/>
    <x v="4"/>
    <x v="11"/>
    <x v="13"/>
    <x v="3"/>
    <x v="3"/>
    <x v="1"/>
    <x v="3"/>
    <x v="2"/>
    <x v="3"/>
    <x v="2"/>
    <x v="1"/>
    <x v="59"/>
    <x v="34"/>
  </r>
  <r>
    <x v="5"/>
    <x v="1"/>
    <x v="2"/>
    <x v="13"/>
    <x v="5"/>
    <x v="11"/>
    <x v="13"/>
    <x v="1"/>
    <x v="2"/>
    <x v="0"/>
    <x v="2"/>
    <x v="1"/>
    <x v="2"/>
    <x v="5"/>
    <x v="3"/>
    <x v="55"/>
    <x v="58"/>
  </r>
  <r>
    <x v="5"/>
    <x v="1"/>
    <x v="2"/>
    <x v="13"/>
    <x v="6"/>
    <x v="11"/>
    <x v="13"/>
    <x v="3"/>
    <x v="3"/>
    <x v="6"/>
    <x v="31"/>
    <x v="40"/>
    <x v="46"/>
    <x v="2"/>
    <x v="1"/>
    <x v="4"/>
    <x v="2"/>
  </r>
  <r>
    <x v="5"/>
    <x v="1"/>
    <x v="2"/>
    <x v="13"/>
    <x v="7"/>
    <x v="11"/>
    <x v="13"/>
    <x v="3"/>
    <x v="3"/>
    <x v="1"/>
    <x v="3"/>
    <x v="2"/>
    <x v="3"/>
    <x v="2"/>
    <x v="1"/>
    <x v="4"/>
    <x v="2"/>
  </r>
  <r>
    <x v="5"/>
    <x v="1"/>
    <x v="2"/>
    <x v="0"/>
    <x v="30"/>
    <x v="1"/>
    <x v="1"/>
    <x v="3"/>
    <x v="3"/>
    <x v="1"/>
    <x v="3"/>
    <x v="2"/>
    <x v="3"/>
    <x v="2"/>
    <x v="1"/>
    <x v="4"/>
    <x v="2"/>
  </r>
  <r>
    <x v="5"/>
    <x v="1"/>
    <x v="2"/>
    <x v="0"/>
    <x v="31"/>
    <x v="1"/>
    <x v="1"/>
    <x v="3"/>
    <x v="3"/>
    <x v="1"/>
    <x v="3"/>
    <x v="2"/>
    <x v="3"/>
    <x v="2"/>
    <x v="1"/>
    <x v="4"/>
    <x v="2"/>
  </r>
  <r>
    <x v="5"/>
    <x v="1"/>
    <x v="2"/>
    <x v="0"/>
    <x v="32"/>
    <x v="1"/>
    <x v="1"/>
    <x v="1"/>
    <x v="2"/>
    <x v="0"/>
    <x v="2"/>
    <x v="4"/>
    <x v="4"/>
    <x v="39"/>
    <x v="16"/>
    <x v="0"/>
    <x v="143"/>
  </r>
  <r>
    <x v="5"/>
    <x v="1"/>
    <x v="2"/>
    <x v="14"/>
    <x v="8"/>
    <x v="1"/>
    <x v="1"/>
    <x v="3"/>
    <x v="3"/>
    <x v="1"/>
    <x v="3"/>
    <x v="2"/>
    <x v="3"/>
    <x v="2"/>
    <x v="1"/>
    <x v="4"/>
    <x v="2"/>
  </r>
  <r>
    <x v="5"/>
    <x v="1"/>
    <x v="2"/>
    <x v="14"/>
    <x v="9"/>
    <x v="1"/>
    <x v="1"/>
    <x v="3"/>
    <x v="3"/>
    <x v="1"/>
    <x v="3"/>
    <x v="2"/>
    <x v="3"/>
    <x v="2"/>
    <x v="1"/>
    <x v="4"/>
    <x v="2"/>
  </r>
  <r>
    <x v="5"/>
    <x v="1"/>
    <x v="2"/>
    <x v="14"/>
    <x v="10"/>
    <x v="1"/>
    <x v="1"/>
    <x v="3"/>
    <x v="3"/>
    <x v="1"/>
    <x v="3"/>
    <x v="2"/>
    <x v="3"/>
    <x v="2"/>
    <x v="1"/>
    <x v="4"/>
    <x v="2"/>
  </r>
  <r>
    <x v="5"/>
    <x v="1"/>
    <x v="2"/>
    <x v="14"/>
    <x v="11"/>
    <x v="1"/>
    <x v="1"/>
    <x v="3"/>
    <x v="3"/>
    <x v="1"/>
    <x v="3"/>
    <x v="2"/>
    <x v="3"/>
    <x v="2"/>
    <x v="1"/>
    <x v="4"/>
    <x v="2"/>
  </r>
  <r>
    <x v="5"/>
    <x v="1"/>
    <x v="2"/>
    <x v="14"/>
    <x v="12"/>
    <x v="1"/>
    <x v="1"/>
    <x v="3"/>
    <x v="3"/>
    <x v="1"/>
    <x v="3"/>
    <x v="2"/>
    <x v="3"/>
    <x v="2"/>
    <x v="1"/>
    <x v="4"/>
    <x v="2"/>
  </r>
  <r>
    <x v="5"/>
    <x v="1"/>
    <x v="2"/>
    <x v="15"/>
    <x v="8"/>
    <x v="1"/>
    <x v="1"/>
    <x v="3"/>
    <x v="3"/>
    <x v="1"/>
    <x v="3"/>
    <x v="2"/>
    <x v="3"/>
    <x v="2"/>
    <x v="1"/>
    <x v="4"/>
    <x v="2"/>
  </r>
  <r>
    <x v="5"/>
    <x v="1"/>
    <x v="2"/>
    <x v="15"/>
    <x v="9"/>
    <x v="1"/>
    <x v="1"/>
    <x v="3"/>
    <x v="3"/>
    <x v="1"/>
    <x v="3"/>
    <x v="2"/>
    <x v="3"/>
    <x v="2"/>
    <x v="1"/>
    <x v="4"/>
    <x v="2"/>
  </r>
  <r>
    <x v="5"/>
    <x v="1"/>
    <x v="2"/>
    <x v="15"/>
    <x v="10"/>
    <x v="1"/>
    <x v="1"/>
    <x v="3"/>
    <x v="3"/>
    <x v="1"/>
    <x v="3"/>
    <x v="2"/>
    <x v="3"/>
    <x v="2"/>
    <x v="1"/>
    <x v="4"/>
    <x v="2"/>
  </r>
  <r>
    <x v="5"/>
    <x v="1"/>
    <x v="2"/>
    <x v="15"/>
    <x v="11"/>
    <x v="1"/>
    <x v="1"/>
    <x v="3"/>
    <x v="3"/>
    <x v="1"/>
    <x v="3"/>
    <x v="2"/>
    <x v="3"/>
    <x v="2"/>
    <x v="1"/>
    <x v="4"/>
    <x v="2"/>
  </r>
  <r>
    <x v="5"/>
    <x v="1"/>
    <x v="2"/>
    <x v="15"/>
    <x v="12"/>
    <x v="1"/>
    <x v="1"/>
    <x v="3"/>
    <x v="3"/>
    <x v="1"/>
    <x v="3"/>
    <x v="2"/>
    <x v="3"/>
    <x v="2"/>
    <x v="1"/>
    <x v="4"/>
    <x v="2"/>
  </r>
  <r>
    <x v="5"/>
    <x v="1"/>
    <x v="2"/>
    <x v="16"/>
    <x v="8"/>
    <x v="1"/>
    <x v="1"/>
    <x v="3"/>
    <x v="3"/>
    <x v="1"/>
    <x v="3"/>
    <x v="2"/>
    <x v="2"/>
    <x v="3"/>
    <x v="12"/>
    <x v="8"/>
    <x v="6"/>
  </r>
  <r>
    <x v="5"/>
    <x v="1"/>
    <x v="2"/>
    <x v="16"/>
    <x v="9"/>
    <x v="1"/>
    <x v="1"/>
    <x v="1"/>
    <x v="2"/>
    <x v="0"/>
    <x v="2"/>
    <x v="4"/>
    <x v="1"/>
    <x v="3"/>
    <x v="4"/>
    <x v="1"/>
    <x v="0"/>
  </r>
  <r>
    <x v="5"/>
    <x v="1"/>
    <x v="2"/>
    <x v="16"/>
    <x v="10"/>
    <x v="1"/>
    <x v="1"/>
    <x v="3"/>
    <x v="3"/>
    <x v="1"/>
    <x v="3"/>
    <x v="2"/>
    <x v="2"/>
    <x v="3"/>
    <x v="4"/>
    <x v="1"/>
    <x v="0"/>
  </r>
  <r>
    <x v="5"/>
    <x v="1"/>
    <x v="2"/>
    <x v="16"/>
    <x v="11"/>
    <x v="1"/>
    <x v="1"/>
    <x v="3"/>
    <x v="3"/>
    <x v="1"/>
    <x v="3"/>
    <x v="2"/>
    <x v="3"/>
    <x v="2"/>
    <x v="1"/>
    <x v="4"/>
    <x v="2"/>
  </r>
  <r>
    <x v="5"/>
    <x v="1"/>
    <x v="2"/>
    <x v="16"/>
    <x v="12"/>
    <x v="1"/>
    <x v="1"/>
    <x v="3"/>
    <x v="3"/>
    <x v="1"/>
    <x v="3"/>
    <x v="2"/>
    <x v="3"/>
    <x v="2"/>
    <x v="1"/>
    <x v="4"/>
    <x v="2"/>
  </r>
  <r>
    <x v="5"/>
    <x v="1"/>
    <x v="3"/>
    <x v="0"/>
    <x v="33"/>
    <x v="11"/>
    <x v="1"/>
    <x v="1"/>
    <x v="2"/>
    <x v="0"/>
    <x v="2"/>
    <x v="10"/>
    <x v="2"/>
    <x v="5"/>
    <x v="3"/>
    <x v="2"/>
    <x v="1"/>
  </r>
  <r>
    <x v="5"/>
    <x v="1"/>
    <x v="3"/>
    <x v="3"/>
    <x v="1"/>
    <x v="11"/>
    <x v="13"/>
    <x v="19"/>
    <x v="26"/>
    <x v="6"/>
    <x v="31"/>
    <x v="40"/>
    <x v="46"/>
    <x v="45"/>
    <x v="3"/>
    <x v="2"/>
    <x v="1"/>
  </r>
  <r>
    <x v="5"/>
    <x v="1"/>
    <x v="3"/>
    <x v="3"/>
    <x v="2"/>
    <x v="11"/>
    <x v="13"/>
    <x v="19"/>
    <x v="26"/>
    <x v="6"/>
    <x v="31"/>
    <x v="40"/>
    <x v="46"/>
    <x v="45"/>
    <x v="50"/>
    <x v="60"/>
    <x v="56"/>
  </r>
  <r>
    <x v="5"/>
    <x v="1"/>
    <x v="3"/>
    <x v="3"/>
    <x v="3"/>
    <x v="11"/>
    <x v="13"/>
    <x v="19"/>
    <x v="26"/>
    <x v="6"/>
    <x v="31"/>
    <x v="40"/>
    <x v="46"/>
    <x v="5"/>
    <x v="3"/>
    <x v="2"/>
    <x v="1"/>
  </r>
  <r>
    <x v="5"/>
    <x v="1"/>
    <x v="3"/>
    <x v="4"/>
    <x v="4"/>
    <x v="11"/>
    <x v="13"/>
    <x v="19"/>
    <x v="26"/>
    <x v="6"/>
    <x v="31"/>
    <x v="40"/>
    <x v="46"/>
    <x v="45"/>
    <x v="50"/>
    <x v="2"/>
    <x v="1"/>
  </r>
  <r>
    <x v="5"/>
    <x v="1"/>
    <x v="3"/>
    <x v="4"/>
    <x v="5"/>
    <x v="11"/>
    <x v="1"/>
    <x v="1"/>
    <x v="2"/>
    <x v="0"/>
    <x v="2"/>
    <x v="10"/>
    <x v="2"/>
    <x v="5"/>
    <x v="3"/>
    <x v="2"/>
    <x v="1"/>
  </r>
  <r>
    <x v="5"/>
    <x v="1"/>
    <x v="3"/>
    <x v="4"/>
    <x v="6"/>
    <x v="11"/>
    <x v="13"/>
    <x v="19"/>
    <x v="26"/>
    <x v="6"/>
    <x v="31"/>
    <x v="40"/>
    <x v="46"/>
    <x v="45"/>
    <x v="50"/>
    <x v="60"/>
    <x v="56"/>
  </r>
  <r>
    <x v="5"/>
    <x v="1"/>
    <x v="3"/>
    <x v="4"/>
    <x v="7"/>
    <x v="11"/>
    <x v="13"/>
    <x v="19"/>
    <x v="26"/>
    <x v="6"/>
    <x v="31"/>
    <x v="40"/>
    <x v="46"/>
    <x v="45"/>
    <x v="50"/>
    <x v="60"/>
    <x v="56"/>
  </r>
  <r>
    <x v="5"/>
    <x v="1"/>
    <x v="3"/>
    <x v="2"/>
    <x v="8"/>
    <x v="11"/>
    <x v="13"/>
    <x v="19"/>
    <x v="26"/>
    <x v="6"/>
    <x v="31"/>
    <x v="40"/>
    <x v="3"/>
    <x v="2"/>
    <x v="1"/>
    <x v="4"/>
    <x v="2"/>
  </r>
  <r>
    <x v="5"/>
    <x v="1"/>
    <x v="3"/>
    <x v="2"/>
    <x v="9"/>
    <x v="11"/>
    <x v="1"/>
    <x v="3"/>
    <x v="3"/>
    <x v="1"/>
    <x v="3"/>
    <x v="2"/>
    <x v="3"/>
    <x v="2"/>
    <x v="1"/>
    <x v="4"/>
    <x v="2"/>
  </r>
  <r>
    <x v="5"/>
    <x v="1"/>
    <x v="3"/>
    <x v="2"/>
    <x v="10"/>
    <x v="11"/>
    <x v="13"/>
    <x v="19"/>
    <x v="26"/>
    <x v="6"/>
    <x v="31"/>
    <x v="2"/>
    <x v="3"/>
    <x v="2"/>
    <x v="1"/>
    <x v="4"/>
    <x v="2"/>
  </r>
  <r>
    <x v="5"/>
    <x v="1"/>
    <x v="3"/>
    <x v="2"/>
    <x v="11"/>
    <x v="11"/>
    <x v="13"/>
    <x v="19"/>
    <x v="26"/>
    <x v="6"/>
    <x v="31"/>
    <x v="40"/>
    <x v="46"/>
    <x v="45"/>
    <x v="50"/>
    <x v="60"/>
    <x v="56"/>
  </r>
  <r>
    <x v="5"/>
    <x v="1"/>
    <x v="3"/>
    <x v="2"/>
    <x v="12"/>
    <x v="11"/>
    <x v="13"/>
    <x v="19"/>
    <x v="26"/>
    <x v="6"/>
    <x v="31"/>
    <x v="40"/>
    <x v="46"/>
    <x v="45"/>
    <x v="50"/>
    <x v="60"/>
    <x v="56"/>
  </r>
  <r>
    <x v="5"/>
    <x v="1"/>
    <x v="3"/>
    <x v="0"/>
    <x v="34"/>
    <x v="11"/>
    <x v="13"/>
    <x v="19"/>
    <x v="26"/>
    <x v="6"/>
    <x v="31"/>
    <x v="40"/>
    <x v="46"/>
    <x v="5"/>
    <x v="3"/>
    <x v="2"/>
    <x v="1"/>
  </r>
  <r>
    <x v="5"/>
    <x v="1"/>
    <x v="3"/>
    <x v="3"/>
    <x v="1"/>
    <x v="11"/>
    <x v="13"/>
    <x v="19"/>
    <x v="26"/>
    <x v="6"/>
    <x v="31"/>
    <x v="40"/>
    <x v="46"/>
    <x v="45"/>
    <x v="3"/>
    <x v="2"/>
    <x v="1"/>
  </r>
  <r>
    <x v="5"/>
    <x v="1"/>
    <x v="3"/>
    <x v="3"/>
    <x v="2"/>
    <x v="11"/>
    <x v="13"/>
    <x v="19"/>
    <x v="26"/>
    <x v="6"/>
    <x v="31"/>
    <x v="40"/>
    <x v="46"/>
    <x v="45"/>
    <x v="50"/>
    <x v="2"/>
    <x v="1"/>
  </r>
  <r>
    <x v="5"/>
    <x v="1"/>
    <x v="3"/>
    <x v="3"/>
    <x v="3"/>
    <x v="11"/>
    <x v="13"/>
    <x v="19"/>
    <x v="26"/>
    <x v="6"/>
    <x v="31"/>
    <x v="40"/>
    <x v="46"/>
    <x v="5"/>
    <x v="3"/>
    <x v="2"/>
    <x v="1"/>
  </r>
  <r>
    <x v="5"/>
    <x v="1"/>
    <x v="3"/>
    <x v="0"/>
    <x v="35"/>
    <x v="11"/>
    <x v="1"/>
    <x v="1"/>
    <x v="2"/>
    <x v="0"/>
    <x v="2"/>
    <x v="10"/>
    <x v="2"/>
    <x v="5"/>
    <x v="3"/>
    <x v="2"/>
    <x v="1"/>
  </r>
  <r>
    <x v="5"/>
    <x v="1"/>
    <x v="3"/>
    <x v="4"/>
    <x v="4"/>
    <x v="11"/>
    <x v="13"/>
    <x v="19"/>
    <x v="26"/>
    <x v="6"/>
    <x v="31"/>
    <x v="40"/>
    <x v="46"/>
    <x v="45"/>
    <x v="50"/>
    <x v="2"/>
    <x v="1"/>
  </r>
  <r>
    <x v="5"/>
    <x v="1"/>
    <x v="3"/>
    <x v="4"/>
    <x v="5"/>
    <x v="11"/>
    <x v="1"/>
    <x v="1"/>
    <x v="2"/>
    <x v="0"/>
    <x v="2"/>
    <x v="10"/>
    <x v="2"/>
    <x v="5"/>
    <x v="3"/>
    <x v="2"/>
    <x v="1"/>
  </r>
  <r>
    <x v="5"/>
    <x v="1"/>
    <x v="3"/>
    <x v="4"/>
    <x v="6"/>
    <x v="11"/>
    <x v="13"/>
    <x v="19"/>
    <x v="26"/>
    <x v="6"/>
    <x v="31"/>
    <x v="40"/>
    <x v="46"/>
    <x v="45"/>
    <x v="50"/>
    <x v="60"/>
    <x v="56"/>
  </r>
  <r>
    <x v="5"/>
    <x v="1"/>
    <x v="3"/>
    <x v="4"/>
    <x v="7"/>
    <x v="11"/>
    <x v="13"/>
    <x v="19"/>
    <x v="26"/>
    <x v="6"/>
    <x v="31"/>
    <x v="40"/>
    <x v="46"/>
    <x v="45"/>
    <x v="50"/>
    <x v="60"/>
    <x v="56"/>
  </r>
  <r>
    <x v="5"/>
    <x v="1"/>
    <x v="4"/>
    <x v="0"/>
    <x v="15"/>
    <x v="1"/>
    <x v="1"/>
    <x v="173"/>
    <x v="3"/>
    <x v="1"/>
    <x v="3"/>
    <x v="341"/>
    <x v="397"/>
    <x v="431"/>
    <x v="427"/>
    <x v="428"/>
    <x v="2"/>
  </r>
  <r>
    <x v="5"/>
    <x v="1"/>
    <x v="4"/>
    <x v="1"/>
    <x v="1"/>
    <x v="1"/>
    <x v="1"/>
    <x v="3"/>
    <x v="3"/>
    <x v="1"/>
    <x v="3"/>
    <x v="2"/>
    <x v="3"/>
    <x v="2"/>
    <x v="427"/>
    <x v="4"/>
    <x v="2"/>
  </r>
  <r>
    <x v="5"/>
    <x v="1"/>
    <x v="4"/>
    <x v="1"/>
    <x v="2"/>
    <x v="1"/>
    <x v="1"/>
    <x v="3"/>
    <x v="3"/>
    <x v="1"/>
    <x v="3"/>
    <x v="2"/>
    <x v="3"/>
    <x v="2"/>
    <x v="1"/>
    <x v="4"/>
    <x v="2"/>
  </r>
  <r>
    <x v="5"/>
    <x v="1"/>
    <x v="4"/>
    <x v="1"/>
    <x v="3"/>
    <x v="1"/>
    <x v="1"/>
    <x v="3"/>
    <x v="3"/>
    <x v="1"/>
    <x v="3"/>
    <x v="2"/>
    <x v="3"/>
    <x v="432"/>
    <x v="1"/>
    <x v="4"/>
    <x v="2"/>
  </r>
  <r>
    <x v="5"/>
    <x v="1"/>
    <x v="4"/>
    <x v="1"/>
    <x v="4"/>
    <x v="1"/>
    <x v="1"/>
    <x v="3"/>
    <x v="3"/>
    <x v="1"/>
    <x v="3"/>
    <x v="2"/>
    <x v="3"/>
    <x v="2"/>
    <x v="1"/>
    <x v="428"/>
    <x v="2"/>
  </r>
  <r>
    <x v="5"/>
    <x v="1"/>
    <x v="4"/>
    <x v="1"/>
    <x v="5"/>
    <x v="1"/>
    <x v="1"/>
    <x v="173"/>
    <x v="3"/>
    <x v="1"/>
    <x v="3"/>
    <x v="341"/>
    <x v="397"/>
    <x v="433"/>
    <x v="1"/>
    <x v="4"/>
    <x v="2"/>
  </r>
  <r>
    <x v="5"/>
    <x v="1"/>
    <x v="4"/>
    <x v="1"/>
    <x v="6"/>
    <x v="1"/>
    <x v="1"/>
    <x v="3"/>
    <x v="3"/>
    <x v="1"/>
    <x v="3"/>
    <x v="2"/>
    <x v="3"/>
    <x v="2"/>
    <x v="1"/>
    <x v="4"/>
    <x v="2"/>
  </r>
  <r>
    <x v="5"/>
    <x v="1"/>
    <x v="4"/>
    <x v="1"/>
    <x v="7"/>
    <x v="1"/>
    <x v="1"/>
    <x v="3"/>
    <x v="3"/>
    <x v="1"/>
    <x v="3"/>
    <x v="2"/>
    <x v="3"/>
    <x v="2"/>
    <x v="1"/>
    <x v="4"/>
    <x v="2"/>
  </r>
  <r>
    <x v="5"/>
    <x v="1"/>
    <x v="4"/>
    <x v="2"/>
    <x v="8"/>
    <x v="1"/>
    <x v="1"/>
    <x v="3"/>
    <x v="3"/>
    <x v="1"/>
    <x v="3"/>
    <x v="2"/>
    <x v="398"/>
    <x v="433"/>
    <x v="427"/>
    <x v="428"/>
    <x v="2"/>
  </r>
  <r>
    <x v="5"/>
    <x v="1"/>
    <x v="4"/>
    <x v="2"/>
    <x v="9"/>
    <x v="1"/>
    <x v="1"/>
    <x v="173"/>
    <x v="3"/>
    <x v="1"/>
    <x v="3"/>
    <x v="341"/>
    <x v="3"/>
    <x v="2"/>
    <x v="1"/>
    <x v="4"/>
    <x v="2"/>
  </r>
  <r>
    <x v="5"/>
    <x v="1"/>
    <x v="4"/>
    <x v="2"/>
    <x v="10"/>
    <x v="1"/>
    <x v="1"/>
    <x v="3"/>
    <x v="3"/>
    <x v="1"/>
    <x v="3"/>
    <x v="2"/>
    <x v="399"/>
    <x v="432"/>
    <x v="1"/>
    <x v="4"/>
    <x v="2"/>
  </r>
  <r>
    <x v="5"/>
    <x v="1"/>
    <x v="4"/>
    <x v="2"/>
    <x v="11"/>
    <x v="1"/>
    <x v="1"/>
    <x v="3"/>
    <x v="3"/>
    <x v="1"/>
    <x v="3"/>
    <x v="2"/>
    <x v="3"/>
    <x v="2"/>
    <x v="1"/>
    <x v="4"/>
    <x v="2"/>
  </r>
  <r>
    <x v="5"/>
    <x v="1"/>
    <x v="4"/>
    <x v="2"/>
    <x v="12"/>
    <x v="1"/>
    <x v="1"/>
    <x v="3"/>
    <x v="3"/>
    <x v="1"/>
    <x v="3"/>
    <x v="2"/>
    <x v="3"/>
    <x v="2"/>
    <x v="1"/>
    <x v="4"/>
    <x v="2"/>
  </r>
  <r>
    <x v="5"/>
    <x v="1"/>
    <x v="5"/>
    <x v="0"/>
    <x v="15"/>
    <x v="1"/>
    <x v="1"/>
    <x v="173"/>
    <x v="3"/>
    <x v="1"/>
    <x v="3"/>
    <x v="341"/>
    <x v="397"/>
    <x v="431"/>
    <x v="427"/>
    <x v="428"/>
    <x v="2"/>
  </r>
  <r>
    <x v="5"/>
    <x v="1"/>
    <x v="5"/>
    <x v="2"/>
    <x v="8"/>
    <x v="1"/>
    <x v="1"/>
    <x v="3"/>
    <x v="3"/>
    <x v="1"/>
    <x v="3"/>
    <x v="2"/>
    <x v="398"/>
    <x v="433"/>
    <x v="427"/>
    <x v="428"/>
    <x v="2"/>
  </r>
  <r>
    <x v="5"/>
    <x v="1"/>
    <x v="5"/>
    <x v="2"/>
    <x v="9"/>
    <x v="1"/>
    <x v="1"/>
    <x v="173"/>
    <x v="3"/>
    <x v="1"/>
    <x v="3"/>
    <x v="341"/>
    <x v="3"/>
    <x v="2"/>
    <x v="1"/>
    <x v="4"/>
    <x v="2"/>
  </r>
  <r>
    <x v="5"/>
    <x v="1"/>
    <x v="5"/>
    <x v="2"/>
    <x v="10"/>
    <x v="1"/>
    <x v="1"/>
    <x v="3"/>
    <x v="3"/>
    <x v="1"/>
    <x v="3"/>
    <x v="2"/>
    <x v="399"/>
    <x v="432"/>
    <x v="1"/>
    <x v="4"/>
    <x v="2"/>
  </r>
  <r>
    <x v="5"/>
    <x v="1"/>
    <x v="5"/>
    <x v="2"/>
    <x v="11"/>
    <x v="1"/>
    <x v="1"/>
    <x v="3"/>
    <x v="3"/>
    <x v="1"/>
    <x v="3"/>
    <x v="2"/>
    <x v="3"/>
    <x v="2"/>
    <x v="1"/>
    <x v="4"/>
    <x v="2"/>
  </r>
  <r>
    <x v="5"/>
    <x v="1"/>
    <x v="5"/>
    <x v="2"/>
    <x v="12"/>
    <x v="1"/>
    <x v="1"/>
    <x v="3"/>
    <x v="3"/>
    <x v="1"/>
    <x v="3"/>
    <x v="2"/>
    <x v="3"/>
    <x v="2"/>
    <x v="1"/>
    <x v="4"/>
    <x v="2"/>
  </r>
  <r>
    <x v="5"/>
    <x v="1"/>
    <x v="6"/>
    <x v="0"/>
    <x v="15"/>
    <x v="1"/>
    <x v="1"/>
    <x v="173"/>
    <x v="263"/>
    <x v="304"/>
    <x v="323"/>
    <x v="342"/>
    <x v="400"/>
    <x v="434"/>
    <x v="428"/>
    <x v="429"/>
    <x v="432"/>
  </r>
  <r>
    <x v="5"/>
    <x v="1"/>
    <x v="7"/>
    <x v="0"/>
    <x v="15"/>
    <x v="1"/>
    <x v="1"/>
    <x v="174"/>
    <x v="3"/>
    <x v="1"/>
    <x v="3"/>
    <x v="343"/>
    <x v="401"/>
    <x v="435"/>
    <x v="429"/>
    <x v="430"/>
    <x v="2"/>
  </r>
  <r>
    <x v="5"/>
    <x v="1"/>
    <x v="7"/>
    <x v="1"/>
    <x v="1"/>
    <x v="1"/>
    <x v="1"/>
    <x v="3"/>
    <x v="3"/>
    <x v="1"/>
    <x v="3"/>
    <x v="2"/>
    <x v="3"/>
    <x v="2"/>
    <x v="429"/>
    <x v="4"/>
    <x v="2"/>
  </r>
  <r>
    <x v="5"/>
    <x v="1"/>
    <x v="7"/>
    <x v="1"/>
    <x v="2"/>
    <x v="1"/>
    <x v="1"/>
    <x v="3"/>
    <x v="3"/>
    <x v="1"/>
    <x v="3"/>
    <x v="2"/>
    <x v="3"/>
    <x v="2"/>
    <x v="1"/>
    <x v="4"/>
    <x v="2"/>
  </r>
  <r>
    <x v="5"/>
    <x v="1"/>
    <x v="7"/>
    <x v="1"/>
    <x v="3"/>
    <x v="1"/>
    <x v="1"/>
    <x v="3"/>
    <x v="3"/>
    <x v="1"/>
    <x v="3"/>
    <x v="2"/>
    <x v="3"/>
    <x v="436"/>
    <x v="1"/>
    <x v="4"/>
    <x v="2"/>
  </r>
  <r>
    <x v="5"/>
    <x v="1"/>
    <x v="7"/>
    <x v="1"/>
    <x v="4"/>
    <x v="1"/>
    <x v="1"/>
    <x v="3"/>
    <x v="3"/>
    <x v="1"/>
    <x v="3"/>
    <x v="2"/>
    <x v="3"/>
    <x v="2"/>
    <x v="1"/>
    <x v="430"/>
    <x v="2"/>
  </r>
  <r>
    <x v="5"/>
    <x v="1"/>
    <x v="7"/>
    <x v="1"/>
    <x v="5"/>
    <x v="1"/>
    <x v="1"/>
    <x v="174"/>
    <x v="3"/>
    <x v="1"/>
    <x v="3"/>
    <x v="343"/>
    <x v="401"/>
    <x v="437"/>
    <x v="1"/>
    <x v="4"/>
    <x v="2"/>
  </r>
  <r>
    <x v="5"/>
    <x v="1"/>
    <x v="7"/>
    <x v="1"/>
    <x v="6"/>
    <x v="1"/>
    <x v="1"/>
    <x v="3"/>
    <x v="3"/>
    <x v="1"/>
    <x v="3"/>
    <x v="2"/>
    <x v="3"/>
    <x v="2"/>
    <x v="1"/>
    <x v="4"/>
    <x v="2"/>
  </r>
  <r>
    <x v="5"/>
    <x v="1"/>
    <x v="7"/>
    <x v="1"/>
    <x v="7"/>
    <x v="1"/>
    <x v="1"/>
    <x v="3"/>
    <x v="3"/>
    <x v="1"/>
    <x v="3"/>
    <x v="2"/>
    <x v="3"/>
    <x v="2"/>
    <x v="1"/>
    <x v="4"/>
    <x v="2"/>
  </r>
  <r>
    <x v="5"/>
    <x v="1"/>
    <x v="7"/>
    <x v="2"/>
    <x v="8"/>
    <x v="1"/>
    <x v="1"/>
    <x v="3"/>
    <x v="3"/>
    <x v="1"/>
    <x v="3"/>
    <x v="2"/>
    <x v="402"/>
    <x v="437"/>
    <x v="429"/>
    <x v="430"/>
    <x v="2"/>
  </r>
  <r>
    <x v="5"/>
    <x v="1"/>
    <x v="7"/>
    <x v="2"/>
    <x v="9"/>
    <x v="1"/>
    <x v="1"/>
    <x v="174"/>
    <x v="3"/>
    <x v="1"/>
    <x v="3"/>
    <x v="343"/>
    <x v="3"/>
    <x v="2"/>
    <x v="1"/>
    <x v="4"/>
    <x v="2"/>
  </r>
  <r>
    <x v="5"/>
    <x v="1"/>
    <x v="7"/>
    <x v="2"/>
    <x v="10"/>
    <x v="1"/>
    <x v="1"/>
    <x v="3"/>
    <x v="3"/>
    <x v="1"/>
    <x v="3"/>
    <x v="2"/>
    <x v="403"/>
    <x v="436"/>
    <x v="1"/>
    <x v="4"/>
    <x v="2"/>
  </r>
  <r>
    <x v="5"/>
    <x v="1"/>
    <x v="7"/>
    <x v="2"/>
    <x v="11"/>
    <x v="1"/>
    <x v="1"/>
    <x v="3"/>
    <x v="3"/>
    <x v="1"/>
    <x v="3"/>
    <x v="2"/>
    <x v="3"/>
    <x v="2"/>
    <x v="1"/>
    <x v="4"/>
    <x v="2"/>
  </r>
  <r>
    <x v="5"/>
    <x v="1"/>
    <x v="7"/>
    <x v="2"/>
    <x v="12"/>
    <x v="1"/>
    <x v="1"/>
    <x v="3"/>
    <x v="3"/>
    <x v="1"/>
    <x v="3"/>
    <x v="2"/>
    <x v="3"/>
    <x v="2"/>
    <x v="1"/>
    <x v="4"/>
    <x v="2"/>
  </r>
  <r>
    <x v="5"/>
    <x v="1"/>
    <x v="4"/>
    <x v="0"/>
    <x v="36"/>
    <x v="1"/>
    <x v="1"/>
    <x v="3"/>
    <x v="3"/>
    <x v="1"/>
    <x v="3"/>
    <x v="2"/>
    <x v="3"/>
    <x v="2"/>
    <x v="1"/>
    <x v="4"/>
    <x v="2"/>
  </r>
  <r>
    <x v="5"/>
    <x v="1"/>
    <x v="4"/>
    <x v="0"/>
    <x v="37"/>
    <x v="1"/>
    <x v="1"/>
    <x v="3"/>
    <x v="3"/>
    <x v="1"/>
    <x v="3"/>
    <x v="2"/>
    <x v="3"/>
    <x v="2"/>
    <x v="1"/>
    <x v="4"/>
    <x v="2"/>
  </r>
  <r>
    <x v="5"/>
    <x v="1"/>
    <x v="4"/>
    <x v="0"/>
    <x v="38"/>
    <x v="1"/>
    <x v="1"/>
    <x v="3"/>
    <x v="3"/>
    <x v="1"/>
    <x v="3"/>
    <x v="2"/>
    <x v="3"/>
    <x v="2"/>
    <x v="1"/>
    <x v="4"/>
    <x v="2"/>
  </r>
  <r>
    <x v="5"/>
    <x v="1"/>
    <x v="4"/>
    <x v="5"/>
    <x v="8"/>
    <x v="1"/>
    <x v="1"/>
    <x v="3"/>
    <x v="3"/>
    <x v="1"/>
    <x v="3"/>
    <x v="2"/>
    <x v="3"/>
    <x v="2"/>
    <x v="1"/>
    <x v="4"/>
    <x v="2"/>
  </r>
  <r>
    <x v="5"/>
    <x v="1"/>
    <x v="4"/>
    <x v="5"/>
    <x v="9"/>
    <x v="1"/>
    <x v="1"/>
    <x v="3"/>
    <x v="3"/>
    <x v="1"/>
    <x v="3"/>
    <x v="2"/>
    <x v="3"/>
    <x v="2"/>
    <x v="1"/>
    <x v="4"/>
    <x v="2"/>
  </r>
  <r>
    <x v="5"/>
    <x v="1"/>
    <x v="4"/>
    <x v="5"/>
    <x v="10"/>
    <x v="1"/>
    <x v="1"/>
    <x v="3"/>
    <x v="3"/>
    <x v="1"/>
    <x v="3"/>
    <x v="2"/>
    <x v="3"/>
    <x v="2"/>
    <x v="1"/>
    <x v="4"/>
    <x v="2"/>
  </r>
  <r>
    <x v="5"/>
    <x v="1"/>
    <x v="4"/>
    <x v="5"/>
    <x v="11"/>
    <x v="1"/>
    <x v="1"/>
    <x v="3"/>
    <x v="3"/>
    <x v="1"/>
    <x v="3"/>
    <x v="2"/>
    <x v="3"/>
    <x v="2"/>
    <x v="1"/>
    <x v="4"/>
    <x v="2"/>
  </r>
  <r>
    <x v="5"/>
    <x v="1"/>
    <x v="4"/>
    <x v="5"/>
    <x v="12"/>
    <x v="1"/>
    <x v="1"/>
    <x v="3"/>
    <x v="3"/>
    <x v="1"/>
    <x v="3"/>
    <x v="2"/>
    <x v="3"/>
    <x v="2"/>
    <x v="1"/>
    <x v="4"/>
    <x v="2"/>
  </r>
  <r>
    <x v="5"/>
    <x v="1"/>
    <x v="4"/>
    <x v="6"/>
    <x v="8"/>
    <x v="1"/>
    <x v="1"/>
    <x v="3"/>
    <x v="3"/>
    <x v="1"/>
    <x v="3"/>
    <x v="2"/>
    <x v="3"/>
    <x v="2"/>
    <x v="1"/>
    <x v="4"/>
    <x v="2"/>
  </r>
  <r>
    <x v="5"/>
    <x v="1"/>
    <x v="4"/>
    <x v="6"/>
    <x v="9"/>
    <x v="1"/>
    <x v="1"/>
    <x v="3"/>
    <x v="3"/>
    <x v="1"/>
    <x v="3"/>
    <x v="2"/>
    <x v="3"/>
    <x v="2"/>
    <x v="1"/>
    <x v="4"/>
    <x v="2"/>
  </r>
  <r>
    <x v="5"/>
    <x v="1"/>
    <x v="4"/>
    <x v="6"/>
    <x v="10"/>
    <x v="1"/>
    <x v="1"/>
    <x v="3"/>
    <x v="3"/>
    <x v="1"/>
    <x v="3"/>
    <x v="2"/>
    <x v="3"/>
    <x v="2"/>
    <x v="1"/>
    <x v="4"/>
    <x v="2"/>
  </r>
  <r>
    <x v="5"/>
    <x v="1"/>
    <x v="4"/>
    <x v="6"/>
    <x v="11"/>
    <x v="1"/>
    <x v="1"/>
    <x v="3"/>
    <x v="3"/>
    <x v="1"/>
    <x v="3"/>
    <x v="2"/>
    <x v="3"/>
    <x v="2"/>
    <x v="1"/>
    <x v="4"/>
    <x v="2"/>
  </r>
  <r>
    <x v="5"/>
    <x v="1"/>
    <x v="4"/>
    <x v="6"/>
    <x v="12"/>
    <x v="1"/>
    <x v="1"/>
    <x v="3"/>
    <x v="3"/>
    <x v="1"/>
    <x v="3"/>
    <x v="2"/>
    <x v="3"/>
    <x v="2"/>
    <x v="1"/>
    <x v="4"/>
    <x v="2"/>
  </r>
  <r>
    <x v="5"/>
    <x v="1"/>
    <x v="4"/>
    <x v="0"/>
    <x v="39"/>
    <x v="1"/>
    <x v="1"/>
    <x v="3"/>
    <x v="3"/>
    <x v="1"/>
    <x v="3"/>
    <x v="2"/>
    <x v="3"/>
    <x v="2"/>
    <x v="1"/>
    <x v="4"/>
    <x v="2"/>
  </r>
  <r>
    <x v="5"/>
    <x v="1"/>
    <x v="4"/>
    <x v="0"/>
    <x v="40"/>
    <x v="1"/>
    <x v="1"/>
    <x v="3"/>
    <x v="3"/>
    <x v="1"/>
    <x v="3"/>
    <x v="2"/>
    <x v="3"/>
    <x v="2"/>
    <x v="1"/>
    <x v="4"/>
    <x v="2"/>
  </r>
  <r>
    <x v="5"/>
    <x v="1"/>
    <x v="4"/>
    <x v="0"/>
    <x v="41"/>
    <x v="1"/>
    <x v="1"/>
    <x v="173"/>
    <x v="3"/>
    <x v="1"/>
    <x v="3"/>
    <x v="341"/>
    <x v="397"/>
    <x v="431"/>
    <x v="427"/>
    <x v="428"/>
    <x v="2"/>
  </r>
  <r>
    <x v="5"/>
    <x v="1"/>
    <x v="8"/>
    <x v="0"/>
    <x v="39"/>
    <x v="1"/>
    <x v="1"/>
    <x v="3"/>
    <x v="3"/>
    <x v="1"/>
    <x v="3"/>
    <x v="2"/>
    <x v="3"/>
    <x v="2"/>
    <x v="1"/>
    <x v="4"/>
    <x v="2"/>
  </r>
  <r>
    <x v="5"/>
    <x v="1"/>
    <x v="8"/>
    <x v="0"/>
    <x v="40"/>
    <x v="1"/>
    <x v="1"/>
    <x v="3"/>
    <x v="3"/>
    <x v="1"/>
    <x v="3"/>
    <x v="2"/>
    <x v="3"/>
    <x v="2"/>
    <x v="1"/>
    <x v="4"/>
    <x v="2"/>
  </r>
  <r>
    <x v="5"/>
    <x v="1"/>
    <x v="8"/>
    <x v="0"/>
    <x v="41"/>
    <x v="1"/>
    <x v="1"/>
    <x v="173"/>
    <x v="263"/>
    <x v="304"/>
    <x v="323"/>
    <x v="342"/>
    <x v="400"/>
    <x v="434"/>
    <x v="428"/>
    <x v="429"/>
    <x v="432"/>
  </r>
  <r>
    <x v="5"/>
    <x v="1"/>
    <x v="8"/>
    <x v="0"/>
    <x v="27"/>
    <x v="1"/>
    <x v="1"/>
    <x v="173"/>
    <x v="263"/>
    <x v="304"/>
    <x v="323"/>
    <x v="342"/>
    <x v="400"/>
    <x v="434"/>
    <x v="428"/>
    <x v="429"/>
    <x v="432"/>
  </r>
  <r>
    <x v="5"/>
    <x v="1"/>
    <x v="8"/>
    <x v="1"/>
    <x v="1"/>
    <x v="1"/>
    <x v="1"/>
    <x v="3"/>
    <x v="3"/>
    <x v="1"/>
    <x v="3"/>
    <x v="2"/>
    <x v="3"/>
    <x v="2"/>
    <x v="427"/>
    <x v="431"/>
    <x v="433"/>
  </r>
  <r>
    <x v="5"/>
    <x v="1"/>
    <x v="8"/>
    <x v="1"/>
    <x v="2"/>
    <x v="1"/>
    <x v="1"/>
    <x v="3"/>
    <x v="3"/>
    <x v="1"/>
    <x v="3"/>
    <x v="2"/>
    <x v="3"/>
    <x v="2"/>
    <x v="1"/>
    <x v="4"/>
    <x v="2"/>
  </r>
  <r>
    <x v="5"/>
    <x v="1"/>
    <x v="8"/>
    <x v="1"/>
    <x v="3"/>
    <x v="1"/>
    <x v="1"/>
    <x v="3"/>
    <x v="3"/>
    <x v="1"/>
    <x v="3"/>
    <x v="2"/>
    <x v="3"/>
    <x v="432"/>
    <x v="430"/>
    <x v="432"/>
    <x v="434"/>
  </r>
  <r>
    <x v="5"/>
    <x v="1"/>
    <x v="8"/>
    <x v="1"/>
    <x v="4"/>
    <x v="1"/>
    <x v="1"/>
    <x v="3"/>
    <x v="3"/>
    <x v="1"/>
    <x v="3"/>
    <x v="2"/>
    <x v="3"/>
    <x v="2"/>
    <x v="1"/>
    <x v="428"/>
    <x v="435"/>
  </r>
  <r>
    <x v="5"/>
    <x v="1"/>
    <x v="8"/>
    <x v="1"/>
    <x v="5"/>
    <x v="1"/>
    <x v="1"/>
    <x v="173"/>
    <x v="263"/>
    <x v="304"/>
    <x v="323"/>
    <x v="342"/>
    <x v="400"/>
    <x v="438"/>
    <x v="431"/>
    <x v="433"/>
    <x v="436"/>
  </r>
  <r>
    <x v="5"/>
    <x v="1"/>
    <x v="8"/>
    <x v="1"/>
    <x v="6"/>
    <x v="1"/>
    <x v="1"/>
    <x v="3"/>
    <x v="3"/>
    <x v="1"/>
    <x v="3"/>
    <x v="2"/>
    <x v="3"/>
    <x v="2"/>
    <x v="1"/>
    <x v="4"/>
    <x v="2"/>
  </r>
  <r>
    <x v="5"/>
    <x v="1"/>
    <x v="8"/>
    <x v="1"/>
    <x v="7"/>
    <x v="1"/>
    <x v="1"/>
    <x v="3"/>
    <x v="3"/>
    <x v="1"/>
    <x v="3"/>
    <x v="2"/>
    <x v="3"/>
    <x v="2"/>
    <x v="1"/>
    <x v="4"/>
    <x v="2"/>
  </r>
  <r>
    <x v="5"/>
    <x v="1"/>
    <x v="8"/>
    <x v="11"/>
    <x v="1"/>
    <x v="11"/>
    <x v="13"/>
    <x v="3"/>
    <x v="3"/>
    <x v="1"/>
    <x v="3"/>
    <x v="2"/>
    <x v="3"/>
    <x v="2"/>
    <x v="432"/>
    <x v="434"/>
    <x v="437"/>
  </r>
  <r>
    <x v="5"/>
    <x v="1"/>
    <x v="8"/>
    <x v="11"/>
    <x v="2"/>
    <x v="11"/>
    <x v="13"/>
    <x v="3"/>
    <x v="3"/>
    <x v="1"/>
    <x v="3"/>
    <x v="2"/>
    <x v="3"/>
    <x v="2"/>
    <x v="1"/>
    <x v="4"/>
    <x v="2"/>
  </r>
  <r>
    <x v="5"/>
    <x v="1"/>
    <x v="8"/>
    <x v="11"/>
    <x v="3"/>
    <x v="11"/>
    <x v="13"/>
    <x v="3"/>
    <x v="3"/>
    <x v="1"/>
    <x v="3"/>
    <x v="2"/>
    <x v="3"/>
    <x v="439"/>
    <x v="433"/>
    <x v="435"/>
    <x v="438"/>
  </r>
  <r>
    <x v="5"/>
    <x v="1"/>
    <x v="8"/>
    <x v="11"/>
    <x v="4"/>
    <x v="11"/>
    <x v="13"/>
    <x v="3"/>
    <x v="3"/>
    <x v="1"/>
    <x v="3"/>
    <x v="2"/>
    <x v="3"/>
    <x v="2"/>
    <x v="1"/>
    <x v="436"/>
    <x v="439"/>
  </r>
  <r>
    <x v="5"/>
    <x v="1"/>
    <x v="8"/>
    <x v="11"/>
    <x v="5"/>
    <x v="11"/>
    <x v="13"/>
    <x v="1"/>
    <x v="2"/>
    <x v="0"/>
    <x v="2"/>
    <x v="1"/>
    <x v="2"/>
    <x v="440"/>
    <x v="434"/>
    <x v="437"/>
    <x v="440"/>
  </r>
  <r>
    <x v="5"/>
    <x v="1"/>
    <x v="8"/>
    <x v="11"/>
    <x v="6"/>
    <x v="11"/>
    <x v="13"/>
    <x v="3"/>
    <x v="3"/>
    <x v="1"/>
    <x v="3"/>
    <x v="2"/>
    <x v="3"/>
    <x v="2"/>
    <x v="1"/>
    <x v="4"/>
    <x v="2"/>
  </r>
  <r>
    <x v="5"/>
    <x v="1"/>
    <x v="8"/>
    <x v="11"/>
    <x v="7"/>
    <x v="11"/>
    <x v="13"/>
    <x v="3"/>
    <x v="3"/>
    <x v="1"/>
    <x v="3"/>
    <x v="2"/>
    <x v="3"/>
    <x v="2"/>
    <x v="1"/>
    <x v="4"/>
    <x v="2"/>
  </r>
  <r>
    <x v="5"/>
    <x v="1"/>
    <x v="8"/>
    <x v="2"/>
    <x v="8"/>
    <x v="1"/>
    <x v="1"/>
    <x v="3"/>
    <x v="3"/>
    <x v="1"/>
    <x v="3"/>
    <x v="2"/>
    <x v="398"/>
    <x v="441"/>
    <x v="435"/>
    <x v="438"/>
    <x v="441"/>
  </r>
  <r>
    <x v="5"/>
    <x v="1"/>
    <x v="8"/>
    <x v="2"/>
    <x v="9"/>
    <x v="1"/>
    <x v="1"/>
    <x v="173"/>
    <x v="263"/>
    <x v="304"/>
    <x v="323"/>
    <x v="342"/>
    <x v="404"/>
    <x v="442"/>
    <x v="436"/>
    <x v="439"/>
    <x v="442"/>
  </r>
  <r>
    <x v="5"/>
    <x v="1"/>
    <x v="8"/>
    <x v="2"/>
    <x v="10"/>
    <x v="1"/>
    <x v="1"/>
    <x v="3"/>
    <x v="3"/>
    <x v="1"/>
    <x v="3"/>
    <x v="2"/>
    <x v="399"/>
    <x v="443"/>
    <x v="437"/>
    <x v="440"/>
    <x v="443"/>
  </r>
  <r>
    <x v="5"/>
    <x v="1"/>
    <x v="8"/>
    <x v="2"/>
    <x v="11"/>
    <x v="1"/>
    <x v="1"/>
    <x v="3"/>
    <x v="3"/>
    <x v="1"/>
    <x v="3"/>
    <x v="2"/>
    <x v="3"/>
    <x v="2"/>
    <x v="1"/>
    <x v="4"/>
    <x v="2"/>
  </r>
  <r>
    <x v="5"/>
    <x v="1"/>
    <x v="8"/>
    <x v="2"/>
    <x v="12"/>
    <x v="1"/>
    <x v="1"/>
    <x v="3"/>
    <x v="3"/>
    <x v="1"/>
    <x v="3"/>
    <x v="2"/>
    <x v="3"/>
    <x v="2"/>
    <x v="1"/>
    <x v="4"/>
    <x v="2"/>
  </r>
  <r>
    <x v="5"/>
    <x v="1"/>
    <x v="8"/>
    <x v="11"/>
    <x v="8"/>
    <x v="11"/>
    <x v="13"/>
    <x v="3"/>
    <x v="3"/>
    <x v="1"/>
    <x v="3"/>
    <x v="2"/>
    <x v="405"/>
    <x v="444"/>
    <x v="438"/>
    <x v="441"/>
    <x v="444"/>
  </r>
  <r>
    <x v="5"/>
    <x v="1"/>
    <x v="8"/>
    <x v="11"/>
    <x v="9"/>
    <x v="11"/>
    <x v="13"/>
    <x v="1"/>
    <x v="2"/>
    <x v="0"/>
    <x v="2"/>
    <x v="1"/>
    <x v="406"/>
    <x v="445"/>
    <x v="439"/>
    <x v="442"/>
    <x v="445"/>
  </r>
  <r>
    <x v="5"/>
    <x v="1"/>
    <x v="8"/>
    <x v="11"/>
    <x v="10"/>
    <x v="11"/>
    <x v="13"/>
    <x v="3"/>
    <x v="3"/>
    <x v="1"/>
    <x v="3"/>
    <x v="2"/>
    <x v="407"/>
    <x v="446"/>
    <x v="440"/>
    <x v="443"/>
    <x v="446"/>
  </r>
  <r>
    <x v="5"/>
    <x v="1"/>
    <x v="8"/>
    <x v="11"/>
    <x v="11"/>
    <x v="11"/>
    <x v="13"/>
    <x v="3"/>
    <x v="3"/>
    <x v="1"/>
    <x v="3"/>
    <x v="2"/>
    <x v="3"/>
    <x v="2"/>
    <x v="1"/>
    <x v="4"/>
    <x v="2"/>
  </r>
  <r>
    <x v="5"/>
    <x v="1"/>
    <x v="8"/>
    <x v="11"/>
    <x v="12"/>
    <x v="11"/>
    <x v="13"/>
    <x v="3"/>
    <x v="3"/>
    <x v="1"/>
    <x v="3"/>
    <x v="2"/>
    <x v="3"/>
    <x v="2"/>
    <x v="1"/>
    <x v="4"/>
    <x v="2"/>
  </r>
  <r>
    <x v="5"/>
    <x v="1"/>
    <x v="9"/>
    <x v="0"/>
    <x v="27"/>
    <x v="1"/>
    <x v="1"/>
    <x v="174"/>
    <x v="264"/>
    <x v="305"/>
    <x v="324"/>
    <x v="344"/>
    <x v="408"/>
    <x v="447"/>
    <x v="441"/>
    <x v="444"/>
    <x v="447"/>
  </r>
  <r>
    <x v="5"/>
    <x v="1"/>
    <x v="9"/>
    <x v="1"/>
    <x v="1"/>
    <x v="1"/>
    <x v="1"/>
    <x v="3"/>
    <x v="3"/>
    <x v="1"/>
    <x v="3"/>
    <x v="2"/>
    <x v="3"/>
    <x v="2"/>
    <x v="429"/>
    <x v="445"/>
    <x v="448"/>
  </r>
  <r>
    <x v="5"/>
    <x v="1"/>
    <x v="9"/>
    <x v="1"/>
    <x v="2"/>
    <x v="1"/>
    <x v="1"/>
    <x v="3"/>
    <x v="3"/>
    <x v="1"/>
    <x v="3"/>
    <x v="2"/>
    <x v="3"/>
    <x v="2"/>
    <x v="1"/>
    <x v="4"/>
    <x v="2"/>
  </r>
  <r>
    <x v="5"/>
    <x v="1"/>
    <x v="9"/>
    <x v="1"/>
    <x v="3"/>
    <x v="1"/>
    <x v="1"/>
    <x v="3"/>
    <x v="3"/>
    <x v="1"/>
    <x v="3"/>
    <x v="2"/>
    <x v="3"/>
    <x v="436"/>
    <x v="442"/>
    <x v="446"/>
    <x v="449"/>
  </r>
  <r>
    <x v="5"/>
    <x v="1"/>
    <x v="9"/>
    <x v="1"/>
    <x v="4"/>
    <x v="1"/>
    <x v="1"/>
    <x v="3"/>
    <x v="3"/>
    <x v="1"/>
    <x v="3"/>
    <x v="2"/>
    <x v="3"/>
    <x v="2"/>
    <x v="1"/>
    <x v="430"/>
    <x v="450"/>
  </r>
  <r>
    <x v="5"/>
    <x v="1"/>
    <x v="9"/>
    <x v="1"/>
    <x v="5"/>
    <x v="1"/>
    <x v="1"/>
    <x v="174"/>
    <x v="264"/>
    <x v="305"/>
    <x v="324"/>
    <x v="344"/>
    <x v="408"/>
    <x v="448"/>
    <x v="443"/>
    <x v="447"/>
    <x v="451"/>
  </r>
  <r>
    <x v="5"/>
    <x v="1"/>
    <x v="9"/>
    <x v="1"/>
    <x v="6"/>
    <x v="1"/>
    <x v="1"/>
    <x v="3"/>
    <x v="3"/>
    <x v="1"/>
    <x v="3"/>
    <x v="2"/>
    <x v="3"/>
    <x v="2"/>
    <x v="1"/>
    <x v="4"/>
    <x v="2"/>
  </r>
  <r>
    <x v="5"/>
    <x v="1"/>
    <x v="9"/>
    <x v="1"/>
    <x v="7"/>
    <x v="1"/>
    <x v="1"/>
    <x v="3"/>
    <x v="3"/>
    <x v="1"/>
    <x v="3"/>
    <x v="2"/>
    <x v="3"/>
    <x v="2"/>
    <x v="1"/>
    <x v="4"/>
    <x v="2"/>
  </r>
  <r>
    <x v="5"/>
    <x v="1"/>
    <x v="9"/>
    <x v="11"/>
    <x v="1"/>
    <x v="11"/>
    <x v="13"/>
    <x v="3"/>
    <x v="3"/>
    <x v="1"/>
    <x v="3"/>
    <x v="2"/>
    <x v="3"/>
    <x v="2"/>
    <x v="444"/>
    <x v="448"/>
    <x v="452"/>
  </r>
  <r>
    <x v="5"/>
    <x v="1"/>
    <x v="9"/>
    <x v="11"/>
    <x v="2"/>
    <x v="11"/>
    <x v="13"/>
    <x v="3"/>
    <x v="3"/>
    <x v="1"/>
    <x v="3"/>
    <x v="2"/>
    <x v="3"/>
    <x v="2"/>
    <x v="1"/>
    <x v="4"/>
    <x v="2"/>
  </r>
  <r>
    <x v="5"/>
    <x v="1"/>
    <x v="9"/>
    <x v="11"/>
    <x v="3"/>
    <x v="11"/>
    <x v="13"/>
    <x v="3"/>
    <x v="3"/>
    <x v="1"/>
    <x v="3"/>
    <x v="2"/>
    <x v="3"/>
    <x v="449"/>
    <x v="445"/>
    <x v="449"/>
    <x v="453"/>
  </r>
  <r>
    <x v="5"/>
    <x v="1"/>
    <x v="9"/>
    <x v="11"/>
    <x v="4"/>
    <x v="11"/>
    <x v="13"/>
    <x v="3"/>
    <x v="3"/>
    <x v="1"/>
    <x v="3"/>
    <x v="2"/>
    <x v="3"/>
    <x v="2"/>
    <x v="1"/>
    <x v="450"/>
    <x v="454"/>
  </r>
  <r>
    <x v="5"/>
    <x v="1"/>
    <x v="9"/>
    <x v="11"/>
    <x v="5"/>
    <x v="11"/>
    <x v="13"/>
    <x v="1"/>
    <x v="2"/>
    <x v="0"/>
    <x v="2"/>
    <x v="1"/>
    <x v="2"/>
    <x v="450"/>
    <x v="446"/>
    <x v="451"/>
    <x v="455"/>
  </r>
  <r>
    <x v="5"/>
    <x v="1"/>
    <x v="9"/>
    <x v="11"/>
    <x v="6"/>
    <x v="11"/>
    <x v="13"/>
    <x v="3"/>
    <x v="3"/>
    <x v="1"/>
    <x v="3"/>
    <x v="2"/>
    <x v="3"/>
    <x v="2"/>
    <x v="1"/>
    <x v="4"/>
    <x v="2"/>
  </r>
  <r>
    <x v="5"/>
    <x v="1"/>
    <x v="9"/>
    <x v="11"/>
    <x v="7"/>
    <x v="11"/>
    <x v="13"/>
    <x v="3"/>
    <x v="3"/>
    <x v="1"/>
    <x v="3"/>
    <x v="2"/>
    <x v="3"/>
    <x v="2"/>
    <x v="1"/>
    <x v="4"/>
    <x v="2"/>
  </r>
  <r>
    <x v="5"/>
    <x v="1"/>
    <x v="9"/>
    <x v="2"/>
    <x v="8"/>
    <x v="1"/>
    <x v="1"/>
    <x v="3"/>
    <x v="3"/>
    <x v="1"/>
    <x v="3"/>
    <x v="2"/>
    <x v="402"/>
    <x v="451"/>
    <x v="447"/>
    <x v="452"/>
    <x v="456"/>
  </r>
  <r>
    <x v="5"/>
    <x v="1"/>
    <x v="9"/>
    <x v="2"/>
    <x v="9"/>
    <x v="1"/>
    <x v="1"/>
    <x v="174"/>
    <x v="264"/>
    <x v="305"/>
    <x v="324"/>
    <x v="344"/>
    <x v="409"/>
    <x v="452"/>
    <x v="448"/>
    <x v="453"/>
    <x v="457"/>
  </r>
  <r>
    <x v="5"/>
    <x v="1"/>
    <x v="9"/>
    <x v="2"/>
    <x v="10"/>
    <x v="1"/>
    <x v="1"/>
    <x v="3"/>
    <x v="3"/>
    <x v="1"/>
    <x v="3"/>
    <x v="2"/>
    <x v="403"/>
    <x v="453"/>
    <x v="449"/>
    <x v="454"/>
    <x v="458"/>
  </r>
  <r>
    <x v="5"/>
    <x v="1"/>
    <x v="9"/>
    <x v="2"/>
    <x v="11"/>
    <x v="1"/>
    <x v="1"/>
    <x v="3"/>
    <x v="3"/>
    <x v="1"/>
    <x v="3"/>
    <x v="2"/>
    <x v="3"/>
    <x v="2"/>
    <x v="1"/>
    <x v="4"/>
    <x v="2"/>
  </r>
  <r>
    <x v="5"/>
    <x v="1"/>
    <x v="9"/>
    <x v="2"/>
    <x v="12"/>
    <x v="1"/>
    <x v="1"/>
    <x v="3"/>
    <x v="3"/>
    <x v="1"/>
    <x v="3"/>
    <x v="2"/>
    <x v="3"/>
    <x v="2"/>
    <x v="1"/>
    <x v="4"/>
    <x v="2"/>
  </r>
  <r>
    <x v="5"/>
    <x v="1"/>
    <x v="9"/>
    <x v="11"/>
    <x v="8"/>
    <x v="11"/>
    <x v="13"/>
    <x v="3"/>
    <x v="3"/>
    <x v="1"/>
    <x v="3"/>
    <x v="2"/>
    <x v="410"/>
    <x v="454"/>
    <x v="450"/>
    <x v="455"/>
    <x v="459"/>
  </r>
  <r>
    <x v="5"/>
    <x v="1"/>
    <x v="9"/>
    <x v="11"/>
    <x v="9"/>
    <x v="11"/>
    <x v="13"/>
    <x v="1"/>
    <x v="2"/>
    <x v="0"/>
    <x v="2"/>
    <x v="1"/>
    <x v="411"/>
    <x v="455"/>
    <x v="451"/>
    <x v="456"/>
    <x v="460"/>
  </r>
  <r>
    <x v="5"/>
    <x v="1"/>
    <x v="9"/>
    <x v="11"/>
    <x v="10"/>
    <x v="11"/>
    <x v="13"/>
    <x v="3"/>
    <x v="3"/>
    <x v="1"/>
    <x v="3"/>
    <x v="2"/>
    <x v="412"/>
    <x v="456"/>
    <x v="452"/>
    <x v="457"/>
    <x v="461"/>
  </r>
  <r>
    <x v="5"/>
    <x v="1"/>
    <x v="9"/>
    <x v="11"/>
    <x v="11"/>
    <x v="11"/>
    <x v="13"/>
    <x v="3"/>
    <x v="3"/>
    <x v="1"/>
    <x v="3"/>
    <x v="2"/>
    <x v="3"/>
    <x v="2"/>
    <x v="1"/>
    <x v="4"/>
    <x v="2"/>
  </r>
  <r>
    <x v="5"/>
    <x v="1"/>
    <x v="9"/>
    <x v="11"/>
    <x v="12"/>
    <x v="11"/>
    <x v="13"/>
    <x v="3"/>
    <x v="3"/>
    <x v="1"/>
    <x v="3"/>
    <x v="2"/>
    <x v="3"/>
    <x v="2"/>
    <x v="1"/>
    <x v="4"/>
    <x v="2"/>
  </r>
  <r>
    <x v="5"/>
    <x v="1"/>
    <x v="8"/>
    <x v="0"/>
    <x v="30"/>
    <x v="1"/>
    <x v="1"/>
    <x v="3"/>
    <x v="3"/>
    <x v="1"/>
    <x v="3"/>
    <x v="2"/>
    <x v="3"/>
    <x v="2"/>
    <x v="1"/>
    <x v="4"/>
    <x v="2"/>
  </r>
  <r>
    <x v="5"/>
    <x v="1"/>
    <x v="8"/>
    <x v="0"/>
    <x v="31"/>
    <x v="1"/>
    <x v="1"/>
    <x v="3"/>
    <x v="3"/>
    <x v="1"/>
    <x v="3"/>
    <x v="2"/>
    <x v="3"/>
    <x v="2"/>
    <x v="1"/>
    <x v="4"/>
    <x v="2"/>
  </r>
  <r>
    <x v="5"/>
    <x v="1"/>
    <x v="8"/>
    <x v="14"/>
    <x v="8"/>
    <x v="1"/>
    <x v="1"/>
    <x v="3"/>
    <x v="3"/>
    <x v="1"/>
    <x v="3"/>
    <x v="2"/>
    <x v="3"/>
    <x v="2"/>
    <x v="1"/>
    <x v="4"/>
    <x v="2"/>
  </r>
  <r>
    <x v="5"/>
    <x v="1"/>
    <x v="8"/>
    <x v="14"/>
    <x v="9"/>
    <x v="1"/>
    <x v="1"/>
    <x v="3"/>
    <x v="3"/>
    <x v="1"/>
    <x v="3"/>
    <x v="2"/>
    <x v="3"/>
    <x v="2"/>
    <x v="1"/>
    <x v="4"/>
    <x v="2"/>
  </r>
  <r>
    <x v="5"/>
    <x v="1"/>
    <x v="8"/>
    <x v="14"/>
    <x v="10"/>
    <x v="1"/>
    <x v="1"/>
    <x v="3"/>
    <x v="3"/>
    <x v="1"/>
    <x v="3"/>
    <x v="2"/>
    <x v="3"/>
    <x v="2"/>
    <x v="1"/>
    <x v="4"/>
    <x v="2"/>
  </r>
  <r>
    <x v="5"/>
    <x v="1"/>
    <x v="8"/>
    <x v="14"/>
    <x v="11"/>
    <x v="1"/>
    <x v="1"/>
    <x v="3"/>
    <x v="3"/>
    <x v="1"/>
    <x v="3"/>
    <x v="2"/>
    <x v="3"/>
    <x v="2"/>
    <x v="1"/>
    <x v="4"/>
    <x v="2"/>
  </r>
  <r>
    <x v="5"/>
    <x v="1"/>
    <x v="8"/>
    <x v="14"/>
    <x v="12"/>
    <x v="1"/>
    <x v="1"/>
    <x v="3"/>
    <x v="3"/>
    <x v="1"/>
    <x v="3"/>
    <x v="2"/>
    <x v="3"/>
    <x v="2"/>
    <x v="1"/>
    <x v="4"/>
    <x v="2"/>
  </r>
  <r>
    <x v="5"/>
    <x v="1"/>
    <x v="8"/>
    <x v="15"/>
    <x v="8"/>
    <x v="1"/>
    <x v="1"/>
    <x v="3"/>
    <x v="3"/>
    <x v="1"/>
    <x v="3"/>
    <x v="2"/>
    <x v="3"/>
    <x v="2"/>
    <x v="1"/>
    <x v="4"/>
    <x v="2"/>
  </r>
  <r>
    <x v="5"/>
    <x v="1"/>
    <x v="8"/>
    <x v="15"/>
    <x v="9"/>
    <x v="1"/>
    <x v="1"/>
    <x v="3"/>
    <x v="3"/>
    <x v="1"/>
    <x v="3"/>
    <x v="2"/>
    <x v="3"/>
    <x v="2"/>
    <x v="1"/>
    <x v="4"/>
    <x v="2"/>
  </r>
  <r>
    <x v="5"/>
    <x v="1"/>
    <x v="8"/>
    <x v="15"/>
    <x v="10"/>
    <x v="1"/>
    <x v="1"/>
    <x v="3"/>
    <x v="3"/>
    <x v="1"/>
    <x v="3"/>
    <x v="2"/>
    <x v="3"/>
    <x v="2"/>
    <x v="1"/>
    <x v="4"/>
    <x v="2"/>
  </r>
  <r>
    <x v="5"/>
    <x v="1"/>
    <x v="8"/>
    <x v="15"/>
    <x v="11"/>
    <x v="1"/>
    <x v="1"/>
    <x v="3"/>
    <x v="3"/>
    <x v="1"/>
    <x v="3"/>
    <x v="2"/>
    <x v="3"/>
    <x v="2"/>
    <x v="1"/>
    <x v="4"/>
    <x v="2"/>
  </r>
  <r>
    <x v="5"/>
    <x v="1"/>
    <x v="8"/>
    <x v="15"/>
    <x v="12"/>
    <x v="1"/>
    <x v="1"/>
    <x v="3"/>
    <x v="3"/>
    <x v="1"/>
    <x v="3"/>
    <x v="2"/>
    <x v="3"/>
    <x v="2"/>
    <x v="1"/>
    <x v="4"/>
    <x v="2"/>
  </r>
  <r>
    <x v="6"/>
    <x v="0"/>
    <x v="0"/>
    <x v="0"/>
    <x v="0"/>
    <x v="3"/>
    <x v="5"/>
    <x v="0"/>
    <x v="2"/>
    <x v="4"/>
    <x v="3"/>
    <x v="1"/>
    <x v="5"/>
    <x v="4"/>
    <x v="3"/>
    <x v="1"/>
    <x v="1"/>
  </r>
  <r>
    <x v="6"/>
    <x v="0"/>
    <x v="0"/>
    <x v="1"/>
    <x v="1"/>
    <x v="3"/>
    <x v="1"/>
    <x v="3"/>
    <x v="3"/>
    <x v="0"/>
    <x v="3"/>
    <x v="2"/>
    <x v="3"/>
    <x v="5"/>
    <x v="1"/>
    <x v="4"/>
    <x v="2"/>
  </r>
  <r>
    <x v="6"/>
    <x v="0"/>
    <x v="0"/>
    <x v="1"/>
    <x v="2"/>
    <x v="1"/>
    <x v="0"/>
    <x v="1"/>
    <x v="3"/>
    <x v="1"/>
    <x v="3"/>
    <x v="1"/>
    <x v="1"/>
    <x v="5"/>
    <x v="1"/>
    <x v="2"/>
    <x v="2"/>
  </r>
  <r>
    <x v="6"/>
    <x v="0"/>
    <x v="0"/>
    <x v="1"/>
    <x v="3"/>
    <x v="1"/>
    <x v="1"/>
    <x v="3"/>
    <x v="3"/>
    <x v="1"/>
    <x v="3"/>
    <x v="2"/>
    <x v="3"/>
    <x v="2"/>
    <x v="1"/>
    <x v="4"/>
    <x v="2"/>
  </r>
  <r>
    <x v="6"/>
    <x v="0"/>
    <x v="0"/>
    <x v="1"/>
    <x v="4"/>
    <x v="1"/>
    <x v="2"/>
    <x v="1"/>
    <x v="3"/>
    <x v="3"/>
    <x v="3"/>
    <x v="2"/>
    <x v="3"/>
    <x v="2"/>
    <x v="3"/>
    <x v="2"/>
    <x v="2"/>
  </r>
  <r>
    <x v="6"/>
    <x v="0"/>
    <x v="0"/>
    <x v="1"/>
    <x v="5"/>
    <x v="1"/>
    <x v="1"/>
    <x v="3"/>
    <x v="3"/>
    <x v="1"/>
    <x v="3"/>
    <x v="2"/>
    <x v="2"/>
    <x v="2"/>
    <x v="1"/>
    <x v="4"/>
    <x v="2"/>
  </r>
  <r>
    <x v="6"/>
    <x v="0"/>
    <x v="0"/>
    <x v="1"/>
    <x v="6"/>
    <x v="1"/>
    <x v="1"/>
    <x v="4"/>
    <x v="3"/>
    <x v="1"/>
    <x v="3"/>
    <x v="2"/>
    <x v="3"/>
    <x v="2"/>
    <x v="1"/>
    <x v="4"/>
    <x v="2"/>
  </r>
  <r>
    <x v="6"/>
    <x v="0"/>
    <x v="0"/>
    <x v="1"/>
    <x v="7"/>
    <x v="1"/>
    <x v="1"/>
    <x v="3"/>
    <x v="2"/>
    <x v="1"/>
    <x v="3"/>
    <x v="2"/>
    <x v="3"/>
    <x v="3"/>
    <x v="1"/>
    <x v="4"/>
    <x v="1"/>
  </r>
  <r>
    <x v="6"/>
    <x v="0"/>
    <x v="0"/>
    <x v="2"/>
    <x v="8"/>
    <x v="1"/>
    <x v="2"/>
    <x v="2"/>
    <x v="3"/>
    <x v="3"/>
    <x v="3"/>
    <x v="2"/>
    <x v="2"/>
    <x v="1"/>
    <x v="3"/>
    <x v="1"/>
    <x v="2"/>
  </r>
  <r>
    <x v="6"/>
    <x v="0"/>
    <x v="0"/>
    <x v="2"/>
    <x v="9"/>
    <x v="3"/>
    <x v="1"/>
    <x v="3"/>
    <x v="2"/>
    <x v="1"/>
    <x v="3"/>
    <x v="2"/>
    <x v="1"/>
    <x v="5"/>
    <x v="1"/>
    <x v="4"/>
    <x v="1"/>
  </r>
  <r>
    <x v="6"/>
    <x v="0"/>
    <x v="0"/>
    <x v="2"/>
    <x v="10"/>
    <x v="1"/>
    <x v="1"/>
    <x v="1"/>
    <x v="3"/>
    <x v="0"/>
    <x v="3"/>
    <x v="1"/>
    <x v="3"/>
    <x v="2"/>
    <x v="1"/>
    <x v="4"/>
    <x v="2"/>
  </r>
  <r>
    <x v="6"/>
    <x v="0"/>
    <x v="0"/>
    <x v="2"/>
    <x v="11"/>
    <x v="1"/>
    <x v="0"/>
    <x v="3"/>
    <x v="3"/>
    <x v="1"/>
    <x v="3"/>
    <x v="2"/>
    <x v="3"/>
    <x v="2"/>
    <x v="1"/>
    <x v="4"/>
    <x v="2"/>
  </r>
  <r>
    <x v="6"/>
    <x v="0"/>
    <x v="0"/>
    <x v="2"/>
    <x v="12"/>
    <x v="1"/>
    <x v="1"/>
    <x v="3"/>
    <x v="3"/>
    <x v="1"/>
    <x v="3"/>
    <x v="2"/>
    <x v="3"/>
    <x v="2"/>
    <x v="1"/>
    <x v="4"/>
    <x v="2"/>
  </r>
  <r>
    <x v="6"/>
    <x v="0"/>
    <x v="0"/>
    <x v="0"/>
    <x v="13"/>
    <x v="3"/>
    <x v="0"/>
    <x v="2"/>
    <x v="3"/>
    <x v="4"/>
    <x v="3"/>
    <x v="1"/>
    <x v="5"/>
    <x v="1"/>
    <x v="1"/>
    <x v="2"/>
    <x v="2"/>
  </r>
  <r>
    <x v="6"/>
    <x v="0"/>
    <x v="0"/>
    <x v="3"/>
    <x v="1"/>
    <x v="3"/>
    <x v="1"/>
    <x v="1"/>
    <x v="3"/>
    <x v="3"/>
    <x v="3"/>
    <x v="2"/>
    <x v="3"/>
    <x v="5"/>
    <x v="1"/>
    <x v="4"/>
    <x v="2"/>
  </r>
  <r>
    <x v="6"/>
    <x v="0"/>
    <x v="0"/>
    <x v="3"/>
    <x v="2"/>
    <x v="1"/>
    <x v="0"/>
    <x v="4"/>
    <x v="3"/>
    <x v="0"/>
    <x v="3"/>
    <x v="1"/>
    <x v="5"/>
    <x v="3"/>
    <x v="1"/>
    <x v="2"/>
    <x v="2"/>
  </r>
  <r>
    <x v="6"/>
    <x v="0"/>
    <x v="0"/>
    <x v="3"/>
    <x v="3"/>
    <x v="1"/>
    <x v="1"/>
    <x v="3"/>
    <x v="3"/>
    <x v="1"/>
    <x v="3"/>
    <x v="2"/>
    <x v="3"/>
    <x v="2"/>
    <x v="1"/>
    <x v="4"/>
    <x v="2"/>
  </r>
  <r>
    <x v="6"/>
    <x v="0"/>
    <x v="0"/>
    <x v="0"/>
    <x v="14"/>
    <x v="3"/>
    <x v="2"/>
    <x v="0"/>
    <x v="2"/>
    <x v="4"/>
    <x v="3"/>
    <x v="1"/>
    <x v="5"/>
    <x v="4"/>
    <x v="3"/>
    <x v="1"/>
    <x v="1"/>
  </r>
  <r>
    <x v="6"/>
    <x v="0"/>
    <x v="0"/>
    <x v="4"/>
    <x v="4"/>
    <x v="1"/>
    <x v="2"/>
    <x v="1"/>
    <x v="3"/>
    <x v="3"/>
    <x v="3"/>
    <x v="2"/>
    <x v="2"/>
    <x v="5"/>
    <x v="3"/>
    <x v="2"/>
    <x v="2"/>
  </r>
  <r>
    <x v="6"/>
    <x v="0"/>
    <x v="0"/>
    <x v="4"/>
    <x v="5"/>
    <x v="1"/>
    <x v="1"/>
    <x v="1"/>
    <x v="3"/>
    <x v="0"/>
    <x v="3"/>
    <x v="1"/>
    <x v="1"/>
    <x v="5"/>
    <x v="1"/>
    <x v="2"/>
    <x v="2"/>
  </r>
  <r>
    <x v="6"/>
    <x v="0"/>
    <x v="0"/>
    <x v="4"/>
    <x v="6"/>
    <x v="1"/>
    <x v="1"/>
    <x v="4"/>
    <x v="3"/>
    <x v="1"/>
    <x v="3"/>
    <x v="2"/>
    <x v="3"/>
    <x v="2"/>
    <x v="1"/>
    <x v="4"/>
    <x v="2"/>
  </r>
  <r>
    <x v="6"/>
    <x v="0"/>
    <x v="0"/>
    <x v="4"/>
    <x v="7"/>
    <x v="3"/>
    <x v="1"/>
    <x v="3"/>
    <x v="2"/>
    <x v="1"/>
    <x v="3"/>
    <x v="2"/>
    <x v="3"/>
    <x v="3"/>
    <x v="1"/>
    <x v="4"/>
    <x v="1"/>
  </r>
  <r>
    <x v="6"/>
    <x v="1"/>
    <x v="0"/>
    <x v="0"/>
    <x v="15"/>
    <x v="3"/>
    <x v="0"/>
    <x v="7"/>
    <x v="2"/>
    <x v="3"/>
    <x v="2"/>
    <x v="1"/>
    <x v="5"/>
    <x v="2"/>
    <x v="5"/>
    <x v="1"/>
    <x v="2"/>
  </r>
  <r>
    <x v="6"/>
    <x v="1"/>
    <x v="0"/>
    <x v="1"/>
    <x v="1"/>
    <x v="3"/>
    <x v="1"/>
    <x v="3"/>
    <x v="3"/>
    <x v="0"/>
    <x v="3"/>
    <x v="2"/>
    <x v="3"/>
    <x v="2"/>
    <x v="3"/>
    <x v="4"/>
    <x v="2"/>
  </r>
  <r>
    <x v="6"/>
    <x v="1"/>
    <x v="0"/>
    <x v="1"/>
    <x v="2"/>
    <x v="1"/>
    <x v="0"/>
    <x v="1"/>
    <x v="3"/>
    <x v="1"/>
    <x v="3"/>
    <x v="1"/>
    <x v="1"/>
    <x v="2"/>
    <x v="1"/>
    <x v="4"/>
    <x v="2"/>
  </r>
  <r>
    <x v="6"/>
    <x v="1"/>
    <x v="0"/>
    <x v="1"/>
    <x v="3"/>
    <x v="1"/>
    <x v="1"/>
    <x v="3"/>
    <x v="3"/>
    <x v="1"/>
    <x v="3"/>
    <x v="2"/>
    <x v="3"/>
    <x v="2"/>
    <x v="1"/>
    <x v="4"/>
    <x v="2"/>
  </r>
  <r>
    <x v="6"/>
    <x v="1"/>
    <x v="0"/>
    <x v="1"/>
    <x v="4"/>
    <x v="1"/>
    <x v="1"/>
    <x v="2"/>
    <x v="3"/>
    <x v="0"/>
    <x v="2"/>
    <x v="2"/>
    <x v="3"/>
    <x v="2"/>
    <x v="1"/>
    <x v="1"/>
    <x v="2"/>
  </r>
  <r>
    <x v="6"/>
    <x v="1"/>
    <x v="0"/>
    <x v="1"/>
    <x v="5"/>
    <x v="1"/>
    <x v="1"/>
    <x v="3"/>
    <x v="3"/>
    <x v="1"/>
    <x v="3"/>
    <x v="2"/>
    <x v="2"/>
    <x v="2"/>
    <x v="1"/>
    <x v="4"/>
    <x v="2"/>
  </r>
  <r>
    <x v="6"/>
    <x v="1"/>
    <x v="0"/>
    <x v="1"/>
    <x v="6"/>
    <x v="1"/>
    <x v="1"/>
    <x v="4"/>
    <x v="3"/>
    <x v="1"/>
    <x v="3"/>
    <x v="2"/>
    <x v="3"/>
    <x v="2"/>
    <x v="1"/>
    <x v="4"/>
    <x v="2"/>
  </r>
  <r>
    <x v="6"/>
    <x v="1"/>
    <x v="0"/>
    <x v="1"/>
    <x v="7"/>
    <x v="1"/>
    <x v="1"/>
    <x v="3"/>
    <x v="2"/>
    <x v="1"/>
    <x v="3"/>
    <x v="2"/>
    <x v="3"/>
    <x v="2"/>
    <x v="4"/>
    <x v="4"/>
    <x v="2"/>
  </r>
  <r>
    <x v="6"/>
    <x v="1"/>
    <x v="0"/>
    <x v="2"/>
    <x v="8"/>
    <x v="1"/>
    <x v="0"/>
    <x v="0"/>
    <x v="3"/>
    <x v="0"/>
    <x v="2"/>
    <x v="2"/>
    <x v="2"/>
    <x v="2"/>
    <x v="4"/>
    <x v="1"/>
    <x v="2"/>
  </r>
  <r>
    <x v="6"/>
    <x v="1"/>
    <x v="0"/>
    <x v="2"/>
    <x v="9"/>
    <x v="3"/>
    <x v="1"/>
    <x v="3"/>
    <x v="2"/>
    <x v="1"/>
    <x v="3"/>
    <x v="2"/>
    <x v="1"/>
    <x v="2"/>
    <x v="3"/>
    <x v="4"/>
    <x v="2"/>
  </r>
  <r>
    <x v="6"/>
    <x v="1"/>
    <x v="0"/>
    <x v="2"/>
    <x v="10"/>
    <x v="1"/>
    <x v="1"/>
    <x v="1"/>
    <x v="3"/>
    <x v="0"/>
    <x v="3"/>
    <x v="1"/>
    <x v="3"/>
    <x v="2"/>
    <x v="1"/>
    <x v="4"/>
    <x v="2"/>
  </r>
  <r>
    <x v="6"/>
    <x v="1"/>
    <x v="0"/>
    <x v="2"/>
    <x v="11"/>
    <x v="1"/>
    <x v="1"/>
    <x v="1"/>
    <x v="3"/>
    <x v="1"/>
    <x v="3"/>
    <x v="2"/>
    <x v="3"/>
    <x v="2"/>
    <x v="1"/>
    <x v="4"/>
    <x v="2"/>
  </r>
  <r>
    <x v="6"/>
    <x v="1"/>
    <x v="0"/>
    <x v="2"/>
    <x v="12"/>
    <x v="1"/>
    <x v="1"/>
    <x v="3"/>
    <x v="3"/>
    <x v="1"/>
    <x v="3"/>
    <x v="2"/>
    <x v="3"/>
    <x v="2"/>
    <x v="1"/>
    <x v="4"/>
    <x v="2"/>
  </r>
  <r>
    <x v="6"/>
    <x v="1"/>
    <x v="0"/>
    <x v="0"/>
    <x v="16"/>
    <x v="3"/>
    <x v="1"/>
    <x v="4"/>
    <x v="2"/>
    <x v="0"/>
    <x v="2"/>
    <x v="1"/>
    <x v="5"/>
    <x v="2"/>
    <x v="5"/>
    <x v="4"/>
    <x v="2"/>
  </r>
  <r>
    <x v="6"/>
    <x v="1"/>
    <x v="0"/>
    <x v="0"/>
    <x v="17"/>
    <x v="1"/>
    <x v="1"/>
    <x v="3"/>
    <x v="3"/>
    <x v="1"/>
    <x v="3"/>
    <x v="2"/>
    <x v="3"/>
    <x v="2"/>
    <x v="1"/>
    <x v="1"/>
    <x v="2"/>
  </r>
  <r>
    <x v="6"/>
    <x v="1"/>
    <x v="0"/>
    <x v="0"/>
    <x v="18"/>
    <x v="1"/>
    <x v="0"/>
    <x v="0"/>
    <x v="3"/>
    <x v="0"/>
    <x v="3"/>
    <x v="2"/>
    <x v="3"/>
    <x v="2"/>
    <x v="1"/>
    <x v="4"/>
    <x v="2"/>
  </r>
  <r>
    <x v="6"/>
    <x v="1"/>
    <x v="0"/>
    <x v="5"/>
    <x v="8"/>
    <x v="1"/>
    <x v="1"/>
    <x v="1"/>
    <x v="3"/>
    <x v="1"/>
    <x v="2"/>
    <x v="2"/>
    <x v="2"/>
    <x v="2"/>
    <x v="4"/>
    <x v="4"/>
    <x v="2"/>
  </r>
  <r>
    <x v="6"/>
    <x v="1"/>
    <x v="0"/>
    <x v="5"/>
    <x v="9"/>
    <x v="3"/>
    <x v="1"/>
    <x v="3"/>
    <x v="2"/>
    <x v="1"/>
    <x v="3"/>
    <x v="2"/>
    <x v="1"/>
    <x v="2"/>
    <x v="3"/>
    <x v="4"/>
    <x v="2"/>
  </r>
  <r>
    <x v="6"/>
    <x v="1"/>
    <x v="0"/>
    <x v="5"/>
    <x v="10"/>
    <x v="1"/>
    <x v="1"/>
    <x v="3"/>
    <x v="3"/>
    <x v="0"/>
    <x v="3"/>
    <x v="1"/>
    <x v="3"/>
    <x v="2"/>
    <x v="1"/>
    <x v="4"/>
    <x v="2"/>
  </r>
  <r>
    <x v="6"/>
    <x v="1"/>
    <x v="0"/>
    <x v="5"/>
    <x v="11"/>
    <x v="1"/>
    <x v="1"/>
    <x v="1"/>
    <x v="3"/>
    <x v="1"/>
    <x v="3"/>
    <x v="2"/>
    <x v="3"/>
    <x v="2"/>
    <x v="1"/>
    <x v="4"/>
    <x v="2"/>
  </r>
  <r>
    <x v="6"/>
    <x v="1"/>
    <x v="0"/>
    <x v="5"/>
    <x v="12"/>
    <x v="1"/>
    <x v="1"/>
    <x v="3"/>
    <x v="3"/>
    <x v="1"/>
    <x v="3"/>
    <x v="2"/>
    <x v="3"/>
    <x v="2"/>
    <x v="1"/>
    <x v="4"/>
    <x v="2"/>
  </r>
  <r>
    <x v="6"/>
    <x v="1"/>
    <x v="0"/>
    <x v="6"/>
    <x v="8"/>
    <x v="1"/>
    <x v="1"/>
    <x v="3"/>
    <x v="3"/>
    <x v="1"/>
    <x v="3"/>
    <x v="2"/>
    <x v="3"/>
    <x v="2"/>
    <x v="1"/>
    <x v="1"/>
    <x v="2"/>
  </r>
  <r>
    <x v="6"/>
    <x v="1"/>
    <x v="0"/>
    <x v="6"/>
    <x v="9"/>
    <x v="1"/>
    <x v="1"/>
    <x v="3"/>
    <x v="3"/>
    <x v="1"/>
    <x v="3"/>
    <x v="2"/>
    <x v="3"/>
    <x v="2"/>
    <x v="1"/>
    <x v="4"/>
    <x v="2"/>
  </r>
  <r>
    <x v="6"/>
    <x v="1"/>
    <x v="0"/>
    <x v="6"/>
    <x v="10"/>
    <x v="1"/>
    <x v="1"/>
    <x v="3"/>
    <x v="3"/>
    <x v="1"/>
    <x v="3"/>
    <x v="2"/>
    <x v="3"/>
    <x v="2"/>
    <x v="1"/>
    <x v="4"/>
    <x v="2"/>
  </r>
  <r>
    <x v="6"/>
    <x v="1"/>
    <x v="0"/>
    <x v="6"/>
    <x v="11"/>
    <x v="1"/>
    <x v="1"/>
    <x v="3"/>
    <x v="3"/>
    <x v="1"/>
    <x v="3"/>
    <x v="2"/>
    <x v="3"/>
    <x v="2"/>
    <x v="1"/>
    <x v="4"/>
    <x v="2"/>
  </r>
  <r>
    <x v="6"/>
    <x v="1"/>
    <x v="0"/>
    <x v="6"/>
    <x v="12"/>
    <x v="1"/>
    <x v="1"/>
    <x v="3"/>
    <x v="3"/>
    <x v="1"/>
    <x v="3"/>
    <x v="2"/>
    <x v="3"/>
    <x v="2"/>
    <x v="1"/>
    <x v="4"/>
    <x v="2"/>
  </r>
  <r>
    <x v="6"/>
    <x v="1"/>
    <x v="0"/>
    <x v="7"/>
    <x v="8"/>
    <x v="1"/>
    <x v="0"/>
    <x v="2"/>
    <x v="3"/>
    <x v="0"/>
    <x v="3"/>
    <x v="2"/>
    <x v="3"/>
    <x v="2"/>
    <x v="1"/>
    <x v="4"/>
    <x v="2"/>
  </r>
  <r>
    <x v="6"/>
    <x v="1"/>
    <x v="0"/>
    <x v="7"/>
    <x v="9"/>
    <x v="1"/>
    <x v="1"/>
    <x v="3"/>
    <x v="3"/>
    <x v="1"/>
    <x v="3"/>
    <x v="2"/>
    <x v="3"/>
    <x v="2"/>
    <x v="1"/>
    <x v="4"/>
    <x v="2"/>
  </r>
  <r>
    <x v="6"/>
    <x v="1"/>
    <x v="0"/>
    <x v="7"/>
    <x v="10"/>
    <x v="1"/>
    <x v="1"/>
    <x v="1"/>
    <x v="3"/>
    <x v="1"/>
    <x v="3"/>
    <x v="2"/>
    <x v="3"/>
    <x v="2"/>
    <x v="1"/>
    <x v="4"/>
    <x v="2"/>
  </r>
  <r>
    <x v="6"/>
    <x v="1"/>
    <x v="0"/>
    <x v="7"/>
    <x v="11"/>
    <x v="1"/>
    <x v="1"/>
    <x v="3"/>
    <x v="3"/>
    <x v="1"/>
    <x v="3"/>
    <x v="2"/>
    <x v="3"/>
    <x v="2"/>
    <x v="1"/>
    <x v="4"/>
    <x v="2"/>
  </r>
  <r>
    <x v="6"/>
    <x v="1"/>
    <x v="0"/>
    <x v="7"/>
    <x v="12"/>
    <x v="1"/>
    <x v="1"/>
    <x v="3"/>
    <x v="3"/>
    <x v="1"/>
    <x v="3"/>
    <x v="2"/>
    <x v="3"/>
    <x v="2"/>
    <x v="1"/>
    <x v="4"/>
    <x v="2"/>
  </r>
  <r>
    <x v="6"/>
    <x v="1"/>
    <x v="0"/>
    <x v="0"/>
    <x v="19"/>
    <x v="3"/>
    <x v="0"/>
    <x v="2"/>
    <x v="3"/>
    <x v="3"/>
    <x v="2"/>
    <x v="1"/>
    <x v="5"/>
    <x v="2"/>
    <x v="4"/>
    <x v="4"/>
    <x v="2"/>
  </r>
  <r>
    <x v="6"/>
    <x v="1"/>
    <x v="0"/>
    <x v="3"/>
    <x v="1"/>
    <x v="3"/>
    <x v="1"/>
    <x v="1"/>
    <x v="3"/>
    <x v="0"/>
    <x v="2"/>
    <x v="2"/>
    <x v="3"/>
    <x v="2"/>
    <x v="3"/>
    <x v="4"/>
    <x v="2"/>
  </r>
  <r>
    <x v="6"/>
    <x v="1"/>
    <x v="0"/>
    <x v="3"/>
    <x v="2"/>
    <x v="1"/>
    <x v="0"/>
    <x v="4"/>
    <x v="3"/>
    <x v="0"/>
    <x v="3"/>
    <x v="1"/>
    <x v="5"/>
    <x v="2"/>
    <x v="3"/>
    <x v="4"/>
    <x v="2"/>
  </r>
  <r>
    <x v="6"/>
    <x v="1"/>
    <x v="0"/>
    <x v="3"/>
    <x v="3"/>
    <x v="1"/>
    <x v="1"/>
    <x v="3"/>
    <x v="3"/>
    <x v="1"/>
    <x v="3"/>
    <x v="2"/>
    <x v="3"/>
    <x v="2"/>
    <x v="1"/>
    <x v="4"/>
    <x v="2"/>
  </r>
  <r>
    <x v="6"/>
    <x v="1"/>
    <x v="0"/>
    <x v="0"/>
    <x v="20"/>
    <x v="3"/>
    <x v="1"/>
    <x v="7"/>
    <x v="2"/>
    <x v="3"/>
    <x v="2"/>
    <x v="1"/>
    <x v="5"/>
    <x v="2"/>
    <x v="5"/>
    <x v="1"/>
    <x v="2"/>
  </r>
  <r>
    <x v="6"/>
    <x v="1"/>
    <x v="0"/>
    <x v="4"/>
    <x v="4"/>
    <x v="1"/>
    <x v="1"/>
    <x v="2"/>
    <x v="3"/>
    <x v="0"/>
    <x v="2"/>
    <x v="2"/>
    <x v="2"/>
    <x v="2"/>
    <x v="3"/>
    <x v="1"/>
    <x v="2"/>
  </r>
  <r>
    <x v="6"/>
    <x v="1"/>
    <x v="0"/>
    <x v="4"/>
    <x v="5"/>
    <x v="1"/>
    <x v="1"/>
    <x v="1"/>
    <x v="3"/>
    <x v="0"/>
    <x v="3"/>
    <x v="1"/>
    <x v="1"/>
    <x v="2"/>
    <x v="1"/>
    <x v="4"/>
    <x v="2"/>
  </r>
  <r>
    <x v="6"/>
    <x v="1"/>
    <x v="0"/>
    <x v="4"/>
    <x v="6"/>
    <x v="1"/>
    <x v="1"/>
    <x v="4"/>
    <x v="3"/>
    <x v="1"/>
    <x v="3"/>
    <x v="2"/>
    <x v="3"/>
    <x v="2"/>
    <x v="1"/>
    <x v="4"/>
    <x v="2"/>
  </r>
  <r>
    <x v="6"/>
    <x v="1"/>
    <x v="0"/>
    <x v="4"/>
    <x v="7"/>
    <x v="3"/>
    <x v="1"/>
    <x v="3"/>
    <x v="2"/>
    <x v="1"/>
    <x v="3"/>
    <x v="2"/>
    <x v="3"/>
    <x v="2"/>
    <x v="4"/>
    <x v="4"/>
    <x v="2"/>
  </r>
  <r>
    <x v="6"/>
    <x v="2"/>
    <x v="1"/>
    <x v="0"/>
    <x v="21"/>
    <x v="1"/>
    <x v="2"/>
    <x v="3"/>
    <x v="3"/>
    <x v="0"/>
    <x v="3"/>
    <x v="2"/>
    <x v="3"/>
    <x v="4"/>
    <x v="4"/>
    <x v="1"/>
    <x v="4"/>
  </r>
  <r>
    <x v="6"/>
    <x v="2"/>
    <x v="1"/>
    <x v="1"/>
    <x v="1"/>
    <x v="1"/>
    <x v="1"/>
    <x v="3"/>
    <x v="3"/>
    <x v="1"/>
    <x v="3"/>
    <x v="2"/>
    <x v="3"/>
    <x v="5"/>
    <x v="1"/>
    <x v="4"/>
    <x v="2"/>
  </r>
  <r>
    <x v="6"/>
    <x v="2"/>
    <x v="1"/>
    <x v="1"/>
    <x v="2"/>
    <x v="1"/>
    <x v="1"/>
    <x v="3"/>
    <x v="3"/>
    <x v="1"/>
    <x v="3"/>
    <x v="2"/>
    <x v="3"/>
    <x v="5"/>
    <x v="3"/>
    <x v="1"/>
    <x v="0"/>
  </r>
  <r>
    <x v="6"/>
    <x v="2"/>
    <x v="1"/>
    <x v="1"/>
    <x v="3"/>
    <x v="1"/>
    <x v="1"/>
    <x v="3"/>
    <x v="3"/>
    <x v="1"/>
    <x v="3"/>
    <x v="2"/>
    <x v="3"/>
    <x v="2"/>
    <x v="1"/>
    <x v="4"/>
    <x v="2"/>
  </r>
  <r>
    <x v="6"/>
    <x v="2"/>
    <x v="1"/>
    <x v="1"/>
    <x v="4"/>
    <x v="1"/>
    <x v="2"/>
    <x v="3"/>
    <x v="3"/>
    <x v="0"/>
    <x v="3"/>
    <x v="2"/>
    <x v="3"/>
    <x v="2"/>
    <x v="3"/>
    <x v="4"/>
    <x v="2"/>
  </r>
  <r>
    <x v="6"/>
    <x v="2"/>
    <x v="1"/>
    <x v="1"/>
    <x v="5"/>
    <x v="1"/>
    <x v="1"/>
    <x v="3"/>
    <x v="3"/>
    <x v="1"/>
    <x v="3"/>
    <x v="2"/>
    <x v="3"/>
    <x v="2"/>
    <x v="1"/>
    <x v="4"/>
    <x v="2"/>
  </r>
  <r>
    <x v="6"/>
    <x v="2"/>
    <x v="1"/>
    <x v="1"/>
    <x v="6"/>
    <x v="1"/>
    <x v="1"/>
    <x v="3"/>
    <x v="3"/>
    <x v="1"/>
    <x v="3"/>
    <x v="2"/>
    <x v="3"/>
    <x v="2"/>
    <x v="1"/>
    <x v="4"/>
    <x v="2"/>
  </r>
  <r>
    <x v="6"/>
    <x v="2"/>
    <x v="1"/>
    <x v="1"/>
    <x v="7"/>
    <x v="1"/>
    <x v="1"/>
    <x v="3"/>
    <x v="3"/>
    <x v="1"/>
    <x v="3"/>
    <x v="2"/>
    <x v="3"/>
    <x v="3"/>
    <x v="1"/>
    <x v="4"/>
    <x v="1"/>
  </r>
  <r>
    <x v="6"/>
    <x v="2"/>
    <x v="1"/>
    <x v="8"/>
    <x v="1"/>
    <x v="11"/>
    <x v="1"/>
    <x v="19"/>
    <x v="26"/>
    <x v="1"/>
    <x v="31"/>
    <x v="40"/>
    <x v="46"/>
    <x v="172"/>
    <x v="1"/>
    <x v="4"/>
    <x v="2"/>
  </r>
  <r>
    <x v="6"/>
    <x v="2"/>
    <x v="1"/>
    <x v="8"/>
    <x v="2"/>
    <x v="11"/>
    <x v="1"/>
    <x v="19"/>
    <x v="26"/>
    <x v="1"/>
    <x v="31"/>
    <x v="40"/>
    <x v="46"/>
    <x v="172"/>
    <x v="49"/>
    <x v="2"/>
    <x v="145"/>
  </r>
  <r>
    <x v="6"/>
    <x v="2"/>
    <x v="1"/>
    <x v="8"/>
    <x v="3"/>
    <x v="11"/>
    <x v="1"/>
    <x v="19"/>
    <x v="26"/>
    <x v="1"/>
    <x v="31"/>
    <x v="40"/>
    <x v="46"/>
    <x v="2"/>
    <x v="1"/>
    <x v="4"/>
    <x v="2"/>
  </r>
  <r>
    <x v="6"/>
    <x v="2"/>
    <x v="1"/>
    <x v="8"/>
    <x v="4"/>
    <x v="11"/>
    <x v="0"/>
    <x v="19"/>
    <x v="26"/>
    <x v="0"/>
    <x v="31"/>
    <x v="40"/>
    <x v="46"/>
    <x v="2"/>
    <x v="49"/>
    <x v="4"/>
    <x v="2"/>
  </r>
  <r>
    <x v="6"/>
    <x v="2"/>
    <x v="1"/>
    <x v="8"/>
    <x v="5"/>
    <x v="11"/>
    <x v="1"/>
    <x v="19"/>
    <x v="26"/>
    <x v="1"/>
    <x v="31"/>
    <x v="40"/>
    <x v="46"/>
    <x v="2"/>
    <x v="1"/>
    <x v="4"/>
    <x v="2"/>
  </r>
  <r>
    <x v="6"/>
    <x v="2"/>
    <x v="1"/>
    <x v="8"/>
    <x v="6"/>
    <x v="1"/>
    <x v="13"/>
    <x v="19"/>
    <x v="3"/>
    <x v="6"/>
    <x v="31"/>
    <x v="40"/>
    <x v="46"/>
    <x v="45"/>
    <x v="1"/>
    <x v="60"/>
    <x v="56"/>
  </r>
  <r>
    <x v="6"/>
    <x v="2"/>
    <x v="1"/>
    <x v="8"/>
    <x v="7"/>
    <x v="11"/>
    <x v="1"/>
    <x v="19"/>
    <x v="26"/>
    <x v="1"/>
    <x v="31"/>
    <x v="40"/>
    <x v="46"/>
    <x v="43"/>
    <x v="1"/>
    <x v="4"/>
    <x v="140"/>
  </r>
  <r>
    <x v="6"/>
    <x v="2"/>
    <x v="1"/>
    <x v="2"/>
    <x v="8"/>
    <x v="1"/>
    <x v="2"/>
    <x v="0"/>
    <x v="0"/>
    <x v="7"/>
    <x v="15"/>
    <x v="12"/>
    <x v="21"/>
    <x v="21"/>
    <x v="11"/>
    <x v="9"/>
    <x v="3"/>
  </r>
  <r>
    <x v="6"/>
    <x v="2"/>
    <x v="1"/>
    <x v="2"/>
    <x v="9"/>
    <x v="1"/>
    <x v="0"/>
    <x v="1"/>
    <x v="2"/>
    <x v="3"/>
    <x v="1"/>
    <x v="4"/>
    <x v="1"/>
    <x v="0"/>
    <x v="12"/>
    <x v="8"/>
    <x v="14"/>
  </r>
  <r>
    <x v="6"/>
    <x v="2"/>
    <x v="1"/>
    <x v="2"/>
    <x v="10"/>
    <x v="1"/>
    <x v="1"/>
    <x v="1"/>
    <x v="2"/>
    <x v="0"/>
    <x v="1"/>
    <x v="4"/>
    <x v="5"/>
    <x v="1"/>
    <x v="5"/>
    <x v="5"/>
    <x v="4"/>
  </r>
  <r>
    <x v="6"/>
    <x v="2"/>
    <x v="1"/>
    <x v="2"/>
    <x v="11"/>
    <x v="1"/>
    <x v="0"/>
    <x v="3"/>
    <x v="2"/>
    <x v="0"/>
    <x v="2"/>
    <x v="1"/>
    <x v="2"/>
    <x v="5"/>
    <x v="3"/>
    <x v="2"/>
    <x v="1"/>
  </r>
  <r>
    <x v="6"/>
    <x v="2"/>
    <x v="1"/>
    <x v="2"/>
    <x v="12"/>
    <x v="1"/>
    <x v="1"/>
    <x v="3"/>
    <x v="3"/>
    <x v="1"/>
    <x v="3"/>
    <x v="2"/>
    <x v="3"/>
    <x v="2"/>
    <x v="1"/>
    <x v="4"/>
    <x v="2"/>
  </r>
  <r>
    <x v="6"/>
    <x v="2"/>
    <x v="1"/>
    <x v="0"/>
    <x v="22"/>
    <x v="1"/>
    <x v="1"/>
    <x v="3"/>
    <x v="3"/>
    <x v="0"/>
    <x v="3"/>
    <x v="2"/>
    <x v="3"/>
    <x v="1"/>
    <x v="3"/>
    <x v="1"/>
    <x v="0"/>
  </r>
  <r>
    <x v="6"/>
    <x v="2"/>
    <x v="1"/>
    <x v="3"/>
    <x v="1"/>
    <x v="1"/>
    <x v="1"/>
    <x v="3"/>
    <x v="3"/>
    <x v="0"/>
    <x v="3"/>
    <x v="2"/>
    <x v="3"/>
    <x v="5"/>
    <x v="1"/>
    <x v="4"/>
    <x v="2"/>
  </r>
  <r>
    <x v="6"/>
    <x v="2"/>
    <x v="1"/>
    <x v="3"/>
    <x v="2"/>
    <x v="1"/>
    <x v="1"/>
    <x v="3"/>
    <x v="3"/>
    <x v="1"/>
    <x v="3"/>
    <x v="2"/>
    <x v="3"/>
    <x v="3"/>
    <x v="3"/>
    <x v="1"/>
    <x v="0"/>
  </r>
  <r>
    <x v="6"/>
    <x v="2"/>
    <x v="1"/>
    <x v="3"/>
    <x v="3"/>
    <x v="1"/>
    <x v="1"/>
    <x v="3"/>
    <x v="3"/>
    <x v="1"/>
    <x v="3"/>
    <x v="2"/>
    <x v="3"/>
    <x v="2"/>
    <x v="1"/>
    <x v="4"/>
    <x v="2"/>
  </r>
  <r>
    <x v="6"/>
    <x v="2"/>
    <x v="1"/>
    <x v="9"/>
    <x v="1"/>
    <x v="11"/>
    <x v="13"/>
    <x v="19"/>
    <x v="26"/>
    <x v="0"/>
    <x v="31"/>
    <x v="40"/>
    <x v="46"/>
    <x v="22"/>
    <x v="1"/>
    <x v="4"/>
    <x v="2"/>
  </r>
  <r>
    <x v="6"/>
    <x v="2"/>
    <x v="1"/>
    <x v="9"/>
    <x v="2"/>
    <x v="11"/>
    <x v="13"/>
    <x v="19"/>
    <x v="26"/>
    <x v="1"/>
    <x v="31"/>
    <x v="40"/>
    <x v="46"/>
    <x v="148"/>
    <x v="3"/>
    <x v="2"/>
    <x v="1"/>
  </r>
  <r>
    <x v="6"/>
    <x v="2"/>
    <x v="1"/>
    <x v="9"/>
    <x v="3"/>
    <x v="11"/>
    <x v="13"/>
    <x v="19"/>
    <x v="26"/>
    <x v="1"/>
    <x v="31"/>
    <x v="40"/>
    <x v="46"/>
    <x v="2"/>
    <x v="1"/>
    <x v="4"/>
    <x v="2"/>
  </r>
  <r>
    <x v="6"/>
    <x v="2"/>
    <x v="1"/>
    <x v="0"/>
    <x v="23"/>
    <x v="1"/>
    <x v="2"/>
    <x v="3"/>
    <x v="3"/>
    <x v="0"/>
    <x v="3"/>
    <x v="2"/>
    <x v="3"/>
    <x v="4"/>
    <x v="4"/>
    <x v="1"/>
    <x v="4"/>
  </r>
  <r>
    <x v="6"/>
    <x v="2"/>
    <x v="1"/>
    <x v="4"/>
    <x v="4"/>
    <x v="1"/>
    <x v="2"/>
    <x v="3"/>
    <x v="3"/>
    <x v="0"/>
    <x v="3"/>
    <x v="2"/>
    <x v="3"/>
    <x v="5"/>
    <x v="3"/>
    <x v="4"/>
    <x v="2"/>
  </r>
  <r>
    <x v="6"/>
    <x v="2"/>
    <x v="1"/>
    <x v="4"/>
    <x v="5"/>
    <x v="1"/>
    <x v="1"/>
    <x v="3"/>
    <x v="3"/>
    <x v="1"/>
    <x v="3"/>
    <x v="2"/>
    <x v="3"/>
    <x v="5"/>
    <x v="3"/>
    <x v="1"/>
    <x v="0"/>
  </r>
  <r>
    <x v="6"/>
    <x v="2"/>
    <x v="1"/>
    <x v="4"/>
    <x v="6"/>
    <x v="1"/>
    <x v="1"/>
    <x v="3"/>
    <x v="3"/>
    <x v="1"/>
    <x v="3"/>
    <x v="2"/>
    <x v="3"/>
    <x v="2"/>
    <x v="1"/>
    <x v="4"/>
    <x v="2"/>
  </r>
  <r>
    <x v="6"/>
    <x v="2"/>
    <x v="1"/>
    <x v="4"/>
    <x v="7"/>
    <x v="1"/>
    <x v="1"/>
    <x v="3"/>
    <x v="3"/>
    <x v="1"/>
    <x v="3"/>
    <x v="2"/>
    <x v="3"/>
    <x v="3"/>
    <x v="1"/>
    <x v="4"/>
    <x v="1"/>
  </r>
  <r>
    <x v="6"/>
    <x v="2"/>
    <x v="1"/>
    <x v="10"/>
    <x v="4"/>
    <x v="11"/>
    <x v="0"/>
    <x v="19"/>
    <x v="26"/>
    <x v="0"/>
    <x v="31"/>
    <x v="40"/>
    <x v="46"/>
    <x v="172"/>
    <x v="49"/>
    <x v="4"/>
    <x v="2"/>
  </r>
  <r>
    <x v="6"/>
    <x v="2"/>
    <x v="1"/>
    <x v="10"/>
    <x v="5"/>
    <x v="11"/>
    <x v="1"/>
    <x v="19"/>
    <x v="26"/>
    <x v="1"/>
    <x v="31"/>
    <x v="40"/>
    <x v="46"/>
    <x v="172"/>
    <x v="49"/>
    <x v="2"/>
    <x v="145"/>
  </r>
  <r>
    <x v="6"/>
    <x v="2"/>
    <x v="1"/>
    <x v="10"/>
    <x v="6"/>
    <x v="11"/>
    <x v="1"/>
    <x v="19"/>
    <x v="26"/>
    <x v="1"/>
    <x v="31"/>
    <x v="40"/>
    <x v="46"/>
    <x v="2"/>
    <x v="1"/>
    <x v="4"/>
    <x v="2"/>
  </r>
  <r>
    <x v="6"/>
    <x v="2"/>
    <x v="1"/>
    <x v="10"/>
    <x v="7"/>
    <x v="11"/>
    <x v="1"/>
    <x v="19"/>
    <x v="26"/>
    <x v="1"/>
    <x v="31"/>
    <x v="40"/>
    <x v="46"/>
    <x v="43"/>
    <x v="1"/>
    <x v="4"/>
    <x v="140"/>
  </r>
  <r>
    <x v="6"/>
    <x v="0"/>
    <x v="2"/>
    <x v="0"/>
    <x v="24"/>
    <x v="3"/>
    <x v="3"/>
    <x v="175"/>
    <x v="19"/>
    <x v="306"/>
    <x v="241"/>
    <x v="28"/>
    <x v="303"/>
    <x v="339"/>
    <x v="41"/>
    <x v="46"/>
    <x v="462"/>
  </r>
  <r>
    <x v="6"/>
    <x v="0"/>
    <x v="2"/>
    <x v="1"/>
    <x v="1"/>
    <x v="3"/>
    <x v="0"/>
    <x v="1"/>
    <x v="2"/>
    <x v="3"/>
    <x v="1"/>
    <x v="4"/>
    <x v="1"/>
    <x v="1"/>
    <x v="5"/>
    <x v="5"/>
    <x v="4"/>
  </r>
  <r>
    <x v="6"/>
    <x v="0"/>
    <x v="2"/>
    <x v="1"/>
    <x v="2"/>
    <x v="1"/>
    <x v="0"/>
    <x v="4"/>
    <x v="4"/>
    <x v="3"/>
    <x v="1"/>
    <x v="3"/>
    <x v="0"/>
    <x v="39"/>
    <x v="43"/>
    <x v="161"/>
    <x v="31"/>
  </r>
  <r>
    <x v="6"/>
    <x v="0"/>
    <x v="2"/>
    <x v="1"/>
    <x v="3"/>
    <x v="1"/>
    <x v="1"/>
    <x v="3"/>
    <x v="3"/>
    <x v="1"/>
    <x v="3"/>
    <x v="2"/>
    <x v="3"/>
    <x v="2"/>
    <x v="1"/>
    <x v="4"/>
    <x v="2"/>
  </r>
  <r>
    <x v="6"/>
    <x v="0"/>
    <x v="2"/>
    <x v="1"/>
    <x v="4"/>
    <x v="1"/>
    <x v="2"/>
    <x v="2"/>
    <x v="1"/>
    <x v="2"/>
    <x v="0"/>
    <x v="5"/>
    <x v="0"/>
    <x v="0"/>
    <x v="43"/>
    <x v="161"/>
    <x v="31"/>
  </r>
  <r>
    <x v="6"/>
    <x v="0"/>
    <x v="2"/>
    <x v="1"/>
    <x v="5"/>
    <x v="1"/>
    <x v="1"/>
    <x v="3"/>
    <x v="3"/>
    <x v="1"/>
    <x v="3"/>
    <x v="2"/>
    <x v="2"/>
    <x v="5"/>
    <x v="3"/>
    <x v="2"/>
    <x v="1"/>
  </r>
  <r>
    <x v="6"/>
    <x v="0"/>
    <x v="2"/>
    <x v="1"/>
    <x v="6"/>
    <x v="1"/>
    <x v="1"/>
    <x v="4"/>
    <x v="4"/>
    <x v="3"/>
    <x v="1"/>
    <x v="4"/>
    <x v="1"/>
    <x v="3"/>
    <x v="4"/>
    <x v="1"/>
    <x v="0"/>
  </r>
  <r>
    <x v="6"/>
    <x v="0"/>
    <x v="2"/>
    <x v="1"/>
    <x v="7"/>
    <x v="1"/>
    <x v="1"/>
    <x v="3"/>
    <x v="2"/>
    <x v="0"/>
    <x v="2"/>
    <x v="1"/>
    <x v="2"/>
    <x v="1"/>
    <x v="5"/>
    <x v="5"/>
    <x v="5"/>
  </r>
  <r>
    <x v="6"/>
    <x v="0"/>
    <x v="2"/>
    <x v="2"/>
    <x v="8"/>
    <x v="1"/>
    <x v="2"/>
    <x v="9"/>
    <x v="0"/>
    <x v="7"/>
    <x v="10"/>
    <x v="12"/>
    <x v="13"/>
    <x v="21"/>
    <x v="19"/>
    <x v="9"/>
    <x v="3"/>
  </r>
  <r>
    <x v="6"/>
    <x v="0"/>
    <x v="2"/>
    <x v="2"/>
    <x v="9"/>
    <x v="3"/>
    <x v="0"/>
    <x v="1"/>
    <x v="4"/>
    <x v="3"/>
    <x v="1"/>
    <x v="4"/>
    <x v="4"/>
    <x v="0"/>
    <x v="2"/>
    <x v="8"/>
    <x v="14"/>
  </r>
  <r>
    <x v="6"/>
    <x v="0"/>
    <x v="2"/>
    <x v="2"/>
    <x v="10"/>
    <x v="1"/>
    <x v="1"/>
    <x v="1"/>
    <x v="2"/>
    <x v="3"/>
    <x v="1"/>
    <x v="3"/>
    <x v="5"/>
    <x v="1"/>
    <x v="5"/>
    <x v="5"/>
    <x v="4"/>
  </r>
  <r>
    <x v="6"/>
    <x v="0"/>
    <x v="2"/>
    <x v="2"/>
    <x v="11"/>
    <x v="1"/>
    <x v="0"/>
    <x v="1"/>
    <x v="2"/>
    <x v="0"/>
    <x v="2"/>
    <x v="1"/>
    <x v="2"/>
    <x v="5"/>
    <x v="3"/>
    <x v="2"/>
    <x v="1"/>
  </r>
  <r>
    <x v="6"/>
    <x v="0"/>
    <x v="2"/>
    <x v="2"/>
    <x v="12"/>
    <x v="1"/>
    <x v="1"/>
    <x v="3"/>
    <x v="3"/>
    <x v="1"/>
    <x v="3"/>
    <x v="2"/>
    <x v="3"/>
    <x v="2"/>
    <x v="1"/>
    <x v="4"/>
    <x v="2"/>
  </r>
  <r>
    <x v="6"/>
    <x v="0"/>
    <x v="2"/>
    <x v="0"/>
    <x v="25"/>
    <x v="3"/>
    <x v="2"/>
    <x v="9"/>
    <x v="0"/>
    <x v="124"/>
    <x v="7"/>
    <x v="34"/>
    <x v="16"/>
    <x v="9"/>
    <x v="18"/>
    <x v="29"/>
    <x v="21"/>
  </r>
  <r>
    <x v="6"/>
    <x v="0"/>
    <x v="2"/>
    <x v="3"/>
    <x v="1"/>
    <x v="3"/>
    <x v="0"/>
    <x v="4"/>
    <x v="4"/>
    <x v="5"/>
    <x v="5"/>
    <x v="6"/>
    <x v="4"/>
    <x v="0"/>
    <x v="2"/>
    <x v="8"/>
    <x v="6"/>
  </r>
  <r>
    <x v="6"/>
    <x v="0"/>
    <x v="2"/>
    <x v="3"/>
    <x v="2"/>
    <x v="1"/>
    <x v="0"/>
    <x v="2"/>
    <x v="1"/>
    <x v="5"/>
    <x v="5"/>
    <x v="5"/>
    <x v="13"/>
    <x v="17"/>
    <x v="11"/>
    <x v="33"/>
    <x v="30"/>
  </r>
  <r>
    <x v="6"/>
    <x v="0"/>
    <x v="2"/>
    <x v="3"/>
    <x v="3"/>
    <x v="1"/>
    <x v="1"/>
    <x v="3"/>
    <x v="3"/>
    <x v="1"/>
    <x v="3"/>
    <x v="2"/>
    <x v="3"/>
    <x v="2"/>
    <x v="1"/>
    <x v="4"/>
    <x v="2"/>
  </r>
  <r>
    <x v="6"/>
    <x v="0"/>
    <x v="2"/>
    <x v="0"/>
    <x v="26"/>
    <x v="3"/>
    <x v="5"/>
    <x v="11"/>
    <x v="22"/>
    <x v="226"/>
    <x v="27"/>
    <x v="14"/>
    <x v="34"/>
    <x v="32"/>
    <x v="453"/>
    <x v="458"/>
    <x v="44"/>
  </r>
  <r>
    <x v="6"/>
    <x v="0"/>
    <x v="2"/>
    <x v="4"/>
    <x v="4"/>
    <x v="1"/>
    <x v="2"/>
    <x v="2"/>
    <x v="1"/>
    <x v="2"/>
    <x v="0"/>
    <x v="5"/>
    <x v="147"/>
    <x v="14"/>
    <x v="16"/>
    <x v="0"/>
    <x v="143"/>
  </r>
  <r>
    <x v="6"/>
    <x v="0"/>
    <x v="2"/>
    <x v="4"/>
    <x v="5"/>
    <x v="1"/>
    <x v="1"/>
    <x v="1"/>
    <x v="2"/>
    <x v="3"/>
    <x v="1"/>
    <x v="3"/>
    <x v="0"/>
    <x v="39"/>
    <x v="43"/>
    <x v="161"/>
    <x v="31"/>
  </r>
  <r>
    <x v="6"/>
    <x v="0"/>
    <x v="2"/>
    <x v="4"/>
    <x v="6"/>
    <x v="1"/>
    <x v="1"/>
    <x v="4"/>
    <x v="4"/>
    <x v="3"/>
    <x v="1"/>
    <x v="4"/>
    <x v="1"/>
    <x v="3"/>
    <x v="4"/>
    <x v="1"/>
    <x v="0"/>
  </r>
  <r>
    <x v="6"/>
    <x v="0"/>
    <x v="2"/>
    <x v="4"/>
    <x v="7"/>
    <x v="3"/>
    <x v="0"/>
    <x v="1"/>
    <x v="4"/>
    <x v="3"/>
    <x v="1"/>
    <x v="4"/>
    <x v="1"/>
    <x v="4"/>
    <x v="12"/>
    <x v="3"/>
    <x v="6"/>
  </r>
  <r>
    <x v="6"/>
    <x v="1"/>
    <x v="2"/>
    <x v="0"/>
    <x v="27"/>
    <x v="3"/>
    <x v="2"/>
    <x v="175"/>
    <x v="19"/>
    <x v="226"/>
    <x v="241"/>
    <x v="28"/>
    <x v="303"/>
    <x v="8"/>
    <x v="36"/>
    <x v="25"/>
    <x v="23"/>
  </r>
  <r>
    <x v="6"/>
    <x v="1"/>
    <x v="2"/>
    <x v="1"/>
    <x v="1"/>
    <x v="3"/>
    <x v="0"/>
    <x v="1"/>
    <x v="2"/>
    <x v="3"/>
    <x v="1"/>
    <x v="4"/>
    <x v="1"/>
    <x v="3"/>
    <x v="5"/>
    <x v="5"/>
    <x v="4"/>
  </r>
  <r>
    <x v="6"/>
    <x v="1"/>
    <x v="2"/>
    <x v="1"/>
    <x v="2"/>
    <x v="1"/>
    <x v="0"/>
    <x v="4"/>
    <x v="4"/>
    <x v="3"/>
    <x v="1"/>
    <x v="3"/>
    <x v="0"/>
    <x v="0"/>
    <x v="2"/>
    <x v="8"/>
    <x v="6"/>
  </r>
  <r>
    <x v="6"/>
    <x v="1"/>
    <x v="2"/>
    <x v="1"/>
    <x v="3"/>
    <x v="1"/>
    <x v="1"/>
    <x v="3"/>
    <x v="3"/>
    <x v="1"/>
    <x v="3"/>
    <x v="2"/>
    <x v="3"/>
    <x v="2"/>
    <x v="1"/>
    <x v="4"/>
    <x v="2"/>
  </r>
  <r>
    <x v="6"/>
    <x v="1"/>
    <x v="2"/>
    <x v="1"/>
    <x v="4"/>
    <x v="1"/>
    <x v="1"/>
    <x v="2"/>
    <x v="1"/>
    <x v="5"/>
    <x v="0"/>
    <x v="5"/>
    <x v="0"/>
    <x v="0"/>
    <x v="2"/>
    <x v="161"/>
    <x v="31"/>
  </r>
  <r>
    <x v="6"/>
    <x v="1"/>
    <x v="2"/>
    <x v="1"/>
    <x v="5"/>
    <x v="1"/>
    <x v="1"/>
    <x v="3"/>
    <x v="3"/>
    <x v="1"/>
    <x v="3"/>
    <x v="2"/>
    <x v="2"/>
    <x v="5"/>
    <x v="3"/>
    <x v="2"/>
    <x v="1"/>
  </r>
  <r>
    <x v="6"/>
    <x v="1"/>
    <x v="2"/>
    <x v="1"/>
    <x v="6"/>
    <x v="1"/>
    <x v="1"/>
    <x v="4"/>
    <x v="4"/>
    <x v="3"/>
    <x v="1"/>
    <x v="4"/>
    <x v="1"/>
    <x v="3"/>
    <x v="4"/>
    <x v="1"/>
    <x v="0"/>
  </r>
  <r>
    <x v="6"/>
    <x v="1"/>
    <x v="2"/>
    <x v="1"/>
    <x v="7"/>
    <x v="1"/>
    <x v="1"/>
    <x v="3"/>
    <x v="2"/>
    <x v="0"/>
    <x v="2"/>
    <x v="1"/>
    <x v="2"/>
    <x v="5"/>
    <x v="5"/>
    <x v="5"/>
    <x v="4"/>
  </r>
  <r>
    <x v="6"/>
    <x v="1"/>
    <x v="2"/>
    <x v="11"/>
    <x v="1"/>
    <x v="3"/>
    <x v="10"/>
    <x v="176"/>
    <x v="21"/>
    <x v="307"/>
    <x v="325"/>
    <x v="147"/>
    <x v="299"/>
    <x v="179"/>
    <x v="454"/>
    <x v="10"/>
    <x v="35"/>
  </r>
  <r>
    <x v="6"/>
    <x v="1"/>
    <x v="2"/>
    <x v="11"/>
    <x v="2"/>
    <x v="1"/>
    <x v="10"/>
    <x v="5"/>
    <x v="265"/>
    <x v="307"/>
    <x v="325"/>
    <x v="345"/>
    <x v="413"/>
    <x v="457"/>
    <x v="455"/>
    <x v="459"/>
    <x v="463"/>
  </r>
  <r>
    <x v="6"/>
    <x v="1"/>
    <x v="2"/>
    <x v="11"/>
    <x v="3"/>
    <x v="1"/>
    <x v="1"/>
    <x v="3"/>
    <x v="3"/>
    <x v="1"/>
    <x v="3"/>
    <x v="2"/>
    <x v="3"/>
    <x v="2"/>
    <x v="1"/>
    <x v="4"/>
    <x v="2"/>
  </r>
  <r>
    <x v="6"/>
    <x v="1"/>
    <x v="2"/>
    <x v="11"/>
    <x v="4"/>
    <x v="1"/>
    <x v="1"/>
    <x v="177"/>
    <x v="10"/>
    <x v="308"/>
    <x v="326"/>
    <x v="346"/>
    <x v="413"/>
    <x v="457"/>
    <x v="455"/>
    <x v="164"/>
    <x v="140"/>
  </r>
  <r>
    <x v="6"/>
    <x v="1"/>
    <x v="2"/>
    <x v="11"/>
    <x v="5"/>
    <x v="1"/>
    <x v="1"/>
    <x v="3"/>
    <x v="3"/>
    <x v="1"/>
    <x v="3"/>
    <x v="2"/>
    <x v="301"/>
    <x v="458"/>
    <x v="456"/>
    <x v="460"/>
    <x v="464"/>
  </r>
  <r>
    <x v="6"/>
    <x v="1"/>
    <x v="2"/>
    <x v="11"/>
    <x v="6"/>
    <x v="1"/>
    <x v="1"/>
    <x v="5"/>
    <x v="265"/>
    <x v="307"/>
    <x v="325"/>
    <x v="147"/>
    <x v="299"/>
    <x v="179"/>
    <x v="457"/>
    <x v="57"/>
    <x v="55"/>
  </r>
  <r>
    <x v="6"/>
    <x v="1"/>
    <x v="2"/>
    <x v="11"/>
    <x v="7"/>
    <x v="1"/>
    <x v="1"/>
    <x v="3"/>
    <x v="21"/>
    <x v="234"/>
    <x v="327"/>
    <x v="347"/>
    <x v="301"/>
    <x v="458"/>
    <x v="454"/>
    <x v="10"/>
    <x v="35"/>
  </r>
  <r>
    <x v="6"/>
    <x v="1"/>
    <x v="2"/>
    <x v="2"/>
    <x v="8"/>
    <x v="1"/>
    <x v="1"/>
    <x v="1"/>
    <x v="3"/>
    <x v="1"/>
    <x v="2"/>
    <x v="2"/>
    <x v="2"/>
    <x v="2"/>
    <x v="4"/>
    <x v="4"/>
    <x v="2"/>
  </r>
  <r>
    <x v="6"/>
    <x v="1"/>
    <x v="2"/>
    <x v="2"/>
    <x v="9"/>
    <x v="3"/>
    <x v="1"/>
    <x v="3"/>
    <x v="2"/>
    <x v="1"/>
    <x v="3"/>
    <x v="2"/>
    <x v="1"/>
    <x v="2"/>
    <x v="3"/>
    <x v="4"/>
    <x v="2"/>
  </r>
  <r>
    <x v="6"/>
    <x v="1"/>
    <x v="2"/>
    <x v="2"/>
    <x v="10"/>
    <x v="1"/>
    <x v="1"/>
    <x v="3"/>
    <x v="3"/>
    <x v="0"/>
    <x v="3"/>
    <x v="1"/>
    <x v="3"/>
    <x v="2"/>
    <x v="1"/>
    <x v="4"/>
    <x v="2"/>
  </r>
  <r>
    <x v="6"/>
    <x v="1"/>
    <x v="2"/>
    <x v="2"/>
    <x v="11"/>
    <x v="1"/>
    <x v="1"/>
    <x v="1"/>
    <x v="3"/>
    <x v="1"/>
    <x v="3"/>
    <x v="2"/>
    <x v="3"/>
    <x v="2"/>
    <x v="1"/>
    <x v="4"/>
    <x v="2"/>
  </r>
  <r>
    <x v="6"/>
    <x v="1"/>
    <x v="2"/>
    <x v="2"/>
    <x v="12"/>
    <x v="1"/>
    <x v="1"/>
    <x v="3"/>
    <x v="3"/>
    <x v="1"/>
    <x v="3"/>
    <x v="2"/>
    <x v="3"/>
    <x v="2"/>
    <x v="1"/>
    <x v="4"/>
    <x v="2"/>
  </r>
  <r>
    <x v="6"/>
    <x v="1"/>
    <x v="2"/>
    <x v="0"/>
    <x v="28"/>
    <x v="3"/>
    <x v="2"/>
    <x v="9"/>
    <x v="0"/>
    <x v="7"/>
    <x v="7"/>
    <x v="34"/>
    <x v="16"/>
    <x v="37"/>
    <x v="31"/>
    <x v="9"/>
    <x v="3"/>
  </r>
  <r>
    <x v="6"/>
    <x v="1"/>
    <x v="2"/>
    <x v="3"/>
    <x v="1"/>
    <x v="3"/>
    <x v="0"/>
    <x v="4"/>
    <x v="4"/>
    <x v="4"/>
    <x v="5"/>
    <x v="6"/>
    <x v="4"/>
    <x v="4"/>
    <x v="2"/>
    <x v="8"/>
    <x v="6"/>
  </r>
  <r>
    <x v="6"/>
    <x v="1"/>
    <x v="2"/>
    <x v="3"/>
    <x v="2"/>
    <x v="1"/>
    <x v="0"/>
    <x v="2"/>
    <x v="1"/>
    <x v="5"/>
    <x v="5"/>
    <x v="5"/>
    <x v="13"/>
    <x v="13"/>
    <x v="42"/>
    <x v="0"/>
    <x v="143"/>
  </r>
  <r>
    <x v="6"/>
    <x v="1"/>
    <x v="2"/>
    <x v="3"/>
    <x v="3"/>
    <x v="1"/>
    <x v="1"/>
    <x v="3"/>
    <x v="3"/>
    <x v="1"/>
    <x v="3"/>
    <x v="2"/>
    <x v="3"/>
    <x v="2"/>
    <x v="1"/>
    <x v="4"/>
    <x v="2"/>
  </r>
  <r>
    <x v="6"/>
    <x v="1"/>
    <x v="2"/>
    <x v="12"/>
    <x v="1"/>
    <x v="3"/>
    <x v="10"/>
    <x v="15"/>
    <x v="27"/>
    <x v="309"/>
    <x v="19"/>
    <x v="348"/>
    <x v="27"/>
    <x v="22"/>
    <x v="330"/>
    <x v="461"/>
    <x v="9"/>
  </r>
  <r>
    <x v="6"/>
    <x v="1"/>
    <x v="2"/>
    <x v="12"/>
    <x v="2"/>
    <x v="1"/>
    <x v="10"/>
    <x v="79"/>
    <x v="24"/>
    <x v="310"/>
    <x v="19"/>
    <x v="145"/>
    <x v="43"/>
    <x v="148"/>
    <x v="458"/>
    <x v="462"/>
    <x v="465"/>
  </r>
  <r>
    <x v="6"/>
    <x v="1"/>
    <x v="2"/>
    <x v="12"/>
    <x v="3"/>
    <x v="1"/>
    <x v="1"/>
    <x v="3"/>
    <x v="3"/>
    <x v="1"/>
    <x v="3"/>
    <x v="2"/>
    <x v="3"/>
    <x v="2"/>
    <x v="1"/>
    <x v="4"/>
    <x v="2"/>
  </r>
  <r>
    <x v="6"/>
    <x v="1"/>
    <x v="2"/>
    <x v="0"/>
    <x v="29"/>
    <x v="3"/>
    <x v="0"/>
    <x v="11"/>
    <x v="22"/>
    <x v="22"/>
    <x v="27"/>
    <x v="14"/>
    <x v="34"/>
    <x v="9"/>
    <x v="336"/>
    <x v="26"/>
    <x v="181"/>
  </r>
  <r>
    <x v="6"/>
    <x v="1"/>
    <x v="2"/>
    <x v="4"/>
    <x v="4"/>
    <x v="1"/>
    <x v="1"/>
    <x v="2"/>
    <x v="1"/>
    <x v="5"/>
    <x v="0"/>
    <x v="5"/>
    <x v="147"/>
    <x v="39"/>
    <x v="0"/>
    <x v="0"/>
    <x v="143"/>
  </r>
  <r>
    <x v="6"/>
    <x v="1"/>
    <x v="2"/>
    <x v="4"/>
    <x v="5"/>
    <x v="1"/>
    <x v="1"/>
    <x v="1"/>
    <x v="2"/>
    <x v="3"/>
    <x v="1"/>
    <x v="3"/>
    <x v="0"/>
    <x v="0"/>
    <x v="2"/>
    <x v="8"/>
    <x v="6"/>
  </r>
  <r>
    <x v="6"/>
    <x v="1"/>
    <x v="2"/>
    <x v="4"/>
    <x v="6"/>
    <x v="1"/>
    <x v="1"/>
    <x v="4"/>
    <x v="4"/>
    <x v="3"/>
    <x v="1"/>
    <x v="4"/>
    <x v="1"/>
    <x v="3"/>
    <x v="4"/>
    <x v="1"/>
    <x v="0"/>
  </r>
  <r>
    <x v="6"/>
    <x v="1"/>
    <x v="2"/>
    <x v="4"/>
    <x v="7"/>
    <x v="3"/>
    <x v="0"/>
    <x v="1"/>
    <x v="4"/>
    <x v="3"/>
    <x v="1"/>
    <x v="4"/>
    <x v="1"/>
    <x v="3"/>
    <x v="12"/>
    <x v="3"/>
    <x v="5"/>
  </r>
  <r>
    <x v="6"/>
    <x v="1"/>
    <x v="2"/>
    <x v="13"/>
    <x v="4"/>
    <x v="1"/>
    <x v="1"/>
    <x v="14"/>
    <x v="266"/>
    <x v="130"/>
    <x v="328"/>
    <x v="272"/>
    <x v="257"/>
    <x v="6"/>
    <x v="459"/>
    <x v="463"/>
    <x v="466"/>
  </r>
  <r>
    <x v="6"/>
    <x v="1"/>
    <x v="2"/>
    <x v="13"/>
    <x v="5"/>
    <x v="1"/>
    <x v="1"/>
    <x v="12"/>
    <x v="117"/>
    <x v="227"/>
    <x v="329"/>
    <x v="233"/>
    <x v="27"/>
    <x v="22"/>
    <x v="182"/>
    <x v="197"/>
    <x v="141"/>
  </r>
  <r>
    <x v="6"/>
    <x v="1"/>
    <x v="2"/>
    <x v="13"/>
    <x v="6"/>
    <x v="1"/>
    <x v="1"/>
    <x v="13"/>
    <x v="7"/>
    <x v="227"/>
    <x v="329"/>
    <x v="271"/>
    <x v="414"/>
    <x v="459"/>
    <x v="272"/>
    <x v="58"/>
    <x v="36"/>
  </r>
  <r>
    <x v="6"/>
    <x v="1"/>
    <x v="2"/>
    <x v="13"/>
    <x v="7"/>
    <x v="3"/>
    <x v="0"/>
    <x v="12"/>
    <x v="7"/>
    <x v="227"/>
    <x v="329"/>
    <x v="271"/>
    <x v="414"/>
    <x v="459"/>
    <x v="274"/>
    <x v="163"/>
    <x v="142"/>
  </r>
  <r>
    <x v="6"/>
    <x v="1"/>
    <x v="2"/>
    <x v="0"/>
    <x v="30"/>
    <x v="3"/>
    <x v="0"/>
    <x v="2"/>
    <x v="5"/>
    <x v="2"/>
    <x v="15"/>
    <x v="12"/>
    <x v="12"/>
    <x v="17"/>
    <x v="15"/>
    <x v="19"/>
    <x v="16"/>
  </r>
  <r>
    <x v="6"/>
    <x v="1"/>
    <x v="2"/>
    <x v="0"/>
    <x v="31"/>
    <x v="1"/>
    <x v="1"/>
    <x v="3"/>
    <x v="3"/>
    <x v="1"/>
    <x v="3"/>
    <x v="2"/>
    <x v="3"/>
    <x v="2"/>
    <x v="1"/>
    <x v="1"/>
    <x v="0"/>
  </r>
  <r>
    <x v="6"/>
    <x v="1"/>
    <x v="2"/>
    <x v="0"/>
    <x v="32"/>
    <x v="1"/>
    <x v="0"/>
    <x v="9"/>
    <x v="0"/>
    <x v="9"/>
    <x v="15"/>
    <x v="0"/>
    <x v="147"/>
    <x v="39"/>
    <x v="43"/>
    <x v="7"/>
    <x v="14"/>
  </r>
  <r>
    <x v="6"/>
    <x v="1"/>
    <x v="2"/>
    <x v="14"/>
    <x v="8"/>
    <x v="1"/>
    <x v="1"/>
    <x v="1"/>
    <x v="2"/>
    <x v="0"/>
    <x v="1"/>
    <x v="4"/>
    <x v="5"/>
    <x v="1"/>
    <x v="2"/>
    <x v="8"/>
    <x v="6"/>
  </r>
  <r>
    <x v="6"/>
    <x v="1"/>
    <x v="2"/>
    <x v="14"/>
    <x v="9"/>
    <x v="3"/>
    <x v="0"/>
    <x v="1"/>
    <x v="4"/>
    <x v="3"/>
    <x v="1"/>
    <x v="4"/>
    <x v="4"/>
    <x v="4"/>
    <x v="2"/>
    <x v="8"/>
    <x v="6"/>
  </r>
  <r>
    <x v="6"/>
    <x v="1"/>
    <x v="2"/>
    <x v="14"/>
    <x v="10"/>
    <x v="1"/>
    <x v="1"/>
    <x v="3"/>
    <x v="3"/>
    <x v="0"/>
    <x v="2"/>
    <x v="4"/>
    <x v="1"/>
    <x v="3"/>
    <x v="4"/>
    <x v="1"/>
    <x v="0"/>
  </r>
  <r>
    <x v="6"/>
    <x v="1"/>
    <x v="2"/>
    <x v="14"/>
    <x v="11"/>
    <x v="1"/>
    <x v="1"/>
    <x v="1"/>
    <x v="2"/>
    <x v="0"/>
    <x v="2"/>
    <x v="1"/>
    <x v="2"/>
    <x v="5"/>
    <x v="3"/>
    <x v="2"/>
    <x v="1"/>
  </r>
  <r>
    <x v="6"/>
    <x v="1"/>
    <x v="2"/>
    <x v="14"/>
    <x v="12"/>
    <x v="1"/>
    <x v="1"/>
    <x v="3"/>
    <x v="3"/>
    <x v="1"/>
    <x v="3"/>
    <x v="2"/>
    <x v="3"/>
    <x v="2"/>
    <x v="1"/>
    <x v="4"/>
    <x v="2"/>
  </r>
  <r>
    <x v="6"/>
    <x v="1"/>
    <x v="2"/>
    <x v="15"/>
    <x v="8"/>
    <x v="1"/>
    <x v="1"/>
    <x v="3"/>
    <x v="3"/>
    <x v="1"/>
    <x v="3"/>
    <x v="2"/>
    <x v="3"/>
    <x v="2"/>
    <x v="1"/>
    <x v="1"/>
    <x v="0"/>
  </r>
  <r>
    <x v="6"/>
    <x v="1"/>
    <x v="2"/>
    <x v="15"/>
    <x v="9"/>
    <x v="1"/>
    <x v="1"/>
    <x v="3"/>
    <x v="3"/>
    <x v="1"/>
    <x v="3"/>
    <x v="2"/>
    <x v="3"/>
    <x v="2"/>
    <x v="1"/>
    <x v="4"/>
    <x v="2"/>
  </r>
  <r>
    <x v="6"/>
    <x v="1"/>
    <x v="2"/>
    <x v="15"/>
    <x v="10"/>
    <x v="1"/>
    <x v="1"/>
    <x v="3"/>
    <x v="3"/>
    <x v="1"/>
    <x v="3"/>
    <x v="2"/>
    <x v="3"/>
    <x v="2"/>
    <x v="1"/>
    <x v="4"/>
    <x v="2"/>
  </r>
  <r>
    <x v="6"/>
    <x v="1"/>
    <x v="2"/>
    <x v="15"/>
    <x v="11"/>
    <x v="1"/>
    <x v="1"/>
    <x v="3"/>
    <x v="3"/>
    <x v="1"/>
    <x v="3"/>
    <x v="2"/>
    <x v="3"/>
    <x v="2"/>
    <x v="1"/>
    <x v="4"/>
    <x v="2"/>
  </r>
  <r>
    <x v="6"/>
    <x v="1"/>
    <x v="2"/>
    <x v="15"/>
    <x v="12"/>
    <x v="1"/>
    <x v="1"/>
    <x v="3"/>
    <x v="3"/>
    <x v="1"/>
    <x v="3"/>
    <x v="2"/>
    <x v="3"/>
    <x v="2"/>
    <x v="1"/>
    <x v="4"/>
    <x v="2"/>
  </r>
  <r>
    <x v="6"/>
    <x v="1"/>
    <x v="2"/>
    <x v="16"/>
    <x v="8"/>
    <x v="1"/>
    <x v="0"/>
    <x v="0"/>
    <x v="5"/>
    <x v="2"/>
    <x v="0"/>
    <x v="5"/>
    <x v="0"/>
    <x v="0"/>
    <x v="2"/>
    <x v="8"/>
    <x v="6"/>
  </r>
  <r>
    <x v="6"/>
    <x v="1"/>
    <x v="2"/>
    <x v="16"/>
    <x v="9"/>
    <x v="1"/>
    <x v="1"/>
    <x v="3"/>
    <x v="3"/>
    <x v="1"/>
    <x v="3"/>
    <x v="2"/>
    <x v="3"/>
    <x v="2"/>
    <x v="1"/>
    <x v="4"/>
    <x v="2"/>
  </r>
  <r>
    <x v="6"/>
    <x v="1"/>
    <x v="2"/>
    <x v="16"/>
    <x v="10"/>
    <x v="1"/>
    <x v="1"/>
    <x v="1"/>
    <x v="2"/>
    <x v="0"/>
    <x v="2"/>
    <x v="1"/>
    <x v="2"/>
    <x v="5"/>
    <x v="3"/>
    <x v="2"/>
    <x v="1"/>
  </r>
  <r>
    <x v="6"/>
    <x v="1"/>
    <x v="2"/>
    <x v="16"/>
    <x v="11"/>
    <x v="1"/>
    <x v="1"/>
    <x v="3"/>
    <x v="3"/>
    <x v="1"/>
    <x v="3"/>
    <x v="2"/>
    <x v="3"/>
    <x v="2"/>
    <x v="1"/>
    <x v="4"/>
    <x v="2"/>
  </r>
  <r>
    <x v="6"/>
    <x v="1"/>
    <x v="2"/>
    <x v="16"/>
    <x v="12"/>
    <x v="1"/>
    <x v="1"/>
    <x v="3"/>
    <x v="3"/>
    <x v="1"/>
    <x v="3"/>
    <x v="2"/>
    <x v="3"/>
    <x v="2"/>
    <x v="1"/>
    <x v="4"/>
    <x v="2"/>
  </r>
  <r>
    <x v="6"/>
    <x v="1"/>
    <x v="3"/>
    <x v="0"/>
    <x v="33"/>
    <x v="3"/>
    <x v="10"/>
    <x v="1"/>
    <x v="2"/>
    <x v="311"/>
    <x v="2"/>
    <x v="1"/>
    <x v="2"/>
    <x v="344"/>
    <x v="460"/>
    <x v="464"/>
    <x v="199"/>
  </r>
  <r>
    <x v="6"/>
    <x v="1"/>
    <x v="3"/>
    <x v="3"/>
    <x v="1"/>
    <x v="3"/>
    <x v="0"/>
    <x v="1"/>
    <x v="2"/>
    <x v="0"/>
    <x v="2"/>
    <x v="1"/>
    <x v="2"/>
    <x v="148"/>
    <x v="3"/>
    <x v="2"/>
    <x v="1"/>
  </r>
  <r>
    <x v="6"/>
    <x v="1"/>
    <x v="3"/>
    <x v="3"/>
    <x v="2"/>
    <x v="11"/>
    <x v="0"/>
    <x v="1"/>
    <x v="2"/>
    <x v="0"/>
    <x v="2"/>
    <x v="1"/>
    <x v="2"/>
    <x v="345"/>
    <x v="280"/>
    <x v="166"/>
    <x v="467"/>
  </r>
  <r>
    <x v="6"/>
    <x v="1"/>
    <x v="3"/>
    <x v="3"/>
    <x v="3"/>
    <x v="11"/>
    <x v="13"/>
    <x v="19"/>
    <x v="26"/>
    <x v="6"/>
    <x v="31"/>
    <x v="40"/>
    <x v="46"/>
    <x v="45"/>
    <x v="50"/>
    <x v="60"/>
    <x v="56"/>
  </r>
  <r>
    <x v="6"/>
    <x v="1"/>
    <x v="3"/>
    <x v="4"/>
    <x v="4"/>
    <x v="11"/>
    <x v="1"/>
    <x v="1"/>
    <x v="2"/>
    <x v="236"/>
    <x v="2"/>
    <x v="1"/>
    <x v="2"/>
    <x v="5"/>
    <x v="280"/>
    <x v="2"/>
    <x v="1"/>
  </r>
  <r>
    <x v="6"/>
    <x v="1"/>
    <x v="3"/>
    <x v="4"/>
    <x v="5"/>
    <x v="11"/>
    <x v="13"/>
    <x v="19"/>
    <x v="26"/>
    <x v="6"/>
    <x v="31"/>
    <x v="40"/>
    <x v="2"/>
    <x v="5"/>
    <x v="3"/>
    <x v="2"/>
    <x v="1"/>
  </r>
  <r>
    <x v="6"/>
    <x v="1"/>
    <x v="3"/>
    <x v="4"/>
    <x v="6"/>
    <x v="11"/>
    <x v="13"/>
    <x v="1"/>
    <x v="2"/>
    <x v="0"/>
    <x v="2"/>
    <x v="1"/>
    <x v="2"/>
    <x v="5"/>
    <x v="3"/>
    <x v="2"/>
    <x v="1"/>
  </r>
  <r>
    <x v="6"/>
    <x v="1"/>
    <x v="3"/>
    <x v="4"/>
    <x v="7"/>
    <x v="11"/>
    <x v="13"/>
    <x v="19"/>
    <x v="2"/>
    <x v="0"/>
    <x v="2"/>
    <x v="1"/>
    <x v="2"/>
    <x v="22"/>
    <x v="3"/>
    <x v="2"/>
    <x v="50"/>
  </r>
  <r>
    <x v="6"/>
    <x v="1"/>
    <x v="3"/>
    <x v="2"/>
    <x v="8"/>
    <x v="11"/>
    <x v="1"/>
    <x v="16"/>
    <x v="3"/>
    <x v="1"/>
    <x v="243"/>
    <x v="2"/>
    <x v="299"/>
    <x v="2"/>
    <x v="277"/>
    <x v="4"/>
    <x v="2"/>
  </r>
  <r>
    <x v="6"/>
    <x v="1"/>
    <x v="3"/>
    <x v="2"/>
    <x v="9"/>
    <x v="3"/>
    <x v="1"/>
    <x v="3"/>
    <x v="6"/>
    <x v="1"/>
    <x v="3"/>
    <x v="2"/>
    <x v="9"/>
    <x v="2"/>
    <x v="131"/>
    <x v="4"/>
    <x v="2"/>
  </r>
  <r>
    <x v="6"/>
    <x v="1"/>
    <x v="3"/>
    <x v="2"/>
    <x v="10"/>
    <x v="11"/>
    <x v="13"/>
    <x v="3"/>
    <x v="3"/>
    <x v="132"/>
    <x v="3"/>
    <x v="7"/>
    <x v="3"/>
    <x v="2"/>
    <x v="1"/>
    <x v="4"/>
    <x v="2"/>
  </r>
  <r>
    <x v="6"/>
    <x v="1"/>
    <x v="3"/>
    <x v="2"/>
    <x v="11"/>
    <x v="11"/>
    <x v="1"/>
    <x v="1"/>
    <x v="3"/>
    <x v="1"/>
    <x v="3"/>
    <x v="2"/>
    <x v="3"/>
    <x v="2"/>
    <x v="1"/>
    <x v="4"/>
    <x v="2"/>
  </r>
  <r>
    <x v="6"/>
    <x v="1"/>
    <x v="3"/>
    <x v="2"/>
    <x v="12"/>
    <x v="11"/>
    <x v="13"/>
    <x v="19"/>
    <x v="26"/>
    <x v="6"/>
    <x v="31"/>
    <x v="40"/>
    <x v="46"/>
    <x v="45"/>
    <x v="50"/>
    <x v="60"/>
    <x v="56"/>
  </r>
  <r>
    <x v="6"/>
    <x v="1"/>
    <x v="3"/>
    <x v="0"/>
    <x v="34"/>
    <x v="3"/>
    <x v="0"/>
    <x v="1"/>
    <x v="2"/>
    <x v="312"/>
    <x v="2"/>
    <x v="1"/>
    <x v="2"/>
    <x v="344"/>
    <x v="52"/>
    <x v="465"/>
    <x v="199"/>
  </r>
  <r>
    <x v="6"/>
    <x v="1"/>
    <x v="3"/>
    <x v="3"/>
    <x v="1"/>
    <x v="3"/>
    <x v="0"/>
    <x v="1"/>
    <x v="2"/>
    <x v="233"/>
    <x v="2"/>
    <x v="1"/>
    <x v="2"/>
    <x v="344"/>
    <x v="3"/>
    <x v="2"/>
    <x v="1"/>
  </r>
  <r>
    <x v="6"/>
    <x v="1"/>
    <x v="3"/>
    <x v="3"/>
    <x v="2"/>
    <x v="11"/>
    <x v="0"/>
    <x v="1"/>
    <x v="2"/>
    <x v="0"/>
    <x v="2"/>
    <x v="1"/>
    <x v="2"/>
    <x v="344"/>
    <x v="278"/>
    <x v="358"/>
    <x v="353"/>
  </r>
  <r>
    <x v="6"/>
    <x v="1"/>
    <x v="3"/>
    <x v="3"/>
    <x v="3"/>
    <x v="11"/>
    <x v="13"/>
    <x v="19"/>
    <x v="26"/>
    <x v="6"/>
    <x v="31"/>
    <x v="40"/>
    <x v="46"/>
    <x v="45"/>
    <x v="50"/>
    <x v="60"/>
    <x v="56"/>
  </r>
  <r>
    <x v="6"/>
    <x v="1"/>
    <x v="3"/>
    <x v="0"/>
    <x v="35"/>
    <x v="3"/>
    <x v="8"/>
    <x v="1"/>
    <x v="2"/>
    <x v="237"/>
    <x v="2"/>
    <x v="1"/>
    <x v="2"/>
    <x v="460"/>
    <x v="278"/>
    <x v="357"/>
    <x v="468"/>
  </r>
  <r>
    <x v="6"/>
    <x v="1"/>
    <x v="3"/>
    <x v="4"/>
    <x v="4"/>
    <x v="11"/>
    <x v="1"/>
    <x v="1"/>
    <x v="2"/>
    <x v="236"/>
    <x v="2"/>
    <x v="1"/>
    <x v="2"/>
    <x v="46"/>
    <x v="461"/>
    <x v="2"/>
    <x v="1"/>
  </r>
  <r>
    <x v="6"/>
    <x v="1"/>
    <x v="3"/>
    <x v="4"/>
    <x v="5"/>
    <x v="11"/>
    <x v="13"/>
    <x v="1"/>
    <x v="2"/>
    <x v="0"/>
    <x v="2"/>
    <x v="1"/>
    <x v="2"/>
    <x v="345"/>
    <x v="280"/>
    <x v="166"/>
    <x v="467"/>
  </r>
  <r>
    <x v="6"/>
    <x v="1"/>
    <x v="3"/>
    <x v="4"/>
    <x v="6"/>
    <x v="11"/>
    <x v="13"/>
    <x v="1"/>
    <x v="2"/>
    <x v="0"/>
    <x v="2"/>
    <x v="1"/>
    <x v="2"/>
    <x v="5"/>
    <x v="3"/>
    <x v="2"/>
    <x v="1"/>
  </r>
  <r>
    <x v="6"/>
    <x v="1"/>
    <x v="3"/>
    <x v="4"/>
    <x v="7"/>
    <x v="3"/>
    <x v="0"/>
    <x v="1"/>
    <x v="2"/>
    <x v="0"/>
    <x v="2"/>
    <x v="1"/>
    <x v="2"/>
    <x v="43"/>
    <x v="3"/>
    <x v="2"/>
    <x v="62"/>
  </r>
  <r>
    <x v="6"/>
    <x v="1"/>
    <x v="4"/>
    <x v="0"/>
    <x v="15"/>
    <x v="110"/>
    <x v="153"/>
    <x v="178"/>
    <x v="267"/>
    <x v="313"/>
    <x v="330"/>
    <x v="349"/>
    <x v="415"/>
    <x v="2"/>
    <x v="462"/>
    <x v="466"/>
    <x v="2"/>
  </r>
  <r>
    <x v="6"/>
    <x v="1"/>
    <x v="4"/>
    <x v="1"/>
    <x v="1"/>
    <x v="110"/>
    <x v="1"/>
    <x v="3"/>
    <x v="3"/>
    <x v="314"/>
    <x v="3"/>
    <x v="2"/>
    <x v="3"/>
    <x v="2"/>
    <x v="463"/>
    <x v="4"/>
    <x v="2"/>
  </r>
  <r>
    <x v="6"/>
    <x v="1"/>
    <x v="4"/>
    <x v="1"/>
    <x v="2"/>
    <x v="1"/>
    <x v="153"/>
    <x v="179"/>
    <x v="3"/>
    <x v="1"/>
    <x v="3"/>
    <x v="349"/>
    <x v="416"/>
    <x v="2"/>
    <x v="1"/>
    <x v="4"/>
    <x v="2"/>
  </r>
  <r>
    <x v="6"/>
    <x v="1"/>
    <x v="4"/>
    <x v="1"/>
    <x v="3"/>
    <x v="1"/>
    <x v="1"/>
    <x v="3"/>
    <x v="3"/>
    <x v="1"/>
    <x v="3"/>
    <x v="2"/>
    <x v="3"/>
    <x v="2"/>
    <x v="1"/>
    <x v="4"/>
    <x v="2"/>
  </r>
  <r>
    <x v="6"/>
    <x v="1"/>
    <x v="4"/>
    <x v="1"/>
    <x v="4"/>
    <x v="1"/>
    <x v="1"/>
    <x v="180"/>
    <x v="3"/>
    <x v="315"/>
    <x v="330"/>
    <x v="2"/>
    <x v="3"/>
    <x v="2"/>
    <x v="1"/>
    <x v="466"/>
    <x v="2"/>
  </r>
  <r>
    <x v="6"/>
    <x v="1"/>
    <x v="4"/>
    <x v="1"/>
    <x v="5"/>
    <x v="1"/>
    <x v="1"/>
    <x v="3"/>
    <x v="3"/>
    <x v="1"/>
    <x v="3"/>
    <x v="2"/>
    <x v="417"/>
    <x v="2"/>
    <x v="1"/>
    <x v="4"/>
    <x v="2"/>
  </r>
  <r>
    <x v="6"/>
    <x v="1"/>
    <x v="4"/>
    <x v="1"/>
    <x v="6"/>
    <x v="1"/>
    <x v="1"/>
    <x v="181"/>
    <x v="3"/>
    <x v="1"/>
    <x v="3"/>
    <x v="2"/>
    <x v="3"/>
    <x v="2"/>
    <x v="1"/>
    <x v="4"/>
    <x v="2"/>
  </r>
  <r>
    <x v="6"/>
    <x v="1"/>
    <x v="4"/>
    <x v="1"/>
    <x v="7"/>
    <x v="1"/>
    <x v="1"/>
    <x v="3"/>
    <x v="267"/>
    <x v="1"/>
    <x v="3"/>
    <x v="2"/>
    <x v="3"/>
    <x v="2"/>
    <x v="464"/>
    <x v="4"/>
    <x v="2"/>
  </r>
  <r>
    <x v="6"/>
    <x v="1"/>
    <x v="4"/>
    <x v="2"/>
    <x v="8"/>
    <x v="1"/>
    <x v="153"/>
    <x v="182"/>
    <x v="3"/>
    <x v="315"/>
    <x v="330"/>
    <x v="2"/>
    <x v="418"/>
    <x v="2"/>
    <x v="465"/>
    <x v="466"/>
    <x v="2"/>
  </r>
  <r>
    <x v="6"/>
    <x v="1"/>
    <x v="4"/>
    <x v="2"/>
    <x v="9"/>
    <x v="110"/>
    <x v="1"/>
    <x v="3"/>
    <x v="267"/>
    <x v="1"/>
    <x v="3"/>
    <x v="2"/>
    <x v="419"/>
    <x v="2"/>
    <x v="466"/>
    <x v="4"/>
    <x v="2"/>
  </r>
  <r>
    <x v="6"/>
    <x v="1"/>
    <x v="4"/>
    <x v="2"/>
    <x v="10"/>
    <x v="1"/>
    <x v="1"/>
    <x v="179"/>
    <x v="3"/>
    <x v="314"/>
    <x v="3"/>
    <x v="349"/>
    <x v="3"/>
    <x v="2"/>
    <x v="1"/>
    <x v="4"/>
    <x v="2"/>
  </r>
  <r>
    <x v="6"/>
    <x v="1"/>
    <x v="4"/>
    <x v="2"/>
    <x v="11"/>
    <x v="1"/>
    <x v="1"/>
    <x v="183"/>
    <x v="3"/>
    <x v="1"/>
    <x v="3"/>
    <x v="2"/>
    <x v="3"/>
    <x v="2"/>
    <x v="1"/>
    <x v="4"/>
    <x v="2"/>
  </r>
  <r>
    <x v="6"/>
    <x v="1"/>
    <x v="4"/>
    <x v="2"/>
    <x v="12"/>
    <x v="1"/>
    <x v="1"/>
    <x v="3"/>
    <x v="3"/>
    <x v="1"/>
    <x v="3"/>
    <x v="2"/>
    <x v="3"/>
    <x v="2"/>
    <x v="1"/>
    <x v="4"/>
    <x v="2"/>
  </r>
  <r>
    <x v="6"/>
    <x v="1"/>
    <x v="5"/>
    <x v="0"/>
    <x v="15"/>
    <x v="111"/>
    <x v="153"/>
    <x v="184"/>
    <x v="268"/>
    <x v="316"/>
    <x v="331"/>
    <x v="350"/>
    <x v="420"/>
    <x v="2"/>
    <x v="467"/>
    <x v="467"/>
    <x v="2"/>
  </r>
  <r>
    <x v="6"/>
    <x v="1"/>
    <x v="5"/>
    <x v="2"/>
    <x v="8"/>
    <x v="1"/>
    <x v="153"/>
    <x v="185"/>
    <x v="3"/>
    <x v="315"/>
    <x v="331"/>
    <x v="2"/>
    <x v="421"/>
    <x v="2"/>
    <x v="468"/>
    <x v="467"/>
    <x v="2"/>
  </r>
  <r>
    <x v="6"/>
    <x v="1"/>
    <x v="5"/>
    <x v="2"/>
    <x v="9"/>
    <x v="111"/>
    <x v="1"/>
    <x v="3"/>
    <x v="268"/>
    <x v="1"/>
    <x v="3"/>
    <x v="2"/>
    <x v="422"/>
    <x v="2"/>
    <x v="469"/>
    <x v="4"/>
    <x v="2"/>
  </r>
  <r>
    <x v="6"/>
    <x v="1"/>
    <x v="5"/>
    <x v="2"/>
    <x v="10"/>
    <x v="1"/>
    <x v="1"/>
    <x v="179"/>
    <x v="3"/>
    <x v="317"/>
    <x v="3"/>
    <x v="350"/>
    <x v="3"/>
    <x v="2"/>
    <x v="1"/>
    <x v="4"/>
    <x v="2"/>
  </r>
  <r>
    <x v="6"/>
    <x v="1"/>
    <x v="5"/>
    <x v="2"/>
    <x v="11"/>
    <x v="1"/>
    <x v="1"/>
    <x v="186"/>
    <x v="3"/>
    <x v="1"/>
    <x v="3"/>
    <x v="2"/>
    <x v="3"/>
    <x v="2"/>
    <x v="1"/>
    <x v="4"/>
    <x v="2"/>
  </r>
  <r>
    <x v="6"/>
    <x v="1"/>
    <x v="5"/>
    <x v="2"/>
    <x v="12"/>
    <x v="1"/>
    <x v="1"/>
    <x v="3"/>
    <x v="3"/>
    <x v="1"/>
    <x v="3"/>
    <x v="2"/>
    <x v="3"/>
    <x v="2"/>
    <x v="1"/>
    <x v="4"/>
    <x v="2"/>
  </r>
  <r>
    <x v="6"/>
    <x v="1"/>
    <x v="6"/>
    <x v="0"/>
    <x v="15"/>
    <x v="111"/>
    <x v="154"/>
    <x v="187"/>
    <x v="269"/>
    <x v="318"/>
    <x v="332"/>
    <x v="351"/>
    <x v="423"/>
    <x v="461"/>
    <x v="470"/>
    <x v="468"/>
    <x v="469"/>
  </r>
  <r>
    <x v="6"/>
    <x v="1"/>
    <x v="7"/>
    <x v="0"/>
    <x v="15"/>
    <x v="110"/>
    <x v="153"/>
    <x v="178"/>
    <x v="267"/>
    <x v="313"/>
    <x v="330"/>
    <x v="349"/>
    <x v="415"/>
    <x v="2"/>
    <x v="462"/>
    <x v="466"/>
    <x v="2"/>
  </r>
  <r>
    <x v="6"/>
    <x v="1"/>
    <x v="7"/>
    <x v="1"/>
    <x v="1"/>
    <x v="110"/>
    <x v="1"/>
    <x v="3"/>
    <x v="3"/>
    <x v="314"/>
    <x v="3"/>
    <x v="2"/>
    <x v="3"/>
    <x v="2"/>
    <x v="463"/>
    <x v="4"/>
    <x v="2"/>
  </r>
  <r>
    <x v="6"/>
    <x v="1"/>
    <x v="7"/>
    <x v="1"/>
    <x v="2"/>
    <x v="1"/>
    <x v="153"/>
    <x v="179"/>
    <x v="3"/>
    <x v="1"/>
    <x v="3"/>
    <x v="349"/>
    <x v="416"/>
    <x v="2"/>
    <x v="1"/>
    <x v="4"/>
    <x v="2"/>
  </r>
  <r>
    <x v="6"/>
    <x v="1"/>
    <x v="7"/>
    <x v="1"/>
    <x v="3"/>
    <x v="1"/>
    <x v="1"/>
    <x v="3"/>
    <x v="3"/>
    <x v="1"/>
    <x v="3"/>
    <x v="2"/>
    <x v="3"/>
    <x v="2"/>
    <x v="1"/>
    <x v="4"/>
    <x v="2"/>
  </r>
  <r>
    <x v="6"/>
    <x v="1"/>
    <x v="7"/>
    <x v="1"/>
    <x v="4"/>
    <x v="1"/>
    <x v="1"/>
    <x v="180"/>
    <x v="3"/>
    <x v="315"/>
    <x v="330"/>
    <x v="2"/>
    <x v="3"/>
    <x v="2"/>
    <x v="1"/>
    <x v="466"/>
    <x v="2"/>
  </r>
  <r>
    <x v="6"/>
    <x v="1"/>
    <x v="7"/>
    <x v="1"/>
    <x v="5"/>
    <x v="1"/>
    <x v="1"/>
    <x v="3"/>
    <x v="3"/>
    <x v="1"/>
    <x v="3"/>
    <x v="2"/>
    <x v="417"/>
    <x v="2"/>
    <x v="1"/>
    <x v="4"/>
    <x v="2"/>
  </r>
  <r>
    <x v="6"/>
    <x v="1"/>
    <x v="7"/>
    <x v="1"/>
    <x v="6"/>
    <x v="1"/>
    <x v="1"/>
    <x v="181"/>
    <x v="3"/>
    <x v="1"/>
    <x v="3"/>
    <x v="2"/>
    <x v="3"/>
    <x v="2"/>
    <x v="1"/>
    <x v="4"/>
    <x v="2"/>
  </r>
  <r>
    <x v="6"/>
    <x v="1"/>
    <x v="7"/>
    <x v="1"/>
    <x v="7"/>
    <x v="1"/>
    <x v="1"/>
    <x v="3"/>
    <x v="267"/>
    <x v="1"/>
    <x v="3"/>
    <x v="2"/>
    <x v="3"/>
    <x v="2"/>
    <x v="464"/>
    <x v="4"/>
    <x v="2"/>
  </r>
  <r>
    <x v="6"/>
    <x v="1"/>
    <x v="7"/>
    <x v="2"/>
    <x v="8"/>
    <x v="1"/>
    <x v="153"/>
    <x v="182"/>
    <x v="3"/>
    <x v="315"/>
    <x v="330"/>
    <x v="2"/>
    <x v="418"/>
    <x v="2"/>
    <x v="465"/>
    <x v="466"/>
    <x v="2"/>
  </r>
  <r>
    <x v="6"/>
    <x v="1"/>
    <x v="7"/>
    <x v="2"/>
    <x v="9"/>
    <x v="110"/>
    <x v="1"/>
    <x v="3"/>
    <x v="267"/>
    <x v="1"/>
    <x v="3"/>
    <x v="2"/>
    <x v="419"/>
    <x v="2"/>
    <x v="466"/>
    <x v="4"/>
    <x v="2"/>
  </r>
  <r>
    <x v="6"/>
    <x v="1"/>
    <x v="7"/>
    <x v="2"/>
    <x v="10"/>
    <x v="1"/>
    <x v="1"/>
    <x v="179"/>
    <x v="3"/>
    <x v="314"/>
    <x v="3"/>
    <x v="349"/>
    <x v="3"/>
    <x v="2"/>
    <x v="1"/>
    <x v="4"/>
    <x v="2"/>
  </r>
  <r>
    <x v="6"/>
    <x v="1"/>
    <x v="7"/>
    <x v="2"/>
    <x v="11"/>
    <x v="1"/>
    <x v="1"/>
    <x v="183"/>
    <x v="3"/>
    <x v="1"/>
    <x v="3"/>
    <x v="2"/>
    <x v="3"/>
    <x v="2"/>
    <x v="1"/>
    <x v="4"/>
    <x v="2"/>
  </r>
  <r>
    <x v="6"/>
    <x v="1"/>
    <x v="7"/>
    <x v="2"/>
    <x v="12"/>
    <x v="1"/>
    <x v="1"/>
    <x v="3"/>
    <x v="3"/>
    <x v="1"/>
    <x v="3"/>
    <x v="2"/>
    <x v="3"/>
    <x v="2"/>
    <x v="1"/>
    <x v="4"/>
    <x v="2"/>
  </r>
  <r>
    <x v="6"/>
    <x v="1"/>
    <x v="4"/>
    <x v="0"/>
    <x v="36"/>
    <x v="112"/>
    <x v="1"/>
    <x v="188"/>
    <x v="270"/>
    <x v="319"/>
    <x v="333"/>
    <x v="352"/>
    <x v="424"/>
    <x v="2"/>
    <x v="471"/>
    <x v="4"/>
    <x v="2"/>
  </r>
  <r>
    <x v="6"/>
    <x v="1"/>
    <x v="4"/>
    <x v="0"/>
    <x v="37"/>
    <x v="1"/>
    <x v="1"/>
    <x v="3"/>
    <x v="3"/>
    <x v="1"/>
    <x v="3"/>
    <x v="2"/>
    <x v="3"/>
    <x v="2"/>
    <x v="1"/>
    <x v="469"/>
    <x v="2"/>
  </r>
  <r>
    <x v="6"/>
    <x v="1"/>
    <x v="4"/>
    <x v="0"/>
    <x v="38"/>
    <x v="1"/>
    <x v="1"/>
    <x v="3"/>
    <x v="3"/>
    <x v="1"/>
    <x v="3"/>
    <x v="2"/>
    <x v="3"/>
    <x v="2"/>
    <x v="1"/>
    <x v="4"/>
    <x v="2"/>
  </r>
  <r>
    <x v="6"/>
    <x v="1"/>
    <x v="4"/>
    <x v="5"/>
    <x v="8"/>
    <x v="1"/>
    <x v="1"/>
    <x v="189"/>
    <x v="3"/>
    <x v="1"/>
    <x v="333"/>
    <x v="2"/>
    <x v="425"/>
    <x v="2"/>
    <x v="472"/>
    <x v="4"/>
    <x v="2"/>
  </r>
  <r>
    <x v="6"/>
    <x v="1"/>
    <x v="4"/>
    <x v="5"/>
    <x v="9"/>
    <x v="112"/>
    <x v="1"/>
    <x v="3"/>
    <x v="270"/>
    <x v="1"/>
    <x v="3"/>
    <x v="2"/>
    <x v="426"/>
    <x v="2"/>
    <x v="473"/>
    <x v="4"/>
    <x v="2"/>
  </r>
  <r>
    <x v="6"/>
    <x v="1"/>
    <x v="4"/>
    <x v="5"/>
    <x v="10"/>
    <x v="1"/>
    <x v="1"/>
    <x v="3"/>
    <x v="3"/>
    <x v="319"/>
    <x v="3"/>
    <x v="352"/>
    <x v="3"/>
    <x v="2"/>
    <x v="1"/>
    <x v="4"/>
    <x v="2"/>
  </r>
  <r>
    <x v="6"/>
    <x v="1"/>
    <x v="4"/>
    <x v="5"/>
    <x v="11"/>
    <x v="1"/>
    <x v="1"/>
    <x v="190"/>
    <x v="3"/>
    <x v="1"/>
    <x v="3"/>
    <x v="2"/>
    <x v="3"/>
    <x v="2"/>
    <x v="1"/>
    <x v="4"/>
    <x v="2"/>
  </r>
  <r>
    <x v="6"/>
    <x v="1"/>
    <x v="4"/>
    <x v="5"/>
    <x v="12"/>
    <x v="1"/>
    <x v="1"/>
    <x v="3"/>
    <x v="3"/>
    <x v="1"/>
    <x v="3"/>
    <x v="2"/>
    <x v="3"/>
    <x v="2"/>
    <x v="1"/>
    <x v="4"/>
    <x v="2"/>
  </r>
  <r>
    <x v="6"/>
    <x v="1"/>
    <x v="4"/>
    <x v="6"/>
    <x v="8"/>
    <x v="1"/>
    <x v="1"/>
    <x v="3"/>
    <x v="3"/>
    <x v="1"/>
    <x v="3"/>
    <x v="2"/>
    <x v="3"/>
    <x v="2"/>
    <x v="1"/>
    <x v="469"/>
    <x v="2"/>
  </r>
  <r>
    <x v="6"/>
    <x v="1"/>
    <x v="4"/>
    <x v="6"/>
    <x v="9"/>
    <x v="1"/>
    <x v="1"/>
    <x v="3"/>
    <x v="3"/>
    <x v="1"/>
    <x v="3"/>
    <x v="2"/>
    <x v="3"/>
    <x v="2"/>
    <x v="1"/>
    <x v="4"/>
    <x v="2"/>
  </r>
  <r>
    <x v="6"/>
    <x v="1"/>
    <x v="4"/>
    <x v="6"/>
    <x v="10"/>
    <x v="1"/>
    <x v="1"/>
    <x v="3"/>
    <x v="3"/>
    <x v="1"/>
    <x v="3"/>
    <x v="2"/>
    <x v="3"/>
    <x v="2"/>
    <x v="1"/>
    <x v="4"/>
    <x v="2"/>
  </r>
  <r>
    <x v="6"/>
    <x v="1"/>
    <x v="4"/>
    <x v="6"/>
    <x v="11"/>
    <x v="1"/>
    <x v="1"/>
    <x v="3"/>
    <x v="3"/>
    <x v="1"/>
    <x v="3"/>
    <x v="2"/>
    <x v="3"/>
    <x v="2"/>
    <x v="1"/>
    <x v="4"/>
    <x v="2"/>
  </r>
  <r>
    <x v="6"/>
    <x v="1"/>
    <x v="4"/>
    <x v="6"/>
    <x v="12"/>
    <x v="1"/>
    <x v="1"/>
    <x v="3"/>
    <x v="3"/>
    <x v="1"/>
    <x v="3"/>
    <x v="2"/>
    <x v="3"/>
    <x v="2"/>
    <x v="1"/>
    <x v="4"/>
    <x v="2"/>
  </r>
  <r>
    <x v="6"/>
    <x v="1"/>
    <x v="4"/>
    <x v="0"/>
    <x v="39"/>
    <x v="111"/>
    <x v="1"/>
    <x v="191"/>
    <x v="268"/>
    <x v="317"/>
    <x v="331"/>
    <x v="350"/>
    <x v="420"/>
    <x v="2"/>
    <x v="467"/>
    <x v="4"/>
    <x v="2"/>
  </r>
  <r>
    <x v="6"/>
    <x v="1"/>
    <x v="4"/>
    <x v="0"/>
    <x v="40"/>
    <x v="1"/>
    <x v="1"/>
    <x v="3"/>
    <x v="3"/>
    <x v="1"/>
    <x v="3"/>
    <x v="2"/>
    <x v="3"/>
    <x v="2"/>
    <x v="1"/>
    <x v="467"/>
    <x v="2"/>
  </r>
  <r>
    <x v="6"/>
    <x v="1"/>
    <x v="4"/>
    <x v="0"/>
    <x v="41"/>
    <x v="1"/>
    <x v="153"/>
    <x v="192"/>
    <x v="3"/>
    <x v="315"/>
    <x v="3"/>
    <x v="2"/>
    <x v="3"/>
    <x v="2"/>
    <x v="1"/>
    <x v="4"/>
    <x v="2"/>
  </r>
  <r>
    <x v="6"/>
    <x v="1"/>
    <x v="8"/>
    <x v="0"/>
    <x v="39"/>
    <x v="111"/>
    <x v="155"/>
    <x v="193"/>
    <x v="271"/>
    <x v="320"/>
    <x v="334"/>
    <x v="353"/>
    <x v="427"/>
    <x v="462"/>
    <x v="474"/>
    <x v="470"/>
    <x v="470"/>
  </r>
  <r>
    <x v="6"/>
    <x v="1"/>
    <x v="8"/>
    <x v="0"/>
    <x v="40"/>
    <x v="1"/>
    <x v="1"/>
    <x v="3"/>
    <x v="3"/>
    <x v="1"/>
    <x v="3"/>
    <x v="2"/>
    <x v="3"/>
    <x v="2"/>
    <x v="1"/>
    <x v="467"/>
    <x v="471"/>
  </r>
  <r>
    <x v="6"/>
    <x v="1"/>
    <x v="8"/>
    <x v="0"/>
    <x v="41"/>
    <x v="1"/>
    <x v="153"/>
    <x v="194"/>
    <x v="272"/>
    <x v="321"/>
    <x v="335"/>
    <x v="354"/>
    <x v="428"/>
    <x v="463"/>
    <x v="475"/>
    <x v="471"/>
    <x v="472"/>
  </r>
  <r>
    <x v="6"/>
    <x v="1"/>
    <x v="8"/>
    <x v="0"/>
    <x v="27"/>
    <x v="110"/>
    <x v="156"/>
    <x v="195"/>
    <x v="273"/>
    <x v="322"/>
    <x v="336"/>
    <x v="355"/>
    <x v="429"/>
    <x v="464"/>
    <x v="476"/>
    <x v="472"/>
    <x v="473"/>
  </r>
  <r>
    <x v="6"/>
    <x v="1"/>
    <x v="8"/>
    <x v="1"/>
    <x v="1"/>
    <x v="110"/>
    <x v="157"/>
    <x v="196"/>
    <x v="274"/>
    <x v="323"/>
    <x v="337"/>
    <x v="356"/>
    <x v="430"/>
    <x v="465"/>
    <x v="477"/>
    <x v="473"/>
    <x v="474"/>
  </r>
  <r>
    <x v="6"/>
    <x v="1"/>
    <x v="8"/>
    <x v="1"/>
    <x v="2"/>
    <x v="1"/>
    <x v="153"/>
    <x v="197"/>
    <x v="275"/>
    <x v="324"/>
    <x v="338"/>
    <x v="357"/>
    <x v="431"/>
    <x v="466"/>
    <x v="478"/>
    <x v="474"/>
    <x v="475"/>
  </r>
  <r>
    <x v="6"/>
    <x v="1"/>
    <x v="8"/>
    <x v="1"/>
    <x v="3"/>
    <x v="1"/>
    <x v="1"/>
    <x v="3"/>
    <x v="3"/>
    <x v="1"/>
    <x v="3"/>
    <x v="2"/>
    <x v="3"/>
    <x v="2"/>
    <x v="1"/>
    <x v="4"/>
    <x v="2"/>
  </r>
  <r>
    <x v="6"/>
    <x v="1"/>
    <x v="8"/>
    <x v="1"/>
    <x v="4"/>
    <x v="1"/>
    <x v="1"/>
    <x v="180"/>
    <x v="276"/>
    <x v="325"/>
    <x v="339"/>
    <x v="358"/>
    <x v="432"/>
    <x v="467"/>
    <x v="479"/>
    <x v="475"/>
    <x v="476"/>
  </r>
  <r>
    <x v="6"/>
    <x v="1"/>
    <x v="8"/>
    <x v="1"/>
    <x v="5"/>
    <x v="1"/>
    <x v="1"/>
    <x v="3"/>
    <x v="3"/>
    <x v="1"/>
    <x v="3"/>
    <x v="2"/>
    <x v="417"/>
    <x v="468"/>
    <x v="480"/>
    <x v="476"/>
    <x v="477"/>
  </r>
  <r>
    <x v="6"/>
    <x v="1"/>
    <x v="8"/>
    <x v="1"/>
    <x v="6"/>
    <x v="1"/>
    <x v="1"/>
    <x v="181"/>
    <x v="277"/>
    <x v="326"/>
    <x v="340"/>
    <x v="359"/>
    <x v="433"/>
    <x v="469"/>
    <x v="481"/>
    <x v="477"/>
    <x v="478"/>
  </r>
  <r>
    <x v="6"/>
    <x v="1"/>
    <x v="8"/>
    <x v="1"/>
    <x v="7"/>
    <x v="1"/>
    <x v="1"/>
    <x v="3"/>
    <x v="267"/>
    <x v="327"/>
    <x v="341"/>
    <x v="360"/>
    <x v="434"/>
    <x v="470"/>
    <x v="482"/>
    <x v="478"/>
    <x v="479"/>
  </r>
  <r>
    <x v="6"/>
    <x v="1"/>
    <x v="8"/>
    <x v="11"/>
    <x v="1"/>
    <x v="3"/>
    <x v="158"/>
    <x v="198"/>
    <x v="278"/>
    <x v="328"/>
    <x v="342"/>
    <x v="361"/>
    <x v="435"/>
    <x v="471"/>
    <x v="483"/>
    <x v="479"/>
    <x v="480"/>
  </r>
  <r>
    <x v="6"/>
    <x v="1"/>
    <x v="8"/>
    <x v="11"/>
    <x v="2"/>
    <x v="1"/>
    <x v="159"/>
    <x v="199"/>
    <x v="279"/>
    <x v="329"/>
    <x v="343"/>
    <x v="362"/>
    <x v="436"/>
    <x v="472"/>
    <x v="484"/>
    <x v="480"/>
    <x v="481"/>
  </r>
  <r>
    <x v="6"/>
    <x v="1"/>
    <x v="8"/>
    <x v="11"/>
    <x v="3"/>
    <x v="1"/>
    <x v="1"/>
    <x v="3"/>
    <x v="3"/>
    <x v="1"/>
    <x v="3"/>
    <x v="2"/>
    <x v="3"/>
    <x v="2"/>
    <x v="1"/>
    <x v="4"/>
    <x v="2"/>
  </r>
  <r>
    <x v="6"/>
    <x v="1"/>
    <x v="8"/>
    <x v="11"/>
    <x v="4"/>
    <x v="1"/>
    <x v="1"/>
    <x v="200"/>
    <x v="280"/>
    <x v="330"/>
    <x v="344"/>
    <x v="363"/>
    <x v="437"/>
    <x v="473"/>
    <x v="485"/>
    <x v="481"/>
    <x v="482"/>
  </r>
  <r>
    <x v="6"/>
    <x v="1"/>
    <x v="8"/>
    <x v="11"/>
    <x v="5"/>
    <x v="1"/>
    <x v="1"/>
    <x v="3"/>
    <x v="3"/>
    <x v="1"/>
    <x v="3"/>
    <x v="2"/>
    <x v="438"/>
    <x v="474"/>
    <x v="486"/>
    <x v="482"/>
    <x v="483"/>
  </r>
  <r>
    <x v="6"/>
    <x v="1"/>
    <x v="8"/>
    <x v="11"/>
    <x v="6"/>
    <x v="1"/>
    <x v="1"/>
    <x v="201"/>
    <x v="281"/>
    <x v="331"/>
    <x v="345"/>
    <x v="364"/>
    <x v="439"/>
    <x v="475"/>
    <x v="487"/>
    <x v="483"/>
    <x v="484"/>
  </r>
  <r>
    <x v="6"/>
    <x v="1"/>
    <x v="8"/>
    <x v="11"/>
    <x v="7"/>
    <x v="1"/>
    <x v="1"/>
    <x v="3"/>
    <x v="282"/>
    <x v="332"/>
    <x v="346"/>
    <x v="365"/>
    <x v="440"/>
    <x v="476"/>
    <x v="488"/>
    <x v="484"/>
    <x v="485"/>
  </r>
  <r>
    <x v="6"/>
    <x v="1"/>
    <x v="8"/>
    <x v="2"/>
    <x v="8"/>
    <x v="1"/>
    <x v="153"/>
    <x v="202"/>
    <x v="283"/>
    <x v="333"/>
    <x v="347"/>
    <x v="366"/>
    <x v="441"/>
    <x v="477"/>
    <x v="489"/>
    <x v="485"/>
    <x v="486"/>
  </r>
  <r>
    <x v="6"/>
    <x v="1"/>
    <x v="8"/>
    <x v="2"/>
    <x v="9"/>
    <x v="110"/>
    <x v="157"/>
    <x v="196"/>
    <x v="284"/>
    <x v="334"/>
    <x v="348"/>
    <x v="367"/>
    <x v="442"/>
    <x v="478"/>
    <x v="490"/>
    <x v="486"/>
    <x v="487"/>
  </r>
  <r>
    <x v="6"/>
    <x v="1"/>
    <x v="8"/>
    <x v="2"/>
    <x v="10"/>
    <x v="1"/>
    <x v="1"/>
    <x v="179"/>
    <x v="285"/>
    <x v="335"/>
    <x v="349"/>
    <x v="368"/>
    <x v="443"/>
    <x v="479"/>
    <x v="491"/>
    <x v="487"/>
    <x v="488"/>
  </r>
  <r>
    <x v="6"/>
    <x v="1"/>
    <x v="8"/>
    <x v="2"/>
    <x v="11"/>
    <x v="1"/>
    <x v="1"/>
    <x v="183"/>
    <x v="286"/>
    <x v="336"/>
    <x v="350"/>
    <x v="369"/>
    <x v="444"/>
    <x v="480"/>
    <x v="492"/>
    <x v="488"/>
    <x v="489"/>
  </r>
  <r>
    <x v="6"/>
    <x v="1"/>
    <x v="8"/>
    <x v="2"/>
    <x v="12"/>
    <x v="1"/>
    <x v="1"/>
    <x v="3"/>
    <x v="3"/>
    <x v="1"/>
    <x v="3"/>
    <x v="2"/>
    <x v="3"/>
    <x v="2"/>
    <x v="1"/>
    <x v="4"/>
    <x v="2"/>
  </r>
  <r>
    <x v="6"/>
    <x v="1"/>
    <x v="8"/>
    <x v="11"/>
    <x v="8"/>
    <x v="1"/>
    <x v="159"/>
    <x v="203"/>
    <x v="287"/>
    <x v="337"/>
    <x v="351"/>
    <x v="370"/>
    <x v="445"/>
    <x v="481"/>
    <x v="493"/>
    <x v="489"/>
    <x v="490"/>
  </r>
  <r>
    <x v="6"/>
    <x v="1"/>
    <x v="8"/>
    <x v="11"/>
    <x v="9"/>
    <x v="3"/>
    <x v="158"/>
    <x v="198"/>
    <x v="288"/>
    <x v="338"/>
    <x v="352"/>
    <x v="371"/>
    <x v="446"/>
    <x v="482"/>
    <x v="494"/>
    <x v="490"/>
    <x v="491"/>
  </r>
  <r>
    <x v="6"/>
    <x v="1"/>
    <x v="8"/>
    <x v="11"/>
    <x v="10"/>
    <x v="1"/>
    <x v="1"/>
    <x v="204"/>
    <x v="289"/>
    <x v="339"/>
    <x v="353"/>
    <x v="372"/>
    <x v="447"/>
    <x v="483"/>
    <x v="495"/>
    <x v="491"/>
    <x v="492"/>
  </r>
  <r>
    <x v="6"/>
    <x v="1"/>
    <x v="8"/>
    <x v="11"/>
    <x v="11"/>
    <x v="1"/>
    <x v="1"/>
    <x v="205"/>
    <x v="290"/>
    <x v="340"/>
    <x v="354"/>
    <x v="373"/>
    <x v="448"/>
    <x v="484"/>
    <x v="496"/>
    <x v="492"/>
    <x v="493"/>
  </r>
  <r>
    <x v="6"/>
    <x v="1"/>
    <x v="8"/>
    <x v="11"/>
    <x v="12"/>
    <x v="1"/>
    <x v="1"/>
    <x v="3"/>
    <x v="3"/>
    <x v="1"/>
    <x v="3"/>
    <x v="2"/>
    <x v="3"/>
    <x v="2"/>
    <x v="1"/>
    <x v="4"/>
    <x v="2"/>
  </r>
  <r>
    <x v="6"/>
    <x v="1"/>
    <x v="9"/>
    <x v="0"/>
    <x v="27"/>
    <x v="110"/>
    <x v="156"/>
    <x v="195"/>
    <x v="273"/>
    <x v="322"/>
    <x v="336"/>
    <x v="355"/>
    <x v="429"/>
    <x v="464"/>
    <x v="476"/>
    <x v="472"/>
    <x v="473"/>
  </r>
  <r>
    <x v="6"/>
    <x v="1"/>
    <x v="9"/>
    <x v="1"/>
    <x v="1"/>
    <x v="110"/>
    <x v="157"/>
    <x v="196"/>
    <x v="274"/>
    <x v="323"/>
    <x v="337"/>
    <x v="356"/>
    <x v="430"/>
    <x v="465"/>
    <x v="477"/>
    <x v="473"/>
    <x v="474"/>
  </r>
  <r>
    <x v="6"/>
    <x v="1"/>
    <x v="9"/>
    <x v="1"/>
    <x v="2"/>
    <x v="1"/>
    <x v="153"/>
    <x v="197"/>
    <x v="275"/>
    <x v="324"/>
    <x v="338"/>
    <x v="357"/>
    <x v="431"/>
    <x v="466"/>
    <x v="478"/>
    <x v="474"/>
    <x v="475"/>
  </r>
  <r>
    <x v="6"/>
    <x v="1"/>
    <x v="9"/>
    <x v="1"/>
    <x v="3"/>
    <x v="1"/>
    <x v="1"/>
    <x v="3"/>
    <x v="3"/>
    <x v="1"/>
    <x v="3"/>
    <x v="2"/>
    <x v="3"/>
    <x v="2"/>
    <x v="1"/>
    <x v="4"/>
    <x v="2"/>
  </r>
  <r>
    <x v="6"/>
    <x v="1"/>
    <x v="9"/>
    <x v="1"/>
    <x v="4"/>
    <x v="1"/>
    <x v="1"/>
    <x v="180"/>
    <x v="276"/>
    <x v="325"/>
    <x v="339"/>
    <x v="358"/>
    <x v="432"/>
    <x v="467"/>
    <x v="479"/>
    <x v="475"/>
    <x v="476"/>
  </r>
  <r>
    <x v="6"/>
    <x v="1"/>
    <x v="9"/>
    <x v="1"/>
    <x v="5"/>
    <x v="1"/>
    <x v="1"/>
    <x v="3"/>
    <x v="3"/>
    <x v="1"/>
    <x v="3"/>
    <x v="2"/>
    <x v="417"/>
    <x v="468"/>
    <x v="480"/>
    <x v="476"/>
    <x v="477"/>
  </r>
  <r>
    <x v="6"/>
    <x v="1"/>
    <x v="9"/>
    <x v="1"/>
    <x v="6"/>
    <x v="1"/>
    <x v="1"/>
    <x v="181"/>
    <x v="277"/>
    <x v="326"/>
    <x v="340"/>
    <x v="359"/>
    <x v="433"/>
    <x v="469"/>
    <x v="481"/>
    <x v="477"/>
    <x v="478"/>
  </r>
  <r>
    <x v="6"/>
    <x v="1"/>
    <x v="9"/>
    <x v="1"/>
    <x v="7"/>
    <x v="1"/>
    <x v="1"/>
    <x v="3"/>
    <x v="267"/>
    <x v="327"/>
    <x v="341"/>
    <x v="360"/>
    <x v="434"/>
    <x v="470"/>
    <x v="482"/>
    <x v="478"/>
    <x v="479"/>
  </r>
  <r>
    <x v="6"/>
    <x v="1"/>
    <x v="9"/>
    <x v="11"/>
    <x v="1"/>
    <x v="3"/>
    <x v="158"/>
    <x v="198"/>
    <x v="278"/>
    <x v="328"/>
    <x v="342"/>
    <x v="361"/>
    <x v="435"/>
    <x v="471"/>
    <x v="483"/>
    <x v="479"/>
    <x v="480"/>
  </r>
  <r>
    <x v="6"/>
    <x v="1"/>
    <x v="9"/>
    <x v="11"/>
    <x v="2"/>
    <x v="1"/>
    <x v="159"/>
    <x v="199"/>
    <x v="279"/>
    <x v="329"/>
    <x v="343"/>
    <x v="362"/>
    <x v="436"/>
    <x v="472"/>
    <x v="484"/>
    <x v="480"/>
    <x v="481"/>
  </r>
  <r>
    <x v="6"/>
    <x v="1"/>
    <x v="9"/>
    <x v="11"/>
    <x v="3"/>
    <x v="1"/>
    <x v="1"/>
    <x v="3"/>
    <x v="3"/>
    <x v="1"/>
    <x v="3"/>
    <x v="2"/>
    <x v="3"/>
    <x v="2"/>
    <x v="1"/>
    <x v="4"/>
    <x v="2"/>
  </r>
  <r>
    <x v="6"/>
    <x v="1"/>
    <x v="9"/>
    <x v="11"/>
    <x v="4"/>
    <x v="1"/>
    <x v="1"/>
    <x v="200"/>
    <x v="280"/>
    <x v="330"/>
    <x v="344"/>
    <x v="363"/>
    <x v="437"/>
    <x v="473"/>
    <x v="485"/>
    <x v="481"/>
    <x v="482"/>
  </r>
  <r>
    <x v="6"/>
    <x v="1"/>
    <x v="9"/>
    <x v="11"/>
    <x v="5"/>
    <x v="1"/>
    <x v="1"/>
    <x v="3"/>
    <x v="3"/>
    <x v="1"/>
    <x v="3"/>
    <x v="2"/>
    <x v="438"/>
    <x v="474"/>
    <x v="486"/>
    <x v="482"/>
    <x v="483"/>
  </r>
  <r>
    <x v="6"/>
    <x v="1"/>
    <x v="9"/>
    <x v="11"/>
    <x v="6"/>
    <x v="1"/>
    <x v="1"/>
    <x v="201"/>
    <x v="281"/>
    <x v="331"/>
    <x v="345"/>
    <x v="364"/>
    <x v="439"/>
    <x v="475"/>
    <x v="487"/>
    <x v="483"/>
    <x v="484"/>
  </r>
  <r>
    <x v="6"/>
    <x v="1"/>
    <x v="9"/>
    <x v="11"/>
    <x v="7"/>
    <x v="1"/>
    <x v="1"/>
    <x v="3"/>
    <x v="282"/>
    <x v="332"/>
    <x v="346"/>
    <x v="365"/>
    <x v="440"/>
    <x v="476"/>
    <x v="488"/>
    <x v="484"/>
    <x v="485"/>
  </r>
  <r>
    <x v="6"/>
    <x v="1"/>
    <x v="9"/>
    <x v="2"/>
    <x v="8"/>
    <x v="1"/>
    <x v="153"/>
    <x v="202"/>
    <x v="283"/>
    <x v="333"/>
    <x v="347"/>
    <x v="366"/>
    <x v="441"/>
    <x v="477"/>
    <x v="489"/>
    <x v="485"/>
    <x v="486"/>
  </r>
  <r>
    <x v="6"/>
    <x v="1"/>
    <x v="9"/>
    <x v="2"/>
    <x v="9"/>
    <x v="110"/>
    <x v="157"/>
    <x v="196"/>
    <x v="284"/>
    <x v="334"/>
    <x v="348"/>
    <x v="367"/>
    <x v="442"/>
    <x v="478"/>
    <x v="490"/>
    <x v="486"/>
    <x v="487"/>
  </r>
  <r>
    <x v="6"/>
    <x v="1"/>
    <x v="9"/>
    <x v="2"/>
    <x v="10"/>
    <x v="1"/>
    <x v="1"/>
    <x v="179"/>
    <x v="285"/>
    <x v="335"/>
    <x v="349"/>
    <x v="368"/>
    <x v="443"/>
    <x v="479"/>
    <x v="491"/>
    <x v="487"/>
    <x v="488"/>
  </r>
  <r>
    <x v="6"/>
    <x v="1"/>
    <x v="9"/>
    <x v="2"/>
    <x v="11"/>
    <x v="1"/>
    <x v="1"/>
    <x v="183"/>
    <x v="286"/>
    <x v="336"/>
    <x v="350"/>
    <x v="369"/>
    <x v="444"/>
    <x v="480"/>
    <x v="492"/>
    <x v="488"/>
    <x v="489"/>
  </r>
  <r>
    <x v="6"/>
    <x v="1"/>
    <x v="9"/>
    <x v="2"/>
    <x v="12"/>
    <x v="1"/>
    <x v="1"/>
    <x v="3"/>
    <x v="3"/>
    <x v="1"/>
    <x v="3"/>
    <x v="2"/>
    <x v="3"/>
    <x v="2"/>
    <x v="1"/>
    <x v="4"/>
    <x v="2"/>
  </r>
  <r>
    <x v="6"/>
    <x v="1"/>
    <x v="9"/>
    <x v="11"/>
    <x v="8"/>
    <x v="1"/>
    <x v="159"/>
    <x v="203"/>
    <x v="287"/>
    <x v="337"/>
    <x v="351"/>
    <x v="370"/>
    <x v="445"/>
    <x v="481"/>
    <x v="493"/>
    <x v="489"/>
    <x v="490"/>
  </r>
  <r>
    <x v="6"/>
    <x v="1"/>
    <x v="9"/>
    <x v="11"/>
    <x v="9"/>
    <x v="3"/>
    <x v="158"/>
    <x v="198"/>
    <x v="288"/>
    <x v="338"/>
    <x v="352"/>
    <x v="371"/>
    <x v="446"/>
    <x v="482"/>
    <x v="494"/>
    <x v="490"/>
    <x v="491"/>
  </r>
  <r>
    <x v="6"/>
    <x v="1"/>
    <x v="9"/>
    <x v="11"/>
    <x v="10"/>
    <x v="1"/>
    <x v="1"/>
    <x v="204"/>
    <x v="289"/>
    <x v="339"/>
    <x v="353"/>
    <x v="372"/>
    <x v="447"/>
    <x v="483"/>
    <x v="495"/>
    <x v="491"/>
    <x v="492"/>
  </r>
  <r>
    <x v="6"/>
    <x v="1"/>
    <x v="9"/>
    <x v="11"/>
    <x v="11"/>
    <x v="1"/>
    <x v="1"/>
    <x v="205"/>
    <x v="290"/>
    <x v="340"/>
    <x v="354"/>
    <x v="373"/>
    <x v="448"/>
    <x v="484"/>
    <x v="496"/>
    <x v="492"/>
    <x v="493"/>
  </r>
  <r>
    <x v="6"/>
    <x v="1"/>
    <x v="9"/>
    <x v="11"/>
    <x v="12"/>
    <x v="1"/>
    <x v="1"/>
    <x v="3"/>
    <x v="3"/>
    <x v="1"/>
    <x v="3"/>
    <x v="2"/>
    <x v="3"/>
    <x v="2"/>
    <x v="1"/>
    <x v="4"/>
    <x v="2"/>
  </r>
  <r>
    <x v="6"/>
    <x v="1"/>
    <x v="8"/>
    <x v="0"/>
    <x v="30"/>
    <x v="112"/>
    <x v="160"/>
    <x v="206"/>
    <x v="291"/>
    <x v="341"/>
    <x v="355"/>
    <x v="374"/>
    <x v="449"/>
    <x v="485"/>
    <x v="497"/>
    <x v="493"/>
    <x v="494"/>
  </r>
  <r>
    <x v="6"/>
    <x v="1"/>
    <x v="8"/>
    <x v="0"/>
    <x v="31"/>
    <x v="1"/>
    <x v="1"/>
    <x v="3"/>
    <x v="3"/>
    <x v="1"/>
    <x v="3"/>
    <x v="2"/>
    <x v="3"/>
    <x v="2"/>
    <x v="1"/>
    <x v="469"/>
    <x v="495"/>
  </r>
  <r>
    <x v="6"/>
    <x v="1"/>
    <x v="8"/>
    <x v="14"/>
    <x v="8"/>
    <x v="1"/>
    <x v="1"/>
    <x v="189"/>
    <x v="292"/>
    <x v="342"/>
    <x v="356"/>
    <x v="375"/>
    <x v="450"/>
    <x v="486"/>
    <x v="498"/>
    <x v="494"/>
    <x v="496"/>
  </r>
  <r>
    <x v="6"/>
    <x v="1"/>
    <x v="8"/>
    <x v="14"/>
    <x v="9"/>
    <x v="112"/>
    <x v="160"/>
    <x v="207"/>
    <x v="293"/>
    <x v="343"/>
    <x v="357"/>
    <x v="376"/>
    <x v="451"/>
    <x v="487"/>
    <x v="499"/>
    <x v="495"/>
    <x v="497"/>
  </r>
  <r>
    <x v="6"/>
    <x v="1"/>
    <x v="8"/>
    <x v="14"/>
    <x v="10"/>
    <x v="1"/>
    <x v="1"/>
    <x v="3"/>
    <x v="3"/>
    <x v="319"/>
    <x v="358"/>
    <x v="377"/>
    <x v="452"/>
    <x v="488"/>
    <x v="500"/>
    <x v="496"/>
    <x v="498"/>
  </r>
  <r>
    <x v="6"/>
    <x v="1"/>
    <x v="8"/>
    <x v="14"/>
    <x v="11"/>
    <x v="1"/>
    <x v="1"/>
    <x v="190"/>
    <x v="294"/>
    <x v="344"/>
    <x v="359"/>
    <x v="378"/>
    <x v="453"/>
    <x v="489"/>
    <x v="501"/>
    <x v="497"/>
    <x v="499"/>
  </r>
  <r>
    <x v="6"/>
    <x v="1"/>
    <x v="8"/>
    <x v="14"/>
    <x v="12"/>
    <x v="1"/>
    <x v="1"/>
    <x v="3"/>
    <x v="3"/>
    <x v="1"/>
    <x v="3"/>
    <x v="2"/>
    <x v="3"/>
    <x v="2"/>
    <x v="1"/>
    <x v="4"/>
    <x v="2"/>
  </r>
  <r>
    <x v="6"/>
    <x v="1"/>
    <x v="8"/>
    <x v="15"/>
    <x v="8"/>
    <x v="1"/>
    <x v="1"/>
    <x v="3"/>
    <x v="3"/>
    <x v="1"/>
    <x v="3"/>
    <x v="2"/>
    <x v="3"/>
    <x v="2"/>
    <x v="1"/>
    <x v="469"/>
    <x v="495"/>
  </r>
  <r>
    <x v="6"/>
    <x v="1"/>
    <x v="8"/>
    <x v="15"/>
    <x v="9"/>
    <x v="1"/>
    <x v="1"/>
    <x v="3"/>
    <x v="3"/>
    <x v="1"/>
    <x v="3"/>
    <x v="2"/>
    <x v="3"/>
    <x v="2"/>
    <x v="1"/>
    <x v="4"/>
    <x v="2"/>
  </r>
  <r>
    <x v="6"/>
    <x v="1"/>
    <x v="8"/>
    <x v="15"/>
    <x v="10"/>
    <x v="1"/>
    <x v="1"/>
    <x v="3"/>
    <x v="3"/>
    <x v="1"/>
    <x v="3"/>
    <x v="2"/>
    <x v="3"/>
    <x v="2"/>
    <x v="1"/>
    <x v="4"/>
    <x v="2"/>
  </r>
  <r>
    <x v="6"/>
    <x v="1"/>
    <x v="8"/>
    <x v="15"/>
    <x v="11"/>
    <x v="1"/>
    <x v="1"/>
    <x v="3"/>
    <x v="3"/>
    <x v="1"/>
    <x v="3"/>
    <x v="2"/>
    <x v="3"/>
    <x v="2"/>
    <x v="1"/>
    <x v="4"/>
    <x v="2"/>
  </r>
  <r>
    <x v="6"/>
    <x v="1"/>
    <x v="8"/>
    <x v="15"/>
    <x v="12"/>
    <x v="1"/>
    <x v="1"/>
    <x v="3"/>
    <x v="3"/>
    <x v="1"/>
    <x v="3"/>
    <x v="2"/>
    <x v="3"/>
    <x v="2"/>
    <x v="1"/>
    <x v="4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2114"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1"/>
    <x v="1"/>
    <x v="1"/>
    <x v="1"/>
    <x v="1"/>
    <x v="0"/>
    <x v="1"/>
    <x v="1"/>
    <x v="1"/>
    <x v="1"/>
    <x v="1"/>
    <x v="1"/>
    <x v="1"/>
    <x v="1"/>
  </r>
  <r>
    <x v="0"/>
    <x v="0"/>
    <x v="0"/>
    <x v="1"/>
    <x v="2"/>
    <x v="1"/>
    <x v="1"/>
    <x v="2"/>
    <x v="0"/>
    <x v="2"/>
    <x v="2"/>
    <x v="2"/>
    <x v="2"/>
    <x v="2"/>
    <x v="0"/>
    <x v="2"/>
    <x v="1"/>
  </r>
  <r>
    <x v="0"/>
    <x v="0"/>
    <x v="0"/>
    <x v="1"/>
    <x v="3"/>
    <x v="2"/>
    <x v="1"/>
    <x v="3"/>
    <x v="0"/>
    <x v="3"/>
    <x v="1"/>
    <x v="3"/>
    <x v="1"/>
    <x v="1"/>
    <x v="1"/>
    <x v="3"/>
    <x v="1"/>
  </r>
  <r>
    <x v="0"/>
    <x v="0"/>
    <x v="0"/>
    <x v="1"/>
    <x v="4"/>
    <x v="3"/>
    <x v="0"/>
    <x v="1"/>
    <x v="0"/>
    <x v="2"/>
    <x v="2"/>
    <x v="3"/>
    <x v="3"/>
    <x v="3"/>
    <x v="1"/>
    <x v="2"/>
    <x v="1"/>
  </r>
  <r>
    <x v="0"/>
    <x v="0"/>
    <x v="0"/>
    <x v="1"/>
    <x v="5"/>
    <x v="4"/>
    <x v="1"/>
    <x v="1"/>
    <x v="0"/>
    <x v="2"/>
    <x v="2"/>
    <x v="2"/>
    <x v="1"/>
    <x v="2"/>
    <x v="1"/>
    <x v="3"/>
    <x v="1"/>
  </r>
  <r>
    <x v="0"/>
    <x v="0"/>
    <x v="0"/>
    <x v="1"/>
    <x v="6"/>
    <x v="5"/>
    <x v="1"/>
    <x v="1"/>
    <x v="0"/>
    <x v="2"/>
    <x v="2"/>
    <x v="2"/>
    <x v="3"/>
    <x v="1"/>
    <x v="1"/>
    <x v="3"/>
    <x v="0"/>
  </r>
  <r>
    <x v="0"/>
    <x v="0"/>
    <x v="0"/>
    <x v="2"/>
    <x v="7"/>
    <x v="6"/>
    <x v="0"/>
    <x v="4"/>
    <x v="0"/>
    <x v="2"/>
    <x v="3"/>
    <x v="4"/>
    <x v="2"/>
    <x v="1"/>
    <x v="1"/>
    <x v="1"/>
    <x v="1"/>
  </r>
  <r>
    <x v="0"/>
    <x v="0"/>
    <x v="0"/>
    <x v="2"/>
    <x v="8"/>
    <x v="7"/>
    <x v="1"/>
    <x v="4"/>
    <x v="0"/>
    <x v="1"/>
    <x v="4"/>
    <x v="3"/>
    <x v="2"/>
    <x v="4"/>
    <x v="1"/>
    <x v="2"/>
    <x v="0"/>
  </r>
  <r>
    <x v="0"/>
    <x v="0"/>
    <x v="0"/>
    <x v="2"/>
    <x v="9"/>
    <x v="4"/>
    <x v="1"/>
    <x v="3"/>
    <x v="0"/>
    <x v="3"/>
    <x v="2"/>
    <x v="2"/>
    <x v="1"/>
    <x v="2"/>
    <x v="0"/>
    <x v="3"/>
    <x v="1"/>
  </r>
  <r>
    <x v="0"/>
    <x v="0"/>
    <x v="0"/>
    <x v="2"/>
    <x v="10"/>
    <x v="5"/>
    <x v="1"/>
    <x v="1"/>
    <x v="0"/>
    <x v="2"/>
    <x v="2"/>
    <x v="2"/>
    <x v="3"/>
    <x v="1"/>
    <x v="1"/>
    <x v="2"/>
    <x v="1"/>
  </r>
  <r>
    <x v="0"/>
    <x v="0"/>
    <x v="0"/>
    <x v="2"/>
    <x v="11"/>
    <x v="5"/>
    <x v="1"/>
    <x v="1"/>
    <x v="0"/>
    <x v="2"/>
    <x v="2"/>
    <x v="2"/>
    <x v="3"/>
    <x v="1"/>
    <x v="1"/>
    <x v="3"/>
    <x v="1"/>
  </r>
  <r>
    <x v="0"/>
    <x v="0"/>
    <x v="0"/>
    <x v="0"/>
    <x v="12"/>
    <x v="8"/>
    <x v="2"/>
    <x v="0"/>
    <x v="0"/>
    <x v="0"/>
    <x v="0"/>
    <x v="0"/>
    <x v="4"/>
    <x v="5"/>
    <x v="0"/>
    <x v="4"/>
    <x v="0"/>
  </r>
  <r>
    <x v="0"/>
    <x v="0"/>
    <x v="0"/>
    <x v="3"/>
    <x v="1"/>
    <x v="1"/>
    <x v="2"/>
    <x v="1"/>
    <x v="0"/>
    <x v="1"/>
    <x v="1"/>
    <x v="1"/>
    <x v="1"/>
    <x v="2"/>
    <x v="1"/>
    <x v="1"/>
    <x v="0"/>
  </r>
  <r>
    <x v="0"/>
    <x v="0"/>
    <x v="0"/>
    <x v="3"/>
    <x v="2"/>
    <x v="3"/>
    <x v="1"/>
    <x v="2"/>
    <x v="0"/>
    <x v="2"/>
    <x v="2"/>
    <x v="3"/>
    <x v="2"/>
    <x v="2"/>
    <x v="0"/>
    <x v="2"/>
    <x v="1"/>
  </r>
  <r>
    <x v="0"/>
    <x v="0"/>
    <x v="0"/>
    <x v="3"/>
    <x v="3"/>
    <x v="2"/>
    <x v="1"/>
    <x v="3"/>
    <x v="0"/>
    <x v="3"/>
    <x v="1"/>
    <x v="3"/>
    <x v="1"/>
    <x v="1"/>
    <x v="1"/>
    <x v="3"/>
    <x v="1"/>
  </r>
  <r>
    <x v="0"/>
    <x v="0"/>
    <x v="0"/>
    <x v="0"/>
    <x v="13"/>
    <x v="9"/>
    <x v="0"/>
    <x v="5"/>
    <x v="0"/>
    <x v="3"/>
    <x v="3"/>
    <x v="4"/>
    <x v="4"/>
    <x v="0"/>
    <x v="0"/>
    <x v="0"/>
    <x v="0"/>
  </r>
  <r>
    <x v="0"/>
    <x v="0"/>
    <x v="0"/>
    <x v="4"/>
    <x v="4"/>
    <x v="10"/>
    <x v="0"/>
    <x v="4"/>
    <x v="0"/>
    <x v="2"/>
    <x v="4"/>
    <x v="4"/>
    <x v="1"/>
    <x v="3"/>
    <x v="1"/>
    <x v="1"/>
    <x v="1"/>
  </r>
  <r>
    <x v="0"/>
    <x v="0"/>
    <x v="0"/>
    <x v="4"/>
    <x v="5"/>
    <x v="2"/>
    <x v="1"/>
    <x v="4"/>
    <x v="0"/>
    <x v="1"/>
    <x v="4"/>
    <x v="2"/>
    <x v="5"/>
    <x v="5"/>
    <x v="1"/>
    <x v="2"/>
    <x v="1"/>
  </r>
  <r>
    <x v="0"/>
    <x v="0"/>
    <x v="0"/>
    <x v="4"/>
    <x v="6"/>
    <x v="5"/>
    <x v="1"/>
    <x v="6"/>
    <x v="0"/>
    <x v="1"/>
    <x v="4"/>
    <x v="2"/>
    <x v="3"/>
    <x v="1"/>
    <x v="0"/>
    <x v="2"/>
    <x v="0"/>
  </r>
  <r>
    <x v="0"/>
    <x v="1"/>
    <x v="0"/>
    <x v="0"/>
    <x v="14"/>
    <x v="11"/>
    <x v="2"/>
    <x v="2"/>
    <x v="1"/>
    <x v="4"/>
    <x v="0"/>
    <x v="0"/>
    <x v="0"/>
    <x v="0"/>
    <x v="2"/>
    <x v="4"/>
    <x v="2"/>
  </r>
  <r>
    <x v="0"/>
    <x v="1"/>
    <x v="0"/>
    <x v="1"/>
    <x v="1"/>
    <x v="4"/>
    <x v="1"/>
    <x v="1"/>
    <x v="0"/>
    <x v="1"/>
    <x v="4"/>
    <x v="4"/>
    <x v="2"/>
    <x v="1"/>
    <x v="1"/>
    <x v="2"/>
    <x v="0"/>
  </r>
  <r>
    <x v="0"/>
    <x v="1"/>
    <x v="0"/>
    <x v="1"/>
    <x v="2"/>
    <x v="4"/>
    <x v="1"/>
    <x v="1"/>
    <x v="2"/>
    <x v="3"/>
    <x v="2"/>
    <x v="2"/>
    <x v="1"/>
    <x v="2"/>
    <x v="0"/>
    <x v="2"/>
    <x v="0"/>
  </r>
  <r>
    <x v="0"/>
    <x v="1"/>
    <x v="0"/>
    <x v="1"/>
    <x v="3"/>
    <x v="1"/>
    <x v="1"/>
    <x v="4"/>
    <x v="3"/>
    <x v="3"/>
    <x v="3"/>
    <x v="3"/>
    <x v="1"/>
    <x v="3"/>
    <x v="1"/>
    <x v="3"/>
    <x v="1"/>
  </r>
  <r>
    <x v="0"/>
    <x v="1"/>
    <x v="0"/>
    <x v="1"/>
    <x v="4"/>
    <x v="4"/>
    <x v="2"/>
    <x v="4"/>
    <x v="0"/>
    <x v="0"/>
    <x v="2"/>
    <x v="2"/>
    <x v="1"/>
    <x v="1"/>
    <x v="0"/>
    <x v="2"/>
    <x v="1"/>
  </r>
  <r>
    <x v="0"/>
    <x v="1"/>
    <x v="0"/>
    <x v="1"/>
    <x v="5"/>
    <x v="4"/>
    <x v="1"/>
    <x v="1"/>
    <x v="0"/>
    <x v="2"/>
    <x v="2"/>
    <x v="2"/>
    <x v="3"/>
    <x v="2"/>
    <x v="1"/>
    <x v="3"/>
    <x v="1"/>
  </r>
  <r>
    <x v="0"/>
    <x v="1"/>
    <x v="0"/>
    <x v="1"/>
    <x v="6"/>
    <x v="5"/>
    <x v="1"/>
    <x v="1"/>
    <x v="0"/>
    <x v="2"/>
    <x v="2"/>
    <x v="2"/>
    <x v="3"/>
    <x v="1"/>
    <x v="1"/>
    <x v="3"/>
    <x v="0"/>
  </r>
  <r>
    <x v="0"/>
    <x v="1"/>
    <x v="0"/>
    <x v="2"/>
    <x v="7"/>
    <x v="3"/>
    <x v="2"/>
    <x v="4"/>
    <x v="4"/>
    <x v="5"/>
    <x v="4"/>
    <x v="4"/>
    <x v="5"/>
    <x v="3"/>
    <x v="1"/>
    <x v="2"/>
    <x v="0"/>
  </r>
  <r>
    <x v="0"/>
    <x v="1"/>
    <x v="0"/>
    <x v="2"/>
    <x v="8"/>
    <x v="4"/>
    <x v="1"/>
    <x v="4"/>
    <x v="2"/>
    <x v="1"/>
    <x v="4"/>
    <x v="3"/>
    <x v="1"/>
    <x v="4"/>
    <x v="0"/>
    <x v="3"/>
    <x v="3"/>
  </r>
  <r>
    <x v="0"/>
    <x v="1"/>
    <x v="0"/>
    <x v="2"/>
    <x v="9"/>
    <x v="4"/>
    <x v="1"/>
    <x v="1"/>
    <x v="4"/>
    <x v="3"/>
    <x v="1"/>
    <x v="2"/>
    <x v="1"/>
    <x v="3"/>
    <x v="0"/>
    <x v="2"/>
    <x v="1"/>
  </r>
  <r>
    <x v="0"/>
    <x v="1"/>
    <x v="0"/>
    <x v="2"/>
    <x v="10"/>
    <x v="5"/>
    <x v="1"/>
    <x v="1"/>
    <x v="0"/>
    <x v="2"/>
    <x v="2"/>
    <x v="2"/>
    <x v="3"/>
    <x v="1"/>
    <x v="1"/>
    <x v="2"/>
    <x v="1"/>
  </r>
  <r>
    <x v="0"/>
    <x v="1"/>
    <x v="0"/>
    <x v="2"/>
    <x v="11"/>
    <x v="5"/>
    <x v="1"/>
    <x v="1"/>
    <x v="0"/>
    <x v="2"/>
    <x v="2"/>
    <x v="2"/>
    <x v="3"/>
    <x v="1"/>
    <x v="1"/>
    <x v="3"/>
    <x v="1"/>
  </r>
  <r>
    <x v="0"/>
    <x v="1"/>
    <x v="0"/>
    <x v="0"/>
    <x v="15"/>
    <x v="2"/>
    <x v="1"/>
    <x v="1"/>
    <x v="5"/>
    <x v="0"/>
    <x v="3"/>
    <x v="1"/>
    <x v="2"/>
    <x v="2"/>
    <x v="2"/>
    <x v="4"/>
    <x v="0"/>
  </r>
  <r>
    <x v="0"/>
    <x v="1"/>
    <x v="0"/>
    <x v="0"/>
    <x v="16"/>
    <x v="4"/>
    <x v="2"/>
    <x v="2"/>
    <x v="4"/>
    <x v="5"/>
    <x v="4"/>
    <x v="1"/>
    <x v="5"/>
    <x v="4"/>
    <x v="1"/>
    <x v="3"/>
    <x v="3"/>
  </r>
  <r>
    <x v="0"/>
    <x v="1"/>
    <x v="0"/>
    <x v="0"/>
    <x v="17"/>
    <x v="5"/>
    <x v="1"/>
    <x v="1"/>
    <x v="0"/>
    <x v="2"/>
    <x v="2"/>
    <x v="2"/>
    <x v="3"/>
    <x v="1"/>
    <x v="1"/>
    <x v="3"/>
    <x v="1"/>
  </r>
  <r>
    <x v="0"/>
    <x v="1"/>
    <x v="0"/>
    <x v="5"/>
    <x v="7"/>
    <x v="7"/>
    <x v="1"/>
    <x v="1"/>
    <x v="2"/>
    <x v="3"/>
    <x v="2"/>
    <x v="1"/>
    <x v="1"/>
    <x v="3"/>
    <x v="1"/>
    <x v="2"/>
    <x v="1"/>
  </r>
  <r>
    <x v="0"/>
    <x v="1"/>
    <x v="0"/>
    <x v="5"/>
    <x v="8"/>
    <x v="4"/>
    <x v="1"/>
    <x v="1"/>
    <x v="0"/>
    <x v="1"/>
    <x v="4"/>
    <x v="2"/>
    <x v="1"/>
    <x v="3"/>
    <x v="0"/>
    <x v="3"/>
    <x v="0"/>
  </r>
  <r>
    <x v="0"/>
    <x v="1"/>
    <x v="0"/>
    <x v="5"/>
    <x v="9"/>
    <x v="4"/>
    <x v="1"/>
    <x v="1"/>
    <x v="4"/>
    <x v="2"/>
    <x v="1"/>
    <x v="2"/>
    <x v="3"/>
    <x v="1"/>
    <x v="0"/>
    <x v="2"/>
    <x v="1"/>
  </r>
  <r>
    <x v="0"/>
    <x v="1"/>
    <x v="0"/>
    <x v="5"/>
    <x v="10"/>
    <x v="5"/>
    <x v="1"/>
    <x v="1"/>
    <x v="0"/>
    <x v="2"/>
    <x v="2"/>
    <x v="2"/>
    <x v="3"/>
    <x v="1"/>
    <x v="1"/>
    <x v="2"/>
    <x v="1"/>
  </r>
  <r>
    <x v="0"/>
    <x v="1"/>
    <x v="0"/>
    <x v="5"/>
    <x v="11"/>
    <x v="5"/>
    <x v="1"/>
    <x v="1"/>
    <x v="0"/>
    <x v="2"/>
    <x v="2"/>
    <x v="2"/>
    <x v="3"/>
    <x v="1"/>
    <x v="1"/>
    <x v="3"/>
    <x v="1"/>
  </r>
  <r>
    <x v="0"/>
    <x v="1"/>
    <x v="0"/>
    <x v="6"/>
    <x v="7"/>
    <x v="4"/>
    <x v="2"/>
    <x v="4"/>
    <x v="2"/>
    <x v="0"/>
    <x v="4"/>
    <x v="3"/>
    <x v="2"/>
    <x v="1"/>
    <x v="1"/>
    <x v="3"/>
    <x v="0"/>
  </r>
  <r>
    <x v="0"/>
    <x v="1"/>
    <x v="0"/>
    <x v="6"/>
    <x v="8"/>
    <x v="5"/>
    <x v="1"/>
    <x v="4"/>
    <x v="2"/>
    <x v="2"/>
    <x v="2"/>
    <x v="3"/>
    <x v="3"/>
    <x v="2"/>
    <x v="1"/>
    <x v="3"/>
    <x v="0"/>
  </r>
  <r>
    <x v="0"/>
    <x v="1"/>
    <x v="0"/>
    <x v="6"/>
    <x v="9"/>
    <x v="5"/>
    <x v="1"/>
    <x v="1"/>
    <x v="0"/>
    <x v="3"/>
    <x v="2"/>
    <x v="2"/>
    <x v="1"/>
    <x v="3"/>
    <x v="1"/>
    <x v="3"/>
    <x v="1"/>
  </r>
  <r>
    <x v="0"/>
    <x v="1"/>
    <x v="0"/>
    <x v="6"/>
    <x v="10"/>
    <x v="5"/>
    <x v="1"/>
    <x v="1"/>
    <x v="0"/>
    <x v="2"/>
    <x v="2"/>
    <x v="2"/>
    <x v="3"/>
    <x v="1"/>
    <x v="1"/>
    <x v="3"/>
    <x v="1"/>
  </r>
  <r>
    <x v="0"/>
    <x v="1"/>
    <x v="0"/>
    <x v="6"/>
    <x v="11"/>
    <x v="5"/>
    <x v="1"/>
    <x v="1"/>
    <x v="0"/>
    <x v="2"/>
    <x v="2"/>
    <x v="2"/>
    <x v="3"/>
    <x v="1"/>
    <x v="1"/>
    <x v="3"/>
    <x v="1"/>
  </r>
  <r>
    <x v="0"/>
    <x v="1"/>
    <x v="0"/>
    <x v="7"/>
    <x v="7"/>
    <x v="5"/>
    <x v="1"/>
    <x v="1"/>
    <x v="0"/>
    <x v="2"/>
    <x v="2"/>
    <x v="2"/>
    <x v="3"/>
    <x v="1"/>
    <x v="1"/>
    <x v="3"/>
    <x v="1"/>
  </r>
  <r>
    <x v="0"/>
    <x v="1"/>
    <x v="0"/>
    <x v="7"/>
    <x v="8"/>
    <x v="5"/>
    <x v="1"/>
    <x v="1"/>
    <x v="0"/>
    <x v="2"/>
    <x v="2"/>
    <x v="2"/>
    <x v="3"/>
    <x v="1"/>
    <x v="1"/>
    <x v="3"/>
    <x v="1"/>
  </r>
  <r>
    <x v="0"/>
    <x v="1"/>
    <x v="0"/>
    <x v="7"/>
    <x v="9"/>
    <x v="5"/>
    <x v="1"/>
    <x v="1"/>
    <x v="0"/>
    <x v="2"/>
    <x v="2"/>
    <x v="2"/>
    <x v="3"/>
    <x v="1"/>
    <x v="1"/>
    <x v="3"/>
    <x v="1"/>
  </r>
  <r>
    <x v="0"/>
    <x v="1"/>
    <x v="0"/>
    <x v="7"/>
    <x v="10"/>
    <x v="5"/>
    <x v="1"/>
    <x v="1"/>
    <x v="0"/>
    <x v="2"/>
    <x v="2"/>
    <x v="2"/>
    <x v="3"/>
    <x v="1"/>
    <x v="1"/>
    <x v="3"/>
    <x v="1"/>
  </r>
  <r>
    <x v="0"/>
    <x v="1"/>
    <x v="0"/>
    <x v="7"/>
    <x v="11"/>
    <x v="5"/>
    <x v="1"/>
    <x v="1"/>
    <x v="0"/>
    <x v="2"/>
    <x v="2"/>
    <x v="2"/>
    <x v="3"/>
    <x v="1"/>
    <x v="1"/>
    <x v="3"/>
    <x v="1"/>
  </r>
  <r>
    <x v="0"/>
    <x v="1"/>
    <x v="0"/>
    <x v="0"/>
    <x v="18"/>
    <x v="3"/>
    <x v="1"/>
    <x v="2"/>
    <x v="1"/>
    <x v="6"/>
    <x v="0"/>
    <x v="0"/>
    <x v="0"/>
    <x v="0"/>
    <x v="0"/>
    <x v="1"/>
    <x v="2"/>
  </r>
  <r>
    <x v="0"/>
    <x v="1"/>
    <x v="0"/>
    <x v="3"/>
    <x v="1"/>
    <x v="4"/>
    <x v="1"/>
    <x v="1"/>
    <x v="0"/>
    <x v="3"/>
    <x v="4"/>
    <x v="4"/>
    <x v="2"/>
    <x v="2"/>
    <x v="1"/>
    <x v="2"/>
    <x v="3"/>
  </r>
  <r>
    <x v="0"/>
    <x v="1"/>
    <x v="0"/>
    <x v="3"/>
    <x v="2"/>
    <x v="4"/>
    <x v="1"/>
    <x v="4"/>
    <x v="2"/>
    <x v="0"/>
    <x v="2"/>
    <x v="2"/>
    <x v="2"/>
    <x v="2"/>
    <x v="0"/>
    <x v="2"/>
    <x v="0"/>
  </r>
  <r>
    <x v="0"/>
    <x v="1"/>
    <x v="0"/>
    <x v="3"/>
    <x v="3"/>
    <x v="1"/>
    <x v="1"/>
    <x v="4"/>
    <x v="3"/>
    <x v="3"/>
    <x v="3"/>
    <x v="3"/>
    <x v="1"/>
    <x v="3"/>
    <x v="1"/>
    <x v="3"/>
    <x v="1"/>
  </r>
  <r>
    <x v="0"/>
    <x v="1"/>
    <x v="0"/>
    <x v="0"/>
    <x v="19"/>
    <x v="11"/>
    <x v="2"/>
    <x v="4"/>
    <x v="3"/>
    <x v="4"/>
    <x v="3"/>
    <x v="4"/>
    <x v="4"/>
    <x v="5"/>
    <x v="2"/>
    <x v="4"/>
    <x v="2"/>
  </r>
  <r>
    <x v="0"/>
    <x v="1"/>
    <x v="0"/>
    <x v="4"/>
    <x v="4"/>
    <x v="7"/>
    <x v="2"/>
    <x v="4"/>
    <x v="0"/>
    <x v="7"/>
    <x v="4"/>
    <x v="3"/>
    <x v="5"/>
    <x v="1"/>
    <x v="0"/>
    <x v="2"/>
    <x v="0"/>
  </r>
  <r>
    <x v="0"/>
    <x v="1"/>
    <x v="0"/>
    <x v="4"/>
    <x v="5"/>
    <x v="7"/>
    <x v="1"/>
    <x v="1"/>
    <x v="4"/>
    <x v="1"/>
    <x v="4"/>
    <x v="3"/>
    <x v="1"/>
    <x v="5"/>
    <x v="0"/>
    <x v="3"/>
    <x v="0"/>
  </r>
  <r>
    <x v="0"/>
    <x v="1"/>
    <x v="0"/>
    <x v="4"/>
    <x v="6"/>
    <x v="5"/>
    <x v="1"/>
    <x v="1"/>
    <x v="4"/>
    <x v="1"/>
    <x v="4"/>
    <x v="3"/>
    <x v="3"/>
    <x v="1"/>
    <x v="1"/>
    <x v="1"/>
    <x v="0"/>
  </r>
  <r>
    <x v="0"/>
    <x v="2"/>
    <x v="1"/>
    <x v="0"/>
    <x v="20"/>
    <x v="10"/>
    <x v="3"/>
    <x v="7"/>
    <x v="6"/>
    <x v="0"/>
    <x v="3"/>
    <x v="4"/>
    <x v="5"/>
    <x v="4"/>
    <x v="2"/>
    <x v="4"/>
    <x v="0"/>
  </r>
  <r>
    <x v="0"/>
    <x v="2"/>
    <x v="1"/>
    <x v="1"/>
    <x v="1"/>
    <x v="4"/>
    <x v="2"/>
    <x v="4"/>
    <x v="2"/>
    <x v="1"/>
    <x v="1"/>
    <x v="3"/>
    <x v="3"/>
    <x v="1"/>
    <x v="1"/>
    <x v="2"/>
    <x v="1"/>
  </r>
  <r>
    <x v="0"/>
    <x v="2"/>
    <x v="1"/>
    <x v="1"/>
    <x v="2"/>
    <x v="4"/>
    <x v="2"/>
    <x v="6"/>
    <x v="4"/>
    <x v="2"/>
    <x v="2"/>
    <x v="2"/>
    <x v="1"/>
    <x v="3"/>
    <x v="0"/>
    <x v="2"/>
    <x v="1"/>
  </r>
  <r>
    <x v="0"/>
    <x v="2"/>
    <x v="1"/>
    <x v="1"/>
    <x v="3"/>
    <x v="7"/>
    <x v="4"/>
    <x v="0"/>
    <x v="4"/>
    <x v="3"/>
    <x v="4"/>
    <x v="3"/>
    <x v="1"/>
    <x v="1"/>
    <x v="1"/>
    <x v="3"/>
    <x v="1"/>
  </r>
  <r>
    <x v="0"/>
    <x v="2"/>
    <x v="1"/>
    <x v="1"/>
    <x v="4"/>
    <x v="7"/>
    <x v="5"/>
    <x v="6"/>
    <x v="5"/>
    <x v="2"/>
    <x v="2"/>
    <x v="3"/>
    <x v="3"/>
    <x v="3"/>
    <x v="1"/>
    <x v="3"/>
    <x v="1"/>
  </r>
  <r>
    <x v="0"/>
    <x v="2"/>
    <x v="1"/>
    <x v="1"/>
    <x v="5"/>
    <x v="5"/>
    <x v="1"/>
    <x v="1"/>
    <x v="0"/>
    <x v="2"/>
    <x v="2"/>
    <x v="2"/>
    <x v="1"/>
    <x v="3"/>
    <x v="0"/>
    <x v="2"/>
    <x v="0"/>
  </r>
  <r>
    <x v="0"/>
    <x v="2"/>
    <x v="1"/>
    <x v="1"/>
    <x v="6"/>
    <x v="5"/>
    <x v="1"/>
    <x v="1"/>
    <x v="0"/>
    <x v="2"/>
    <x v="2"/>
    <x v="2"/>
    <x v="3"/>
    <x v="1"/>
    <x v="1"/>
    <x v="3"/>
    <x v="1"/>
  </r>
  <r>
    <x v="0"/>
    <x v="2"/>
    <x v="1"/>
    <x v="8"/>
    <x v="1"/>
    <x v="12"/>
    <x v="6"/>
    <x v="8"/>
    <x v="7"/>
    <x v="8"/>
    <x v="5"/>
    <x v="5"/>
    <x v="3"/>
    <x v="1"/>
    <x v="1"/>
    <x v="5"/>
    <x v="1"/>
  </r>
  <r>
    <x v="0"/>
    <x v="2"/>
    <x v="1"/>
    <x v="8"/>
    <x v="2"/>
    <x v="12"/>
    <x v="6"/>
    <x v="9"/>
    <x v="8"/>
    <x v="2"/>
    <x v="2"/>
    <x v="2"/>
    <x v="6"/>
    <x v="6"/>
    <x v="3"/>
    <x v="5"/>
    <x v="1"/>
  </r>
  <r>
    <x v="0"/>
    <x v="2"/>
    <x v="1"/>
    <x v="8"/>
    <x v="3"/>
    <x v="13"/>
    <x v="7"/>
    <x v="10"/>
    <x v="8"/>
    <x v="9"/>
    <x v="6"/>
    <x v="5"/>
    <x v="6"/>
    <x v="1"/>
    <x v="1"/>
    <x v="3"/>
    <x v="1"/>
  </r>
  <r>
    <x v="0"/>
    <x v="2"/>
    <x v="1"/>
    <x v="8"/>
    <x v="4"/>
    <x v="13"/>
    <x v="8"/>
    <x v="9"/>
    <x v="9"/>
    <x v="2"/>
    <x v="2"/>
    <x v="5"/>
    <x v="3"/>
    <x v="6"/>
    <x v="1"/>
    <x v="3"/>
    <x v="1"/>
  </r>
  <r>
    <x v="0"/>
    <x v="2"/>
    <x v="1"/>
    <x v="8"/>
    <x v="5"/>
    <x v="5"/>
    <x v="1"/>
    <x v="1"/>
    <x v="0"/>
    <x v="2"/>
    <x v="2"/>
    <x v="2"/>
    <x v="6"/>
    <x v="6"/>
    <x v="3"/>
    <x v="5"/>
    <x v="0"/>
  </r>
  <r>
    <x v="0"/>
    <x v="2"/>
    <x v="1"/>
    <x v="8"/>
    <x v="6"/>
    <x v="5"/>
    <x v="1"/>
    <x v="1"/>
    <x v="0"/>
    <x v="2"/>
    <x v="2"/>
    <x v="2"/>
    <x v="3"/>
    <x v="1"/>
    <x v="1"/>
    <x v="3"/>
    <x v="1"/>
  </r>
  <r>
    <x v="0"/>
    <x v="2"/>
    <x v="1"/>
    <x v="2"/>
    <x v="7"/>
    <x v="11"/>
    <x v="9"/>
    <x v="11"/>
    <x v="1"/>
    <x v="2"/>
    <x v="1"/>
    <x v="1"/>
    <x v="1"/>
    <x v="1"/>
    <x v="1"/>
    <x v="2"/>
    <x v="1"/>
  </r>
  <r>
    <x v="0"/>
    <x v="2"/>
    <x v="1"/>
    <x v="2"/>
    <x v="8"/>
    <x v="1"/>
    <x v="0"/>
    <x v="2"/>
    <x v="2"/>
    <x v="1"/>
    <x v="4"/>
    <x v="3"/>
    <x v="2"/>
    <x v="2"/>
    <x v="0"/>
    <x v="1"/>
    <x v="0"/>
  </r>
  <r>
    <x v="0"/>
    <x v="2"/>
    <x v="1"/>
    <x v="2"/>
    <x v="9"/>
    <x v="5"/>
    <x v="1"/>
    <x v="3"/>
    <x v="4"/>
    <x v="3"/>
    <x v="2"/>
    <x v="2"/>
    <x v="3"/>
    <x v="3"/>
    <x v="0"/>
    <x v="3"/>
    <x v="1"/>
  </r>
  <r>
    <x v="0"/>
    <x v="2"/>
    <x v="1"/>
    <x v="2"/>
    <x v="10"/>
    <x v="5"/>
    <x v="1"/>
    <x v="1"/>
    <x v="0"/>
    <x v="2"/>
    <x v="2"/>
    <x v="2"/>
    <x v="3"/>
    <x v="1"/>
    <x v="1"/>
    <x v="3"/>
    <x v="1"/>
  </r>
  <r>
    <x v="0"/>
    <x v="2"/>
    <x v="1"/>
    <x v="2"/>
    <x v="11"/>
    <x v="5"/>
    <x v="1"/>
    <x v="1"/>
    <x v="0"/>
    <x v="2"/>
    <x v="2"/>
    <x v="2"/>
    <x v="3"/>
    <x v="1"/>
    <x v="1"/>
    <x v="3"/>
    <x v="1"/>
  </r>
  <r>
    <x v="0"/>
    <x v="2"/>
    <x v="1"/>
    <x v="0"/>
    <x v="21"/>
    <x v="14"/>
    <x v="10"/>
    <x v="12"/>
    <x v="10"/>
    <x v="0"/>
    <x v="3"/>
    <x v="4"/>
    <x v="2"/>
    <x v="3"/>
    <x v="0"/>
    <x v="1"/>
    <x v="1"/>
  </r>
  <r>
    <x v="0"/>
    <x v="2"/>
    <x v="1"/>
    <x v="3"/>
    <x v="1"/>
    <x v="4"/>
    <x v="0"/>
    <x v="2"/>
    <x v="4"/>
    <x v="1"/>
    <x v="1"/>
    <x v="3"/>
    <x v="3"/>
    <x v="1"/>
    <x v="1"/>
    <x v="2"/>
    <x v="1"/>
  </r>
  <r>
    <x v="0"/>
    <x v="2"/>
    <x v="1"/>
    <x v="3"/>
    <x v="2"/>
    <x v="7"/>
    <x v="4"/>
    <x v="3"/>
    <x v="5"/>
    <x v="2"/>
    <x v="2"/>
    <x v="3"/>
    <x v="1"/>
    <x v="3"/>
    <x v="0"/>
    <x v="2"/>
    <x v="1"/>
  </r>
  <r>
    <x v="0"/>
    <x v="2"/>
    <x v="1"/>
    <x v="3"/>
    <x v="3"/>
    <x v="7"/>
    <x v="4"/>
    <x v="0"/>
    <x v="4"/>
    <x v="3"/>
    <x v="4"/>
    <x v="3"/>
    <x v="1"/>
    <x v="1"/>
    <x v="1"/>
    <x v="3"/>
    <x v="1"/>
  </r>
  <r>
    <x v="0"/>
    <x v="2"/>
    <x v="1"/>
    <x v="9"/>
    <x v="1"/>
    <x v="15"/>
    <x v="11"/>
    <x v="13"/>
    <x v="11"/>
    <x v="8"/>
    <x v="5"/>
    <x v="5"/>
    <x v="3"/>
    <x v="1"/>
    <x v="1"/>
    <x v="6"/>
    <x v="4"/>
  </r>
  <r>
    <x v="0"/>
    <x v="2"/>
    <x v="1"/>
    <x v="9"/>
    <x v="2"/>
    <x v="16"/>
    <x v="12"/>
    <x v="14"/>
    <x v="12"/>
    <x v="2"/>
    <x v="2"/>
    <x v="5"/>
    <x v="7"/>
    <x v="3"/>
    <x v="0"/>
    <x v="6"/>
    <x v="4"/>
  </r>
  <r>
    <x v="0"/>
    <x v="2"/>
    <x v="1"/>
    <x v="9"/>
    <x v="3"/>
    <x v="16"/>
    <x v="12"/>
    <x v="15"/>
    <x v="11"/>
    <x v="9"/>
    <x v="6"/>
    <x v="5"/>
    <x v="7"/>
    <x v="1"/>
    <x v="1"/>
    <x v="3"/>
    <x v="4"/>
  </r>
  <r>
    <x v="0"/>
    <x v="2"/>
    <x v="1"/>
    <x v="0"/>
    <x v="22"/>
    <x v="14"/>
    <x v="10"/>
    <x v="12"/>
    <x v="6"/>
    <x v="3"/>
    <x v="1"/>
    <x v="1"/>
    <x v="2"/>
    <x v="4"/>
    <x v="2"/>
    <x v="4"/>
    <x v="0"/>
  </r>
  <r>
    <x v="0"/>
    <x v="2"/>
    <x v="1"/>
    <x v="4"/>
    <x v="4"/>
    <x v="2"/>
    <x v="13"/>
    <x v="0"/>
    <x v="13"/>
    <x v="2"/>
    <x v="2"/>
    <x v="1"/>
    <x v="3"/>
    <x v="3"/>
    <x v="1"/>
    <x v="2"/>
    <x v="1"/>
  </r>
  <r>
    <x v="0"/>
    <x v="2"/>
    <x v="1"/>
    <x v="4"/>
    <x v="5"/>
    <x v="1"/>
    <x v="0"/>
    <x v="6"/>
    <x v="2"/>
    <x v="1"/>
    <x v="4"/>
    <x v="2"/>
    <x v="2"/>
    <x v="2"/>
    <x v="0"/>
    <x v="1"/>
    <x v="0"/>
  </r>
  <r>
    <x v="0"/>
    <x v="2"/>
    <x v="1"/>
    <x v="4"/>
    <x v="6"/>
    <x v="5"/>
    <x v="1"/>
    <x v="6"/>
    <x v="2"/>
    <x v="1"/>
    <x v="4"/>
    <x v="2"/>
    <x v="3"/>
    <x v="1"/>
    <x v="0"/>
    <x v="3"/>
    <x v="1"/>
  </r>
  <r>
    <x v="0"/>
    <x v="2"/>
    <x v="1"/>
    <x v="10"/>
    <x v="4"/>
    <x v="17"/>
    <x v="14"/>
    <x v="15"/>
    <x v="14"/>
    <x v="2"/>
    <x v="2"/>
    <x v="3"/>
    <x v="3"/>
    <x v="6"/>
    <x v="1"/>
    <x v="5"/>
    <x v="1"/>
  </r>
  <r>
    <x v="0"/>
    <x v="2"/>
    <x v="1"/>
    <x v="10"/>
    <x v="5"/>
    <x v="18"/>
    <x v="11"/>
    <x v="16"/>
    <x v="7"/>
    <x v="10"/>
    <x v="7"/>
    <x v="2"/>
    <x v="1"/>
    <x v="7"/>
    <x v="3"/>
    <x v="7"/>
    <x v="0"/>
  </r>
  <r>
    <x v="0"/>
    <x v="2"/>
    <x v="1"/>
    <x v="10"/>
    <x v="6"/>
    <x v="5"/>
    <x v="1"/>
    <x v="16"/>
    <x v="7"/>
    <x v="10"/>
    <x v="7"/>
    <x v="2"/>
    <x v="3"/>
    <x v="1"/>
    <x v="3"/>
    <x v="3"/>
    <x v="1"/>
  </r>
  <r>
    <x v="0"/>
    <x v="0"/>
    <x v="2"/>
    <x v="0"/>
    <x v="23"/>
    <x v="0"/>
    <x v="15"/>
    <x v="17"/>
    <x v="15"/>
    <x v="11"/>
    <x v="8"/>
    <x v="6"/>
    <x v="8"/>
    <x v="8"/>
    <x v="4"/>
    <x v="8"/>
    <x v="5"/>
  </r>
  <r>
    <x v="0"/>
    <x v="0"/>
    <x v="2"/>
    <x v="1"/>
    <x v="1"/>
    <x v="1"/>
    <x v="0"/>
    <x v="2"/>
    <x v="4"/>
    <x v="0"/>
    <x v="9"/>
    <x v="7"/>
    <x v="9"/>
    <x v="9"/>
    <x v="5"/>
    <x v="9"/>
    <x v="6"/>
  </r>
  <r>
    <x v="0"/>
    <x v="0"/>
    <x v="2"/>
    <x v="1"/>
    <x v="2"/>
    <x v="1"/>
    <x v="0"/>
    <x v="3"/>
    <x v="3"/>
    <x v="12"/>
    <x v="0"/>
    <x v="0"/>
    <x v="10"/>
    <x v="9"/>
    <x v="6"/>
    <x v="9"/>
    <x v="6"/>
  </r>
  <r>
    <x v="0"/>
    <x v="0"/>
    <x v="2"/>
    <x v="1"/>
    <x v="3"/>
    <x v="2"/>
    <x v="16"/>
    <x v="18"/>
    <x v="16"/>
    <x v="13"/>
    <x v="10"/>
    <x v="8"/>
    <x v="11"/>
    <x v="10"/>
    <x v="7"/>
    <x v="10"/>
    <x v="7"/>
  </r>
  <r>
    <x v="0"/>
    <x v="0"/>
    <x v="2"/>
    <x v="1"/>
    <x v="4"/>
    <x v="3"/>
    <x v="13"/>
    <x v="0"/>
    <x v="13"/>
    <x v="7"/>
    <x v="11"/>
    <x v="7"/>
    <x v="12"/>
    <x v="9"/>
    <x v="5"/>
    <x v="11"/>
    <x v="8"/>
  </r>
  <r>
    <x v="0"/>
    <x v="0"/>
    <x v="2"/>
    <x v="1"/>
    <x v="5"/>
    <x v="4"/>
    <x v="2"/>
    <x v="4"/>
    <x v="2"/>
    <x v="1"/>
    <x v="4"/>
    <x v="3"/>
    <x v="2"/>
    <x v="5"/>
    <x v="8"/>
    <x v="0"/>
    <x v="9"/>
  </r>
  <r>
    <x v="0"/>
    <x v="0"/>
    <x v="2"/>
    <x v="1"/>
    <x v="6"/>
    <x v="5"/>
    <x v="1"/>
    <x v="1"/>
    <x v="0"/>
    <x v="2"/>
    <x v="2"/>
    <x v="2"/>
    <x v="3"/>
    <x v="1"/>
    <x v="1"/>
    <x v="3"/>
    <x v="0"/>
  </r>
  <r>
    <x v="0"/>
    <x v="0"/>
    <x v="2"/>
    <x v="2"/>
    <x v="7"/>
    <x v="6"/>
    <x v="17"/>
    <x v="7"/>
    <x v="17"/>
    <x v="14"/>
    <x v="12"/>
    <x v="9"/>
    <x v="13"/>
    <x v="11"/>
    <x v="9"/>
    <x v="12"/>
    <x v="10"/>
  </r>
  <r>
    <x v="0"/>
    <x v="0"/>
    <x v="2"/>
    <x v="2"/>
    <x v="8"/>
    <x v="7"/>
    <x v="4"/>
    <x v="3"/>
    <x v="3"/>
    <x v="5"/>
    <x v="11"/>
    <x v="7"/>
    <x v="14"/>
    <x v="12"/>
    <x v="10"/>
    <x v="13"/>
    <x v="11"/>
  </r>
  <r>
    <x v="0"/>
    <x v="0"/>
    <x v="2"/>
    <x v="2"/>
    <x v="9"/>
    <x v="4"/>
    <x v="2"/>
    <x v="5"/>
    <x v="1"/>
    <x v="6"/>
    <x v="13"/>
    <x v="7"/>
    <x v="9"/>
    <x v="13"/>
    <x v="11"/>
    <x v="14"/>
    <x v="12"/>
  </r>
  <r>
    <x v="0"/>
    <x v="0"/>
    <x v="2"/>
    <x v="2"/>
    <x v="10"/>
    <x v="5"/>
    <x v="1"/>
    <x v="1"/>
    <x v="0"/>
    <x v="2"/>
    <x v="2"/>
    <x v="2"/>
    <x v="3"/>
    <x v="1"/>
    <x v="1"/>
    <x v="2"/>
    <x v="0"/>
  </r>
  <r>
    <x v="0"/>
    <x v="0"/>
    <x v="2"/>
    <x v="2"/>
    <x v="11"/>
    <x v="5"/>
    <x v="1"/>
    <x v="1"/>
    <x v="0"/>
    <x v="2"/>
    <x v="2"/>
    <x v="2"/>
    <x v="3"/>
    <x v="1"/>
    <x v="1"/>
    <x v="3"/>
    <x v="1"/>
  </r>
  <r>
    <x v="0"/>
    <x v="0"/>
    <x v="2"/>
    <x v="0"/>
    <x v="24"/>
    <x v="8"/>
    <x v="17"/>
    <x v="19"/>
    <x v="18"/>
    <x v="15"/>
    <x v="14"/>
    <x v="10"/>
    <x v="15"/>
    <x v="14"/>
    <x v="12"/>
    <x v="15"/>
    <x v="13"/>
  </r>
  <r>
    <x v="0"/>
    <x v="0"/>
    <x v="2"/>
    <x v="3"/>
    <x v="1"/>
    <x v="1"/>
    <x v="4"/>
    <x v="6"/>
    <x v="5"/>
    <x v="12"/>
    <x v="11"/>
    <x v="11"/>
    <x v="14"/>
    <x v="15"/>
    <x v="11"/>
    <x v="13"/>
    <x v="11"/>
  </r>
  <r>
    <x v="0"/>
    <x v="0"/>
    <x v="2"/>
    <x v="3"/>
    <x v="2"/>
    <x v="3"/>
    <x v="5"/>
    <x v="0"/>
    <x v="13"/>
    <x v="7"/>
    <x v="11"/>
    <x v="7"/>
    <x v="14"/>
    <x v="15"/>
    <x v="10"/>
    <x v="13"/>
    <x v="14"/>
  </r>
  <r>
    <x v="0"/>
    <x v="0"/>
    <x v="2"/>
    <x v="3"/>
    <x v="3"/>
    <x v="2"/>
    <x v="16"/>
    <x v="18"/>
    <x v="16"/>
    <x v="13"/>
    <x v="10"/>
    <x v="8"/>
    <x v="11"/>
    <x v="10"/>
    <x v="7"/>
    <x v="10"/>
    <x v="7"/>
  </r>
  <r>
    <x v="0"/>
    <x v="0"/>
    <x v="2"/>
    <x v="0"/>
    <x v="25"/>
    <x v="9"/>
    <x v="18"/>
    <x v="20"/>
    <x v="19"/>
    <x v="16"/>
    <x v="14"/>
    <x v="12"/>
    <x v="16"/>
    <x v="14"/>
    <x v="12"/>
    <x v="16"/>
    <x v="15"/>
  </r>
  <r>
    <x v="0"/>
    <x v="0"/>
    <x v="2"/>
    <x v="4"/>
    <x v="4"/>
    <x v="10"/>
    <x v="19"/>
    <x v="21"/>
    <x v="20"/>
    <x v="13"/>
    <x v="15"/>
    <x v="13"/>
    <x v="17"/>
    <x v="16"/>
    <x v="13"/>
    <x v="17"/>
    <x v="16"/>
  </r>
  <r>
    <x v="0"/>
    <x v="0"/>
    <x v="2"/>
    <x v="4"/>
    <x v="5"/>
    <x v="2"/>
    <x v="16"/>
    <x v="0"/>
    <x v="13"/>
    <x v="6"/>
    <x v="16"/>
    <x v="11"/>
    <x v="18"/>
    <x v="10"/>
    <x v="7"/>
    <x v="18"/>
    <x v="17"/>
  </r>
  <r>
    <x v="0"/>
    <x v="0"/>
    <x v="2"/>
    <x v="4"/>
    <x v="6"/>
    <x v="5"/>
    <x v="1"/>
    <x v="6"/>
    <x v="5"/>
    <x v="12"/>
    <x v="9"/>
    <x v="14"/>
    <x v="0"/>
    <x v="0"/>
    <x v="14"/>
    <x v="19"/>
    <x v="18"/>
  </r>
  <r>
    <x v="0"/>
    <x v="1"/>
    <x v="2"/>
    <x v="0"/>
    <x v="26"/>
    <x v="11"/>
    <x v="9"/>
    <x v="18"/>
    <x v="21"/>
    <x v="16"/>
    <x v="17"/>
    <x v="15"/>
    <x v="19"/>
    <x v="17"/>
    <x v="15"/>
    <x v="20"/>
    <x v="19"/>
  </r>
  <r>
    <x v="0"/>
    <x v="1"/>
    <x v="2"/>
    <x v="1"/>
    <x v="1"/>
    <x v="4"/>
    <x v="2"/>
    <x v="4"/>
    <x v="2"/>
    <x v="3"/>
    <x v="3"/>
    <x v="16"/>
    <x v="9"/>
    <x v="9"/>
    <x v="5"/>
    <x v="11"/>
    <x v="6"/>
  </r>
  <r>
    <x v="0"/>
    <x v="1"/>
    <x v="2"/>
    <x v="1"/>
    <x v="2"/>
    <x v="4"/>
    <x v="2"/>
    <x v="4"/>
    <x v="4"/>
    <x v="12"/>
    <x v="0"/>
    <x v="0"/>
    <x v="0"/>
    <x v="18"/>
    <x v="5"/>
    <x v="11"/>
    <x v="6"/>
  </r>
  <r>
    <x v="0"/>
    <x v="1"/>
    <x v="2"/>
    <x v="1"/>
    <x v="3"/>
    <x v="1"/>
    <x v="0"/>
    <x v="6"/>
    <x v="10"/>
    <x v="17"/>
    <x v="15"/>
    <x v="17"/>
    <x v="20"/>
    <x v="10"/>
    <x v="7"/>
    <x v="10"/>
    <x v="7"/>
  </r>
  <r>
    <x v="0"/>
    <x v="1"/>
    <x v="2"/>
    <x v="1"/>
    <x v="4"/>
    <x v="4"/>
    <x v="0"/>
    <x v="6"/>
    <x v="5"/>
    <x v="7"/>
    <x v="11"/>
    <x v="16"/>
    <x v="12"/>
    <x v="18"/>
    <x v="5"/>
    <x v="11"/>
    <x v="8"/>
  </r>
  <r>
    <x v="0"/>
    <x v="1"/>
    <x v="2"/>
    <x v="1"/>
    <x v="5"/>
    <x v="4"/>
    <x v="2"/>
    <x v="4"/>
    <x v="2"/>
    <x v="1"/>
    <x v="4"/>
    <x v="3"/>
    <x v="1"/>
    <x v="4"/>
    <x v="16"/>
    <x v="4"/>
    <x v="2"/>
  </r>
  <r>
    <x v="0"/>
    <x v="1"/>
    <x v="2"/>
    <x v="1"/>
    <x v="6"/>
    <x v="5"/>
    <x v="1"/>
    <x v="1"/>
    <x v="0"/>
    <x v="2"/>
    <x v="2"/>
    <x v="2"/>
    <x v="3"/>
    <x v="1"/>
    <x v="1"/>
    <x v="3"/>
    <x v="0"/>
  </r>
  <r>
    <x v="0"/>
    <x v="1"/>
    <x v="2"/>
    <x v="11"/>
    <x v="1"/>
    <x v="19"/>
    <x v="20"/>
    <x v="22"/>
    <x v="22"/>
    <x v="18"/>
    <x v="18"/>
    <x v="18"/>
    <x v="21"/>
    <x v="19"/>
    <x v="17"/>
    <x v="21"/>
    <x v="20"/>
  </r>
  <r>
    <x v="0"/>
    <x v="1"/>
    <x v="2"/>
    <x v="11"/>
    <x v="2"/>
    <x v="19"/>
    <x v="20"/>
    <x v="22"/>
    <x v="23"/>
    <x v="19"/>
    <x v="19"/>
    <x v="19"/>
    <x v="22"/>
    <x v="20"/>
    <x v="17"/>
    <x v="21"/>
    <x v="20"/>
  </r>
  <r>
    <x v="0"/>
    <x v="1"/>
    <x v="2"/>
    <x v="11"/>
    <x v="3"/>
    <x v="20"/>
    <x v="21"/>
    <x v="14"/>
    <x v="24"/>
    <x v="20"/>
    <x v="20"/>
    <x v="20"/>
    <x v="23"/>
    <x v="21"/>
    <x v="18"/>
    <x v="5"/>
    <x v="21"/>
  </r>
  <r>
    <x v="0"/>
    <x v="1"/>
    <x v="2"/>
    <x v="11"/>
    <x v="4"/>
    <x v="19"/>
    <x v="21"/>
    <x v="14"/>
    <x v="25"/>
    <x v="21"/>
    <x v="21"/>
    <x v="18"/>
    <x v="24"/>
    <x v="20"/>
    <x v="17"/>
    <x v="21"/>
    <x v="22"/>
  </r>
  <r>
    <x v="0"/>
    <x v="1"/>
    <x v="2"/>
    <x v="11"/>
    <x v="5"/>
    <x v="19"/>
    <x v="20"/>
    <x v="22"/>
    <x v="22"/>
    <x v="22"/>
    <x v="22"/>
    <x v="21"/>
    <x v="25"/>
    <x v="22"/>
    <x v="19"/>
    <x v="22"/>
    <x v="23"/>
  </r>
  <r>
    <x v="0"/>
    <x v="1"/>
    <x v="2"/>
    <x v="11"/>
    <x v="6"/>
    <x v="5"/>
    <x v="1"/>
    <x v="1"/>
    <x v="0"/>
    <x v="2"/>
    <x v="2"/>
    <x v="2"/>
    <x v="3"/>
    <x v="1"/>
    <x v="1"/>
    <x v="3"/>
    <x v="24"/>
  </r>
  <r>
    <x v="0"/>
    <x v="1"/>
    <x v="2"/>
    <x v="2"/>
    <x v="7"/>
    <x v="3"/>
    <x v="16"/>
    <x v="0"/>
    <x v="6"/>
    <x v="14"/>
    <x v="23"/>
    <x v="22"/>
    <x v="26"/>
    <x v="11"/>
    <x v="9"/>
    <x v="23"/>
    <x v="10"/>
  </r>
  <r>
    <x v="0"/>
    <x v="1"/>
    <x v="2"/>
    <x v="2"/>
    <x v="8"/>
    <x v="4"/>
    <x v="2"/>
    <x v="2"/>
    <x v="5"/>
    <x v="12"/>
    <x v="9"/>
    <x v="16"/>
    <x v="12"/>
    <x v="13"/>
    <x v="11"/>
    <x v="14"/>
    <x v="14"/>
  </r>
  <r>
    <x v="0"/>
    <x v="1"/>
    <x v="2"/>
    <x v="2"/>
    <x v="9"/>
    <x v="4"/>
    <x v="2"/>
    <x v="4"/>
    <x v="5"/>
    <x v="5"/>
    <x v="13"/>
    <x v="7"/>
    <x v="9"/>
    <x v="23"/>
    <x v="20"/>
    <x v="14"/>
    <x v="12"/>
  </r>
  <r>
    <x v="0"/>
    <x v="1"/>
    <x v="2"/>
    <x v="2"/>
    <x v="10"/>
    <x v="5"/>
    <x v="1"/>
    <x v="1"/>
    <x v="0"/>
    <x v="2"/>
    <x v="2"/>
    <x v="2"/>
    <x v="3"/>
    <x v="1"/>
    <x v="1"/>
    <x v="2"/>
    <x v="0"/>
  </r>
  <r>
    <x v="0"/>
    <x v="1"/>
    <x v="2"/>
    <x v="2"/>
    <x v="11"/>
    <x v="5"/>
    <x v="1"/>
    <x v="1"/>
    <x v="0"/>
    <x v="2"/>
    <x v="2"/>
    <x v="2"/>
    <x v="3"/>
    <x v="1"/>
    <x v="1"/>
    <x v="3"/>
    <x v="1"/>
  </r>
  <r>
    <x v="0"/>
    <x v="1"/>
    <x v="2"/>
    <x v="0"/>
    <x v="27"/>
    <x v="3"/>
    <x v="5"/>
    <x v="0"/>
    <x v="20"/>
    <x v="23"/>
    <x v="24"/>
    <x v="23"/>
    <x v="27"/>
    <x v="24"/>
    <x v="21"/>
    <x v="24"/>
    <x v="13"/>
  </r>
  <r>
    <x v="0"/>
    <x v="1"/>
    <x v="2"/>
    <x v="3"/>
    <x v="1"/>
    <x v="4"/>
    <x v="2"/>
    <x v="4"/>
    <x v="2"/>
    <x v="0"/>
    <x v="0"/>
    <x v="7"/>
    <x v="14"/>
    <x v="15"/>
    <x v="11"/>
    <x v="25"/>
    <x v="11"/>
  </r>
  <r>
    <x v="0"/>
    <x v="1"/>
    <x v="2"/>
    <x v="3"/>
    <x v="2"/>
    <x v="4"/>
    <x v="2"/>
    <x v="2"/>
    <x v="5"/>
    <x v="7"/>
    <x v="11"/>
    <x v="16"/>
    <x v="9"/>
    <x v="13"/>
    <x v="11"/>
    <x v="25"/>
    <x v="14"/>
  </r>
  <r>
    <x v="0"/>
    <x v="1"/>
    <x v="2"/>
    <x v="3"/>
    <x v="3"/>
    <x v="1"/>
    <x v="0"/>
    <x v="6"/>
    <x v="10"/>
    <x v="17"/>
    <x v="15"/>
    <x v="17"/>
    <x v="20"/>
    <x v="10"/>
    <x v="7"/>
    <x v="10"/>
    <x v="7"/>
  </r>
  <r>
    <x v="0"/>
    <x v="1"/>
    <x v="2"/>
    <x v="12"/>
    <x v="1"/>
    <x v="21"/>
    <x v="11"/>
    <x v="13"/>
    <x v="26"/>
    <x v="24"/>
    <x v="25"/>
    <x v="24"/>
    <x v="28"/>
    <x v="25"/>
    <x v="22"/>
    <x v="26"/>
    <x v="25"/>
  </r>
  <r>
    <x v="0"/>
    <x v="1"/>
    <x v="2"/>
    <x v="12"/>
    <x v="2"/>
    <x v="21"/>
    <x v="11"/>
    <x v="14"/>
    <x v="27"/>
    <x v="8"/>
    <x v="26"/>
    <x v="25"/>
    <x v="29"/>
    <x v="26"/>
    <x v="22"/>
    <x v="26"/>
    <x v="26"/>
  </r>
  <r>
    <x v="0"/>
    <x v="1"/>
    <x v="2"/>
    <x v="12"/>
    <x v="3"/>
    <x v="22"/>
    <x v="22"/>
    <x v="15"/>
    <x v="28"/>
    <x v="10"/>
    <x v="27"/>
    <x v="26"/>
    <x v="30"/>
    <x v="27"/>
    <x v="23"/>
    <x v="27"/>
    <x v="27"/>
  </r>
  <r>
    <x v="0"/>
    <x v="1"/>
    <x v="2"/>
    <x v="0"/>
    <x v="28"/>
    <x v="11"/>
    <x v="9"/>
    <x v="23"/>
    <x v="29"/>
    <x v="25"/>
    <x v="28"/>
    <x v="23"/>
    <x v="31"/>
    <x v="28"/>
    <x v="24"/>
    <x v="24"/>
    <x v="13"/>
  </r>
  <r>
    <x v="0"/>
    <x v="1"/>
    <x v="2"/>
    <x v="4"/>
    <x v="4"/>
    <x v="7"/>
    <x v="5"/>
    <x v="5"/>
    <x v="1"/>
    <x v="13"/>
    <x v="15"/>
    <x v="17"/>
    <x v="17"/>
    <x v="29"/>
    <x v="13"/>
    <x v="28"/>
    <x v="16"/>
  </r>
  <r>
    <x v="0"/>
    <x v="1"/>
    <x v="2"/>
    <x v="4"/>
    <x v="5"/>
    <x v="7"/>
    <x v="4"/>
    <x v="6"/>
    <x v="1"/>
    <x v="7"/>
    <x v="13"/>
    <x v="11"/>
    <x v="14"/>
    <x v="30"/>
    <x v="25"/>
    <x v="29"/>
    <x v="7"/>
  </r>
  <r>
    <x v="0"/>
    <x v="1"/>
    <x v="2"/>
    <x v="4"/>
    <x v="6"/>
    <x v="5"/>
    <x v="1"/>
    <x v="1"/>
    <x v="4"/>
    <x v="0"/>
    <x v="0"/>
    <x v="14"/>
    <x v="0"/>
    <x v="0"/>
    <x v="26"/>
    <x v="19"/>
    <x v="18"/>
  </r>
  <r>
    <x v="0"/>
    <x v="1"/>
    <x v="2"/>
    <x v="13"/>
    <x v="4"/>
    <x v="22"/>
    <x v="23"/>
    <x v="24"/>
    <x v="30"/>
    <x v="26"/>
    <x v="29"/>
    <x v="26"/>
    <x v="32"/>
    <x v="31"/>
    <x v="27"/>
    <x v="30"/>
    <x v="28"/>
  </r>
  <r>
    <x v="0"/>
    <x v="1"/>
    <x v="2"/>
    <x v="13"/>
    <x v="5"/>
    <x v="22"/>
    <x v="24"/>
    <x v="25"/>
    <x v="30"/>
    <x v="27"/>
    <x v="30"/>
    <x v="27"/>
    <x v="33"/>
    <x v="32"/>
    <x v="28"/>
    <x v="31"/>
    <x v="27"/>
  </r>
  <r>
    <x v="0"/>
    <x v="1"/>
    <x v="2"/>
    <x v="13"/>
    <x v="6"/>
    <x v="5"/>
    <x v="1"/>
    <x v="1"/>
    <x v="31"/>
    <x v="28"/>
    <x v="31"/>
    <x v="28"/>
    <x v="34"/>
    <x v="33"/>
    <x v="29"/>
    <x v="32"/>
    <x v="29"/>
  </r>
  <r>
    <x v="0"/>
    <x v="1"/>
    <x v="2"/>
    <x v="0"/>
    <x v="29"/>
    <x v="2"/>
    <x v="16"/>
    <x v="5"/>
    <x v="6"/>
    <x v="13"/>
    <x v="23"/>
    <x v="29"/>
    <x v="35"/>
    <x v="34"/>
    <x v="30"/>
    <x v="33"/>
    <x v="30"/>
  </r>
  <r>
    <x v="0"/>
    <x v="1"/>
    <x v="2"/>
    <x v="0"/>
    <x v="30"/>
    <x v="4"/>
    <x v="0"/>
    <x v="3"/>
    <x v="13"/>
    <x v="13"/>
    <x v="15"/>
    <x v="8"/>
    <x v="36"/>
    <x v="34"/>
    <x v="31"/>
    <x v="34"/>
    <x v="31"/>
  </r>
  <r>
    <x v="0"/>
    <x v="1"/>
    <x v="2"/>
    <x v="0"/>
    <x v="31"/>
    <x v="5"/>
    <x v="1"/>
    <x v="1"/>
    <x v="0"/>
    <x v="2"/>
    <x v="2"/>
    <x v="2"/>
    <x v="3"/>
    <x v="1"/>
    <x v="1"/>
    <x v="3"/>
    <x v="1"/>
  </r>
  <r>
    <x v="0"/>
    <x v="1"/>
    <x v="2"/>
    <x v="14"/>
    <x v="7"/>
    <x v="7"/>
    <x v="4"/>
    <x v="6"/>
    <x v="3"/>
    <x v="7"/>
    <x v="11"/>
    <x v="11"/>
    <x v="14"/>
    <x v="13"/>
    <x v="20"/>
    <x v="14"/>
    <x v="12"/>
  </r>
  <r>
    <x v="0"/>
    <x v="1"/>
    <x v="2"/>
    <x v="14"/>
    <x v="8"/>
    <x v="4"/>
    <x v="2"/>
    <x v="4"/>
    <x v="2"/>
    <x v="3"/>
    <x v="3"/>
    <x v="4"/>
    <x v="4"/>
    <x v="0"/>
    <x v="14"/>
    <x v="35"/>
    <x v="32"/>
  </r>
  <r>
    <x v="0"/>
    <x v="1"/>
    <x v="2"/>
    <x v="14"/>
    <x v="9"/>
    <x v="4"/>
    <x v="2"/>
    <x v="4"/>
    <x v="5"/>
    <x v="0"/>
    <x v="9"/>
    <x v="14"/>
    <x v="0"/>
    <x v="0"/>
    <x v="14"/>
    <x v="19"/>
    <x v="32"/>
  </r>
  <r>
    <x v="0"/>
    <x v="1"/>
    <x v="2"/>
    <x v="14"/>
    <x v="10"/>
    <x v="5"/>
    <x v="1"/>
    <x v="1"/>
    <x v="0"/>
    <x v="2"/>
    <x v="2"/>
    <x v="2"/>
    <x v="3"/>
    <x v="1"/>
    <x v="1"/>
    <x v="2"/>
    <x v="0"/>
  </r>
  <r>
    <x v="0"/>
    <x v="1"/>
    <x v="2"/>
    <x v="14"/>
    <x v="11"/>
    <x v="5"/>
    <x v="1"/>
    <x v="1"/>
    <x v="0"/>
    <x v="2"/>
    <x v="2"/>
    <x v="2"/>
    <x v="3"/>
    <x v="1"/>
    <x v="1"/>
    <x v="3"/>
    <x v="1"/>
  </r>
  <r>
    <x v="0"/>
    <x v="1"/>
    <x v="2"/>
    <x v="15"/>
    <x v="7"/>
    <x v="4"/>
    <x v="0"/>
    <x v="6"/>
    <x v="3"/>
    <x v="6"/>
    <x v="16"/>
    <x v="30"/>
    <x v="18"/>
    <x v="15"/>
    <x v="11"/>
    <x v="14"/>
    <x v="33"/>
  </r>
  <r>
    <x v="0"/>
    <x v="1"/>
    <x v="2"/>
    <x v="15"/>
    <x v="8"/>
    <x v="5"/>
    <x v="1"/>
    <x v="4"/>
    <x v="4"/>
    <x v="3"/>
    <x v="1"/>
    <x v="4"/>
    <x v="5"/>
    <x v="0"/>
    <x v="26"/>
    <x v="36"/>
    <x v="34"/>
  </r>
  <r>
    <x v="0"/>
    <x v="1"/>
    <x v="2"/>
    <x v="15"/>
    <x v="9"/>
    <x v="5"/>
    <x v="1"/>
    <x v="1"/>
    <x v="0"/>
    <x v="3"/>
    <x v="1"/>
    <x v="1"/>
    <x v="5"/>
    <x v="5"/>
    <x v="8"/>
    <x v="0"/>
    <x v="9"/>
  </r>
  <r>
    <x v="0"/>
    <x v="1"/>
    <x v="2"/>
    <x v="15"/>
    <x v="10"/>
    <x v="5"/>
    <x v="1"/>
    <x v="1"/>
    <x v="0"/>
    <x v="2"/>
    <x v="2"/>
    <x v="2"/>
    <x v="3"/>
    <x v="1"/>
    <x v="1"/>
    <x v="3"/>
    <x v="1"/>
  </r>
  <r>
    <x v="0"/>
    <x v="1"/>
    <x v="2"/>
    <x v="15"/>
    <x v="11"/>
    <x v="5"/>
    <x v="1"/>
    <x v="1"/>
    <x v="0"/>
    <x v="2"/>
    <x v="2"/>
    <x v="2"/>
    <x v="3"/>
    <x v="1"/>
    <x v="1"/>
    <x v="3"/>
    <x v="1"/>
  </r>
  <r>
    <x v="0"/>
    <x v="1"/>
    <x v="2"/>
    <x v="16"/>
    <x v="7"/>
    <x v="5"/>
    <x v="1"/>
    <x v="1"/>
    <x v="0"/>
    <x v="2"/>
    <x v="2"/>
    <x v="2"/>
    <x v="3"/>
    <x v="1"/>
    <x v="1"/>
    <x v="3"/>
    <x v="1"/>
  </r>
  <r>
    <x v="0"/>
    <x v="1"/>
    <x v="2"/>
    <x v="16"/>
    <x v="8"/>
    <x v="5"/>
    <x v="1"/>
    <x v="1"/>
    <x v="0"/>
    <x v="2"/>
    <x v="2"/>
    <x v="2"/>
    <x v="3"/>
    <x v="1"/>
    <x v="1"/>
    <x v="3"/>
    <x v="1"/>
  </r>
  <r>
    <x v="0"/>
    <x v="1"/>
    <x v="2"/>
    <x v="16"/>
    <x v="9"/>
    <x v="5"/>
    <x v="1"/>
    <x v="1"/>
    <x v="0"/>
    <x v="2"/>
    <x v="2"/>
    <x v="2"/>
    <x v="3"/>
    <x v="1"/>
    <x v="1"/>
    <x v="3"/>
    <x v="1"/>
  </r>
  <r>
    <x v="0"/>
    <x v="1"/>
    <x v="2"/>
    <x v="16"/>
    <x v="10"/>
    <x v="5"/>
    <x v="1"/>
    <x v="1"/>
    <x v="0"/>
    <x v="2"/>
    <x v="2"/>
    <x v="2"/>
    <x v="3"/>
    <x v="1"/>
    <x v="1"/>
    <x v="3"/>
    <x v="1"/>
  </r>
  <r>
    <x v="0"/>
    <x v="1"/>
    <x v="2"/>
    <x v="16"/>
    <x v="11"/>
    <x v="5"/>
    <x v="1"/>
    <x v="1"/>
    <x v="0"/>
    <x v="2"/>
    <x v="2"/>
    <x v="2"/>
    <x v="3"/>
    <x v="1"/>
    <x v="1"/>
    <x v="3"/>
    <x v="1"/>
  </r>
  <r>
    <x v="0"/>
    <x v="1"/>
    <x v="3"/>
    <x v="0"/>
    <x v="32"/>
    <x v="16"/>
    <x v="25"/>
    <x v="26"/>
    <x v="28"/>
    <x v="29"/>
    <x v="32"/>
    <x v="31"/>
    <x v="37"/>
    <x v="35"/>
    <x v="32"/>
    <x v="37"/>
    <x v="35"/>
  </r>
  <r>
    <x v="0"/>
    <x v="1"/>
    <x v="3"/>
    <x v="3"/>
    <x v="1"/>
    <x v="22"/>
    <x v="22"/>
    <x v="15"/>
    <x v="24"/>
    <x v="9"/>
    <x v="33"/>
    <x v="32"/>
    <x v="1"/>
    <x v="3"/>
    <x v="0"/>
    <x v="38"/>
    <x v="0"/>
  </r>
  <r>
    <x v="0"/>
    <x v="1"/>
    <x v="3"/>
    <x v="3"/>
    <x v="2"/>
    <x v="22"/>
    <x v="22"/>
    <x v="16"/>
    <x v="24"/>
    <x v="1"/>
    <x v="4"/>
    <x v="3"/>
    <x v="38"/>
    <x v="36"/>
    <x v="33"/>
    <x v="38"/>
    <x v="0"/>
  </r>
  <r>
    <x v="0"/>
    <x v="1"/>
    <x v="3"/>
    <x v="3"/>
    <x v="3"/>
    <x v="23"/>
    <x v="26"/>
    <x v="14"/>
    <x v="32"/>
    <x v="30"/>
    <x v="34"/>
    <x v="33"/>
    <x v="39"/>
    <x v="3"/>
    <x v="0"/>
    <x v="2"/>
    <x v="0"/>
  </r>
  <r>
    <x v="0"/>
    <x v="1"/>
    <x v="3"/>
    <x v="4"/>
    <x v="4"/>
    <x v="21"/>
    <x v="7"/>
    <x v="15"/>
    <x v="24"/>
    <x v="1"/>
    <x v="4"/>
    <x v="32"/>
    <x v="1"/>
    <x v="36"/>
    <x v="0"/>
    <x v="2"/>
    <x v="0"/>
  </r>
  <r>
    <x v="0"/>
    <x v="1"/>
    <x v="3"/>
    <x v="4"/>
    <x v="5"/>
    <x v="4"/>
    <x v="2"/>
    <x v="4"/>
    <x v="2"/>
    <x v="1"/>
    <x v="4"/>
    <x v="3"/>
    <x v="7"/>
    <x v="37"/>
    <x v="34"/>
    <x v="39"/>
    <x v="36"/>
  </r>
  <r>
    <x v="0"/>
    <x v="1"/>
    <x v="3"/>
    <x v="4"/>
    <x v="6"/>
    <x v="24"/>
    <x v="27"/>
    <x v="27"/>
    <x v="33"/>
    <x v="31"/>
    <x v="35"/>
    <x v="34"/>
    <x v="40"/>
    <x v="38"/>
    <x v="35"/>
    <x v="40"/>
    <x v="0"/>
  </r>
  <r>
    <x v="0"/>
    <x v="1"/>
    <x v="3"/>
    <x v="2"/>
    <x v="7"/>
    <x v="23"/>
    <x v="28"/>
    <x v="10"/>
    <x v="34"/>
    <x v="1"/>
    <x v="36"/>
    <x v="35"/>
    <x v="41"/>
    <x v="3"/>
    <x v="0"/>
    <x v="41"/>
    <x v="0"/>
  </r>
  <r>
    <x v="0"/>
    <x v="1"/>
    <x v="3"/>
    <x v="2"/>
    <x v="8"/>
    <x v="20"/>
    <x v="7"/>
    <x v="15"/>
    <x v="14"/>
    <x v="32"/>
    <x v="37"/>
    <x v="32"/>
    <x v="42"/>
    <x v="39"/>
    <x v="36"/>
    <x v="42"/>
    <x v="37"/>
  </r>
  <r>
    <x v="0"/>
    <x v="1"/>
    <x v="3"/>
    <x v="2"/>
    <x v="9"/>
    <x v="4"/>
    <x v="2"/>
    <x v="28"/>
    <x v="35"/>
    <x v="33"/>
    <x v="4"/>
    <x v="3"/>
    <x v="1"/>
    <x v="40"/>
    <x v="37"/>
    <x v="2"/>
    <x v="0"/>
  </r>
  <r>
    <x v="0"/>
    <x v="1"/>
    <x v="3"/>
    <x v="2"/>
    <x v="10"/>
    <x v="24"/>
    <x v="27"/>
    <x v="27"/>
    <x v="33"/>
    <x v="31"/>
    <x v="35"/>
    <x v="34"/>
    <x v="40"/>
    <x v="38"/>
    <x v="35"/>
    <x v="2"/>
    <x v="0"/>
  </r>
  <r>
    <x v="0"/>
    <x v="1"/>
    <x v="3"/>
    <x v="2"/>
    <x v="11"/>
    <x v="24"/>
    <x v="27"/>
    <x v="27"/>
    <x v="33"/>
    <x v="31"/>
    <x v="35"/>
    <x v="34"/>
    <x v="40"/>
    <x v="38"/>
    <x v="35"/>
    <x v="40"/>
    <x v="38"/>
  </r>
  <r>
    <x v="0"/>
    <x v="1"/>
    <x v="3"/>
    <x v="0"/>
    <x v="33"/>
    <x v="25"/>
    <x v="7"/>
    <x v="14"/>
    <x v="36"/>
    <x v="34"/>
    <x v="38"/>
    <x v="36"/>
    <x v="43"/>
    <x v="41"/>
    <x v="38"/>
    <x v="43"/>
    <x v="0"/>
  </r>
  <r>
    <x v="0"/>
    <x v="1"/>
    <x v="3"/>
    <x v="3"/>
    <x v="1"/>
    <x v="22"/>
    <x v="7"/>
    <x v="14"/>
    <x v="37"/>
    <x v="35"/>
    <x v="5"/>
    <x v="37"/>
    <x v="1"/>
    <x v="3"/>
    <x v="0"/>
    <x v="44"/>
    <x v="0"/>
  </r>
  <r>
    <x v="0"/>
    <x v="1"/>
    <x v="3"/>
    <x v="3"/>
    <x v="2"/>
    <x v="21"/>
    <x v="11"/>
    <x v="14"/>
    <x v="24"/>
    <x v="1"/>
    <x v="4"/>
    <x v="32"/>
    <x v="44"/>
    <x v="42"/>
    <x v="36"/>
    <x v="44"/>
    <x v="0"/>
  </r>
  <r>
    <x v="0"/>
    <x v="1"/>
    <x v="3"/>
    <x v="3"/>
    <x v="3"/>
    <x v="23"/>
    <x v="26"/>
    <x v="14"/>
    <x v="32"/>
    <x v="30"/>
    <x v="34"/>
    <x v="33"/>
    <x v="39"/>
    <x v="3"/>
    <x v="0"/>
    <x v="2"/>
    <x v="0"/>
  </r>
  <r>
    <x v="0"/>
    <x v="1"/>
    <x v="3"/>
    <x v="0"/>
    <x v="34"/>
    <x v="26"/>
    <x v="29"/>
    <x v="29"/>
    <x v="35"/>
    <x v="36"/>
    <x v="39"/>
    <x v="33"/>
    <x v="45"/>
    <x v="43"/>
    <x v="39"/>
    <x v="45"/>
    <x v="39"/>
  </r>
  <r>
    <x v="0"/>
    <x v="1"/>
    <x v="3"/>
    <x v="4"/>
    <x v="4"/>
    <x v="13"/>
    <x v="26"/>
    <x v="30"/>
    <x v="38"/>
    <x v="1"/>
    <x v="4"/>
    <x v="38"/>
    <x v="1"/>
    <x v="44"/>
    <x v="0"/>
    <x v="46"/>
    <x v="0"/>
  </r>
  <r>
    <x v="0"/>
    <x v="1"/>
    <x v="3"/>
    <x v="4"/>
    <x v="5"/>
    <x v="27"/>
    <x v="30"/>
    <x v="15"/>
    <x v="39"/>
    <x v="34"/>
    <x v="36"/>
    <x v="3"/>
    <x v="46"/>
    <x v="45"/>
    <x v="40"/>
    <x v="47"/>
    <x v="40"/>
  </r>
  <r>
    <x v="0"/>
    <x v="1"/>
    <x v="3"/>
    <x v="4"/>
    <x v="6"/>
    <x v="24"/>
    <x v="27"/>
    <x v="1"/>
    <x v="40"/>
    <x v="35"/>
    <x v="40"/>
    <x v="3"/>
    <x v="1"/>
    <x v="3"/>
    <x v="41"/>
    <x v="2"/>
    <x v="0"/>
  </r>
  <r>
    <x v="0"/>
    <x v="1"/>
    <x v="4"/>
    <x v="0"/>
    <x v="14"/>
    <x v="28"/>
    <x v="31"/>
    <x v="31"/>
    <x v="41"/>
    <x v="37"/>
    <x v="41"/>
    <x v="39"/>
    <x v="47"/>
    <x v="46"/>
    <x v="42"/>
    <x v="48"/>
    <x v="41"/>
  </r>
  <r>
    <x v="0"/>
    <x v="1"/>
    <x v="4"/>
    <x v="1"/>
    <x v="1"/>
    <x v="29"/>
    <x v="1"/>
    <x v="1"/>
    <x v="0"/>
    <x v="38"/>
    <x v="42"/>
    <x v="40"/>
    <x v="48"/>
    <x v="1"/>
    <x v="1"/>
    <x v="49"/>
    <x v="42"/>
  </r>
  <r>
    <x v="0"/>
    <x v="1"/>
    <x v="4"/>
    <x v="1"/>
    <x v="2"/>
    <x v="30"/>
    <x v="1"/>
    <x v="1"/>
    <x v="42"/>
    <x v="39"/>
    <x v="2"/>
    <x v="2"/>
    <x v="49"/>
    <x v="47"/>
    <x v="43"/>
    <x v="50"/>
    <x v="43"/>
  </r>
  <r>
    <x v="0"/>
    <x v="1"/>
    <x v="4"/>
    <x v="1"/>
    <x v="3"/>
    <x v="31"/>
    <x v="1"/>
    <x v="32"/>
    <x v="43"/>
    <x v="40"/>
    <x v="43"/>
    <x v="41"/>
    <x v="50"/>
    <x v="48"/>
    <x v="1"/>
    <x v="3"/>
    <x v="1"/>
  </r>
  <r>
    <x v="0"/>
    <x v="1"/>
    <x v="4"/>
    <x v="1"/>
    <x v="4"/>
    <x v="32"/>
    <x v="31"/>
    <x v="33"/>
    <x v="0"/>
    <x v="41"/>
    <x v="2"/>
    <x v="2"/>
    <x v="51"/>
    <x v="1"/>
    <x v="44"/>
    <x v="51"/>
    <x v="1"/>
  </r>
  <r>
    <x v="0"/>
    <x v="1"/>
    <x v="4"/>
    <x v="1"/>
    <x v="5"/>
    <x v="33"/>
    <x v="1"/>
    <x v="1"/>
    <x v="0"/>
    <x v="2"/>
    <x v="2"/>
    <x v="2"/>
    <x v="3"/>
    <x v="49"/>
    <x v="1"/>
    <x v="3"/>
    <x v="1"/>
  </r>
  <r>
    <x v="0"/>
    <x v="1"/>
    <x v="4"/>
    <x v="1"/>
    <x v="6"/>
    <x v="5"/>
    <x v="1"/>
    <x v="1"/>
    <x v="0"/>
    <x v="2"/>
    <x v="2"/>
    <x v="2"/>
    <x v="3"/>
    <x v="1"/>
    <x v="1"/>
    <x v="3"/>
    <x v="44"/>
  </r>
  <r>
    <x v="0"/>
    <x v="1"/>
    <x v="4"/>
    <x v="2"/>
    <x v="7"/>
    <x v="34"/>
    <x v="31"/>
    <x v="33"/>
    <x v="44"/>
    <x v="42"/>
    <x v="44"/>
    <x v="42"/>
    <x v="52"/>
    <x v="50"/>
    <x v="1"/>
    <x v="49"/>
    <x v="43"/>
  </r>
  <r>
    <x v="0"/>
    <x v="1"/>
    <x v="4"/>
    <x v="2"/>
    <x v="8"/>
    <x v="32"/>
    <x v="1"/>
    <x v="32"/>
    <x v="42"/>
    <x v="43"/>
    <x v="42"/>
    <x v="43"/>
    <x v="50"/>
    <x v="51"/>
    <x v="44"/>
    <x v="3"/>
    <x v="45"/>
  </r>
  <r>
    <x v="0"/>
    <x v="1"/>
    <x v="4"/>
    <x v="2"/>
    <x v="9"/>
    <x v="35"/>
    <x v="1"/>
    <x v="1"/>
    <x v="45"/>
    <x v="44"/>
    <x v="45"/>
    <x v="2"/>
    <x v="49"/>
    <x v="52"/>
    <x v="43"/>
    <x v="50"/>
    <x v="1"/>
  </r>
  <r>
    <x v="0"/>
    <x v="1"/>
    <x v="4"/>
    <x v="2"/>
    <x v="10"/>
    <x v="5"/>
    <x v="1"/>
    <x v="1"/>
    <x v="0"/>
    <x v="2"/>
    <x v="2"/>
    <x v="2"/>
    <x v="3"/>
    <x v="1"/>
    <x v="1"/>
    <x v="51"/>
    <x v="1"/>
  </r>
  <r>
    <x v="0"/>
    <x v="1"/>
    <x v="4"/>
    <x v="2"/>
    <x v="11"/>
    <x v="5"/>
    <x v="1"/>
    <x v="1"/>
    <x v="0"/>
    <x v="2"/>
    <x v="2"/>
    <x v="2"/>
    <x v="3"/>
    <x v="1"/>
    <x v="1"/>
    <x v="3"/>
    <x v="1"/>
  </r>
  <r>
    <x v="0"/>
    <x v="1"/>
    <x v="5"/>
    <x v="0"/>
    <x v="14"/>
    <x v="36"/>
    <x v="31"/>
    <x v="34"/>
    <x v="46"/>
    <x v="45"/>
    <x v="46"/>
    <x v="44"/>
    <x v="53"/>
    <x v="53"/>
    <x v="45"/>
    <x v="52"/>
    <x v="46"/>
  </r>
  <r>
    <x v="0"/>
    <x v="1"/>
    <x v="5"/>
    <x v="1"/>
    <x v="1"/>
    <x v="37"/>
    <x v="1"/>
    <x v="1"/>
    <x v="0"/>
    <x v="46"/>
    <x v="47"/>
    <x v="45"/>
    <x v="54"/>
    <x v="1"/>
    <x v="1"/>
    <x v="53"/>
    <x v="47"/>
  </r>
  <r>
    <x v="0"/>
    <x v="1"/>
    <x v="5"/>
    <x v="1"/>
    <x v="2"/>
    <x v="30"/>
    <x v="1"/>
    <x v="1"/>
    <x v="47"/>
    <x v="47"/>
    <x v="2"/>
    <x v="2"/>
    <x v="55"/>
    <x v="54"/>
    <x v="46"/>
    <x v="54"/>
    <x v="48"/>
  </r>
  <r>
    <x v="0"/>
    <x v="1"/>
    <x v="5"/>
    <x v="1"/>
    <x v="3"/>
    <x v="38"/>
    <x v="1"/>
    <x v="35"/>
    <x v="48"/>
    <x v="48"/>
    <x v="48"/>
    <x v="46"/>
    <x v="56"/>
    <x v="48"/>
    <x v="1"/>
    <x v="3"/>
    <x v="1"/>
  </r>
  <r>
    <x v="0"/>
    <x v="1"/>
    <x v="5"/>
    <x v="1"/>
    <x v="4"/>
    <x v="32"/>
    <x v="31"/>
    <x v="36"/>
    <x v="0"/>
    <x v="49"/>
    <x v="2"/>
    <x v="2"/>
    <x v="57"/>
    <x v="1"/>
    <x v="44"/>
    <x v="51"/>
    <x v="1"/>
  </r>
  <r>
    <x v="0"/>
    <x v="1"/>
    <x v="5"/>
    <x v="1"/>
    <x v="5"/>
    <x v="39"/>
    <x v="1"/>
    <x v="1"/>
    <x v="0"/>
    <x v="2"/>
    <x v="2"/>
    <x v="2"/>
    <x v="3"/>
    <x v="49"/>
    <x v="1"/>
    <x v="3"/>
    <x v="1"/>
  </r>
  <r>
    <x v="0"/>
    <x v="1"/>
    <x v="5"/>
    <x v="1"/>
    <x v="6"/>
    <x v="5"/>
    <x v="1"/>
    <x v="1"/>
    <x v="0"/>
    <x v="2"/>
    <x v="2"/>
    <x v="2"/>
    <x v="3"/>
    <x v="1"/>
    <x v="1"/>
    <x v="3"/>
    <x v="49"/>
  </r>
  <r>
    <x v="0"/>
    <x v="1"/>
    <x v="5"/>
    <x v="2"/>
    <x v="7"/>
    <x v="40"/>
    <x v="31"/>
    <x v="36"/>
    <x v="49"/>
    <x v="50"/>
    <x v="49"/>
    <x v="47"/>
    <x v="58"/>
    <x v="55"/>
    <x v="1"/>
    <x v="53"/>
    <x v="48"/>
  </r>
  <r>
    <x v="0"/>
    <x v="1"/>
    <x v="5"/>
    <x v="2"/>
    <x v="8"/>
    <x v="32"/>
    <x v="1"/>
    <x v="35"/>
    <x v="47"/>
    <x v="51"/>
    <x v="47"/>
    <x v="48"/>
    <x v="56"/>
    <x v="51"/>
    <x v="44"/>
    <x v="3"/>
    <x v="50"/>
  </r>
  <r>
    <x v="0"/>
    <x v="1"/>
    <x v="5"/>
    <x v="2"/>
    <x v="9"/>
    <x v="41"/>
    <x v="1"/>
    <x v="1"/>
    <x v="50"/>
    <x v="52"/>
    <x v="50"/>
    <x v="2"/>
    <x v="55"/>
    <x v="56"/>
    <x v="46"/>
    <x v="54"/>
    <x v="1"/>
  </r>
  <r>
    <x v="0"/>
    <x v="1"/>
    <x v="5"/>
    <x v="2"/>
    <x v="10"/>
    <x v="5"/>
    <x v="1"/>
    <x v="1"/>
    <x v="0"/>
    <x v="2"/>
    <x v="2"/>
    <x v="2"/>
    <x v="3"/>
    <x v="1"/>
    <x v="1"/>
    <x v="51"/>
    <x v="1"/>
  </r>
  <r>
    <x v="0"/>
    <x v="1"/>
    <x v="5"/>
    <x v="2"/>
    <x v="11"/>
    <x v="5"/>
    <x v="1"/>
    <x v="1"/>
    <x v="0"/>
    <x v="2"/>
    <x v="2"/>
    <x v="2"/>
    <x v="3"/>
    <x v="1"/>
    <x v="1"/>
    <x v="3"/>
    <x v="1"/>
  </r>
  <r>
    <x v="0"/>
    <x v="1"/>
    <x v="4"/>
    <x v="0"/>
    <x v="35"/>
    <x v="42"/>
    <x v="1"/>
    <x v="1"/>
    <x v="51"/>
    <x v="53"/>
    <x v="51"/>
    <x v="49"/>
    <x v="59"/>
    <x v="57"/>
    <x v="47"/>
    <x v="55"/>
    <x v="51"/>
  </r>
  <r>
    <x v="0"/>
    <x v="1"/>
    <x v="4"/>
    <x v="0"/>
    <x v="36"/>
    <x v="43"/>
    <x v="32"/>
    <x v="37"/>
    <x v="52"/>
    <x v="54"/>
    <x v="52"/>
    <x v="50"/>
    <x v="60"/>
    <x v="58"/>
    <x v="1"/>
    <x v="3"/>
    <x v="52"/>
  </r>
  <r>
    <x v="0"/>
    <x v="1"/>
    <x v="4"/>
    <x v="0"/>
    <x v="37"/>
    <x v="5"/>
    <x v="1"/>
    <x v="1"/>
    <x v="0"/>
    <x v="2"/>
    <x v="2"/>
    <x v="2"/>
    <x v="3"/>
    <x v="1"/>
    <x v="1"/>
    <x v="3"/>
    <x v="1"/>
  </r>
  <r>
    <x v="0"/>
    <x v="1"/>
    <x v="4"/>
    <x v="5"/>
    <x v="7"/>
    <x v="44"/>
    <x v="1"/>
    <x v="1"/>
    <x v="53"/>
    <x v="55"/>
    <x v="2"/>
    <x v="49"/>
    <x v="61"/>
    <x v="59"/>
    <x v="1"/>
    <x v="56"/>
    <x v="1"/>
  </r>
  <r>
    <x v="0"/>
    <x v="1"/>
    <x v="4"/>
    <x v="5"/>
    <x v="8"/>
    <x v="45"/>
    <x v="1"/>
    <x v="1"/>
    <x v="0"/>
    <x v="56"/>
    <x v="53"/>
    <x v="2"/>
    <x v="62"/>
    <x v="60"/>
    <x v="48"/>
    <x v="3"/>
    <x v="51"/>
  </r>
  <r>
    <x v="0"/>
    <x v="1"/>
    <x v="4"/>
    <x v="5"/>
    <x v="9"/>
    <x v="46"/>
    <x v="1"/>
    <x v="1"/>
    <x v="54"/>
    <x v="2"/>
    <x v="54"/>
    <x v="2"/>
    <x v="3"/>
    <x v="1"/>
    <x v="49"/>
    <x v="57"/>
    <x v="1"/>
  </r>
  <r>
    <x v="0"/>
    <x v="1"/>
    <x v="4"/>
    <x v="5"/>
    <x v="10"/>
    <x v="5"/>
    <x v="1"/>
    <x v="1"/>
    <x v="0"/>
    <x v="2"/>
    <x v="2"/>
    <x v="2"/>
    <x v="3"/>
    <x v="1"/>
    <x v="1"/>
    <x v="58"/>
    <x v="1"/>
  </r>
  <r>
    <x v="0"/>
    <x v="1"/>
    <x v="4"/>
    <x v="5"/>
    <x v="11"/>
    <x v="5"/>
    <x v="1"/>
    <x v="1"/>
    <x v="0"/>
    <x v="2"/>
    <x v="2"/>
    <x v="2"/>
    <x v="3"/>
    <x v="1"/>
    <x v="1"/>
    <x v="3"/>
    <x v="1"/>
  </r>
  <r>
    <x v="0"/>
    <x v="1"/>
    <x v="4"/>
    <x v="6"/>
    <x v="7"/>
    <x v="43"/>
    <x v="32"/>
    <x v="38"/>
    <x v="55"/>
    <x v="57"/>
    <x v="52"/>
    <x v="51"/>
    <x v="63"/>
    <x v="1"/>
    <x v="1"/>
    <x v="3"/>
    <x v="53"/>
  </r>
  <r>
    <x v="0"/>
    <x v="1"/>
    <x v="4"/>
    <x v="6"/>
    <x v="8"/>
    <x v="5"/>
    <x v="1"/>
    <x v="39"/>
    <x v="56"/>
    <x v="2"/>
    <x v="2"/>
    <x v="52"/>
    <x v="3"/>
    <x v="61"/>
    <x v="1"/>
    <x v="3"/>
    <x v="54"/>
  </r>
  <r>
    <x v="0"/>
    <x v="1"/>
    <x v="4"/>
    <x v="6"/>
    <x v="9"/>
    <x v="5"/>
    <x v="1"/>
    <x v="1"/>
    <x v="0"/>
    <x v="58"/>
    <x v="2"/>
    <x v="2"/>
    <x v="64"/>
    <x v="62"/>
    <x v="1"/>
    <x v="3"/>
    <x v="1"/>
  </r>
  <r>
    <x v="0"/>
    <x v="1"/>
    <x v="4"/>
    <x v="6"/>
    <x v="10"/>
    <x v="5"/>
    <x v="1"/>
    <x v="1"/>
    <x v="0"/>
    <x v="2"/>
    <x v="2"/>
    <x v="2"/>
    <x v="3"/>
    <x v="1"/>
    <x v="1"/>
    <x v="3"/>
    <x v="1"/>
  </r>
  <r>
    <x v="0"/>
    <x v="1"/>
    <x v="4"/>
    <x v="6"/>
    <x v="11"/>
    <x v="5"/>
    <x v="1"/>
    <x v="1"/>
    <x v="0"/>
    <x v="2"/>
    <x v="2"/>
    <x v="2"/>
    <x v="3"/>
    <x v="1"/>
    <x v="1"/>
    <x v="3"/>
    <x v="1"/>
  </r>
  <r>
    <x v="0"/>
    <x v="1"/>
    <x v="5"/>
    <x v="0"/>
    <x v="35"/>
    <x v="42"/>
    <x v="1"/>
    <x v="1"/>
    <x v="51"/>
    <x v="53"/>
    <x v="51"/>
    <x v="49"/>
    <x v="59"/>
    <x v="57"/>
    <x v="47"/>
    <x v="55"/>
    <x v="51"/>
  </r>
  <r>
    <x v="0"/>
    <x v="1"/>
    <x v="5"/>
    <x v="0"/>
    <x v="36"/>
    <x v="43"/>
    <x v="32"/>
    <x v="37"/>
    <x v="52"/>
    <x v="54"/>
    <x v="52"/>
    <x v="50"/>
    <x v="60"/>
    <x v="58"/>
    <x v="1"/>
    <x v="3"/>
    <x v="52"/>
  </r>
  <r>
    <x v="0"/>
    <x v="1"/>
    <x v="5"/>
    <x v="0"/>
    <x v="37"/>
    <x v="5"/>
    <x v="1"/>
    <x v="1"/>
    <x v="0"/>
    <x v="2"/>
    <x v="2"/>
    <x v="2"/>
    <x v="3"/>
    <x v="1"/>
    <x v="1"/>
    <x v="3"/>
    <x v="1"/>
  </r>
  <r>
    <x v="0"/>
    <x v="1"/>
    <x v="5"/>
    <x v="5"/>
    <x v="7"/>
    <x v="44"/>
    <x v="1"/>
    <x v="1"/>
    <x v="53"/>
    <x v="55"/>
    <x v="2"/>
    <x v="49"/>
    <x v="61"/>
    <x v="59"/>
    <x v="1"/>
    <x v="56"/>
    <x v="1"/>
  </r>
  <r>
    <x v="0"/>
    <x v="1"/>
    <x v="5"/>
    <x v="5"/>
    <x v="8"/>
    <x v="45"/>
    <x v="1"/>
    <x v="1"/>
    <x v="0"/>
    <x v="56"/>
    <x v="53"/>
    <x v="2"/>
    <x v="62"/>
    <x v="60"/>
    <x v="48"/>
    <x v="3"/>
    <x v="51"/>
  </r>
  <r>
    <x v="0"/>
    <x v="1"/>
    <x v="5"/>
    <x v="5"/>
    <x v="9"/>
    <x v="46"/>
    <x v="1"/>
    <x v="1"/>
    <x v="54"/>
    <x v="2"/>
    <x v="54"/>
    <x v="2"/>
    <x v="3"/>
    <x v="1"/>
    <x v="49"/>
    <x v="57"/>
    <x v="1"/>
  </r>
  <r>
    <x v="0"/>
    <x v="1"/>
    <x v="5"/>
    <x v="5"/>
    <x v="10"/>
    <x v="5"/>
    <x v="1"/>
    <x v="1"/>
    <x v="0"/>
    <x v="2"/>
    <x v="2"/>
    <x v="2"/>
    <x v="3"/>
    <x v="1"/>
    <x v="1"/>
    <x v="58"/>
    <x v="1"/>
  </r>
  <r>
    <x v="0"/>
    <x v="1"/>
    <x v="5"/>
    <x v="5"/>
    <x v="11"/>
    <x v="5"/>
    <x v="1"/>
    <x v="1"/>
    <x v="0"/>
    <x v="2"/>
    <x v="2"/>
    <x v="2"/>
    <x v="3"/>
    <x v="1"/>
    <x v="1"/>
    <x v="3"/>
    <x v="1"/>
  </r>
  <r>
    <x v="0"/>
    <x v="1"/>
    <x v="5"/>
    <x v="6"/>
    <x v="7"/>
    <x v="43"/>
    <x v="32"/>
    <x v="38"/>
    <x v="55"/>
    <x v="57"/>
    <x v="52"/>
    <x v="51"/>
    <x v="63"/>
    <x v="1"/>
    <x v="1"/>
    <x v="3"/>
    <x v="53"/>
  </r>
  <r>
    <x v="0"/>
    <x v="1"/>
    <x v="5"/>
    <x v="6"/>
    <x v="8"/>
    <x v="5"/>
    <x v="1"/>
    <x v="39"/>
    <x v="56"/>
    <x v="2"/>
    <x v="2"/>
    <x v="52"/>
    <x v="3"/>
    <x v="61"/>
    <x v="1"/>
    <x v="3"/>
    <x v="54"/>
  </r>
  <r>
    <x v="0"/>
    <x v="1"/>
    <x v="5"/>
    <x v="6"/>
    <x v="9"/>
    <x v="5"/>
    <x v="1"/>
    <x v="1"/>
    <x v="0"/>
    <x v="58"/>
    <x v="2"/>
    <x v="2"/>
    <x v="64"/>
    <x v="62"/>
    <x v="1"/>
    <x v="3"/>
    <x v="1"/>
  </r>
  <r>
    <x v="0"/>
    <x v="1"/>
    <x v="5"/>
    <x v="6"/>
    <x v="10"/>
    <x v="5"/>
    <x v="1"/>
    <x v="1"/>
    <x v="0"/>
    <x v="2"/>
    <x v="2"/>
    <x v="2"/>
    <x v="3"/>
    <x v="1"/>
    <x v="1"/>
    <x v="3"/>
    <x v="1"/>
  </r>
  <r>
    <x v="0"/>
    <x v="1"/>
    <x v="5"/>
    <x v="6"/>
    <x v="11"/>
    <x v="5"/>
    <x v="1"/>
    <x v="1"/>
    <x v="0"/>
    <x v="2"/>
    <x v="2"/>
    <x v="2"/>
    <x v="3"/>
    <x v="1"/>
    <x v="1"/>
    <x v="3"/>
    <x v="1"/>
  </r>
  <r>
    <x v="0"/>
    <x v="1"/>
    <x v="6"/>
    <x v="0"/>
    <x v="26"/>
    <x v="28"/>
    <x v="33"/>
    <x v="40"/>
    <x v="57"/>
    <x v="59"/>
    <x v="55"/>
    <x v="53"/>
    <x v="65"/>
    <x v="63"/>
    <x v="50"/>
    <x v="59"/>
    <x v="55"/>
  </r>
  <r>
    <x v="0"/>
    <x v="1"/>
    <x v="6"/>
    <x v="1"/>
    <x v="1"/>
    <x v="29"/>
    <x v="34"/>
    <x v="41"/>
    <x v="58"/>
    <x v="60"/>
    <x v="56"/>
    <x v="54"/>
    <x v="66"/>
    <x v="64"/>
    <x v="51"/>
    <x v="60"/>
    <x v="56"/>
  </r>
  <r>
    <x v="0"/>
    <x v="1"/>
    <x v="6"/>
    <x v="1"/>
    <x v="2"/>
    <x v="30"/>
    <x v="35"/>
    <x v="42"/>
    <x v="59"/>
    <x v="61"/>
    <x v="57"/>
    <x v="55"/>
    <x v="67"/>
    <x v="65"/>
    <x v="52"/>
    <x v="61"/>
    <x v="57"/>
  </r>
  <r>
    <x v="0"/>
    <x v="1"/>
    <x v="6"/>
    <x v="1"/>
    <x v="3"/>
    <x v="31"/>
    <x v="36"/>
    <x v="43"/>
    <x v="60"/>
    <x v="62"/>
    <x v="58"/>
    <x v="56"/>
    <x v="68"/>
    <x v="66"/>
    <x v="53"/>
    <x v="62"/>
    <x v="58"/>
  </r>
  <r>
    <x v="0"/>
    <x v="1"/>
    <x v="6"/>
    <x v="1"/>
    <x v="4"/>
    <x v="32"/>
    <x v="37"/>
    <x v="44"/>
    <x v="61"/>
    <x v="63"/>
    <x v="59"/>
    <x v="57"/>
    <x v="69"/>
    <x v="67"/>
    <x v="54"/>
    <x v="63"/>
    <x v="59"/>
  </r>
  <r>
    <x v="0"/>
    <x v="1"/>
    <x v="6"/>
    <x v="1"/>
    <x v="5"/>
    <x v="33"/>
    <x v="38"/>
    <x v="45"/>
    <x v="62"/>
    <x v="64"/>
    <x v="60"/>
    <x v="58"/>
    <x v="70"/>
    <x v="68"/>
    <x v="55"/>
    <x v="64"/>
    <x v="60"/>
  </r>
  <r>
    <x v="0"/>
    <x v="1"/>
    <x v="6"/>
    <x v="1"/>
    <x v="6"/>
    <x v="5"/>
    <x v="1"/>
    <x v="1"/>
    <x v="0"/>
    <x v="2"/>
    <x v="2"/>
    <x v="2"/>
    <x v="3"/>
    <x v="1"/>
    <x v="1"/>
    <x v="3"/>
    <x v="44"/>
  </r>
  <r>
    <x v="0"/>
    <x v="1"/>
    <x v="6"/>
    <x v="11"/>
    <x v="1"/>
    <x v="47"/>
    <x v="39"/>
    <x v="46"/>
    <x v="63"/>
    <x v="65"/>
    <x v="61"/>
    <x v="59"/>
    <x v="71"/>
    <x v="69"/>
    <x v="56"/>
    <x v="65"/>
    <x v="61"/>
  </r>
  <r>
    <x v="0"/>
    <x v="1"/>
    <x v="6"/>
    <x v="11"/>
    <x v="2"/>
    <x v="48"/>
    <x v="40"/>
    <x v="47"/>
    <x v="64"/>
    <x v="66"/>
    <x v="62"/>
    <x v="60"/>
    <x v="72"/>
    <x v="70"/>
    <x v="57"/>
    <x v="66"/>
    <x v="62"/>
  </r>
  <r>
    <x v="0"/>
    <x v="1"/>
    <x v="6"/>
    <x v="11"/>
    <x v="3"/>
    <x v="49"/>
    <x v="41"/>
    <x v="48"/>
    <x v="65"/>
    <x v="67"/>
    <x v="63"/>
    <x v="61"/>
    <x v="73"/>
    <x v="71"/>
    <x v="58"/>
    <x v="67"/>
    <x v="63"/>
  </r>
  <r>
    <x v="0"/>
    <x v="1"/>
    <x v="6"/>
    <x v="11"/>
    <x v="4"/>
    <x v="50"/>
    <x v="42"/>
    <x v="49"/>
    <x v="66"/>
    <x v="68"/>
    <x v="64"/>
    <x v="62"/>
    <x v="74"/>
    <x v="72"/>
    <x v="59"/>
    <x v="68"/>
    <x v="64"/>
  </r>
  <r>
    <x v="0"/>
    <x v="1"/>
    <x v="6"/>
    <x v="11"/>
    <x v="5"/>
    <x v="51"/>
    <x v="43"/>
    <x v="50"/>
    <x v="67"/>
    <x v="69"/>
    <x v="65"/>
    <x v="63"/>
    <x v="75"/>
    <x v="73"/>
    <x v="60"/>
    <x v="69"/>
    <x v="65"/>
  </r>
  <r>
    <x v="0"/>
    <x v="1"/>
    <x v="6"/>
    <x v="11"/>
    <x v="6"/>
    <x v="5"/>
    <x v="1"/>
    <x v="1"/>
    <x v="0"/>
    <x v="2"/>
    <x v="2"/>
    <x v="2"/>
    <x v="3"/>
    <x v="1"/>
    <x v="1"/>
    <x v="3"/>
    <x v="66"/>
  </r>
  <r>
    <x v="0"/>
    <x v="1"/>
    <x v="6"/>
    <x v="2"/>
    <x v="7"/>
    <x v="34"/>
    <x v="44"/>
    <x v="51"/>
    <x v="68"/>
    <x v="70"/>
    <x v="66"/>
    <x v="64"/>
    <x v="76"/>
    <x v="74"/>
    <x v="61"/>
    <x v="70"/>
    <x v="67"/>
  </r>
  <r>
    <x v="0"/>
    <x v="1"/>
    <x v="6"/>
    <x v="2"/>
    <x v="8"/>
    <x v="32"/>
    <x v="45"/>
    <x v="52"/>
    <x v="69"/>
    <x v="71"/>
    <x v="67"/>
    <x v="65"/>
    <x v="77"/>
    <x v="75"/>
    <x v="62"/>
    <x v="71"/>
    <x v="68"/>
  </r>
  <r>
    <x v="0"/>
    <x v="1"/>
    <x v="6"/>
    <x v="2"/>
    <x v="9"/>
    <x v="35"/>
    <x v="46"/>
    <x v="53"/>
    <x v="70"/>
    <x v="72"/>
    <x v="68"/>
    <x v="66"/>
    <x v="78"/>
    <x v="76"/>
    <x v="63"/>
    <x v="72"/>
    <x v="69"/>
  </r>
  <r>
    <x v="0"/>
    <x v="1"/>
    <x v="6"/>
    <x v="2"/>
    <x v="10"/>
    <x v="5"/>
    <x v="1"/>
    <x v="1"/>
    <x v="0"/>
    <x v="2"/>
    <x v="2"/>
    <x v="2"/>
    <x v="3"/>
    <x v="1"/>
    <x v="1"/>
    <x v="51"/>
    <x v="70"/>
  </r>
  <r>
    <x v="0"/>
    <x v="1"/>
    <x v="6"/>
    <x v="2"/>
    <x v="11"/>
    <x v="5"/>
    <x v="1"/>
    <x v="1"/>
    <x v="0"/>
    <x v="2"/>
    <x v="2"/>
    <x v="2"/>
    <x v="3"/>
    <x v="1"/>
    <x v="1"/>
    <x v="3"/>
    <x v="1"/>
  </r>
  <r>
    <x v="0"/>
    <x v="1"/>
    <x v="6"/>
    <x v="11"/>
    <x v="7"/>
    <x v="52"/>
    <x v="47"/>
    <x v="54"/>
    <x v="71"/>
    <x v="73"/>
    <x v="69"/>
    <x v="67"/>
    <x v="79"/>
    <x v="77"/>
    <x v="64"/>
    <x v="73"/>
    <x v="71"/>
  </r>
  <r>
    <x v="0"/>
    <x v="1"/>
    <x v="6"/>
    <x v="11"/>
    <x v="8"/>
    <x v="50"/>
    <x v="48"/>
    <x v="55"/>
    <x v="72"/>
    <x v="74"/>
    <x v="70"/>
    <x v="68"/>
    <x v="80"/>
    <x v="78"/>
    <x v="65"/>
    <x v="74"/>
    <x v="72"/>
  </r>
  <r>
    <x v="0"/>
    <x v="1"/>
    <x v="6"/>
    <x v="11"/>
    <x v="9"/>
    <x v="53"/>
    <x v="49"/>
    <x v="56"/>
    <x v="73"/>
    <x v="75"/>
    <x v="71"/>
    <x v="69"/>
    <x v="81"/>
    <x v="79"/>
    <x v="66"/>
    <x v="75"/>
    <x v="73"/>
  </r>
  <r>
    <x v="0"/>
    <x v="1"/>
    <x v="6"/>
    <x v="11"/>
    <x v="10"/>
    <x v="5"/>
    <x v="1"/>
    <x v="1"/>
    <x v="0"/>
    <x v="2"/>
    <x v="2"/>
    <x v="2"/>
    <x v="3"/>
    <x v="1"/>
    <x v="1"/>
    <x v="76"/>
    <x v="74"/>
  </r>
  <r>
    <x v="0"/>
    <x v="1"/>
    <x v="6"/>
    <x v="11"/>
    <x v="11"/>
    <x v="5"/>
    <x v="1"/>
    <x v="1"/>
    <x v="0"/>
    <x v="2"/>
    <x v="2"/>
    <x v="2"/>
    <x v="3"/>
    <x v="1"/>
    <x v="1"/>
    <x v="3"/>
    <x v="1"/>
  </r>
  <r>
    <x v="0"/>
    <x v="1"/>
    <x v="7"/>
    <x v="0"/>
    <x v="26"/>
    <x v="36"/>
    <x v="50"/>
    <x v="57"/>
    <x v="74"/>
    <x v="76"/>
    <x v="72"/>
    <x v="70"/>
    <x v="82"/>
    <x v="80"/>
    <x v="67"/>
    <x v="77"/>
    <x v="75"/>
  </r>
  <r>
    <x v="0"/>
    <x v="1"/>
    <x v="7"/>
    <x v="1"/>
    <x v="1"/>
    <x v="37"/>
    <x v="51"/>
    <x v="58"/>
    <x v="75"/>
    <x v="77"/>
    <x v="73"/>
    <x v="71"/>
    <x v="83"/>
    <x v="81"/>
    <x v="68"/>
    <x v="78"/>
    <x v="76"/>
  </r>
  <r>
    <x v="0"/>
    <x v="1"/>
    <x v="7"/>
    <x v="1"/>
    <x v="2"/>
    <x v="30"/>
    <x v="35"/>
    <x v="42"/>
    <x v="76"/>
    <x v="78"/>
    <x v="74"/>
    <x v="72"/>
    <x v="84"/>
    <x v="82"/>
    <x v="69"/>
    <x v="79"/>
    <x v="77"/>
  </r>
  <r>
    <x v="0"/>
    <x v="1"/>
    <x v="7"/>
    <x v="1"/>
    <x v="3"/>
    <x v="38"/>
    <x v="52"/>
    <x v="59"/>
    <x v="77"/>
    <x v="79"/>
    <x v="75"/>
    <x v="73"/>
    <x v="85"/>
    <x v="83"/>
    <x v="70"/>
    <x v="80"/>
    <x v="78"/>
  </r>
  <r>
    <x v="0"/>
    <x v="1"/>
    <x v="7"/>
    <x v="1"/>
    <x v="4"/>
    <x v="32"/>
    <x v="37"/>
    <x v="60"/>
    <x v="78"/>
    <x v="80"/>
    <x v="76"/>
    <x v="74"/>
    <x v="86"/>
    <x v="84"/>
    <x v="71"/>
    <x v="81"/>
    <x v="79"/>
  </r>
  <r>
    <x v="0"/>
    <x v="1"/>
    <x v="7"/>
    <x v="1"/>
    <x v="5"/>
    <x v="39"/>
    <x v="53"/>
    <x v="61"/>
    <x v="79"/>
    <x v="81"/>
    <x v="77"/>
    <x v="75"/>
    <x v="87"/>
    <x v="85"/>
    <x v="72"/>
    <x v="82"/>
    <x v="80"/>
  </r>
  <r>
    <x v="0"/>
    <x v="1"/>
    <x v="7"/>
    <x v="1"/>
    <x v="6"/>
    <x v="5"/>
    <x v="1"/>
    <x v="1"/>
    <x v="0"/>
    <x v="2"/>
    <x v="2"/>
    <x v="2"/>
    <x v="3"/>
    <x v="1"/>
    <x v="1"/>
    <x v="3"/>
    <x v="49"/>
  </r>
  <r>
    <x v="0"/>
    <x v="1"/>
    <x v="7"/>
    <x v="11"/>
    <x v="1"/>
    <x v="54"/>
    <x v="54"/>
    <x v="62"/>
    <x v="80"/>
    <x v="82"/>
    <x v="78"/>
    <x v="76"/>
    <x v="88"/>
    <x v="86"/>
    <x v="73"/>
    <x v="83"/>
    <x v="81"/>
  </r>
  <r>
    <x v="0"/>
    <x v="1"/>
    <x v="7"/>
    <x v="11"/>
    <x v="2"/>
    <x v="55"/>
    <x v="55"/>
    <x v="63"/>
    <x v="81"/>
    <x v="83"/>
    <x v="79"/>
    <x v="77"/>
    <x v="89"/>
    <x v="87"/>
    <x v="74"/>
    <x v="84"/>
    <x v="82"/>
  </r>
  <r>
    <x v="0"/>
    <x v="1"/>
    <x v="7"/>
    <x v="11"/>
    <x v="3"/>
    <x v="56"/>
    <x v="56"/>
    <x v="64"/>
    <x v="82"/>
    <x v="84"/>
    <x v="80"/>
    <x v="78"/>
    <x v="90"/>
    <x v="88"/>
    <x v="75"/>
    <x v="85"/>
    <x v="83"/>
  </r>
  <r>
    <x v="0"/>
    <x v="1"/>
    <x v="7"/>
    <x v="11"/>
    <x v="4"/>
    <x v="57"/>
    <x v="57"/>
    <x v="65"/>
    <x v="83"/>
    <x v="85"/>
    <x v="81"/>
    <x v="79"/>
    <x v="91"/>
    <x v="89"/>
    <x v="76"/>
    <x v="86"/>
    <x v="84"/>
  </r>
  <r>
    <x v="0"/>
    <x v="1"/>
    <x v="7"/>
    <x v="11"/>
    <x v="5"/>
    <x v="58"/>
    <x v="58"/>
    <x v="66"/>
    <x v="84"/>
    <x v="86"/>
    <x v="82"/>
    <x v="80"/>
    <x v="92"/>
    <x v="90"/>
    <x v="77"/>
    <x v="87"/>
    <x v="85"/>
  </r>
  <r>
    <x v="0"/>
    <x v="1"/>
    <x v="7"/>
    <x v="11"/>
    <x v="6"/>
    <x v="5"/>
    <x v="1"/>
    <x v="1"/>
    <x v="0"/>
    <x v="2"/>
    <x v="2"/>
    <x v="2"/>
    <x v="3"/>
    <x v="1"/>
    <x v="1"/>
    <x v="3"/>
    <x v="86"/>
  </r>
  <r>
    <x v="0"/>
    <x v="1"/>
    <x v="7"/>
    <x v="2"/>
    <x v="7"/>
    <x v="40"/>
    <x v="59"/>
    <x v="67"/>
    <x v="85"/>
    <x v="87"/>
    <x v="83"/>
    <x v="81"/>
    <x v="93"/>
    <x v="91"/>
    <x v="78"/>
    <x v="88"/>
    <x v="87"/>
  </r>
  <r>
    <x v="0"/>
    <x v="1"/>
    <x v="7"/>
    <x v="2"/>
    <x v="8"/>
    <x v="32"/>
    <x v="45"/>
    <x v="68"/>
    <x v="86"/>
    <x v="88"/>
    <x v="84"/>
    <x v="82"/>
    <x v="94"/>
    <x v="92"/>
    <x v="79"/>
    <x v="89"/>
    <x v="88"/>
  </r>
  <r>
    <x v="0"/>
    <x v="1"/>
    <x v="7"/>
    <x v="2"/>
    <x v="9"/>
    <x v="41"/>
    <x v="60"/>
    <x v="69"/>
    <x v="87"/>
    <x v="89"/>
    <x v="85"/>
    <x v="83"/>
    <x v="95"/>
    <x v="93"/>
    <x v="80"/>
    <x v="90"/>
    <x v="89"/>
  </r>
  <r>
    <x v="0"/>
    <x v="1"/>
    <x v="7"/>
    <x v="2"/>
    <x v="10"/>
    <x v="5"/>
    <x v="1"/>
    <x v="1"/>
    <x v="0"/>
    <x v="2"/>
    <x v="2"/>
    <x v="2"/>
    <x v="3"/>
    <x v="1"/>
    <x v="1"/>
    <x v="51"/>
    <x v="70"/>
  </r>
  <r>
    <x v="0"/>
    <x v="1"/>
    <x v="7"/>
    <x v="2"/>
    <x v="11"/>
    <x v="5"/>
    <x v="1"/>
    <x v="1"/>
    <x v="0"/>
    <x v="2"/>
    <x v="2"/>
    <x v="2"/>
    <x v="3"/>
    <x v="1"/>
    <x v="1"/>
    <x v="3"/>
    <x v="1"/>
  </r>
  <r>
    <x v="0"/>
    <x v="1"/>
    <x v="7"/>
    <x v="11"/>
    <x v="7"/>
    <x v="59"/>
    <x v="61"/>
    <x v="70"/>
    <x v="88"/>
    <x v="90"/>
    <x v="86"/>
    <x v="84"/>
    <x v="96"/>
    <x v="94"/>
    <x v="81"/>
    <x v="91"/>
    <x v="90"/>
  </r>
  <r>
    <x v="0"/>
    <x v="1"/>
    <x v="7"/>
    <x v="11"/>
    <x v="8"/>
    <x v="57"/>
    <x v="62"/>
    <x v="71"/>
    <x v="89"/>
    <x v="91"/>
    <x v="87"/>
    <x v="85"/>
    <x v="97"/>
    <x v="95"/>
    <x v="82"/>
    <x v="92"/>
    <x v="91"/>
  </r>
  <r>
    <x v="0"/>
    <x v="1"/>
    <x v="7"/>
    <x v="11"/>
    <x v="9"/>
    <x v="60"/>
    <x v="63"/>
    <x v="72"/>
    <x v="90"/>
    <x v="92"/>
    <x v="88"/>
    <x v="86"/>
    <x v="98"/>
    <x v="96"/>
    <x v="83"/>
    <x v="93"/>
    <x v="92"/>
  </r>
  <r>
    <x v="0"/>
    <x v="1"/>
    <x v="7"/>
    <x v="11"/>
    <x v="10"/>
    <x v="5"/>
    <x v="1"/>
    <x v="1"/>
    <x v="0"/>
    <x v="2"/>
    <x v="2"/>
    <x v="2"/>
    <x v="3"/>
    <x v="1"/>
    <x v="1"/>
    <x v="94"/>
    <x v="93"/>
  </r>
  <r>
    <x v="0"/>
    <x v="1"/>
    <x v="7"/>
    <x v="11"/>
    <x v="11"/>
    <x v="5"/>
    <x v="1"/>
    <x v="1"/>
    <x v="0"/>
    <x v="2"/>
    <x v="2"/>
    <x v="2"/>
    <x v="3"/>
    <x v="1"/>
    <x v="1"/>
    <x v="3"/>
    <x v="1"/>
  </r>
  <r>
    <x v="0"/>
    <x v="1"/>
    <x v="6"/>
    <x v="0"/>
    <x v="29"/>
    <x v="42"/>
    <x v="64"/>
    <x v="73"/>
    <x v="91"/>
    <x v="93"/>
    <x v="89"/>
    <x v="87"/>
    <x v="99"/>
    <x v="97"/>
    <x v="84"/>
    <x v="95"/>
    <x v="94"/>
  </r>
  <r>
    <x v="0"/>
    <x v="1"/>
    <x v="6"/>
    <x v="0"/>
    <x v="30"/>
    <x v="43"/>
    <x v="65"/>
    <x v="74"/>
    <x v="92"/>
    <x v="94"/>
    <x v="90"/>
    <x v="88"/>
    <x v="100"/>
    <x v="98"/>
    <x v="85"/>
    <x v="96"/>
    <x v="95"/>
  </r>
  <r>
    <x v="0"/>
    <x v="1"/>
    <x v="6"/>
    <x v="0"/>
    <x v="31"/>
    <x v="5"/>
    <x v="1"/>
    <x v="1"/>
    <x v="0"/>
    <x v="2"/>
    <x v="2"/>
    <x v="2"/>
    <x v="3"/>
    <x v="1"/>
    <x v="1"/>
    <x v="3"/>
    <x v="1"/>
  </r>
  <r>
    <x v="0"/>
    <x v="1"/>
    <x v="6"/>
    <x v="14"/>
    <x v="7"/>
    <x v="44"/>
    <x v="66"/>
    <x v="75"/>
    <x v="93"/>
    <x v="95"/>
    <x v="91"/>
    <x v="89"/>
    <x v="101"/>
    <x v="99"/>
    <x v="86"/>
    <x v="97"/>
    <x v="96"/>
  </r>
  <r>
    <x v="0"/>
    <x v="1"/>
    <x v="6"/>
    <x v="14"/>
    <x v="8"/>
    <x v="45"/>
    <x v="67"/>
    <x v="76"/>
    <x v="94"/>
    <x v="96"/>
    <x v="92"/>
    <x v="90"/>
    <x v="102"/>
    <x v="100"/>
    <x v="87"/>
    <x v="98"/>
    <x v="97"/>
  </r>
  <r>
    <x v="0"/>
    <x v="1"/>
    <x v="6"/>
    <x v="14"/>
    <x v="9"/>
    <x v="46"/>
    <x v="68"/>
    <x v="77"/>
    <x v="95"/>
    <x v="97"/>
    <x v="93"/>
    <x v="91"/>
    <x v="103"/>
    <x v="101"/>
    <x v="88"/>
    <x v="99"/>
    <x v="98"/>
  </r>
  <r>
    <x v="0"/>
    <x v="1"/>
    <x v="6"/>
    <x v="14"/>
    <x v="10"/>
    <x v="5"/>
    <x v="1"/>
    <x v="1"/>
    <x v="0"/>
    <x v="2"/>
    <x v="2"/>
    <x v="2"/>
    <x v="3"/>
    <x v="1"/>
    <x v="1"/>
    <x v="58"/>
    <x v="99"/>
  </r>
  <r>
    <x v="0"/>
    <x v="1"/>
    <x v="6"/>
    <x v="14"/>
    <x v="11"/>
    <x v="5"/>
    <x v="1"/>
    <x v="1"/>
    <x v="0"/>
    <x v="2"/>
    <x v="2"/>
    <x v="2"/>
    <x v="3"/>
    <x v="1"/>
    <x v="1"/>
    <x v="3"/>
    <x v="1"/>
  </r>
  <r>
    <x v="0"/>
    <x v="1"/>
    <x v="6"/>
    <x v="15"/>
    <x v="7"/>
    <x v="43"/>
    <x v="65"/>
    <x v="78"/>
    <x v="96"/>
    <x v="98"/>
    <x v="94"/>
    <x v="92"/>
    <x v="104"/>
    <x v="102"/>
    <x v="89"/>
    <x v="100"/>
    <x v="100"/>
  </r>
  <r>
    <x v="0"/>
    <x v="1"/>
    <x v="6"/>
    <x v="15"/>
    <x v="8"/>
    <x v="5"/>
    <x v="1"/>
    <x v="39"/>
    <x v="97"/>
    <x v="99"/>
    <x v="95"/>
    <x v="93"/>
    <x v="105"/>
    <x v="103"/>
    <x v="90"/>
    <x v="101"/>
    <x v="101"/>
  </r>
  <r>
    <x v="0"/>
    <x v="1"/>
    <x v="6"/>
    <x v="15"/>
    <x v="9"/>
    <x v="5"/>
    <x v="1"/>
    <x v="1"/>
    <x v="0"/>
    <x v="58"/>
    <x v="96"/>
    <x v="94"/>
    <x v="106"/>
    <x v="104"/>
    <x v="91"/>
    <x v="102"/>
    <x v="102"/>
  </r>
  <r>
    <x v="0"/>
    <x v="1"/>
    <x v="6"/>
    <x v="15"/>
    <x v="10"/>
    <x v="5"/>
    <x v="1"/>
    <x v="1"/>
    <x v="0"/>
    <x v="2"/>
    <x v="2"/>
    <x v="2"/>
    <x v="3"/>
    <x v="1"/>
    <x v="1"/>
    <x v="3"/>
    <x v="1"/>
  </r>
  <r>
    <x v="0"/>
    <x v="1"/>
    <x v="6"/>
    <x v="15"/>
    <x v="11"/>
    <x v="5"/>
    <x v="1"/>
    <x v="1"/>
    <x v="0"/>
    <x v="2"/>
    <x v="2"/>
    <x v="2"/>
    <x v="3"/>
    <x v="1"/>
    <x v="1"/>
    <x v="3"/>
    <x v="1"/>
  </r>
  <r>
    <x v="0"/>
    <x v="1"/>
    <x v="7"/>
    <x v="0"/>
    <x v="29"/>
    <x v="42"/>
    <x v="64"/>
    <x v="73"/>
    <x v="91"/>
    <x v="93"/>
    <x v="89"/>
    <x v="87"/>
    <x v="99"/>
    <x v="97"/>
    <x v="84"/>
    <x v="95"/>
    <x v="94"/>
  </r>
  <r>
    <x v="0"/>
    <x v="1"/>
    <x v="7"/>
    <x v="0"/>
    <x v="30"/>
    <x v="43"/>
    <x v="65"/>
    <x v="74"/>
    <x v="92"/>
    <x v="94"/>
    <x v="90"/>
    <x v="88"/>
    <x v="100"/>
    <x v="98"/>
    <x v="85"/>
    <x v="96"/>
    <x v="95"/>
  </r>
  <r>
    <x v="0"/>
    <x v="1"/>
    <x v="7"/>
    <x v="0"/>
    <x v="31"/>
    <x v="5"/>
    <x v="1"/>
    <x v="1"/>
    <x v="0"/>
    <x v="2"/>
    <x v="2"/>
    <x v="2"/>
    <x v="3"/>
    <x v="1"/>
    <x v="1"/>
    <x v="3"/>
    <x v="1"/>
  </r>
  <r>
    <x v="0"/>
    <x v="1"/>
    <x v="7"/>
    <x v="14"/>
    <x v="7"/>
    <x v="44"/>
    <x v="66"/>
    <x v="75"/>
    <x v="93"/>
    <x v="95"/>
    <x v="91"/>
    <x v="89"/>
    <x v="101"/>
    <x v="99"/>
    <x v="86"/>
    <x v="97"/>
    <x v="96"/>
  </r>
  <r>
    <x v="0"/>
    <x v="1"/>
    <x v="7"/>
    <x v="14"/>
    <x v="8"/>
    <x v="45"/>
    <x v="67"/>
    <x v="76"/>
    <x v="94"/>
    <x v="96"/>
    <x v="92"/>
    <x v="90"/>
    <x v="102"/>
    <x v="100"/>
    <x v="87"/>
    <x v="98"/>
    <x v="97"/>
  </r>
  <r>
    <x v="0"/>
    <x v="1"/>
    <x v="7"/>
    <x v="14"/>
    <x v="9"/>
    <x v="46"/>
    <x v="68"/>
    <x v="77"/>
    <x v="95"/>
    <x v="97"/>
    <x v="93"/>
    <x v="91"/>
    <x v="103"/>
    <x v="101"/>
    <x v="88"/>
    <x v="99"/>
    <x v="98"/>
  </r>
  <r>
    <x v="0"/>
    <x v="1"/>
    <x v="7"/>
    <x v="14"/>
    <x v="10"/>
    <x v="5"/>
    <x v="1"/>
    <x v="1"/>
    <x v="0"/>
    <x v="2"/>
    <x v="2"/>
    <x v="2"/>
    <x v="3"/>
    <x v="1"/>
    <x v="1"/>
    <x v="58"/>
    <x v="99"/>
  </r>
  <r>
    <x v="0"/>
    <x v="1"/>
    <x v="7"/>
    <x v="14"/>
    <x v="11"/>
    <x v="5"/>
    <x v="1"/>
    <x v="1"/>
    <x v="0"/>
    <x v="2"/>
    <x v="2"/>
    <x v="2"/>
    <x v="3"/>
    <x v="1"/>
    <x v="1"/>
    <x v="3"/>
    <x v="1"/>
  </r>
  <r>
    <x v="0"/>
    <x v="1"/>
    <x v="7"/>
    <x v="15"/>
    <x v="7"/>
    <x v="43"/>
    <x v="65"/>
    <x v="78"/>
    <x v="96"/>
    <x v="98"/>
    <x v="94"/>
    <x v="92"/>
    <x v="104"/>
    <x v="102"/>
    <x v="89"/>
    <x v="100"/>
    <x v="100"/>
  </r>
  <r>
    <x v="0"/>
    <x v="1"/>
    <x v="7"/>
    <x v="15"/>
    <x v="8"/>
    <x v="5"/>
    <x v="1"/>
    <x v="39"/>
    <x v="97"/>
    <x v="99"/>
    <x v="95"/>
    <x v="93"/>
    <x v="105"/>
    <x v="103"/>
    <x v="90"/>
    <x v="101"/>
    <x v="101"/>
  </r>
  <r>
    <x v="0"/>
    <x v="1"/>
    <x v="7"/>
    <x v="15"/>
    <x v="9"/>
    <x v="5"/>
    <x v="1"/>
    <x v="1"/>
    <x v="0"/>
    <x v="58"/>
    <x v="96"/>
    <x v="94"/>
    <x v="106"/>
    <x v="104"/>
    <x v="91"/>
    <x v="102"/>
    <x v="102"/>
  </r>
  <r>
    <x v="0"/>
    <x v="1"/>
    <x v="7"/>
    <x v="15"/>
    <x v="10"/>
    <x v="5"/>
    <x v="1"/>
    <x v="1"/>
    <x v="0"/>
    <x v="2"/>
    <x v="2"/>
    <x v="2"/>
    <x v="3"/>
    <x v="1"/>
    <x v="1"/>
    <x v="3"/>
    <x v="1"/>
  </r>
  <r>
    <x v="0"/>
    <x v="1"/>
    <x v="7"/>
    <x v="15"/>
    <x v="11"/>
    <x v="5"/>
    <x v="1"/>
    <x v="1"/>
    <x v="0"/>
    <x v="2"/>
    <x v="2"/>
    <x v="2"/>
    <x v="3"/>
    <x v="1"/>
    <x v="1"/>
    <x v="3"/>
    <x v="1"/>
  </r>
  <r>
    <x v="1"/>
    <x v="0"/>
    <x v="0"/>
    <x v="0"/>
    <x v="0"/>
    <x v="7"/>
    <x v="1"/>
    <x v="4"/>
    <x v="4"/>
    <x v="3"/>
    <x v="2"/>
    <x v="1"/>
    <x v="1"/>
    <x v="1"/>
    <x v="0"/>
    <x v="2"/>
    <x v="1"/>
  </r>
  <r>
    <x v="1"/>
    <x v="0"/>
    <x v="0"/>
    <x v="1"/>
    <x v="1"/>
    <x v="4"/>
    <x v="1"/>
    <x v="1"/>
    <x v="2"/>
    <x v="1"/>
    <x v="2"/>
    <x v="1"/>
    <x v="3"/>
    <x v="1"/>
    <x v="1"/>
    <x v="3"/>
    <x v="1"/>
  </r>
  <r>
    <x v="1"/>
    <x v="0"/>
    <x v="0"/>
    <x v="1"/>
    <x v="2"/>
    <x v="5"/>
    <x v="1"/>
    <x v="1"/>
    <x v="0"/>
    <x v="2"/>
    <x v="2"/>
    <x v="2"/>
    <x v="1"/>
    <x v="1"/>
    <x v="1"/>
    <x v="3"/>
    <x v="1"/>
  </r>
  <r>
    <x v="1"/>
    <x v="0"/>
    <x v="0"/>
    <x v="1"/>
    <x v="3"/>
    <x v="4"/>
    <x v="1"/>
    <x v="1"/>
    <x v="2"/>
    <x v="2"/>
    <x v="2"/>
    <x v="2"/>
    <x v="3"/>
    <x v="1"/>
    <x v="1"/>
    <x v="3"/>
    <x v="1"/>
  </r>
  <r>
    <x v="1"/>
    <x v="0"/>
    <x v="0"/>
    <x v="1"/>
    <x v="4"/>
    <x v="4"/>
    <x v="1"/>
    <x v="1"/>
    <x v="0"/>
    <x v="2"/>
    <x v="2"/>
    <x v="2"/>
    <x v="3"/>
    <x v="1"/>
    <x v="0"/>
    <x v="2"/>
    <x v="1"/>
  </r>
  <r>
    <x v="1"/>
    <x v="0"/>
    <x v="0"/>
    <x v="1"/>
    <x v="5"/>
    <x v="5"/>
    <x v="1"/>
    <x v="1"/>
    <x v="0"/>
    <x v="1"/>
    <x v="2"/>
    <x v="2"/>
    <x v="3"/>
    <x v="1"/>
    <x v="1"/>
    <x v="3"/>
    <x v="1"/>
  </r>
  <r>
    <x v="1"/>
    <x v="0"/>
    <x v="0"/>
    <x v="1"/>
    <x v="6"/>
    <x v="5"/>
    <x v="1"/>
    <x v="4"/>
    <x v="0"/>
    <x v="2"/>
    <x v="2"/>
    <x v="2"/>
    <x v="3"/>
    <x v="1"/>
    <x v="1"/>
    <x v="3"/>
    <x v="1"/>
  </r>
  <r>
    <x v="1"/>
    <x v="0"/>
    <x v="0"/>
    <x v="2"/>
    <x v="7"/>
    <x v="1"/>
    <x v="1"/>
    <x v="1"/>
    <x v="0"/>
    <x v="2"/>
    <x v="2"/>
    <x v="2"/>
    <x v="1"/>
    <x v="1"/>
    <x v="1"/>
    <x v="2"/>
    <x v="1"/>
  </r>
  <r>
    <x v="1"/>
    <x v="0"/>
    <x v="0"/>
    <x v="2"/>
    <x v="8"/>
    <x v="5"/>
    <x v="1"/>
    <x v="1"/>
    <x v="2"/>
    <x v="2"/>
    <x v="2"/>
    <x v="2"/>
    <x v="3"/>
    <x v="1"/>
    <x v="1"/>
    <x v="3"/>
    <x v="1"/>
  </r>
  <r>
    <x v="1"/>
    <x v="0"/>
    <x v="0"/>
    <x v="2"/>
    <x v="9"/>
    <x v="4"/>
    <x v="1"/>
    <x v="1"/>
    <x v="2"/>
    <x v="1"/>
    <x v="2"/>
    <x v="3"/>
    <x v="3"/>
    <x v="1"/>
    <x v="0"/>
    <x v="3"/>
    <x v="1"/>
  </r>
  <r>
    <x v="1"/>
    <x v="0"/>
    <x v="0"/>
    <x v="2"/>
    <x v="10"/>
    <x v="5"/>
    <x v="1"/>
    <x v="1"/>
    <x v="0"/>
    <x v="1"/>
    <x v="2"/>
    <x v="3"/>
    <x v="3"/>
    <x v="1"/>
    <x v="1"/>
    <x v="3"/>
    <x v="1"/>
  </r>
  <r>
    <x v="1"/>
    <x v="0"/>
    <x v="0"/>
    <x v="2"/>
    <x v="11"/>
    <x v="5"/>
    <x v="1"/>
    <x v="4"/>
    <x v="0"/>
    <x v="2"/>
    <x v="2"/>
    <x v="2"/>
    <x v="3"/>
    <x v="1"/>
    <x v="1"/>
    <x v="3"/>
    <x v="1"/>
  </r>
  <r>
    <x v="1"/>
    <x v="0"/>
    <x v="0"/>
    <x v="0"/>
    <x v="12"/>
    <x v="7"/>
    <x v="1"/>
    <x v="1"/>
    <x v="4"/>
    <x v="1"/>
    <x v="2"/>
    <x v="1"/>
    <x v="1"/>
    <x v="1"/>
    <x v="1"/>
    <x v="2"/>
    <x v="1"/>
  </r>
  <r>
    <x v="1"/>
    <x v="0"/>
    <x v="0"/>
    <x v="3"/>
    <x v="1"/>
    <x v="4"/>
    <x v="1"/>
    <x v="1"/>
    <x v="2"/>
    <x v="1"/>
    <x v="2"/>
    <x v="1"/>
    <x v="3"/>
    <x v="1"/>
    <x v="1"/>
    <x v="3"/>
    <x v="1"/>
  </r>
  <r>
    <x v="1"/>
    <x v="0"/>
    <x v="0"/>
    <x v="3"/>
    <x v="2"/>
    <x v="4"/>
    <x v="1"/>
    <x v="1"/>
    <x v="0"/>
    <x v="2"/>
    <x v="2"/>
    <x v="2"/>
    <x v="1"/>
    <x v="1"/>
    <x v="1"/>
    <x v="2"/>
    <x v="1"/>
  </r>
  <r>
    <x v="1"/>
    <x v="0"/>
    <x v="0"/>
    <x v="3"/>
    <x v="3"/>
    <x v="4"/>
    <x v="1"/>
    <x v="1"/>
    <x v="2"/>
    <x v="2"/>
    <x v="2"/>
    <x v="2"/>
    <x v="3"/>
    <x v="1"/>
    <x v="1"/>
    <x v="3"/>
    <x v="1"/>
  </r>
  <r>
    <x v="1"/>
    <x v="0"/>
    <x v="0"/>
    <x v="0"/>
    <x v="13"/>
    <x v="7"/>
    <x v="1"/>
    <x v="4"/>
    <x v="4"/>
    <x v="1"/>
    <x v="2"/>
    <x v="3"/>
    <x v="1"/>
    <x v="1"/>
    <x v="0"/>
    <x v="2"/>
    <x v="1"/>
  </r>
  <r>
    <x v="1"/>
    <x v="0"/>
    <x v="0"/>
    <x v="4"/>
    <x v="4"/>
    <x v="7"/>
    <x v="1"/>
    <x v="1"/>
    <x v="2"/>
    <x v="2"/>
    <x v="2"/>
    <x v="3"/>
    <x v="3"/>
    <x v="1"/>
    <x v="0"/>
    <x v="2"/>
    <x v="1"/>
  </r>
  <r>
    <x v="1"/>
    <x v="0"/>
    <x v="0"/>
    <x v="4"/>
    <x v="5"/>
    <x v="5"/>
    <x v="1"/>
    <x v="1"/>
    <x v="0"/>
    <x v="1"/>
    <x v="2"/>
    <x v="2"/>
    <x v="1"/>
    <x v="1"/>
    <x v="1"/>
    <x v="3"/>
    <x v="1"/>
  </r>
  <r>
    <x v="1"/>
    <x v="0"/>
    <x v="0"/>
    <x v="4"/>
    <x v="6"/>
    <x v="5"/>
    <x v="1"/>
    <x v="4"/>
    <x v="2"/>
    <x v="2"/>
    <x v="2"/>
    <x v="2"/>
    <x v="3"/>
    <x v="1"/>
    <x v="1"/>
    <x v="3"/>
    <x v="1"/>
  </r>
  <r>
    <x v="1"/>
    <x v="1"/>
    <x v="0"/>
    <x v="0"/>
    <x v="14"/>
    <x v="1"/>
    <x v="2"/>
    <x v="1"/>
    <x v="2"/>
    <x v="0"/>
    <x v="2"/>
    <x v="3"/>
    <x v="1"/>
    <x v="1"/>
    <x v="0"/>
    <x v="2"/>
    <x v="0"/>
  </r>
  <r>
    <x v="1"/>
    <x v="1"/>
    <x v="0"/>
    <x v="1"/>
    <x v="1"/>
    <x v="4"/>
    <x v="1"/>
    <x v="1"/>
    <x v="0"/>
    <x v="3"/>
    <x v="2"/>
    <x v="3"/>
    <x v="1"/>
    <x v="1"/>
    <x v="1"/>
    <x v="3"/>
    <x v="1"/>
  </r>
  <r>
    <x v="1"/>
    <x v="1"/>
    <x v="0"/>
    <x v="1"/>
    <x v="2"/>
    <x v="5"/>
    <x v="1"/>
    <x v="1"/>
    <x v="0"/>
    <x v="2"/>
    <x v="2"/>
    <x v="2"/>
    <x v="3"/>
    <x v="1"/>
    <x v="0"/>
    <x v="3"/>
    <x v="1"/>
  </r>
  <r>
    <x v="1"/>
    <x v="1"/>
    <x v="0"/>
    <x v="1"/>
    <x v="3"/>
    <x v="5"/>
    <x v="2"/>
    <x v="1"/>
    <x v="0"/>
    <x v="2"/>
    <x v="2"/>
    <x v="2"/>
    <x v="3"/>
    <x v="1"/>
    <x v="1"/>
    <x v="3"/>
    <x v="1"/>
  </r>
  <r>
    <x v="1"/>
    <x v="1"/>
    <x v="0"/>
    <x v="1"/>
    <x v="4"/>
    <x v="4"/>
    <x v="1"/>
    <x v="1"/>
    <x v="0"/>
    <x v="2"/>
    <x v="2"/>
    <x v="2"/>
    <x v="3"/>
    <x v="1"/>
    <x v="1"/>
    <x v="2"/>
    <x v="0"/>
  </r>
  <r>
    <x v="1"/>
    <x v="1"/>
    <x v="0"/>
    <x v="1"/>
    <x v="5"/>
    <x v="5"/>
    <x v="1"/>
    <x v="1"/>
    <x v="0"/>
    <x v="1"/>
    <x v="2"/>
    <x v="2"/>
    <x v="3"/>
    <x v="1"/>
    <x v="1"/>
    <x v="3"/>
    <x v="1"/>
  </r>
  <r>
    <x v="1"/>
    <x v="1"/>
    <x v="0"/>
    <x v="1"/>
    <x v="6"/>
    <x v="5"/>
    <x v="1"/>
    <x v="1"/>
    <x v="2"/>
    <x v="2"/>
    <x v="2"/>
    <x v="2"/>
    <x v="3"/>
    <x v="1"/>
    <x v="1"/>
    <x v="3"/>
    <x v="1"/>
  </r>
  <r>
    <x v="1"/>
    <x v="1"/>
    <x v="0"/>
    <x v="2"/>
    <x v="7"/>
    <x v="4"/>
    <x v="2"/>
    <x v="1"/>
    <x v="0"/>
    <x v="2"/>
    <x v="2"/>
    <x v="2"/>
    <x v="3"/>
    <x v="1"/>
    <x v="0"/>
    <x v="3"/>
    <x v="0"/>
  </r>
  <r>
    <x v="1"/>
    <x v="1"/>
    <x v="0"/>
    <x v="2"/>
    <x v="8"/>
    <x v="5"/>
    <x v="1"/>
    <x v="1"/>
    <x v="0"/>
    <x v="1"/>
    <x v="2"/>
    <x v="2"/>
    <x v="3"/>
    <x v="1"/>
    <x v="1"/>
    <x v="3"/>
    <x v="1"/>
  </r>
  <r>
    <x v="1"/>
    <x v="1"/>
    <x v="0"/>
    <x v="2"/>
    <x v="9"/>
    <x v="4"/>
    <x v="1"/>
    <x v="1"/>
    <x v="0"/>
    <x v="1"/>
    <x v="2"/>
    <x v="2"/>
    <x v="1"/>
    <x v="1"/>
    <x v="1"/>
    <x v="2"/>
    <x v="1"/>
  </r>
  <r>
    <x v="1"/>
    <x v="1"/>
    <x v="0"/>
    <x v="2"/>
    <x v="10"/>
    <x v="5"/>
    <x v="1"/>
    <x v="1"/>
    <x v="0"/>
    <x v="1"/>
    <x v="2"/>
    <x v="3"/>
    <x v="3"/>
    <x v="1"/>
    <x v="1"/>
    <x v="3"/>
    <x v="1"/>
  </r>
  <r>
    <x v="1"/>
    <x v="1"/>
    <x v="0"/>
    <x v="2"/>
    <x v="11"/>
    <x v="5"/>
    <x v="1"/>
    <x v="1"/>
    <x v="2"/>
    <x v="2"/>
    <x v="2"/>
    <x v="2"/>
    <x v="3"/>
    <x v="1"/>
    <x v="1"/>
    <x v="3"/>
    <x v="1"/>
  </r>
  <r>
    <x v="1"/>
    <x v="1"/>
    <x v="0"/>
    <x v="0"/>
    <x v="15"/>
    <x v="1"/>
    <x v="1"/>
    <x v="1"/>
    <x v="2"/>
    <x v="3"/>
    <x v="2"/>
    <x v="3"/>
    <x v="1"/>
    <x v="1"/>
    <x v="1"/>
    <x v="3"/>
    <x v="1"/>
  </r>
  <r>
    <x v="1"/>
    <x v="1"/>
    <x v="0"/>
    <x v="0"/>
    <x v="16"/>
    <x v="5"/>
    <x v="2"/>
    <x v="1"/>
    <x v="0"/>
    <x v="1"/>
    <x v="2"/>
    <x v="2"/>
    <x v="3"/>
    <x v="1"/>
    <x v="0"/>
    <x v="3"/>
    <x v="0"/>
  </r>
  <r>
    <x v="1"/>
    <x v="1"/>
    <x v="0"/>
    <x v="0"/>
    <x v="17"/>
    <x v="5"/>
    <x v="1"/>
    <x v="1"/>
    <x v="0"/>
    <x v="2"/>
    <x v="2"/>
    <x v="2"/>
    <x v="3"/>
    <x v="1"/>
    <x v="1"/>
    <x v="2"/>
    <x v="1"/>
  </r>
  <r>
    <x v="1"/>
    <x v="1"/>
    <x v="0"/>
    <x v="5"/>
    <x v="7"/>
    <x v="4"/>
    <x v="1"/>
    <x v="1"/>
    <x v="0"/>
    <x v="2"/>
    <x v="2"/>
    <x v="2"/>
    <x v="3"/>
    <x v="1"/>
    <x v="1"/>
    <x v="3"/>
    <x v="1"/>
  </r>
  <r>
    <x v="1"/>
    <x v="1"/>
    <x v="0"/>
    <x v="5"/>
    <x v="8"/>
    <x v="5"/>
    <x v="1"/>
    <x v="1"/>
    <x v="0"/>
    <x v="1"/>
    <x v="2"/>
    <x v="2"/>
    <x v="3"/>
    <x v="1"/>
    <x v="1"/>
    <x v="3"/>
    <x v="1"/>
  </r>
  <r>
    <x v="1"/>
    <x v="1"/>
    <x v="0"/>
    <x v="5"/>
    <x v="9"/>
    <x v="4"/>
    <x v="1"/>
    <x v="1"/>
    <x v="0"/>
    <x v="1"/>
    <x v="2"/>
    <x v="2"/>
    <x v="1"/>
    <x v="1"/>
    <x v="1"/>
    <x v="3"/>
    <x v="1"/>
  </r>
  <r>
    <x v="1"/>
    <x v="1"/>
    <x v="0"/>
    <x v="5"/>
    <x v="10"/>
    <x v="5"/>
    <x v="1"/>
    <x v="1"/>
    <x v="0"/>
    <x v="2"/>
    <x v="2"/>
    <x v="3"/>
    <x v="3"/>
    <x v="1"/>
    <x v="1"/>
    <x v="3"/>
    <x v="1"/>
  </r>
  <r>
    <x v="1"/>
    <x v="1"/>
    <x v="0"/>
    <x v="5"/>
    <x v="11"/>
    <x v="5"/>
    <x v="1"/>
    <x v="1"/>
    <x v="2"/>
    <x v="2"/>
    <x v="2"/>
    <x v="2"/>
    <x v="3"/>
    <x v="1"/>
    <x v="1"/>
    <x v="3"/>
    <x v="1"/>
  </r>
  <r>
    <x v="1"/>
    <x v="1"/>
    <x v="0"/>
    <x v="6"/>
    <x v="7"/>
    <x v="5"/>
    <x v="2"/>
    <x v="1"/>
    <x v="0"/>
    <x v="2"/>
    <x v="2"/>
    <x v="2"/>
    <x v="3"/>
    <x v="1"/>
    <x v="0"/>
    <x v="3"/>
    <x v="0"/>
  </r>
  <r>
    <x v="1"/>
    <x v="1"/>
    <x v="0"/>
    <x v="6"/>
    <x v="8"/>
    <x v="5"/>
    <x v="1"/>
    <x v="1"/>
    <x v="0"/>
    <x v="2"/>
    <x v="2"/>
    <x v="2"/>
    <x v="3"/>
    <x v="1"/>
    <x v="1"/>
    <x v="3"/>
    <x v="1"/>
  </r>
  <r>
    <x v="1"/>
    <x v="1"/>
    <x v="0"/>
    <x v="6"/>
    <x v="9"/>
    <x v="5"/>
    <x v="1"/>
    <x v="1"/>
    <x v="0"/>
    <x v="2"/>
    <x v="2"/>
    <x v="2"/>
    <x v="3"/>
    <x v="1"/>
    <x v="1"/>
    <x v="3"/>
    <x v="1"/>
  </r>
  <r>
    <x v="1"/>
    <x v="1"/>
    <x v="0"/>
    <x v="6"/>
    <x v="10"/>
    <x v="5"/>
    <x v="1"/>
    <x v="1"/>
    <x v="0"/>
    <x v="1"/>
    <x v="2"/>
    <x v="2"/>
    <x v="3"/>
    <x v="1"/>
    <x v="1"/>
    <x v="3"/>
    <x v="1"/>
  </r>
  <r>
    <x v="1"/>
    <x v="1"/>
    <x v="0"/>
    <x v="6"/>
    <x v="11"/>
    <x v="5"/>
    <x v="1"/>
    <x v="1"/>
    <x v="0"/>
    <x v="2"/>
    <x v="2"/>
    <x v="2"/>
    <x v="3"/>
    <x v="1"/>
    <x v="1"/>
    <x v="3"/>
    <x v="1"/>
  </r>
  <r>
    <x v="1"/>
    <x v="1"/>
    <x v="0"/>
    <x v="7"/>
    <x v="7"/>
    <x v="5"/>
    <x v="1"/>
    <x v="1"/>
    <x v="0"/>
    <x v="2"/>
    <x v="2"/>
    <x v="2"/>
    <x v="3"/>
    <x v="1"/>
    <x v="1"/>
    <x v="3"/>
    <x v="1"/>
  </r>
  <r>
    <x v="1"/>
    <x v="1"/>
    <x v="0"/>
    <x v="7"/>
    <x v="8"/>
    <x v="5"/>
    <x v="1"/>
    <x v="1"/>
    <x v="0"/>
    <x v="2"/>
    <x v="2"/>
    <x v="2"/>
    <x v="3"/>
    <x v="1"/>
    <x v="1"/>
    <x v="3"/>
    <x v="1"/>
  </r>
  <r>
    <x v="1"/>
    <x v="1"/>
    <x v="0"/>
    <x v="7"/>
    <x v="9"/>
    <x v="5"/>
    <x v="1"/>
    <x v="1"/>
    <x v="0"/>
    <x v="2"/>
    <x v="2"/>
    <x v="2"/>
    <x v="3"/>
    <x v="1"/>
    <x v="1"/>
    <x v="2"/>
    <x v="1"/>
  </r>
  <r>
    <x v="1"/>
    <x v="1"/>
    <x v="0"/>
    <x v="7"/>
    <x v="10"/>
    <x v="5"/>
    <x v="1"/>
    <x v="1"/>
    <x v="0"/>
    <x v="2"/>
    <x v="2"/>
    <x v="2"/>
    <x v="3"/>
    <x v="1"/>
    <x v="1"/>
    <x v="3"/>
    <x v="1"/>
  </r>
  <r>
    <x v="1"/>
    <x v="1"/>
    <x v="0"/>
    <x v="7"/>
    <x v="11"/>
    <x v="5"/>
    <x v="1"/>
    <x v="1"/>
    <x v="0"/>
    <x v="2"/>
    <x v="2"/>
    <x v="2"/>
    <x v="3"/>
    <x v="1"/>
    <x v="1"/>
    <x v="3"/>
    <x v="1"/>
  </r>
  <r>
    <x v="1"/>
    <x v="1"/>
    <x v="0"/>
    <x v="0"/>
    <x v="18"/>
    <x v="1"/>
    <x v="2"/>
    <x v="1"/>
    <x v="0"/>
    <x v="3"/>
    <x v="2"/>
    <x v="3"/>
    <x v="1"/>
    <x v="1"/>
    <x v="0"/>
    <x v="3"/>
    <x v="0"/>
  </r>
  <r>
    <x v="1"/>
    <x v="1"/>
    <x v="0"/>
    <x v="3"/>
    <x v="1"/>
    <x v="4"/>
    <x v="1"/>
    <x v="1"/>
    <x v="0"/>
    <x v="3"/>
    <x v="2"/>
    <x v="3"/>
    <x v="1"/>
    <x v="1"/>
    <x v="1"/>
    <x v="3"/>
    <x v="1"/>
  </r>
  <r>
    <x v="1"/>
    <x v="1"/>
    <x v="0"/>
    <x v="3"/>
    <x v="2"/>
    <x v="4"/>
    <x v="1"/>
    <x v="1"/>
    <x v="0"/>
    <x v="2"/>
    <x v="2"/>
    <x v="2"/>
    <x v="3"/>
    <x v="1"/>
    <x v="0"/>
    <x v="3"/>
    <x v="0"/>
  </r>
  <r>
    <x v="1"/>
    <x v="1"/>
    <x v="0"/>
    <x v="3"/>
    <x v="3"/>
    <x v="5"/>
    <x v="2"/>
    <x v="1"/>
    <x v="0"/>
    <x v="2"/>
    <x v="2"/>
    <x v="2"/>
    <x v="3"/>
    <x v="1"/>
    <x v="1"/>
    <x v="3"/>
    <x v="1"/>
  </r>
  <r>
    <x v="1"/>
    <x v="1"/>
    <x v="0"/>
    <x v="0"/>
    <x v="19"/>
    <x v="1"/>
    <x v="2"/>
    <x v="1"/>
    <x v="2"/>
    <x v="3"/>
    <x v="2"/>
    <x v="2"/>
    <x v="1"/>
    <x v="1"/>
    <x v="0"/>
    <x v="2"/>
    <x v="0"/>
  </r>
  <r>
    <x v="1"/>
    <x v="1"/>
    <x v="0"/>
    <x v="4"/>
    <x v="4"/>
    <x v="1"/>
    <x v="2"/>
    <x v="1"/>
    <x v="0"/>
    <x v="1"/>
    <x v="2"/>
    <x v="2"/>
    <x v="1"/>
    <x v="1"/>
    <x v="1"/>
    <x v="2"/>
    <x v="0"/>
  </r>
  <r>
    <x v="1"/>
    <x v="1"/>
    <x v="0"/>
    <x v="4"/>
    <x v="5"/>
    <x v="5"/>
    <x v="1"/>
    <x v="1"/>
    <x v="0"/>
    <x v="1"/>
    <x v="2"/>
    <x v="2"/>
    <x v="3"/>
    <x v="1"/>
    <x v="0"/>
    <x v="3"/>
    <x v="1"/>
  </r>
  <r>
    <x v="1"/>
    <x v="1"/>
    <x v="0"/>
    <x v="4"/>
    <x v="6"/>
    <x v="5"/>
    <x v="1"/>
    <x v="1"/>
    <x v="2"/>
    <x v="2"/>
    <x v="2"/>
    <x v="2"/>
    <x v="3"/>
    <x v="1"/>
    <x v="1"/>
    <x v="3"/>
    <x v="1"/>
  </r>
  <r>
    <x v="1"/>
    <x v="2"/>
    <x v="1"/>
    <x v="0"/>
    <x v="20"/>
    <x v="4"/>
    <x v="1"/>
    <x v="4"/>
    <x v="4"/>
    <x v="1"/>
    <x v="4"/>
    <x v="1"/>
    <x v="2"/>
    <x v="2"/>
    <x v="2"/>
    <x v="1"/>
    <x v="0"/>
  </r>
  <r>
    <x v="1"/>
    <x v="2"/>
    <x v="1"/>
    <x v="1"/>
    <x v="1"/>
    <x v="5"/>
    <x v="1"/>
    <x v="1"/>
    <x v="2"/>
    <x v="2"/>
    <x v="2"/>
    <x v="3"/>
    <x v="3"/>
    <x v="1"/>
    <x v="1"/>
    <x v="3"/>
    <x v="1"/>
  </r>
  <r>
    <x v="1"/>
    <x v="2"/>
    <x v="1"/>
    <x v="1"/>
    <x v="2"/>
    <x v="5"/>
    <x v="1"/>
    <x v="1"/>
    <x v="0"/>
    <x v="2"/>
    <x v="2"/>
    <x v="2"/>
    <x v="1"/>
    <x v="3"/>
    <x v="1"/>
    <x v="3"/>
    <x v="1"/>
  </r>
  <r>
    <x v="1"/>
    <x v="2"/>
    <x v="1"/>
    <x v="1"/>
    <x v="3"/>
    <x v="4"/>
    <x v="1"/>
    <x v="1"/>
    <x v="2"/>
    <x v="1"/>
    <x v="4"/>
    <x v="3"/>
    <x v="1"/>
    <x v="3"/>
    <x v="0"/>
    <x v="2"/>
    <x v="0"/>
  </r>
  <r>
    <x v="1"/>
    <x v="2"/>
    <x v="1"/>
    <x v="1"/>
    <x v="4"/>
    <x v="5"/>
    <x v="1"/>
    <x v="1"/>
    <x v="0"/>
    <x v="2"/>
    <x v="2"/>
    <x v="2"/>
    <x v="3"/>
    <x v="1"/>
    <x v="0"/>
    <x v="2"/>
    <x v="1"/>
  </r>
  <r>
    <x v="1"/>
    <x v="2"/>
    <x v="1"/>
    <x v="1"/>
    <x v="5"/>
    <x v="5"/>
    <x v="1"/>
    <x v="1"/>
    <x v="0"/>
    <x v="2"/>
    <x v="2"/>
    <x v="2"/>
    <x v="3"/>
    <x v="1"/>
    <x v="1"/>
    <x v="3"/>
    <x v="1"/>
  </r>
  <r>
    <x v="1"/>
    <x v="2"/>
    <x v="1"/>
    <x v="1"/>
    <x v="6"/>
    <x v="5"/>
    <x v="1"/>
    <x v="4"/>
    <x v="0"/>
    <x v="2"/>
    <x v="2"/>
    <x v="2"/>
    <x v="3"/>
    <x v="1"/>
    <x v="1"/>
    <x v="3"/>
    <x v="1"/>
  </r>
  <r>
    <x v="1"/>
    <x v="2"/>
    <x v="1"/>
    <x v="8"/>
    <x v="1"/>
    <x v="5"/>
    <x v="69"/>
    <x v="1"/>
    <x v="24"/>
    <x v="2"/>
    <x v="2"/>
    <x v="26"/>
    <x v="3"/>
    <x v="1"/>
    <x v="1"/>
    <x v="3"/>
    <x v="1"/>
  </r>
  <r>
    <x v="1"/>
    <x v="2"/>
    <x v="1"/>
    <x v="8"/>
    <x v="2"/>
    <x v="5"/>
    <x v="69"/>
    <x v="1"/>
    <x v="0"/>
    <x v="2"/>
    <x v="2"/>
    <x v="2"/>
    <x v="7"/>
    <x v="105"/>
    <x v="1"/>
    <x v="3"/>
    <x v="1"/>
  </r>
  <r>
    <x v="1"/>
    <x v="2"/>
    <x v="1"/>
    <x v="8"/>
    <x v="3"/>
    <x v="4"/>
    <x v="69"/>
    <x v="1"/>
    <x v="24"/>
    <x v="1"/>
    <x v="4"/>
    <x v="26"/>
    <x v="7"/>
    <x v="105"/>
    <x v="3"/>
    <x v="6"/>
    <x v="0"/>
  </r>
  <r>
    <x v="1"/>
    <x v="2"/>
    <x v="1"/>
    <x v="8"/>
    <x v="4"/>
    <x v="5"/>
    <x v="69"/>
    <x v="1"/>
    <x v="0"/>
    <x v="2"/>
    <x v="2"/>
    <x v="2"/>
    <x v="3"/>
    <x v="1"/>
    <x v="3"/>
    <x v="6"/>
    <x v="1"/>
  </r>
  <r>
    <x v="1"/>
    <x v="2"/>
    <x v="1"/>
    <x v="8"/>
    <x v="5"/>
    <x v="5"/>
    <x v="69"/>
    <x v="1"/>
    <x v="0"/>
    <x v="2"/>
    <x v="2"/>
    <x v="2"/>
    <x v="3"/>
    <x v="1"/>
    <x v="1"/>
    <x v="3"/>
    <x v="1"/>
  </r>
  <r>
    <x v="1"/>
    <x v="2"/>
    <x v="1"/>
    <x v="8"/>
    <x v="6"/>
    <x v="5"/>
    <x v="69"/>
    <x v="4"/>
    <x v="0"/>
    <x v="2"/>
    <x v="2"/>
    <x v="2"/>
    <x v="3"/>
    <x v="1"/>
    <x v="1"/>
    <x v="3"/>
    <x v="1"/>
  </r>
  <r>
    <x v="1"/>
    <x v="2"/>
    <x v="1"/>
    <x v="2"/>
    <x v="7"/>
    <x v="4"/>
    <x v="1"/>
    <x v="1"/>
    <x v="0"/>
    <x v="2"/>
    <x v="2"/>
    <x v="2"/>
    <x v="1"/>
    <x v="3"/>
    <x v="1"/>
    <x v="2"/>
    <x v="1"/>
  </r>
  <r>
    <x v="1"/>
    <x v="2"/>
    <x v="1"/>
    <x v="2"/>
    <x v="8"/>
    <x v="5"/>
    <x v="1"/>
    <x v="1"/>
    <x v="2"/>
    <x v="2"/>
    <x v="2"/>
    <x v="2"/>
    <x v="3"/>
    <x v="1"/>
    <x v="1"/>
    <x v="3"/>
    <x v="1"/>
  </r>
  <r>
    <x v="1"/>
    <x v="2"/>
    <x v="1"/>
    <x v="2"/>
    <x v="9"/>
    <x v="5"/>
    <x v="1"/>
    <x v="1"/>
    <x v="2"/>
    <x v="1"/>
    <x v="4"/>
    <x v="1"/>
    <x v="1"/>
    <x v="3"/>
    <x v="2"/>
    <x v="2"/>
    <x v="0"/>
  </r>
  <r>
    <x v="1"/>
    <x v="2"/>
    <x v="1"/>
    <x v="2"/>
    <x v="10"/>
    <x v="5"/>
    <x v="1"/>
    <x v="1"/>
    <x v="0"/>
    <x v="2"/>
    <x v="2"/>
    <x v="2"/>
    <x v="3"/>
    <x v="1"/>
    <x v="1"/>
    <x v="3"/>
    <x v="1"/>
  </r>
  <r>
    <x v="1"/>
    <x v="2"/>
    <x v="1"/>
    <x v="2"/>
    <x v="11"/>
    <x v="5"/>
    <x v="1"/>
    <x v="4"/>
    <x v="0"/>
    <x v="2"/>
    <x v="2"/>
    <x v="2"/>
    <x v="3"/>
    <x v="1"/>
    <x v="1"/>
    <x v="3"/>
    <x v="1"/>
  </r>
  <r>
    <x v="1"/>
    <x v="2"/>
    <x v="1"/>
    <x v="0"/>
    <x v="21"/>
    <x v="4"/>
    <x v="1"/>
    <x v="1"/>
    <x v="4"/>
    <x v="1"/>
    <x v="4"/>
    <x v="1"/>
    <x v="2"/>
    <x v="2"/>
    <x v="0"/>
    <x v="1"/>
    <x v="0"/>
  </r>
  <r>
    <x v="1"/>
    <x v="2"/>
    <x v="1"/>
    <x v="3"/>
    <x v="1"/>
    <x v="5"/>
    <x v="1"/>
    <x v="1"/>
    <x v="2"/>
    <x v="2"/>
    <x v="2"/>
    <x v="3"/>
    <x v="3"/>
    <x v="1"/>
    <x v="1"/>
    <x v="3"/>
    <x v="1"/>
  </r>
  <r>
    <x v="1"/>
    <x v="2"/>
    <x v="1"/>
    <x v="3"/>
    <x v="2"/>
    <x v="5"/>
    <x v="1"/>
    <x v="1"/>
    <x v="0"/>
    <x v="2"/>
    <x v="2"/>
    <x v="2"/>
    <x v="1"/>
    <x v="3"/>
    <x v="1"/>
    <x v="2"/>
    <x v="1"/>
  </r>
  <r>
    <x v="1"/>
    <x v="2"/>
    <x v="1"/>
    <x v="3"/>
    <x v="3"/>
    <x v="4"/>
    <x v="1"/>
    <x v="1"/>
    <x v="2"/>
    <x v="1"/>
    <x v="4"/>
    <x v="3"/>
    <x v="1"/>
    <x v="3"/>
    <x v="0"/>
    <x v="2"/>
    <x v="0"/>
  </r>
  <r>
    <x v="1"/>
    <x v="2"/>
    <x v="1"/>
    <x v="9"/>
    <x v="1"/>
    <x v="5"/>
    <x v="1"/>
    <x v="1"/>
    <x v="23"/>
    <x v="2"/>
    <x v="2"/>
    <x v="5"/>
    <x v="3"/>
    <x v="1"/>
    <x v="1"/>
    <x v="3"/>
    <x v="4"/>
  </r>
  <r>
    <x v="1"/>
    <x v="2"/>
    <x v="1"/>
    <x v="9"/>
    <x v="2"/>
    <x v="5"/>
    <x v="1"/>
    <x v="1"/>
    <x v="0"/>
    <x v="2"/>
    <x v="2"/>
    <x v="2"/>
    <x v="7"/>
    <x v="3"/>
    <x v="1"/>
    <x v="6"/>
    <x v="4"/>
  </r>
  <r>
    <x v="1"/>
    <x v="2"/>
    <x v="1"/>
    <x v="9"/>
    <x v="3"/>
    <x v="15"/>
    <x v="1"/>
    <x v="1"/>
    <x v="23"/>
    <x v="8"/>
    <x v="6"/>
    <x v="5"/>
    <x v="7"/>
    <x v="3"/>
    <x v="0"/>
    <x v="6"/>
    <x v="4"/>
  </r>
  <r>
    <x v="1"/>
    <x v="2"/>
    <x v="1"/>
    <x v="0"/>
    <x v="22"/>
    <x v="4"/>
    <x v="1"/>
    <x v="4"/>
    <x v="4"/>
    <x v="1"/>
    <x v="4"/>
    <x v="1"/>
    <x v="2"/>
    <x v="2"/>
    <x v="2"/>
    <x v="1"/>
    <x v="0"/>
  </r>
  <r>
    <x v="1"/>
    <x v="2"/>
    <x v="1"/>
    <x v="4"/>
    <x v="4"/>
    <x v="4"/>
    <x v="1"/>
    <x v="1"/>
    <x v="2"/>
    <x v="2"/>
    <x v="2"/>
    <x v="3"/>
    <x v="3"/>
    <x v="1"/>
    <x v="0"/>
    <x v="2"/>
    <x v="1"/>
  </r>
  <r>
    <x v="1"/>
    <x v="2"/>
    <x v="1"/>
    <x v="4"/>
    <x v="5"/>
    <x v="5"/>
    <x v="1"/>
    <x v="1"/>
    <x v="0"/>
    <x v="2"/>
    <x v="2"/>
    <x v="2"/>
    <x v="1"/>
    <x v="3"/>
    <x v="1"/>
    <x v="3"/>
    <x v="1"/>
  </r>
  <r>
    <x v="1"/>
    <x v="2"/>
    <x v="1"/>
    <x v="4"/>
    <x v="6"/>
    <x v="5"/>
    <x v="1"/>
    <x v="4"/>
    <x v="2"/>
    <x v="1"/>
    <x v="4"/>
    <x v="3"/>
    <x v="1"/>
    <x v="3"/>
    <x v="0"/>
    <x v="2"/>
    <x v="0"/>
  </r>
  <r>
    <x v="1"/>
    <x v="2"/>
    <x v="1"/>
    <x v="10"/>
    <x v="4"/>
    <x v="15"/>
    <x v="1"/>
    <x v="1"/>
    <x v="7"/>
    <x v="2"/>
    <x v="2"/>
    <x v="26"/>
    <x v="3"/>
    <x v="1"/>
    <x v="3"/>
    <x v="5"/>
    <x v="1"/>
  </r>
  <r>
    <x v="1"/>
    <x v="2"/>
    <x v="1"/>
    <x v="10"/>
    <x v="5"/>
    <x v="5"/>
    <x v="1"/>
    <x v="1"/>
    <x v="0"/>
    <x v="2"/>
    <x v="2"/>
    <x v="2"/>
    <x v="7"/>
    <x v="6"/>
    <x v="1"/>
    <x v="3"/>
    <x v="1"/>
  </r>
  <r>
    <x v="1"/>
    <x v="2"/>
    <x v="1"/>
    <x v="10"/>
    <x v="6"/>
    <x v="5"/>
    <x v="1"/>
    <x v="79"/>
    <x v="7"/>
    <x v="10"/>
    <x v="7"/>
    <x v="26"/>
    <x v="7"/>
    <x v="6"/>
    <x v="3"/>
    <x v="5"/>
    <x v="0"/>
  </r>
  <r>
    <x v="1"/>
    <x v="0"/>
    <x v="2"/>
    <x v="0"/>
    <x v="23"/>
    <x v="7"/>
    <x v="4"/>
    <x v="3"/>
    <x v="13"/>
    <x v="4"/>
    <x v="16"/>
    <x v="95"/>
    <x v="18"/>
    <x v="15"/>
    <x v="10"/>
    <x v="13"/>
    <x v="14"/>
  </r>
  <r>
    <x v="1"/>
    <x v="0"/>
    <x v="2"/>
    <x v="1"/>
    <x v="1"/>
    <x v="4"/>
    <x v="2"/>
    <x v="4"/>
    <x v="4"/>
    <x v="0"/>
    <x v="3"/>
    <x v="14"/>
    <x v="0"/>
    <x v="0"/>
    <x v="26"/>
    <x v="36"/>
    <x v="103"/>
  </r>
  <r>
    <x v="1"/>
    <x v="0"/>
    <x v="2"/>
    <x v="1"/>
    <x v="2"/>
    <x v="5"/>
    <x v="1"/>
    <x v="1"/>
    <x v="0"/>
    <x v="2"/>
    <x v="2"/>
    <x v="2"/>
    <x v="1"/>
    <x v="3"/>
    <x v="0"/>
    <x v="2"/>
    <x v="0"/>
  </r>
  <r>
    <x v="1"/>
    <x v="0"/>
    <x v="2"/>
    <x v="1"/>
    <x v="3"/>
    <x v="4"/>
    <x v="2"/>
    <x v="4"/>
    <x v="4"/>
    <x v="3"/>
    <x v="1"/>
    <x v="1"/>
    <x v="2"/>
    <x v="2"/>
    <x v="2"/>
    <x v="1"/>
    <x v="3"/>
  </r>
  <r>
    <x v="1"/>
    <x v="0"/>
    <x v="2"/>
    <x v="1"/>
    <x v="4"/>
    <x v="4"/>
    <x v="2"/>
    <x v="4"/>
    <x v="2"/>
    <x v="1"/>
    <x v="4"/>
    <x v="3"/>
    <x v="1"/>
    <x v="3"/>
    <x v="2"/>
    <x v="4"/>
    <x v="2"/>
  </r>
  <r>
    <x v="1"/>
    <x v="0"/>
    <x v="2"/>
    <x v="1"/>
    <x v="5"/>
    <x v="5"/>
    <x v="1"/>
    <x v="1"/>
    <x v="0"/>
    <x v="1"/>
    <x v="4"/>
    <x v="3"/>
    <x v="1"/>
    <x v="3"/>
    <x v="0"/>
    <x v="2"/>
    <x v="0"/>
  </r>
  <r>
    <x v="1"/>
    <x v="0"/>
    <x v="2"/>
    <x v="1"/>
    <x v="6"/>
    <x v="5"/>
    <x v="1"/>
    <x v="4"/>
    <x v="2"/>
    <x v="1"/>
    <x v="4"/>
    <x v="3"/>
    <x v="1"/>
    <x v="3"/>
    <x v="0"/>
    <x v="2"/>
    <x v="0"/>
  </r>
  <r>
    <x v="1"/>
    <x v="0"/>
    <x v="2"/>
    <x v="2"/>
    <x v="7"/>
    <x v="1"/>
    <x v="0"/>
    <x v="2"/>
    <x v="4"/>
    <x v="3"/>
    <x v="1"/>
    <x v="1"/>
    <x v="5"/>
    <x v="4"/>
    <x v="16"/>
    <x v="0"/>
    <x v="9"/>
  </r>
  <r>
    <x v="1"/>
    <x v="0"/>
    <x v="2"/>
    <x v="2"/>
    <x v="8"/>
    <x v="5"/>
    <x v="1"/>
    <x v="1"/>
    <x v="2"/>
    <x v="1"/>
    <x v="4"/>
    <x v="3"/>
    <x v="1"/>
    <x v="3"/>
    <x v="0"/>
    <x v="2"/>
    <x v="0"/>
  </r>
  <r>
    <x v="1"/>
    <x v="0"/>
    <x v="2"/>
    <x v="2"/>
    <x v="9"/>
    <x v="4"/>
    <x v="2"/>
    <x v="4"/>
    <x v="4"/>
    <x v="0"/>
    <x v="3"/>
    <x v="0"/>
    <x v="4"/>
    <x v="5"/>
    <x v="26"/>
    <x v="36"/>
    <x v="103"/>
  </r>
  <r>
    <x v="1"/>
    <x v="0"/>
    <x v="2"/>
    <x v="2"/>
    <x v="10"/>
    <x v="5"/>
    <x v="1"/>
    <x v="1"/>
    <x v="0"/>
    <x v="1"/>
    <x v="4"/>
    <x v="1"/>
    <x v="2"/>
    <x v="2"/>
    <x v="2"/>
    <x v="1"/>
    <x v="3"/>
  </r>
  <r>
    <x v="1"/>
    <x v="0"/>
    <x v="2"/>
    <x v="2"/>
    <x v="11"/>
    <x v="5"/>
    <x v="1"/>
    <x v="4"/>
    <x v="2"/>
    <x v="1"/>
    <x v="4"/>
    <x v="3"/>
    <x v="1"/>
    <x v="3"/>
    <x v="0"/>
    <x v="2"/>
    <x v="0"/>
  </r>
  <r>
    <x v="1"/>
    <x v="0"/>
    <x v="2"/>
    <x v="0"/>
    <x v="24"/>
    <x v="7"/>
    <x v="4"/>
    <x v="6"/>
    <x v="1"/>
    <x v="7"/>
    <x v="11"/>
    <x v="11"/>
    <x v="14"/>
    <x v="23"/>
    <x v="6"/>
    <x v="9"/>
    <x v="6"/>
  </r>
  <r>
    <x v="1"/>
    <x v="0"/>
    <x v="2"/>
    <x v="3"/>
    <x v="1"/>
    <x v="4"/>
    <x v="2"/>
    <x v="4"/>
    <x v="4"/>
    <x v="0"/>
    <x v="3"/>
    <x v="14"/>
    <x v="0"/>
    <x v="0"/>
    <x v="26"/>
    <x v="36"/>
    <x v="103"/>
  </r>
  <r>
    <x v="1"/>
    <x v="0"/>
    <x v="2"/>
    <x v="3"/>
    <x v="2"/>
    <x v="4"/>
    <x v="2"/>
    <x v="4"/>
    <x v="2"/>
    <x v="1"/>
    <x v="4"/>
    <x v="3"/>
    <x v="2"/>
    <x v="2"/>
    <x v="2"/>
    <x v="4"/>
    <x v="2"/>
  </r>
  <r>
    <x v="1"/>
    <x v="0"/>
    <x v="2"/>
    <x v="3"/>
    <x v="3"/>
    <x v="4"/>
    <x v="2"/>
    <x v="4"/>
    <x v="4"/>
    <x v="3"/>
    <x v="1"/>
    <x v="1"/>
    <x v="2"/>
    <x v="2"/>
    <x v="2"/>
    <x v="1"/>
    <x v="3"/>
  </r>
  <r>
    <x v="1"/>
    <x v="0"/>
    <x v="2"/>
    <x v="0"/>
    <x v="25"/>
    <x v="7"/>
    <x v="4"/>
    <x v="3"/>
    <x v="13"/>
    <x v="6"/>
    <x v="13"/>
    <x v="11"/>
    <x v="14"/>
    <x v="106"/>
    <x v="92"/>
    <x v="103"/>
    <x v="104"/>
  </r>
  <r>
    <x v="1"/>
    <x v="0"/>
    <x v="2"/>
    <x v="4"/>
    <x v="4"/>
    <x v="7"/>
    <x v="4"/>
    <x v="6"/>
    <x v="3"/>
    <x v="12"/>
    <x v="0"/>
    <x v="14"/>
    <x v="0"/>
    <x v="0"/>
    <x v="14"/>
    <x v="19"/>
    <x v="32"/>
  </r>
  <r>
    <x v="1"/>
    <x v="0"/>
    <x v="2"/>
    <x v="4"/>
    <x v="5"/>
    <x v="5"/>
    <x v="1"/>
    <x v="1"/>
    <x v="0"/>
    <x v="1"/>
    <x v="4"/>
    <x v="3"/>
    <x v="2"/>
    <x v="2"/>
    <x v="2"/>
    <x v="1"/>
    <x v="3"/>
  </r>
  <r>
    <x v="1"/>
    <x v="0"/>
    <x v="2"/>
    <x v="4"/>
    <x v="6"/>
    <x v="5"/>
    <x v="1"/>
    <x v="4"/>
    <x v="4"/>
    <x v="3"/>
    <x v="1"/>
    <x v="1"/>
    <x v="2"/>
    <x v="2"/>
    <x v="2"/>
    <x v="1"/>
    <x v="3"/>
  </r>
  <r>
    <x v="1"/>
    <x v="1"/>
    <x v="2"/>
    <x v="0"/>
    <x v="26"/>
    <x v="1"/>
    <x v="4"/>
    <x v="6"/>
    <x v="3"/>
    <x v="6"/>
    <x v="13"/>
    <x v="11"/>
    <x v="14"/>
    <x v="23"/>
    <x v="20"/>
    <x v="14"/>
    <x v="33"/>
  </r>
  <r>
    <x v="1"/>
    <x v="1"/>
    <x v="2"/>
    <x v="1"/>
    <x v="1"/>
    <x v="4"/>
    <x v="2"/>
    <x v="4"/>
    <x v="2"/>
    <x v="0"/>
    <x v="3"/>
    <x v="0"/>
    <x v="0"/>
    <x v="0"/>
    <x v="26"/>
    <x v="36"/>
    <x v="103"/>
  </r>
  <r>
    <x v="1"/>
    <x v="1"/>
    <x v="2"/>
    <x v="1"/>
    <x v="2"/>
    <x v="5"/>
    <x v="1"/>
    <x v="1"/>
    <x v="0"/>
    <x v="2"/>
    <x v="2"/>
    <x v="2"/>
    <x v="3"/>
    <x v="1"/>
    <x v="0"/>
    <x v="2"/>
    <x v="0"/>
  </r>
  <r>
    <x v="1"/>
    <x v="1"/>
    <x v="2"/>
    <x v="1"/>
    <x v="3"/>
    <x v="5"/>
    <x v="2"/>
    <x v="4"/>
    <x v="2"/>
    <x v="1"/>
    <x v="4"/>
    <x v="3"/>
    <x v="1"/>
    <x v="3"/>
    <x v="0"/>
    <x v="2"/>
    <x v="0"/>
  </r>
  <r>
    <x v="1"/>
    <x v="1"/>
    <x v="2"/>
    <x v="1"/>
    <x v="4"/>
    <x v="4"/>
    <x v="2"/>
    <x v="4"/>
    <x v="2"/>
    <x v="1"/>
    <x v="4"/>
    <x v="3"/>
    <x v="1"/>
    <x v="3"/>
    <x v="0"/>
    <x v="1"/>
    <x v="2"/>
  </r>
  <r>
    <x v="1"/>
    <x v="1"/>
    <x v="2"/>
    <x v="1"/>
    <x v="5"/>
    <x v="5"/>
    <x v="1"/>
    <x v="1"/>
    <x v="0"/>
    <x v="1"/>
    <x v="4"/>
    <x v="3"/>
    <x v="1"/>
    <x v="3"/>
    <x v="0"/>
    <x v="2"/>
    <x v="0"/>
  </r>
  <r>
    <x v="1"/>
    <x v="1"/>
    <x v="2"/>
    <x v="1"/>
    <x v="6"/>
    <x v="5"/>
    <x v="1"/>
    <x v="1"/>
    <x v="2"/>
    <x v="1"/>
    <x v="4"/>
    <x v="3"/>
    <x v="1"/>
    <x v="3"/>
    <x v="0"/>
    <x v="2"/>
    <x v="0"/>
  </r>
  <r>
    <x v="1"/>
    <x v="1"/>
    <x v="2"/>
    <x v="11"/>
    <x v="1"/>
    <x v="22"/>
    <x v="7"/>
    <x v="14"/>
    <x v="8"/>
    <x v="100"/>
    <x v="97"/>
    <x v="26"/>
    <x v="107"/>
    <x v="107"/>
    <x v="3"/>
    <x v="104"/>
    <x v="105"/>
  </r>
  <r>
    <x v="1"/>
    <x v="1"/>
    <x v="2"/>
    <x v="11"/>
    <x v="2"/>
    <x v="5"/>
    <x v="1"/>
    <x v="1"/>
    <x v="0"/>
    <x v="2"/>
    <x v="2"/>
    <x v="2"/>
    <x v="3"/>
    <x v="1"/>
    <x v="93"/>
    <x v="105"/>
    <x v="106"/>
  </r>
  <r>
    <x v="1"/>
    <x v="1"/>
    <x v="2"/>
    <x v="11"/>
    <x v="3"/>
    <x v="5"/>
    <x v="7"/>
    <x v="14"/>
    <x v="8"/>
    <x v="101"/>
    <x v="98"/>
    <x v="96"/>
    <x v="108"/>
    <x v="108"/>
    <x v="93"/>
    <x v="105"/>
    <x v="106"/>
  </r>
  <r>
    <x v="1"/>
    <x v="1"/>
    <x v="2"/>
    <x v="11"/>
    <x v="4"/>
    <x v="22"/>
    <x v="7"/>
    <x v="14"/>
    <x v="8"/>
    <x v="101"/>
    <x v="98"/>
    <x v="96"/>
    <x v="108"/>
    <x v="108"/>
    <x v="93"/>
    <x v="106"/>
    <x v="107"/>
  </r>
  <r>
    <x v="1"/>
    <x v="1"/>
    <x v="2"/>
    <x v="11"/>
    <x v="5"/>
    <x v="5"/>
    <x v="1"/>
    <x v="1"/>
    <x v="0"/>
    <x v="101"/>
    <x v="98"/>
    <x v="96"/>
    <x v="108"/>
    <x v="108"/>
    <x v="93"/>
    <x v="105"/>
    <x v="106"/>
  </r>
  <r>
    <x v="1"/>
    <x v="1"/>
    <x v="2"/>
    <x v="11"/>
    <x v="6"/>
    <x v="5"/>
    <x v="1"/>
    <x v="1"/>
    <x v="8"/>
    <x v="101"/>
    <x v="98"/>
    <x v="96"/>
    <x v="108"/>
    <x v="108"/>
    <x v="93"/>
    <x v="105"/>
    <x v="106"/>
  </r>
  <r>
    <x v="1"/>
    <x v="1"/>
    <x v="2"/>
    <x v="2"/>
    <x v="7"/>
    <x v="4"/>
    <x v="0"/>
    <x v="2"/>
    <x v="4"/>
    <x v="3"/>
    <x v="1"/>
    <x v="1"/>
    <x v="2"/>
    <x v="2"/>
    <x v="16"/>
    <x v="4"/>
    <x v="9"/>
  </r>
  <r>
    <x v="1"/>
    <x v="1"/>
    <x v="2"/>
    <x v="2"/>
    <x v="8"/>
    <x v="5"/>
    <x v="1"/>
    <x v="1"/>
    <x v="0"/>
    <x v="1"/>
    <x v="4"/>
    <x v="3"/>
    <x v="1"/>
    <x v="3"/>
    <x v="0"/>
    <x v="2"/>
    <x v="0"/>
  </r>
  <r>
    <x v="1"/>
    <x v="1"/>
    <x v="2"/>
    <x v="2"/>
    <x v="9"/>
    <x v="4"/>
    <x v="2"/>
    <x v="4"/>
    <x v="2"/>
    <x v="3"/>
    <x v="1"/>
    <x v="1"/>
    <x v="5"/>
    <x v="4"/>
    <x v="16"/>
    <x v="0"/>
    <x v="9"/>
  </r>
  <r>
    <x v="1"/>
    <x v="1"/>
    <x v="2"/>
    <x v="2"/>
    <x v="10"/>
    <x v="5"/>
    <x v="1"/>
    <x v="1"/>
    <x v="0"/>
    <x v="1"/>
    <x v="4"/>
    <x v="1"/>
    <x v="2"/>
    <x v="2"/>
    <x v="2"/>
    <x v="1"/>
    <x v="3"/>
  </r>
  <r>
    <x v="1"/>
    <x v="1"/>
    <x v="2"/>
    <x v="2"/>
    <x v="11"/>
    <x v="5"/>
    <x v="1"/>
    <x v="1"/>
    <x v="2"/>
    <x v="1"/>
    <x v="4"/>
    <x v="3"/>
    <x v="1"/>
    <x v="3"/>
    <x v="0"/>
    <x v="2"/>
    <x v="0"/>
  </r>
  <r>
    <x v="1"/>
    <x v="1"/>
    <x v="2"/>
    <x v="0"/>
    <x v="27"/>
    <x v="1"/>
    <x v="4"/>
    <x v="6"/>
    <x v="5"/>
    <x v="5"/>
    <x v="9"/>
    <x v="16"/>
    <x v="12"/>
    <x v="18"/>
    <x v="5"/>
    <x v="107"/>
    <x v="8"/>
  </r>
  <r>
    <x v="1"/>
    <x v="1"/>
    <x v="2"/>
    <x v="3"/>
    <x v="1"/>
    <x v="4"/>
    <x v="2"/>
    <x v="4"/>
    <x v="2"/>
    <x v="0"/>
    <x v="3"/>
    <x v="0"/>
    <x v="0"/>
    <x v="0"/>
    <x v="26"/>
    <x v="36"/>
    <x v="103"/>
  </r>
  <r>
    <x v="1"/>
    <x v="1"/>
    <x v="2"/>
    <x v="3"/>
    <x v="2"/>
    <x v="4"/>
    <x v="2"/>
    <x v="4"/>
    <x v="2"/>
    <x v="1"/>
    <x v="4"/>
    <x v="3"/>
    <x v="1"/>
    <x v="3"/>
    <x v="2"/>
    <x v="1"/>
    <x v="2"/>
  </r>
  <r>
    <x v="1"/>
    <x v="1"/>
    <x v="2"/>
    <x v="3"/>
    <x v="3"/>
    <x v="5"/>
    <x v="2"/>
    <x v="4"/>
    <x v="2"/>
    <x v="1"/>
    <x v="4"/>
    <x v="3"/>
    <x v="1"/>
    <x v="3"/>
    <x v="0"/>
    <x v="2"/>
    <x v="0"/>
  </r>
  <r>
    <x v="1"/>
    <x v="1"/>
    <x v="2"/>
    <x v="12"/>
    <x v="1"/>
    <x v="22"/>
    <x v="7"/>
    <x v="14"/>
    <x v="37"/>
    <x v="102"/>
    <x v="33"/>
    <x v="97"/>
    <x v="109"/>
    <x v="109"/>
    <x v="94"/>
    <x v="108"/>
    <x v="108"/>
  </r>
  <r>
    <x v="1"/>
    <x v="1"/>
    <x v="2"/>
    <x v="12"/>
    <x v="2"/>
    <x v="22"/>
    <x v="7"/>
    <x v="14"/>
    <x v="37"/>
    <x v="103"/>
    <x v="99"/>
    <x v="98"/>
    <x v="22"/>
    <x v="110"/>
    <x v="95"/>
    <x v="109"/>
    <x v="25"/>
  </r>
  <r>
    <x v="1"/>
    <x v="1"/>
    <x v="2"/>
    <x v="12"/>
    <x v="3"/>
    <x v="5"/>
    <x v="7"/>
    <x v="14"/>
    <x v="37"/>
    <x v="103"/>
    <x v="99"/>
    <x v="98"/>
    <x v="22"/>
    <x v="110"/>
    <x v="96"/>
    <x v="110"/>
    <x v="109"/>
  </r>
  <r>
    <x v="1"/>
    <x v="1"/>
    <x v="2"/>
    <x v="0"/>
    <x v="28"/>
    <x v="1"/>
    <x v="4"/>
    <x v="6"/>
    <x v="3"/>
    <x v="7"/>
    <x v="11"/>
    <x v="16"/>
    <x v="12"/>
    <x v="18"/>
    <x v="5"/>
    <x v="11"/>
    <x v="6"/>
  </r>
  <r>
    <x v="1"/>
    <x v="1"/>
    <x v="2"/>
    <x v="4"/>
    <x v="4"/>
    <x v="1"/>
    <x v="4"/>
    <x v="6"/>
    <x v="5"/>
    <x v="12"/>
    <x v="0"/>
    <x v="0"/>
    <x v="0"/>
    <x v="0"/>
    <x v="26"/>
    <x v="35"/>
    <x v="32"/>
  </r>
  <r>
    <x v="1"/>
    <x v="1"/>
    <x v="2"/>
    <x v="4"/>
    <x v="5"/>
    <x v="5"/>
    <x v="1"/>
    <x v="1"/>
    <x v="0"/>
    <x v="1"/>
    <x v="4"/>
    <x v="3"/>
    <x v="1"/>
    <x v="3"/>
    <x v="2"/>
    <x v="1"/>
    <x v="3"/>
  </r>
  <r>
    <x v="1"/>
    <x v="1"/>
    <x v="2"/>
    <x v="4"/>
    <x v="6"/>
    <x v="5"/>
    <x v="1"/>
    <x v="1"/>
    <x v="2"/>
    <x v="1"/>
    <x v="4"/>
    <x v="3"/>
    <x v="1"/>
    <x v="3"/>
    <x v="0"/>
    <x v="2"/>
    <x v="0"/>
  </r>
  <r>
    <x v="1"/>
    <x v="1"/>
    <x v="2"/>
    <x v="13"/>
    <x v="4"/>
    <x v="4"/>
    <x v="2"/>
    <x v="4"/>
    <x v="14"/>
    <x v="9"/>
    <x v="5"/>
    <x v="97"/>
    <x v="109"/>
    <x v="109"/>
    <x v="94"/>
    <x v="7"/>
    <x v="110"/>
  </r>
  <r>
    <x v="1"/>
    <x v="1"/>
    <x v="2"/>
    <x v="13"/>
    <x v="5"/>
    <x v="5"/>
    <x v="1"/>
    <x v="1"/>
    <x v="0"/>
    <x v="24"/>
    <x v="100"/>
    <x v="98"/>
    <x v="22"/>
    <x v="110"/>
    <x v="95"/>
    <x v="111"/>
    <x v="111"/>
  </r>
  <r>
    <x v="1"/>
    <x v="1"/>
    <x v="2"/>
    <x v="13"/>
    <x v="6"/>
    <x v="5"/>
    <x v="1"/>
    <x v="1"/>
    <x v="8"/>
    <x v="24"/>
    <x v="100"/>
    <x v="98"/>
    <x v="22"/>
    <x v="110"/>
    <x v="96"/>
    <x v="112"/>
    <x v="112"/>
  </r>
  <r>
    <x v="1"/>
    <x v="1"/>
    <x v="2"/>
    <x v="0"/>
    <x v="29"/>
    <x v="1"/>
    <x v="0"/>
    <x v="2"/>
    <x v="5"/>
    <x v="5"/>
    <x v="9"/>
    <x v="16"/>
    <x v="12"/>
    <x v="18"/>
    <x v="97"/>
    <x v="19"/>
    <x v="32"/>
  </r>
  <r>
    <x v="1"/>
    <x v="1"/>
    <x v="2"/>
    <x v="0"/>
    <x v="30"/>
    <x v="5"/>
    <x v="2"/>
    <x v="4"/>
    <x v="2"/>
    <x v="3"/>
    <x v="1"/>
    <x v="1"/>
    <x v="2"/>
    <x v="2"/>
    <x v="16"/>
    <x v="4"/>
    <x v="9"/>
  </r>
  <r>
    <x v="1"/>
    <x v="1"/>
    <x v="2"/>
    <x v="0"/>
    <x v="31"/>
    <x v="5"/>
    <x v="1"/>
    <x v="1"/>
    <x v="0"/>
    <x v="2"/>
    <x v="2"/>
    <x v="2"/>
    <x v="3"/>
    <x v="1"/>
    <x v="1"/>
    <x v="2"/>
    <x v="0"/>
  </r>
  <r>
    <x v="1"/>
    <x v="1"/>
    <x v="2"/>
    <x v="14"/>
    <x v="7"/>
    <x v="4"/>
    <x v="2"/>
    <x v="4"/>
    <x v="2"/>
    <x v="1"/>
    <x v="4"/>
    <x v="3"/>
    <x v="1"/>
    <x v="3"/>
    <x v="0"/>
    <x v="2"/>
    <x v="0"/>
  </r>
  <r>
    <x v="1"/>
    <x v="1"/>
    <x v="2"/>
    <x v="14"/>
    <x v="8"/>
    <x v="5"/>
    <x v="1"/>
    <x v="1"/>
    <x v="0"/>
    <x v="1"/>
    <x v="4"/>
    <x v="3"/>
    <x v="1"/>
    <x v="3"/>
    <x v="0"/>
    <x v="2"/>
    <x v="0"/>
  </r>
  <r>
    <x v="1"/>
    <x v="1"/>
    <x v="2"/>
    <x v="14"/>
    <x v="9"/>
    <x v="4"/>
    <x v="2"/>
    <x v="4"/>
    <x v="2"/>
    <x v="3"/>
    <x v="1"/>
    <x v="1"/>
    <x v="5"/>
    <x v="4"/>
    <x v="16"/>
    <x v="4"/>
    <x v="2"/>
  </r>
  <r>
    <x v="1"/>
    <x v="1"/>
    <x v="2"/>
    <x v="14"/>
    <x v="10"/>
    <x v="5"/>
    <x v="1"/>
    <x v="1"/>
    <x v="0"/>
    <x v="2"/>
    <x v="2"/>
    <x v="3"/>
    <x v="1"/>
    <x v="3"/>
    <x v="0"/>
    <x v="2"/>
    <x v="0"/>
  </r>
  <r>
    <x v="1"/>
    <x v="1"/>
    <x v="2"/>
    <x v="14"/>
    <x v="11"/>
    <x v="5"/>
    <x v="1"/>
    <x v="1"/>
    <x v="2"/>
    <x v="1"/>
    <x v="4"/>
    <x v="3"/>
    <x v="1"/>
    <x v="3"/>
    <x v="0"/>
    <x v="2"/>
    <x v="0"/>
  </r>
  <r>
    <x v="1"/>
    <x v="1"/>
    <x v="2"/>
    <x v="15"/>
    <x v="7"/>
    <x v="5"/>
    <x v="2"/>
    <x v="4"/>
    <x v="2"/>
    <x v="1"/>
    <x v="4"/>
    <x v="3"/>
    <x v="1"/>
    <x v="3"/>
    <x v="2"/>
    <x v="1"/>
    <x v="2"/>
  </r>
  <r>
    <x v="1"/>
    <x v="1"/>
    <x v="2"/>
    <x v="15"/>
    <x v="8"/>
    <x v="5"/>
    <x v="1"/>
    <x v="1"/>
    <x v="0"/>
    <x v="2"/>
    <x v="2"/>
    <x v="2"/>
    <x v="3"/>
    <x v="1"/>
    <x v="1"/>
    <x v="3"/>
    <x v="1"/>
  </r>
  <r>
    <x v="1"/>
    <x v="1"/>
    <x v="2"/>
    <x v="15"/>
    <x v="9"/>
    <x v="5"/>
    <x v="1"/>
    <x v="1"/>
    <x v="0"/>
    <x v="2"/>
    <x v="2"/>
    <x v="2"/>
    <x v="3"/>
    <x v="1"/>
    <x v="1"/>
    <x v="3"/>
    <x v="1"/>
  </r>
  <r>
    <x v="1"/>
    <x v="1"/>
    <x v="2"/>
    <x v="15"/>
    <x v="10"/>
    <x v="5"/>
    <x v="1"/>
    <x v="1"/>
    <x v="0"/>
    <x v="1"/>
    <x v="4"/>
    <x v="3"/>
    <x v="1"/>
    <x v="3"/>
    <x v="0"/>
    <x v="2"/>
    <x v="0"/>
  </r>
  <r>
    <x v="1"/>
    <x v="1"/>
    <x v="2"/>
    <x v="15"/>
    <x v="11"/>
    <x v="5"/>
    <x v="1"/>
    <x v="1"/>
    <x v="0"/>
    <x v="2"/>
    <x v="2"/>
    <x v="2"/>
    <x v="3"/>
    <x v="1"/>
    <x v="1"/>
    <x v="3"/>
    <x v="1"/>
  </r>
  <r>
    <x v="1"/>
    <x v="1"/>
    <x v="2"/>
    <x v="16"/>
    <x v="7"/>
    <x v="5"/>
    <x v="1"/>
    <x v="1"/>
    <x v="0"/>
    <x v="2"/>
    <x v="2"/>
    <x v="2"/>
    <x v="3"/>
    <x v="1"/>
    <x v="1"/>
    <x v="3"/>
    <x v="1"/>
  </r>
  <r>
    <x v="1"/>
    <x v="1"/>
    <x v="2"/>
    <x v="16"/>
    <x v="8"/>
    <x v="5"/>
    <x v="1"/>
    <x v="1"/>
    <x v="0"/>
    <x v="2"/>
    <x v="2"/>
    <x v="2"/>
    <x v="3"/>
    <x v="1"/>
    <x v="1"/>
    <x v="3"/>
    <x v="1"/>
  </r>
  <r>
    <x v="1"/>
    <x v="1"/>
    <x v="2"/>
    <x v="16"/>
    <x v="9"/>
    <x v="5"/>
    <x v="1"/>
    <x v="1"/>
    <x v="0"/>
    <x v="2"/>
    <x v="2"/>
    <x v="2"/>
    <x v="3"/>
    <x v="1"/>
    <x v="1"/>
    <x v="2"/>
    <x v="0"/>
  </r>
  <r>
    <x v="1"/>
    <x v="1"/>
    <x v="2"/>
    <x v="16"/>
    <x v="10"/>
    <x v="5"/>
    <x v="1"/>
    <x v="1"/>
    <x v="0"/>
    <x v="2"/>
    <x v="2"/>
    <x v="2"/>
    <x v="3"/>
    <x v="1"/>
    <x v="1"/>
    <x v="3"/>
    <x v="1"/>
  </r>
  <r>
    <x v="1"/>
    <x v="1"/>
    <x v="2"/>
    <x v="16"/>
    <x v="11"/>
    <x v="5"/>
    <x v="1"/>
    <x v="1"/>
    <x v="0"/>
    <x v="2"/>
    <x v="2"/>
    <x v="2"/>
    <x v="3"/>
    <x v="1"/>
    <x v="1"/>
    <x v="3"/>
    <x v="1"/>
  </r>
  <r>
    <x v="1"/>
    <x v="1"/>
    <x v="3"/>
    <x v="0"/>
    <x v="32"/>
    <x v="61"/>
    <x v="2"/>
    <x v="80"/>
    <x v="40"/>
    <x v="104"/>
    <x v="36"/>
    <x v="99"/>
    <x v="46"/>
    <x v="111"/>
    <x v="41"/>
    <x v="42"/>
    <x v="113"/>
  </r>
  <r>
    <x v="1"/>
    <x v="1"/>
    <x v="3"/>
    <x v="3"/>
    <x v="1"/>
    <x v="4"/>
    <x v="2"/>
    <x v="4"/>
    <x v="24"/>
    <x v="1"/>
    <x v="4"/>
    <x v="99"/>
    <x v="1"/>
    <x v="3"/>
    <x v="0"/>
    <x v="2"/>
    <x v="0"/>
  </r>
  <r>
    <x v="1"/>
    <x v="1"/>
    <x v="3"/>
    <x v="3"/>
    <x v="2"/>
    <x v="24"/>
    <x v="27"/>
    <x v="27"/>
    <x v="33"/>
    <x v="31"/>
    <x v="35"/>
    <x v="34"/>
    <x v="3"/>
    <x v="1"/>
    <x v="0"/>
    <x v="2"/>
    <x v="0"/>
  </r>
  <r>
    <x v="1"/>
    <x v="1"/>
    <x v="3"/>
    <x v="3"/>
    <x v="3"/>
    <x v="5"/>
    <x v="2"/>
    <x v="4"/>
    <x v="24"/>
    <x v="10"/>
    <x v="7"/>
    <x v="26"/>
    <x v="7"/>
    <x v="105"/>
    <x v="3"/>
    <x v="6"/>
    <x v="114"/>
  </r>
  <r>
    <x v="1"/>
    <x v="1"/>
    <x v="3"/>
    <x v="4"/>
    <x v="4"/>
    <x v="4"/>
    <x v="2"/>
    <x v="4"/>
    <x v="2"/>
    <x v="1"/>
    <x v="4"/>
    <x v="3"/>
    <x v="1"/>
    <x v="3"/>
    <x v="3"/>
    <x v="7"/>
    <x v="0"/>
  </r>
  <r>
    <x v="1"/>
    <x v="1"/>
    <x v="3"/>
    <x v="4"/>
    <x v="5"/>
    <x v="24"/>
    <x v="27"/>
    <x v="27"/>
    <x v="33"/>
    <x v="1"/>
    <x v="4"/>
    <x v="3"/>
    <x v="1"/>
    <x v="3"/>
    <x v="0"/>
    <x v="2"/>
    <x v="0"/>
  </r>
  <r>
    <x v="1"/>
    <x v="1"/>
    <x v="3"/>
    <x v="4"/>
    <x v="6"/>
    <x v="24"/>
    <x v="27"/>
    <x v="1"/>
    <x v="2"/>
    <x v="1"/>
    <x v="4"/>
    <x v="3"/>
    <x v="1"/>
    <x v="3"/>
    <x v="0"/>
    <x v="2"/>
    <x v="0"/>
  </r>
  <r>
    <x v="1"/>
    <x v="1"/>
    <x v="3"/>
    <x v="2"/>
    <x v="7"/>
    <x v="22"/>
    <x v="2"/>
    <x v="4"/>
    <x v="2"/>
    <x v="1"/>
    <x v="4"/>
    <x v="3"/>
    <x v="110"/>
    <x v="7"/>
    <x v="0"/>
    <x v="39"/>
    <x v="0"/>
  </r>
  <r>
    <x v="1"/>
    <x v="1"/>
    <x v="3"/>
    <x v="2"/>
    <x v="8"/>
    <x v="24"/>
    <x v="27"/>
    <x v="27"/>
    <x v="0"/>
    <x v="1"/>
    <x v="4"/>
    <x v="3"/>
    <x v="1"/>
    <x v="3"/>
    <x v="0"/>
    <x v="2"/>
    <x v="0"/>
  </r>
  <r>
    <x v="1"/>
    <x v="1"/>
    <x v="3"/>
    <x v="2"/>
    <x v="9"/>
    <x v="4"/>
    <x v="2"/>
    <x v="4"/>
    <x v="24"/>
    <x v="9"/>
    <x v="5"/>
    <x v="26"/>
    <x v="111"/>
    <x v="37"/>
    <x v="98"/>
    <x v="113"/>
    <x v="115"/>
  </r>
  <r>
    <x v="1"/>
    <x v="1"/>
    <x v="3"/>
    <x v="2"/>
    <x v="10"/>
    <x v="24"/>
    <x v="27"/>
    <x v="27"/>
    <x v="33"/>
    <x v="1"/>
    <x v="4"/>
    <x v="3"/>
    <x v="1"/>
    <x v="3"/>
    <x v="0"/>
    <x v="2"/>
    <x v="0"/>
  </r>
  <r>
    <x v="1"/>
    <x v="1"/>
    <x v="3"/>
    <x v="2"/>
    <x v="11"/>
    <x v="24"/>
    <x v="27"/>
    <x v="1"/>
    <x v="2"/>
    <x v="1"/>
    <x v="4"/>
    <x v="3"/>
    <x v="1"/>
    <x v="3"/>
    <x v="0"/>
    <x v="2"/>
    <x v="0"/>
  </r>
  <r>
    <x v="1"/>
    <x v="1"/>
    <x v="3"/>
    <x v="0"/>
    <x v="33"/>
    <x v="61"/>
    <x v="2"/>
    <x v="4"/>
    <x v="35"/>
    <x v="105"/>
    <x v="37"/>
    <x v="100"/>
    <x v="42"/>
    <x v="112"/>
    <x v="33"/>
    <x v="113"/>
    <x v="116"/>
  </r>
  <r>
    <x v="1"/>
    <x v="1"/>
    <x v="3"/>
    <x v="3"/>
    <x v="1"/>
    <x v="4"/>
    <x v="2"/>
    <x v="4"/>
    <x v="24"/>
    <x v="1"/>
    <x v="4"/>
    <x v="99"/>
    <x v="1"/>
    <x v="3"/>
    <x v="0"/>
    <x v="2"/>
    <x v="0"/>
  </r>
  <r>
    <x v="1"/>
    <x v="1"/>
    <x v="3"/>
    <x v="3"/>
    <x v="2"/>
    <x v="4"/>
    <x v="2"/>
    <x v="4"/>
    <x v="2"/>
    <x v="1"/>
    <x v="4"/>
    <x v="3"/>
    <x v="7"/>
    <x v="105"/>
    <x v="0"/>
    <x v="7"/>
    <x v="0"/>
  </r>
  <r>
    <x v="1"/>
    <x v="1"/>
    <x v="3"/>
    <x v="3"/>
    <x v="3"/>
    <x v="5"/>
    <x v="2"/>
    <x v="4"/>
    <x v="24"/>
    <x v="10"/>
    <x v="7"/>
    <x v="26"/>
    <x v="7"/>
    <x v="105"/>
    <x v="3"/>
    <x v="6"/>
    <x v="114"/>
  </r>
  <r>
    <x v="1"/>
    <x v="1"/>
    <x v="3"/>
    <x v="0"/>
    <x v="34"/>
    <x v="61"/>
    <x v="2"/>
    <x v="80"/>
    <x v="40"/>
    <x v="34"/>
    <x v="101"/>
    <x v="100"/>
    <x v="42"/>
    <x v="38"/>
    <x v="35"/>
    <x v="40"/>
    <x v="38"/>
  </r>
  <r>
    <x v="1"/>
    <x v="1"/>
    <x v="3"/>
    <x v="4"/>
    <x v="4"/>
    <x v="61"/>
    <x v="2"/>
    <x v="4"/>
    <x v="14"/>
    <x v="1"/>
    <x v="4"/>
    <x v="99"/>
    <x v="1"/>
    <x v="3"/>
    <x v="41"/>
    <x v="114"/>
    <x v="0"/>
  </r>
  <r>
    <x v="1"/>
    <x v="1"/>
    <x v="3"/>
    <x v="4"/>
    <x v="5"/>
    <x v="24"/>
    <x v="27"/>
    <x v="27"/>
    <x v="33"/>
    <x v="1"/>
    <x v="4"/>
    <x v="3"/>
    <x v="7"/>
    <x v="105"/>
    <x v="0"/>
    <x v="2"/>
    <x v="0"/>
  </r>
  <r>
    <x v="1"/>
    <x v="1"/>
    <x v="3"/>
    <x v="4"/>
    <x v="6"/>
    <x v="24"/>
    <x v="27"/>
    <x v="1"/>
    <x v="24"/>
    <x v="10"/>
    <x v="7"/>
    <x v="26"/>
    <x v="7"/>
    <x v="105"/>
    <x v="3"/>
    <x v="6"/>
    <x v="114"/>
  </r>
  <r>
    <x v="1"/>
    <x v="1"/>
    <x v="4"/>
    <x v="0"/>
    <x v="14"/>
    <x v="62"/>
    <x v="70"/>
    <x v="1"/>
    <x v="98"/>
    <x v="106"/>
    <x v="2"/>
    <x v="101"/>
    <x v="112"/>
    <x v="1"/>
    <x v="99"/>
    <x v="115"/>
    <x v="117"/>
  </r>
  <r>
    <x v="1"/>
    <x v="1"/>
    <x v="4"/>
    <x v="1"/>
    <x v="1"/>
    <x v="63"/>
    <x v="1"/>
    <x v="1"/>
    <x v="0"/>
    <x v="107"/>
    <x v="2"/>
    <x v="101"/>
    <x v="112"/>
    <x v="1"/>
    <x v="1"/>
    <x v="3"/>
    <x v="1"/>
  </r>
  <r>
    <x v="1"/>
    <x v="1"/>
    <x v="4"/>
    <x v="1"/>
    <x v="2"/>
    <x v="5"/>
    <x v="1"/>
    <x v="1"/>
    <x v="0"/>
    <x v="2"/>
    <x v="2"/>
    <x v="2"/>
    <x v="3"/>
    <x v="1"/>
    <x v="99"/>
    <x v="3"/>
    <x v="1"/>
  </r>
  <r>
    <x v="1"/>
    <x v="1"/>
    <x v="4"/>
    <x v="1"/>
    <x v="3"/>
    <x v="5"/>
    <x v="70"/>
    <x v="1"/>
    <x v="0"/>
    <x v="2"/>
    <x v="2"/>
    <x v="2"/>
    <x v="3"/>
    <x v="1"/>
    <x v="1"/>
    <x v="3"/>
    <x v="1"/>
  </r>
  <r>
    <x v="1"/>
    <x v="1"/>
    <x v="4"/>
    <x v="1"/>
    <x v="4"/>
    <x v="64"/>
    <x v="1"/>
    <x v="1"/>
    <x v="0"/>
    <x v="2"/>
    <x v="2"/>
    <x v="2"/>
    <x v="3"/>
    <x v="1"/>
    <x v="1"/>
    <x v="115"/>
    <x v="117"/>
  </r>
  <r>
    <x v="1"/>
    <x v="1"/>
    <x v="4"/>
    <x v="1"/>
    <x v="5"/>
    <x v="5"/>
    <x v="1"/>
    <x v="1"/>
    <x v="0"/>
    <x v="108"/>
    <x v="2"/>
    <x v="2"/>
    <x v="3"/>
    <x v="1"/>
    <x v="1"/>
    <x v="3"/>
    <x v="1"/>
  </r>
  <r>
    <x v="1"/>
    <x v="1"/>
    <x v="4"/>
    <x v="1"/>
    <x v="6"/>
    <x v="5"/>
    <x v="1"/>
    <x v="1"/>
    <x v="98"/>
    <x v="2"/>
    <x v="2"/>
    <x v="2"/>
    <x v="3"/>
    <x v="1"/>
    <x v="1"/>
    <x v="3"/>
    <x v="1"/>
  </r>
  <r>
    <x v="1"/>
    <x v="1"/>
    <x v="4"/>
    <x v="2"/>
    <x v="7"/>
    <x v="64"/>
    <x v="70"/>
    <x v="1"/>
    <x v="0"/>
    <x v="2"/>
    <x v="2"/>
    <x v="2"/>
    <x v="3"/>
    <x v="1"/>
    <x v="99"/>
    <x v="3"/>
    <x v="117"/>
  </r>
  <r>
    <x v="1"/>
    <x v="1"/>
    <x v="4"/>
    <x v="2"/>
    <x v="8"/>
    <x v="5"/>
    <x v="1"/>
    <x v="1"/>
    <x v="0"/>
    <x v="109"/>
    <x v="2"/>
    <x v="2"/>
    <x v="3"/>
    <x v="1"/>
    <x v="1"/>
    <x v="3"/>
    <x v="1"/>
  </r>
  <r>
    <x v="1"/>
    <x v="1"/>
    <x v="4"/>
    <x v="2"/>
    <x v="9"/>
    <x v="63"/>
    <x v="1"/>
    <x v="1"/>
    <x v="0"/>
    <x v="110"/>
    <x v="2"/>
    <x v="2"/>
    <x v="112"/>
    <x v="1"/>
    <x v="1"/>
    <x v="115"/>
    <x v="1"/>
  </r>
  <r>
    <x v="1"/>
    <x v="1"/>
    <x v="4"/>
    <x v="2"/>
    <x v="10"/>
    <x v="5"/>
    <x v="1"/>
    <x v="1"/>
    <x v="0"/>
    <x v="108"/>
    <x v="2"/>
    <x v="101"/>
    <x v="3"/>
    <x v="1"/>
    <x v="1"/>
    <x v="3"/>
    <x v="1"/>
  </r>
  <r>
    <x v="1"/>
    <x v="1"/>
    <x v="4"/>
    <x v="2"/>
    <x v="11"/>
    <x v="5"/>
    <x v="1"/>
    <x v="1"/>
    <x v="98"/>
    <x v="2"/>
    <x v="2"/>
    <x v="2"/>
    <x v="3"/>
    <x v="1"/>
    <x v="1"/>
    <x v="3"/>
    <x v="1"/>
  </r>
  <r>
    <x v="1"/>
    <x v="1"/>
    <x v="5"/>
    <x v="0"/>
    <x v="14"/>
    <x v="65"/>
    <x v="71"/>
    <x v="1"/>
    <x v="99"/>
    <x v="111"/>
    <x v="2"/>
    <x v="102"/>
    <x v="113"/>
    <x v="1"/>
    <x v="100"/>
    <x v="116"/>
    <x v="118"/>
  </r>
  <r>
    <x v="1"/>
    <x v="1"/>
    <x v="5"/>
    <x v="1"/>
    <x v="1"/>
    <x v="66"/>
    <x v="1"/>
    <x v="1"/>
    <x v="0"/>
    <x v="112"/>
    <x v="2"/>
    <x v="102"/>
    <x v="113"/>
    <x v="1"/>
    <x v="1"/>
    <x v="3"/>
    <x v="1"/>
  </r>
  <r>
    <x v="1"/>
    <x v="1"/>
    <x v="5"/>
    <x v="1"/>
    <x v="2"/>
    <x v="5"/>
    <x v="1"/>
    <x v="1"/>
    <x v="0"/>
    <x v="2"/>
    <x v="2"/>
    <x v="2"/>
    <x v="3"/>
    <x v="1"/>
    <x v="100"/>
    <x v="3"/>
    <x v="1"/>
  </r>
  <r>
    <x v="1"/>
    <x v="1"/>
    <x v="5"/>
    <x v="1"/>
    <x v="3"/>
    <x v="5"/>
    <x v="71"/>
    <x v="1"/>
    <x v="0"/>
    <x v="2"/>
    <x v="2"/>
    <x v="2"/>
    <x v="3"/>
    <x v="1"/>
    <x v="1"/>
    <x v="3"/>
    <x v="1"/>
  </r>
  <r>
    <x v="1"/>
    <x v="1"/>
    <x v="5"/>
    <x v="1"/>
    <x v="4"/>
    <x v="67"/>
    <x v="1"/>
    <x v="1"/>
    <x v="0"/>
    <x v="2"/>
    <x v="2"/>
    <x v="2"/>
    <x v="3"/>
    <x v="1"/>
    <x v="1"/>
    <x v="116"/>
    <x v="118"/>
  </r>
  <r>
    <x v="1"/>
    <x v="1"/>
    <x v="5"/>
    <x v="1"/>
    <x v="5"/>
    <x v="5"/>
    <x v="1"/>
    <x v="1"/>
    <x v="0"/>
    <x v="113"/>
    <x v="2"/>
    <x v="2"/>
    <x v="3"/>
    <x v="1"/>
    <x v="1"/>
    <x v="3"/>
    <x v="1"/>
  </r>
  <r>
    <x v="1"/>
    <x v="1"/>
    <x v="5"/>
    <x v="1"/>
    <x v="6"/>
    <x v="5"/>
    <x v="1"/>
    <x v="1"/>
    <x v="99"/>
    <x v="2"/>
    <x v="2"/>
    <x v="2"/>
    <x v="3"/>
    <x v="1"/>
    <x v="1"/>
    <x v="3"/>
    <x v="1"/>
  </r>
  <r>
    <x v="1"/>
    <x v="1"/>
    <x v="5"/>
    <x v="2"/>
    <x v="7"/>
    <x v="67"/>
    <x v="71"/>
    <x v="1"/>
    <x v="0"/>
    <x v="2"/>
    <x v="2"/>
    <x v="2"/>
    <x v="3"/>
    <x v="1"/>
    <x v="100"/>
    <x v="3"/>
    <x v="118"/>
  </r>
  <r>
    <x v="1"/>
    <x v="1"/>
    <x v="5"/>
    <x v="2"/>
    <x v="8"/>
    <x v="5"/>
    <x v="1"/>
    <x v="1"/>
    <x v="0"/>
    <x v="114"/>
    <x v="2"/>
    <x v="2"/>
    <x v="3"/>
    <x v="1"/>
    <x v="1"/>
    <x v="3"/>
    <x v="1"/>
  </r>
  <r>
    <x v="1"/>
    <x v="1"/>
    <x v="5"/>
    <x v="2"/>
    <x v="9"/>
    <x v="66"/>
    <x v="1"/>
    <x v="1"/>
    <x v="0"/>
    <x v="115"/>
    <x v="2"/>
    <x v="2"/>
    <x v="113"/>
    <x v="1"/>
    <x v="1"/>
    <x v="116"/>
    <x v="1"/>
  </r>
  <r>
    <x v="1"/>
    <x v="1"/>
    <x v="5"/>
    <x v="2"/>
    <x v="10"/>
    <x v="5"/>
    <x v="1"/>
    <x v="1"/>
    <x v="0"/>
    <x v="113"/>
    <x v="2"/>
    <x v="102"/>
    <x v="3"/>
    <x v="1"/>
    <x v="1"/>
    <x v="3"/>
    <x v="1"/>
  </r>
  <r>
    <x v="1"/>
    <x v="1"/>
    <x v="5"/>
    <x v="2"/>
    <x v="11"/>
    <x v="5"/>
    <x v="1"/>
    <x v="1"/>
    <x v="99"/>
    <x v="2"/>
    <x v="2"/>
    <x v="2"/>
    <x v="3"/>
    <x v="1"/>
    <x v="1"/>
    <x v="3"/>
    <x v="1"/>
  </r>
  <r>
    <x v="1"/>
    <x v="1"/>
    <x v="4"/>
    <x v="0"/>
    <x v="35"/>
    <x v="68"/>
    <x v="1"/>
    <x v="1"/>
    <x v="100"/>
    <x v="116"/>
    <x v="2"/>
    <x v="103"/>
    <x v="114"/>
    <x v="1"/>
    <x v="1"/>
    <x v="3"/>
    <x v="1"/>
  </r>
  <r>
    <x v="1"/>
    <x v="1"/>
    <x v="4"/>
    <x v="0"/>
    <x v="36"/>
    <x v="5"/>
    <x v="72"/>
    <x v="1"/>
    <x v="0"/>
    <x v="117"/>
    <x v="2"/>
    <x v="2"/>
    <x v="3"/>
    <x v="1"/>
    <x v="101"/>
    <x v="3"/>
    <x v="119"/>
  </r>
  <r>
    <x v="1"/>
    <x v="1"/>
    <x v="4"/>
    <x v="0"/>
    <x v="37"/>
    <x v="5"/>
    <x v="1"/>
    <x v="1"/>
    <x v="0"/>
    <x v="2"/>
    <x v="2"/>
    <x v="2"/>
    <x v="3"/>
    <x v="1"/>
    <x v="1"/>
    <x v="3"/>
    <x v="1"/>
  </r>
  <r>
    <x v="1"/>
    <x v="1"/>
    <x v="4"/>
    <x v="5"/>
    <x v="7"/>
    <x v="69"/>
    <x v="1"/>
    <x v="1"/>
    <x v="0"/>
    <x v="2"/>
    <x v="2"/>
    <x v="2"/>
    <x v="3"/>
    <x v="1"/>
    <x v="1"/>
    <x v="3"/>
    <x v="1"/>
  </r>
  <r>
    <x v="1"/>
    <x v="1"/>
    <x v="4"/>
    <x v="5"/>
    <x v="8"/>
    <x v="5"/>
    <x v="1"/>
    <x v="1"/>
    <x v="0"/>
    <x v="118"/>
    <x v="2"/>
    <x v="2"/>
    <x v="3"/>
    <x v="1"/>
    <x v="1"/>
    <x v="3"/>
    <x v="1"/>
  </r>
  <r>
    <x v="1"/>
    <x v="1"/>
    <x v="4"/>
    <x v="5"/>
    <x v="9"/>
    <x v="70"/>
    <x v="1"/>
    <x v="1"/>
    <x v="0"/>
    <x v="119"/>
    <x v="2"/>
    <x v="2"/>
    <x v="114"/>
    <x v="1"/>
    <x v="1"/>
    <x v="3"/>
    <x v="1"/>
  </r>
  <r>
    <x v="1"/>
    <x v="1"/>
    <x v="4"/>
    <x v="5"/>
    <x v="10"/>
    <x v="5"/>
    <x v="1"/>
    <x v="1"/>
    <x v="0"/>
    <x v="2"/>
    <x v="2"/>
    <x v="103"/>
    <x v="3"/>
    <x v="1"/>
    <x v="1"/>
    <x v="3"/>
    <x v="1"/>
  </r>
  <r>
    <x v="1"/>
    <x v="1"/>
    <x v="4"/>
    <x v="5"/>
    <x v="11"/>
    <x v="5"/>
    <x v="1"/>
    <x v="1"/>
    <x v="100"/>
    <x v="2"/>
    <x v="2"/>
    <x v="2"/>
    <x v="3"/>
    <x v="1"/>
    <x v="1"/>
    <x v="3"/>
    <x v="1"/>
  </r>
  <r>
    <x v="1"/>
    <x v="1"/>
    <x v="4"/>
    <x v="6"/>
    <x v="7"/>
    <x v="5"/>
    <x v="72"/>
    <x v="1"/>
    <x v="0"/>
    <x v="2"/>
    <x v="2"/>
    <x v="2"/>
    <x v="3"/>
    <x v="1"/>
    <x v="101"/>
    <x v="3"/>
    <x v="119"/>
  </r>
  <r>
    <x v="1"/>
    <x v="1"/>
    <x v="4"/>
    <x v="6"/>
    <x v="8"/>
    <x v="5"/>
    <x v="1"/>
    <x v="1"/>
    <x v="0"/>
    <x v="2"/>
    <x v="2"/>
    <x v="2"/>
    <x v="3"/>
    <x v="1"/>
    <x v="1"/>
    <x v="3"/>
    <x v="1"/>
  </r>
  <r>
    <x v="1"/>
    <x v="1"/>
    <x v="4"/>
    <x v="6"/>
    <x v="9"/>
    <x v="5"/>
    <x v="1"/>
    <x v="1"/>
    <x v="0"/>
    <x v="2"/>
    <x v="2"/>
    <x v="2"/>
    <x v="3"/>
    <x v="1"/>
    <x v="1"/>
    <x v="3"/>
    <x v="1"/>
  </r>
  <r>
    <x v="1"/>
    <x v="1"/>
    <x v="4"/>
    <x v="6"/>
    <x v="10"/>
    <x v="5"/>
    <x v="1"/>
    <x v="1"/>
    <x v="0"/>
    <x v="117"/>
    <x v="2"/>
    <x v="2"/>
    <x v="3"/>
    <x v="1"/>
    <x v="1"/>
    <x v="3"/>
    <x v="1"/>
  </r>
  <r>
    <x v="1"/>
    <x v="1"/>
    <x v="4"/>
    <x v="6"/>
    <x v="11"/>
    <x v="5"/>
    <x v="1"/>
    <x v="1"/>
    <x v="0"/>
    <x v="2"/>
    <x v="2"/>
    <x v="2"/>
    <x v="3"/>
    <x v="1"/>
    <x v="1"/>
    <x v="3"/>
    <x v="1"/>
  </r>
  <r>
    <x v="1"/>
    <x v="1"/>
    <x v="5"/>
    <x v="0"/>
    <x v="35"/>
    <x v="68"/>
    <x v="1"/>
    <x v="1"/>
    <x v="100"/>
    <x v="116"/>
    <x v="2"/>
    <x v="103"/>
    <x v="114"/>
    <x v="1"/>
    <x v="1"/>
    <x v="3"/>
    <x v="1"/>
  </r>
  <r>
    <x v="1"/>
    <x v="1"/>
    <x v="5"/>
    <x v="0"/>
    <x v="36"/>
    <x v="5"/>
    <x v="72"/>
    <x v="1"/>
    <x v="0"/>
    <x v="117"/>
    <x v="2"/>
    <x v="2"/>
    <x v="3"/>
    <x v="1"/>
    <x v="101"/>
    <x v="3"/>
    <x v="119"/>
  </r>
  <r>
    <x v="1"/>
    <x v="1"/>
    <x v="5"/>
    <x v="0"/>
    <x v="37"/>
    <x v="5"/>
    <x v="1"/>
    <x v="1"/>
    <x v="0"/>
    <x v="2"/>
    <x v="2"/>
    <x v="2"/>
    <x v="3"/>
    <x v="1"/>
    <x v="1"/>
    <x v="3"/>
    <x v="1"/>
  </r>
  <r>
    <x v="1"/>
    <x v="1"/>
    <x v="5"/>
    <x v="5"/>
    <x v="7"/>
    <x v="69"/>
    <x v="1"/>
    <x v="1"/>
    <x v="0"/>
    <x v="2"/>
    <x v="2"/>
    <x v="2"/>
    <x v="3"/>
    <x v="1"/>
    <x v="1"/>
    <x v="3"/>
    <x v="1"/>
  </r>
  <r>
    <x v="1"/>
    <x v="1"/>
    <x v="5"/>
    <x v="5"/>
    <x v="8"/>
    <x v="5"/>
    <x v="1"/>
    <x v="1"/>
    <x v="0"/>
    <x v="118"/>
    <x v="2"/>
    <x v="2"/>
    <x v="3"/>
    <x v="1"/>
    <x v="1"/>
    <x v="3"/>
    <x v="1"/>
  </r>
  <r>
    <x v="1"/>
    <x v="1"/>
    <x v="5"/>
    <x v="5"/>
    <x v="9"/>
    <x v="70"/>
    <x v="1"/>
    <x v="1"/>
    <x v="0"/>
    <x v="119"/>
    <x v="2"/>
    <x v="2"/>
    <x v="114"/>
    <x v="1"/>
    <x v="1"/>
    <x v="3"/>
    <x v="1"/>
  </r>
  <r>
    <x v="1"/>
    <x v="1"/>
    <x v="5"/>
    <x v="5"/>
    <x v="10"/>
    <x v="5"/>
    <x v="1"/>
    <x v="1"/>
    <x v="0"/>
    <x v="2"/>
    <x v="2"/>
    <x v="103"/>
    <x v="3"/>
    <x v="1"/>
    <x v="1"/>
    <x v="3"/>
    <x v="1"/>
  </r>
  <r>
    <x v="1"/>
    <x v="1"/>
    <x v="5"/>
    <x v="5"/>
    <x v="11"/>
    <x v="5"/>
    <x v="1"/>
    <x v="1"/>
    <x v="100"/>
    <x v="2"/>
    <x v="2"/>
    <x v="2"/>
    <x v="3"/>
    <x v="1"/>
    <x v="1"/>
    <x v="3"/>
    <x v="1"/>
  </r>
  <r>
    <x v="1"/>
    <x v="1"/>
    <x v="5"/>
    <x v="6"/>
    <x v="7"/>
    <x v="5"/>
    <x v="72"/>
    <x v="1"/>
    <x v="0"/>
    <x v="2"/>
    <x v="2"/>
    <x v="2"/>
    <x v="3"/>
    <x v="1"/>
    <x v="101"/>
    <x v="3"/>
    <x v="119"/>
  </r>
  <r>
    <x v="1"/>
    <x v="1"/>
    <x v="5"/>
    <x v="6"/>
    <x v="8"/>
    <x v="5"/>
    <x v="1"/>
    <x v="1"/>
    <x v="0"/>
    <x v="2"/>
    <x v="2"/>
    <x v="2"/>
    <x v="3"/>
    <x v="1"/>
    <x v="1"/>
    <x v="3"/>
    <x v="1"/>
  </r>
  <r>
    <x v="1"/>
    <x v="1"/>
    <x v="5"/>
    <x v="6"/>
    <x v="9"/>
    <x v="5"/>
    <x v="1"/>
    <x v="1"/>
    <x v="0"/>
    <x v="2"/>
    <x v="2"/>
    <x v="2"/>
    <x v="3"/>
    <x v="1"/>
    <x v="1"/>
    <x v="3"/>
    <x v="1"/>
  </r>
  <r>
    <x v="1"/>
    <x v="1"/>
    <x v="5"/>
    <x v="6"/>
    <x v="10"/>
    <x v="5"/>
    <x v="1"/>
    <x v="1"/>
    <x v="0"/>
    <x v="117"/>
    <x v="2"/>
    <x v="2"/>
    <x v="3"/>
    <x v="1"/>
    <x v="1"/>
    <x v="3"/>
    <x v="1"/>
  </r>
  <r>
    <x v="1"/>
    <x v="1"/>
    <x v="5"/>
    <x v="6"/>
    <x v="11"/>
    <x v="5"/>
    <x v="1"/>
    <x v="1"/>
    <x v="0"/>
    <x v="2"/>
    <x v="2"/>
    <x v="2"/>
    <x v="3"/>
    <x v="1"/>
    <x v="1"/>
    <x v="3"/>
    <x v="1"/>
  </r>
  <r>
    <x v="1"/>
    <x v="1"/>
    <x v="6"/>
    <x v="0"/>
    <x v="26"/>
    <x v="62"/>
    <x v="73"/>
    <x v="81"/>
    <x v="101"/>
    <x v="120"/>
    <x v="102"/>
    <x v="104"/>
    <x v="115"/>
    <x v="113"/>
    <x v="102"/>
    <x v="117"/>
    <x v="120"/>
  </r>
  <r>
    <x v="1"/>
    <x v="1"/>
    <x v="6"/>
    <x v="1"/>
    <x v="1"/>
    <x v="63"/>
    <x v="74"/>
    <x v="82"/>
    <x v="102"/>
    <x v="121"/>
    <x v="103"/>
    <x v="105"/>
    <x v="116"/>
    <x v="114"/>
    <x v="103"/>
    <x v="118"/>
    <x v="121"/>
  </r>
  <r>
    <x v="1"/>
    <x v="1"/>
    <x v="6"/>
    <x v="1"/>
    <x v="2"/>
    <x v="5"/>
    <x v="1"/>
    <x v="1"/>
    <x v="0"/>
    <x v="2"/>
    <x v="2"/>
    <x v="2"/>
    <x v="3"/>
    <x v="1"/>
    <x v="99"/>
    <x v="119"/>
    <x v="122"/>
  </r>
  <r>
    <x v="1"/>
    <x v="1"/>
    <x v="6"/>
    <x v="1"/>
    <x v="3"/>
    <x v="5"/>
    <x v="70"/>
    <x v="83"/>
    <x v="103"/>
    <x v="122"/>
    <x v="104"/>
    <x v="106"/>
    <x v="117"/>
    <x v="115"/>
    <x v="104"/>
    <x v="120"/>
    <x v="123"/>
  </r>
  <r>
    <x v="1"/>
    <x v="1"/>
    <x v="6"/>
    <x v="1"/>
    <x v="4"/>
    <x v="64"/>
    <x v="75"/>
    <x v="84"/>
    <x v="104"/>
    <x v="123"/>
    <x v="105"/>
    <x v="107"/>
    <x v="118"/>
    <x v="116"/>
    <x v="105"/>
    <x v="121"/>
    <x v="124"/>
  </r>
  <r>
    <x v="1"/>
    <x v="1"/>
    <x v="6"/>
    <x v="1"/>
    <x v="5"/>
    <x v="5"/>
    <x v="1"/>
    <x v="1"/>
    <x v="0"/>
    <x v="108"/>
    <x v="106"/>
    <x v="108"/>
    <x v="119"/>
    <x v="117"/>
    <x v="106"/>
    <x v="122"/>
    <x v="125"/>
  </r>
  <r>
    <x v="1"/>
    <x v="1"/>
    <x v="6"/>
    <x v="1"/>
    <x v="6"/>
    <x v="5"/>
    <x v="1"/>
    <x v="1"/>
    <x v="98"/>
    <x v="124"/>
    <x v="107"/>
    <x v="109"/>
    <x v="120"/>
    <x v="118"/>
    <x v="107"/>
    <x v="123"/>
    <x v="126"/>
  </r>
  <r>
    <x v="1"/>
    <x v="1"/>
    <x v="6"/>
    <x v="11"/>
    <x v="1"/>
    <x v="71"/>
    <x v="76"/>
    <x v="85"/>
    <x v="105"/>
    <x v="125"/>
    <x v="108"/>
    <x v="110"/>
    <x v="121"/>
    <x v="119"/>
    <x v="108"/>
    <x v="124"/>
    <x v="127"/>
  </r>
  <r>
    <x v="1"/>
    <x v="1"/>
    <x v="6"/>
    <x v="11"/>
    <x v="2"/>
    <x v="5"/>
    <x v="1"/>
    <x v="1"/>
    <x v="0"/>
    <x v="2"/>
    <x v="2"/>
    <x v="2"/>
    <x v="3"/>
    <x v="1"/>
    <x v="109"/>
    <x v="125"/>
    <x v="128"/>
  </r>
  <r>
    <x v="1"/>
    <x v="1"/>
    <x v="6"/>
    <x v="11"/>
    <x v="3"/>
    <x v="5"/>
    <x v="77"/>
    <x v="86"/>
    <x v="106"/>
    <x v="126"/>
    <x v="109"/>
    <x v="111"/>
    <x v="122"/>
    <x v="120"/>
    <x v="110"/>
    <x v="126"/>
    <x v="129"/>
  </r>
  <r>
    <x v="1"/>
    <x v="1"/>
    <x v="6"/>
    <x v="11"/>
    <x v="4"/>
    <x v="72"/>
    <x v="78"/>
    <x v="87"/>
    <x v="107"/>
    <x v="127"/>
    <x v="110"/>
    <x v="112"/>
    <x v="123"/>
    <x v="121"/>
    <x v="111"/>
    <x v="127"/>
    <x v="130"/>
  </r>
  <r>
    <x v="1"/>
    <x v="1"/>
    <x v="6"/>
    <x v="11"/>
    <x v="5"/>
    <x v="5"/>
    <x v="1"/>
    <x v="1"/>
    <x v="0"/>
    <x v="128"/>
    <x v="111"/>
    <x v="113"/>
    <x v="124"/>
    <x v="122"/>
    <x v="112"/>
    <x v="128"/>
    <x v="131"/>
  </r>
  <r>
    <x v="1"/>
    <x v="1"/>
    <x v="6"/>
    <x v="11"/>
    <x v="6"/>
    <x v="5"/>
    <x v="1"/>
    <x v="1"/>
    <x v="108"/>
    <x v="129"/>
    <x v="112"/>
    <x v="114"/>
    <x v="125"/>
    <x v="123"/>
    <x v="113"/>
    <x v="129"/>
    <x v="132"/>
  </r>
  <r>
    <x v="1"/>
    <x v="1"/>
    <x v="6"/>
    <x v="2"/>
    <x v="7"/>
    <x v="64"/>
    <x v="79"/>
    <x v="88"/>
    <x v="109"/>
    <x v="130"/>
    <x v="113"/>
    <x v="115"/>
    <x v="126"/>
    <x v="124"/>
    <x v="114"/>
    <x v="130"/>
    <x v="133"/>
  </r>
  <r>
    <x v="1"/>
    <x v="1"/>
    <x v="6"/>
    <x v="2"/>
    <x v="8"/>
    <x v="5"/>
    <x v="1"/>
    <x v="1"/>
    <x v="0"/>
    <x v="109"/>
    <x v="114"/>
    <x v="116"/>
    <x v="127"/>
    <x v="125"/>
    <x v="115"/>
    <x v="131"/>
    <x v="134"/>
  </r>
  <r>
    <x v="1"/>
    <x v="1"/>
    <x v="6"/>
    <x v="2"/>
    <x v="9"/>
    <x v="63"/>
    <x v="74"/>
    <x v="82"/>
    <x v="102"/>
    <x v="131"/>
    <x v="115"/>
    <x v="117"/>
    <x v="128"/>
    <x v="126"/>
    <x v="116"/>
    <x v="132"/>
    <x v="135"/>
  </r>
  <r>
    <x v="1"/>
    <x v="1"/>
    <x v="6"/>
    <x v="2"/>
    <x v="10"/>
    <x v="5"/>
    <x v="1"/>
    <x v="1"/>
    <x v="0"/>
    <x v="108"/>
    <x v="106"/>
    <x v="118"/>
    <x v="129"/>
    <x v="127"/>
    <x v="117"/>
    <x v="133"/>
    <x v="136"/>
  </r>
  <r>
    <x v="1"/>
    <x v="1"/>
    <x v="6"/>
    <x v="2"/>
    <x v="11"/>
    <x v="5"/>
    <x v="1"/>
    <x v="1"/>
    <x v="98"/>
    <x v="124"/>
    <x v="107"/>
    <x v="109"/>
    <x v="120"/>
    <x v="118"/>
    <x v="107"/>
    <x v="123"/>
    <x v="126"/>
  </r>
  <r>
    <x v="1"/>
    <x v="1"/>
    <x v="6"/>
    <x v="11"/>
    <x v="7"/>
    <x v="72"/>
    <x v="80"/>
    <x v="89"/>
    <x v="110"/>
    <x v="132"/>
    <x v="116"/>
    <x v="119"/>
    <x v="130"/>
    <x v="128"/>
    <x v="118"/>
    <x v="134"/>
    <x v="137"/>
  </r>
  <r>
    <x v="1"/>
    <x v="1"/>
    <x v="6"/>
    <x v="11"/>
    <x v="8"/>
    <x v="5"/>
    <x v="1"/>
    <x v="1"/>
    <x v="0"/>
    <x v="133"/>
    <x v="117"/>
    <x v="120"/>
    <x v="131"/>
    <x v="129"/>
    <x v="119"/>
    <x v="135"/>
    <x v="138"/>
  </r>
  <r>
    <x v="1"/>
    <x v="1"/>
    <x v="6"/>
    <x v="11"/>
    <x v="9"/>
    <x v="71"/>
    <x v="76"/>
    <x v="85"/>
    <x v="105"/>
    <x v="134"/>
    <x v="118"/>
    <x v="121"/>
    <x v="132"/>
    <x v="130"/>
    <x v="120"/>
    <x v="136"/>
    <x v="139"/>
  </r>
  <r>
    <x v="1"/>
    <x v="1"/>
    <x v="6"/>
    <x v="11"/>
    <x v="10"/>
    <x v="5"/>
    <x v="1"/>
    <x v="1"/>
    <x v="0"/>
    <x v="128"/>
    <x v="111"/>
    <x v="122"/>
    <x v="133"/>
    <x v="131"/>
    <x v="121"/>
    <x v="137"/>
    <x v="140"/>
  </r>
  <r>
    <x v="1"/>
    <x v="1"/>
    <x v="6"/>
    <x v="11"/>
    <x v="11"/>
    <x v="5"/>
    <x v="1"/>
    <x v="1"/>
    <x v="108"/>
    <x v="129"/>
    <x v="112"/>
    <x v="114"/>
    <x v="125"/>
    <x v="123"/>
    <x v="113"/>
    <x v="129"/>
    <x v="132"/>
  </r>
  <r>
    <x v="1"/>
    <x v="1"/>
    <x v="7"/>
    <x v="0"/>
    <x v="26"/>
    <x v="65"/>
    <x v="81"/>
    <x v="90"/>
    <x v="111"/>
    <x v="135"/>
    <x v="119"/>
    <x v="123"/>
    <x v="134"/>
    <x v="132"/>
    <x v="122"/>
    <x v="138"/>
    <x v="141"/>
  </r>
  <r>
    <x v="1"/>
    <x v="1"/>
    <x v="7"/>
    <x v="1"/>
    <x v="1"/>
    <x v="66"/>
    <x v="82"/>
    <x v="91"/>
    <x v="112"/>
    <x v="136"/>
    <x v="120"/>
    <x v="124"/>
    <x v="135"/>
    <x v="133"/>
    <x v="123"/>
    <x v="139"/>
    <x v="142"/>
  </r>
  <r>
    <x v="1"/>
    <x v="1"/>
    <x v="7"/>
    <x v="1"/>
    <x v="2"/>
    <x v="5"/>
    <x v="1"/>
    <x v="1"/>
    <x v="0"/>
    <x v="2"/>
    <x v="2"/>
    <x v="2"/>
    <x v="3"/>
    <x v="1"/>
    <x v="100"/>
    <x v="140"/>
    <x v="143"/>
  </r>
  <r>
    <x v="1"/>
    <x v="1"/>
    <x v="7"/>
    <x v="1"/>
    <x v="3"/>
    <x v="5"/>
    <x v="71"/>
    <x v="92"/>
    <x v="113"/>
    <x v="137"/>
    <x v="121"/>
    <x v="125"/>
    <x v="136"/>
    <x v="134"/>
    <x v="124"/>
    <x v="141"/>
    <x v="144"/>
  </r>
  <r>
    <x v="1"/>
    <x v="1"/>
    <x v="7"/>
    <x v="1"/>
    <x v="4"/>
    <x v="67"/>
    <x v="83"/>
    <x v="93"/>
    <x v="114"/>
    <x v="138"/>
    <x v="122"/>
    <x v="126"/>
    <x v="137"/>
    <x v="135"/>
    <x v="125"/>
    <x v="142"/>
    <x v="145"/>
  </r>
  <r>
    <x v="1"/>
    <x v="1"/>
    <x v="7"/>
    <x v="1"/>
    <x v="5"/>
    <x v="5"/>
    <x v="1"/>
    <x v="1"/>
    <x v="0"/>
    <x v="113"/>
    <x v="123"/>
    <x v="127"/>
    <x v="138"/>
    <x v="136"/>
    <x v="126"/>
    <x v="143"/>
    <x v="146"/>
  </r>
  <r>
    <x v="1"/>
    <x v="1"/>
    <x v="7"/>
    <x v="1"/>
    <x v="6"/>
    <x v="5"/>
    <x v="1"/>
    <x v="1"/>
    <x v="99"/>
    <x v="139"/>
    <x v="124"/>
    <x v="128"/>
    <x v="139"/>
    <x v="137"/>
    <x v="127"/>
    <x v="144"/>
    <x v="147"/>
  </r>
  <r>
    <x v="1"/>
    <x v="1"/>
    <x v="7"/>
    <x v="11"/>
    <x v="1"/>
    <x v="73"/>
    <x v="84"/>
    <x v="94"/>
    <x v="115"/>
    <x v="140"/>
    <x v="125"/>
    <x v="129"/>
    <x v="140"/>
    <x v="138"/>
    <x v="128"/>
    <x v="145"/>
    <x v="148"/>
  </r>
  <r>
    <x v="1"/>
    <x v="1"/>
    <x v="7"/>
    <x v="11"/>
    <x v="2"/>
    <x v="5"/>
    <x v="1"/>
    <x v="1"/>
    <x v="0"/>
    <x v="2"/>
    <x v="2"/>
    <x v="2"/>
    <x v="3"/>
    <x v="1"/>
    <x v="129"/>
    <x v="146"/>
    <x v="149"/>
  </r>
  <r>
    <x v="1"/>
    <x v="1"/>
    <x v="7"/>
    <x v="11"/>
    <x v="3"/>
    <x v="5"/>
    <x v="85"/>
    <x v="95"/>
    <x v="116"/>
    <x v="141"/>
    <x v="126"/>
    <x v="130"/>
    <x v="141"/>
    <x v="139"/>
    <x v="130"/>
    <x v="147"/>
    <x v="150"/>
  </r>
  <r>
    <x v="1"/>
    <x v="1"/>
    <x v="7"/>
    <x v="11"/>
    <x v="4"/>
    <x v="74"/>
    <x v="86"/>
    <x v="96"/>
    <x v="117"/>
    <x v="142"/>
    <x v="127"/>
    <x v="131"/>
    <x v="142"/>
    <x v="140"/>
    <x v="131"/>
    <x v="148"/>
    <x v="151"/>
  </r>
  <r>
    <x v="1"/>
    <x v="1"/>
    <x v="7"/>
    <x v="11"/>
    <x v="5"/>
    <x v="5"/>
    <x v="1"/>
    <x v="1"/>
    <x v="0"/>
    <x v="143"/>
    <x v="128"/>
    <x v="132"/>
    <x v="143"/>
    <x v="141"/>
    <x v="132"/>
    <x v="149"/>
    <x v="152"/>
  </r>
  <r>
    <x v="1"/>
    <x v="1"/>
    <x v="7"/>
    <x v="11"/>
    <x v="6"/>
    <x v="5"/>
    <x v="1"/>
    <x v="1"/>
    <x v="118"/>
    <x v="144"/>
    <x v="129"/>
    <x v="133"/>
    <x v="144"/>
    <x v="142"/>
    <x v="133"/>
    <x v="150"/>
    <x v="153"/>
  </r>
  <r>
    <x v="1"/>
    <x v="1"/>
    <x v="7"/>
    <x v="2"/>
    <x v="7"/>
    <x v="67"/>
    <x v="87"/>
    <x v="97"/>
    <x v="119"/>
    <x v="145"/>
    <x v="130"/>
    <x v="134"/>
    <x v="145"/>
    <x v="143"/>
    <x v="134"/>
    <x v="151"/>
    <x v="154"/>
  </r>
  <r>
    <x v="1"/>
    <x v="1"/>
    <x v="7"/>
    <x v="2"/>
    <x v="8"/>
    <x v="5"/>
    <x v="1"/>
    <x v="1"/>
    <x v="0"/>
    <x v="114"/>
    <x v="131"/>
    <x v="135"/>
    <x v="146"/>
    <x v="144"/>
    <x v="135"/>
    <x v="152"/>
    <x v="155"/>
  </r>
  <r>
    <x v="1"/>
    <x v="1"/>
    <x v="7"/>
    <x v="2"/>
    <x v="9"/>
    <x v="66"/>
    <x v="82"/>
    <x v="91"/>
    <x v="112"/>
    <x v="146"/>
    <x v="132"/>
    <x v="136"/>
    <x v="147"/>
    <x v="145"/>
    <x v="136"/>
    <x v="153"/>
    <x v="156"/>
  </r>
  <r>
    <x v="1"/>
    <x v="1"/>
    <x v="7"/>
    <x v="2"/>
    <x v="10"/>
    <x v="5"/>
    <x v="1"/>
    <x v="1"/>
    <x v="0"/>
    <x v="113"/>
    <x v="123"/>
    <x v="137"/>
    <x v="148"/>
    <x v="146"/>
    <x v="137"/>
    <x v="154"/>
    <x v="157"/>
  </r>
  <r>
    <x v="1"/>
    <x v="1"/>
    <x v="7"/>
    <x v="2"/>
    <x v="11"/>
    <x v="5"/>
    <x v="1"/>
    <x v="1"/>
    <x v="99"/>
    <x v="139"/>
    <x v="124"/>
    <x v="128"/>
    <x v="139"/>
    <x v="137"/>
    <x v="127"/>
    <x v="144"/>
    <x v="147"/>
  </r>
  <r>
    <x v="1"/>
    <x v="1"/>
    <x v="7"/>
    <x v="11"/>
    <x v="7"/>
    <x v="74"/>
    <x v="88"/>
    <x v="98"/>
    <x v="120"/>
    <x v="147"/>
    <x v="133"/>
    <x v="138"/>
    <x v="149"/>
    <x v="147"/>
    <x v="138"/>
    <x v="155"/>
    <x v="158"/>
  </r>
  <r>
    <x v="1"/>
    <x v="1"/>
    <x v="7"/>
    <x v="11"/>
    <x v="8"/>
    <x v="5"/>
    <x v="1"/>
    <x v="1"/>
    <x v="0"/>
    <x v="148"/>
    <x v="134"/>
    <x v="139"/>
    <x v="150"/>
    <x v="148"/>
    <x v="139"/>
    <x v="156"/>
    <x v="159"/>
  </r>
  <r>
    <x v="1"/>
    <x v="1"/>
    <x v="7"/>
    <x v="11"/>
    <x v="9"/>
    <x v="73"/>
    <x v="84"/>
    <x v="94"/>
    <x v="115"/>
    <x v="149"/>
    <x v="135"/>
    <x v="140"/>
    <x v="151"/>
    <x v="149"/>
    <x v="140"/>
    <x v="157"/>
    <x v="160"/>
  </r>
  <r>
    <x v="1"/>
    <x v="1"/>
    <x v="7"/>
    <x v="11"/>
    <x v="10"/>
    <x v="5"/>
    <x v="1"/>
    <x v="1"/>
    <x v="0"/>
    <x v="143"/>
    <x v="128"/>
    <x v="141"/>
    <x v="152"/>
    <x v="150"/>
    <x v="141"/>
    <x v="158"/>
    <x v="161"/>
  </r>
  <r>
    <x v="1"/>
    <x v="1"/>
    <x v="7"/>
    <x v="11"/>
    <x v="11"/>
    <x v="5"/>
    <x v="1"/>
    <x v="1"/>
    <x v="118"/>
    <x v="144"/>
    <x v="129"/>
    <x v="133"/>
    <x v="144"/>
    <x v="142"/>
    <x v="133"/>
    <x v="150"/>
    <x v="153"/>
  </r>
  <r>
    <x v="1"/>
    <x v="1"/>
    <x v="6"/>
    <x v="0"/>
    <x v="29"/>
    <x v="68"/>
    <x v="89"/>
    <x v="99"/>
    <x v="121"/>
    <x v="150"/>
    <x v="136"/>
    <x v="142"/>
    <x v="153"/>
    <x v="151"/>
    <x v="142"/>
    <x v="159"/>
    <x v="162"/>
  </r>
  <r>
    <x v="1"/>
    <x v="1"/>
    <x v="6"/>
    <x v="0"/>
    <x v="30"/>
    <x v="5"/>
    <x v="72"/>
    <x v="100"/>
    <x v="122"/>
    <x v="151"/>
    <x v="137"/>
    <x v="143"/>
    <x v="154"/>
    <x v="152"/>
    <x v="143"/>
    <x v="160"/>
    <x v="163"/>
  </r>
  <r>
    <x v="1"/>
    <x v="1"/>
    <x v="6"/>
    <x v="0"/>
    <x v="31"/>
    <x v="5"/>
    <x v="1"/>
    <x v="1"/>
    <x v="0"/>
    <x v="2"/>
    <x v="2"/>
    <x v="2"/>
    <x v="3"/>
    <x v="1"/>
    <x v="1"/>
    <x v="3"/>
    <x v="1"/>
  </r>
  <r>
    <x v="1"/>
    <x v="1"/>
    <x v="6"/>
    <x v="14"/>
    <x v="7"/>
    <x v="69"/>
    <x v="90"/>
    <x v="101"/>
    <x v="123"/>
    <x v="152"/>
    <x v="138"/>
    <x v="144"/>
    <x v="155"/>
    <x v="153"/>
    <x v="144"/>
    <x v="161"/>
    <x v="164"/>
  </r>
  <r>
    <x v="1"/>
    <x v="1"/>
    <x v="6"/>
    <x v="14"/>
    <x v="8"/>
    <x v="5"/>
    <x v="1"/>
    <x v="1"/>
    <x v="0"/>
    <x v="118"/>
    <x v="139"/>
    <x v="145"/>
    <x v="156"/>
    <x v="154"/>
    <x v="145"/>
    <x v="162"/>
    <x v="165"/>
  </r>
  <r>
    <x v="1"/>
    <x v="1"/>
    <x v="6"/>
    <x v="14"/>
    <x v="9"/>
    <x v="70"/>
    <x v="91"/>
    <x v="102"/>
    <x v="124"/>
    <x v="153"/>
    <x v="140"/>
    <x v="146"/>
    <x v="157"/>
    <x v="155"/>
    <x v="146"/>
    <x v="163"/>
    <x v="166"/>
  </r>
  <r>
    <x v="1"/>
    <x v="1"/>
    <x v="6"/>
    <x v="14"/>
    <x v="10"/>
    <x v="5"/>
    <x v="1"/>
    <x v="1"/>
    <x v="0"/>
    <x v="2"/>
    <x v="2"/>
    <x v="103"/>
    <x v="158"/>
    <x v="156"/>
    <x v="147"/>
    <x v="164"/>
    <x v="167"/>
  </r>
  <r>
    <x v="1"/>
    <x v="1"/>
    <x v="6"/>
    <x v="14"/>
    <x v="11"/>
    <x v="5"/>
    <x v="1"/>
    <x v="1"/>
    <x v="100"/>
    <x v="154"/>
    <x v="141"/>
    <x v="147"/>
    <x v="159"/>
    <x v="157"/>
    <x v="148"/>
    <x v="165"/>
    <x v="168"/>
  </r>
  <r>
    <x v="1"/>
    <x v="1"/>
    <x v="6"/>
    <x v="15"/>
    <x v="7"/>
    <x v="5"/>
    <x v="72"/>
    <x v="100"/>
    <x v="122"/>
    <x v="155"/>
    <x v="142"/>
    <x v="148"/>
    <x v="160"/>
    <x v="158"/>
    <x v="149"/>
    <x v="166"/>
    <x v="169"/>
  </r>
  <r>
    <x v="1"/>
    <x v="1"/>
    <x v="6"/>
    <x v="15"/>
    <x v="8"/>
    <x v="5"/>
    <x v="1"/>
    <x v="1"/>
    <x v="0"/>
    <x v="2"/>
    <x v="2"/>
    <x v="2"/>
    <x v="3"/>
    <x v="1"/>
    <x v="1"/>
    <x v="3"/>
    <x v="1"/>
  </r>
  <r>
    <x v="1"/>
    <x v="1"/>
    <x v="6"/>
    <x v="15"/>
    <x v="9"/>
    <x v="5"/>
    <x v="1"/>
    <x v="1"/>
    <x v="0"/>
    <x v="2"/>
    <x v="2"/>
    <x v="2"/>
    <x v="3"/>
    <x v="1"/>
    <x v="1"/>
    <x v="3"/>
    <x v="1"/>
  </r>
  <r>
    <x v="1"/>
    <x v="1"/>
    <x v="6"/>
    <x v="15"/>
    <x v="10"/>
    <x v="5"/>
    <x v="1"/>
    <x v="1"/>
    <x v="0"/>
    <x v="117"/>
    <x v="143"/>
    <x v="149"/>
    <x v="161"/>
    <x v="159"/>
    <x v="150"/>
    <x v="167"/>
    <x v="170"/>
  </r>
  <r>
    <x v="1"/>
    <x v="1"/>
    <x v="6"/>
    <x v="15"/>
    <x v="11"/>
    <x v="5"/>
    <x v="1"/>
    <x v="1"/>
    <x v="0"/>
    <x v="2"/>
    <x v="2"/>
    <x v="2"/>
    <x v="3"/>
    <x v="1"/>
    <x v="1"/>
    <x v="3"/>
    <x v="1"/>
  </r>
  <r>
    <x v="1"/>
    <x v="1"/>
    <x v="7"/>
    <x v="0"/>
    <x v="29"/>
    <x v="68"/>
    <x v="89"/>
    <x v="99"/>
    <x v="121"/>
    <x v="150"/>
    <x v="136"/>
    <x v="142"/>
    <x v="153"/>
    <x v="151"/>
    <x v="142"/>
    <x v="159"/>
    <x v="162"/>
  </r>
  <r>
    <x v="1"/>
    <x v="1"/>
    <x v="7"/>
    <x v="0"/>
    <x v="30"/>
    <x v="5"/>
    <x v="72"/>
    <x v="100"/>
    <x v="122"/>
    <x v="151"/>
    <x v="137"/>
    <x v="143"/>
    <x v="154"/>
    <x v="152"/>
    <x v="143"/>
    <x v="160"/>
    <x v="163"/>
  </r>
  <r>
    <x v="1"/>
    <x v="1"/>
    <x v="7"/>
    <x v="0"/>
    <x v="31"/>
    <x v="5"/>
    <x v="1"/>
    <x v="1"/>
    <x v="0"/>
    <x v="2"/>
    <x v="2"/>
    <x v="2"/>
    <x v="3"/>
    <x v="1"/>
    <x v="1"/>
    <x v="3"/>
    <x v="1"/>
  </r>
  <r>
    <x v="1"/>
    <x v="1"/>
    <x v="7"/>
    <x v="14"/>
    <x v="7"/>
    <x v="69"/>
    <x v="90"/>
    <x v="101"/>
    <x v="123"/>
    <x v="152"/>
    <x v="138"/>
    <x v="144"/>
    <x v="155"/>
    <x v="153"/>
    <x v="144"/>
    <x v="161"/>
    <x v="164"/>
  </r>
  <r>
    <x v="1"/>
    <x v="1"/>
    <x v="7"/>
    <x v="14"/>
    <x v="8"/>
    <x v="5"/>
    <x v="1"/>
    <x v="1"/>
    <x v="0"/>
    <x v="118"/>
    <x v="139"/>
    <x v="145"/>
    <x v="156"/>
    <x v="154"/>
    <x v="145"/>
    <x v="162"/>
    <x v="165"/>
  </r>
  <r>
    <x v="1"/>
    <x v="1"/>
    <x v="7"/>
    <x v="14"/>
    <x v="9"/>
    <x v="70"/>
    <x v="2"/>
    <x v="4"/>
    <x v="2"/>
    <x v="156"/>
    <x v="144"/>
    <x v="150"/>
    <x v="162"/>
    <x v="160"/>
    <x v="151"/>
    <x v="168"/>
    <x v="171"/>
  </r>
  <r>
    <x v="1"/>
    <x v="1"/>
    <x v="7"/>
    <x v="14"/>
    <x v="10"/>
    <x v="5"/>
    <x v="1"/>
    <x v="1"/>
    <x v="0"/>
    <x v="2"/>
    <x v="2"/>
    <x v="103"/>
    <x v="158"/>
    <x v="156"/>
    <x v="147"/>
    <x v="164"/>
    <x v="167"/>
  </r>
  <r>
    <x v="1"/>
    <x v="1"/>
    <x v="7"/>
    <x v="14"/>
    <x v="11"/>
    <x v="5"/>
    <x v="1"/>
    <x v="1"/>
    <x v="100"/>
    <x v="154"/>
    <x v="141"/>
    <x v="147"/>
    <x v="159"/>
    <x v="157"/>
    <x v="148"/>
    <x v="165"/>
    <x v="168"/>
  </r>
  <r>
    <x v="1"/>
    <x v="1"/>
    <x v="7"/>
    <x v="15"/>
    <x v="7"/>
    <x v="5"/>
    <x v="72"/>
    <x v="100"/>
    <x v="122"/>
    <x v="155"/>
    <x v="142"/>
    <x v="148"/>
    <x v="160"/>
    <x v="158"/>
    <x v="149"/>
    <x v="166"/>
    <x v="169"/>
  </r>
  <r>
    <x v="1"/>
    <x v="1"/>
    <x v="7"/>
    <x v="15"/>
    <x v="8"/>
    <x v="5"/>
    <x v="1"/>
    <x v="1"/>
    <x v="0"/>
    <x v="2"/>
    <x v="2"/>
    <x v="2"/>
    <x v="3"/>
    <x v="1"/>
    <x v="1"/>
    <x v="3"/>
    <x v="1"/>
  </r>
  <r>
    <x v="1"/>
    <x v="1"/>
    <x v="7"/>
    <x v="15"/>
    <x v="9"/>
    <x v="5"/>
    <x v="1"/>
    <x v="1"/>
    <x v="0"/>
    <x v="2"/>
    <x v="2"/>
    <x v="2"/>
    <x v="3"/>
    <x v="1"/>
    <x v="1"/>
    <x v="3"/>
    <x v="1"/>
  </r>
  <r>
    <x v="1"/>
    <x v="1"/>
    <x v="7"/>
    <x v="15"/>
    <x v="10"/>
    <x v="5"/>
    <x v="1"/>
    <x v="1"/>
    <x v="0"/>
    <x v="117"/>
    <x v="143"/>
    <x v="149"/>
    <x v="161"/>
    <x v="159"/>
    <x v="150"/>
    <x v="167"/>
    <x v="170"/>
  </r>
  <r>
    <x v="1"/>
    <x v="1"/>
    <x v="7"/>
    <x v="15"/>
    <x v="11"/>
    <x v="5"/>
    <x v="1"/>
    <x v="1"/>
    <x v="0"/>
    <x v="2"/>
    <x v="2"/>
    <x v="2"/>
    <x v="3"/>
    <x v="1"/>
    <x v="1"/>
    <x v="3"/>
    <x v="1"/>
  </r>
  <r>
    <x v="2"/>
    <x v="0"/>
    <x v="0"/>
    <x v="0"/>
    <x v="0"/>
    <x v="9"/>
    <x v="0"/>
    <x v="4"/>
    <x v="5"/>
    <x v="1"/>
    <x v="3"/>
    <x v="14"/>
    <x v="4"/>
    <x v="18"/>
    <x v="97"/>
    <x v="0"/>
    <x v="2"/>
  </r>
  <r>
    <x v="2"/>
    <x v="0"/>
    <x v="0"/>
    <x v="1"/>
    <x v="1"/>
    <x v="3"/>
    <x v="2"/>
    <x v="1"/>
    <x v="0"/>
    <x v="2"/>
    <x v="4"/>
    <x v="3"/>
    <x v="1"/>
    <x v="3"/>
    <x v="0"/>
    <x v="1"/>
    <x v="1"/>
  </r>
  <r>
    <x v="2"/>
    <x v="0"/>
    <x v="0"/>
    <x v="1"/>
    <x v="2"/>
    <x v="11"/>
    <x v="2"/>
    <x v="1"/>
    <x v="2"/>
    <x v="2"/>
    <x v="2"/>
    <x v="1"/>
    <x v="3"/>
    <x v="3"/>
    <x v="1"/>
    <x v="3"/>
    <x v="0"/>
  </r>
  <r>
    <x v="2"/>
    <x v="0"/>
    <x v="0"/>
    <x v="1"/>
    <x v="3"/>
    <x v="1"/>
    <x v="1"/>
    <x v="1"/>
    <x v="4"/>
    <x v="1"/>
    <x v="4"/>
    <x v="3"/>
    <x v="5"/>
    <x v="0"/>
    <x v="16"/>
    <x v="2"/>
    <x v="0"/>
  </r>
  <r>
    <x v="2"/>
    <x v="0"/>
    <x v="0"/>
    <x v="1"/>
    <x v="4"/>
    <x v="5"/>
    <x v="1"/>
    <x v="4"/>
    <x v="0"/>
    <x v="2"/>
    <x v="4"/>
    <x v="2"/>
    <x v="3"/>
    <x v="1"/>
    <x v="16"/>
    <x v="3"/>
    <x v="1"/>
  </r>
  <r>
    <x v="2"/>
    <x v="0"/>
    <x v="0"/>
    <x v="1"/>
    <x v="5"/>
    <x v="4"/>
    <x v="1"/>
    <x v="1"/>
    <x v="0"/>
    <x v="2"/>
    <x v="2"/>
    <x v="3"/>
    <x v="3"/>
    <x v="1"/>
    <x v="1"/>
    <x v="2"/>
    <x v="0"/>
  </r>
  <r>
    <x v="2"/>
    <x v="0"/>
    <x v="0"/>
    <x v="1"/>
    <x v="6"/>
    <x v="5"/>
    <x v="1"/>
    <x v="1"/>
    <x v="0"/>
    <x v="2"/>
    <x v="2"/>
    <x v="2"/>
    <x v="3"/>
    <x v="1"/>
    <x v="1"/>
    <x v="3"/>
    <x v="1"/>
  </r>
  <r>
    <x v="2"/>
    <x v="0"/>
    <x v="0"/>
    <x v="2"/>
    <x v="7"/>
    <x v="14"/>
    <x v="0"/>
    <x v="1"/>
    <x v="2"/>
    <x v="1"/>
    <x v="1"/>
    <x v="4"/>
    <x v="4"/>
    <x v="1"/>
    <x v="16"/>
    <x v="4"/>
    <x v="1"/>
  </r>
  <r>
    <x v="2"/>
    <x v="0"/>
    <x v="0"/>
    <x v="2"/>
    <x v="8"/>
    <x v="11"/>
    <x v="1"/>
    <x v="4"/>
    <x v="2"/>
    <x v="2"/>
    <x v="4"/>
    <x v="3"/>
    <x v="3"/>
    <x v="2"/>
    <x v="2"/>
    <x v="2"/>
    <x v="0"/>
  </r>
  <r>
    <x v="2"/>
    <x v="0"/>
    <x v="0"/>
    <x v="2"/>
    <x v="9"/>
    <x v="5"/>
    <x v="1"/>
    <x v="1"/>
    <x v="2"/>
    <x v="2"/>
    <x v="2"/>
    <x v="3"/>
    <x v="3"/>
    <x v="5"/>
    <x v="2"/>
    <x v="3"/>
    <x v="3"/>
  </r>
  <r>
    <x v="2"/>
    <x v="0"/>
    <x v="0"/>
    <x v="2"/>
    <x v="10"/>
    <x v="5"/>
    <x v="1"/>
    <x v="1"/>
    <x v="0"/>
    <x v="2"/>
    <x v="2"/>
    <x v="2"/>
    <x v="3"/>
    <x v="3"/>
    <x v="1"/>
    <x v="3"/>
    <x v="1"/>
  </r>
  <r>
    <x v="2"/>
    <x v="0"/>
    <x v="0"/>
    <x v="2"/>
    <x v="11"/>
    <x v="5"/>
    <x v="1"/>
    <x v="1"/>
    <x v="0"/>
    <x v="2"/>
    <x v="2"/>
    <x v="2"/>
    <x v="3"/>
    <x v="1"/>
    <x v="1"/>
    <x v="3"/>
    <x v="1"/>
  </r>
  <r>
    <x v="2"/>
    <x v="0"/>
    <x v="0"/>
    <x v="0"/>
    <x v="12"/>
    <x v="75"/>
    <x v="0"/>
    <x v="1"/>
    <x v="5"/>
    <x v="1"/>
    <x v="3"/>
    <x v="14"/>
    <x v="4"/>
    <x v="18"/>
    <x v="14"/>
    <x v="0"/>
    <x v="2"/>
  </r>
  <r>
    <x v="2"/>
    <x v="0"/>
    <x v="0"/>
    <x v="3"/>
    <x v="1"/>
    <x v="3"/>
    <x v="2"/>
    <x v="1"/>
    <x v="0"/>
    <x v="2"/>
    <x v="4"/>
    <x v="1"/>
    <x v="1"/>
    <x v="3"/>
    <x v="2"/>
    <x v="4"/>
    <x v="0"/>
  </r>
  <r>
    <x v="2"/>
    <x v="0"/>
    <x v="0"/>
    <x v="3"/>
    <x v="2"/>
    <x v="11"/>
    <x v="2"/>
    <x v="1"/>
    <x v="2"/>
    <x v="2"/>
    <x v="4"/>
    <x v="1"/>
    <x v="3"/>
    <x v="3"/>
    <x v="0"/>
    <x v="3"/>
    <x v="0"/>
  </r>
  <r>
    <x v="2"/>
    <x v="0"/>
    <x v="0"/>
    <x v="3"/>
    <x v="3"/>
    <x v="1"/>
    <x v="1"/>
    <x v="1"/>
    <x v="4"/>
    <x v="1"/>
    <x v="4"/>
    <x v="3"/>
    <x v="5"/>
    <x v="0"/>
    <x v="16"/>
    <x v="2"/>
    <x v="0"/>
  </r>
  <r>
    <x v="2"/>
    <x v="0"/>
    <x v="0"/>
    <x v="0"/>
    <x v="13"/>
    <x v="7"/>
    <x v="0"/>
    <x v="4"/>
    <x v="4"/>
    <x v="2"/>
    <x v="1"/>
    <x v="4"/>
    <x v="4"/>
    <x v="2"/>
    <x v="14"/>
    <x v="4"/>
    <x v="2"/>
  </r>
  <r>
    <x v="2"/>
    <x v="0"/>
    <x v="0"/>
    <x v="4"/>
    <x v="4"/>
    <x v="1"/>
    <x v="0"/>
    <x v="4"/>
    <x v="2"/>
    <x v="2"/>
    <x v="4"/>
    <x v="3"/>
    <x v="5"/>
    <x v="1"/>
    <x v="26"/>
    <x v="2"/>
    <x v="0"/>
  </r>
  <r>
    <x v="2"/>
    <x v="0"/>
    <x v="0"/>
    <x v="4"/>
    <x v="5"/>
    <x v="4"/>
    <x v="1"/>
    <x v="1"/>
    <x v="2"/>
    <x v="2"/>
    <x v="2"/>
    <x v="1"/>
    <x v="1"/>
    <x v="3"/>
    <x v="1"/>
    <x v="1"/>
    <x v="0"/>
  </r>
  <r>
    <x v="2"/>
    <x v="0"/>
    <x v="0"/>
    <x v="4"/>
    <x v="6"/>
    <x v="5"/>
    <x v="1"/>
    <x v="1"/>
    <x v="0"/>
    <x v="2"/>
    <x v="4"/>
    <x v="2"/>
    <x v="3"/>
    <x v="3"/>
    <x v="0"/>
    <x v="3"/>
    <x v="0"/>
  </r>
  <r>
    <x v="2"/>
    <x v="1"/>
    <x v="0"/>
    <x v="0"/>
    <x v="14"/>
    <x v="10"/>
    <x v="4"/>
    <x v="5"/>
    <x v="2"/>
    <x v="0"/>
    <x v="1"/>
    <x v="1"/>
    <x v="0"/>
    <x v="18"/>
    <x v="97"/>
    <x v="36"/>
    <x v="103"/>
  </r>
  <r>
    <x v="2"/>
    <x v="1"/>
    <x v="0"/>
    <x v="1"/>
    <x v="1"/>
    <x v="1"/>
    <x v="2"/>
    <x v="2"/>
    <x v="0"/>
    <x v="2"/>
    <x v="4"/>
    <x v="3"/>
    <x v="3"/>
    <x v="2"/>
    <x v="0"/>
    <x v="2"/>
    <x v="0"/>
  </r>
  <r>
    <x v="2"/>
    <x v="1"/>
    <x v="0"/>
    <x v="1"/>
    <x v="2"/>
    <x v="2"/>
    <x v="2"/>
    <x v="4"/>
    <x v="0"/>
    <x v="1"/>
    <x v="2"/>
    <x v="3"/>
    <x v="1"/>
    <x v="3"/>
    <x v="1"/>
    <x v="3"/>
    <x v="0"/>
  </r>
  <r>
    <x v="2"/>
    <x v="1"/>
    <x v="0"/>
    <x v="1"/>
    <x v="3"/>
    <x v="4"/>
    <x v="1"/>
    <x v="4"/>
    <x v="2"/>
    <x v="3"/>
    <x v="4"/>
    <x v="2"/>
    <x v="2"/>
    <x v="5"/>
    <x v="8"/>
    <x v="1"/>
    <x v="3"/>
  </r>
  <r>
    <x v="2"/>
    <x v="1"/>
    <x v="0"/>
    <x v="1"/>
    <x v="4"/>
    <x v="5"/>
    <x v="1"/>
    <x v="4"/>
    <x v="0"/>
    <x v="2"/>
    <x v="2"/>
    <x v="2"/>
    <x v="1"/>
    <x v="1"/>
    <x v="2"/>
    <x v="2"/>
    <x v="1"/>
  </r>
  <r>
    <x v="2"/>
    <x v="1"/>
    <x v="0"/>
    <x v="1"/>
    <x v="5"/>
    <x v="5"/>
    <x v="2"/>
    <x v="1"/>
    <x v="0"/>
    <x v="2"/>
    <x v="2"/>
    <x v="2"/>
    <x v="1"/>
    <x v="1"/>
    <x v="1"/>
    <x v="2"/>
    <x v="0"/>
  </r>
  <r>
    <x v="2"/>
    <x v="1"/>
    <x v="0"/>
    <x v="1"/>
    <x v="6"/>
    <x v="5"/>
    <x v="1"/>
    <x v="1"/>
    <x v="0"/>
    <x v="2"/>
    <x v="2"/>
    <x v="2"/>
    <x v="3"/>
    <x v="1"/>
    <x v="1"/>
    <x v="3"/>
    <x v="1"/>
  </r>
  <r>
    <x v="2"/>
    <x v="1"/>
    <x v="0"/>
    <x v="2"/>
    <x v="7"/>
    <x v="2"/>
    <x v="0"/>
    <x v="2"/>
    <x v="0"/>
    <x v="3"/>
    <x v="4"/>
    <x v="3"/>
    <x v="4"/>
    <x v="4"/>
    <x v="0"/>
    <x v="4"/>
    <x v="3"/>
  </r>
  <r>
    <x v="2"/>
    <x v="1"/>
    <x v="0"/>
    <x v="2"/>
    <x v="8"/>
    <x v="7"/>
    <x v="2"/>
    <x v="6"/>
    <x v="0"/>
    <x v="1"/>
    <x v="4"/>
    <x v="2"/>
    <x v="1"/>
    <x v="3"/>
    <x v="2"/>
    <x v="1"/>
    <x v="0"/>
  </r>
  <r>
    <x v="2"/>
    <x v="1"/>
    <x v="0"/>
    <x v="2"/>
    <x v="9"/>
    <x v="5"/>
    <x v="1"/>
    <x v="1"/>
    <x v="2"/>
    <x v="2"/>
    <x v="2"/>
    <x v="3"/>
    <x v="3"/>
    <x v="2"/>
    <x v="8"/>
    <x v="3"/>
    <x v="3"/>
  </r>
  <r>
    <x v="2"/>
    <x v="1"/>
    <x v="0"/>
    <x v="2"/>
    <x v="10"/>
    <x v="5"/>
    <x v="1"/>
    <x v="1"/>
    <x v="0"/>
    <x v="2"/>
    <x v="2"/>
    <x v="2"/>
    <x v="3"/>
    <x v="3"/>
    <x v="1"/>
    <x v="3"/>
    <x v="1"/>
  </r>
  <r>
    <x v="2"/>
    <x v="1"/>
    <x v="0"/>
    <x v="2"/>
    <x v="11"/>
    <x v="5"/>
    <x v="1"/>
    <x v="1"/>
    <x v="0"/>
    <x v="2"/>
    <x v="2"/>
    <x v="2"/>
    <x v="3"/>
    <x v="1"/>
    <x v="1"/>
    <x v="3"/>
    <x v="1"/>
  </r>
  <r>
    <x v="2"/>
    <x v="1"/>
    <x v="0"/>
    <x v="0"/>
    <x v="15"/>
    <x v="2"/>
    <x v="4"/>
    <x v="5"/>
    <x v="2"/>
    <x v="2"/>
    <x v="1"/>
    <x v="3"/>
    <x v="2"/>
    <x v="0"/>
    <x v="26"/>
    <x v="0"/>
    <x v="103"/>
  </r>
  <r>
    <x v="2"/>
    <x v="1"/>
    <x v="0"/>
    <x v="0"/>
    <x v="16"/>
    <x v="7"/>
    <x v="1"/>
    <x v="1"/>
    <x v="0"/>
    <x v="0"/>
    <x v="2"/>
    <x v="3"/>
    <x v="5"/>
    <x v="3"/>
    <x v="2"/>
    <x v="2"/>
    <x v="1"/>
  </r>
  <r>
    <x v="2"/>
    <x v="1"/>
    <x v="0"/>
    <x v="0"/>
    <x v="17"/>
    <x v="5"/>
    <x v="1"/>
    <x v="1"/>
    <x v="0"/>
    <x v="2"/>
    <x v="2"/>
    <x v="2"/>
    <x v="3"/>
    <x v="3"/>
    <x v="1"/>
    <x v="3"/>
    <x v="1"/>
  </r>
  <r>
    <x v="2"/>
    <x v="1"/>
    <x v="0"/>
    <x v="5"/>
    <x v="7"/>
    <x v="7"/>
    <x v="0"/>
    <x v="2"/>
    <x v="0"/>
    <x v="2"/>
    <x v="4"/>
    <x v="2"/>
    <x v="1"/>
    <x v="2"/>
    <x v="0"/>
    <x v="1"/>
    <x v="3"/>
  </r>
  <r>
    <x v="2"/>
    <x v="1"/>
    <x v="0"/>
    <x v="5"/>
    <x v="8"/>
    <x v="1"/>
    <x v="2"/>
    <x v="6"/>
    <x v="0"/>
    <x v="2"/>
    <x v="4"/>
    <x v="2"/>
    <x v="1"/>
    <x v="3"/>
    <x v="0"/>
    <x v="1"/>
    <x v="0"/>
  </r>
  <r>
    <x v="2"/>
    <x v="1"/>
    <x v="0"/>
    <x v="5"/>
    <x v="9"/>
    <x v="5"/>
    <x v="1"/>
    <x v="1"/>
    <x v="2"/>
    <x v="2"/>
    <x v="2"/>
    <x v="3"/>
    <x v="3"/>
    <x v="2"/>
    <x v="16"/>
    <x v="3"/>
    <x v="3"/>
  </r>
  <r>
    <x v="2"/>
    <x v="1"/>
    <x v="0"/>
    <x v="5"/>
    <x v="10"/>
    <x v="5"/>
    <x v="1"/>
    <x v="1"/>
    <x v="0"/>
    <x v="2"/>
    <x v="2"/>
    <x v="2"/>
    <x v="3"/>
    <x v="1"/>
    <x v="1"/>
    <x v="3"/>
    <x v="1"/>
  </r>
  <r>
    <x v="2"/>
    <x v="1"/>
    <x v="0"/>
    <x v="5"/>
    <x v="11"/>
    <x v="5"/>
    <x v="1"/>
    <x v="1"/>
    <x v="0"/>
    <x v="2"/>
    <x v="2"/>
    <x v="2"/>
    <x v="3"/>
    <x v="1"/>
    <x v="1"/>
    <x v="3"/>
    <x v="1"/>
  </r>
  <r>
    <x v="2"/>
    <x v="1"/>
    <x v="0"/>
    <x v="6"/>
    <x v="7"/>
    <x v="1"/>
    <x v="1"/>
    <x v="1"/>
    <x v="0"/>
    <x v="3"/>
    <x v="2"/>
    <x v="3"/>
    <x v="5"/>
    <x v="3"/>
    <x v="1"/>
    <x v="2"/>
    <x v="1"/>
  </r>
  <r>
    <x v="2"/>
    <x v="1"/>
    <x v="0"/>
    <x v="6"/>
    <x v="8"/>
    <x v="4"/>
    <x v="1"/>
    <x v="1"/>
    <x v="0"/>
    <x v="1"/>
    <x v="2"/>
    <x v="2"/>
    <x v="3"/>
    <x v="1"/>
    <x v="0"/>
    <x v="3"/>
    <x v="1"/>
  </r>
  <r>
    <x v="2"/>
    <x v="1"/>
    <x v="0"/>
    <x v="6"/>
    <x v="9"/>
    <x v="5"/>
    <x v="1"/>
    <x v="1"/>
    <x v="0"/>
    <x v="2"/>
    <x v="2"/>
    <x v="2"/>
    <x v="3"/>
    <x v="1"/>
    <x v="0"/>
    <x v="3"/>
    <x v="1"/>
  </r>
  <r>
    <x v="2"/>
    <x v="1"/>
    <x v="0"/>
    <x v="6"/>
    <x v="10"/>
    <x v="5"/>
    <x v="1"/>
    <x v="1"/>
    <x v="0"/>
    <x v="2"/>
    <x v="2"/>
    <x v="2"/>
    <x v="3"/>
    <x v="1"/>
    <x v="1"/>
    <x v="3"/>
    <x v="1"/>
  </r>
  <r>
    <x v="2"/>
    <x v="1"/>
    <x v="0"/>
    <x v="6"/>
    <x v="11"/>
    <x v="5"/>
    <x v="1"/>
    <x v="1"/>
    <x v="0"/>
    <x v="2"/>
    <x v="2"/>
    <x v="2"/>
    <x v="3"/>
    <x v="1"/>
    <x v="1"/>
    <x v="3"/>
    <x v="1"/>
  </r>
  <r>
    <x v="2"/>
    <x v="1"/>
    <x v="0"/>
    <x v="7"/>
    <x v="7"/>
    <x v="5"/>
    <x v="1"/>
    <x v="1"/>
    <x v="0"/>
    <x v="2"/>
    <x v="2"/>
    <x v="2"/>
    <x v="3"/>
    <x v="1"/>
    <x v="1"/>
    <x v="3"/>
    <x v="1"/>
  </r>
  <r>
    <x v="2"/>
    <x v="1"/>
    <x v="0"/>
    <x v="7"/>
    <x v="8"/>
    <x v="5"/>
    <x v="1"/>
    <x v="1"/>
    <x v="0"/>
    <x v="2"/>
    <x v="2"/>
    <x v="2"/>
    <x v="3"/>
    <x v="1"/>
    <x v="1"/>
    <x v="3"/>
    <x v="1"/>
  </r>
  <r>
    <x v="2"/>
    <x v="1"/>
    <x v="0"/>
    <x v="7"/>
    <x v="9"/>
    <x v="5"/>
    <x v="1"/>
    <x v="1"/>
    <x v="0"/>
    <x v="2"/>
    <x v="2"/>
    <x v="2"/>
    <x v="3"/>
    <x v="1"/>
    <x v="1"/>
    <x v="3"/>
    <x v="1"/>
  </r>
  <r>
    <x v="2"/>
    <x v="1"/>
    <x v="0"/>
    <x v="7"/>
    <x v="10"/>
    <x v="5"/>
    <x v="1"/>
    <x v="1"/>
    <x v="0"/>
    <x v="2"/>
    <x v="2"/>
    <x v="2"/>
    <x v="3"/>
    <x v="3"/>
    <x v="1"/>
    <x v="3"/>
    <x v="1"/>
  </r>
  <r>
    <x v="2"/>
    <x v="1"/>
    <x v="0"/>
    <x v="7"/>
    <x v="11"/>
    <x v="5"/>
    <x v="1"/>
    <x v="1"/>
    <x v="0"/>
    <x v="2"/>
    <x v="2"/>
    <x v="2"/>
    <x v="3"/>
    <x v="1"/>
    <x v="1"/>
    <x v="3"/>
    <x v="1"/>
  </r>
  <r>
    <x v="2"/>
    <x v="1"/>
    <x v="0"/>
    <x v="0"/>
    <x v="18"/>
    <x v="10"/>
    <x v="0"/>
    <x v="3"/>
    <x v="2"/>
    <x v="0"/>
    <x v="1"/>
    <x v="1"/>
    <x v="0"/>
    <x v="18"/>
    <x v="14"/>
    <x v="36"/>
    <x v="103"/>
  </r>
  <r>
    <x v="2"/>
    <x v="1"/>
    <x v="0"/>
    <x v="3"/>
    <x v="1"/>
    <x v="1"/>
    <x v="2"/>
    <x v="2"/>
    <x v="0"/>
    <x v="2"/>
    <x v="4"/>
    <x v="3"/>
    <x v="1"/>
    <x v="2"/>
    <x v="0"/>
    <x v="4"/>
    <x v="3"/>
  </r>
  <r>
    <x v="2"/>
    <x v="1"/>
    <x v="0"/>
    <x v="3"/>
    <x v="2"/>
    <x v="2"/>
    <x v="2"/>
    <x v="4"/>
    <x v="0"/>
    <x v="1"/>
    <x v="2"/>
    <x v="3"/>
    <x v="2"/>
    <x v="3"/>
    <x v="0"/>
    <x v="3"/>
    <x v="0"/>
  </r>
  <r>
    <x v="2"/>
    <x v="1"/>
    <x v="0"/>
    <x v="3"/>
    <x v="3"/>
    <x v="4"/>
    <x v="1"/>
    <x v="4"/>
    <x v="2"/>
    <x v="3"/>
    <x v="4"/>
    <x v="2"/>
    <x v="2"/>
    <x v="5"/>
    <x v="8"/>
    <x v="1"/>
    <x v="3"/>
  </r>
  <r>
    <x v="2"/>
    <x v="1"/>
    <x v="0"/>
    <x v="0"/>
    <x v="19"/>
    <x v="1"/>
    <x v="2"/>
    <x v="6"/>
    <x v="0"/>
    <x v="3"/>
    <x v="4"/>
    <x v="3"/>
    <x v="4"/>
    <x v="5"/>
    <x v="26"/>
    <x v="0"/>
    <x v="9"/>
  </r>
  <r>
    <x v="2"/>
    <x v="1"/>
    <x v="0"/>
    <x v="4"/>
    <x v="4"/>
    <x v="1"/>
    <x v="1"/>
    <x v="6"/>
    <x v="0"/>
    <x v="1"/>
    <x v="2"/>
    <x v="3"/>
    <x v="2"/>
    <x v="2"/>
    <x v="16"/>
    <x v="4"/>
    <x v="0"/>
  </r>
  <r>
    <x v="2"/>
    <x v="1"/>
    <x v="0"/>
    <x v="4"/>
    <x v="5"/>
    <x v="5"/>
    <x v="2"/>
    <x v="1"/>
    <x v="0"/>
    <x v="1"/>
    <x v="2"/>
    <x v="2"/>
    <x v="2"/>
    <x v="2"/>
    <x v="1"/>
    <x v="2"/>
    <x v="3"/>
  </r>
  <r>
    <x v="2"/>
    <x v="1"/>
    <x v="0"/>
    <x v="4"/>
    <x v="6"/>
    <x v="5"/>
    <x v="1"/>
    <x v="1"/>
    <x v="0"/>
    <x v="2"/>
    <x v="4"/>
    <x v="2"/>
    <x v="3"/>
    <x v="1"/>
    <x v="2"/>
    <x v="3"/>
    <x v="0"/>
  </r>
  <r>
    <x v="2"/>
    <x v="2"/>
    <x v="1"/>
    <x v="0"/>
    <x v="20"/>
    <x v="2"/>
    <x v="5"/>
    <x v="1"/>
    <x v="4"/>
    <x v="2"/>
    <x v="4"/>
    <x v="0"/>
    <x v="5"/>
    <x v="4"/>
    <x v="16"/>
    <x v="1"/>
    <x v="1"/>
  </r>
  <r>
    <x v="2"/>
    <x v="2"/>
    <x v="1"/>
    <x v="1"/>
    <x v="1"/>
    <x v="1"/>
    <x v="0"/>
    <x v="1"/>
    <x v="0"/>
    <x v="2"/>
    <x v="2"/>
    <x v="2"/>
    <x v="1"/>
    <x v="1"/>
    <x v="1"/>
    <x v="2"/>
    <x v="1"/>
  </r>
  <r>
    <x v="2"/>
    <x v="2"/>
    <x v="1"/>
    <x v="1"/>
    <x v="2"/>
    <x v="4"/>
    <x v="2"/>
    <x v="1"/>
    <x v="2"/>
    <x v="2"/>
    <x v="2"/>
    <x v="3"/>
    <x v="3"/>
    <x v="1"/>
    <x v="1"/>
    <x v="3"/>
    <x v="1"/>
  </r>
  <r>
    <x v="2"/>
    <x v="2"/>
    <x v="1"/>
    <x v="1"/>
    <x v="3"/>
    <x v="4"/>
    <x v="2"/>
    <x v="1"/>
    <x v="2"/>
    <x v="2"/>
    <x v="2"/>
    <x v="3"/>
    <x v="2"/>
    <x v="4"/>
    <x v="2"/>
    <x v="2"/>
    <x v="1"/>
  </r>
  <r>
    <x v="2"/>
    <x v="2"/>
    <x v="1"/>
    <x v="1"/>
    <x v="4"/>
    <x v="5"/>
    <x v="1"/>
    <x v="1"/>
    <x v="0"/>
    <x v="2"/>
    <x v="4"/>
    <x v="3"/>
    <x v="3"/>
    <x v="1"/>
    <x v="0"/>
    <x v="3"/>
    <x v="1"/>
  </r>
  <r>
    <x v="2"/>
    <x v="2"/>
    <x v="1"/>
    <x v="1"/>
    <x v="5"/>
    <x v="4"/>
    <x v="1"/>
    <x v="1"/>
    <x v="0"/>
    <x v="2"/>
    <x v="2"/>
    <x v="3"/>
    <x v="3"/>
    <x v="1"/>
    <x v="1"/>
    <x v="3"/>
    <x v="1"/>
  </r>
  <r>
    <x v="2"/>
    <x v="2"/>
    <x v="1"/>
    <x v="1"/>
    <x v="6"/>
    <x v="5"/>
    <x v="1"/>
    <x v="1"/>
    <x v="0"/>
    <x v="2"/>
    <x v="2"/>
    <x v="2"/>
    <x v="3"/>
    <x v="1"/>
    <x v="1"/>
    <x v="3"/>
    <x v="1"/>
  </r>
  <r>
    <x v="2"/>
    <x v="2"/>
    <x v="1"/>
    <x v="8"/>
    <x v="1"/>
    <x v="23"/>
    <x v="22"/>
    <x v="103"/>
    <x v="0"/>
    <x v="157"/>
    <x v="2"/>
    <x v="2"/>
    <x v="6"/>
    <x v="1"/>
    <x v="1"/>
    <x v="6"/>
    <x v="172"/>
  </r>
  <r>
    <x v="2"/>
    <x v="2"/>
    <x v="1"/>
    <x v="8"/>
    <x v="2"/>
    <x v="76"/>
    <x v="11"/>
    <x v="103"/>
    <x v="24"/>
    <x v="157"/>
    <x v="2"/>
    <x v="151"/>
    <x v="3"/>
    <x v="1"/>
    <x v="1"/>
    <x v="3"/>
    <x v="172"/>
  </r>
  <r>
    <x v="2"/>
    <x v="2"/>
    <x v="1"/>
    <x v="8"/>
    <x v="3"/>
    <x v="76"/>
    <x v="11"/>
    <x v="103"/>
    <x v="24"/>
    <x v="157"/>
    <x v="2"/>
    <x v="151"/>
    <x v="110"/>
    <x v="3"/>
    <x v="152"/>
    <x v="6"/>
    <x v="172"/>
  </r>
  <r>
    <x v="2"/>
    <x v="2"/>
    <x v="1"/>
    <x v="8"/>
    <x v="4"/>
    <x v="5"/>
    <x v="1"/>
    <x v="103"/>
    <x v="0"/>
    <x v="157"/>
    <x v="4"/>
    <x v="151"/>
    <x v="3"/>
    <x v="1"/>
    <x v="153"/>
    <x v="3"/>
    <x v="172"/>
  </r>
  <r>
    <x v="2"/>
    <x v="2"/>
    <x v="1"/>
    <x v="8"/>
    <x v="5"/>
    <x v="76"/>
    <x v="1"/>
    <x v="103"/>
    <x v="0"/>
    <x v="157"/>
    <x v="2"/>
    <x v="151"/>
    <x v="3"/>
    <x v="1"/>
    <x v="1"/>
    <x v="3"/>
    <x v="172"/>
  </r>
  <r>
    <x v="2"/>
    <x v="2"/>
    <x v="1"/>
    <x v="8"/>
    <x v="6"/>
    <x v="5"/>
    <x v="1"/>
    <x v="103"/>
    <x v="0"/>
    <x v="157"/>
    <x v="2"/>
    <x v="2"/>
    <x v="3"/>
    <x v="1"/>
    <x v="1"/>
    <x v="3"/>
    <x v="172"/>
  </r>
  <r>
    <x v="2"/>
    <x v="2"/>
    <x v="1"/>
    <x v="2"/>
    <x v="7"/>
    <x v="1"/>
    <x v="0"/>
    <x v="1"/>
    <x v="2"/>
    <x v="2"/>
    <x v="4"/>
    <x v="4"/>
    <x v="5"/>
    <x v="1"/>
    <x v="2"/>
    <x v="1"/>
    <x v="1"/>
  </r>
  <r>
    <x v="2"/>
    <x v="2"/>
    <x v="1"/>
    <x v="2"/>
    <x v="8"/>
    <x v="7"/>
    <x v="0"/>
    <x v="1"/>
    <x v="2"/>
    <x v="2"/>
    <x v="2"/>
    <x v="3"/>
    <x v="3"/>
    <x v="3"/>
    <x v="0"/>
    <x v="3"/>
    <x v="1"/>
  </r>
  <r>
    <x v="2"/>
    <x v="2"/>
    <x v="1"/>
    <x v="2"/>
    <x v="9"/>
    <x v="5"/>
    <x v="1"/>
    <x v="1"/>
    <x v="0"/>
    <x v="2"/>
    <x v="2"/>
    <x v="2"/>
    <x v="3"/>
    <x v="2"/>
    <x v="1"/>
    <x v="3"/>
    <x v="1"/>
  </r>
  <r>
    <x v="2"/>
    <x v="2"/>
    <x v="1"/>
    <x v="2"/>
    <x v="10"/>
    <x v="5"/>
    <x v="1"/>
    <x v="1"/>
    <x v="0"/>
    <x v="2"/>
    <x v="2"/>
    <x v="2"/>
    <x v="3"/>
    <x v="1"/>
    <x v="1"/>
    <x v="3"/>
    <x v="1"/>
  </r>
  <r>
    <x v="2"/>
    <x v="2"/>
    <x v="1"/>
    <x v="2"/>
    <x v="11"/>
    <x v="5"/>
    <x v="1"/>
    <x v="1"/>
    <x v="0"/>
    <x v="2"/>
    <x v="2"/>
    <x v="2"/>
    <x v="3"/>
    <x v="1"/>
    <x v="1"/>
    <x v="3"/>
    <x v="1"/>
  </r>
  <r>
    <x v="2"/>
    <x v="2"/>
    <x v="1"/>
    <x v="0"/>
    <x v="21"/>
    <x v="3"/>
    <x v="5"/>
    <x v="1"/>
    <x v="4"/>
    <x v="2"/>
    <x v="4"/>
    <x v="0"/>
    <x v="5"/>
    <x v="4"/>
    <x v="16"/>
    <x v="1"/>
    <x v="1"/>
  </r>
  <r>
    <x v="2"/>
    <x v="2"/>
    <x v="1"/>
    <x v="3"/>
    <x v="1"/>
    <x v="1"/>
    <x v="0"/>
    <x v="1"/>
    <x v="0"/>
    <x v="2"/>
    <x v="2"/>
    <x v="3"/>
    <x v="1"/>
    <x v="1"/>
    <x v="0"/>
    <x v="2"/>
    <x v="1"/>
  </r>
  <r>
    <x v="2"/>
    <x v="2"/>
    <x v="1"/>
    <x v="3"/>
    <x v="2"/>
    <x v="4"/>
    <x v="2"/>
    <x v="1"/>
    <x v="2"/>
    <x v="2"/>
    <x v="4"/>
    <x v="1"/>
    <x v="3"/>
    <x v="1"/>
    <x v="1"/>
    <x v="3"/>
    <x v="1"/>
  </r>
  <r>
    <x v="2"/>
    <x v="2"/>
    <x v="1"/>
    <x v="3"/>
    <x v="3"/>
    <x v="4"/>
    <x v="2"/>
    <x v="1"/>
    <x v="2"/>
    <x v="2"/>
    <x v="2"/>
    <x v="3"/>
    <x v="2"/>
    <x v="4"/>
    <x v="2"/>
    <x v="2"/>
    <x v="1"/>
  </r>
  <r>
    <x v="2"/>
    <x v="2"/>
    <x v="1"/>
    <x v="9"/>
    <x v="1"/>
    <x v="18"/>
    <x v="11"/>
    <x v="1"/>
    <x v="0"/>
    <x v="2"/>
    <x v="2"/>
    <x v="5"/>
    <x v="7"/>
    <x v="1"/>
    <x v="0"/>
    <x v="6"/>
    <x v="4"/>
  </r>
  <r>
    <x v="2"/>
    <x v="2"/>
    <x v="1"/>
    <x v="9"/>
    <x v="2"/>
    <x v="15"/>
    <x v="92"/>
    <x v="1"/>
    <x v="23"/>
    <x v="2"/>
    <x v="6"/>
    <x v="97"/>
    <x v="3"/>
    <x v="1"/>
    <x v="1"/>
    <x v="3"/>
    <x v="4"/>
  </r>
  <r>
    <x v="2"/>
    <x v="2"/>
    <x v="1"/>
    <x v="9"/>
    <x v="3"/>
    <x v="15"/>
    <x v="92"/>
    <x v="1"/>
    <x v="23"/>
    <x v="2"/>
    <x v="2"/>
    <x v="5"/>
    <x v="1"/>
    <x v="4"/>
    <x v="2"/>
    <x v="6"/>
    <x v="4"/>
  </r>
  <r>
    <x v="2"/>
    <x v="2"/>
    <x v="1"/>
    <x v="0"/>
    <x v="22"/>
    <x v="4"/>
    <x v="0"/>
    <x v="1"/>
    <x v="4"/>
    <x v="2"/>
    <x v="4"/>
    <x v="4"/>
    <x v="5"/>
    <x v="3"/>
    <x v="2"/>
    <x v="2"/>
    <x v="1"/>
  </r>
  <r>
    <x v="2"/>
    <x v="2"/>
    <x v="1"/>
    <x v="4"/>
    <x v="4"/>
    <x v="5"/>
    <x v="0"/>
    <x v="1"/>
    <x v="2"/>
    <x v="2"/>
    <x v="4"/>
    <x v="3"/>
    <x v="2"/>
    <x v="1"/>
    <x v="2"/>
    <x v="3"/>
    <x v="1"/>
  </r>
  <r>
    <x v="2"/>
    <x v="2"/>
    <x v="1"/>
    <x v="4"/>
    <x v="5"/>
    <x v="4"/>
    <x v="1"/>
    <x v="1"/>
    <x v="2"/>
    <x v="2"/>
    <x v="2"/>
    <x v="1"/>
    <x v="1"/>
    <x v="1"/>
    <x v="1"/>
    <x v="2"/>
    <x v="1"/>
  </r>
  <r>
    <x v="2"/>
    <x v="2"/>
    <x v="1"/>
    <x v="4"/>
    <x v="6"/>
    <x v="5"/>
    <x v="1"/>
    <x v="1"/>
    <x v="0"/>
    <x v="2"/>
    <x v="2"/>
    <x v="2"/>
    <x v="3"/>
    <x v="3"/>
    <x v="1"/>
    <x v="3"/>
    <x v="1"/>
  </r>
  <r>
    <x v="2"/>
    <x v="2"/>
    <x v="1"/>
    <x v="10"/>
    <x v="4"/>
    <x v="5"/>
    <x v="11"/>
    <x v="1"/>
    <x v="7"/>
    <x v="2"/>
    <x v="7"/>
    <x v="26"/>
    <x v="1"/>
    <x v="1"/>
    <x v="0"/>
    <x v="3"/>
    <x v="1"/>
  </r>
  <r>
    <x v="2"/>
    <x v="2"/>
    <x v="1"/>
    <x v="10"/>
    <x v="5"/>
    <x v="15"/>
    <x v="1"/>
    <x v="1"/>
    <x v="7"/>
    <x v="2"/>
    <x v="2"/>
    <x v="3"/>
    <x v="7"/>
    <x v="1"/>
    <x v="1"/>
    <x v="5"/>
    <x v="1"/>
  </r>
  <r>
    <x v="2"/>
    <x v="2"/>
    <x v="1"/>
    <x v="10"/>
    <x v="6"/>
    <x v="5"/>
    <x v="1"/>
    <x v="1"/>
    <x v="0"/>
    <x v="2"/>
    <x v="2"/>
    <x v="2"/>
    <x v="3"/>
    <x v="6"/>
    <x v="1"/>
    <x v="3"/>
    <x v="1"/>
  </r>
  <r>
    <x v="2"/>
    <x v="0"/>
    <x v="2"/>
    <x v="0"/>
    <x v="23"/>
    <x v="9"/>
    <x v="18"/>
    <x v="104"/>
    <x v="125"/>
    <x v="25"/>
    <x v="28"/>
    <x v="12"/>
    <x v="16"/>
    <x v="161"/>
    <x v="154"/>
    <x v="169"/>
    <x v="173"/>
  </r>
  <r>
    <x v="2"/>
    <x v="0"/>
    <x v="2"/>
    <x v="1"/>
    <x v="1"/>
    <x v="3"/>
    <x v="16"/>
    <x v="5"/>
    <x v="1"/>
    <x v="5"/>
    <x v="11"/>
    <x v="7"/>
    <x v="9"/>
    <x v="23"/>
    <x v="20"/>
    <x v="25"/>
    <x v="33"/>
  </r>
  <r>
    <x v="2"/>
    <x v="0"/>
    <x v="2"/>
    <x v="1"/>
    <x v="2"/>
    <x v="11"/>
    <x v="9"/>
    <x v="11"/>
    <x v="6"/>
    <x v="4"/>
    <x v="16"/>
    <x v="95"/>
    <x v="163"/>
    <x v="15"/>
    <x v="11"/>
    <x v="14"/>
    <x v="33"/>
  </r>
  <r>
    <x v="2"/>
    <x v="0"/>
    <x v="2"/>
    <x v="1"/>
    <x v="3"/>
    <x v="1"/>
    <x v="0"/>
    <x v="2"/>
    <x v="3"/>
    <x v="5"/>
    <x v="11"/>
    <x v="7"/>
    <x v="163"/>
    <x v="10"/>
    <x v="155"/>
    <x v="17"/>
    <x v="174"/>
  </r>
  <r>
    <x v="2"/>
    <x v="0"/>
    <x v="2"/>
    <x v="1"/>
    <x v="4"/>
    <x v="5"/>
    <x v="1"/>
    <x v="4"/>
    <x v="2"/>
    <x v="1"/>
    <x v="1"/>
    <x v="1"/>
    <x v="2"/>
    <x v="2"/>
    <x v="26"/>
    <x v="36"/>
    <x v="103"/>
  </r>
  <r>
    <x v="2"/>
    <x v="0"/>
    <x v="2"/>
    <x v="1"/>
    <x v="5"/>
    <x v="4"/>
    <x v="2"/>
    <x v="4"/>
    <x v="2"/>
    <x v="1"/>
    <x v="4"/>
    <x v="1"/>
    <x v="2"/>
    <x v="2"/>
    <x v="2"/>
    <x v="4"/>
    <x v="9"/>
  </r>
  <r>
    <x v="2"/>
    <x v="0"/>
    <x v="2"/>
    <x v="1"/>
    <x v="6"/>
    <x v="5"/>
    <x v="1"/>
    <x v="1"/>
    <x v="0"/>
    <x v="2"/>
    <x v="2"/>
    <x v="2"/>
    <x v="3"/>
    <x v="1"/>
    <x v="1"/>
    <x v="3"/>
    <x v="1"/>
  </r>
  <r>
    <x v="2"/>
    <x v="0"/>
    <x v="2"/>
    <x v="2"/>
    <x v="7"/>
    <x v="14"/>
    <x v="3"/>
    <x v="18"/>
    <x v="126"/>
    <x v="13"/>
    <x v="10"/>
    <x v="29"/>
    <x v="26"/>
    <x v="34"/>
    <x v="156"/>
    <x v="170"/>
    <x v="30"/>
  </r>
  <r>
    <x v="2"/>
    <x v="0"/>
    <x v="2"/>
    <x v="2"/>
    <x v="8"/>
    <x v="11"/>
    <x v="13"/>
    <x v="11"/>
    <x v="6"/>
    <x v="4"/>
    <x v="145"/>
    <x v="95"/>
    <x v="163"/>
    <x v="12"/>
    <x v="25"/>
    <x v="10"/>
    <x v="17"/>
  </r>
  <r>
    <x v="2"/>
    <x v="0"/>
    <x v="2"/>
    <x v="2"/>
    <x v="9"/>
    <x v="5"/>
    <x v="1"/>
    <x v="1"/>
    <x v="2"/>
    <x v="1"/>
    <x v="4"/>
    <x v="1"/>
    <x v="2"/>
    <x v="162"/>
    <x v="5"/>
    <x v="107"/>
    <x v="6"/>
  </r>
  <r>
    <x v="2"/>
    <x v="0"/>
    <x v="2"/>
    <x v="2"/>
    <x v="10"/>
    <x v="5"/>
    <x v="1"/>
    <x v="1"/>
    <x v="0"/>
    <x v="2"/>
    <x v="2"/>
    <x v="2"/>
    <x v="3"/>
    <x v="3"/>
    <x v="0"/>
    <x v="2"/>
    <x v="0"/>
  </r>
  <r>
    <x v="2"/>
    <x v="0"/>
    <x v="2"/>
    <x v="2"/>
    <x v="11"/>
    <x v="5"/>
    <x v="1"/>
    <x v="1"/>
    <x v="0"/>
    <x v="2"/>
    <x v="2"/>
    <x v="2"/>
    <x v="3"/>
    <x v="1"/>
    <x v="1"/>
    <x v="3"/>
    <x v="1"/>
  </r>
  <r>
    <x v="2"/>
    <x v="0"/>
    <x v="2"/>
    <x v="0"/>
    <x v="24"/>
    <x v="75"/>
    <x v="93"/>
    <x v="105"/>
    <x v="127"/>
    <x v="23"/>
    <x v="146"/>
    <x v="23"/>
    <x v="31"/>
    <x v="14"/>
    <x v="157"/>
    <x v="171"/>
    <x v="175"/>
  </r>
  <r>
    <x v="2"/>
    <x v="0"/>
    <x v="2"/>
    <x v="3"/>
    <x v="1"/>
    <x v="3"/>
    <x v="16"/>
    <x v="5"/>
    <x v="1"/>
    <x v="5"/>
    <x v="11"/>
    <x v="11"/>
    <x v="14"/>
    <x v="13"/>
    <x v="10"/>
    <x v="10"/>
    <x v="17"/>
  </r>
  <r>
    <x v="2"/>
    <x v="0"/>
    <x v="2"/>
    <x v="3"/>
    <x v="2"/>
    <x v="11"/>
    <x v="9"/>
    <x v="11"/>
    <x v="6"/>
    <x v="4"/>
    <x v="145"/>
    <x v="152"/>
    <x v="18"/>
    <x v="12"/>
    <x v="158"/>
    <x v="13"/>
    <x v="11"/>
  </r>
  <r>
    <x v="2"/>
    <x v="0"/>
    <x v="2"/>
    <x v="3"/>
    <x v="3"/>
    <x v="1"/>
    <x v="0"/>
    <x v="2"/>
    <x v="3"/>
    <x v="5"/>
    <x v="11"/>
    <x v="7"/>
    <x v="163"/>
    <x v="10"/>
    <x v="155"/>
    <x v="17"/>
    <x v="174"/>
  </r>
  <r>
    <x v="2"/>
    <x v="0"/>
    <x v="2"/>
    <x v="0"/>
    <x v="25"/>
    <x v="7"/>
    <x v="16"/>
    <x v="0"/>
    <x v="6"/>
    <x v="4"/>
    <x v="147"/>
    <x v="17"/>
    <x v="36"/>
    <x v="163"/>
    <x v="159"/>
    <x v="172"/>
    <x v="176"/>
  </r>
  <r>
    <x v="2"/>
    <x v="0"/>
    <x v="2"/>
    <x v="4"/>
    <x v="4"/>
    <x v="1"/>
    <x v="5"/>
    <x v="5"/>
    <x v="13"/>
    <x v="7"/>
    <x v="13"/>
    <x v="11"/>
    <x v="18"/>
    <x v="15"/>
    <x v="160"/>
    <x v="173"/>
    <x v="177"/>
  </r>
  <r>
    <x v="2"/>
    <x v="0"/>
    <x v="2"/>
    <x v="4"/>
    <x v="5"/>
    <x v="4"/>
    <x v="2"/>
    <x v="4"/>
    <x v="4"/>
    <x v="3"/>
    <x v="1"/>
    <x v="0"/>
    <x v="0"/>
    <x v="162"/>
    <x v="14"/>
    <x v="107"/>
    <x v="8"/>
  </r>
  <r>
    <x v="2"/>
    <x v="0"/>
    <x v="2"/>
    <x v="4"/>
    <x v="6"/>
    <x v="5"/>
    <x v="1"/>
    <x v="1"/>
    <x v="0"/>
    <x v="2"/>
    <x v="4"/>
    <x v="3"/>
    <x v="1"/>
    <x v="2"/>
    <x v="16"/>
    <x v="4"/>
    <x v="9"/>
  </r>
  <r>
    <x v="2"/>
    <x v="1"/>
    <x v="2"/>
    <x v="0"/>
    <x v="26"/>
    <x v="10"/>
    <x v="94"/>
    <x v="104"/>
    <x v="127"/>
    <x v="25"/>
    <x v="24"/>
    <x v="153"/>
    <x v="164"/>
    <x v="24"/>
    <x v="157"/>
    <x v="8"/>
    <x v="173"/>
  </r>
  <r>
    <x v="2"/>
    <x v="1"/>
    <x v="2"/>
    <x v="1"/>
    <x v="1"/>
    <x v="1"/>
    <x v="4"/>
    <x v="5"/>
    <x v="1"/>
    <x v="5"/>
    <x v="11"/>
    <x v="7"/>
    <x v="12"/>
    <x v="23"/>
    <x v="20"/>
    <x v="14"/>
    <x v="33"/>
  </r>
  <r>
    <x v="2"/>
    <x v="1"/>
    <x v="2"/>
    <x v="1"/>
    <x v="2"/>
    <x v="2"/>
    <x v="13"/>
    <x v="11"/>
    <x v="10"/>
    <x v="4"/>
    <x v="16"/>
    <x v="30"/>
    <x v="163"/>
    <x v="15"/>
    <x v="11"/>
    <x v="14"/>
    <x v="33"/>
  </r>
  <r>
    <x v="2"/>
    <x v="1"/>
    <x v="2"/>
    <x v="1"/>
    <x v="3"/>
    <x v="4"/>
    <x v="2"/>
    <x v="2"/>
    <x v="5"/>
    <x v="5"/>
    <x v="11"/>
    <x v="16"/>
    <x v="9"/>
    <x v="12"/>
    <x v="160"/>
    <x v="28"/>
    <x v="174"/>
  </r>
  <r>
    <x v="2"/>
    <x v="1"/>
    <x v="2"/>
    <x v="1"/>
    <x v="4"/>
    <x v="5"/>
    <x v="1"/>
    <x v="4"/>
    <x v="2"/>
    <x v="1"/>
    <x v="4"/>
    <x v="3"/>
    <x v="2"/>
    <x v="2"/>
    <x v="8"/>
    <x v="36"/>
    <x v="103"/>
  </r>
  <r>
    <x v="2"/>
    <x v="1"/>
    <x v="2"/>
    <x v="1"/>
    <x v="5"/>
    <x v="5"/>
    <x v="2"/>
    <x v="4"/>
    <x v="2"/>
    <x v="1"/>
    <x v="4"/>
    <x v="3"/>
    <x v="2"/>
    <x v="2"/>
    <x v="2"/>
    <x v="4"/>
    <x v="9"/>
  </r>
  <r>
    <x v="2"/>
    <x v="1"/>
    <x v="2"/>
    <x v="1"/>
    <x v="6"/>
    <x v="5"/>
    <x v="1"/>
    <x v="1"/>
    <x v="0"/>
    <x v="2"/>
    <x v="2"/>
    <x v="2"/>
    <x v="3"/>
    <x v="1"/>
    <x v="1"/>
    <x v="3"/>
    <x v="1"/>
  </r>
  <r>
    <x v="2"/>
    <x v="1"/>
    <x v="2"/>
    <x v="11"/>
    <x v="1"/>
    <x v="21"/>
    <x v="95"/>
    <x v="106"/>
    <x v="128"/>
    <x v="158"/>
    <x v="26"/>
    <x v="154"/>
    <x v="165"/>
    <x v="164"/>
    <x v="161"/>
    <x v="174"/>
    <x v="178"/>
  </r>
  <r>
    <x v="2"/>
    <x v="1"/>
    <x v="2"/>
    <x v="11"/>
    <x v="2"/>
    <x v="77"/>
    <x v="96"/>
    <x v="107"/>
    <x v="129"/>
    <x v="159"/>
    <x v="148"/>
    <x v="155"/>
    <x v="166"/>
    <x v="25"/>
    <x v="162"/>
    <x v="174"/>
    <x v="178"/>
  </r>
  <r>
    <x v="2"/>
    <x v="1"/>
    <x v="2"/>
    <x v="11"/>
    <x v="3"/>
    <x v="12"/>
    <x v="97"/>
    <x v="108"/>
    <x v="130"/>
    <x v="158"/>
    <x v="26"/>
    <x v="151"/>
    <x v="167"/>
    <x v="6"/>
    <x v="163"/>
    <x v="175"/>
    <x v="179"/>
  </r>
  <r>
    <x v="2"/>
    <x v="1"/>
    <x v="2"/>
    <x v="11"/>
    <x v="4"/>
    <x v="5"/>
    <x v="1"/>
    <x v="109"/>
    <x v="131"/>
    <x v="160"/>
    <x v="149"/>
    <x v="156"/>
    <x v="168"/>
    <x v="165"/>
    <x v="164"/>
    <x v="176"/>
    <x v="180"/>
  </r>
  <r>
    <x v="2"/>
    <x v="1"/>
    <x v="2"/>
    <x v="11"/>
    <x v="5"/>
    <x v="5"/>
    <x v="97"/>
    <x v="109"/>
    <x v="131"/>
    <x v="160"/>
    <x v="149"/>
    <x v="156"/>
    <x v="168"/>
    <x v="165"/>
    <x v="165"/>
    <x v="177"/>
    <x v="181"/>
  </r>
  <r>
    <x v="2"/>
    <x v="1"/>
    <x v="2"/>
    <x v="11"/>
    <x v="6"/>
    <x v="5"/>
    <x v="1"/>
    <x v="1"/>
    <x v="0"/>
    <x v="2"/>
    <x v="2"/>
    <x v="2"/>
    <x v="3"/>
    <x v="1"/>
    <x v="1"/>
    <x v="3"/>
    <x v="1"/>
  </r>
  <r>
    <x v="2"/>
    <x v="1"/>
    <x v="2"/>
    <x v="2"/>
    <x v="7"/>
    <x v="2"/>
    <x v="9"/>
    <x v="18"/>
    <x v="16"/>
    <x v="13"/>
    <x v="15"/>
    <x v="17"/>
    <x v="36"/>
    <x v="34"/>
    <x v="9"/>
    <x v="178"/>
    <x v="30"/>
  </r>
  <r>
    <x v="2"/>
    <x v="1"/>
    <x v="2"/>
    <x v="2"/>
    <x v="8"/>
    <x v="7"/>
    <x v="5"/>
    <x v="11"/>
    <x v="10"/>
    <x v="4"/>
    <x v="145"/>
    <x v="30"/>
    <x v="163"/>
    <x v="15"/>
    <x v="158"/>
    <x v="10"/>
    <x v="17"/>
  </r>
  <r>
    <x v="2"/>
    <x v="1"/>
    <x v="2"/>
    <x v="2"/>
    <x v="9"/>
    <x v="5"/>
    <x v="1"/>
    <x v="1"/>
    <x v="2"/>
    <x v="1"/>
    <x v="4"/>
    <x v="1"/>
    <x v="2"/>
    <x v="5"/>
    <x v="5"/>
    <x v="107"/>
    <x v="6"/>
  </r>
  <r>
    <x v="2"/>
    <x v="1"/>
    <x v="2"/>
    <x v="2"/>
    <x v="10"/>
    <x v="5"/>
    <x v="1"/>
    <x v="1"/>
    <x v="0"/>
    <x v="2"/>
    <x v="2"/>
    <x v="2"/>
    <x v="3"/>
    <x v="3"/>
    <x v="0"/>
    <x v="2"/>
    <x v="0"/>
  </r>
  <r>
    <x v="2"/>
    <x v="1"/>
    <x v="2"/>
    <x v="2"/>
    <x v="11"/>
    <x v="5"/>
    <x v="1"/>
    <x v="1"/>
    <x v="0"/>
    <x v="2"/>
    <x v="2"/>
    <x v="2"/>
    <x v="3"/>
    <x v="1"/>
    <x v="1"/>
    <x v="3"/>
    <x v="1"/>
  </r>
  <r>
    <x v="2"/>
    <x v="1"/>
    <x v="2"/>
    <x v="0"/>
    <x v="27"/>
    <x v="10"/>
    <x v="19"/>
    <x v="105"/>
    <x v="132"/>
    <x v="23"/>
    <x v="150"/>
    <x v="157"/>
    <x v="169"/>
    <x v="28"/>
    <x v="166"/>
    <x v="20"/>
    <x v="175"/>
  </r>
  <r>
    <x v="2"/>
    <x v="1"/>
    <x v="2"/>
    <x v="3"/>
    <x v="1"/>
    <x v="1"/>
    <x v="4"/>
    <x v="5"/>
    <x v="1"/>
    <x v="5"/>
    <x v="11"/>
    <x v="7"/>
    <x v="9"/>
    <x v="13"/>
    <x v="11"/>
    <x v="29"/>
    <x v="17"/>
  </r>
  <r>
    <x v="2"/>
    <x v="1"/>
    <x v="2"/>
    <x v="3"/>
    <x v="2"/>
    <x v="2"/>
    <x v="13"/>
    <x v="11"/>
    <x v="10"/>
    <x v="4"/>
    <x v="16"/>
    <x v="30"/>
    <x v="18"/>
    <x v="12"/>
    <x v="158"/>
    <x v="13"/>
    <x v="11"/>
  </r>
  <r>
    <x v="2"/>
    <x v="1"/>
    <x v="2"/>
    <x v="3"/>
    <x v="3"/>
    <x v="4"/>
    <x v="2"/>
    <x v="2"/>
    <x v="5"/>
    <x v="5"/>
    <x v="11"/>
    <x v="16"/>
    <x v="9"/>
    <x v="12"/>
    <x v="160"/>
    <x v="28"/>
    <x v="174"/>
  </r>
  <r>
    <x v="2"/>
    <x v="1"/>
    <x v="2"/>
    <x v="12"/>
    <x v="1"/>
    <x v="21"/>
    <x v="98"/>
    <x v="110"/>
    <x v="37"/>
    <x v="161"/>
    <x v="151"/>
    <x v="158"/>
    <x v="170"/>
    <x v="166"/>
    <x v="167"/>
    <x v="179"/>
    <x v="182"/>
  </r>
  <r>
    <x v="2"/>
    <x v="1"/>
    <x v="2"/>
    <x v="12"/>
    <x v="2"/>
    <x v="77"/>
    <x v="30"/>
    <x v="15"/>
    <x v="133"/>
    <x v="162"/>
    <x v="152"/>
    <x v="159"/>
    <x v="171"/>
    <x v="167"/>
    <x v="168"/>
    <x v="180"/>
    <x v="183"/>
  </r>
  <r>
    <x v="2"/>
    <x v="1"/>
    <x v="2"/>
    <x v="12"/>
    <x v="3"/>
    <x v="12"/>
    <x v="99"/>
    <x v="111"/>
    <x v="134"/>
    <x v="161"/>
    <x v="151"/>
    <x v="160"/>
    <x v="170"/>
    <x v="167"/>
    <x v="169"/>
    <x v="181"/>
    <x v="184"/>
  </r>
  <r>
    <x v="2"/>
    <x v="1"/>
    <x v="2"/>
    <x v="0"/>
    <x v="28"/>
    <x v="1"/>
    <x v="4"/>
    <x v="0"/>
    <x v="13"/>
    <x v="4"/>
    <x v="145"/>
    <x v="95"/>
    <x v="20"/>
    <x v="168"/>
    <x v="156"/>
    <x v="182"/>
    <x v="176"/>
  </r>
  <r>
    <x v="2"/>
    <x v="1"/>
    <x v="2"/>
    <x v="4"/>
    <x v="4"/>
    <x v="1"/>
    <x v="0"/>
    <x v="5"/>
    <x v="1"/>
    <x v="7"/>
    <x v="11"/>
    <x v="7"/>
    <x v="14"/>
    <x v="15"/>
    <x v="25"/>
    <x v="173"/>
    <x v="177"/>
  </r>
  <r>
    <x v="2"/>
    <x v="1"/>
    <x v="2"/>
    <x v="4"/>
    <x v="5"/>
    <x v="5"/>
    <x v="2"/>
    <x v="4"/>
    <x v="2"/>
    <x v="3"/>
    <x v="1"/>
    <x v="1"/>
    <x v="4"/>
    <x v="162"/>
    <x v="14"/>
    <x v="19"/>
    <x v="8"/>
  </r>
  <r>
    <x v="2"/>
    <x v="1"/>
    <x v="2"/>
    <x v="4"/>
    <x v="6"/>
    <x v="5"/>
    <x v="1"/>
    <x v="1"/>
    <x v="0"/>
    <x v="2"/>
    <x v="4"/>
    <x v="3"/>
    <x v="1"/>
    <x v="3"/>
    <x v="16"/>
    <x v="4"/>
    <x v="9"/>
  </r>
  <r>
    <x v="2"/>
    <x v="1"/>
    <x v="2"/>
    <x v="13"/>
    <x v="4"/>
    <x v="4"/>
    <x v="100"/>
    <x v="112"/>
    <x v="39"/>
    <x v="35"/>
    <x v="5"/>
    <x v="161"/>
    <x v="172"/>
    <x v="169"/>
    <x v="170"/>
    <x v="183"/>
    <x v="185"/>
  </r>
  <r>
    <x v="2"/>
    <x v="1"/>
    <x v="2"/>
    <x v="13"/>
    <x v="5"/>
    <x v="5"/>
    <x v="7"/>
    <x v="13"/>
    <x v="31"/>
    <x v="158"/>
    <x v="153"/>
    <x v="18"/>
    <x v="173"/>
    <x v="6"/>
    <x v="171"/>
    <x v="184"/>
    <x v="186"/>
  </r>
  <r>
    <x v="2"/>
    <x v="1"/>
    <x v="2"/>
    <x v="13"/>
    <x v="6"/>
    <x v="5"/>
    <x v="1"/>
    <x v="1"/>
    <x v="0"/>
    <x v="2"/>
    <x v="154"/>
    <x v="162"/>
    <x v="174"/>
    <x v="165"/>
    <x v="172"/>
    <x v="112"/>
    <x v="187"/>
  </r>
  <r>
    <x v="2"/>
    <x v="1"/>
    <x v="2"/>
    <x v="0"/>
    <x v="29"/>
    <x v="2"/>
    <x v="10"/>
    <x v="7"/>
    <x v="21"/>
    <x v="163"/>
    <x v="12"/>
    <x v="22"/>
    <x v="175"/>
    <x v="170"/>
    <x v="173"/>
    <x v="185"/>
    <x v="188"/>
  </r>
  <r>
    <x v="2"/>
    <x v="1"/>
    <x v="2"/>
    <x v="0"/>
    <x v="30"/>
    <x v="7"/>
    <x v="4"/>
    <x v="6"/>
    <x v="5"/>
    <x v="7"/>
    <x v="11"/>
    <x v="7"/>
    <x v="163"/>
    <x v="15"/>
    <x v="158"/>
    <x v="29"/>
    <x v="11"/>
  </r>
  <r>
    <x v="2"/>
    <x v="1"/>
    <x v="2"/>
    <x v="0"/>
    <x v="31"/>
    <x v="5"/>
    <x v="1"/>
    <x v="1"/>
    <x v="0"/>
    <x v="2"/>
    <x v="2"/>
    <x v="2"/>
    <x v="3"/>
    <x v="3"/>
    <x v="0"/>
    <x v="2"/>
    <x v="0"/>
  </r>
  <r>
    <x v="2"/>
    <x v="1"/>
    <x v="2"/>
    <x v="14"/>
    <x v="7"/>
    <x v="7"/>
    <x v="16"/>
    <x v="11"/>
    <x v="10"/>
    <x v="6"/>
    <x v="16"/>
    <x v="11"/>
    <x v="14"/>
    <x v="15"/>
    <x v="10"/>
    <x v="29"/>
    <x v="17"/>
  </r>
  <r>
    <x v="2"/>
    <x v="1"/>
    <x v="2"/>
    <x v="14"/>
    <x v="8"/>
    <x v="1"/>
    <x v="4"/>
    <x v="0"/>
    <x v="13"/>
    <x v="7"/>
    <x v="13"/>
    <x v="7"/>
    <x v="9"/>
    <x v="23"/>
    <x v="20"/>
    <x v="25"/>
    <x v="14"/>
  </r>
  <r>
    <x v="2"/>
    <x v="1"/>
    <x v="2"/>
    <x v="14"/>
    <x v="9"/>
    <x v="5"/>
    <x v="1"/>
    <x v="1"/>
    <x v="2"/>
    <x v="1"/>
    <x v="4"/>
    <x v="1"/>
    <x v="2"/>
    <x v="5"/>
    <x v="97"/>
    <x v="19"/>
    <x v="8"/>
  </r>
  <r>
    <x v="2"/>
    <x v="1"/>
    <x v="2"/>
    <x v="14"/>
    <x v="10"/>
    <x v="5"/>
    <x v="1"/>
    <x v="1"/>
    <x v="0"/>
    <x v="2"/>
    <x v="2"/>
    <x v="2"/>
    <x v="3"/>
    <x v="1"/>
    <x v="1"/>
    <x v="3"/>
    <x v="1"/>
  </r>
  <r>
    <x v="2"/>
    <x v="1"/>
    <x v="2"/>
    <x v="14"/>
    <x v="11"/>
    <x v="5"/>
    <x v="1"/>
    <x v="1"/>
    <x v="0"/>
    <x v="2"/>
    <x v="2"/>
    <x v="2"/>
    <x v="3"/>
    <x v="1"/>
    <x v="1"/>
    <x v="3"/>
    <x v="1"/>
  </r>
  <r>
    <x v="2"/>
    <x v="1"/>
    <x v="2"/>
    <x v="15"/>
    <x v="7"/>
    <x v="1"/>
    <x v="0"/>
    <x v="2"/>
    <x v="4"/>
    <x v="12"/>
    <x v="0"/>
    <x v="14"/>
    <x v="9"/>
    <x v="23"/>
    <x v="6"/>
    <x v="9"/>
    <x v="6"/>
  </r>
  <r>
    <x v="2"/>
    <x v="1"/>
    <x v="2"/>
    <x v="15"/>
    <x v="8"/>
    <x v="4"/>
    <x v="2"/>
    <x v="4"/>
    <x v="2"/>
    <x v="3"/>
    <x v="1"/>
    <x v="1"/>
    <x v="2"/>
    <x v="2"/>
    <x v="16"/>
    <x v="4"/>
    <x v="2"/>
  </r>
  <r>
    <x v="2"/>
    <x v="1"/>
    <x v="2"/>
    <x v="15"/>
    <x v="9"/>
    <x v="5"/>
    <x v="1"/>
    <x v="1"/>
    <x v="0"/>
    <x v="2"/>
    <x v="2"/>
    <x v="2"/>
    <x v="3"/>
    <x v="1"/>
    <x v="0"/>
    <x v="2"/>
    <x v="0"/>
  </r>
  <r>
    <x v="2"/>
    <x v="1"/>
    <x v="2"/>
    <x v="15"/>
    <x v="10"/>
    <x v="5"/>
    <x v="1"/>
    <x v="1"/>
    <x v="0"/>
    <x v="2"/>
    <x v="2"/>
    <x v="2"/>
    <x v="3"/>
    <x v="1"/>
    <x v="1"/>
    <x v="3"/>
    <x v="1"/>
  </r>
  <r>
    <x v="2"/>
    <x v="1"/>
    <x v="2"/>
    <x v="15"/>
    <x v="11"/>
    <x v="5"/>
    <x v="1"/>
    <x v="1"/>
    <x v="0"/>
    <x v="2"/>
    <x v="2"/>
    <x v="2"/>
    <x v="3"/>
    <x v="1"/>
    <x v="1"/>
    <x v="3"/>
    <x v="1"/>
  </r>
  <r>
    <x v="2"/>
    <x v="1"/>
    <x v="2"/>
    <x v="16"/>
    <x v="7"/>
    <x v="5"/>
    <x v="1"/>
    <x v="1"/>
    <x v="0"/>
    <x v="2"/>
    <x v="2"/>
    <x v="2"/>
    <x v="3"/>
    <x v="1"/>
    <x v="1"/>
    <x v="3"/>
    <x v="1"/>
  </r>
  <r>
    <x v="2"/>
    <x v="1"/>
    <x v="2"/>
    <x v="16"/>
    <x v="8"/>
    <x v="5"/>
    <x v="1"/>
    <x v="1"/>
    <x v="0"/>
    <x v="2"/>
    <x v="2"/>
    <x v="2"/>
    <x v="3"/>
    <x v="1"/>
    <x v="1"/>
    <x v="3"/>
    <x v="1"/>
  </r>
  <r>
    <x v="2"/>
    <x v="1"/>
    <x v="2"/>
    <x v="16"/>
    <x v="9"/>
    <x v="5"/>
    <x v="1"/>
    <x v="1"/>
    <x v="0"/>
    <x v="2"/>
    <x v="2"/>
    <x v="2"/>
    <x v="3"/>
    <x v="1"/>
    <x v="1"/>
    <x v="3"/>
    <x v="1"/>
  </r>
  <r>
    <x v="2"/>
    <x v="1"/>
    <x v="2"/>
    <x v="16"/>
    <x v="10"/>
    <x v="5"/>
    <x v="1"/>
    <x v="1"/>
    <x v="0"/>
    <x v="2"/>
    <x v="2"/>
    <x v="2"/>
    <x v="3"/>
    <x v="3"/>
    <x v="0"/>
    <x v="2"/>
    <x v="0"/>
  </r>
  <r>
    <x v="2"/>
    <x v="1"/>
    <x v="2"/>
    <x v="16"/>
    <x v="11"/>
    <x v="5"/>
    <x v="1"/>
    <x v="1"/>
    <x v="0"/>
    <x v="2"/>
    <x v="2"/>
    <x v="2"/>
    <x v="3"/>
    <x v="1"/>
    <x v="1"/>
    <x v="3"/>
    <x v="1"/>
  </r>
  <r>
    <x v="2"/>
    <x v="1"/>
    <x v="3"/>
    <x v="0"/>
    <x v="32"/>
    <x v="78"/>
    <x v="101"/>
    <x v="4"/>
    <x v="135"/>
    <x v="1"/>
    <x v="155"/>
    <x v="32"/>
    <x v="176"/>
    <x v="171"/>
    <x v="174"/>
    <x v="186"/>
    <x v="0"/>
  </r>
  <r>
    <x v="2"/>
    <x v="1"/>
    <x v="3"/>
    <x v="3"/>
    <x v="1"/>
    <x v="22"/>
    <x v="30"/>
    <x v="4"/>
    <x v="2"/>
    <x v="1"/>
    <x v="4"/>
    <x v="3"/>
    <x v="177"/>
    <x v="3"/>
    <x v="0"/>
    <x v="187"/>
    <x v="0"/>
  </r>
  <r>
    <x v="2"/>
    <x v="1"/>
    <x v="3"/>
    <x v="3"/>
    <x v="2"/>
    <x v="79"/>
    <x v="102"/>
    <x v="4"/>
    <x v="136"/>
    <x v="1"/>
    <x v="4"/>
    <x v="163"/>
    <x v="1"/>
    <x v="3"/>
    <x v="0"/>
    <x v="2"/>
    <x v="0"/>
  </r>
  <r>
    <x v="2"/>
    <x v="1"/>
    <x v="3"/>
    <x v="3"/>
    <x v="3"/>
    <x v="22"/>
    <x v="22"/>
    <x v="4"/>
    <x v="14"/>
    <x v="1"/>
    <x v="4"/>
    <x v="32"/>
    <x v="178"/>
    <x v="172"/>
    <x v="33"/>
    <x v="46"/>
    <x v="0"/>
  </r>
  <r>
    <x v="2"/>
    <x v="1"/>
    <x v="3"/>
    <x v="4"/>
    <x v="4"/>
    <x v="24"/>
    <x v="27"/>
    <x v="4"/>
    <x v="2"/>
    <x v="1"/>
    <x v="7"/>
    <x v="26"/>
    <x v="1"/>
    <x v="3"/>
    <x v="175"/>
    <x v="2"/>
    <x v="0"/>
  </r>
  <r>
    <x v="2"/>
    <x v="1"/>
    <x v="3"/>
    <x v="4"/>
    <x v="5"/>
    <x v="5"/>
    <x v="2"/>
    <x v="4"/>
    <x v="2"/>
    <x v="1"/>
    <x v="4"/>
    <x v="26"/>
    <x v="1"/>
    <x v="3"/>
    <x v="0"/>
    <x v="2"/>
    <x v="0"/>
  </r>
  <r>
    <x v="2"/>
    <x v="1"/>
    <x v="3"/>
    <x v="4"/>
    <x v="6"/>
    <x v="24"/>
    <x v="27"/>
    <x v="27"/>
    <x v="33"/>
    <x v="31"/>
    <x v="35"/>
    <x v="34"/>
    <x v="40"/>
    <x v="38"/>
    <x v="35"/>
    <x v="40"/>
    <x v="38"/>
  </r>
  <r>
    <x v="2"/>
    <x v="1"/>
    <x v="3"/>
    <x v="2"/>
    <x v="7"/>
    <x v="17"/>
    <x v="103"/>
    <x v="4"/>
    <x v="137"/>
    <x v="1"/>
    <x v="34"/>
    <x v="164"/>
    <x v="179"/>
    <x v="3"/>
    <x v="176"/>
    <x v="44"/>
    <x v="0"/>
  </r>
  <r>
    <x v="2"/>
    <x v="1"/>
    <x v="3"/>
    <x v="2"/>
    <x v="8"/>
    <x v="22"/>
    <x v="100"/>
    <x v="4"/>
    <x v="136"/>
    <x v="1"/>
    <x v="4"/>
    <x v="163"/>
    <x v="1"/>
    <x v="173"/>
    <x v="177"/>
    <x v="2"/>
    <x v="0"/>
  </r>
  <r>
    <x v="2"/>
    <x v="1"/>
    <x v="3"/>
    <x v="2"/>
    <x v="9"/>
    <x v="24"/>
    <x v="27"/>
    <x v="27"/>
    <x v="2"/>
    <x v="1"/>
    <x v="4"/>
    <x v="3"/>
    <x v="1"/>
    <x v="7"/>
    <x v="0"/>
    <x v="2"/>
    <x v="0"/>
  </r>
  <r>
    <x v="2"/>
    <x v="1"/>
    <x v="3"/>
    <x v="2"/>
    <x v="10"/>
    <x v="24"/>
    <x v="27"/>
    <x v="27"/>
    <x v="33"/>
    <x v="31"/>
    <x v="35"/>
    <x v="34"/>
    <x v="40"/>
    <x v="3"/>
    <x v="0"/>
    <x v="2"/>
    <x v="0"/>
  </r>
  <r>
    <x v="2"/>
    <x v="1"/>
    <x v="3"/>
    <x v="2"/>
    <x v="11"/>
    <x v="24"/>
    <x v="27"/>
    <x v="27"/>
    <x v="33"/>
    <x v="31"/>
    <x v="35"/>
    <x v="34"/>
    <x v="40"/>
    <x v="38"/>
    <x v="35"/>
    <x v="40"/>
    <x v="38"/>
  </r>
  <r>
    <x v="2"/>
    <x v="1"/>
    <x v="3"/>
    <x v="0"/>
    <x v="33"/>
    <x v="61"/>
    <x v="104"/>
    <x v="4"/>
    <x v="138"/>
    <x v="1"/>
    <x v="156"/>
    <x v="165"/>
    <x v="180"/>
    <x v="43"/>
    <x v="178"/>
    <x v="188"/>
    <x v="0"/>
  </r>
  <r>
    <x v="2"/>
    <x v="1"/>
    <x v="3"/>
    <x v="3"/>
    <x v="1"/>
    <x v="22"/>
    <x v="30"/>
    <x v="4"/>
    <x v="2"/>
    <x v="1"/>
    <x v="4"/>
    <x v="37"/>
    <x v="44"/>
    <x v="3"/>
    <x v="36"/>
    <x v="189"/>
    <x v="0"/>
  </r>
  <r>
    <x v="2"/>
    <x v="1"/>
    <x v="3"/>
    <x v="3"/>
    <x v="2"/>
    <x v="79"/>
    <x v="102"/>
    <x v="4"/>
    <x v="136"/>
    <x v="1"/>
    <x v="157"/>
    <x v="166"/>
    <x v="1"/>
    <x v="3"/>
    <x v="0"/>
    <x v="2"/>
    <x v="0"/>
  </r>
  <r>
    <x v="2"/>
    <x v="1"/>
    <x v="3"/>
    <x v="3"/>
    <x v="3"/>
    <x v="22"/>
    <x v="22"/>
    <x v="4"/>
    <x v="14"/>
    <x v="1"/>
    <x v="4"/>
    <x v="32"/>
    <x v="178"/>
    <x v="172"/>
    <x v="33"/>
    <x v="46"/>
    <x v="0"/>
  </r>
  <r>
    <x v="2"/>
    <x v="1"/>
    <x v="3"/>
    <x v="0"/>
    <x v="34"/>
    <x v="61"/>
    <x v="30"/>
    <x v="4"/>
    <x v="14"/>
    <x v="1"/>
    <x v="158"/>
    <x v="167"/>
    <x v="181"/>
    <x v="174"/>
    <x v="179"/>
    <x v="190"/>
    <x v="0"/>
  </r>
  <r>
    <x v="2"/>
    <x v="1"/>
    <x v="3"/>
    <x v="4"/>
    <x v="4"/>
    <x v="4"/>
    <x v="22"/>
    <x v="4"/>
    <x v="39"/>
    <x v="1"/>
    <x v="101"/>
    <x v="37"/>
    <x v="46"/>
    <x v="3"/>
    <x v="180"/>
    <x v="2"/>
    <x v="0"/>
  </r>
  <r>
    <x v="2"/>
    <x v="1"/>
    <x v="3"/>
    <x v="4"/>
    <x v="5"/>
    <x v="5"/>
    <x v="2"/>
    <x v="4"/>
    <x v="24"/>
    <x v="1"/>
    <x v="4"/>
    <x v="26"/>
    <x v="178"/>
    <x v="3"/>
    <x v="0"/>
    <x v="47"/>
    <x v="0"/>
  </r>
  <r>
    <x v="2"/>
    <x v="1"/>
    <x v="3"/>
    <x v="4"/>
    <x v="6"/>
    <x v="24"/>
    <x v="27"/>
    <x v="27"/>
    <x v="33"/>
    <x v="31"/>
    <x v="4"/>
    <x v="3"/>
    <x v="1"/>
    <x v="105"/>
    <x v="0"/>
    <x v="2"/>
    <x v="0"/>
  </r>
  <r>
    <x v="2"/>
    <x v="1"/>
    <x v="4"/>
    <x v="0"/>
    <x v="14"/>
    <x v="80"/>
    <x v="105"/>
    <x v="113"/>
    <x v="139"/>
    <x v="164"/>
    <x v="159"/>
    <x v="168"/>
    <x v="182"/>
    <x v="175"/>
    <x v="181"/>
    <x v="191"/>
    <x v="189"/>
  </r>
  <r>
    <x v="2"/>
    <x v="1"/>
    <x v="4"/>
    <x v="1"/>
    <x v="1"/>
    <x v="81"/>
    <x v="106"/>
    <x v="114"/>
    <x v="0"/>
    <x v="2"/>
    <x v="160"/>
    <x v="169"/>
    <x v="3"/>
    <x v="176"/>
    <x v="182"/>
    <x v="192"/>
    <x v="190"/>
  </r>
  <r>
    <x v="2"/>
    <x v="1"/>
    <x v="4"/>
    <x v="1"/>
    <x v="2"/>
    <x v="82"/>
    <x v="107"/>
    <x v="115"/>
    <x v="0"/>
    <x v="165"/>
    <x v="2"/>
    <x v="170"/>
    <x v="183"/>
    <x v="177"/>
    <x v="1"/>
    <x v="3"/>
    <x v="191"/>
  </r>
  <r>
    <x v="2"/>
    <x v="1"/>
    <x v="4"/>
    <x v="1"/>
    <x v="3"/>
    <x v="83"/>
    <x v="1"/>
    <x v="116"/>
    <x v="139"/>
    <x v="166"/>
    <x v="161"/>
    <x v="2"/>
    <x v="184"/>
    <x v="178"/>
    <x v="183"/>
    <x v="193"/>
    <x v="192"/>
  </r>
  <r>
    <x v="2"/>
    <x v="1"/>
    <x v="4"/>
    <x v="1"/>
    <x v="4"/>
    <x v="5"/>
    <x v="1"/>
    <x v="117"/>
    <x v="0"/>
    <x v="2"/>
    <x v="2"/>
    <x v="2"/>
    <x v="185"/>
    <x v="1"/>
    <x v="184"/>
    <x v="194"/>
    <x v="1"/>
  </r>
  <r>
    <x v="2"/>
    <x v="1"/>
    <x v="4"/>
    <x v="1"/>
    <x v="5"/>
    <x v="5"/>
    <x v="108"/>
    <x v="1"/>
    <x v="0"/>
    <x v="2"/>
    <x v="2"/>
    <x v="2"/>
    <x v="186"/>
    <x v="1"/>
    <x v="1"/>
    <x v="195"/>
    <x v="193"/>
  </r>
  <r>
    <x v="2"/>
    <x v="1"/>
    <x v="4"/>
    <x v="1"/>
    <x v="6"/>
    <x v="5"/>
    <x v="1"/>
    <x v="1"/>
    <x v="0"/>
    <x v="2"/>
    <x v="2"/>
    <x v="2"/>
    <x v="3"/>
    <x v="1"/>
    <x v="1"/>
    <x v="3"/>
    <x v="1"/>
  </r>
  <r>
    <x v="2"/>
    <x v="1"/>
    <x v="4"/>
    <x v="2"/>
    <x v="7"/>
    <x v="84"/>
    <x v="109"/>
    <x v="118"/>
    <x v="0"/>
    <x v="166"/>
    <x v="161"/>
    <x v="170"/>
    <x v="187"/>
    <x v="179"/>
    <x v="185"/>
    <x v="196"/>
    <x v="194"/>
  </r>
  <r>
    <x v="2"/>
    <x v="1"/>
    <x v="4"/>
    <x v="2"/>
    <x v="8"/>
    <x v="85"/>
    <x v="106"/>
    <x v="119"/>
    <x v="0"/>
    <x v="165"/>
    <x v="160"/>
    <x v="2"/>
    <x v="188"/>
    <x v="180"/>
    <x v="186"/>
    <x v="197"/>
    <x v="193"/>
  </r>
  <r>
    <x v="2"/>
    <x v="1"/>
    <x v="4"/>
    <x v="2"/>
    <x v="9"/>
    <x v="5"/>
    <x v="1"/>
    <x v="1"/>
    <x v="139"/>
    <x v="2"/>
    <x v="2"/>
    <x v="169"/>
    <x v="3"/>
    <x v="181"/>
    <x v="187"/>
    <x v="3"/>
    <x v="195"/>
  </r>
  <r>
    <x v="2"/>
    <x v="1"/>
    <x v="4"/>
    <x v="2"/>
    <x v="10"/>
    <x v="5"/>
    <x v="1"/>
    <x v="1"/>
    <x v="0"/>
    <x v="2"/>
    <x v="2"/>
    <x v="2"/>
    <x v="3"/>
    <x v="182"/>
    <x v="1"/>
    <x v="3"/>
    <x v="1"/>
  </r>
  <r>
    <x v="2"/>
    <x v="1"/>
    <x v="4"/>
    <x v="2"/>
    <x v="11"/>
    <x v="5"/>
    <x v="1"/>
    <x v="1"/>
    <x v="0"/>
    <x v="2"/>
    <x v="2"/>
    <x v="2"/>
    <x v="3"/>
    <x v="1"/>
    <x v="1"/>
    <x v="3"/>
    <x v="1"/>
  </r>
  <r>
    <x v="2"/>
    <x v="1"/>
    <x v="5"/>
    <x v="0"/>
    <x v="14"/>
    <x v="86"/>
    <x v="110"/>
    <x v="120"/>
    <x v="140"/>
    <x v="167"/>
    <x v="162"/>
    <x v="171"/>
    <x v="189"/>
    <x v="183"/>
    <x v="188"/>
    <x v="198"/>
    <x v="196"/>
  </r>
  <r>
    <x v="2"/>
    <x v="1"/>
    <x v="5"/>
    <x v="1"/>
    <x v="1"/>
    <x v="87"/>
    <x v="106"/>
    <x v="121"/>
    <x v="0"/>
    <x v="2"/>
    <x v="163"/>
    <x v="172"/>
    <x v="3"/>
    <x v="184"/>
    <x v="189"/>
    <x v="199"/>
    <x v="197"/>
  </r>
  <r>
    <x v="2"/>
    <x v="1"/>
    <x v="5"/>
    <x v="1"/>
    <x v="2"/>
    <x v="88"/>
    <x v="111"/>
    <x v="122"/>
    <x v="0"/>
    <x v="168"/>
    <x v="2"/>
    <x v="173"/>
    <x v="190"/>
    <x v="185"/>
    <x v="1"/>
    <x v="3"/>
    <x v="198"/>
  </r>
  <r>
    <x v="2"/>
    <x v="1"/>
    <x v="5"/>
    <x v="1"/>
    <x v="3"/>
    <x v="89"/>
    <x v="1"/>
    <x v="123"/>
    <x v="140"/>
    <x v="169"/>
    <x v="164"/>
    <x v="2"/>
    <x v="191"/>
    <x v="186"/>
    <x v="190"/>
    <x v="200"/>
    <x v="199"/>
  </r>
  <r>
    <x v="2"/>
    <x v="1"/>
    <x v="5"/>
    <x v="1"/>
    <x v="4"/>
    <x v="5"/>
    <x v="1"/>
    <x v="117"/>
    <x v="0"/>
    <x v="2"/>
    <x v="2"/>
    <x v="2"/>
    <x v="185"/>
    <x v="1"/>
    <x v="191"/>
    <x v="201"/>
    <x v="1"/>
  </r>
  <r>
    <x v="2"/>
    <x v="1"/>
    <x v="5"/>
    <x v="1"/>
    <x v="5"/>
    <x v="5"/>
    <x v="108"/>
    <x v="1"/>
    <x v="0"/>
    <x v="2"/>
    <x v="2"/>
    <x v="2"/>
    <x v="192"/>
    <x v="1"/>
    <x v="1"/>
    <x v="195"/>
    <x v="193"/>
  </r>
  <r>
    <x v="2"/>
    <x v="1"/>
    <x v="5"/>
    <x v="1"/>
    <x v="6"/>
    <x v="5"/>
    <x v="1"/>
    <x v="1"/>
    <x v="0"/>
    <x v="2"/>
    <x v="2"/>
    <x v="2"/>
    <x v="3"/>
    <x v="1"/>
    <x v="1"/>
    <x v="3"/>
    <x v="1"/>
  </r>
  <r>
    <x v="2"/>
    <x v="1"/>
    <x v="5"/>
    <x v="2"/>
    <x v="7"/>
    <x v="90"/>
    <x v="112"/>
    <x v="124"/>
    <x v="0"/>
    <x v="169"/>
    <x v="164"/>
    <x v="173"/>
    <x v="193"/>
    <x v="187"/>
    <x v="192"/>
    <x v="202"/>
    <x v="200"/>
  </r>
  <r>
    <x v="2"/>
    <x v="1"/>
    <x v="5"/>
    <x v="2"/>
    <x v="8"/>
    <x v="91"/>
    <x v="106"/>
    <x v="125"/>
    <x v="0"/>
    <x v="168"/>
    <x v="163"/>
    <x v="2"/>
    <x v="194"/>
    <x v="188"/>
    <x v="193"/>
    <x v="203"/>
    <x v="193"/>
  </r>
  <r>
    <x v="2"/>
    <x v="1"/>
    <x v="5"/>
    <x v="2"/>
    <x v="9"/>
    <x v="5"/>
    <x v="1"/>
    <x v="1"/>
    <x v="140"/>
    <x v="2"/>
    <x v="2"/>
    <x v="172"/>
    <x v="3"/>
    <x v="189"/>
    <x v="194"/>
    <x v="3"/>
    <x v="201"/>
  </r>
  <r>
    <x v="2"/>
    <x v="1"/>
    <x v="5"/>
    <x v="2"/>
    <x v="10"/>
    <x v="5"/>
    <x v="1"/>
    <x v="1"/>
    <x v="0"/>
    <x v="2"/>
    <x v="2"/>
    <x v="2"/>
    <x v="3"/>
    <x v="190"/>
    <x v="1"/>
    <x v="3"/>
    <x v="1"/>
  </r>
  <r>
    <x v="2"/>
    <x v="1"/>
    <x v="5"/>
    <x v="2"/>
    <x v="11"/>
    <x v="5"/>
    <x v="1"/>
    <x v="1"/>
    <x v="0"/>
    <x v="2"/>
    <x v="2"/>
    <x v="2"/>
    <x v="3"/>
    <x v="1"/>
    <x v="1"/>
    <x v="3"/>
    <x v="1"/>
  </r>
  <r>
    <x v="2"/>
    <x v="1"/>
    <x v="4"/>
    <x v="0"/>
    <x v="35"/>
    <x v="92"/>
    <x v="113"/>
    <x v="126"/>
    <x v="141"/>
    <x v="2"/>
    <x v="165"/>
    <x v="174"/>
    <x v="195"/>
    <x v="191"/>
    <x v="195"/>
    <x v="204"/>
    <x v="202"/>
  </r>
  <r>
    <x v="2"/>
    <x v="1"/>
    <x v="4"/>
    <x v="0"/>
    <x v="36"/>
    <x v="93"/>
    <x v="1"/>
    <x v="1"/>
    <x v="0"/>
    <x v="170"/>
    <x v="2"/>
    <x v="175"/>
    <x v="196"/>
    <x v="192"/>
    <x v="196"/>
    <x v="205"/>
    <x v="1"/>
  </r>
  <r>
    <x v="2"/>
    <x v="1"/>
    <x v="4"/>
    <x v="0"/>
    <x v="37"/>
    <x v="5"/>
    <x v="1"/>
    <x v="1"/>
    <x v="0"/>
    <x v="2"/>
    <x v="2"/>
    <x v="2"/>
    <x v="3"/>
    <x v="1"/>
    <x v="1"/>
    <x v="3"/>
    <x v="1"/>
  </r>
  <r>
    <x v="2"/>
    <x v="1"/>
    <x v="4"/>
    <x v="5"/>
    <x v="7"/>
    <x v="94"/>
    <x v="114"/>
    <x v="127"/>
    <x v="0"/>
    <x v="2"/>
    <x v="166"/>
    <x v="2"/>
    <x v="197"/>
    <x v="193"/>
    <x v="197"/>
    <x v="206"/>
    <x v="203"/>
  </r>
  <r>
    <x v="2"/>
    <x v="1"/>
    <x v="4"/>
    <x v="5"/>
    <x v="8"/>
    <x v="95"/>
    <x v="115"/>
    <x v="128"/>
    <x v="0"/>
    <x v="2"/>
    <x v="167"/>
    <x v="2"/>
    <x v="198"/>
    <x v="194"/>
    <x v="198"/>
    <x v="207"/>
    <x v="204"/>
  </r>
  <r>
    <x v="2"/>
    <x v="1"/>
    <x v="4"/>
    <x v="5"/>
    <x v="9"/>
    <x v="5"/>
    <x v="1"/>
    <x v="1"/>
    <x v="141"/>
    <x v="2"/>
    <x v="2"/>
    <x v="174"/>
    <x v="3"/>
    <x v="195"/>
    <x v="199"/>
    <x v="3"/>
    <x v="205"/>
  </r>
  <r>
    <x v="2"/>
    <x v="1"/>
    <x v="4"/>
    <x v="5"/>
    <x v="10"/>
    <x v="5"/>
    <x v="1"/>
    <x v="1"/>
    <x v="0"/>
    <x v="2"/>
    <x v="2"/>
    <x v="2"/>
    <x v="3"/>
    <x v="1"/>
    <x v="1"/>
    <x v="3"/>
    <x v="1"/>
  </r>
  <r>
    <x v="2"/>
    <x v="1"/>
    <x v="4"/>
    <x v="5"/>
    <x v="11"/>
    <x v="5"/>
    <x v="1"/>
    <x v="1"/>
    <x v="0"/>
    <x v="2"/>
    <x v="2"/>
    <x v="2"/>
    <x v="3"/>
    <x v="1"/>
    <x v="1"/>
    <x v="3"/>
    <x v="1"/>
  </r>
  <r>
    <x v="2"/>
    <x v="1"/>
    <x v="4"/>
    <x v="6"/>
    <x v="7"/>
    <x v="96"/>
    <x v="1"/>
    <x v="1"/>
    <x v="0"/>
    <x v="171"/>
    <x v="2"/>
    <x v="175"/>
    <x v="196"/>
    <x v="192"/>
    <x v="1"/>
    <x v="205"/>
    <x v="1"/>
  </r>
  <r>
    <x v="2"/>
    <x v="1"/>
    <x v="4"/>
    <x v="6"/>
    <x v="8"/>
    <x v="97"/>
    <x v="1"/>
    <x v="1"/>
    <x v="0"/>
    <x v="172"/>
    <x v="2"/>
    <x v="2"/>
    <x v="3"/>
    <x v="1"/>
    <x v="200"/>
    <x v="3"/>
    <x v="1"/>
  </r>
  <r>
    <x v="2"/>
    <x v="1"/>
    <x v="4"/>
    <x v="6"/>
    <x v="9"/>
    <x v="5"/>
    <x v="1"/>
    <x v="1"/>
    <x v="0"/>
    <x v="2"/>
    <x v="2"/>
    <x v="2"/>
    <x v="3"/>
    <x v="1"/>
    <x v="201"/>
    <x v="3"/>
    <x v="1"/>
  </r>
  <r>
    <x v="2"/>
    <x v="1"/>
    <x v="4"/>
    <x v="6"/>
    <x v="10"/>
    <x v="5"/>
    <x v="1"/>
    <x v="1"/>
    <x v="0"/>
    <x v="2"/>
    <x v="2"/>
    <x v="2"/>
    <x v="3"/>
    <x v="1"/>
    <x v="1"/>
    <x v="3"/>
    <x v="1"/>
  </r>
  <r>
    <x v="2"/>
    <x v="1"/>
    <x v="4"/>
    <x v="6"/>
    <x v="11"/>
    <x v="5"/>
    <x v="1"/>
    <x v="1"/>
    <x v="0"/>
    <x v="2"/>
    <x v="2"/>
    <x v="2"/>
    <x v="3"/>
    <x v="1"/>
    <x v="1"/>
    <x v="3"/>
    <x v="1"/>
  </r>
  <r>
    <x v="2"/>
    <x v="1"/>
    <x v="5"/>
    <x v="0"/>
    <x v="35"/>
    <x v="92"/>
    <x v="113"/>
    <x v="126"/>
    <x v="141"/>
    <x v="2"/>
    <x v="165"/>
    <x v="174"/>
    <x v="195"/>
    <x v="191"/>
    <x v="195"/>
    <x v="204"/>
    <x v="202"/>
  </r>
  <r>
    <x v="2"/>
    <x v="1"/>
    <x v="5"/>
    <x v="0"/>
    <x v="36"/>
    <x v="93"/>
    <x v="1"/>
    <x v="1"/>
    <x v="0"/>
    <x v="170"/>
    <x v="2"/>
    <x v="175"/>
    <x v="196"/>
    <x v="192"/>
    <x v="196"/>
    <x v="205"/>
    <x v="1"/>
  </r>
  <r>
    <x v="2"/>
    <x v="1"/>
    <x v="5"/>
    <x v="0"/>
    <x v="37"/>
    <x v="5"/>
    <x v="1"/>
    <x v="1"/>
    <x v="0"/>
    <x v="2"/>
    <x v="2"/>
    <x v="2"/>
    <x v="3"/>
    <x v="1"/>
    <x v="1"/>
    <x v="3"/>
    <x v="1"/>
  </r>
  <r>
    <x v="2"/>
    <x v="1"/>
    <x v="5"/>
    <x v="5"/>
    <x v="7"/>
    <x v="94"/>
    <x v="114"/>
    <x v="127"/>
    <x v="0"/>
    <x v="2"/>
    <x v="166"/>
    <x v="2"/>
    <x v="197"/>
    <x v="193"/>
    <x v="197"/>
    <x v="206"/>
    <x v="203"/>
  </r>
  <r>
    <x v="2"/>
    <x v="1"/>
    <x v="5"/>
    <x v="5"/>
    <x v="8"/>
    <x v="95"/>
    <x v="115"/>
    <x v="128"/>
    <x v="0"/>
    <x v="2"/>
    <x v="167"/>
    <x v="2"/>
    <x v="198"/>
    <x v="194"/>
    <x v="198"/>
    <x v="207"/>
    <x v="204"/>
  </r>
  <r>
    <x v="2"/>
    <x v="1"/>
    <x v="5"/>
    <x v="5"/>
    <x v="9"/>
    <x v="5"/>
    <x v="1"/>
    <x v="1"/>
    <x v="141"/>
    <x v="2"/>
    <x v="2"/>
    <x v="174"/>
    <x v="3"/>
    <x v="195"/>
    <x v="199"/>
    <x v="3"/>
    <x v="205"/>
  </r>
  <r>
    <x v="2"/>
    <x v="1"/>
    <x v="5"/>
    <x v="5"/>
    <x v="10"/>
    <x v="5"/>
    <x v="1"/>
    <x v="1"/>
    <x v="0"/>
    <x v="2"/>
    <x v="2"/>
    <x v="2"/>
    <x v="3"/>
    <x v="1"/>
    <x v="1"/>
    <x v="3"/>
    <x v="1"/>
  </r>
  <r>
    <x v="2"/>
    <x v="1"/>
    <x v="5"/>
    <x v="5"/>
    <x v="11"/>
    <x v="5"/>
    <x v="1"/>
    <x v="1"/>
    <x v="0"/>
    <x v="2"/>
    <x v="2"/>
    <x v="2"/>
    <x v="3"/>
    <x v="1"/>
    <x v="1"/>
    <x v="3"/>
    <x v="1"/>
  </r>
  <r>
    <x v="2"/>
    <x v="1"/>
    <x v="5"/>
    <x v="6"/>
    <x v="7"/>
    <x v="96"/>
    <x v="1"/>
    <x v="1"/>
    <x v="0"/>
    <x v="171"/>
    <x v="2"/>
    <x v="175"/>
    <x v="196"/>
    <x v="192"/>
    <x v="1"/>
    <x v="205"/>
    <x v="1"/>
  </r>
  <r>
    <x v="2"/>
    <x v="1"/>
    <x v="5"/>
    <x v="6"/>
    <x v="8"/>
    <x v="97"/>
    <x v="1"/>
    <x v="1"/>
    <x v="0"/>
    <x v="172"/>
    <x v="2"/>
    <x v="2"/>
    <x v="3"/>
    <x v="1"/>
    <x v="200"/>
    <x v="3"/>
    <x v="1"/>
  </r>
  <r>
    <x v="2"/>
    <x v="1"/>
    <x v="5"/>
    <x v="6"/>
    <x v="9"/>
    <x v="5"/>
    <x v="1"/>
    <x v="1"/>
    <x v="0"/>
    <x v="2"/>
    <x v="2"/>
    <x v="2"/>
    <x v="3"/>
    <x v="1"/>
    <x v="201"/>
    <x v="3"/>
    <x v="1"/>
  </r>
  <r>
    <x v="2"/>
    <x v="1"/>
    <x v="5"/>
    <x v="6"/>
    <x v="10"/>
    <x v="5"/>
    <x v="1"/>
    <x v="1"/>
    <x v="0"/>
    <x v="2"/>
    <x v="2"/>
    <x v="2"/>
    <x v="3"/>
    <x v="1"/>
    <x v="1"/>
    <x v="3"/>
    <x v="1"/>
  </r>
  <r>
    <x v="2"/>
    <x v="1"/>
    <x v="5"/>
    <x v="6"/>
    <x v="11"/>
    <x v="5"/>
    <x v="1"/>
    <x v="1"/>
    <x v="0"/>
    <x v="2"/>
    <x v="2"/>
    <x v="2"/>
    <x v="3"/>
    <x v="1"/>
    <x v="1"/>
    <x v="3"/>
    <x v="1"/>
  </r>
  <r>
    <x v="2"/>
    <x v="1"/>
    <x v="6"/>
    <x v="0"/>
    <x v="26"/>
    <x v="80"/>
    <x v="116"/>
    <x v="129"/>
    <x v="142"/>
    <x v="173"/>
    <x v="168"/>
    <x v="176"/>
    <x v="199"/>
    <x v="196"/>
    <x v="202"/>
    <x v="208"/>
    <x v="206"/>
  </r>
  <r>
    <x v="2"/>
    <x v="1"/>
    <x v="6"/>
    <x v="1"/>
    <x v="1"/>
    <x v="81"/>
    <x v="117"/>
    <x v="130"/>
    <x v="143"/>
    <x v="174"/>
    <x v="169"/>
    <x v="177"/>
    <x v="200"/>
    <x v="197"/>
    <x v="203"/>
    <x v="209"/>
    <x v="207"/>
  </r>
  <r>
    <x v="2"/>
    <x v="1"/>
    <x v="6"/>
    <x v="1"/>
    <x v="2"/>
    <x v="82"/>
    <x v="118"/>
    <x v="131"/>
    <x v="144"/>
    <x v="175"/>
    <x v="170"/>
    <x v="178"/>
    <x v="201"/>
    <x v="198"/>
    <x v="204"/>
    <x v="210"/>
    <x v="208"/>
  </r>
  <r>
    <x v="2"/>
    <x v="1"/>
    <x v="6"/>
    <x v="1"/>
    <x v="3"/>
    <x v="83"/>
    <x v="119"/>
    <x v="132"/>
    <x v="145"/>
    <x v="176"/>
    <x v="171"/>
    <x v="179"/>
    <x v="202"/>
    <x v="199"/>
    <x v="205"/>
    <x v="211"/>
    <x v="209"/>
  </r>
  <r>
    <x v="2"/>
    <x v="1"/>
    <x v="6"/>
    <x v="1"/>
    <x v="4"/>
    <x v="5"/>
    <x v="1"/>
    <x v="117"/>
    <x v="146"/>
    <x v="177"/>
    <x v="172"/>
    <x v="180"/>
    <x v="203"/>
    <x v="200"/>
    <x v="206"/>
    <x v="212"/>
    <x v="210"/>
  </r>
  <r>
    <x v="2"/>
    <x v="1"/>
    <x v="6"/>
    <x v="1"/>
    <x v="5"/>
    <x v="5"/>
    <x v="108"/>
    <x v="133"/>
    <x v="147"/>
    <x v="178"/>
    <x v="173"/>
    <x v="181"/>
    <x v="204"/>
    <x v="201"/>
    <x v="207"/>
    <x v="213"/>
    <x v="211"/>
  </r>
  <r>
    <x v="2"/>
    <x v="1"/>
    <x v="6"/>
    <x v="1"/>
    <x v="6"/>
    <x v="5"/>
    <x v="1"/>
    <x v="1"/>
    <x v="0"/>
    <x v="2"/>
    <x v="2"/>
    <x v="2"/>
    <x v="3"/>
    <x v="1"/>
    <x v="1"/>
    <x v="3"/>
    <x v="1"/>
  </r>
  <r>
    <x v="2"/>
    <x v="1"/>
    <x v="6"/>
    <x v="11"/>
    <x v="1"/>
    <x v="98"/>
    <x v="120"/>
    <x v="134"/>
    <x v="148"/>
    <x v="179"/>
    <x v="174"/>
    <x v="182"/>
    <x v="205"/>
    <x v="202"/>
    <x v="208"/>
    <x v="214"/>
    <x v="212"/>
  </r>
  <r>
    <x v="2"/>
    <x v="1"/>
    <x v="6"/>
    <x v="11"/>
    <x v="2"/>
    <x v="99"/>
    <x v="121"/>
    <x v="135"/>
    <x v="149"/>
    <x v="180"/>
    <x v="175"/>
    <x v="183"/>
    <x v="206"/>
    <x v="203"/>
    <x v="209"/>
    <x v="215"/>
    <x v="213"/>
  </r>
  <r>
    <x v="2"/>
    <x v="1"/>
    <x v="6"/>
    <x v="11"/>
    <x v="3"/>
    <x v="100"/>
    <x v="122"/>
    <x v="136"/>
    <x v="150"/>
    <x v="181"/>
    <x v="176"/>
    <x v="184"/>
    <x v="207"/>
    <x v="204"/>
    <x v="210"/>
    <x v="216"/>
    <x v="214"/>
  </r>
  <r>
    <x v="2"/>
    <x v="1"/>
    <x v="6"/>
    <x v="11"/>
    <x v="4"/>
    <x v="5"/>
    <x v="1"/>
    <x v="137"/>
    <x v="151"/>
    <x v="182"/>
    <x v="177"/>
    <x v="185"/>
    <x v="208"/>
    <x v="205"/>
    <x v="211"/>
    <x v="217"/>
    <x v="215"/>
  </r>
  <r>
    <x v="2"/>
    <x v="1"/>
    <x v="6"/>
    <x v="11"/>
    <x v="5"/>
    <x v="5"/>
    <x v="123"/>
    <x v="138"/>
    <x v="152"/>
    <x v="183"/>
    <x v="178"/>
    <x v="186"/>
    <x v="209"/>
    <x v="206"/>
    <x v="212"/>
    <x v="218"/>
    <x v="216"/>
  </r>
  <r>
    <x v="2"/>
    <x v="1"/>
    <x v="6"/>
    <x v="11"/>
    <x v="6"/>
    <x v="5"/>
    <x v="1"/>
    <x v="1"/>
    <x v="0"/>
    <x v="2"/>
    <x v="2"/>
    <x v="2"/>
    <x v="3"/>
    <x v="1"/>
    <x v="1"/>
    <x v="3"/>
    <x v="1"/>
  </r>
  <r>
    <x v="2"/>
    <x v="1"/>
    <x v="6"/>
    <x v="2"/>
    <x v="7"/>
    <x v="84"/>
    <x v="124"/>
    <x v="139"/>
    <x v="153"/>
    <x v="184"/>
    <x v="179"/>
    <x v="187"/>
    <x v="210"/>
    <x v="207"/>
    <x v="213"/>
    <x v="219"/>
    <x v="217"/>
  </r>
  <r>
    <x v="2"/>
    <x v="1"/>
    <x v="6"/>
    <x v="2"/>
    <x v="8"/>
    <x v="85"/>
    <x v="125"/>
    <x v="140"/>
    <x v="154"/>
    <x v="185"/>
    <x v="180"/>
    <x v="188"/>
    <x v="211"/>
    <x v="208"/>
    <x v="214"/>
    <x v="220"/>
    <x v="218"/>
  </r>
  <r>
    <x v="2"/>
    <x v="1"/>
    <x v="6"/>
    <x v="2"/>
    <x v="9"/>
    <x v="5"/>
    <x v="1"/>
    <x v="1"/>
    <x v="139"/>
    <x v="186"/>
    <x v="181"/>
    <x v="189"/>
    <x v="212"/>
    <x v="209"/>
    <x v="215"/>
    <x v="221"/>
    <x v="219"/>
  </r>
  <r>
    <x v="2"/>
    <x v="1"/>
    <x v="6"/>
    <x v="2"/>
    <x v="10"/>
    <x v="5"/>
    <x v="1"/>
    <x v="1"/>
    <x v="0"/>
    <x v="2"/>
    <x v="2"/>
    <x v="2"/>
    <x v="3"/>
    <x v="182"/>
    <x v="216"/>
    <x v="222"/>
    <x v="220"/>
  </r>
  <r>
    <x v="2"/>
    <x v="1"/>
    <x v="6"/>
    <x v="2"/>
    <x v="11"/>
    <x v="5"/>
    <x v="1"/>
    <x v="1"/>
    <x v="0"/>
    <x v="2"/>
    <x v="2"/>
    <x v="2"/>
    <x v="3"/>
    <x v="1"/>
    <x v="1"/>
    <x v="3"/>
    <x v="1"/>
  </r>
  <r>
    <x v="2"/>
    <x v="1"/>
    <x v="6"/>
    <x v="11"/>
    <x v="7"/>
    <x v="101"/>
    <x v="126"/>
    <x v="141"/>
    <x v="155"/>
    <x v="187"/>
    <x v="182"/>
    <x v="190"/>
    <x v="213"/>
    <x v="210"/>
    <x v="217"/>
    <x v="223"/>
    <x v="221"/>
  </r>
  <r>
    <x v="2"/>
    <x v="1"/>
    <x v="6"/>
    <x v="11"/>
    <x v="8"/>
    <x v="102"/>
    <x v="127"/>
    <x v="142"/>
    <x v="156"/>
    <x v="188"/>
    <x v="183"/>
    <x v="191"/>
    <x v="214"/>
    <x v="211"/>
    <x v="218"/>
    <x v="224"/>
    <x v="222"/>
  </r>
  <r>
    <x v="2"/>
    <x v="1"/>
    <x v="6"/>
    <x v="11"/>
    <x v="9"/>
    <x v="5"/>
    <x v="1"/>
    <x v="1"/>
    <x v="157"/>
    <x v="189"/>
    <x v="184"/>
    <x v="192"/>
    <x v="215"/>
    <x v="212"/>
    <x v="219"/>
    <x v="225"/>
    <x v="223"/>
  </r>
  <r>
    <x v="2"/>
    <x v="1"/>
    <x v="6"/>
    <x v="11"/>
    <x v="10"/>
    <x v="5"/>
    <x v="1"/>
    <x v="1"/>
    <x v="0"/>
    <x v="2"/>
    <x v="2"/>
    <x v="2"/>
    <x v="3"/>
    <x v="213"/>
    <x v="220"/>
    <x v="226"/>
    <x v="224"/>
  </r>
  <r>
    <x v="2"/>
    <x v="1"/>
    <x v="6"/>
    <x v="11"/>
    <x v="11"/>
    <x v="5"/>
    <x v="1"/>
    <x v="1"/>
    <x v="0"/>
    <x v="2"/>
    <x v="2"/>
    <x v="2"/>
    <x v="3"/>
    <x v="1"/>
    <x v="1"/>
    <x v="3"/>
    <x v="1"/>
  </r>
  <r>
    <x v="2"/>
    <x v="1"/>
    <x v="7"/>
    <x v="0"/>
    <x v="26"/>
    <x v="86"/>
    <x v="128"/>
    <x v="143"/>
    <x v="158"/>
    <x v="190"/>
    <x v="185"/>
    <x v="193"/>
    <x v="216"/>
    <x v="214"/>
    <x v="221"/>
    <x v="227"/>
    <x v="225"/>
  </r>
  <r>
    <x v="2"/>
    <x v="1"/>
    <x v="7"/>
    <x v="1"/>
    <x v="1"/>
    <x v="87"/>
    <x v="129"/>
    <x v="144"/>
    <x v="159"/>
    <x v="191"/>
    <x v="186"/>
    <x v="194"/>
    <x v="217"/>
    <x v="215"/>
    <x v="222"/>
    <x v="228"/>
    <x v="226"/>
  </r>
  <r>
    <x v="2"/>
    <x v="1"/>
    <x v="7"/>
    <x v="1"/>
    <x v="2"/>
    <x v="88"/>
    <x v="130"/>
    <x v="145"/>
    <x v="160"/>
    <x v="192"/>
    <x v="187"/>
    <x v="195"/>
    <x v="218"/>
    <x v="216"/>
    <x v="223"/>
    <x v="229"/>
    <x v="227"/>
  </r>
  <r>
    <x v="2"/>
    <x v="1"/>
    <x v="7"/>
    <x v="1"/>
    <x v="3"/>
    <x v="89"/>
    <x v="131"/>
    <x v="146"/>
    <x v="161"/>
    <x v="193"/>
    <x v="188"/>
    <x v="196"/>
    <x v="219"/>
    <x v="217"/>
    <x v="224"/>
    <x v="230"/>
    <x v="228"/>
  </r>
  <r>
    <x v="2"/>
    <x v="1"/>
    <x v="7"/>
    <x v="1"/>
    <x v="4"/>
    <x v="5"/>
    <x v="1"/>
    <x v="117"/>
    <x v="146"/>
    <x v="177"/>
    <x v="172"/>
    <x v="180"/>
    <x v="203"/>
    <x v="200"/>
    <x v="225"/>
    <x v="231"/>
    <x v="229"/>
  </r>
  <r>
    <x v="2"/>
    <x v="1"/>
    <x v="7"/>
    <x v="1"/>
    <x v="5"/>
    <x v="5"/>
    <x v="108"/>
    <x v="133"/>
    <x v="147"/>
    <x v="178"/>
    <x v="173"/>
    <x v="181"/>
    <x v="220"/>
    <x v="218"/>
    <x v="226"/>
    <x v="232"/>
    <x v="230"/>
  </r>
  <r>
    <x v="2"/>
    <x v="1"/>
    <x v="7"/>
    <x v="1"/>
    <x v="6"/>
    <x v="5"/>
    <x v="1"/>
    <x v="1"/>
    <x v="0"/>
    <x v="2"/>
    <x v="2"/>
    <x v="2"/>
    <x v="3"/>
    <x v="1"/>
    <x v="1"/>
    <x v="3"/>
    <x v="1"/>
  </r>
  <r>
    <x v="2"/>
    <x v="1"/>
    <x v="7"/>
    <x v="11"/>
    <x v="1"/>
    <x v="103"/>
    <x v="132"/>
    <x v="147"/>
    <x v="162"/>
    <x v="194"/>
    <x v="189"/>
    <x v="197"/>
    <x v="221"/>
    <x v="219"/>
    <x v="227"/>
    <x v="233"/>
    <x v="231"/>
  </r>
  <r>
    <x v="2"/>
    <x v="1"/>
    <x v="7"/>
    <x v="11"/>
    <x v="2"/>
    <x v="104"/>
    <x v="133"/>
    <x v="148"/>
    <x v="163"/>
    <x v="195"/>
    <x v="190"/>
    <x v="198"/>
    <x v="222"/>
    <x v="220"/>
    <x v="228"/>
    <x v="234"/>
    <x v="232"/>
  </r>
  <r>
    <x v="2"/>
    <x v="1"/>
    <x v="7"/>
    <x v="11"/>
    <x v="3"/>
    <x v="105"/>
    <x v="134"/>
    <x v="149"/>
    <x v="164"/>
    <x v="196"/>
    <x v="191"/>
    <x v="199"/>
    <x v="223"/>
    <x v="221"/>
    <x v="229"/>
    <x v="235"/>
    <x v="233"/>
  </r>
  <r>
    <x v="2"/>
    <x v="1"/>
    <x v="7"/>
    <x v="11"/>
    <x v="4"/>
    <x v="5"/>
    <x v="1"/>
    <x v="150"/>
    <x v="165"/>
    <x v="197"/>
    <x v="192"/>
    <x v="200"/>
    <x v="224"/>
    <x v="222"/>
    <x v="230"/>
    <x v="236"/>
    <x v="234"/>
  </r>
  <r>
    <x v="2"/>
    <x v="1"/>
    <x v="7"/>
    <x v="11"/>
    <x v="5"/>
    <x v="5"/>
    <x v="135"/>
    <x v="151"/>
    <x v="166"/>
    <x v="198"/>
    <x v="193"/>
    <x v="201"/>
    <x v="225"/>
    <x v="223"/>
    <x v="231"/>
    <x v="237"/>
    <x v="235"/>
  </r>
  <r>
    <x v="2"/>
    <x v="1"/>
    <x v="7"/>
    <x v="11"/>
    <x v="6"/>
    <x v="5"/>
    <x v="1"/>
    <x v="1"/>
    <x v="0"/>
    <x v="2"/>
    <x v="2"/>
    <x v="2"/>
    <x v="3"/>
    <x v="1"/>
    <x v="1"/>
    <x v="3"/>
    <x v="1"/>
  </r>
  <r>
    <x v="2"/>
    <x v="1"/>
    <x v="7"/>
    <x v="2"/>
    <x v="7"/>
    <x v="90"/>
    <x v="136"/>
    <x v="152"/>
    <x v="167"/>
    <x v="199"/>
    <x v="194"/>
    <x v="202"/>
    <x v="226"/>
    <x v="224"/>
    <x v="232"/>
    <x v="238"/>
    <x v="236"/>
  </r>
  <r>
    <x v="2"/>
    <x v="1"/>
    <x v="7"/>
    <x v="2"/>
    <x v="8"/>
    <x v="91"/>
    <x v="137"/>
    <x v="153"/>
    <x v="168"/>
    <x v="200"/>
    <x v="195"/>
    <x v="203"/>
    <x v="227"/>
    <x v="225"/>
    <x v="233"/>
    <x v="239"/>
    <x v="237"/>
  </r>
  <r>
    <x v="2"/>
    <x v="1"/>
    <x v="7"/>
    <x v="2"/>
    <x v="9"/>
    <x v="5"/>
    <x v="1"/>
    <x v="1"/>
    <x v="140"/>
    <x v="201"/>
    <x v="196"/>
    <x v="204"/>
    <x v="228"/>
    <x v="226"/>
    <x v="234"/>
    <x v="240"/>
    <x v="238"/>
  </r>
  <r>
    <x v="2"/>
    <x v="1"/>
    <x v="7"/>
    <x v="2"/>
    <x v="10"/>
    <x v="5"/>
    <x v="1"/>
    <x v="1"/>
    <x v="0"/>
    <x v="2"/>
    <x v="2"/>
    <x v="2"/>
    <x v="3"/>
    <x v="190"/>
    <x v="235"/>
    <x v="241"/>
    <x v="239"/>
  </r>
  <r>
    <x v="2"/>
    <x v="1"/>
    <x v="7"/>
    <x v="2"/>
    <x v="11"/>
    <x v="5"/>
    <x v="1"/>
    <x v="1"/>
    <x v="0"/>
    <x v="2"/>
    <x v="2"/>
    <x v="2"/>
    <x v="3"/>
    <x v="1"/>
    <x v="1"/>
    <x v="3"/>
    <x v="1"/>
  </r>
  <r>
    <x v="2"/>
    <x v="1"/>
    <x v="7"/>
    <x v="11"/>
    <x v="7"/>
    <x v="106"/>
    <x v="138"/>
    <x v="154"/>
    <x v="169"/>
    <x v="202"/>
    <x v="197"/>
    <x v="205"/>
    <x v="229"/>
    <x v="227"/>
    <x v="236"/>
    <x v="242"/>
    <x v="240"/>
  </r>
  <r>
    <x v="2"/>
    <x v="1"/>
    <x v="7"/>
    <x v="11"/>
    <x v="8"/>
    <x v="107"/>
    <x v="139"/>
    <x v="155"/>
    <x v="170"/>
    <x v="203"/>
    <x v="198"/>
    <x v="206"/>
    <x v="230"/>
    <x v="228"/>
    <x v="237"/>
    <x v="243"/>
    <x v="241"/>
  </r>
  <r>
    <x v="2"/>
    <x v="1"/>
    <x v="7"/>
    <x v="11"/>
    <x v="9"/>
    <x v="5"/>
    <x v="1"/>
    <x v="1"/>
    <x v="171"/>
    <x v="204"/>
    <x v="199"/>
    <x v="207"/>
    <x v="231"/>
    <x v="229"/>
    <x v="238"/>
    <x v="244"/>
    <x v="242"/>
  </r>
  <r>
    <x v="2"/>
    <x v="1"/>
    <x v="7"/>
    <x v="11"/>
    <x v="10"/>
    <x v="5"/>
    <x v="1"/>
    <x v="1"/>
    <x v="0"/>
    <x v="2"/>
    <x v="2"/>
    <x v="2"/>
    <x v="3"/>
    <x v="230"/>
    <x v="239"/>
    <x v="245"/>
    <x v="243"/>
  </r>
  <r>
    <x v="2"/>
    <x v="1"/>
    <x v="7"/>
    <x v="11"/>
    <x v="11"/>
    <x v="5"/>
    <x v="1"/>
    <x v="1"/>
    <x v="0"/>
    <x v="2"/>
    <x v="2"/>
    <x v="2"/>
    <x v="3"/>
    <x v="1"/>
    <x v="1"/>
    <x v="3"/>
    <x v="1"/>
  </r>
  <r>
    <x v="2"/>
    <x v="1"/>
    <x v="6"/>
    <x v="0"/>
    <x v="29"/>
    <x v="92"/>
    <x v="140"/>
    <x v="156"/>
    <x v="172"/>
    <x v="205"/>
    <x v="200"/>
    <x v="208"/>
    <x v="232"/>
    <x v="231"/>
    <x v="240"/>
    <x v="246"/>
    <x v="244"/>
  </r>
  <r>
    <x v="2"/>
    <x v="1"/>
    <x v="6"/>
    <x v="0"/>
    <x v="30"/>
    <x v="93"/>
    <x v="141"/>
    <x v="157"/>
    <x v="173"/>
    <x v="206"/>
    <x v="201"/>
    <x v="209"/>
    <x v="233"/>
    <x v="232"/>
    <x v="241"/>
    <x v="247"/>
    <x v="245"/>
  </r>
  <r>
    <x v="2"/>
    <x v="1"/>
    <x v="6"/>
    <x v="0"/>
    <x v="31"/>
    <x v="5"/>
    <x v="1"/>
    <x v="1"/>
    <x v="0"/>
    <x v="2"/>
    <x v="2"/>
    <x v="2"/>
    <x v="3"/>
    <x v="1"/>
    <x v="1"/>
    <x v="3"/>
    <x v="1"/>
  </r>
  <r>
    <x v="2"/>
    <x v="1"/>
    <x v="6"/>
    <x v="14"/>
    <x v="7"/>
    <x v="94"/>
    <x v="142"/>
    <x v="158"/>
    <x v="174"/>
    <x v="207"/>
    <x v="202"/>
    <x v="210"/>
    <x v="234"/>
    <x v="233"/>
    <x v="242"/>
    <x v="248"/>
    <x v="246"/>
  </r>
  <r>
    <x v="2"/>
    <x v="1"/>
    <x v="6"/>
    <x v="14"/>
    <x v="8"/>
    <x v="95"/>
    <x v="143"/>
    <x v="159"/>
    <x v="175"/>
    <x v="208"/>
    <x v="203"/>
    <x v="211"/>
    <x v="235"/>
    <x v="234"/>
    <x v="243"/>
    <x v="249"/>
    <x v="247"/>
  </r>
  <r>
    <x v="2"/>
    <x v="1"/>
    <x v="6"/>
    <x v="14"/>
    <x v="9"/>
    <x v="5"/>
    <x v="1"/>
    <x v="1"/>
    <x v="141"/>
    <x v="209"/>
    <x v="204"/>
    <x v="212"/>
    <x v="236"/>
    <x v="235"/>
    <x v="244"/>
    <x v="250"/>
    <x v="248"/>
  </r>
  <r>
    <x v="2"/>
    <x v="1"/>
    <x v="6"/>
    <x v="14"/>
    <x v="10"/>
    <x v="5"/>
    <x v="1"/>
    <x v="1"/>
    <x v="0"/>
    <x v="2"/>
    <x v="2"/>
    <x v="2"/>
    <x v="3"/>
    <x v="1"/>
    <x v="1"/>
    <x v="3"/>
    <x v="1"/>
  </r>
  <r>
    <x v="2"/>
    <x v="1"/>
    <x v="6"/>
    <x v="14"/>
    <x v="11"/>
    <x v="5"/>
    <x v="1"/>
    <x v="1"/>
    <x v="0"/>
    <x v="2"/>
    <x v="2"/>
    <x v="2"/>
    <x v="3"/>
    <x v="1"/>
    <x v="1"/>
    <x v="3"/>
    <x v="1"/>
  </r>
  <r>
    <x v="2"/>
    <x v="1"/>
    <x v="6"/>
    <x v="15"/>
    <x v="7"/>
    <x v="96"/>
    <x v="144"/>
    <x v="160"/>
    <x v="176"/>
    <x v="210"/>
    <x v="205"/>
    <x v="213"/>
    <x v="237"/>
    <x v="236"/>
    <x v="245"/>
    <x v="251"/>
    <x v="249"/>
  </r>
  <r>
    <x v="2"/>
    <x v="1"/>
    <x v="6"/>
    <x v="15"/>
    <x v="8"/>
    <x v="97"/>
    <x v="145"/>
    <x v="161"/>
    <x v="177"/>
    <x v="211"/>
    <x v="206"/>
    <x v="214"/>
    <x v="238"/>
    <x v="237"/>
    <x v="246"/>
    <x v="252"/>
    <x v="250"/>
  </r>
  <r>
    <x v="2"/>
    <x v="1"/>
    <x v="6"/>
    <x v="15"/>
    <x v="9"/>
    <x v="5"/>
    <x v="1"/>
    <x v="1"/>
    <x v="0"/>
    <x v="2"/>
    <x v="2"/>
    <x v="2"/>
    <x v="3"/>
    <x v="1"/>
    <x v="201"/>
    <x v="253"/>
    <x v="251"/>
  </r>
  <r>
    <x v="2"/>
    <x v="1"/>
    <x v="6"/>
    <x v="15"/>
    <x v="10"/>
    <x v="5"/>
    <x v="1"/>
    <x v="1"/>
    <x v="0"/>
    <x v="2"/>
    <x v="2"/>
    <x v="2"/>
    <x v="3"/>
    <x v="1"/>
    <x v="1"/>
    <x v="3"/>
    <x v="1"/>
  </r>
  <r>
    <x v="2"/>
    <x v="1"/>
    <x v="6"/>
    <x v="15"/>
    <x v="11"/>
    <x v="5"/>
    <x v="1"/>
    <x v="1"/>
    <x v="0"/>
    <x v="2"/>
    <x v="2"/>
    <x v="2"/>
    <x v="3"/>
    <x v="1"/>
    <x v="1"/>
    <x v="3"/>
    <x v="1"/>
  </r>
  <r>
    <x v="2"/>
    <x v="1"/>
    <x v="7"/>
    <x v="0"/>
    <x v="29"/>
    <x v="92"/>
    <x v="140"/>
    <x v="156"/>
    <x v="172"/>
    <x v="205"/>
    <x v="200"/>
    <x v="208"/>
    <x v="232"/>
    <x v="231"/>
    <x v="240"/>
    <x v="246"/>
    <x v="244"/>
  </r>
  <r>
    <x v="2"/>
    <x v="1"/>
    <x v="7"/>
    <x v="0"/>
    <x v="30"/>
    <x v="93"/>
    <x v="141"/>
    <x v="157"/>
    <x v="173"/>
    <x v="206"/>
    <x v="201"/>
    <x v="209"/>
    <x v="233"/>
    <x v="232"/>
    <x v="241"/>
    <x v="247"/>
    <x v="245"/>
  </r>
  <r>
    <x v="2"/>
    <x v="1"/>
    <x v="7"/>
    <x v="0"/>
    <x v="31"/>
    <x v="5"/>
    <x v="1"/>
    <x v="1"/>
    <x v="0"/>
    <x v="2"/>
    <x v="2"/>
    <x v="2"/>
    <x v="3"/>
    <x v="1"/>
    <x v="1"/>
    <x v="3"/>
    <x v="1"/>
  </r>
  <r>
    <x v="2"/>
    <x v="1"/>
    <x v="7"/>
    <x v="14"/>
    <x v="7"/>
    <x v="94"/>
    <x v="142"/>
    <x v="158"/>
    <x v="174"/>
    <x v="207"/>
    <x v="202"/>
    <x v="210"/>
    <x v="234"/>
    <x v="233"/>
    <x v="242"/>
    <x v="248"/>
    <x v="246"/>
  </r>
  <r>
    <x v="2"/>
    <x v="1"/>
    <x v="7"/>
    <x v="14"/>
    <x v="8"/>
    <x v="95"/>
    <x v="143"/>
    <x v="159"/>
    <x v="175"/>
    <x v="208"/>
    <x v="203"/>
    <x v="211"/>
    <x v="235"/>
    <x v="234"/>
    <x v="243"/>
    <x v="249"/>
    <x v="247"/>
  </r>
  <r>
    <x v="2"/>
    <x v="1"/>
    <x v="7"/>
    <x v="14"/>
    <x v="9"/>
    <x v="5"/>
    <x v="1"/>
    <x v="1"/>
    <x v="141"/>
    <x v="209"/>
    <x v="204"/>
    <x v="212"/>
    <x v="236"/>
    <x v="235"/>
    <x v="244"/>
    <x v="250"/>
    <x v="248"/>
  </r>
  <r>
    <x v="2"/>
    <x v="1"/>
    <x v="7"/>
    <x v="14"/>
    <x v="10"/>
    <x v="5"/>
    <x v="1"/>
    <x v="1"/>
    <x v="0"/>
    <x v="2"/>
    <x v="2"/>
    <x v="2"/>
    <x v="3"/>
    <x v="1"/>
    <x v="1"/>
    <x v="3"/>
    <x v="1"/>
  </r>
  <r>
    <x v="2"/>
    <x v="1"/>
    <x v="7"/>
    <x v="14"/>
    <x v="11"/>
    <x v="5"/>
    <x v="1"/>
    <x v="1"/>
    <x v="0"/>
    <x v="2"/>
    <x v="2"/>
    <x v="2"/>
    <x v="3"/>
    <x v="1"/>
    <x v="1"/>
    <x v="3"/>
    <x v="1"/>
  </r>
  <r>
    <x v="2"/>
    <x v="1"/>
    <x v="7"/>
    <x v="15"/>
    <x v="7"/>
    <x v="96"/>
    <x v="144"/>
    <x v="160"/>
    <x v="176"/>
    <x v="210"/>
    <x v="205"/>
    <x v="213"/>
    <x v="237"/>
    <x v="236"/>
    <x v="245"/>
    <x v="251"/>
    <x v="249"/>
  </r>
  <r>
    <x v="2"/>
    <x v="1"/>
    <x v="7"/>
    <x v="15"/>
    <x v="8"/>
    <x v="97"/>
    <x v="145"/>
    <x v="161"/>
    <x v="177"/>
    <x v="211"/>
    <x v="206"/>
    <x v="214"/>
    <x v="238"/>
    <x v="237"/>
    <x v="246"/>
    <x v="252"/>
    <x v="250"/>
  </r>
  <r>
    <x v="2"/>
    <x v="1"/>
    <x v="7"/>
    <x v="15"/>
    <x v="9"/>
    <x v="5"/>
    <x v="1"/>
    <x v="1"/>
    <x v="0"/>
    <x v="2"/>
    <x v="2"/>
    <x v="2"/>
    <x v="3"/>
    <x v="1"/>
    <x v="201"/>
    <x v="253"/>
    <x v="251"/>
  </r>
  <r>
    <x v="2"/>
    <x v="1"/>
    <x v="7"/>
    <x v="15"/>
    <x v="10"/>
    <x v="5"/>
    <x v="1"/>
    <x v="1"/>
    <x v="0"/>
    <x v="2"/>
    <x v="2"/>
    <x v="2"/>
    <x v="3"/>
    <x v="1"/>
    <x v="1"/>
    <x v="3"/>
    <x v="1"/>
  </r>
  <r>
    <x v="2"/>
    <x v="1"/>
    <x v="7"/>
    <x v="15"/>
    <x v="11"/>
    <x v="5"/>
    <x v="1"/>
    <x v="1"/>
    <x v="0"/>
    <x v="2"/>
    <x v="2"/>
    <x v="2"/>
    <x v="3"/>
    <x v="1"/>
    <x v="1"/>
    <x v="3"/>
    <x v="1"/>
  </r>
  <r>
    <x v="3"/>
    <x v="0"/>
    <x v="0"/>
    <x v="0"/>
    <x v="0"/>
    <x v="5"/>
    <x v="1"/>
    <x v="4"/>
    <x v="2"/>
    <x v="2"/>
    <x v="2"/>
    <x v="3"/>
    <x v="3"/>
    <x v="1"/>
    <x v="1"/>
    <x v="2"/>
    <x v="1"/>
  </r>
  <r>
    <x v="3"/>
    <x v="0"/>
    <x v="0"/>
    <x v="1"/>
    <x v="1"/>
    <x v="5"/>
    <x v="1"/>
    <x v="4"/>
    <x v="0"/>
    <x v="2"/>
    <x v="2"/>
    <x v="2"/>
    <x v="3"/>
    <x v="1"/>
    <x v="1"/>
    <x v="3"/>
    <x v="1"/>
  </r>
  <r>
    <x v="3"/>
    <x v="0"/>
    <x v="0"/>
    <x v="1"/>
    <x v="2"/>
    <x v="5"/>
    <x v="1"/>
    <x v="1"/>
    <x v="0"/>
    <x v="2"/>
    <x v="2"/>
    <x v="2"/>
    <x v="3"/>
    <x v="1"/>
    <x v="1"/>
    <x v="3"/>
    <x v="1"/>
  </r>
  <r>
    <x v="3"/>
    <x v="0"/>
    <x v="0"/>
    <x v="1"/>
    <x v="3"/>
    <x v="5"/>
    <x v="1"/>
    <x v="1"/>
    <x v="0"/>
    <x v="2"/>
    <x v="2"/>
    <x v="2"/>
    <x v="3"/>
    <x v="1"/>
    <x v="1"/>
    <x v="3"/>
    <x v="1"/>
  </r>
  <r>
    <x v="3"/>
    <x v="0"/>
    <x v="0"/>
    <x v="1"/>
    <x v="4"/>
    <x v="5"/>
    <x v="1"/>
    <x v="1"/>
    <x v="2"/>
    <x v="2"/>
    <x v="2"/>
    <x v="2"/>
    <x v="3"/>
    <x v="1"/>
    <x v="1"/>
    <x v="3"/>
    <x v="1"/>
  </r>
  <r>
    <x v="3"/>
    <x v="0"/>
    <x v="0"/>
    <x v="1"/>
    <x v="5"/>
    <x v="5"/>
    <x v="1"/>
    <x v="1"/>
    <x v="0"/>
    <x v="2"/>
    <x v="2"/>
    <x v="3"/>
    <x v="3"/>
    <x v="1"/>
    <x v="1"/>
    <x v="2"/>
    <x v="1"/>
  </r>
  <r>
    <x v="3"/>
    <x v="0"/>
    <x v="0"/>
    <x v="1"/>
    <x v="6"/>
    <x v="5"/>
    <x v="1"/>
    <x v="1"/>
    <x v="0"/>
    <x v="2"/>
    <x v="2"/>
    <x v="2"/>
    <x v="3"/>
    <x v="1"/>
    <x v="1"/>
    <x v="3"/>
    <x v="1"/>
  </r>
  <r>
    <x v="3"/>
    <x v="0"/>
    <x v="0"/>
    <x v="2"/>
    <x v="7"/>
    <x v="5"/>
    <x v="1"/>
    <x v="1"/>
    <x v="2"/>
    <x v="2"/>
    <x v="2"/>
    <x v="2"/>
    <x v="3"/>
    <x v="1"/>
    <x v="1"/>
    <x v="2"/>
    <x v="1"/>
  </r>
  <r>
    <x v="3"/>
    <x v="0"/>
    <x v="0"/>
    <x v="2"/>
    <x v="8"/>
    <x v="5"/>
    <x v="1"/>
    <x v="1"/>
    <x v="0"/>
    <x v="2"/>
    <x v="2"/>
    <x v="2"/>
    <x v="3"/>
    <x v="1"/>
    <x v="1"/>
    <x v="3"/>
    <x v="1"/>
  </r>
  <r>
    <x v="3"/>
    <x v="0"/>
    <x v="0"/>
    <x v="2"/>
    <x v="9"/>
    <x v="5"/>
    <x v="1"/>
    <x v="4"/>
    <x v="0"/>
    <x v="2"/>
    <x v="2"/>
    <x v="2"/>
    <x v="3"/>
    <x v="1"/>
    <x v="1"/>
    <x v="3"/>
    <x v="1"/>
  </r>
  <r>
    <x v="3"/>
    <x v="0"/>
    <x v="0"/>
    <x v="2"/>
    <x v="10"/>
    <x v="5"/>
    <x v="1"/>
    <x v="1"/>
    <x v="0"/>
    <x v="2"/>
    <x v="2"/>
    <x v="3"/>
    <x v="3"/>
    <x v="1"/>
    <x v="1"/>
    <x v="3"/>
    <x v="1"/>
  </r>
  <r>
    <x v="3"/>
    <x v="0"/>
    <x v="0"/>
    <x v="2"/>
    <x v="11"/>
    <x v="5"/>
    <x v="1"/>
    <x v="1"/>
    <x v="0"/>
    <x v="2"/>
    <x v="2"/>
    <x v="2"/>
    <x v="3"/>
    <x v="1"/>
    <x v="1"/>
    <x v="3"/>
    <x v="1"/>
  </r>
  <r>
    <x v="3"/>
    <x v="0"/>
    <x v="0"/>
    <x v="0"/>
    <x v="12"/>
    <x v="5"/>
    <x v="1"/>
    <x v="4"/>
    <x v="2"/>
    <x v="2"/>
    <x v="2"/>
    <x v="2"/>
    <x v="3"/>
    <x v="1"/>
    <x v="1"/>
    <x v="2"/>
    <x v="1"/>
  </r>
  <r>
    <x v="3"/>
    <x v="0"/>
    <x v="0"/>
    <x v="3"/>
    <x v="1"/>
    <x v="5"/>
    <x v="1"/>
    <x v="4"/>
    <x v="0"/>
    <x v="2"/>
    <x v="2"/>
    <x v="2"/>
    <x v="3"/>
    <x v="1"/>
    <x v="1"/>
    <x v="2"/>
    <x v="1"/>
  </r>
  <r>
    <x v="3"/>
    <x v="0"/>
    <x v="0"/>
    <x v="3"/>
    <x v="2"/>
    <x v="5"/>
    <x v="1"/>
    <x v="1"/>
    <x v="2"/>
    <x v="2"/>
    <x v="2"/>
    <x v="2"/>
    <x v="3"/>
    <x v="1"/>
    <x v="1"/>
    <x v="3"/>
    <x v="1"/>
  </r>
  <r>
    <x v="3"/>
    <x v="0"/>
    <x v="0"/>
    <x v="3"/>
    <x v="3"/>
    <x v="5"/>
    <x v="1"/>
    <x v="1"/>
    <x v="0"/>
    <x v="2"/>
    <x v="2"/>
    <x v="2"/>
    <x v="3"/>
    <x v="1"/>
    <x v="1"/>
    <x v="3"/>
    <x v="1"/>
  </r>
  <r>
    <x v="3"/>
    <x v="0"/>
    <x v="0"/>
    <x v="0"/>
    <x v="13"/>
    <x v="5"/>
    <x v="1"/>
    <x v="4"/>
    <x v="2"/>
    <x v="2"/>
    <x v="2"/>
    <x v="3"/>
    <x v="3"/>
    <x v="1"/>
    <x v="1"/>
    <x v="2"/>
    <x v="1"/>
  </r>
  <r>
    <x v="3"/>
    <x v="0"/>
    <x v="0"/>
    <x v="4"/>
    <x v="4"/>
    <x v="5"/>
    <x v="1"/>
    <x v="4"/>
    <x v="2"/>
    <x v="2"/>
    <x v="2"/>
    <x v="2"/>
    <x v="3"/>
    <x v="1"/>
    <x v="1"/>
    <x v="3"/>
    <x v="1"/>
  </r>
  <r>
    <x v="3"/>
    <x v="0"/>
    <x v="0"/>
    <x v="4"/>
    <x v="5"/>
    <x v="5"/>
    <x v="1"/>
    <x v="1"/>
    <x v="0"/>
    <x v="2"/>
    <x v="2"/>
    <x v="3"/>
    <x v="3"/>
    <x v="1"/>
    <x v="1"/>
    <x v="2"/>
    <x v="1"/>
  </r>
  <r>
    <x v="3"/>
    <x v="0"/>
    <x v="0"/>
    <x v="4"/>
    <x v="6"/>
    <x v="5"/>
    <x v="1"/>
    <x v="1"/>
    <x v="0"/>
    <x v="2"/>
    <x v="2"/>
    <x v="2"/>
    <x v="3"/>
    <x v="1"/>
    <x v="1"/>
    <x v="3"/>
    <x v="1"/>
  </r>
  <r>
    <x v="3"/>
    <x v="1"/>
    <x v="0"/>
    <x v="0"/>
    <x v="14"/>
    <x v="5"/>
    <x v="1"/>
    <x v="1"/>
    <x v="2"/>
    <x v="1"/>
    <x v="2"/>
    <x v="3"/>
    <x v="3"/>
    <x v="1"/>
    <x v="1"/>
    <x v="2"/>
    <x v="1"/>
  </r>
  <r>
    <x v="3"/>
    <x v="1"/>
    <x v="0"/>
    <x v="1"/>
    <x v="1"/>
    <x v="5"/>
    <x v="1"/>
    <x v="1"/>
    <x v="2"/>
    <x v="2"/>
    <x v="2"/>
    <x v="2"/>
    <x v="3"/>
    <x v="1"/>
    <x v="1"/>
    <x v="3"/>
    <x v="1"/>
  </r>
  <r>
    <x v="3"/>
    <x v="1"/>
    <x v="0"/>
    <x v="1"/>
    <x v="2"/>
    <x v="5"/>
    <x v="1"/>
    <x v="1"/>
    <x v="0"/>
    <x v="2"/>
    <x v="2"/>
    <x v="2"/>
    <x v="3"/>
    <x v="1"/>
    <x v="1"/>
    <x v="3"/>
    <x v="1"/>
  </r>
  <r>
    <x v="3"/>
    <x v="1"/>
    <x v="0"/>
    <x v="1"/>
    <x v="3"/>
    <x v="5"/>
    <x v="1"/>
    <x v="1"/>
    <x v="0"/>
    <x v="2"/>
    <x v="2"/>
    <x v="2"/>
    <x v="3"/>
    <x v="1"/>
    <x v="1"/>
    <x v="3"/>
    <x v="1"/>
  </r>
  <r>
    <x v="3"/>
    <x v="1"/>
    <x v="0"/>
    <x v="1"/>
    <x v="4"/>
    <x v="5"/>
    <x v="1"/>
    <x v="1"/>
    <x v="0"/>
    <x v="1"/>
    <x v="2"/>
    <x v="2"/>
    <x v="3"/>
    <x v="1"/>
    <x v="1"/>
    <x v="3"/>
    <x v="1"/>
  </r>
  <r>
    <x v="3"/>
    <x v="1"/>
    <x v="0"/>
    <x v="1"/>
    <x v="5"/>
    <x v="5"/>
    <x v="1"/>
    <x v="1"/>
    <x v="0"/>
    <x v="2"/>
    <x v="2"/>
    <x v="3"/>
    <x v="3"/>
    <x v="1"/>
    <x v="1"/>
    <x v="2"/>
    <x v="1"/>
  </r>
  <r>
    <x v="3"/>
    <x v="1"/>
    <x v="0"/>
    <x v="1"/>
    <x v="6"/>
    <x v="5"/>
    <x v="1"/>
    <x v="1"/>
    <x v="0"/>
    <x v="2"/>
    <x v="2"/>
    <x v="2"/>
    <x v="3"/>
    <x v="1"/>
    <x v="1"/>
    <x v="3"/>
    <x v="1"/>
  </r>
  <r>
    <x v="3"/>
    <x v="1"/>
    <x v="0"/>
    <x v="2"/>
    <x v="7"/>
    <x v="5"/>
    <x v="1"/>
    <x v="1"/>
    <x v="0"/>
    <x v="1"/>
    <x v="2"/>
    <x v="2"/>
    <x v="3"/>
    <x v="1"/>
    <x v="1"/>
    <x v="2"/>
    <x v="1"/>
  </r>
  <r>
    <x v="3"/>
    <x v="1"/>
    <x v="0"/>
    <x v="2"/>
    <x v="8"/>
    <x v="5"/>
    <x v="1"/>
    <x v="1"/>
    <x v="0"/>
    <x v="2"/>
    <x v="2"/>
    <x v="2"/>
    <x v="3"/>
    <x v="1"/>
    <x v="1"/>
    <x v="3"/>
    <x v="1"/>
  </r>
  <r>
    <x v="3"/>
    <x v="1"/>
    <x v="0"/>
    <x v="2"/>
    <x v="9"/>
    <x v="5"/>
    <x v="1"/>
    <x v="1"/>
    <x v="2"/>
    <x v="2"/>
    <x v="2"/>
    <x v="2"/>
    <x v="3"/>
    <x v="1"/>
    <x v="1"/>
    <x v="3"/>
    <x v="1"/>
  </r>
  <r>
    <x v="3"/>
    <x v="1"/>
    <x v="0"/>
    <x v="2"/>
    <x v="10"/>
    <x v="5"/>
    <x v="1"/>
    <x v="1"/>
    <x v="0"/>
    <x v="2"/>
    <x v="2"/>
    <x v="3"/>
    <x v="3"/>
    <x v="1"/>
    <x v="1"/>
    <x v="3"/>
    <x v="1"/>
  </r>
  <r>
    <x v="3"/>
    <x v="1"/>
    <x v="0"/>
    <x v="2"/>
    <x v="11"/>
    <x v="5"/>
    <x v="1"/>
    <x v="1"/>
    <x v="0"/>
    <x v="2"/>
    <x v="2"/>
    <x v="2"/>
    <x v="3"/>
    <x v="1"/>
    <x v="1"/>
    <x v="3"/>
    <x v="1"/>
  </r>
  <r>
    <x v="3"/>
    <x v="1"/>
    <x v="0"/>
    <x v="0"/>
    <x v="15"/>
    <x v="5"/>
    <x v="1"/>
    <x v="1"/>
    <x v="2"/>
    <x v="2"/>
    <x v="2"/>
    <x v="3"/>
    <x v="3"/>
    <x v="1"/>
    <x v="1"/>
    <x v="3"/>
    <x v="1"/>
  </r>
  <r>
    <x v="3"/>
    <x v="1"/>
    <x v="0"/>
    <x v="0"/>
    <x v="16"/>
    <x v="5"/>
    <x v="1"/>
    <x v="1"/>
    <x v="0"/>
    <x v="1"/>
    <x v="2"/>
    <x v="2"/>
    <x v="3"/>
    <x v="1"/>
    <x v="1"/>
    <x v="3"/>
    <x v="1"/>
  </r>
  <r>
    <x v="3"/>
    <x v="1"/>
    <x v="0"/>
    <x v="0"/>
    <x v="17"/>
    <x v="5"/>
    <x v="1"/>
    <x v="1"/>
    <x v="0"/>
    <x v="2"/>
    <x v="2"/>
    <x v="2"/>
    <x v="3"/>
    <x v="1"/>
    <x v="1"/>
    <x v="2"/>
    <x v="1"/>
  </r>
  <r>
    <x v="3"/>
    <x v="1"/>
    <x v="0"/>
    <x v="5"/>
    <x v="7"/>
    <x v="5"/>
    <x v="1"/>
    <x v="1"/>
    <x v="0"/>
    <x v="2"/>
    <x v="2"/>
    <x v="2"/>
    <x v="3"/>
    <x v="1"/>
    <x v="1"/>
    <x v="3"/>
    <x v="1"/>
  </r>
  <r>
    <x v="3"/>
    <x v="1"/>
    <x v="0"/>
    <x v="5"/>
    <x v="8"/>
    <x v="5"/>
    <x v="1"/>
    <x v="1"/>
    <x v="0"/>
    <x v="2"/>
    <x v="2"/>
    <x v="2"/>
    <x v="3"/>
    <x v="1"/>
    <x v="1"/>
    <x v="3"/>
    <x v="1"/>
  </r>
  <r>
    <x v="3"/>
    <x v="1"/>
    <x v="0"/>
    <x v="5"/>
    <x v="9"/>
    <x v="5"/>
    <x v="1"/>
    <x v="1"/>
    <x v="2"/>
    <x v="2"/>
    <x v="2"/>
    <x v="2"/>
    <x v="3"/>
    <x v="1"/>
    <x v="1"/>
    <x v="3"/>
    <x v="1"/>
  </r>
  <r>
    <x v="3"/>
    <x v="1"/>
    <x v="0"/>
    <x v="5"/>
    <x v="10"/>
    <x v="5"/>
    <x v="1"/>
    <x v="1"/>
    <x v="0"/>
    <x v="2"/>
    <x v="2"/>
    <x v="3"/>
    <x v="3"/>
    <x v="1"/>
    <x v="1"/>
    <x v="3"/>
    <x v="1"/>
  </r>
  <r>
    <x v="3"/>
    <x v="1"/>
    <x v="0"/>
    <x v="5"/>
    <x v="11"/>
    <x v="5"/>
    <x v="1"/>
    <x v="1"/>
    <x v="0"/>
    <x v="2"/>
    <x v="2"/>
    <x v="2"/>
    <x v="3"/>
    <x v="1"/>
    <x v="1"/>
    <x v="3"/>
    <x v="1"/>
  </r>
  <r>
    <x v="3"/>
    <x v="1"/>
    <x v="0"/>
    <x v="6"/>
    <x v="7"/>
    <x v="5"/>
    <x v="1"/>
    <x v="1"/>
    <x v="0"/>
    <x v="1"/>
    <x v="2"/>
    <x v="2"/>
    <x v="3"/>
    <x v="1"/>
    <x v="1"/>
    <x v="3"/>
    <x v="1"/>
  </r>
  <r>
    <x v="3"/>
    <x v="1"/>
    <x v="0"/>
    <x v="6"/>
    <x v="8"/>
    <x v="5"/>
    <x v="1"/>
    <x v="1"/>
    <x v="0"/>
    <x v="2"/>
    <x v="2"/>
    <x v="2"/>
    <x v="3"/>
    <x v="1"/>
    <x v="1"/>
    <x v="3"/>
    <x v="1"/>
  </r>
  <r>
    <x v="3"/>
    <x v="1"/>
    <x v="0"/>
    <x v="6"/>
    <x v="9"/>
    <x v="5"/>
    <x v="1"/>
    <x v="1"/>
    <x v="0"/>
    <x v="2"/>
    <x v="2"/>
    <x v="2"/>
    <x v="3"/>
    <x v="1"/>
    <x v="1"/>
    <x v="3"/>
    <x v="1"/>
  </r>
  <r>
    <x v="3"/>
    <x v="1"/>
    <x v="0"/>
    <x v="6"/>
    <x v="10"/>
    <x v="5"/>
    <x v="1"/>
    <x v="1"/>
    <x v="0"/>
    <x v="2"/>
    <x v="2"/>
    <x v="2"/>
    <x v="3"/>
    <x v="1"/>
    <x v="1"/>
    <x v="3"/>
    <x v="1"/>
  </r>
  <r>
    <x v="3"/>
    <x v="1"/>
    <x v="0"/>
    <x v="6"/>
    <x v="11"/>
    <x v="5"/>
    <x v="1"/>
    <x v="1"/>
    <x v="0"/>
    <x v="2"/>
    <x v="2"/>
    <x v="2"/>
    <x v="3"/>
    <x v="1"/>
    <x v="1"/>
    <x v="3"/>
    <x v="1"/>
  </r>
  <r>
    <x v="3"/>
    <x v="1"/>
    <x v="0"/>
    <x v="7"/>
    <x v="7"/>
    <x v="5"/>
    <x v="1"/>
    <x v="1"/>
    <x v="0"/>
    <x v="2"/>
    <x v="2"/>
    <x v="2"/>
    <x v="3"/>
    <x v="1"/>
    <x v="1"/>
    <x v="2"/>
    <x v="1"/>
  </r>
  <r>
    <x v="3"/>
    <x v="1"/>
    <x v="0"/>
    <x v="7"/>
    <x v="8"/>
    <x v="5"/>
    <x v="1"/>
    <x v="1"/>
    <x v="0"/>
    <x v="2"/>
    <x v="2"/>
    <x v="2"/>
    <x v="3"/>
    <x v="1"/>
    <x v="1"/>
    <x v="3"/>
    <x v="1"/>
  </r>
  <r>
    <x v="3"/>
    <x v="1"/>
    <x v="0"/>
    <x v="7"/>
    <x v="9"/>
    <x v="5"/>
    <x v="1"/>
    <x v="1"/>
    <x v="0"/>
    <x v="2"/>
    <x v="2"/>
    <x v="2"/>
    <x v="3"/>
    <x v="1"/>
    <x v="1"/>
    <x v="3"/>
    <x v="1"/>
  </r>
  <r>
    <x v="3"/>
    <x v="1"/>
    <x v="0"/>
    <x v="7"/>
    <x v="10"/>
    <x v="5"/>
    <x v="1"/>
    <x v="1"/>
    <x v="0"/>
    <x v="2"/>
    <x v="2"/>
    <x v="2"/>
    <x v="3"/>
    <x v="1"/>
    <x v="1"/>
    <x v="3"/>
    <x v="1"/>
  </r>
  <r>
    <x v="3"/>
    <x v="1"/>
    <x v="0"/>
    <x v="7"/>
    <x v="11"/>
    <x v="5"/>
    <x v="1"/>
    <x v="1"/>
    <x v="0"/>
    <x v="2"/>
    <x v="2"/>
    <x v="2"/>
    <x v="3"/>
    <x v="1"/>
    <x v="1"/>
    <x v="3"/>
    <x v="1"/>
  </r>
  <r>
    <x v="3"/>
    <x v="1"/>
    <x v="0"/>
    <x v="0"/>
    <x v="18"/>
    <x v="5"/>
    <x v="1"/>
    <x v="1"/>
    <x v="2"/>
    <x v="1"/>
    <x v="2"/>
    <x v="2"/>
    <x v="3"/>
    <x v="1"/>
    <x v="1"/>
    <x v="2"/>
    <x v="1"/>
  </r>
  <r>
    <x v="3"/>
    <x v="1"/>
    <x v="0"/>
    <x v="3"/>
    <x v="1"/>
    <x v="5"/>
    <x v="1"/>
    <x v="1"/>
    <x v="2"/>
    <x v="2"/>
    <x v="2"/>
    <x v="2"/>
    <x v="3"/>
    <x v="1"/>
    <x v="1"/>
    <x v="2"/>
    <x v="1"/>
  </r>
  <r>
    <x v="3"/>
    <x v="1"/>
    <x v="0"/>
    <x v="3"/>
    <x v="2"/>
    <x v="5"/>
    <x v="1"/>
    <x v="1"/>
    <x v="0"/>
    <x v="1"/>
    <x v="2"/>
    <x v="2"/>
    <x v="3"/>
    <x v="1"/>
    <x v="1"/>
    <x v="3"/>
    <x v="1"/>
  </r>
  <r>
    <x v="3"/>
    <x v="1"/>
    <x v="0"/>
    <x v="3"/>
    <x v="3"/>
    <x v="5"/>
    <x v="1"/>
    <x v="1"/>
    <x v="0"/>
    <x v="2"/>
    <x v="2"/>
    <x v="2"/>
    <x v="3"/>
    <x v="1"/>
    <x v="1"/>
    <x v="3"/>
    <x v="1"/>
  </r>
  <r>
    <x v="3"/>
    <x v="1"/>
    <x v="0"/>
    <x v="0"/>
    <x v="19"/>
    <x v="5"/>
    <x v="1"/>
    <x v="1"/>
    <x v="2"/>
    <x v="1"/>
    <x v="2"/>
    <x v="3"/>
    <x v="3"/>
    <x v="1"/>
    <x v="1"/>
    <x v="2"/>
    <x v="1"/>
  </r>
  <r>
    <x v="3"/>
    <x v="1"/>
    <x v="0"/>
    <x v="4"/>
    <x v="4"/>
    <x v="5"/>
    <x v="1"/>
    <x v="1"/>
    <x v="2"/>
    <x v="1"/>
    <x v="2"/>
    <x v="2"/>
    <x v="3"/>
    <x v="1"/>
    <x v="1"/>
    <x v="3"/>
    <x v="1"/>
  </r>
  <r>
    <x v="3"/>
    <x v="1"/>
    <x v="0"/>
    <x v="4"/>
    <x v="5"/>
    <x v="5"/>
    <x v="1"/>
    <x v="1"/>
    <x v="0"/>
    <x v="2"/>
    <x v="2"/>
    <x v="3"/>
    <x v="3"/>
    <x v="1"/>
    <x v="1"/>
    <x v="2"/>
    <x v="1"/>
  </r>
  <r>
    <x v="3"/>
    <x v="1"/>
    <x v="0"/>
    <x v="4"/>
    <x v="6"/>
    <x v="5"/>
    <x v="1"/>
    <x v="1"/>
    <x v="0"/>
    <x v="2"/>
    <x v="2"/>
    <x v="2"/>
    <x v="3"/>
    <x v="1"/>
    <x v="1"/>
    <x v="3"/>
    <x v="1"/>
  </r>
  <r>
    <x v="3"/>
    <x v="2"/>
    <x v="1"/>
    <x v="0"/>
    <x v="20"/>
    <x v="5"/>
    <x v="1"/>
    <x v="4"/>
    <x v="2"/>
    <x v="2"/>
    <x v="2"/>
    <x v="2"/>
    <x v="3"/>
    <x v="1"/>
    <x v="1"/>
    <x v="3"/>
    <x v="1"/>
  </r>
  <r>
    <x v="3"/>
    <x v="2"/>
    <x v="1"/>
    <x v="1"/>
    <x v="1"/>
    <x v="5"/>
    <x v="1"/>
    <x v="4"/>
    <x v="0"/>
    <x v="2"/>
    <x v="2"/>
    <x v="2"/>
    <x v="3"/>
    <x v="1"/>
    <x v="1"/>
    <x v="3"/>
    <x v="1"/>
  </r>
  <r>
    <x v="3"/>
    <x v="2"/>
    <x v="1"/>
    <x v="1"/>
    <x v="2"/>
    <x v="5"/>
    <x v="1"/>
    <x v="1"/>
    <x v="0"/>
    <x v="2"/>
    <x v="2"/>
    <x v="2"/>
    <x v="3"/>
    <x v="1"/>
    <x v="1"/>
    <x v="3"/>
    <x v="1"/>
  </r>
  <r>
    <x v="3"/>
    <x v="2"/>
    <x v="1"/>
    <x v="1"/>
    <x v="3"/>
    <x v="5"/>
    <x v="1"/>
    <x v="1"/>
    <x v="0"/>
    <x v="2"/>
    <x v="2"/>
    <x v="2"/>
    <x v="3"/>
    <x v="1"/>
    <x v="1"/>
    <x v="3"/>
    <x v="1"/>
  </r>
  <r>
    <x v="3"/>
    <x v="2"/>
    <x v="1"/>
    <x v="1"/>
    <x v="4"/>
    <x v="5"/>
    <x v="1"/>
    <x v="1"/>
    <x v="2"/>
    <x v="2"/>
    <x v="2"/>
    <x v="2"/>
    <x v="3"/>
    <x v="1"/>
    <x v="1"/>
    <x v="3"/>
    <x v="1"/>
  </r>
  <r>
    <x v="3"/>
    <x v="2"/>
    <x v="1"/>
    <x v="1"/>
    <x v="5"/>
    <x v="5"/>
    <x v="1"/>
    <x v="1"/>
    <x v="0"/>
    <x v="2"/>
    <x v="2"/>
    <x v="2"/>
    <x v="3"/>
    <x v="1"/>
    <x v="1"/>
    <x v="3"/>
    <x v="1"/>
  </r>
  <r>
    <x v="3"/>
    <x v="2"/>
    <x v="1"/>
    <x v="1"/>
    <x v="6"/>
    <x v="5"/>
    <x v="1"/>
    <x v="1"/>
    <x v="0"/>
    <x v="2"/>
    <x v="2"/>
    <x v="2"/>
    <x v="3"/>
    <x v="1"/>
    <x v="1"/>
    <x v="3"/>
    <x v="1"/>
  </r>
  <r>
    <x v="3"/>
    <x v="2"/>
    <x v="1"/>
    <x v="8"/>
    <x v="1"/>
    <x v="108"/>
    <x v="69"/>
    <x v="4"/>
    <x v="0"/>
    <x v="157"/>
    <x v="207"/>
    <x v="215"/>
    <x v="239"/>
    <x v="238"/>
    <x v="247"/>
    <x v="254"/>
    <x v="172"/>
  </r>
  <r>
    <x v="3"/>
    <x v="2"/>
    <x v="1"/>
    <x v="8"/>
    <x v="2"/>
    <x v="108"/>
    <x v="69"/>
    <x v="1"/>
    <x v="0"/>
    <x v="157"/>
    <x v="207"/>
    <x v="215"/>
    <x v="239"/>
    <x v="238"/>
    <x v="247"/>
    <x v="254"/>
    <x v="172"/>
  </r>
  <r>
    <x v="3"/>
    <x v="2"/>
    <x v="1"/>
    <x v="8"/>
    <x v="3"/>
    <x v="108"/>
    <x v="69"/>
    <x v="1"/>
    <x v="0"/>
    <x v="157"/>
    <x v="207"/>
    <x v="215"/>
    <x v="239"/>
    <x v="238"/>
    <x v="247"/>
    <x v="254"/>
    <x v="172"/>
  </r>
  <r>
    <x v="3"/>
    <x v="2"/>
    <x v="1"/>
    <x v="8"/>
    <x v="4"/>
    <x v="108"/>
    <x v="69"/>
    <x v="1"/>
    <x v="2"/>
    <x v="157"/>
    <x v="207"/>
    <x v="215"/>
    <x v="239"/>
    <x v="238"/>
    <x v="247"/>
    <x v="254"/>
    <x v="172"/>
  </r>
  <r>
    <x v="3"/>
    <x v="2"/>
    <x v="1"/>
    <x v="8"/>
    <x v="5"/>
    <x v="108"/>
    <x v="69"/>
    <x v="1"/>
    <x v="0"/>
    <x v="157"/>
    <x v="207"/>
    <x v="215"/>
    <x v="239"/>
    <x v="238"/>
    <x v="247"/>
    <x v="254"/>
    <x v="172"/>
  </r>
  <r>
    <x v="3"/>
    <x v="2"/>
    <x v="1"/>
    <x v="8"/>
    <x v="6"/>
    <x v="108"/>
    <x v="69"/>
    <x v="1"/>
    <x v="0"/>
    <x v="157"/>
    <x v="207"/>
    <x v="215"/>
    <x v="239"/>
    <x v="238"/>
    <x v="247"/>
    <x v="254"/>
    <x v="172"/>
  </r>
  <r>
    <x v="3"/>
    <x v="2"/>
    <x v="1"/>
    <x v="2"/>
    <x v="7"/>
    <x v="5"/>
    <x v="1"/>
    <x v="1"/>
    <x v="2"/>
    <x v="2"/>
    <x v="2"/>
    <x v="2"/>
    <x v="3"/>
    <x v="1"/>
    <x v="1"/>
    <x v="3"/>
    <x v="1"/>
  </r>
  <r>
    <x v="3"/>
    <x v="2"/>
    <x v="1"/>
    <x v="2"/>
    <x v="8"/>
    <x v="5"/>
    <x v="1"/>
    <x v="1"/>
    <x v="0"/>
    <x v="2"/>
    <x v="2"/>
    <x v="2"/>
    <x v="3"/>
    <x v="1"/>
    <x v="1"/>
    <x v="3"/>
    <x v="1"/>
  </r>
  <r>
    <x v="3"/>
    <x v="2"/>
    <x v="1"/>
    <x v="2"/>
    <x v="9"/>
    <x v="5"/>
    <x v="1"/>
    <x v="4"/>
    <x v="0"/>
    <x v="2"/>
    <x v="2"/>
    <x v="2"/>
    <x v="3"/>
    <x v="1"/>
    <x v="1"/>
    <x v="3"/>
    <x v="1"/>
  </r>
  <r>
    <x v="3"/>
    <x v="2"/>
    <x v="1"/>
    <x v="2"/>
    <x v="10"/>
    <x v="5"/>
    <x v="1"/>
    <x v="1"/>
    <x v="0"/>
    <x v="2"/>
    <x v="2"/>
    <x v="2"/>
    <x v="3"/>
    <x v="1"/>
    <x v="1"/>
    <x v="3"/>
    <x v="1"/>
  </r>
  <r>
    <x v="3"/>
    <x v="2"/>
    <x v="1"/>
    <x v="2"/>
    <x v="11"/>
    <x v="5"/>
    <x v="1"/>
    <x v="1"/>
    <x v="0"/>
    <x v="2"/>
    <x v="2"/>
    <x v="2"/>
    <x v="3"/>
    <x v="1"/>
    <x v="1"/>
    <x v="3"/>
    <x v="1"/>
  </r>
  <r>
    <x v="3"/>
    <x v="2"/>
    <x v="1"/>
    <x v="0"/>
    <x v="21"/>
    <x v="5"/>
    <x v="1"/>
    <x v="4"/>
    <x v="2"/>
    <x v="2"/>
    <x v="2"/>
    <x v="2"/>
    <x v="3"/>
    <x v="1"/>
    <x v="1"/>
    <x v="3"/>
    <x v="1"/>
  </r>
  <r>
    <x v="3"/>
    <x v="2"/>
    <x v="1"/>
    <x v="3"/>
    <x v="1"/>
    <x v="5"/>
    <x v="1"/>
    <x v="4"/>
    <x v="0"/>
    <x v="2"/>
    <x v="2"/>
    <x v="2"/>
    <x v="3"/>
    <x v="1"/>
    <x v="1"/>
    <x v="3"/>
    <x v="1"/>
  </r>
  <r>
    <x v="3"/>
    <x v="2"/>
    <x v="1"/>
    <x v="3"/>
    <x v="2"/>
    <x v="5"/>
    <x v="1"/>
    <x v="1"/>
    <x v="2"/>
    <x v="2"/>
    <x v="2"/>
    <x v="2"/>
    <x v="3"/>
    <x v="1"/>
    <x v="1"/>
    <x v="3"/>
    <x v="1"/>
  </r>
  <r>
    <x v="3"/>
    <x v="2"/>
    <x v="1"/>
    <x v="3"/>
    <x v="3"/>
    <x v="5"/>
    <x v="1"/>
    <x v="1"/>
    <x v="0"/>
    <x v="2"/>
    <x v="2"/>
    <x v="2"/>
    <x v="3"/>
    <x v="1"/>
    <x v="1"/>
    <x v="3"/>
    <x v="1"/>
  </r>
  <r>
    <x v="3"/>
    <x v="2"/>
    <x v="1"/>
    <x v="9"/>
    <x v="1"/>
    <x v="5"/>
    <x v="1"/>
    <x v="79"/>
    <x v="0"/>
    <x v="2"/>
    <x v="2"/>
    <x v="2"/>
    <x v="3"/>
    <x v="1"/>
    <x v="1"/>
    <x v="3"/>
    <x v="4"/>
  </r>
  <r>
    <x v="3"/>
    <x v="2"/>
    <x v="1"/>
    <x v="9"/>
    <x v="2"/>
    <x v="5"/>
    <x v="1"/>
    <x v="1"/>
    <x v="23"/>
    <x v="2"/>
    <x v="2"/>
    <x v="2"/>
    <x v="3"/>
    <x v="1"/>
    <x v="1"/>
    <x v="3"/>
    <x v="4"/>
  </r>
  <r>
    <x v="3"/>
    <x v="2"/>
    <x v="1"/>
    <x v="9"/>
    <x v="3"/>
    <x v="5"/>
    <x v="1"/>
    <x v="1"/>
    <x v="0"/>
    <x v="2"/>
    <x v="2"/>
    <x v="2"/>
    <x v="3"/>
    <x v="1"/>
    <x v="1"/>
    <x v="3"/>
    <x v="4"/>
  </r>
  <r>
    <x v="3"/>
    <x v="2"/>
    <x v="1"/>
    <x v="0"/>
    <x v="22"/>
    <x v="5"/>
    <x v="1"/>
    <x v="4"/>
    <x v="2"/>
    <x v="2"/>
    <x v="2"/>
    <x v="2"/>
    <x v="3"/>
    <x v="1"/>
    <x v="1"/>
    <x v="3"/>
    <x v="1"/>
  </r>
  <r>
    <x v="3"/>
    <x v="2"/>
    <x v="1"/>
    <x v="4"/>
    <x v="4"/>
    <x v="5"/>
    <x v="1"/>
    <x v="4"/>
    <x v="2"/>
    <x v="2"/>
    <x v="2"/>
    <x v="2"/>
    <x v="3"/>
    <x v="1"/>
    <x v="1"/>
    <x v="3"/>
    <x v="1"/>
  </r>
  <r>
    <x v="3"/>
    <x v="2"/>
    <x v="1"/>
    <x v="4"/>
    <x v="5"/>
    <x v="5"/>
    <x v="1"/>
    <x v="1"/>
    <x v="0"/>
    <x v="2"/>
    <x v="2"/>
    <x v="2"/>
    <x v="3"/>
    <x v="1"/>
    <x v="1"/>
    <x v="3"/>
    <x v="1"/>
  </r>
  <r>
    <x v="3"/>
    <x v="2"/>
    <x v="1"/>
    <x v="4"/>
    <x v="6"/>
    <x v="5"/>
    <x v="1"/>
    <x v="1"/>
    <x v="0"/>
    <x v="2"/>
    <x v="2"/>
    <x v="2"/>
    <x v="3"/>
    <x v="1"/>
    <x v="1"/>
    <x v="3"/>
    <x v="1"/>
  </r>
  <r>
    <x v="3"/>
    <x v="2"/>
    <x v="1"/>
    <x v="10"/>
    <x v="4"/>
    <x v="5"/>
    <x v="1"/>
    <x v="79"/>
    <x v="7"/>
    <x v="2"/>
    <x v="2"/>
    <x v="2"/>
    <x v="3"/>
    <x v="1"/>
    <x v="1"/>
    <x v="3"/>
    <x v="1"/>
  </r>
  <r>
    <x v="3"/>
    <x v="2"/>
    <x v="1"/>
    <x v="10"/>
    <x v="5"/>
    <x v="5"/>
    <x v="1"/>
    <x v="1"/>
    <x v="0"/>
    <x v="2"/>
    <x v="2"/>
    <x v="2"/>
    <x v="3"/>
    <x v="1"/>
    <x v="1"/>
    <x v="3"/>
    <x v="1"/>
  </r>
  <r>
    <x v="3"/>
    <x v="2"/>
    <x v="1"/>
    <x v="10"/>
    <x v="6"/>
    <x v="5"/>
    <x v="1"/>
    <x v="1"/>
    <x v="0"/>
    <x v="2"/>
    <x v="2"/>
    <x v="2"/>
    <x v="3"/>
    <x v="1"/>
    <x v="1"/>
    <x v="3"/>
    <x v="1"/>
  </r>
  <r>
    <x v="3"/>
    <x v="0"/>
    <x v="2"/>
    <x v="0"/>
    <x v="23"/>
    <x v="5"/>
    <x v="1"/>
    <x v="4"/>
    <x v="4"/>
    <x v="3"/>
    <x v="1"/>
    <x v="4"/>
    <x v="5"/>
    <x v="4"/>
    <x v="16"/>
    <x v="0"/>
    <x v="9"/>
  </r>
  <r>
    <x v="3"/>
    <x v="0"/>
    <x v="2"/>
    <x v="1"/>
    <x v="1"/>
    <x v="5"/>
    <x v="1"/>
    <x v="4"/>
    <x v="2"/>
    <x v="1"/>
    <x v="4"/>
    <x v="3"/>
    <x v="1"/>
    <x v="3"/>
    <x v="0"/>
    <x v="2"/>
    <x v="0"/>
  </r>
  <r>
    <x v="3"/>
    <x v="0"/>
    <x v="2"/>
    <x v="1"/>
    <x v="2"/>
    <x v="5"/>
    <x v="1"/>
    <x v="1"/>
    <x v="0"/>
    <x v="2"/>
    <x v="2"/>
    <x v="2"/>
    <x v="3"/>
    <x v="1"/>
    <x v="1"/>
    <x v="3"/>
    <x v="1"/>
  </r>
  <r>
    <x v="3"/>
    <x v="0"/>
    <x v="2"/>
    <x v="1"/>
    <x v="3"/>
    <x v="5"/>
    <x v="1"/>
    <x v="1"/>
    <x v="0"/>
    <x v="2"/>
    <x v="2"/>
    <x v="2"/>
    <x v="3"/>
    <x v="1"/>
    <x v="1"/>
    <x v="3"/>
    <x v="1"/>
  </r>
  <r>
    <x v="3"/>
    <x v="0"/>
    <x v="2"/>
    <x v="1"/>
    <x v="4"/>
    <x v="5"/>
    <x v="1"/>
    <x v="1"/>
    <x v="2"/>
    <x v="1"/>
    <x v="4"/>
    <x v="3"/>
    <x v="1"/>
    <x v="3"/>
    <x v="0"/>
    <x v="2"/>
    <x v="0"/>
  </r>
  <r>
    <x v="3"/>
    <x v="0"/>
    <x v="2"/>
    <x v="1"/>
    <x v="5"/>
    <x v="5"/>
    <x v="1"/>
    <x v="1"/>
    <x v="0"/>
    <x v="2"/>
    <x v="2"/>
    <x v="3"/>
    <x v="1"/>
    <x v="3"/>
    <x v="0"/>
    <x v="1"/>
    <x v="3"/>
  </r>
  <r>
    <x v="3"/>
    <x v="0"/>
    <x v="2"/>
    <x v="1"/>
    <x v="6"/>
    <x v="5"/>
    <x v="1"/>
    <x v="1"/>
    <x v="0"/>
    <x v="2"/>
    <x v="2"/>
    <x v="2"/>
    <x v="3"/>
    <x v="1"/>
    <x v="1"/>
    <x v="3"/>
    <x v="1"/>
  </r>
  <r>
    <x v="3"/>
    <x v="0"/>
    <x v="2"/>
    <x v="2"/>
    <x v="7"/>
    <x v="5"/>
    <x v="1"/>
    <x v="1"/>
    <x v="2"/>
    <x v="1"/>
    <x v="4"/>
    <x v="3"/>
    <x v="1"/>
    <x v="3"/>
    <x v="0"/>
    <x v="1"/>
    <x v="3"/>
  </r>
  <r>
    <x v="3"/>
    <x v="0"/>
    <x v="2"/>
    <x v="2"/>
    <x v="8"/>
    <x v="5"/>
    <x v="1"/>
    <x v="1"/>
    <x v="0"/>
    <x v="2"/>
    <x v="2"/>
    <x v="2"/>
    <x v="3"/>
    <x v="1"/>
    <x v="1"/>
    <x v="3"/>
    <x v="1"/>
  </r>
  <r>
    <x v="3"/>
    <x v="0"/>
    <x v="2"/>
    <x v="2"/>
    <x v="9"/>
    <x v="5"/>
    <x v="1"/>
    <x v="4"/>
    <x v="2"/>
    <x v="1"/>
    <x v="4"/>
    <x v="3"/>
    <x v="1"/>
    <x v="3"/>
    <x v="0"/>
    <x v="2"/>
    <x v="0"/>
  </r>
  <r>
    <x v="3"/>
    <x v="0"/>
    <x v="2"/>
    <x v="2"/>
    <x v="10"/>
    <x v="5"/>
    <x v="1"/>
    <x v="1"/>
    <x v="0"/>
    <x v="2"/>
    <x v="2"/>
    <x v="3"/>
    <x v="1"/>
    <x v="3"/>
    <x v="0"/>
    <x v="2"/>
    <x v="0"/>
  </r>
  <r>
    <x v="3"/>
    <x v="0"/>
    <x v="2"/>
    <x v="2"/>
    <x v="11"/>
    <x v="5"/>
    <x v="1"/>
    <x v="1"/>
    <x v="0"/>
    <x v="2"/>
    <x v="2"/>
    <x v="2"/>
    <x v="3"/>
    <x v="1"/>
    <x v="1"/>
    <x v="3"/>
    <x v="1"/>
  </r>
  <r>
    <x v="3"/>
    <x v="0"/>
    <x v="2"/>
    <x v="0"/>
    <x v="24"/>
    <x v="5"/>
    <x v="1"/>
    <x v="4"/>
    <x v="4"/>
    <x v="3"/>
    <x v="1"/>
    <x v="1"/>
    <x v="2"/>
    <x v="2"/>
    <x v="2"/>
    <x v="4"/>
    <x v="2"/>
  </r>
  <r>
    <x v="3"/>
    <x v="0"/>
    <x v="2"/>
    <x v="3"/>
    <x v="1"/>
    <x v="5"/>
    <x v="1"/>
    <x v="4"/>
    <x v="2"/>
    <x v="1"/>
    <x v="4"/>
    <x v="3"/>
    <x v="1"/>
    <x v="3"/>
    <x v="0"/>
    <x v="1"/>
    <x v="3"/>
  </r>
  <r>
    <x v="3"/>
    <x v="0"/>
    <x v="2"/>
    <x v="3"/>
    <x v="2"/>
    <x v="5"/>
    <x v="1"/>
    <x v="1"/>
    <x v="2"/>
    <x v="1"/>
    <x v="4"/>
    <x v="3"/>
    <x v="1"/>
    <x v="3"/>
    <x v="0"/>
    <x v="2"/>
    <x v="0"/>
  </r>
  <r>
    <x v="3"/>
    <x v="0"/>
    <x v="2"/>
    <x v="3"/>
    <x v="3"/>
    <x v="5"/>
    <x v="1"/>
    <x v="1"/>
    <x v="0"/>
    <x v="2"/>
    <x v="2"/>
    <x v="2"/>
    <x v="3"/>
    <x v="1"/>
    <x v="1"/>
    <x v="3"/>
    <x v="1"/>
  </r>
  <r>
    <x v="3"/>
    <x v="0"/>
    <x v="2"/>
    <x v="0"/>
    <x v="25"/>
    <x v="5"/>
    <x v="1"/>
    <x v="4"/>
    <x v="4"/>
    <x v="3"/>
    <x v="1"/>
    <x v="4"/>
    <x v="5"/>
    <x v="4"/>
    <x v="16"/>
    <x v="0"/>
    <x v="9"/>
  </r>
  <r>
    <x v="3"/>
    <x v="0"/>
    <x v="2"/>
    <x v="4"/>
    <x v="4"/>
    <x v="5"/>
    <x v="1"/>
    <x v="4"/>
    <x v="4"/>
    <x v="3"/>
    <x v="1"/>
    <x v="1"/>
    <x v="2"/>
    <x v="2"/>
    <x v="2"/>
    <x v="1"/>
    <x v="3"/>
  </r>
  <r>
    <x v="3"/>
    <x v="0"/>
    <x v="2"/>
    <x v="4"/>
    <x v="5"/>
    <x v="5"/>
    <x v="1"/>
    <x v="1"/>
    <x v="0"/>
    <x v="2"/>
    <x v="2"/>
    <x v="3"/>
    <x v="1"/>
    <x v="3"/>
    <x v="0"/>
    <x v="1"/>
    <x v="3"/>
  </r>
  <r>
    <x v="3"/>
    <x v="0"/>
    <x v="2"/>
    <x v="4"/>
    <x v="6"/>
    <x v="5"/>
    <x v="1"/>
    <x v="1"/>
    <x v="0"/>
    <x v="2"/>
    <x v="2"/>
    <x v="2"/>
    <x v="3"/>
    <x v="1"/>
    <x v="1"/>
    <x v="3"/>
    <x v="1"/>
  </r>
  <r>
    <x v="3"/>
    <x v="1"/>
    <x v="2"/>
    <x v="0"/>
    <x v="26"/>
    <x v="5"/>
    <x v="1"/>
    <x v="1"/>
    <x v="2"/>
    <x v="3"/>
    <x v="1"/>
    <x v="4"/>
    <x v="5"/>
    <x v="4"/>
    <x v="16"/>
    <x v="0"/>
    <x v="9"/>
  </r>
  <r>
    <x v="3"/>
    <x v="1"/>
    <x v="2"/>
    <x v="1"/>
    <x v="1"/>
    <x v="5"/>
    <x v="1"/>
    <x v="1"/>
    <x v="2"/>
    <x v="1"/>
    <x v="4"/>
    <x v="3"/>
    <x v="1"/>
    <x v="3"/>
    <x v="0"/>
    <x v="2"/>
    <x v="0"/>
  </r>
  <r>
    <x v="3"/>
    <x v="1"/>
    <x v="2"/>
    <x v="1"/>
    <x v="2"/>
    <x v="5"/>
    <x v="1"/>
    <x v="1"/>
    <x v="0"/>
    <x v="2"/>
    <x v="2"/>
    <x v="2"/>
    <x v="3"/>
    <x v="1"/>
    <x v="1"/>
    <x v="3"/>
    <x v="1"/>
  </r>
  <r>
    <x v="3"/>
    <x v="1"/>
    <x v="2"/>
    <x v="1"/>
    <x v="3"/>
    <x v="5"/>
    <x v="1"/>
    <x v="1"/>
    <x v="0"/>
    <x v="2"/>
    <x v="2"/>
    <x v="2"/>
    <x v="3"/>
    <x v="1"/>
    <x v="1"/>
    <x v="3"/>
    <x v="1"/>
  </r>
  <r>
    <x v="3"/>
    <x v="1"/>
    <x v="2"/>
    <x v="1"/>
    <x v="4"/>
    <x v="5"/>
    <x v="1"/>
    <x v="1"/>
    <x v="0"/>
    <x v="1"/>
    <x v="4"/>
    <x v="3"/>
    <x v="1"/>
    <x v="3"/>
    <x v="0"/>
    <x v="2"/>
    <x v="0"/>
  </r>
  <r>
    <x v="3"/>
    <x v="1"/>
    <x v="2"/>
    <x v="1"/>
    <x v="5"/>
    <x v="5"/>
    <x v="1"/>
    <x v="1"/>
    <x v="0"/>
    <x v="2"/>
    <x v="2"/>
    <x v="3"/>
    <x v="1"/>
    <x v="3"/>
    <x v="0"/>
    <x v="1"/>
    <x v="3"/>
  </r>
  <r>
    <x v="3"/>
    <x v="1"/>
    <x v="2"/>
    <x v="1"/>
    <x v="6"/>
    <x v="5"/>
    <x v="1"/>
    <x v="1"/>
    <x v="0"/>
    <x v="2"/>
    <x v="2"/>
    <x v="2"/>
    <x v="3"/>
    <x v="1"/>
    <x v="1"/>
    <x v="3"/>
    <x v="1"/>
  </r>
  <r>
    <x v="3"/>
    <x v="1"/>
    <x v="2"/>
    <x v="11"/>
    <x v="1"/>
    <x v="108"/>
    <x v="69"/>
    <x v="103"/>
    <x v="2"/>
    <x v="10"/>
    <x v="7"/>
    <x v="5"/>
    <x v="6"/>
    <x v="6"/>
    <x v="153"/>
    <x v="109"/>
    <x v="107"/>
  </r>
  <r>
    <x v="3"/>
    <x v="1"/>
    <x v="2"/>
    <x v="11"/>
    <x v="2"/>
    <x v="108"/>
    <x v="69"/>
    <x v="103"/>
    <x v="0"/>
    <x v="2"/>
    <x v="2"/>
    <x v="2"/>
    <x v="3"/>
    <x v="1"/>
    <x v="1"/>
    <x v="3"/>
    <x v="1"/>
  </r>
  <r>
    <x v="3"/>
    <x v="1"/>
    <x v="2"/>
    <x v="11"/>
    <x v="3"/>
    <x v="108"/>
    <x v="69"/>
    <x v="103"/>
    <x v="0"/>
    <x v="2"/>
    <x v="2"/>
    <x v="2"/>
    <x v="3"/>
    <x v="1"/>
    <x v="1"/>
    <x v="3"/>
    <x v="1"/>
  </r>
  <r>
    <x v="3"/>
    <x v="1"/>
    <x v="2"/>
    <x v="11"/>
    <x v="4"/>
    <x v="108"/>
    <x v="69"/>
    <x v="103"/>
    <x v="0"/>
    <x v="10"/>
    <x v="7"/>
    <x v="5"/>
    <x v="6"/>
    <x v="6"/>
    <x v="153"/>
    <x v="109"/>
    <x v="107"/>
  </r>
  <r>
    <x v="3"/>
    <x v="1"/>
    <x v="2"/>
    <x v="11"/>
    <x v="5"/>
    <x v="108"/>
    <x v="69"/>
    <x v="103"/>
    <x v="0"/>
    <x v="2"/>
    <x v="2"/>
    <x v="5"/>
    <x v="6"/>
    <x v="6"/>
    <x v="153"/>
    <x v="6"/>
    <x v="114"/>
  </r>
  <r>
    <x v="3"/>
    <x v="1"/>
    <x v="2"/>
    <x v="11"/>
    <x v="6"/>
    <x v="108"/>
    <x v="69"/>
    <x v="103"/>
    <x v="0"/>
    <x v="2"/>
    <x v="2"/>
    <x v="2"/>
    <x v="3"/>
    <x v="1"/>
    <x v="1"/>
    <x v="3"/>
    <x v="1"/>
  </r>
  <r>
    <x v="3"/>
    <x v="1"/>
    <x v="2"/>
    <x v="2"/>
    <x v="7"/>
    <x v="5"/>
    <x v="1"/>
    <x v="1"/>
    <x v="0"/>
    <x v="1"/>
    <x v="4"/>
    <x v="3"/>
    <x v="1"/>
    <x v="3"/>
    <x v="0"/>
    <x v="1"/>
    <x v="3"/>
  </r>
  <r>
    <x v="3"/>
    <x v="1"/>
    <x v="2"/>
    <x v="2"/>
    <x v="8"/>
    <x v="5"/>
    <x v="1"/>
    <x v="1"/>
    <x v="0"/>
    <x v="2"/>
    <x v="2"/>
    <x v="2"/>
    <x v="3"/>
    <x v="1"/>
    <x v="1"/>
    <x v="3"/>
    <x v="1"/>
  </r>
  <r>
    <x v="3"/>
    <x v="1"/>
    <x v="2"/>
    <x v="2"/>
    <x v="9"/>
    <x v="5"/>
    <x v="1"/>
    <x v="1"/>
    <x v="2"/>
    <x v="1"/>
    <x v="4"/>
    <x v="3"/>
    <x v="1"/>
    <x v="3"/>
    <x v="0"/>
    <x v="2"/>
    <x v="0"/>
  </r>
  <r>
    <x v="3"/>
    <x v="1"/>
    <x v="2"/>
    <x v="2"/>
    <x v="10"/>
    <x v="5"/>
    <x v="1"/>
    <x v="1"/>
    <x v="0"/>
    <x v="2"/>
    <x v="2"/>
    <x v="3"/>
    <x v="1"/>
    <x v="3"/>
    <x v="0"/>
    <x v="2"/>
    <x v="0"/>
  </r>
  <r>
    <x v="3"/>
    <x v="1"/>
    <x v="2"/>
    <x v="2"/>
    <x v="11"/>
    <x v="5"/>
    <x v="1"/>
    <x v="1"/>
    <x v="0"/>
    <x v="2"/>
    <x v="2"/>
    <x v="2"/>
    <x v="3"/>
    <x v="1"/>
    <x v="1"/>
    <x v="3"/>
    <x v="1"/>
  </r>
  <r>
    <x v="3"/>
    <x v="1"/>
    <x v="2"/>
    <x v="0"/>
    <x v="27"/>
    <x v="5"/>
    <x v="1"/>
    <x v="1"/>
    <x v="2"/>
    <x v="3"/>
    <x v="1"/>
    <x v="1"/>
    <x v="2"/>
    <x v="2"/>
    <x v="2"/>
    <x v="4"/>
    <x v="2"/>
  </r>
  <r>
    <x v="3"/>
    <x v="1"/>
    <x v="2"/>
    <x v="3"/>
    <x v="1"/>
    <x v="5"/>
    <x v="1"/>
    <x v="1"/>
    <x v="2"/>
    <x v="1"/>
    <x v="4"/>
    <x v="3"/>
    <x v="1"/>
    <x v="3"/>
    <x v="0"/>
    <x v="1"/>
    <x v="3"/>
  </r>
  <r>
    <x v="3"/>
    <x v="1"/>
    <x v="2"/>
    <x v="3"/>
    <x v="2"/>
    <x v="5"/>
    <x v="1"/>
    <x v="1"/>
    <x v="0"/>
    <x v="1"/>
    <x v="4"/>
    <x v="3"/>
    <x v="1"/>
    <x v="3"/>
    <x v="0"/>
    <x v="2"/>
    <x v="0"/>
  </r>
  <r>
    <x v="3"/>
    <x v="1"/>
    <x v="2"/>
    <x v="3"/>
    <x v="3"/>
    <x v="5"/>
    <x v="1"/>
    <x v="1"/>
    <x v="0"/>
    <x v="2"/>
    <x v="2"/>
    <x v="2"/>
    <x v="3"/>
    <x v="1"/>
    <x v="1"/>
    <x v="3"/>
    <x v="1"/>
  </r>
  <r>
    <x v="3"/>
    <x v="1"/>
    <x v="2"/>
    <x v="12"/>
    <x v="1"/>
    <x v="108"/>
    <x v="69"/>
    <x v="103"/>
    <x v="2"/>
    <x v="10"/>
    <x v="7"/>
    <x v="26"/>
    <x v="7"/>
    <x v="105"/>
    <x v="3"/>
    <x v="7"/>
    <x v="252"/>
  </r>
  <r>
    <x v="3"/>
    <x v="1"/>
    <x v="2"/>
    <x v="12"/>
    <x v="2"/>
    <x v="108"/>
    <x v="69"/>
    <x v="103"/>
    <x v="0"/>
    <x v="10"/>
    <x v="7"/>
    <x v="26"/>
    <x v="7"/>
    <x v="105"/>
    <x v="3"/>
    <x v="5"/>
    <x v="25"/>
  </r>
  <r>
    <x v="3"/>
    <x v="1"/>
    <x v="2"/>
    <x v="12"/>
    <x v="3"/>
    <x v="108"/>
    <x v="69"/>
    <x v="103"/>
    <x v="0"/>
    <x v="2"/>
    <x v="2"/>
    <x v="2"/>
    <x v="3"/>
    <x v="1"/>
    <x v="1"/>
    <x v="3"/>
    <x v="1"/>
  </r>
  <r>
    <x v="3"/>
    <x v="1"/>
    <x v="2"/>
    <x v="0"/>
    <x v="28"/>
    <x v="5"/>
    <x v="1"/>
    <x v="1"/>
    <x v="2"/>
    <x v="3"/>
    <x v="1"/>
    <x v="4"/>
    <x v="5"/>
    <x v="4"/>
    <x v="16"/>
    <x v="0"/>
    <x v="9"/>
  </r>
  <r>
    <x v="3"/>
    <x v="1"/>
    <x v="2"/>
    <x v="4"/>
    <x v="4"/>
    <x v="5"/>
    <x v="1"/>
    <x v="1"/>
    <x v="2"/>
    <x v="3"/>
    <x v="1"/>
    <x v="1"/>
    <x v="2"/>
    <x v="2"/>
    <x v="2"/>
    <x v="1"/>
    <x v="3"/>
  </r>
  <r>
    <x v="3"/>
    <x v="1"/>
    <x v="2"/>
    <x v="4"/>
    <x v="5"/>
    <x v="5"/>
    <x v="1"/>
    <x v="1"/>
    <x v="0"/>
    <x v="2"/>
    <x v="2"/>
    <x v="3"/>
    <x v="1"/>
    <x v="3"/>
    <x v="0"/>
    <x v="1"/>
    <x v="3"/>
  </r>
  <r>
    <x v="3"/>
    <x v="1"/>
    <x v="2"/>
    <x v="4"/>
    <x v="6"/>
    <x v="5"/>
    <x v="1"/>
    <x v="1"/>
    <x v="0"/>
    <x v="2"/>
    <x v="2"/>
    <x v="2"/>
    <x v="3"/>
    <x v="1"/>
    <x v="1"/>
    <x v="3"/>
    <x v="1"/>
  </r>
  <r>
    <x v="3"/>
    <x v="1"/>
    <x v="2"/>
    <x v="13"/>
    <x v="4"/>
    <x v="108"/>
    <x v="69"/>
    <x v="103"/>
    <x v="2"/>
    <x v="1"/>
    <x v="4"/>
    <x v="97"/>
    <x v="110"/>
    <x v="7"/>
    <x v="152"/>
    <x v="6"/>
    <x v="114"/>
  </r>
  <r>
    <x v="3"/>
    <x v="1"/>
    <x v="2"/>
    <x v="13"/>
    <x v="5"/>
    <x v="108"/>
    <x v="69"/>
    <x v="103"/>
    <x v="0"/>
    <x v="2"/>
    <x v="2"/>
    <x v="5"/>
    <x v="6"/>
    <x v="6"/>
    <x v="153"/>
    <x v="6"/>
    <x v="114"/>
  </r>
  <r>
    <x v="3"/>
    <x v="1"/>
    <x v="2"/>
    <x v="13"/>
    <x v="6"/>
    <x v="108"/>
    <x v="69"/>
    <x v="103"/>
    <x v="0"/>
    <x v="2"/>
    <x v="2"/>
    <x v="2"/>
    <x v="3"/>
    <x v="1"/>
    <x v="1"/>
    <x v="3"/>
    <x v="1"/>
  </r>
  <r>
    <x v="3"/>
    <x v="1"/>
    <x v="2"/>
    <x v="0"/>
    <x v="29"/>
    <x v="5"/>
    <x v="1"/>
    <x v="1"/>
    <x v="2"/>
    <x v="1"/>
    <x v="4"/>
    <x v="1"/>
    <x v="2"/>
    <x v="2"/>
    <x v="2"/>
    <x v="1"/>
    <x v="3"/>
  </r>
  <r>
    <x v="3"/>
    <x v="1"/>
    <x v="2"/>
    <x v="0"/>
    <x v="30"/>
    <x v="5"/>
    <x v="1"/>
    <x v="1"/>
    <x v="0"/>
    <x v="1"/>
    <x v="4"/>
    <x v="3"/>
    <x v="1"/>
    <x v="3"/>
    <x v="0"/>
    <x v="2"/>
    <x v="0"/>
  </r>
  <r>
    <x v="3"/>
    <x v="1"/>
    <x v="2"/>
    <x v="0"/>
    <x v="31"/>
    <x v="5"/>
    <x v="1"/>
    <x v="1"/>
    <x v="0"/>
    <x v="2"/>
    <x v="2"/>
    <x v="2"/>
    <x v="3"/>
    <x v="1"/>
    <x v="1"/>
    <x v="2"/>
    <x v="0"/>
  </r>
  <r>
    <x v="3"/>
    <x v="1"/>
    <x v="2"/>
    <x v="14"/>
    <x v="7"/>
    <x v="5"/>
    <x v="1"/>
    <x v="1"/>
    <x v="0"/>
    <x v="2"/>
    <x v="2"/>
    <x v="2"/>
    <x v="3"/>
    <x v="1"/>
    <x v="1"/>
    <x v="3"/>
    <x v="1"/>
  </r>
  <r>
    <x v="3"/>
    <x v="1"/>
    <x v="2"/>
    <x v="14"/>
    <x v="8"/>
    <x v="5"/>
    <x v="1"/>
    <x v="1"/>
    <x v="0"/>
    <x v="2"/>
    <x v="2"/>
    <x v="2"/>
    <x v="3"/>
    <x v="1"/>
    <x v="1"/>
    <x v="3"/>
    <x v="1"/>
  </r>
  <r>
    <x v="3"/>
    <x v="1"/>
    <x v="2"/>
    <x v="14"/>
    <x v="9"/>
    <x v="5"/>
    <x v="1"/>
    <x v="1"/>
    <x v="2"/>
    <x v="1"/>
    <x v="4"/>
    <x v="3"/>
    <x v="1"/>
    <x v="3"/>
    <x v="0"/>
    <x v="2"/>
    <x v="0"/>
  </r>
  <r>
    <x v="3"/>
    <x v="1"/>
    <x v="2"/>
    <x v="14"/>
    <x v="10"/>
    <x v="5"/>
    <x v="1"/>
    <x v="1"/>
    <x v="0"/>
    <x v="2"/>
    <x v="2"/>
    <x v="3"/>
    <x v="1"/>
    <x v="3"/>
    <x v="0"/>
    <x v="2"/>
    <x v="0"/>
  </r>
  <r>
    <x v="3"/>
    <x v="1"/>
    <x v="2"/>
    <x v="14"/>
    <x v="11"/>
    <x v="5"/>
    <x v="1"/>
    <x v="1"/>
    <x v="0"/>
    <x v="2"/>
    <x v="2"/>
    <x v="2"/>
    <x v="3"/>
    <x v="1"/>
    <x v="1"/>
    <x v="3"/>
    <x v="1"/>
  </r>
  <r>
    <x v="3"/>
    <x v="1"/>
    <x v="2"/>
    <x v="15"/>
    <x v="7"/>
    <x v="5"/>
    <x v="1"/>
    <x v="1"/>
    <x v="0"/>
    <x v="1"/>
    <x v="4"/>
    <x v="3"/>
    <x v="1"/>
    <x v="3"/>
    <x v="0"/>
    <x v="2"/>
    <x v="0"/>
  </r>
  <r>
    <x v="3"/>
    <x v="1"/>
    <x v="2"/>
    <x v="15"/>
    <x v="8"/>
    <x v="5"/>
    <x v="1"/>
    <x v="1"/>
    <x v="0"/>
    <x v="2"/>
    <x v="2"/>
    <x v="2"/>
    <x v="3"/>
    <x v="1"/>
    <x v="1"/>
    <x v="3"/>
    <x v="1"/>
  </r>
  <r>
    <x v="3"/>
    <x v="1"/>
    <x v="2"/>
    <x v="15"/>
    <x v="9"/>
    <x v="5"/>
    <x v="1"/>
    <x v="1"/>
    <x v="0"/>
    <x v="2"/>
    <x v="2"/>
    <x v="2"/>
    <x v="3"/>
    <x v="1"/>
    <x v="1"/>
    <x v="3"/>
    <x v="1"/>
  </r>
  <r>
    <x v="3"/>
    <x v="1"/>
    <x v="2"/>
    <x v="15"/>
    <x v="10"/>
    <x v="5"/>
    <x v="1"/>
    <x v="1"/>
    <x v="0"/>
    <x v="2"/>
    <x v="2"/>
    <x v="2"/>
    <x v="3"/>
    <x v="1"/>
    <x v="1"/>
    <x v="3"/>
    <x v="1"/>
  </r>
  <r>
    <x v="3"/>
    <x v="1"/>
    <x v="2"/>
    <x v="15"/>
    <x v="11"/>
    <x v="5"/>
    <x v="1"/>
    <x v="1"/>
    <x v="0"/>
    <x v="2"/>
    <x v="2"/>
    <x v="2"/>
    <x v="3"/>
    <x v="1"/>
    <x v="1"/>
    <x v="3"/>
    <x v="1"/>
  </r>
  <r>
    <x v="3"/>
    <x v="1"/>
    <x v="2"/>
    <x v="16"/>
    <x v="7"/>
    <x v="5"/>
    <x v="1"/>
    <x v="1"/>
    <x v="0"/>
    <x v="2"/>
    <x v="2"/>
    <x v="2"/>
    <x v="3"/>
    <x v="1"/>
    <x v="1"/>
    <x v="2"/>
    <x v="0"/>
  </r>
  <r>
    <x v="3"/>
    <x v="1"/>
    <x v="2"/>
    <x v="16"/>
    <x v="8"/>
    <x v="5"/>
    <x v="1"/>
    <x v="1"/>
    <x v="0"/>
    <x v="2"/>
    <x v="2"/>
    <x v="2"/>
    <x v="3"/>
    <x v="1"/>
    <x v="1"/>
    <x v="3"/>
    <x v="1"/>
  </r>
  <r>
    <x v="3"/>
    <x v="1"/>
    <x v="2"/>
    <x v="16"/>
    <x v="9"/>
    <x v="5"/>
    <x v="1"/>
    <x v="1"/>
    <x v="0"/>
    <x v="2"/>
    <x v="2"/>
    <x v="2"/>
    <x v="3"/>
    <x v="1"/>
    <x v="1"/>
    <x v="3"/>
    <x v="1"/>
  </r>
  <r>
    <x v="3"/>
    <x v="1"/>
    <x v="2"/>
    <x v="16"/>
    <x v="10"/>
    <x v="5"/>
    <x v="1"/>
    <x v="1"/>
    <x v="0"/>
    <x v="2"/>
    <x v="2"/>
    <x v="2"/>
    <x v="3"/>
    <x v="1"/>
    <x v="1"/>
    <x v="3"/>
    <x v="1"/>
  </r>
  <r>
    <x v="3"/>
    <x v="1"/>
    <x v="2"/>
    <x v="16"/>
    <x v="11"/>
    <x v="5"/>
    <x v="1"/>
    <x v="1"/>
    <x v="0"/>
    <x v="2"/>
    <x v="2"/>
    <x v="2"/>
    <x v="3"/>
    <x v="1"/>
    <x v="1"/>
    <x v="3"/>
    <x v="1"/>
  </r>
  <r>
    <x v="3"/>
    <x v="1"/>
    <x v="3"/>
    <x v="0"/>
    <x v="32"/>
    <x v="24"/>
    <x v="27"/>
    <x v="1"/>
    <x v="24"/>
    <x v="1"/>
    <x v="4"/>
    <x v="3"/>
    <x v="1"/>
    <x v="3"/>
    <x v="0"/>
    <x v="2"/>
    <x v="0"/>
  </r>
  <r>
    <x v="3"/>
    <x v="1"/>
    <x v="3"/>
    <x v="3"/>
    <x v="1"/>
    <x v="24"/>
    <x v="27"/>
    <x v="1"/>
    <x v="2"/>
    <x v="1"/>
    <x v="4"/>
    <x v="3"/>
    <x v="1"/>
    <x v="3"/>
    <x v="0"/>
    <x v="2"/>
    <x v="0"/>
  </r>
  <r>
    <x v="3"/>
    <x v="1"/>
    <x v="3"/>
    <x v="3"/>
    <x v="2"/>
    <x v="24"/>
    <x v="27"/>
    <x v="27"/>
    <x v="33"/>
    <x v="31"/>
    <x v="35"/>
    <x v="34"/>
    <x v="40"/>
    <x v="38"/>
    <x v="35"/>
    <x v="40"/>
    <x v="38"/>
  </r>
  <r>
    <x v="3"/>
    <x v="1"/>
    <x v="3"/>
    <x v="3"/>
    <x v="3"/>
    <x v="24"/>
    <x v="27"/>
    <x v="27"/>
    <x v="33"/>
    <x v="31"/>
    <x v="35"/>
    <x v="34"/>
    <x v="40"/>
    <x v="38"/>
    <x v="35"/>
    <x v="40"/>
    <x v="38"/>
  </r>
  <r>
    <x v="3"/>
    <x v="1"/>
    <x v="3"/>
    <x v="4"/>
    <x v="4"/>
    <x v="24"/>
    <x v="27"/>
    <x v="27"/>
    <x v="0"/>
    <x v="1"/>
    <x v="4"/>
    <x v="3"/>
    <x v="1"/>
    <x v="3"/>
    <x v="0"/>
    <x v="2"/>
    <x v="0"/>
  </r>
  <r>
    <x v="3"/>
    <x v="1"/>
    <x v="3"/>
    <x v="4"/>
    <x v="5"/>
    <x v="24"/>
    <x v="27"/>
    <x v="27"/>
    <x v="33"/>
    <x v="31"/>
    <x v="35"/>
    <x v="3"/>
    <x v="1"/>
    <x v="3"/>
    <x v="0"/>
    <x v="2"/>
    <x v="0"/>
  </r>
  <r>
    <x v="3"/>
    <x v="1"/>
    <x v="3"/>
    <x v="4"/>
    <x v="6"/>
    <x v="24"/>
    <x v="27"/>
    <x v="27"/>
    <x v="33"/>
    <x v="31"/>
    <x v="35"/>
    <x v="34"/>
    <x v="40"/>
    <x v="38"/>
    <x v="35"/>
    <x v="40"/>
    <x v="38"/>
  </r>
  <r>
    <x v="3"/>
    <x v="1"/>
    <x v="3"/>
    <x v="2"/>
    <x v="7"/>
    <x v="24"/>
    <x v="27"/>
    <x v="27"/>
    <x v="0"/>
    <x v="1"/>
    <x v="4"/>
    <x v="3"/>
    <x v="1"/>
    <x v="3"/>
    <x v="0"/>
    <x v="2"/>
    <x v="0"/>
  </r>
  <r>
    <x v="3"/>
    <x v="1"/>
    <x v="3"/>
    <x v="2"/>
    <x v="8"/>
    <x v="24"/>
    <x v="27"/>
    <x v="27"/>
    <x v="33"/>
    <x v="31"/>
    <x v="35"/>
    <x v="34"/>
    <x v="40"/>
    <x v="38"/>
    <x v="35"/>
    <x v="40"/>
    <x v="38"/>
  </r>
  <r>
    <x v="3"/>
    <x v="1"/>
    <x v="3"/>
    <x v="2"/>
    <x v="9"/>
    <x v="24"/>
    <x v="27"/>
    <x v="1"/>
    <x v="2"/>
    <x v="1"/>
    <x v="4"/>
    <x v="3"/>
    <x v="1"/>
    <x v="3"/>
    <x v="0"/>
    <x v="2"/>
    <x v="0"/>
  </r>
  <r>
    <x v="3"/>
    <x v="1"/>
    <x v="3"/>
    <x v="2"/>
    <x v="10"/>
    <x v="24"/>
    <x v="27"/>
    <x v="27"/>
    <x v="33"/>
    <x v="31"/>
    <x v="35"/>
    <x v="3"/>
    <x v="1"/>
    <x v="3"/>
    <x v="0"/>
    <x v="2"/>
    <x v="0"/>
  </r>
  <r>
    <x v="3"/>
    <x v="1"/>
    <x v="3"/>
    <x v="2"/>
    <x v="11"/>
    <x v="24"/>
    <x v="27"/>
    <x v="27"/>
    <x v="33"/>
    <x v="31"/>
    <x v="35"/>
    <x v="34"/>
    <x v="40"/>
    <x v="38"/>
    <x v="35"/>
    <x v="40"/>
    <x v="38"/>
  </r>
  <r>
    <x v="3"/>
    <x v="1"/>
    <x v="3"/>
    <x v="0"/>
    <x v="33"/>
    <x v="24"/>
    <x v="27"/>
    <x v="1"/>
    <x v="24"/>
    <x v="1"/>
    <x v="4"/>
    <x v="3"/>
    <x v="1"/>
    <x v="3"/>
    <x v="0"/>
    <x v="2"/>
    <x v="0"/>
  </r>
  <r>
    <x v="3"/>
    <x v="1"/>
    <x v="3"/>
    <x v="3"/>
    <x v="1"/>
    <x v="24"/>
    <x v="27"/>
    <x v="1"/>
    <x v="2"/>
    <x v="1"/>
    <x v="4"/>
    <x v="3"/>
    <x v="1"/>
    <x v="3"/>
    <x v="0"/>
    <x v="2"/>
    <x v="0"/>
  </r>
  <r>
    <x v="3"/>
    <x v="1"/>
    <x v="3"/>
    <x v="3"/>
    <x v="2"/>
    <x v="24"/>
    <x v="27"/>
    <x v="27"/>
    <x v="0"/>
    <x v="1"/>
    <x v="4"/>
    <x v="3"/>
    <x v="1"/>
    <x v="3"/>
    <x v="0"/>
    <x v="2"/>
    <x v="0"/>
  </r>
  <r>
    <x v="3"/>
    <x v="1"/>
    <x v="3"/>
    <x v="3"/>
    <x v="3"/>
    <x v="24"/>
    <x v="27"/>
    <x v="27"/>
    <x v="33"/>
    <x v="31"/>
    <x v="35"/>
    <x v="34"/>
    <x v="40"/>
    <x v="38"/>
    <x v="35"/>
    <x v="40"/>
    <x v="38"/>
  </r>
  <r>
    <x v="3"/>
    <x v="1"/>
    <x v="3"/>
    <x v="0"/>
    <x v="34"/>
    <x v="24"/>
    <x v="27"/>
    <x v="1"/>
    <x v="24"/>
    <x v="1"/>
    <x v="4"/>
    <x v="3"/>
    <x v="1"/>
    <x v="3"/>
    <x v="0"/>
    <x v="2"/>
    <x v="0"/>
  </r>
  <r>
    <x v="3"/>
    <x v="1"/>
    <x v="3"/>
    <x v="4"/>
    <x v="4"/>
    <x v="24"/>
    <x v="27"/>
    <x v="1"/>
    <x v="24"/>
    <x v="1"/>
    <x v="4"/>
    <x v="3"/>
    <x v="1"/>
    <x v="3"/>
    <x v="0"/>
    <x v="2"/>
    <x v="0"/>
  </r>
  <r>
    <x v="3"/>
    <x v="1"/>
    <x v="3"/>
    <x v="4"/>
    <x v="5"/>
    <x v="24"/>
    <x v="27"/>
    <x v="27"/>
    <x v="33"/>
    <x v="31"/>
    <x v="35"/>
    <x v="3"/>
    <x v="1"/>
    <x v="3"/>
    <x v="0"/>
    <x v="2"/>
    <x v="0"/>
  </r>
  <r>
    <x v="3"/>
    <x v="1"/>
    <x v="3"/>
    <x v="4"/>
    <x v="6"/>
    <x v="24"/>
    <x v="27"/>
    <x v="27"/>
    <x v="33"/>
    <x v="31"/>
    <x v="35"/>
    <x v="34"/>
    <x v="40"/>
    <x v="38"/>
    <x v="35"/>
    <x v="40"/>
    <x v="38"/>
  </r>
  <r>
    <x v="3"/>
    <x v="1"/>
    <x v="4"/>
    <x v="0"/>
    <x v="14"/>
    <x v="5"/>
    <x v="1"/>
    <x v="1"/>
    <x v="178"/>
    <x v="212"/>
    <x v="2"/>
    <x v="216"/>
    <x v="3"/>
    <x v="1"/>
    <x v="1"/>
    <x v="255"/>
    <x v="1"/>
  </r>
  <r>
    <x v="3"/>
    <x v="1"/>
    <x v="4"/>
    <x v="1"/>
    <x v="1"/>
    <x v="5"/>
    <x v="1"/>
    <x v="1"/>
    <x v="178"/>
    <x v="2"/>
    <x v="2"/>
    <x v="2"/>
    <x v="3"/>
    <x v="1"/>
    <x v="1"/>
    <x v="3"/>
    <x v="1"/>
  </r>
  <r>
    <x v="3"/>
    <x v="1"/>
    <x v="4"/>
    <x v="1"/>
    <x v="2"/>
    <x v="5"/>
    <x v="1"/>
    <x v="1"/>
    <x v="0"/>
    <x v="2"/>
    <x v="2"/>
    <x v="2"/>
    <x v="3"/>
    <x v="1"/>
    <x v="1"/>
    <x v="3"/>
    <x v="1"/>
  </r>
  <r>
    <x v="3"/>
    <x v="1"/>
    <x v="4"/>
    <x v="1"/>
    <x v="3"/>
    <x v="5"/>
    <x v="1"/>
    <x v="1"/>
    <x v="0"/>
    <x v="2"/>
    <x v="2"/>
    <x v="2"/>
    <x v="3"/>
    <x v="1"/>
    <x v="1"/>
    <x v="3"/>
    <x v="1"/>
  </r>
  <r>
    <x v="3"/>
    <x v="1"/>
    <x v="4"/>
    <x v="1"/>
    <x v="4"/>
    <x v="5"/>
    <x v="1"/>
    <x v="1"/>
    <x v="0"/>
    <x v="212"/>
    <x v="2"/>
    <x v="2"/>
    <x v="3"/>
    <x v="1"/>
    <x v="1"/>
    <x v="3"/>
    <x v="1"/>
  </r>
  <r>
    <x v="3"/>
    <x v="1"/>
    <x v="4"/>
    <x v="1"/>
    <x v="5"/>
    <x v="5"/>
    <x v="1"/>
    <x v="1"/>
    <x v="0"/>
    <x v="2"/>
    <x v="2"/>
    <x v="216"/>
    <x v="3"/>
    <x v="1"/>
    <x v="1"/>
    <x v="255"/>
    <x v="1"/>
  </r>
  <r>
    <x v="3"/>
    <x v="1"/>
    <x v="4"/>
    <x v="1"/>
    <x v="6"/>
    <x v="5"/>
    <x v="1"/>
    <x v="1"/>
    <x v="0"/>
    <x v="2"/>
    <x v="2"/>
    <x v="2"/>
    <x v="3"/>
    <x v="1"/>
    <x v="1"/>
    <x v="3"/>
    <x v="1"/>
  </r>
  <r>
    <x v="3"/>
    <x v="1"/>
    <x v="4"/>
    <x v="2"/>
    <x v="7"/>
    <x v="5"/>
    <x v="1"/>
    <x v="1"/>
    <x v="0"/>
    <x v="212"/>
    <x v="2"/>
    <x v="2"/>
    <x v="3"/>
    <x v="1"/>
    <x v="1"/>
    <x v="255"/>
    <x v="1"/>
  </r>
  <r>
    <x v="3"/>
    <x v="1"/>
    <x v="4"/>
    <x v="2"/>
    <x v="8"/>
    <x v="5"/>
    <x v="1"/>
    <x v="1"/>
    <x v="0"/>
    <x v="2"/>
    <x v="2"/>
    <x v="2"/>
    <x v="3"/>
    <x v="1"/>
    <x v="1"/>
    <x v="3"/>
    <x v="1"/>
  </r>
  <r>
    <x v="3"/>
    <x v="1"/>
    <x v="4"/>
    <x v="2"/>
    <x v="9"/>
    <x v="5"/>
    <x v="1"/>
    <x v="1"/>
    <x v="178"/>
    <x v="2"/>
    <x v="2"/>
    <x v="2"/>
    <x v="3"/>
    <x v="1"/>
    <x v="1"/>
    <x v="3"/>
    <x v="1"/>
  </r>
  <r>
    <x v="3"/>
    <x v="1"/>
    <x v="4"/>
    <x v="2"/>
    <x v="10"/>
    <x v="5"/>
    <x v="1"/>
    <x v="1"/>
    <x v="0"/>
    <x v="2"/>
    <x v="2"/>
    <x v="216"/>
    <x v="3"/>
    <x v="1"/>
    <x v="1"/>
    <x v="3"/>
    <x v="1"/>
  </r>
  <r>
    <x v="3"/>
    <x v="1"/>
    <x v="4"/>
    <x v="2"/>
    <x v="11"/>
    <x v="5"/>
    <x v="1"/>
    <x v="1"/>
    <x v="0"/>
    <x v="2"/>
    <x v="2"/>
    <x v="2"/>
    <x v="3"/>
    <x v="1"/>
    <x v="1"/>
    <x v="3"/>
    <x v="1"/>
  </r>
  <r>
    <x v="3"/>
    <x v="1"/>
    <x v="5"/>
    <x v="0"/>
    <x v="14"/>
    <x v="5"/>
    <x v="1"/>
    <x v="1"/>
    <x v="179"/>
    <x v="213"/>
    <x v="2"/>
    <x v="217"/>
    <x v="3"/>
    <x v="1"/>
    <x v="1"/>
    <x v="256"/>
    <x v="1"/>
  </r>
  <r>
    <x v="3"/>
    <x v="1"/>
    <x v="5"/>
    <x v="1"/>
    <x v="1"/>
    <x v="5"/>
    <x v="1"/>
    <x v="1"/>
    <x v="179"/>
    <x v="2"/>
    <x v="2"/>
    <x v="2"/>
    <x v="3"/>
    <x v="1"/>
    <x v="1"/>
    <x v="3"/>
    <x v="1"/>
  </r>
  <r>
    <x v="3"/>
    <x v="1"/>
    <x v="5"/>
    <x v="1"/>
    <x v="2"/>
    <x v="5"/>
    <x v="1"/>
    <x v="1"/>
    <x v="0"/>
    <x v="2"/>
    <x v="2"/>
    <x v="2"/>
    <x v="3"/>
    <x v="1"/>
    <x v="1"/>
    <x v="3"/>
    <x v="1"/>
  </r>
  <r>
    <x v="3"/>
    <x v="1"/>
    <x v="5"/>
    <x v="1"/>
    <x v="3"/>
    <x v="5"/>
    <x v="1"/>
    <x v="1"/>
    <x v="0"/>
    <x v="2"/>
    <x v="2"/>
    <x v="2"/>
    <x v="3"/>
    <x v="1"/>
    <x v="1"/>
    <x v="3"/>
    <x v="1"/>
  </r>
  <r>
    <x v="3"/>
    <x v="1"/>
    <x v="5"/>
    <x v="1"/>
    <x v="4"/>
    <x v="5"/>
    <x v="1"/>
    <x v="1"/>
    <x v="0"/>
    <x v="213"/>
    <x v="2"/>
    <x v="2"/>
    <x v="3"/>
    <x v="1"/>
    <x v="1"/>
    <x v="3"/>
    <x v="1"/>
  </r>
  <r>
    <x v="3"/>
    <x v="1"/>
    <x v="5"/>
    <x v="1"/>
    <x v="5"/>
    <x v="5"/>
    <x v="1"/>
    <x v="1"/>
    <x v="0"/>
    <x v="2"/>
    <x v="2"/>
    <x v="217"/>
    <x v="3"/>
    <x v="1"/>
    <x v="1"/>
    <x v="256"/>
    <x v="1"/>
  </r>
  <r>
    <x v="3"/>
    <x v="1"/>
    <x v="5"/>
    <x v="1"/>
    <x v="6"/>
    <x v="5"/>
    <x v="1"/>
    <x v="1"/>
    <x v="0"/>
    <x v="2"/>
    <x v="2"/>
    <x v="2"/>
    <x v="3"/>
    <x v="1"/>
    <x v="1"/>
    <x v="3"/>
    <x v="1"/>
  </r>
  <r>
    <x v="3"/>
    <x v="1"/>
    <x v="5"/>
    <x v="2"/>
    <x v="7"/>
    <x v="5"/>
    <x v="1"/>
    <x v="1"/>
    <x v="0"/>
    <x v="213"/>
    <x v="2"/>
    <x v="2"/>
    <x v="3"/>
    <x v="1"/>
    <x v="1"/>
    <x v="256"/>
    <x v="1"/>
  </r>
  <r>
    <x v="3"/>
    <x v="1"/>
    <x v="5"/>
    <x v="2"/>
    <x v="8"/>
    <x v="5"/>
    <x v="1"/>
    <x v="1"/>
    <x v="0"/>
    <x v="2"/>
    <x v="2"/>
    <x v="2"/>
    <x v="3"/>
    <x v="1"/>
    <x v="1"/>
    <x v="3"/>
    <x v="1"/>
  </r>
  <r>
    <x v="3"/>
    <x v="1"/>
    <x v="5"/>
    <x v="2"/>
    <x v="9"/>
    <x v="5"/>
    <x v="1"/>
    <x v="1"/>
    <x v="179"/>
    <x v="2"/>
    <x v="2"/>
    <x v="2"/>
    <x v="3"/>
    <x v="1"/>
    <x v="1"/>
    <x v="3"/>
    <x v="1"/>
  </r>
  <r>
    <x v="3"/>
    <x v="1"/>
    <x v="5"/>
    <x v="2"/>
    <x v="10"/>
    <x v="5"/>
    <x v="1"/>
    <x v="1"/>
    <x v="0"/>
    <x v="2"/>
    <x v="2"/>
    <x v="217"/>
    <x v="3"/>
    <x v="1"/>
    <x v="1"/>
    <x v="3"/>
    <x v="1"/>
  </r>
  <r>
    <x v="3"/>
    <x v="1"/>
    <x v="5"/>
    <x v="2"/>
    <x v="11"/>
    <x v="5"/>
    <x v="1"/>
    <x v="1"/>
    <x v="0"/>
    <x v="2"/>
    <x v="2"/>
    <x v="2"/>
    <x v="3"/>
    <x v="1"/>
    <x v="1"/>
    <x v="3"/>
    <x v="1"/>
  </r>
  <r>
    <x v="3"/>
    <x v="1"/>
    <x v="4"/>
    <x v="0"/>
    <x v="35"/>
    <x v="5"/>
    <x v="1"/>
    <x v="1"/>
    <x v="180"/>
    <x v="2"/>
    <x v="2"/>
    <x v="218"/>
    <x v="3"/>
    <x v="1"/>
    <x v="1"/>
    <x v="3"/>
    <x v="1"/>
  </r>
  <r>
    <x v="3"/>
    <x v="1"/>
    <x v="4"/>
    <x v="0"/>
    <x v="36"/>
    <x v="5"/>
    <x v="1"/>
    <x v="1"/>
    <x v="0"/>
    <x v="214"/>
    <x v="2"/>
    <x v="2"/>
    <x v="3"/>
    <x v="1"/>
    <x v="1"/>
    <x v="3"/>
    <x v="1"/>
  </r>
  <r>
    <x v="3"/>
    <x v="1"/>
    <x v="4"/>
    <x v="0"/>
    <x v="37"/>
    <x v="5"/>
    <x v="1"/>
    <x v="1"/>
    <x v="0"/>
    <x v="2"/>
    <x v="2"/>
    <x v="2"/>
    <x v="3"/>
    <x v="1"/>
    <x v="1"/>
    <x v="3"/>
    <x v="1"/>
  </r>
  <r>
    <x v="3"/>
    <x v="1"/>
    <x v="4"/>
    <x v="5"/>
    <x v="7"/>
    <x v="5"/>
    <x v="1"/>
    <x v="1"/>
    <x v="0"/>
    <x v="2"/>
    <x v="2"/>
    <x v="2"/>
    <x v="3"/>
    <x v="1"/>
    <x v="1"/>
    <x v="3"/>
    <x v="1"/>
  </r>
  <r>
    <x v="3"/>
    <x v="1"/>
    <x v="4"/>
    <x v="5"/>
    <x v="8"/>
    <x v="5"/>
    <x v="1"/>
    <x v="1"/>
    <x v="0"/>
    <x v="2"/>
    <x v="2"/>
    <x v="2"/>
    <x v="3"/>
    <x v="1"/>
    <x v="1"/>
    <x v="3"/>
    <x v="1"/>
  </r>
  <r>
    <x v="3"/>
    <x v="1"/>
    <x v="4"/>
    <x v="5"/>
    <x v="9"/>
    <x v="5"/>
    <x v="1"/>
    <x v="1"/>
    <x v="180"/>
    <x v="2"/>
    <x v="2"/>
    <x v="2"/>
    <x v="3"/>
    <x v="1"/>
    <x v="1"/>
    <x v="3"/>
    <x v="1"/>
  </r>
  <r>
    <x v="3"/>
    <x v="1"/>
    <x v="4"/>
    <x v="5"/>
    <x v="10"/>
    <x v="5"/>
    <x v="1"/>
    <x v="1"/>
    <x v="0"/>
    <x v="2"/>
    <x v="2"/>
    <x v="218"/>
    <x v="3"/>
    <x v="1"/>
    <x v="1"/>
    <x v="3"/>
    <x v="1"/>
  </r>
  <r>
    <x v="3"/>
    <x v="1"/>
    <x v="4"/>
    <x v="5"/>
    <x v="11"/>
    <x v="5"/>
    <x v="1"/>
    <x v="1"/>
    <x v="0"/>
    <x v="2"/>
    <x v="2"/>
    <x v="2"/>
    <x v="3"/>
    <x v="1"/>
    <x v="1"/>
    <x v="3"/>
    <x v="1"/>
  </r>
  <r>
    <x v="3"/>
    <x v="1"/>
    <x v="4"/>
    <x v="6"/>
    <x v="7"/>
    <x v="5"/>
    <x v="1"/>
    <x v="1"/>
    <x v="0"/>
    <x v="214"/>
    <x v="2"/>
    <x v="2"/>
    <x v="3"/>
    <x v="1"/>
    <x v="1"/>
    <x v="3"/>
    <x v="1"/>
  </r>
  <r>
    <x v="3"/>
    <x v="1"/>
    <x v="4"/>
    <x v="6"/>
    <x v="8"/>
    <x v="5"/>
    <x v="1"/>
    <x v="1"/>
    <x v="0"/>
    <x v="2"/>
    <x v="2"/>
    <x v="2"/>
    <x v="3"/>
    <x v="1"/>
    <x v="1"/>
    <x v="3"/>
    <x v="1"/>
  </r>
  <r>
    <x v="3"/>
    <x v="1"/>
    <x v="4"/>
    <x v="6"/>
    <x v="9"/>
    <x v="5"/>
    <x v="1"/>
    <x v="1"/>
    <x v="0"/>
    <x v="2"/>
    <x v="2"/>
    <x v="2"/>
    <x v="3"/>
    <x v="1"/>
    <x v="1"/>
    <x v="3"/>
    <x v="1"/>
  </r>
  <r>
    <x v="3"/>
    <x v="1"/>
    <x v="4"/>
    <x v="6"/>
    <x v="10"/>
    <x v="5"/>
    <x v="1"/>
    <x v="1"/>
    <x v="0"/>
    <x v="2"/>
    <x v="2"/>
    <x v="2"/>
    <x v="3"/>
    <x v="1"/>
    <x v="1"/>
    <x v="3"/>
    <x v="1"/>
  </r>
  <r>
    <x v="3"/>
    <x v="1"/>
    <x v="4"/>
    <x v="6"/>
    <x v="11"/>
    <x v="5"/>
    <x v="1"/>
    <x v="1"/>
    <x v="0"/>
    <x v="2"/>
    <x v="2"/>
    <x v="2"/>
    <x v="3"/>
    <x v="1"/>
    <x v="1"/>
    <x v="3"/>
    <x v="1"/>
  </r>
  <r>
    <x v="3"/>
    <x v="1"/>
    <x v="5"/>
    <x v="0"/>
    <x v="35"/>
    <x v="5"/>
    <x v="1"/>
    <x v="1"/>
    <x v="180"/>
    <x v="2"/>
    <x v="2"/>
    <x v="218"/>
    <x v="3"/>
    <x v="1"/>
    <x v="1"/>
    <x v="3"/>
    <x v="1"/>
  </r>
  <r>
    <x v="3"/>
    <x v="1"/>
    <x v="5"/>
    <x v="0"/>
    <x v="36"/>
    <x v="5"/>
    <x v="1"/>
    <x v="1"/>
    <x v="0"/>
    <x v="214"/>
    <x v="2"/>
    <x v="2"/>
    <x v="3"/>
    <x v="1"/>
    <x v="1"/>
    <x v="3"/>
    <x v="1"/>
  </r>
  <r>
    <x v="3"/>
    <x v="1"/>
    <x v="5"/>
    <x v="0"/>
    <x v="37"/>
    <x v="5"/>
    <x v="1"/>
    <x v="1"/>
    <x v="0"/>
    <x v="2"/>
    <x v="2"/>
    <x v="2"/>
    <x v="3"/>
    <x v="1"/>
    <x v="1"/>
    <x v="3"/>
    <x v="1"/>
  </r>
  <r>
    <x v="3"/>
    <x v="1"/>
    <x v="5"/>
    <x v="5"/>
    <x v="7"/>
    <x v="5"/>
    <x v="1"/>
    <x v="1"/>
    <x v="0"/>
    <x v="2"/>
    <x v="2"/>
    <x v="2"/>
    <x v="3"/>
    <x v="1"/>
    <x v="1"/>
    <x v="3"/>
    <x v="1"/>
  </r>
  <r>
    <x v="3"/>
    <x v="1"/>
    <x v="5"/>
    <x v="5"/>
    <x v="8"/>
    <x v="5"/>
    <x v="1"/>
    <x v="1"/>
    <x v="0"/>
    <x v="2"/>
    <x v="2"/>
    <x v="2"/>
    <x v="3"/>
    <x v="1"/>
    <x v="1"/>
    <x v="3"/>
    <x v="1"/>
  </r>
  <r>
    <x v="3"/>
    <x v="1"/>
    <x v="5"/>
    <x v="5"/>
    <x v="9"/>
    <x v="5"/>
    <x v="1"/>
    <x v="1"/>
    <x v="180"/>
    <x v="2"/>
    <x v="2"/>
    <x v="2"/>
    <x v="3"/>
    <x v="1"/>
    <x v="1"/>
    <x v="3"/>
    <x v="1"/>
  </r>
  <r>
    <x v="3"/>
    <x v="1"/>
    <x v="5"/>
    <x v="5"/>
    <x v="10"/>
    <x v="5"/>
    <x v="1"/>
    <x v="1"/>
    <x v="0"/>
    <x v="2"/>
    <x v="2"/>
    <x v="218"/>
    <x v="3"/>
    <x v="1"/>
    <x v="1"/>
    <x v="3"/>
    <x v="1"/>
  </r>
  <r>
    <x v="3"/>
    <x v="1"/>
    <x v="5"/>
    <x v="5"/>
    <x v="11"/>
    <x v="5"/>
    <x v="1"/>
    <x v="1"/>
    <x v="0"/>
    <x v="2"/>
    <x v="2"/>
    <x v="2"/>
    <x v="3"/>
    <x v="1"/>
    <x v="1"/>
    <x v="3"/>
    <x v="1"/>
  </r>
  <r>
    <x v="3"/>
    <x v="1"/>
    <x v="5"/>
    <x v="6"/>
    <x v="7"/>
    <x v="5"/>
    <x v="1"/>
    <x v="1"/>
    <x v="0"/>
    <x v="214"/>
    <x v="2"/>
    <x v="2"/>
    <x v="3"/>
    <x v="1"/>
    <x v="1"/>
    <x v="3"/>
    <x v="1"/>
  </r>
  <r>
    <x v="3"/>
    <x v="1"/>
    <x v="5"/>
    <x v="6"/>
    <x v="8"/>
    <x v="5"/>
    <x v="1"/>
    <x v="1"/>
    <x v="0"/>
    <x v="2"/>
    <x v="2"/>
    <x v="2"/>
    <x v="3"/>
    <x v="1"/>
    <x v="1"/>
    <x v="3"/>
    <x v="1"/>
  </r>
  <r>
    <x v="3"/>
    <x v="1"/>
    <x v="5"/>
    <x v="6"/>
    <x v="9"/>
    <x v="5"/>
    <x v="1"/>
    <x v="1"/>
    <x v="0"/>
    <x v="2"/>
    <x v="2"/>
    <x v="2"/>
    <x v="3"/>
    <x v="1"/>
    <x v="1"/>
    <x v="3"/>
    <x v="1"/>
  </r>
  <r>
    <x v="3"/>
    <x v="1"/>
    <x v="5"/>
    <x v="6"/>
    <x v="10"/>
    <x v="5"/>
    <x v="1"/>
    <x v="1"/>
    <x v="0"/>
    <x v="2"/>
    <x v="2"/>
    <x v="2"/>
    <x v="3"/>
    <x v="1"/>
    <x v="1"/>
    <x v="3"/>
    <x v="1"/>
  </r>
  <r>
    <x v="3"/>
    <x v="1"/>
    <x v="5"/>
    <x v="6"/>
    <x v="11"/>
    <x v="5"/>
    <x v="1"/>
    <x v="1"/>
    <x v="0"/>
    <x v="2"/>
    <x v="2"/>
    <x v="2"/>
    <x v="3"/>
    <x v="1"/>
    <x v="1"/>
    <x v="3"/>
    <x v="1"/>
  </r>
  <r>
    <x v="3"/>
    <x v="1"/>
    <x v="6"/>
    <x v="0"/>
    <x v="26"/>
    <x v="5"/>
    <x v="1"/>
    <x v="1"/>
    <x v="178"/>
    <x v="215"/>
    <x v="208"/>
    <x v="219"/>
    <x v="240"/>
    <x v="239"/>
    <x v="248"/>
    <x v="257"/>
    <x v="253"/>
  </r>
  <r>
    <x v="3"/>
    <x v="1"/>
    <x v="6"/>
    <x v="1"/>
    <x v="1"/>
    <x v="5"/>
    <x v="1"/>
    <x v="1"/>
    <x v="178"/>
    <x v="216"/>
    <x v="209"/>
    <x v="220"/>
    <x v="241"/>
    <x v="240"/>
    <x v="249"/>
    <x v="258"/>
    <x v="254"/>
  </r>
  <r>
    <x v="3"/>
    <x v="1"/>
    <x v="6"/>
    <x v="1"/>
    <x v="2"/>
    <x v="5"/>
    <x v="1"/>
    <x v="1"/>
    <x v="0"/>
    <x v="2"/>
    <x v="2"/>
    <x v="2"/>
    <x v="3"/>
    <x v="1"/>
    <x v="1"/>
    <x v="3"/>
    <x v="1"/>
  </r>
  <r>
    <x v="3"/>
    <x v="1"/>
    <x v="6"/>
    <x v="1"/>
    <x v="3"/>
    <x v="5"/>
    <x v="1"/>
    <x v="1"/>
    <x v="0"/>
    <x v="2"/>
    <x v="2"/>
    <x v="2"/>
    <x v="3"/>
    <x v="1"/>
    <x v="1"/>
    <x v="3"/>
    <x v="1"/>
  </r>
  <r>
    <x v="3"/>
    <x v="1"/>
    <x v="6"/>
    <x v="1"/>
    <x v="4"/>
    <x v="5"/>
    <x v="1"/>
    <x v="1"/>
    <x v="0"/>
    <x v="212"/>
    <x v="210"/>
    <x v="221"/>
    <x v="242"/>
    <x v="241"/>
    <x v="250"/>
    <x v="259"/>
    <x v="255"/>
  </r>
  <r>
    <x v="3"/>
    <x v="1"/>
    <x v="6"/>
    <x v="1"/>
    <x v="5"/>
    <x v="5"/>
    <x v="1"/>
    <x v="1"/>
    <x v="0"/>
    <x v="2"/>
    <x v="2"/>
    <x v="216"/>
    <x v="243"/>
    <x v="242"/>
    <x v="251"/>
    <x v="260"/>
    <x v="256"/>
  </r>
  <r>
    <x v="3"/>
    <x v="1"/>
    <x v="6"/>
    <x v="1"/>
    <x v="6"/>
    <x v="5"/>
    <x v="1"/>
    <x v="1"/>
    <x v="0"/>
    <x v="2"/>
    <x v="2"/>
    <x v="2"/>
    <x v="3"/>
    <x v="1"/>
    <x v="1"/>
    <x v="3"/>
    <x v="1"/>
  </r>
  <r>
    <x v="3"/>
    <x v="1"/>
    <x v="6"/>
    <x v="11"/>
    <x v="1"/>
    <x v="108"/>
    <x v="69"/>
    <x v="103"/>
    <x v="2"/>
    <x v="217"/>
    <x v="211"/>
    <x v="222"/>
    <x v="244"/>
    <x v="243"/>
    <x v="252"/>
    <x v="261"/>
    <x v="257"/>
  </r>
  <r>
    <x v="3"/>
    <x v="1"/>
    <x v="6"/>
    <x v="11"/>
    <x v="2"/>
    <x v="108"/>
    <x v="69"/>
    <x v="103"/>
    <x v="0"/>
    <x v="2"/>
    <x v="2"/>
    <x v="2"/>
    <x v="3"/>
    <x v="1"/>
    <x v="1"/>
    <x v="3"/>
    <x v="1"/>
  </r>
  <r>
    <x v="3"/>
    <x v="1"/>
    <x v="6"/>
    <x v="11"/>
    <x v="3"/>
    <x v="108"/>
    <x v="69"/>
    <x v="103"/>
    <x v="0"/>
    <x v="2"/>
    <x v="2"/>
    <x v="2"/>
    <x v="3"/>
    <x v="1"/>
    <x v="1"/>
    <x v="3"/>
    <x v="1"/>
  </r>
  <r>
    <x v="3"/>
    <x v="1"/>
    <x v="6"/>
    <x v="11"/>
    <x v="4"/>
    <x v="108"/>
    <x v="69"/>
    <x v="103"/>
    <x v="0"/>
    <x v="218"/>
    <x v="212"/>
    <x v="223"/>
    <x v="245"/>
    <x v="244"/>
    <x v="253"/>
    <x v="262"/>
    <x v="258"/>
  </r>
  <r>
    <x v="3"/>
    <x v="1"/>
    <x v="6"/>
    <x v="11"/>
    <x v="5"/>
    <x v="108"/>
    <x v="69"/>
    <x v="103"/>
    <x v="0"/>
    <x v="2"/>
    <x v="2"/>
    <x v="224"/>
    <x v="246"/>
    <x v="245"/>
    <x v="254"/>
    <x v="263"/>
    <x v="259"/>
  </r>
  <r>
    <x v="3"/>
    <x v="1"/>
    <x v="6"/>
    <x v="11"/>
    <x v="6"/>
    <x v="108"/>
    <x v="69"/>
    <x v="103"/>
    <x v="0"/>
    <x v="2"/>
    <x v="2"/>
    <x v="2"/>
    <x v="3"/>
    <x v="1"/>
    <x v="1"/>
    <x v="3"/>
    <x v="1"/>
  </r>
  <r>
    <x v="3"/>
    <x v="1"/>
    <x v="6"/>
    <x v="2"/>
    <x v="7"/>
    <x v="5"/>
    <x v="1"/>
    <x v="1"/>
    <x v="0"/>
    <x v="212"/>
    <x v="210"/>
    <x v="221"/>
    <x v="242"/>
    <x v="241"/>
    <x v="250"/>
    <x v="264"/>
    <x v="260"/>
  </r>
  <r>
    <x v="3"/>
    <x v="1"/>
    <x v="6"/>
    <x v="2"/>
    <x v="8"/>
    <x v="5"/>
    <x v="1"/>
    <x v="1"/>
    <x v="0"/>
    <x v="2"/>
    <x v="2"/>
    <x v="2"/>
    <x v="3"/>
    <x v="1"/>
    <x v="1"/>
    <x v="3"/>
    <x v="1"/>
  </r>
  <r>
    <x v="3"/>
    <x v="1"/>
    <x v="6"/>
    <x v="2"/>
    <x v="9"/>
    <x v="5"/>
    <x v="1"/>
    <x v="1"/>
    <x v="178"/>
    <x v="216"/>
    <x v="209"/>
    <x v="220"/>
    <x v="241"/>
    <x v="240"/>
    <x v="249"/>
    <x v="258"/>
    <x v="254"/>
  </r>
  <r>
    <x v="3"/>
    <x v="1"/>
    <x v="6"/>
    <x v="2"/>
    <x v="10"/>
    <x v="5"/>
    <x v="1"/>
    <x v="1"/>
    <x v="0"/>
    <x v="2"/>
    <x v="2"/>
    <x v="216"/>
    <x v="243"/>
    <x v="242"/>
    <x v="251"/>
    <x v="265"/>
    <x v="261"/>
  </r>
  <r>
    <x v="3"/>
    <x v="1"/>
    <x v="6"/>
    <x v="2"/>
    <x v="11"/>
    <x v="5"/>
    <x v="1"/>
    <x v="1"/>
    <x v="0"/>
    <x v="2"/>
    <x v="2"/>
    <x v="2"/>
    <x v="3"/>
    <x v="1"/>
    <x v="1"/>
    <x v="3"/>
    <x v="1"/>
  </r>
  <r>
    <x v="3"/>
    <x v="1"/>
    <x v="6"/>
    <x v="11"/>
    <x v="7"/>
    <x v="108"/>
    <x v="69"/>
    <x v="103"/>
    <x v="0"/>
    <x v="218"/>
    <x v="212"/>
    <x v="223"/>
    <x v="245"/>
    <x v="244"/>
    <x v="253"/>
    <x v="266"/>
    <x v="262"/>
  </r>
  <r>
    <x v="3"/>
    <x v="1"/>
    <x v="6"/>
    <x v="11"/>
    <x v="8"/>
    <x v="108"/>
    <x v="69"/>
    <x v="103"/>
    <x v="0"/>
    <x v="2"/>
    <x v="2"/>
    <x v="2"/>
    <x v="3"/>
    <x v="1"/>
    <x v="1"/>
    <x v="3"/>
    <x v="1"/>
  </r>
  <r>
    <x v="3"/>
    <x v="1"/>
    <x v="6"/>
    <x v="11"/>
    <x v="9"/>
    <x v="108"/>
    <x v="69"/>
    <x v="103"/>
    <x v="2"/>
    <x v="217"/>
    <x v="211"/>
    <x v="222"/>
    <x v="244"/>
    <x v="243"/>
    <x v="252"/>
    <x v="261"/>
    <x v="257"/>
  </r>
  <r>
    <x v="3"/>
    <x v="1"/>
    <x v="6"/>
    <x v="11"/>
    <x v="10"/>
    <x v="108"/>
    <x v="69"/>
    <x v="103"/>
    <x v="0"/>
    <x v="2"/>
    <x v="2"/>
    <x v="224"/>
    <x v="246"/>
    <x v="245"/>
    <x v="254"/>
    <x v="267"/>
    <x v="263"/>
  </r>
  <r>
    <x v="3"/>
    <x v="1"/>
    <x v="6"/>
    <x v="11"/>
    <x v="11"/>
    <x v="108"/>
    <x v="69"/>
    <x v="103"/>
    <x v="0"/>
    <x v="2"/>
    <x v="2"/>
    <x v="2"/>
    <x v="3"/>
    <x v="1"/>
    <x v="1"/>
    <x v="3"/>
    <x v="1"/>
  </r>
  <r>
    <x v="3"/>
    <x v="1"/>
    <x v="7"/>
    <x v="0"/>
    <x v="26"/>
    <x v="5"/>
    <x v="1"/>
    <x v="1"/>
    <x v="179"/>
    <x v="219"/>
    <x v="213"/>
    <x v="225"/>
    <x v="247"/>
    <x v="246"/>
    <x v="255"/>
    <x v="268"/>
    <x v="264"/>
  </r>
  <r>
    <x v="3"/>
    <x v="1"/>
    <x v="7"/>
    <x v="1"/>
    <x v="1"/>
    <x v="5"/>
    <x v="1"/>
    <x v="1"/>
    <x v="179"/>
    <x v="220"/>
    <x v="214"/>
    <x v="226"/>
    <x v="248"/>
    <x v="247"/>
    <x v="256"/>
    <x v="269"/>
    <x v="265"/>
  </r>
  <r>
    <x v="3"/>
    <x v="1"/>
    <x v="7"/>
    <x v="1"/>
    <x v="2"/>
    <x v="5"/>
    <x v="1"/>
    <x v="1"/>
    <x v="0"/>
    <x v="2"/>
    <x v="2"/>
    <x v="2"/>
    <x v="3"/>
    <x v="1"/>
    <x v="1"/>
    <x v="3"/>
    <x v="1"/>
  </r>
  <r>
    <x v="3"/>
    <x v="1"/>
    <x v="7"/>
    <x v="1"/>
    <x v="3"/>
    <x v="5"/>
    <x v="1"/>
    <x v="1"/>
    <x v="0"/>
    <x v="2"/>
    <x v="2"/>
    <x v="2"/>
    <x v="3"/>
    <x v="1"/>
    <x v="1"/>
    <x v="3"/>
    <x v="1"/>
  </r>
  <r>
    <x v="3"/>
    <x v="1"/>
    <x v="7"/>
    <x v="1"/>
    <x v="4"/>
    <x v="5"/>
    <x v="1"/>
    <x v="1"/>
    <x v="0"/>
    <x v="213"/>
    <x v="215"/>
    <x v="227"/>
    <x v="249"/>
    <x v="248"/>
    <x v="257"/>
    <x v="270"/>
    <x v="266"/>
  </r>
  <r>
    <x v="3"/>
    <x v="1"/>
    <x v="7"/>
    <x v="1"/>
    <x v="5"/>
    <x v="5"/>
    <x v="1"/>
    <x v="1"/>
    <x v="0"/>
    <x v="2"/>
    <x v="2"/>
    <x v="217"/>
    <x v="250"/>
    <x v="249"/>
    <x v="258"/>
    <x v="271"/>
    <x v="267"/>
  </r>
  <r>
    <x v="3"/>
    <x v="1"/>
    <x v="7"/>
    <x v="1"/>
    <x v="6"/>
    <x v="5"/>
    <x v="1"/>
    <x v="1"/>
    <x v="0"/>
    <x v="2"/>
    <x v="2"/>
    <x v="2"/>
    <x v="3"/>
    <x v="1"/>
    <x v="1"/>
    <x v="3"/>
    <x v="1"/>
  </r>
  <r>
    <x v="3"/>
    <x v="1"/>
    <x v="7"/>
    <x v="11"/>
    <x v="1"/>
    <x v="108"/>
    <x v="69"/>
    <x v="103"/>
    <x v="2"/>
    <x v="221"/>
    <x v="216"/>
    <x v="228"/>
    <x v="251"/>
    <x v="250"/>
    <x v="259"/>
    <x v="272"/>
    <x v="268"/>
  </r>
  <r>
    <x v="3"/>
    <x v="1"/>
    <x v="7"/>
    <x v="11"/>
    <x v="2"/>
    <x v="108"/>
    <x v="69"/>
    <x v="103"/>
    <x v="0"/>
    <x v="2"/>
    <x v="2"/>
    <x v="2"/>
    <x v="3"/>
    <x v="1"/>
    <x v="1"/>
    <x v="3"/>
    <x v="1"/>
  </r>
  <r>
    <x v="3"/>
    <x v="1"/>
    <x v="7"/>
    <x v="11"/>
    <x v="3"/>
    <x v="108"/>
    <x v="69"/>
    <x v="103"/>
    <x v="0"/>
    <x v="2"/>
    <x v="2"/>
    <x v="2"/>
    <x v="3"/>
    <x v="1"/>
    <x v="1"/>
    <x v="3"/>
    <x v="1"/>
  </r>
  <r>
    <x v="3"/>
    <x v="1"/>
    <x v="7"/>
    <x v="11"/>
    <x v="4"/>
    <x v="108"/>
    <x v="69"/>
    <x v="103"/>
    <x v="0"/>
    <x v="222"/>
    <x v="217"/>
    <x v="229"/>
    <x v="252"/>
    <x v="251"/>
    <x v="260"/>
    <x v="273"/>
    <x v="269"/>
  </r>
  <r>
    <x v="3"/>
    <x v="1"/>
    <x v="7"/>
    <x v="11"/>
    <x v="5"/>
    <x v="108"/>
    <x v="69"/>
    <x v="103"/>
    <x v="0"/>
    <x v="2"/>
    <x v="2"/>
    <x v="230"/>
    <x v="253"/>
    <x v="252"/>
    <x v="261"/>
    <x v="274"/>
    <x v="270"/>
  </r>
  <r>
    <x v="3"/>
    <x v="1"/>
    <x v="7"/>
    <x v="11"/>
    <x v="6"/>
    <x v="108"/>
    <x v="69"/>
    <x v="103"/>
    <x v="0"/>
    <x v="2"/>
    <x v="2"/>
    <x v="2"/>
    <x v="3"/>
    <x v="1"/>
    <x v="1"/>
    <x v="3"/>
    <x v="1"/>
  </r>
  <r>
    <x v="3"/>
    <x v="1"/>
    <x v="7"/>
    <x v="2"/>
    <x v="7"/>
    <x v="5"/>
    <x v="1"/>
    <x v="1"/>
    <x v="0"/>
    <x v="213"/>
    <x v="215"/>
    <x v="227"/>
    <x v="249"/>
    <x v="248"/>
    <x v="257"/>
    <x v="275"/>
    <x v="271"/>
  </r>
  <r>
    <x v="3"/>
    <x v="1"/>
    <x v="7"/>
    <x v="2"/>
    <x v="8"/>
    <x v="5"/>
    <x v="1"/>
    <x v="1"/>
    <x v="0"/>
    <x v="2"/>
    <x v="2"/>
    <x v="2"/>
    <x v="3"/>
    <x v="1"/>
    <x v="1"/>
    <x v="3"/>
    <x v="1"/>
  </r>
  <r>
    <x v="3"/>
    <x v="1"/>
    <x v="7"/>
    <x v="2"/>
    <x v="9"/>
    <x v="5"/>
    <x v="1"/>
    <x v="1"/>
    <x v="179"/>
    <x v="220"/>
    <x v="214"/>
    <x v="226"/>
    <x v="248"/>
    <x v="247"/>
    <x v="256"/>
    <x v="269"/>
    <x v="265"/>
  </r>
  <r>
    <x v="3"/>
    <x v="1"/>
    <x v="7"/>
    <x v="2"/>
    <x v="10"/>
    <x v="5"/>
    <x v="1"/>
    <x v="1"/>
    <x v="0"/>
    <x v="2"/>
    <x v="2"/>
    <x v="217"/>
    <x v="250"/>
    <x v="249"/>
    <x v="258"/>
    <x v="276"/>
    <x v="272"/>
  </r>
  <r>
    <x v="3"/>
    <x v="1"/>
    <x v="7"/>
    <x v="2"/>
    <x v="11"/>
    <x v="5"/>
    <x v="1"/>
    <x v="1"/>
    <x v="0"/>
    <x v="2"/>
    <x v="2"/>
    <x v="2"/>
    <x v="3"/>
    <x v="1"/>
    <x v="1"/>
    <x v="3"/>
    <x v="1"/>
  </r>
  <r>
    <x v="3"/>
    <x v="1"/>
    <x v="7"/>
    <x v="11"/>
    <x v="7"/>
    <x v="108"/>
    <x v="69"/>
    <x v="103"/>
    <x v="0"/>
    <x v="222"/>
    <x v="217"/>
    <x v="229"/>
    <x v="252"/>
    <x v="251"/>
    <x v="260"/>
    <x v="277"/>
    <x v="273"/>
  </r>
  <r>
    <x v="3"/>
    <x v="1"/>
    <x v="7"/>
    <x v="11"/>
    <x v="8"/>
    <x v="108"/>
    <x v="69"/>
    <x v="103"/>
    <x v="0"/>
    <x v="2"/>
    <x v="2"/>
    <x v="2"/>
    <x v="3"/>
    <x v="1"/>
    <x v="1"/>
    <x v="3"/>
    <x v="1"/>
  </r>
  <r>
    <x v="3"/>
    <x v="1"/>
    <x v="7"/>
    <x v="11"/>
    <x v="9"/>
    <x v="108"/>
    <x v="69"/>
    <x v="103"/>
    <x v="2"/>
    <x v="221"/>
    <x v="216"/>
    <x v="228"/>
    <x v="251"/>
    <x v="250"/>
    <x v="259"/>
    <x v="272"/>
    <x v="268"/>
  </r>
  <r>
    <x v="3"/>
    <x v="1"/>
    <x v="7"/>
    <x v="11"/>
    <x v="10"/>
    <x v="108"/>
    <x v="69"/>
    <x v="103"/>
    <x v="0"/>
    <x v="2"/>
    <x v="2"/>
    <x v="230"/>
    <x v="253"/>
    <x v="252"/>
    <x v="261"/>
    <x v="278"/>
    <x v="274"/>
  </r>
  <r>
    <x v="3"/>
    <x v="1"/>
    <x v="7"/>
    <x v="11"/>
    <x v="11"/>
    <x v="108"/>
    <x v="69"/>
    <x v="103"/>
    <x v="0"/>
    <x v="2"/>
    <x v="2"/>
    <x v="2"/>
    <x v="3"/>
    <x v="1"/>
    <x v="1"/>
    <x v="3"/>
    <x v="1"/>
  </r>
  <r>
    <x v="3"/>
    <x v="1"/>
    <x v="6"/>
    <x v="0"/>
    <x v="29"/>
    <x v="5"/>
    <x v="1"/>
    <x v="1"/>
    <x v="180"/>
    <x v="223"/>
    <x v="218"/>
    <x v="231"/>
    <x v="254"/>
    <x v="253"/>
    <x v="262"/>
    <x v="279"/>
    <x v="275"/>
  </r>
  <r>
    <x v="3"/>
    <x v="1"/>
    <x v="6"/>
    <x v="0"/>
    <x v="30"/>
    <x v="5"/>
    <x v="1"/>
    <x v="1"/>
    <x v="0"/>
    <x v="214"/>
    <x v="219"/>
    <x v="232"/>
    <x v="255"/>
    <x v="254"/>
    <x v="263"/>
    <x v="280"/>
    <x v="276"/>
  </r>
  <r>
    <x v="3"/>
    <x v="1"/>
    <x v="6"/>
    <x v="0"/>
    <x v="31"/>
    <x v="5"/>
    <x v="1"/>
    <x v="1"/>
    <x v="0"/>
    <x v="2"/>
    <x v="2"/>
    <x v="2"/>
    <x v="3"/>
    <x v="1"/>
    <x v="1"/>
    <x v="3"/>
    <x v="1"/>
  </r>
  <r>
    <x v="3"/>
    <x v="1"/>
    <x v="6"/>
    <x v="14"/>
    <x v="7"/>
    <x v="5"/>
    <x v="1"/>
    <x v="1"/>
    <x v="0"/>
    <x v="2"/>
    <x v="2"/>
    <x v="2"/>
    <x v="3"/>
    <x v="1"/>
    <x v="1"/>
    <x v="3"/>
    <x v="1"/>
  </r>
  <r>
    <x v="3"/>
    <x v="1"/>
    <x v="6"/>
    <x v="14"/>
    <x v="8"/>
    <x v="5"/>
    <x v="1"/>
    <x v="1"/>
    <x v="0"/>
    <x v="2"/>
    <x v="2"/>
    <x v="2"/>
    <x v="3"/>
    <x v="1"/>
    <x v="1"/>
    <x v="3"/>
    <x v="1"/>
  </r>
  <r>
    <x v="3"/>
    <x v="1"/>
    <x v="6"/>
    <x v="14"/>
    <x v="9"/>
    <x v="5"/>
    <x v="1"/>
    <x v="1"/>
    <x v="180"/>
    <x v="223"/>
    <x v="218"/>
    <x v="233"/>
    <x v="256"/>
    <x v="255"/>
    <x v="264"/>
    <x v="281"/>
    <x v="277"/>
  </r>
  <r>
    <x v="3"/>
    <x v="1"/>
    <x v="6"/>
    <x v="14"/>
    <x v="10"/>
    <x v="5"/>
    <x v="1"/>
    <x v="1"/>
    <x v="0"/>
    <x v="2"/>
    <x v="2"/>
    <x v="218"/>
    <x v="257"/>
    <x v="256"/>
    <x v="265"/>
    <x v="282"/>
    <x v="278"/>
  </r>
  <r>
    <x v="3"/>
    <x v="1"/>
    <x v="6"/>
    <x v="14"/>
    <x v="11"/>
    <x v="5"/>
    <x v="1"/>
    <x v="1"/>
    <x v="0"/>
    <x v="2"/>
    <x v="2"/>
    <x v="2"/>
    <x v="3"/>
    <x v="1"/>
    <x v="1"/>
    <x v="3"/>
    <x v="1"/>
  </r>
  <r>
    <x v="3"/>
    <x v="1"/>
    <x v="6"/>
    <x v="15"/>
    <x v="7"/>
    <x v="5"/>
    <x v="1"/>
    <x v="1"/>
    <x v="0"/>
    <x v="214"/>
    <x v="219"/>
    <x v="232"/>
    <x v="255"/>
    <x v="254"/>
    <x v="263"/>
    <x v="280"/>
    <x v="276"/>
  </r>
  <r>
    <x v="3"/>
    <x v="1"/>
    <x v="6"/>
    <x v="15"/>
    <x v="8"/>
    <x v="5"/>
    <x v="1"/>
    <x v="1"/>
    <x v="0"/>
    <x v="2"/>
    <x v="2"/>
    <x v="2"/>
    <x v="3"/>
    <x v="1"/>
    <x v="1"/>
    <x v="3"/>
    <x v="1"/>
  </r>
  <r>
    <x v="3"/>
    <x v="1"/>
    <x v="6"/>
    <x v="15"/>
    <x v="9"/>
    <x v="5"/>
    <x v="1"/>
    <x v="1"/>
    <x v="0"/>
    <x v="2"/>
    <x v="2"/>
    <x v="2"/>
    <x v="3"/>
    <x v="1"/>
    <x v="1"/>
    <x v="3"/>
    <x v="1"/>
  </r>
  <r>
    <x v="3"/>
    <x v="1"/>
    <x v="6"/>
    <x v="15"/>
    <x v="10"/>
    <x v="5"/>
    <x v="1"/>
    <x v="1"/>
    <x v="0"/>
    <x v="2"/>
    <x v="2"/>
    <x v="2"/>
    <x v="3"/>
    <x v="1"/>
    <x v="1"/>
    <x v="3"/>
    <x v="1"/>
  </r>
  <r>
    <x v="3"/>
    <x v="1"/>
    <x v="6"/>
    <x v="15"/>
    <x v="11"/>
    <x v="5"/>
    <x v="1"/>
    <x v="1"/>
    <x v="0"/>
    <x v="2"/>
    <x v="2"/>
    <x v="2"/>
    <x v="3"/>
    <x v="1"/>
    <x v="1"/>
    <x v="3"/>
    <x v="1"/>
  </r>
  <r>
    <x v="3"/>
    <x v="1"/>
    <x v="7"/>
    <x v="0"/>
    <x v="29"/>
    <x v="5"/>
    <x v="1"/>
    <x v="1"/>
    <x v="180"/>
    <x v="223"/>
    <x v="218"/>
    <x v="231"/>
    <x v="254"/>
    <x v="253"/>
    <x v="262"/>
    <x v="279"/>
    <x v="275"/>
  </r>
  <r>
    <x v="3"/>
    <x v="1"/>
    <x v="7"/>
    <x v="0"/>
    <x v="30"/>
    <x v="5"/>
    <x v="1"/>
    <x v="1"/>
    <x v="0"/>
    <x v="214"/>
    <x v="219"/>
    <x v="232"/>
    <x v="255"/>
    <x v="254"/>
    <x v="263"/>
    <x v="280"/>
    <x v="276"/>
  </r>
  <r>
    <x v="3"/>
    <x v="1"/>
    <x v="7"/>
    <x v="0"/>
    <x v="31"/>
    <x v="5"/>
    <x v="1"/>
    <x v="1"/>
    <x v="0"/>
    <x v="2"/>
    <x v="2"/>
    <x v="2"/>
    <x v="3"/>
    <x v="1"/>
    <x v="1"/>
    <x v="3"/>
    <x v="1"/>
  </r>
  <r>
    <x v="3"/>
    <x v="1"/>
    <x v="7"/>
    <x v="14"/>
    <x v="7"/>
    <x v="5"/>
    <x v="1"/>
    <x v="1"/>
    <x v="0"/>
    <x v="2"/>
    <x v="2"/>
    <x v="2"/>
    <x v="3"/>
    <x v="1"/>
    <x v="1"/>
    <x v="3"/>
    <x v="1"/>
  </r>
  <r>
    <x v="3"/>
    <x v="1"/>
    <x v="7"/>
    <x v="14"/>
    <x v="8"/>
    <x v="5"/>
    <x v="1"/>
    <x v="1"/>
    <x v="0"/>
    <x v="2"/>
    <x v="2"/>
    <x v="2"/>
    <x v="3"/>
    <x v="1"/>
    <x v="1"/>
    <x v="3"/>
    <x v="1"/>
  </r>
  <r>
    <x v="3"/>
    <x v="1"/>
    <x v="7"/>
    <x v="14"/>
    <x v="9"/>
    <x v="5"/>
    <x v="1"/>
    <x v="1"/>
    <x v="180"/>
    <x v="223"/>
    <x v="218"/>
    <x v="233"/>
    <x v="256"/>
    <x v="255"/>
    <x v="264"/>
    <x v="281"/>
    <x v="277"/>
  </r>
  <r>
    <x v="3"/>
    <x v="1"/>
    <x v="7"/>
    <x v="14"/>
    <x v="10"/>
    <x v="5"/>
    <x v="1"/>
    <x v="1"/>
    <x v="0"/>
    <x v="2"/>
    <x v="2"/>
    <x v="218"/>
    <x v="257"/>
    <x v="256"/>
    <x v="265"/>
    <x v="282"/>
    <x v="278"/>
  </r>
  <r>
    <x v="3"/>
    <x v="1"/>
    <x v="7"/>
    <x v="14"/>
    <x v="11"/>
    <x v="5"/>
    <x v="1"/>
    <x v="1"/>
    <x v="0"/>
    <x v="2"/>
    <x v="2"/>
    <x v="2"/>
    <x v="3"/>
    <x v="1"/>
    <x v="1"/>
    <x v="3"/>
    <x v="1"/>
  </r>
  <r>
    <x v="3"/>
    <x v="1"/>
    <x v="7"/>
    <x v="15"/>
    <x v="7"/>
    <x v="5"/>
    <x v="1"/>
    <x v="1"/>
    <x v="0"/>
    <x v="214"/>
    <x v="219"/>
    <x v="232"/>
    <x v="255"/>
    <x v="254"/>
    <x v="263"/>
    <x v="280"/>
    <x v="276"/>
  </r>
  <r>
    <x v="3"/>
    <x v="1"/>
    <x v="7"/>
    <x v="15"/>
    <x v="8"/>
    <x v="5"/>
    <x v="1"/>
    <x v="1"/>
    <x v="0"/>
    <x v="2"/>
    <x v="2"/>
    <x v="2"/>
    <x v="3"/>
    <x v="1"/>
    <x v="1"/>
    <x v="3"/>
    <x v="1"/>
  </r>
  <r>
    <x v="3"/>
    <x v="1"/>
    <x v="7"/>
    <x v="15"/>
    <x v="9"/>
    <x v="5"/>
    <x v="1"/>
    <x v="1"/>
    <x v="0"/>
    <x v="2"/>
    <x v="2"/>
    <x v="2"/>
    <x v="3"/>
    <x v="1"/>
    <x v="1"/>
    <x v="3"/>
    <x v="1"/>
  </r>
  <r>
    <x v="3"/>
    <x v="1"/>
    <x v="7"/>
    <x v="15"/>
    <x v="10"/>
    <x v="5"/>
    <x v="1"/>
    <x v="1"/>
    <x v="0"/>
    <x v="2"/>
    <x v="2"/>
    <x v="2"/>
    <x v="3"/>
    <x v="1"/>
    <x v="1"/>
    <x v="3"/>
    <x v="1"/>
  </r>
  <r>
    <x v="3"/>
    <x v="1"/>
    <x v="7"/>
    <x v="15"/>
    <x v="11"/>
    <x v="5"/>
    <x v="1"/>
    <x v="1"/>
    <x v="0"/>
    <x v="2"/>
    <x v="2"/>
    <x v="2"/>
    <x v="3"/>
    <x v="1"/>
    <x v="1"/>
    <x v="3"/>
    <x v="1"/>
  </r>
  <r>
    <x v="4"/>
    <x v="0"/>
    <x v="0"/>
    <x v="0"/>
    <x v="0"/>
    <x v="2"/>
    <x v="5"/>
    <x v="18"/>
    <x v="3"/>
    <x v="0"/>
    <x v="9"/>
    <x v="4"/>
    <x v="1"/>
    <x v="4"/>
    <x v="26"/>
    <x v="35"/>
    <x v="0"/>
  </r>
  <r>
    <x v="4"/>
    <x v="0"/>
    <x v="0"/>
    <x v="1"/>
    <x v="1"/>
    <x v="1"/>
    <x v="0"/>
    <x v="6"/>
    <x v="2"/>
    <x v="2"/>
    <x v="0"/>
    <x v="2"/>
    <x v="3"/>
    <x v="3"/>
    <x v="1"/>
    <x v="1"/>
    <x v="0"/>
  </r>
  <r>
    <x v="4"/>
    <x v="0"/>
    <x v="0"/>
    <x v="1"/>
    <x v="2"/>
    <x v="4"/>
    <x v="0"/>
    <x v="2"/>
    <x v="5"/>
    <x v="2"/>
    <x v="4"/>
    <x v="3"/>
    <x v="3"/>
    <x v="3"/>
    <x v="2"/>
    <x v="3"/>
    <x v="1"/>
  </r>
  <r>
    <x v="4"/>
    <x v="0"/>
    <x v="0"/>
    <x v="1"/>
    <x v="3"/>
    <x v="5"/>
    <x v="1"/>
    <x v="2"/>
    <x v="0"/>
    <x v="3"/>
    <x v="2"/>
    <x v="3"/>
    <x v="1"/>
    <x v="3"/>
    <x v="2"/>
    <x v="2"/>
    <x v="1"/>
  </r>
  <r>
    <x v="4"/>
    <x v="0"/>
    <x v="0"/>
    <x v="1"/>
    <x v="4"/>
    <x v="4"/>
    <x v="1"/>
    <x v="4"/>
    <x v="0"/>
    <x v="1"/>
    <x v="2"/>
    <x v="3"/>
    <x v="3"/>
    <x v="1"/>
    <x v="0"/>
    <x v="3"/>
    <x v="1"/>
  </r>
  <r>
    <x v="4"/>
    <x v="0"/>
    <x v="0"/>
    <x v="1"/>
    <x v="5"/>
    <x v="4"/>
    <x v="1"/>
    <x v="4"/>
    <x v="0"/>
    <x v="2"/>
    <x v="2"/>
    <x v="2"/>
    <x v="3"/>
    <x v="1"/>
    <x v="1"/>
    <x v="1"/>
    <x v="1"/>
  </r>
  <r>
    <x v="4"/>
    <x v="0"/>
    <x v="0"/>
    <x v="1"/>
    <x v="6"/>
    <x v="5"/>
    <x v="1"/>
    <x v="1"/>
    <x v="0"/>
    <x v="2"/>
    <x v="2"/>
    <x v="2"/>
    <x v="3"/>
    <x v="1"/>
    <x v="1"/>
    <x v="2"/>
    <x v="1"/>
  </r>
  <r>
    <x v="4"/>
    <x v="0"/>
    <x v="0"/>
    <x v="2"/>
    <x v="7"/>
    <x v="1"/>
    <x v="2"/>
    <x v="6"/>
    <x v="3"/>
    <x v="1"/>
    <x v="1"/>
    <x v="1"/>
    <x v="1"/>
    <x v="3"/>
    <x v="8"/>
    <x v="2"/>
    <x v="1"/>
  </r>
  <r>
    <x v="4"/>
    <x v="0"/>
    <x v="0"/>
    <x v="2"/>
    <x v="8"/>
    <x v="1"/>
    <x v="4"/>
    <x v="2"/>
    <x v="0"/>
    <x v="3"/>
    <x v="4"/>
    <x v="2"/>
    <x v="3"/>
    <x v="3"/>
    <x v="0"/>
    <x v="4"/>
    <x v="0"/>
  </r>
  <r>
    <x v="4"/>
    <x v="0"/>
    <x v="0"/>
    <x v="2"/>
    <x v="9"/>
    <x v="4"/>
    <x v="1"/>
    <x v="2"/>
    <x v="0"/>
    <x v="2"/>
    <x v="4"/>
    <x v="3"/>
    <x v="3"/>
    <x v="3"/>
    <x v="1"/>
    <x v="2"/>
    <x v="1"/>
  </r>
  <r>
    <x v="4"/>
    <x v="0"/>
    <x v="0"/>
    <x v="2"/>
    <x v="10"/>
    <x v="5"/>
    <x v="1"/>
    <x v="2"/>
    <x v="0"/>
    <x v="2"/>
    <x v="4"/>
    <x v="2"/>
    <x v="3"/>
    <x v="1"/>
    <x v="1"/>
    <x v="2"/>
    <x v="1"/>
  </r>
  <r>
    <x v="4"/>
    <x v="0"/>
    <x v="0"/>
    <x v="2"/>
    <x v="11"/>
    <x v="5"/>
    <x v="1"/>
    <x v="1"/>
    <x v="0"/>
    <x v="2"/>
    <x v="2"/>
    <x v="2"/>
    <x v="3"/>
    <x v="1"/>
    <x v="1"/>
    <x v="3"/>
    <x v="1"/>
  </r>
  <r>
    <x v="4"/>
    <x v="0"/>
    <x v="0"/>
    <x v="0"/>
    <x v="12"/>
    <x v="7"/>
    <x v="5"/>
    <x v="11"/>
    <x v="3"/>
    <x v="3"/>
    <x v="9"/>
    <x v="4"/>
    <x v="1"/>
    <x v="4"/>
    <x v="8"/>
    <x v="35"/>
    <x v="0"/>
  </r>
  <r>
    <x v="4"/>
    <x v="0"/>
    <x v="0"/>
    <x v="3"/>
    <x v="1"/>
    <x v="1"/>
    <x v="0"/>
    <x v="6"/>
    <x v="2"/>
    <x v="2"/>
    <x v="0"/>
    <x v="2"/>
    <x v="3"/>
    <x v="3"/>
    <x v="1"/>
    <x v="0"/>
    <x v="0"/>
  </r>
  <r>
    <x v="4"/>
    <x v="0"/>
    <x v="0"/>
    <x v="3"/>
    <x v="2"/>
    <x v="4"/>
    <x v="0"/>
    <x v="2"/>
    <x v="5"/>
    <x v="2"/>
    <x v="4"/>
    <x v="1"/>
    <x v="3"/>
    <x v="3"/>
    <x v="2"/>
    <x v="2"/>
    <x v="1"/>
  </r>
  <r>
    <x v="4"/>
    <x v="0"/>
    <x v="0"/>
    <x v="3"/>
    <x v="3"/>
    <x v="5"/>
    <x v="1"/>
    <x v="2"/>
    <x v="0"/>
    <x v="3"/>
    <x v="2"/>
    <x v="3"/>
    <x v="1"/>
    <x v="3"/>
    <x v="2"/>
    <x v="2"/>
    <x v="1"/>
  </r>
  <r>
    <x v="4"/>
    <x v="0"/>
    <x v="0"/>
    <x v="0"/>
    <x v="13"/>
    <x v="3"/>
    <x v="2"/>
    <x v="5"/>
    <x v="4"/>
    <x v="1"/>
    <x v="1"/>
    <x v="3"/>
    <x v="3"/>
    <x v="3"/>
    <x v="8"/>
    <x v="4"/>
    <x v="0"/>
  </r>
  <r>
    <x v="4"/>
    <x v="0"/>
    <x v="0"/>
    <x v="4"/>
    <x v="4"/>
    <x v="1"/>
    <x v="1"/>
    <x v="2"/>
    <x v="4"/>
    <x v="1"/>
    <x v="1"/>
    <x v="3"/>
    <x v="3"/>
    <x v="1"/>
    <x v="16"/>
    <x v="3"/>
    <x v="0"/>
  </r>
  <r>
    <x v="4"/>
    <x v="0"/>
    <x v="0"/>
    <x v="4"/>
    <x v="5"/>
    <x v="1"/>
    <x v="2"/>
    <x v="6"/>
    <x v="0"/>
    <x v="2"/>
    <x v="2"/>
    <x v="2"/>
    <x v="3"/>
    <x v="3"/>
    <x v="1"/>
    <x v="1"/>
    <x v="1"/>
  </r>
  <r>
    <x v="4"/>
    <x v="0"/>
    <x v="0"/>
    <x v="4"/>
    <x v="6"/>
    <x v="5"/>
    <x v="1"/>
    <x v="1"/>
    <x v="0"/>
    <x v="2"/>
    <x v="2"/>
    <x v="2"/>
    <x v="3"/>
    <x v="1"/>
    <x v="0"/>
    <x v="2"/>
    <x v="1"/>
  </r>
  <r>
    <x v="4"/>
    <x v="1"/>
    <x v="0"/>
    <x v="0"/>
    <x v="14"/>
    <x v="1"/>
    <x v="4"/>
    <x v="5"/>
    <x v="13"/>
    <x v="7"/>
    <x v="11"/>
    <x v="0"/>
    <x v="2"/>
    <x v="3"/>
    <x v="16"/>
    <x v="0"/>
    <x v="32"/>
  </r>
  <r>
    <x v="4"/>
    <x v="1"/>
    <x v="0"/>
    <x v="1"/>
    <x v="1"/>
    <x v="5"/>
    <x v="0"/>
    <x v="2"/>
    <x v="4"/>
    <x v="3"/>
    <x v="3"/>
    <x v="3"/>
    <x v="3"/>
    <x v="3"/>
    <x v="1"/>
    <x v="3"/>
    <x v="2"/>
  </r>
  <r>
    <x v="4"/>
    <x v="1"/>
    <x v="0"/>
    <x v="1"/>
    <x v="2"/>
    <x v="4"/>
    <x v="1"/>
    <x v="2"/>
    <x v="2"/>
    <x v="0"/>
    <x v="4"/>
    <x v="1"/>
    <x v="3"/>
    <x v="1"/>
    <x v="0"/>
    <x v="1"/>
    <x v="1"/>
  </r>
  <r>
    <x v="4"/>
    <x v="1"/>
    <x v="0"/>
    <x v="1"/>
    <x v="3"/>
    <x v="5"/>
    <x v="1"/>
    <x v="4"/>
    <x v="2"/>
    <x v="1"/>
    <x v="4"/>
    <x v="2"/>
    <x v="2"/>
    <x v="1"/>
    <x v="2"/>
    <x v="2"/>
    <x v="0"/>
  </r>
  <r>
    <x v="4"/>
    <x v="1"/>
    <x v="0"/>
    <x v="1"/>
    <x v="4"/>
    <x v="4"/>
    <x v="1"/>
    <x v="1"/>
    <x v="2"/>
    <x v="2"/>
    <x v="4"/>
    <x v="3"/>
    <x v="3"/>
    <x v="1"/>
    <x v="1"/>
    <x v="2"/>
    <x v="1"/>
  </r>
  <r>
    <x v="4"/>
    <x v="1"/>
    <x v="0"/>
    <x v="1"/>
    <x v="5"/>
    <x v="5"/>
    <x v="2"/>
    <x v="1"/>
    <x v="2"/>
    <x v="2"/>
    <x v="2"/>
    <x v="2"/>
    <x v="3"/>
    <x v="1"/>
    <x v="1"/>
    <x v="3"/>
    <x v="3"/>
  </r>
  <r>
    <x v="4"/>
    <x v="1"/>
    <x v="0"/>
    <x v="1"/>
    <x v="6"/>
    <x v="5"/>
    <x v="1"/>
    <x v="1"/>
    <x v="0"/>
    <x v="2"/>
    <x v="2"/>
    <x v="2"/>
    <x v="3"/>
    <x v="1"/>
    <x v="1"/>
    <x v="3"/>
    <x v="0"/>
  </r>
  <r>
    <x v="4"/>
    <x v="1"/>
    <x v="0"/>
    <x v="2"/>
    <x v="7"/>
    <x v="4"/>
    <x v="0"/>
    <x v="4"/>
    <x v="4"/>
    <x v="0"/>
    <x v="3"/>
    <x v="4"/>
    <x v="1"/>
    <x v="1"/>
    <x v="2"/>
    <x v="4"/>
    <x v="0"/>
  </r>
  <r>
    <x v="4"/>
    <x v="1"/>
    <x v="0"/>
    <x v="2"/>
    <x v="8"/>
    <x v="4"/>
    <x v="2"/>
    <x v="6"/>
    <x v="4"/>
    <x v="1"/>
    <x v="4"/>
    <x v="3"/>
    <x v="3"/>
    <x v="1"/>
    <x v="0"/>
    <x v="2"/>
    <x v="9"/>
  </r>
  <r>
    <x v="4"/>
    <x v="1"/>
    <x v="0"/>
    <x v="2"/>
    <x v="9"/>
    <x v="5"/>
    <x v="1"/>
    <x v="1"/>
    <x v="2"/>
    <x v="3"/>
    <x v="4"/>
    <x v="2"/>
    <x v="1"/>
    <x v="3"/>
    <x v="1"/>
    <x v="3"/>
    <x v="0"/>
  </r>
  <r>
    <x v="4"/>
    <x v="1"/>
    <x v="0"/>
    <x v="2"/>
    <x v="10"/>
    <x v="5"/>
    <x v="1"/>
    <x v="4"/>
    <x v="2"/>
    <x v="2"/>
    <x v="4"/>
    <x v="2"/>
    <x v="3"/>
    <x v="1"/>
    <x v="1"/>
    <x v="3"/>
    <x v="0"/>
  </r>
  <r>
    <x v="4"/>
    <x v="1"/>
    <x v="0"/>
    <x v="2"/>
    <x v="11"/>
    <x v="5"/>
    <x v="1"/>
    <x v="1"/>
    <x v="0"/>
    <x v="2"/>
    <x v="2"/>
    <x v="2"/>
    <x v="3"/>
    <x v="1"/>
    <x v="1"/>
    <x v="3"/>
    <x v="1"/>
  </r>
  <r>
    <x v="4"/>
    <x v="1"/>
    <x v="0"/>
    <x v="0"/>
    <x v="15"/>
    <x v="1"/>
    <x v="4"/>
    <x v="5"/>
    <x v="3"/>
    <x v="3"/>
    <x v="9"/>
    <x v="3"/>
    <x v="2"/>
    <x v="3"/>
    <x v="2"/>
    <x v="0"/>
    <x v="103"/>
  </r>
  <r>
    <x v="4"/>
    <x v="1"/>
    <x v="0"/>
    <x v="0"/>
    <x v="16"/>
    <x v="5"/>
    <x v="1"/>
    <x v="1"/>
    <x v="4"/>
    <x v="12"/>
    <x v="4"/>
    <x v="1"/>
    <x v="3"/>
    <x v="1"/>
    <x v="0"/>
    <x v="3"/>
    <x v="0"/>
  </r>
  <r>
    <x v="4"/>
    <x v="1"/>
    <x v="0"/>
    <x v="0"/>
    <x v="17"/>
    <x v="5"/>
    <x v="1"/>
    <x v="1"/>
    <x v="0"/>
    <x v="2"/>
    <x v="2"/>
    <x v="3"/>
    <x v="3"/>
    <x v="1"/>
    <x v="1"/>
    <x v="3"/>
    <x v="0"/>
  </r>
  <r>
    <x v="4"/>
    <x v="1"/>
    <x v="0"/>
    <x v="5"/>
    <x v="7"/>
    <x v="4"/>
    <x v="0"/>
    <x v="4"/>
    <x v="2"/>
    <x v="1"/>
    <x v="3"/>
    <x v="3"/>
    <x v="1"/>
    <x v="1"/>
    <x v="2"/>
    <x v="4"/>
    <x v="0"/>
  </r>
  <r>
    <x v="4"/>
    <x v="1"/>
    <x v="0"/>
    <x v="5"/>
    <x v="8"/>
    <x v="4"/>
    <x v="2"/>
    <x v="6"/>
    <x v="4"/>
    <x v="1"/>
    <x v="4"/>
    <x v="2"/>
    <x v="3"/>
    <x v="1"/>
    <x v="1"/>
    <x v="2"/>
    <x v="2"/>
  </r>
  <r>
    <x v="4"/>
    <x v="1"/>
    <x v="0"/>
    <x v="5"/>
    <x v="9"/>
    <x v="5"/>
    <x v="1"/>
    <x v="1"/>
    <x v="0"/>
    <x v="2"/>
    <x v="2"/>
    <x v="2"/>
    <x v="1"/>
    <x v="3"/>
    <x v="1"/>
    <x v="3"/>
    <x v="0"/>
  </r>
  <r>
    <x v="4"/>
    <x v="1"/>
    <x v="0"/>
    <x v="5"/>
    <x v="10"/>
    <x v="5"/>
    <x v="1"/>
    <x v="4"/>
    <x v="2"/>
    <x v="2"/>
    <x v="4"/>
    <x v="2"/>
    <x v="3"/>
    <x v="1"/>
    <x v="1"/>
    <x v="3"/>
    <x v="1"/>
  </r>
  <r>
    <x v="4"/>
    <x v="1"/>
    <x v="0"/>
    <x v="5"/>
    <x v="11"/>
    <x v="5"/>
    <x v="1"/>
    <x v="1"/>
    <x v="0"/>
    <x v="2"/>
    <x v="2"/>
    <x v="2"/>
    <x v="3"/>
    <x v="1"/>
    <x v="1"/>
    <x v="3"/>
    <x v="1"/>
  </r>
  <r>
    <x v="4"/>
    <x v="1"/>
    <x v="0"/>
    <x v="6"/>
    <x v="7"/>
    <x v="5"/>
    <x v="1"/>
    <x v="1"/>
    <x v="2"/>
    <x v="3"/>
    <x v="2"/>
    <x v="3"/>
    <x v="3"/>
    <x v="1"/>
    <x v="1"/>
    <x v="3"/>
    <x v="1"/>
  </r>
  <r>
    <x v="4"/>
    <x v="1"/>
    <x v="0"/>
    <x v="6"/>
    <x v="8"/>
    <x v="5"/>
    <x v="1"/>
    <x v="1"/>
    <x v="0"/>
    <x v="2"/>
    <x v="2"/>
    <x v="3"/>
    <x v="3"/>
    <x v="1"/>
    <x v="0"/>
    <x v="3"/>
    <x v="0"/>
  </r>
  <r>
    <x v="4"/>
    <x v="1"/>
    <x v="0"/>
    <x v="6"/>
    <x v="9"/>
    <x v="5"/>
    <x v="1"/>
    <x v="1"/>
    <x v="2"/>
    <x v="3"/>
    <x v="4"/>
    <x v="2"/>
    <x v="3"/>
    <x v="1"/>
    <x v="1"/>
    <x v="3"/>
    <x v="1"/>
  </r>
  <r>
    <x v="4"/>
    <x v="1"/>
    <x v="0"/>
    <x v="6"/>
    <x v="10"/>
    <x v="5"/>
    <x v="1"/>
    <x v="1"/>
    <x v="0"/>
    <x v="2"/>
    <x v="2"/>
    <x v="2"/>
    <x v="3"/>
    <x v="1"/>
    <x v="1"/>
    <x v="3"/>
    <x v="1"/>
  </r>
  <r>
    <x v="4"/>
    <x v="1"/>
    <x v="0"/>
    <x v="6"/>
    <x v="11"/>
    <x v="5"/>
    <x v="1"/>
    <x v="1"/>
    <x v="0"/>
    <x v="2"/>
    <x v="2"/>
    <x v="2"/>
    <x v="3"/>
    <x v="1"/>
    <x v="1"/>
    <x v="3"/>
    <x v="1"/>
  </r>
  <r>
    <x v="4"/>
    <x v="1"/>
    <x v="0"/>
    <x v="7"/>
    <x v="7"/>
    <x v="5"/>
    <x v="1"/>
    <x v="1"/>
    <x v="0"/>
    <x v="2"/>
    <x v="2"/>
    <x v="3"/>
    <x v="3"/>
    <x v="1"/>
    <x v="1"/>
    <x v="3"/>
    <x v="1"/>
  </r>
  <r>
    <x v="4"/>
    <x v="1"/>
    <x v="0"/>
    <x v="7"/>
    <x v="8"/>
    <x v="5"/>
    <x v="1"/>
    <x v="1"/>
    <x v="0"/>
    <x v="2"/>
    <x v="2"/>
    <x v="2"/>
    <x v="3"/>
    <x v="1"/>
    <x v="1"/>
    <x v="3"/>
    <x v="1"/>
  </r>
  <r>
    <x v="4"/>
    <x v="1"/>
    <x v="0"/>
    <x v="7"/>
    <x v="9"/>
    <x v="5"/>
    <x v="1"/>
    <x v="1"/>
    <x v="0"/>
    <x v="2"/>
    <x v="2"/>
    <x v="2"/>
    <x v="3"/>
    <x v="1"/>
    <x v="1"/>
    <x v="3"/>
    <x v="1"/>
  </r>
  <r>
    <x v="4"/>
    <x v="1"/>
    <x v="0"/>
    <x v="7"/>
    <x v="10"/>
    <x v="5"/>
    <x v="1"/>
    <x v="1"/>
    <x v="0"/>
    <x v="2"/>
    <x v="2"/>
    <x v="2"/>
    <x v="3"/>
    <x v="1"/>
    <x v="1"/>
    <x v="3"/>
    <x v="0"/>
  </r>
  <r>
    <x v="4"/>
    <x v="1"/>
    <x v="0"/>
    <x v="7"/>
    <x v="11"/>
    <x v="5"/>
    <x v="1"/>
    <x v="1"/>
    <x v="0"/>
    <x v="2"/>
    <x v="2"/>
    <x v="2"/>
    <x v="3"/>
    <x v="1"/>
    <x v="1"/>
    <x v="3"/>
    <x v="1"/>
  </r>
  <r>
    <x v="4"/>
    <x v="1"/>
    <x v="0"/>
    <x v="0"/>
    <x v="18"/>
    <x v="4"/>
    <x v="0"/>
    <x v="5"/>
    <x v="3"/>
    <x v="7"/>
    <x v="9"/>
    <x v="0"/>
    <x v="2"/>
    <x v="3"/>
    <x v="16"/>
    <x v="4"/>
    <x v="32"/>
  </r>
  <r>
    <x v="4"/>
    <x v="1"/>
    <x v="0"/>
    <x v="3"/>
    <x v="1"/>
    <x v="5"/>
    <x v="0"/>
    <x v="2"/>
    <x v="4"/>
    <x v="3"/>
    <x v="3"/>
    <x v="3"/>
    <x v="3"/>
    <x v="3"/>
    <x v="1"/>
    <x v="3"/>
    <x v="103"/>
  </r>
  <r>
    <x v="4"/>
    <x v="1"/>
    <x v="0"/>
    <x v="3"/>
    <x v="2"/>
    <x v="4"/>
    <x v="1"/>
    <x v="2"/>
    <x v="2"/>
    <x v="0"/>
    <x v="4"/>
    <x v="4"/>
    <x v="3"/>
    <x v="1"/>
    <x v="0"/>
    <x v="1"/>
    <x v="0"/>
  </r>
  <r>
    <x v="4"/>
    <x v="1"/>
    <x v="0"/>
    <x v="3"/>
    <x v="3"/>
    <x v="5"/>
    <x v="1"/>
    <x v="4"/>
    <x v="2"/>
    <x v="1"/>
    <x v="4"/>
    <x v="2"/>
    <x v="2"/>
    <x v="1"/>
    <x v="2"/>
    <x v="2"/>
    <x v="0"/>
  </r>
  <r>
    <x v="4"/>
    <x v="1"/>
    <x v="0"/>
    <x v="0"/>
    <x v="19"/>
    <x v="1"/>
    <x v="2"/>
    <x v="4"/>
    <x v="3"/>
    <x v="0"/>
    <x v="0"/>
    <x v="3"/>
    <x v="3"/>
    <x v="1"/>
    <x v="2"/>
    <x v="4"/>
    <x v="9"/>
  </r>
  <r>
    <x v="4"/>
    <x v="1"/>
    <x v="0"/>
    <x v="4"/>
    <x v="4"/>
    <x v="4"/>
    <x v="1"/>
    <x v="4"/>
    <x v="2"/>
    <x v="3"/>
    <x v="0"/>
    <x v="3"/>
    <x v="3"/>
    <x v="1"/>
    <x v="0"/>
    <x v="1"/>
    <x v="0"/>
  </r>
  <r>
    <x v="4"/>
    <x v="1"/>
    <x v="0"/>
    <x v="4"/>
    <x v="5"/>
    <x v="4"/>
    <x v="2"/>
    <x v="1"/>
    <x v="5"/>
    <x v="1"/>
    <x v="2"/>
    <x v="2"/>
    <x v="3"/>
    <x v="1"/>
    <x v="0"/>
    <x v="3"/>
    <x v="3"/>
  </r>
  <r>
    <x v="4"/>
    <x v="1"/>
    <x v="0"/>
    <x v="4"/>
    <x v="6"/>
    <x v="5"/>
    <x v="1"/>
    <x v="1"/>
    <x v="0"/>
    <x v="2"/>
    <x v="2"/>
    <x v="2"/>
    <x v="3"/>
    <x v="1"/>
    <x v="1"/>
    <x v="2"/>
    <x v="0"/>
  </r>
  <r>
    <x v="4"/>
    <x v="2"/>
    <x v="1"/>
    <x v="0"/>
    <x v="20"/>
    <x v="7"/>
    <x v="5"/>
    <x v="23"/>
    <x v="13"/>
    <x v="0"/>
    <x v="1"/>
    <x v="3"/>
    <x v="3"/>
    <x v="2"/>
    <x v="8"/>
    <x v="35"/>
    <x v="1"/>
  </r>
  <r>
    <x v="4"/>
    <x v="2"/>
    <x v="1"/>
    <x v="1"/>
    <x v="1"/>
    <x v="1"/>
    <x v="0"/>
    <x v="6"/>
    <x v="4"/>
    <x v="2"/>
    <x v="4"/>
    <x v="2"/>
    <x v="3"/>
    <x v="1"/>
    <x v="1"/>
    <x v="1"/>
    <x v="1"/>
  </r>
  <r>
    <x v="4"/>
    <x v="2"/>
    <x v="1"/>
    <x v="1"/>
    <x v="2"/>
    <x v="5"/>
    <x v="0"/>
    <x v="2"/>
    <x v="3"/>
    <x v="1"/>
    <x v="4"/>
    <x v="2"/>
    <x v="3"/>
    <x v="3"/>
    <x v="2"/>
    <x v="3"/>
    <x v="1"/>
  </r>
  <r>
    <x v="4"/>
    <x v="2"/>
    <x v="1"/>
    <x v="1"/>
    <x v="3"/>
    <x v="5"/>
    <x v="1"/>
    <x v="4"/>
    <x v="0"/>
    <x v="1"/>
    <x v="2"/>
    <x v="3"/>
    <x v="3"/>
    <x v="3"/>
    <x v="0"/>
    <x v="2"/>
    <x v="1"/>
  </r>
  <r>
    <x v="4"/>
    <x v="2"/>
    <x v="1"/>
    <x v="1"/>
    <x v="4"/>
    <x v="5"/>
    <x v="1"/>
    <x v="4"/>
    <x v="0"/>
    <x v="1"/>
    <x v="2"/>
    <x v="2"/>
    <x v="3"/>
    <x v="1"/>
    <x v="0"/>
    <x v="3"/>
    <x v="1"/>
  </r>
  <r>
    <x v="4"/>
    <x v="2"/>
    <x v="1"/>
    <x v="1"/>
    <x v="5"/>
    <x v="4"/>
    <x v="1"/>
    <x v="4"/>
    <x v="0"/>
    <x v="2"/>
    <x v="2"/>
    <x v="2"/>
    <x v="3"/>
    <x v="1"/>
    <x v="1"/>
    <x v="1"/>
    <x v="1"/>
  </r>
  <r>
    <x v="4"/>
    <x v="2"/>
    <x v="1"/>
    <x v="1"/>
    <x v="6"/>
    <x v="5"/>
    <x v="1"/>
    <x v="1"/>
    <x v="0"/>
    <x v="2"/>
    <x v="2"/>
    <x v="2"/>
    <x v="3"/>
    <x v="1"/>
    <x v="1"/>
    <x v="2"/>
    <x v="1"/>
  </r>
  <r>
    <x v="4"/>
    <x v="2"/>
    <x v="1"/>
    <x v="8"/>
    <x v="1"/>
    <x v="61"/>
    <x v="22"/>
    <x v="25"/>
    <x v="37"/>
    <x v="2"/>
    <x v="7"/>
    <x v="2"/>
    <x v="239"/>
    <x v="1"/>
    <x v="1"/>
    <x v="5"/>
    <x v="172"/>
  </r>
  <r>
    <x v="4"/>
    <x v="2"/>
    <x v="1"/>
    <x v="8"/>
    <x v="2"/>
    <x v="5"/>
    <x v="22"/>
    <x v="16"/>
    <x v="40"/>
    <x v="8"/>
    <x v="7"/>
    <x v="2"/>
    <x v="239"/>
    <x v="105"/>
    <x v="3"/>
    <x v="3"/>
    <x v="172"/>
  </r>
  <r>
    <x v="4"/>
    <x v="2"/>
    <x v="1"/>
    <x v="8"/>
    <x v="3"/>
    <x v="5"/>
    <x v="1"/>
    <x v="108"/>
    <x v="0"/>
    <x v="8"/>
    <x v="2"/>
    <x v="3"/>
    <x v="239"/>
    <x v="105"/>
    <x v="95"/>
    <x v="283"/>
    <x v="172"/>
  </r>
  <r>
    <x v="4"/>
    <x v="2"/>
    <x v="1"/>
    <x v="8"/>
    <x v="4"/>
    <x v="5"/>
    <x v="1"/>
    <x v="108"/>
    <x v="0"/>
    <x v="8"/>
    <x v="2"/>
    <x v="2"/>
    <x v="239"/>
    <x v="1"/>
    <x v="95"/>
    <x v="3"/>
    <x v="172"/>
  </r>
  <r>
    <x v="4"/>
    <x v="2"/>
    <x v="1"/>
    <x v="8"/>
    <x v="5"/>
    <x v="20"/>
    <x v="1"/>
    <x v="108"/>
    <x v="0"/>
    <x v="2"/>
    <x v="2"/>
    <x v="2"/>
    <x v="239"/>
    <x v="1"/>
    <x v="1"/>
    <x v="5"/>
    <x v="172"/>
  </r>
  <r>
    <x v="4"/>
    <x v="2"/>
    <x v="1"/>
    <x v="8"/>
    <x v="6"/>
    <x v="5"/>
    <x v="1"/>
    <x v="1"/>
    <x v="0"/>
    <x v="2"/>
    <x v="2"/>
    <x v="2"/>
    <x v="239"/>
    <x v="1"/>
    <x v="1"/>
    <x v="283"/>
    <x v="172"/>
  </r>
  <r>
    <x v="4"/>
    <x v="2"/>
    <x v="1"/>
    <x v="2"/>
    <x v="7"/>
    <x v="4"/>
    <x v="1"/>
    <x v="2"/>
    <x v="3"/>
    <x v="3"/>
    <x v="4"/>
    <x v="2"/>
    <x v="3"/>
    <x v="3"/>
    <x v="16"/>
    <x v="2"/>
    <x v="1"/>
  </r>
  <r>
    <x v="4"/>
    <x v="2"/>
    <x v="1"/>
    <x v="2"/>
    <x v="8"/>
    <x v="4"/>
    <x v="4"/>
    <x v="2"/>
    <x v="0"/>
    <x v="1"/>
    <x v="4"/>
    <x v="2"/>
    <x v="3"/>
    <x v="3"/>
    <x v="0"/>
    <x v="4"/>
    <x v="1"/>
  </r>
  <r>
    <x v="4"/>
    <x v="2"/>
    <x v="1"/>
    <x v="2"/>
    <x v="9"/>
    <x v="4"/>
    <x v="2"/>
    <x v="6"/>
    <x v="4"/>
    <x v="2"/>
    <x v="2"/>
    <x v="3"/>
    <x v="3"/>
    <x v="1"/>
    <x v="1"/>
    <x v="2"/>
    <x v="1"/>
  </r>
  <r>
    <x v="4"/>
    <x v="2"/>
    <x v="1"/>
    <x v="2"/>
    <x v="10"/>
    <x v="5"/>
    <x v="1"/>
    <x v="4"/>
    <x v="0"/>
    <x v="2"/>
    <x v="2"/>
    <x v="2"/>
    <x v="3"/>
    <x v="1"/>
    <x v="1"/>
    <x v="2"/>
    <x v="1"/>
  </r>
  <r>
    <x v="4"/>
    <x v="2"/>
    <x v="1"/>
    <x v="2"/>
    <x v="11"/>
    <x v="5"/>
    <x v="1"/>
    <x v="1"/>
    <x v="0"/>
    <x v="2"/>
    <x v="2"/>
    <x v="2"/>
    <x v="3"/>
    <x v="1"/>
    <x v="1"/>
    <x v="3"/>
    <x v="1"/>
  </r>
  <r>
    <x v="4"/>
    <x v="2"/>
    <x v="1"/>
    <x v="0"/>
    <x v="21"/>
    <x v="1"/>
    <x v="5"/>
    <x v="0"/>
    <x v="13"/>
    <x v="3"/>
    <x v="1"/>
    <x v="3"/>
    <x v="3"/>
    <x v="2"/>
    <x v="16"/>
    <x v="35"/>
    <x v="1"/>
  </r>
  <r>
    <x v="4"/>
    <x v="2"/>
    <x v="1"/>
    <x v="3"/>
    <x v="1"/>
    <x v="1"/>
    <x v="0"/>
    <x v="6"/>
    <x v="4"/>
    <x v="2"/>
    <x v="4"/>
    <x v="2"/>
    <x v="3"/>
    <x v="1"/>
    <x v="1"/>
    <x v="0"/>
    <x v="1"/>
  </r>
  <r>
    <x v="4"/>
    <x v="2"/>
    <x v="1"/>
    <x v="3"/>
    <x v="2"/>
    <x v="5"/>
    <x v="0"/>
    <x v="2"/>
    <x v="3"/>
    <x v="1"/>
    <x v="4"/>
    <x v="2"/>
    <x v="3"/>
    <x v="3"/>
    <x v="2"/>
    <x v="2"/>
    <x v="1"/>
  </r>
  <r>
    <x v="4"/>
    <x v="2"/>
    <x v="1"/>
    <x v="3"/>
    <x v="3"/>
    <x v="5"/>
    <x v="1"/>
    <x v="4"/>
    <x v="0"/>
    <x v="1"/>
    <x v="2"/>
    <x v="3"/>
    <x v="3"/>
    <x v="3"/>
    <x v="0"/>
    <x v="2"/>
    <x v="1"/>
  </r>
  <r>
    <x v="4"/>
    <x v="2"/>
    <x v="1"/>
    <x v="9"/>
    <x v="1"/>
    <x v="18"/>
    <x v="11"/>
    <x v="16"/>
    <x v="11"/>
    <x v="2"/>
    <x v="6"/>
    <x v="2"/>
    <x v="3"/>
    <x v="1"/>
    <x v="1"/>
    <x v="1"/>
    <x v="4"/>
  </r>
  <r>
    <x v="4"/>
    <x v="2"/>
    <x v="1"/>
    <x v="9"/>
    <x v="2"/>
    <x v="5"/>
    <x v="11"/>
    <x v="13"/>
    <x v="181"/>
    <x v="8"/>
    <x v="6"/>
    <x v="2"/>
    <x v="3"/>
    <x v="3"/>
    <x v="2"/>
    <x v="6"/>
    <x v="4"/>
  </r>
  <r>
    <x v="4"/>
    <x v="2"/>
    <x v="1"/>
    <x v="9"/>
    <x v="3"/>
    <x v="5"/>
    <x v="1"/>
    <x v="79"/>
    <x v="0"/>
    <x v="8"/>
    <x v="2"/>
    <x v="5"/>
    <x v="3"/>
    <x v="3"/>
    <x v="0"/>
    <x v="6"/>
    <x v="4"/>
  </r>
  <r>
    <x v="4"/>
    <x v="2"/>
    <x v="1"/>
    <x v="0"/>
    <x v="22"/>
    <x v="1"/>
    <x v="0"/>
    <x v="0"/>
    <x v="3"/>
    <x v="3"/>
    <x v="2"/>
    <x v="2"/>
    <x v="3"/>
    <x v="3"/>
    <x v="16"/>
    <x v="4"/>
    <x v="1"/>
  </r>
  <r>
    <x v="4"/>
    <x v="2"/>
    <x v="1"/>
    <x v="4"/>
    <x v="4"/>
    <x v="4"/>
    <x v="2"/>
    <x v="2"/>
    <x v="5"/>
    <x v="3"/>
    <x v="2"/>
    <x v="2"/>
    <x v="3"/>
    <x v="1"/>
    <x v="2"/>
    <x v="3"/>
    <x v="1"/>
  </r>
  <r>
    <x v="4"/>
    <x v="2"/>
    <x v="1"/>
    <x v="4"/>
    <x v="5"/>
    <x v="4"/>
    <x v="2"/>
    <x v="3"/>
    <x v="2"/>
    <x v="2"/>
    <x v="2"/>
    <x v="2"/>
    <x v="3"/>
    <x v="3"/>
    <x v="1"/>
    <x v="1"/>
    <x v="1"/>
  </r>
  <r>
    <x v="4"/>
    <x v="2"/>
    <x v="1"/>
    <x v="4"/>
    <x v="6"/>
    <x v="5"/>
    <x v="1"/>
    <x v="1"/>
    <x v="0"/>
    <x v="2"/>
    <x v="2"/>
    <x v="2"/>
    <x v="3"/>
    <x v="1"/>
    <x v="0"/>
    <x v="2"/>
    <x v="1"/>
  </r>
  <r>
    <x v="4"/>
    <x v="2"/>
    <x v="1"/>
    <x v="10"/>
    <x v="4"/>
    <x v="15"/>
    <x v="92"/>
    <x v="13"/>
    <x v="9"/>
    <x v="1"/>
    <x v="2"/>
    <x v="2"/>
    <x v="3"/>
    <x v="1"/>
    <x v="0"/>
    <x v="3"/>
    <x v="1"/>
  </r>
  <r>
    <x v="4"/>
    <x v="2"/>
    <x v="1"/>
    <x v="10"/>
    <x v="5"/>
    <x v="15"/>
    <x v="92"/>
    <x v="14"/>
    <x v="7"/>
    <x v="2"/>
    <x v="2"/>
    <x v="2"/>
    <x v="3"/>
    <x v="6"/>
    <x v="1"/>
    <x v="7"/>
    <x v="1"/>
  </r>
  <r>
    <x v="4"/>
    <x v="2"/>
    <x v="1"/>
    <x v="10"/>
    <x v="6"/>
    <x v="5"/>
    <x v="1"/>
    <x v="1"/>
    <x v="0"/>
    <x v="2"/>
    <x v="2"/>
    <x v="2"/>
    <x v="3"/>
    <x v="1"/>
    <x v="3"/>
    <x v="5"/>
    <x v="1"/>
  </r>
  <r>
    <x v="4"/>
    <x v="0"/>
    <x v="2"/>
    <x v="0"/>
    <x v="23"/>
    <x v="2"/>
    <x v="3"/>
    <x v="19"/>
    <x v="15"/>
    <x v="11"/>
    <x v="220"/>
    <x v="6"/>
    <x v="258"/>
    <x v="14"/>
    <x v="15"/>
    <x v="8"/>
    <x v="5"/>
  </r>
  <r>
    <x v="4"/>
    <x v="0"/>
    <x v="2"/>
    <x v="1"/>
    <x v="1"/>
    <x v="1"/>
    <x v="5"/>
    <x v="11"/>
    <x v="6"/>
    <x v="4"/>
    <x v="15"/>
    <x v="234"/>
    <x v="259"/>
    <x v="30"/>
    <x v="158"/>
    <x v="10"/>
    <x v="17"/>
  </r>
  <r>
    <x v="4"/>
    <x v="0"/>
    <x v="2"/>
    <x v="1"/>
    <x v="2"/>
    <x v="4"/>
    <x v="4"/>
    <x v="5"/>
    <x v="6"/>
    <x v="4"/>
    <x v="145"/>
    <x v="95"/>
    <x v="163"/>
    <x v="15"/>
    <x v="158"/>
    <x v="13"/>
    <x v="14"/>
  </r>
  <r>
    <x v="4"/>
    <x v="0"/>
    <x v="2"/>
    <x v="1"/>
    <x v="3"/>
    <x v="5"/>
    <x v="1"/>
    <x v="2"/>
    <x v="4"/>
    <x v="12"/>
    <x v="0"/>
    <x v="14"/>
    <x v="10"/>
    <x v="18"/>
    <x v="6"/>
    <x v="9"/>
    <x v="6"/>
  </r>
  <r>
    <x v="4"/>
    <x v="0"/>
    <x v="2"/>
    <x v="1"/>
    <x v="4"/>
    <x v="4"/>
    <x v="2"/>
    <x v="2"/>
    <x v="4"/>
    <x v="0"/>
    <x v="3"/>
    <x v="0"/>
    <x v="4"/>
    <x v="5"/>
    <x v="26"/>
    <x v="36"/>
    <x v="103"/>
  </r>
  <r>
    <x v="4"/>
    <x v="0"/>
    <x v="2"/>
    <x v="1"/>
    <x v="5"/>
    <x v="4"/>
    <x v="2"/>
    <x v="2"/>
    <x v="4"/>
    <x v="3"/>
    <x v="1"/>
    <x v="1"/>
    <x v="2"/>
    <x v="2"/>
    <x v="2"/>
    <x v="0"/>
    <x v="9"/>
  </r>
  <r>
    <x v="4"/>
    <x v="0"/>
    <x v="2"/>
    <x v="1"/>
    <x v="6"/>
    <x v="5"/>
    <x v="1"/>
    <x v="1"/>
    <x v="0"/>
    <x v="2"/>
    <x v="2"/>
    <x v="2"/>
    <x v="3"/>
    <x v="1"/>
    <x v="1"/>
    <x v="2"/>
    <x v="0"/>
  </r>
  <r>
    <x v="4"/>
    <x v="0"/>
    <x v="2"/>
    <x v="2"/>
    <x v="7"/>
    <x v="1"/>
    <x v="4"/>
    <x v="0"/>
    <x v="126"/>
    <x v="13"/>
    <x v="10"/>
    <x v="13"/>
    <x v="17"/>
    <x v="16"/>
    <x v="9"/>
    <x v="23"/>
    <x v="31"/>
  </r>
  <r>
    <x v="4"/>
    <x v="0"/>
    <x v="2"/>
    <x v="2"/>
    <x v="8"/>
    <x v="1"/>
    <x v="16"/>
    <x v="11"/>
    <x v="10"/>
    <x v="17"/>
    <x v="147"/>
    <x v="95"/>
    <x v="163"/>
    <x v="15"/>
    <x v="10"/>
    <x v="10"/>
    <x v="17"/>
  </r>
  <r>
    <x v="4"/>
    <x v="0"/>
    <x v="2"/>
    <x v="2"/>
    <x v="9"/>
    <x v="4"/>
    <x v="2"/>
    <x v="6"/>
    <x v="5"/>
    <x v="0"/>
    <x v="0"/>
    <x v="14"/>
    <x v="0"/>
    <x v="162"/>
    <x v="14"/>
    <x v="19"/>
    <x v="32"/>
  </r>
  <r>
    <x v="4"/>
    <x v="0"/>
    <x v="2"/>
    <x v="2"/>
    <x v="10"/>
    <x v="5"/>
    <x v="1"/>
    <x v="2"/>
    <x v="4"/>
    <x v="3"/>
    <x v="3"/>
    <x v="4"/>
    <x v="5"/>
    <x v="4"/>
    <x v="16"/>
    <x v="0"/>
    <x v="9"/>
  </r>
  <r>
    <x v="4"/>
    <x v="0"/>
    <x v="2"/>
    <x v="2"/>
    <x v="11"/>
    <x v="5"/>
    <x v="1"/>
    <x v="1"/>
    <x v="0"/>
    <x v="2"/>
    <x v="2"/>
    <x v="2"/>
    <x v="3"/>
    <x v="1"/>
    <x v="1"/>
    <x v="3"/>
    <x v="1"/>
  </r>
  <r>
    <x v="4"/>
    <x v="0"/>
    <x v="2"/>
    <x v="0"/>
    <x v="24"/>
    <x v="7"/>
    <x v="9"/>
    <x v="105"/>
    <x v="18"/>
    <x v="25"/>
    <x v="14"/>
    <x v="12"/>
    <x v="164"/>
    <x v="257"/>
    <x v="24"/>
    <x v="16"/>
    <x v="15"/>
  </r>
  <r>
    <x v="4"/>
    <x v="0"/>
    <x v="2"/>
    <x v="3"/>
    <x v="1"/>
    <x v="1"/>
    <x v="5"/>
    <x v="11"/>
    <x v="6"/>
    <x v="4"/>
    <x v="15"/>
    <x v="234"/>
    <x v="259"/>
    <x v="30"/>
    <x v="158"/>
    <x v="173"/>
    <x v="177"/>
  </r>
  <r>
    <x v="4"/>
    <x v="0"/>
    <x v="2"/>
    <x v="3"/>
    <x v="2"/>
    <x v="4"/>
    <x v="4"/>
    <x v="5"/>
    <x v="6"/>
    <x v="4"/>
    <x v="145"/>
    <x v="152"/>
    <x v="18"/>
    <x v="12"/>
    <x v="25"/>
    <x v="10"/>
    <x v="7"/>
  </r>
  <r>
    <x v="4"/>
    <x v="0"/>
    <x v="2"/>
    <x v="3"/>
    <x v="3"/>
    <x v="5"/>
    <x v="1"/>
    <x v="2"/>
    <x v="4"/>
    <x v="12"/>
    <x v="0"/>
    <x v="14"/>
    <x v="10"/>
    <x v="18"/>
    <x v="6"/>
    <x v="9"/>
    <x v="6"/>
  </r>
  <r>
    <x v="4"/>
    <x v="0"/>
    <x v="2"/>
    <x v="0"/>
    <x v="25"/>
    <x v="3"/>
    <x v="16"/>
    <x v="162"/>
    <x v="29"/>
    <x v="14"/>
    <x v="221"/>
    <x v="29"/>
    <x v="17"/>
    <x v="16"/>
    <x v="9"/>
    <x v="178"/>
    <x v="279"/>
  </r>
  <r>
    <x v="4"/>
    <x v="0"/>
    <x v="2"/>
    <x v="4"/>
    <x v="4"/>
    <x v="1"/>
    <x v="0"/>
    <x v="3"/>
    <x v="13"/>
    <x v="6"/>
    <x v="145"/>
    <x v="95"/>
    <x v="163"/>
    <x v="13"/>
    <x v="158"/>
    <x v="13"/>
    <x v="11"/>
  </r>
  <r>
    <x v="4"/>
    <x v="0"/>
    <x v="2"/>
    <x v="4"/>
    <x v="5"/>
    <x v="1"/>
    <x v="4"/>
    <x v="0"/>
    <x v="13"/>
    <x v="7"/>
    <x v="11"/>
    <x v="16"/>
    <x v="10"/>
    <x v="18"/>
    <x v="97"/>
    <x v="11"/>
    <x v="8"/>
  </r>
  <r>
    <x v="4"/>
    <x v="0"/>
    <x v="2"/>
    <x v="4"/>
    <x v="6"/>
    <x v="5"/>
    <x v="1"/>
    <x v="1"/>
    <x v="0"/>
    <x v="2"/>
    <x v="2"/>
    <x v="2"/>
    <x v="3"/>
    <x v="1"/>
    <x v="0"/>
    <x v="1"/>
    <x v="3"/>
  </r>
  <r>
    <x v="4"/>
    <x v="1"/>
    <x v="2"/>
    <x v="0"/>
    <x v="26"/>
    <x v="1"/>
    <x v="16"/>
    <x v="162"/>
    <x v="182"/>
    <x v="16"/>
    <x v="222"/>
    <x v="235"/>
    <x v="258"/>
    <x v="258"/>
    <x v="12"/>
    <x v="16"/>
    <x v="5"/>
  </r>
  <r>
    <x v="4"/>
    <x v="1"/>
    <x v="2"/>
    <x v="1"/>
    <x v="1"/>
    <x v="5"/>
    <x v="0"/>
    <x v="3"/>
    <x v="13"/>
    <x v="4"/>
    <x v="223"/>
    <x v="234"/>
    <x v="259"/>
    <x v="30"/>
    <x v="158"/>
    <x v="13"/>
    <x v="17"/>
  </r>
  <r>
    <x v="4"/>
    <x v="1"/>
    <x v="2"/>
    <x v="1"/>
    <x v="2"/>
    <x v="4"/>
    <x v="2"/>
    <x v="6"/>
    <x v="3"/>
    <x v="6"/>
    <x v="16"/>
    <x v="95"/>
    <x v="163"/>
    <x v="13"/>
    <x v="11"/>
    <x v="13"/>
    <x v="14"/>
  </r>
  <r>
    <x v="4"/>
    <x v="1"/>
    <x v="2"/>
    <x v="1"/>
    <x v="3"/>
    <x v="5"/>
    <x v="1"/>
    <x v="4"/>
    <x v="4"/>
    <x v="0"/>
    <x v="0"/>
    <x v="0"/>
    <x v="10"/>
    <x v="162"/>
    <x v="5"/>
    <x v="11"/>
    <x v="6"/>
  </r>
  <r>
    <x v="4"/>
    <x v="1"/>
    <x v="2"/>
    <x v="1"/>
    <x v="4"/>
    <x v="4"/>
    <x v="2"/>
    <x v="4"/>
    <x v="4"/>
    <x v="3"/>
    <x v="3"/>
    <x v="0"/>
    <x v="4"/>
    <x v="5"/>
    <x v="8"/>
    <x v="36"/>
    <x v="103"/>
  </r>
  <r>
    <x v="4"/>
    <x v="1"/>
    <x v="2"/>
    <x v="1"/>
    <x v="5"/>
    <x v="5"/>
    <x v="2"/>
    <x v="4"/>
    <x v="4"/>
    <x v="3"/>
    <x v="1"/>
    <x v="1"/>
    <x v="2"/>
    <x v="2"/>
    <x v="2"/>
    <x v="1"/>
    <x v="9"/>
  </r>
  <r>
    <x v="4"/>
    <x v="1"/>
    <x v="2"/>
    <x v="1"/>
    <x v="6"/>
    <x v="5"/>
    <x v="1"/>
    <x v="1"/>
    <x v="0"/>
    <x v="2"/>
    <x v="2"/>
    <x v="2"/>
    <x v="3"/>
    <x v="1"/>
    <x v="1"/>
    <x v="3"/>
    <x v="0"/>
  </r>
  <r>
    <x v="4"/>
    <x v="1"/>
    <x v="2"/>
    <x v="11"/>
    <x v="1"/>
    <x v="5"/>
    <x v="26"/>
    <x v="29"/>
    <x v="9"/>
    <x v="224"/>
    <x v="224"/>
    <x v="155"/>
    <x v="260"/>
    <x v="259"/>
    <x v="266"/>
    <x v="284"/>
    <x v="280"/>
  </r>
  <r>
    <x v="4"/>
    <x v="1"/>
    <x v="2"/>
    <x v="11"/>
    <x v="2"/>
    <x v="22"/>
    <x v="146"/>
    <x v="163"/>
    <x v="8"/>
    <x v="225"/>
    <x v="225"/>
    <x v="236"/>
    <x v="261"/>
    <x v="260"/>
    <x v="267"/>
    <x v="284"/>
    <x v="281"/>
  </r>
  <r>
    <x v="4"/>
    <x v="1"/>
    <x v="2"/>
    <x v="11"/>
    <x v="3"/>
    <x v="5"/>
    <x v="1"/>
    <x v="164"/>
    <x v="7"/>
    <x v="226"/>
    <x v="98"/>
    <x v="96"/>
    <x v="262"/>
    <x v="261"/>
    <x v="268"/>
    <x v="285"/>
    <x v="282"/>
  </r>
  <r>
    <x v="4"/>
    <x v="1"/>
    <x v="2"/>
    <x v="11"/>
    <x v="4"/>
    <x v="22"/>
    <x v="146"/>
    <x v="164"/>
    <x v="7"/>
    <x v="18"/>
    <x v="226"/>
    <x v="96"/>
    <x v="263"/>
    <x v="262"/>
    <x v="269"/>
    <x v="286"/>
    <x v="283"/>
  </r>
  <r>
    <x v="4"/>
    <x v="1"/>
    <x v="2"/>
    <x v="11"/>
    <x v="5"/>
    <x v="5"/>
    <x v="146"/>
    <x v="164"/>
    <x v="7"/>
    <x v="18"/>
    <x v="227"/>
    <x v="237"/>
    <x v="264"/>
    <x v="263"/>
    <x v="270"/>
    <x v="287"/>
    <x v="284"/>
  </r>
  <r>
    <x v="4"/>
    <x v="1"/>
    <x v="2"/>
    <x v="11"/>
    <x v="6"/>
    <x v="5"/>
    <x v="1"/>
    <x v="1"/>
    <x v="0"/>
    <x v="2"/>
    <x v="2"/>
    <x v="2"/>
    <x v="3"/>
    <x v="1"/>
    <x v="1"/>
    <x v="3"/>
    <x v="285"/>
  </r>
  <r>
    <x v="4"/>
    <x v="1"/>
    <x v="2"/>
    <x v="2"/>
    <x v="7"/>
    <x v="4"/>
    <x v="4"/>
    <x v="3"/>
    <x v="13"/>
    <x v="17"/>
    <x v="15"/>
    <x v="13"/>
    <x v="17"/>
    <x v="29"/>
    <x v="155"/>
    <x v="288"/>
    <x v="31"/>
  </r>
  <r>
    <x v="4"/>
    <x v="1"/>
    <x v="2"/>
    <x v="2"/>
    <x v="8"/>
    <x v="4"/>
    <x v="0"/>
    <x v="5"/>
    <x v="10"/>
    <x v="4"/>
    <x v="145"/>
    <x v="95"/>
    <x v="163"/>
    <x v="13"/>
    <x v="11"/>
    <x v="25"/>
    <x v="17"/>
  </r>
  <r>
    <x v="4"/>
    <x v="1"/>
    <x v="2"/>
    <x v="2"/>
    <x v="9"/>
    <x v="5"/>
    <x v="1"/>
    <x v="1"/>
    <x v="2"/>
    <x v="0"/>
    <x v="0"/>
    <x v="0"/>
    <x v="0"/>
    <x v="162"/>
    <x v="14"/>
    <x v="35"/>
    <x v="32"/>
  </r>
  <r>
    <x v="4"/>
    <x v="1"/>
    <x v="2"/>
    <x v="2"/>
    <x v="10"/>
    <x v="5"/>
    <x v="1"/>
    <x v="4"/>
    <x v="4"/>
    <x v="3"/>
    <x v="3"/>
    <x v="4"/>
    <x v="5"/>
    <x v="4"/>
    <x v="16"/>
    <x v="4"/>
    <x v="9"/>
  </r>
  <r>
    <x v="4"/>
    <x v="1"/>
    <x v="2"/>
    <x v="2"/>
    <x v="11"/>
    <x v="5"/>
    <x v="1"/>
    <x v="1"/>
    <x v="0"/>
    <x v="2"/>
    <x v="2"/>
    <x v="2"/>
    <x v="3"/>
    <x v="1"/>
    <x v="1"/>
    <x v="3"/>
    <x v="1"/>
  </r>
  <r>
    <x v="4"/>
    <x v="1"/>
    <x v="2"/>
    <x v="0"/>
    <x v="27"/>
    <x v="4"/>
    <x v="4"/>
    <x v="23"/>
    <x v="29"/>
    <x v="23"/>
    <x v="28"/>
    <x v="238"/>
    <x v="164"/>
    <x v="264"/>
    <x v="271"/>
    <x v="289"/>
    <x v="15"/>
  </r>
  <r>
    <x v="4"/>
    <x v="1"/>
    <x v="2"/>
    <x v="3"/>
    <x v="1"/>
    <x v="5"/>
    <x v="0"/>
    <x v="3"/>
    <x v="13"/>
    <x v="4"/>
    <x v="223"/>
    <x v="234"/>
    <x v="259"/>
    <x v="30"/>
    <x v="158"/>
    <x v="13"/>
    <x v="177"/>
  </r>
  <r>
    <x v="4"/>
    <x v="1"/>
    <x v="2"/>
    <x v="3"/>
    <x v="2"/>
    <x v="4"/>
    <x v="2"/>
    <x v="6"/>
    <x v="3"/>
    <x v="6"/>
    <x v="16"/>
    <x v="152"/>
    <x v="18"/>
    <x v="15"/>
    <x v="10"/>
    <x v="29"/>
    <x v="7"/>
  </r>
  <r>
    <x v="4"/>
    <x v="1"/>
    <x v="2"/>
    <x v="3"/>
    <x v="3"/>
    <x v="5"/>
    <x v="1"/>
    <x v="4"/>
    <x v="4"/>
    <x v="0"/>
    <x v="0"/>
    <x v="0"/>
    <x v="10"/>
    <x v="162"/>
    <x v="5"/>
    <x v="11"/>
    <x v="6"/>
  </r>
  <r>
    <x v="4"/>
    <x v="1"/>
    <x v="2"/>
    <x v="12"/>
    <x v="1"/>
    <x v="5"/>
    <x v="100"/>
    <x v="15"/>
    <x v="24"/>
    <x v="162"/>
    <x v="228"/>
    <x v="239"/>
    <x v="265"/>
    <x v="265"/>
    <x v="272"/>
    <x v="290"/>
    <x v="286"/>
  </r>
  <r>
    <x v="4"/>
    <x v="1"/>
    <x v="2"/>
    <x v="12"/>
    <x v="2"/>
    <x v="4"/>
    <x v="7"/>
    <x v="25"/>
    <x v="37"/>
    <x v="227"/>
    <x v="229"/>
    <x v="240"/>
    <x v="266"/>
    <x v="266"/>
    <x v="273"/>
    <x v="291"/>
    <x v="287"/>
  </r>
  <r>
    <x v="4"/>
    <x v="1"/>
    <x v="2"/>
    <x v="12"/>
    <x v="3"/>
    <x v="5"/>
    <x v="1"/>
    <x v="108"/>
    <x v="31"/>
    <x v="24"/>
    <x v="31"/>
    <x v="241"/>
    <x v="267"/>
    <x v="19"/>
    <x v="274"/>
    <x v="109"/>
    <x v="288"/>
  </r>
  <r>
    <x v="4"/>
    <x v="1"/>
    <x v="2"/>
    <x v="0"/>
    <x v="28"/>
    <x v="1"/>
    <x v="4"/>
    <x v="3"/>
    <x v="6"/>
    <x v="13"/>
    <x v="221"/>
    <x v="29"/>
    <x v="17"/>
    <x v="29"/>
    <x v="155"/>
    <x v="288"/>
    <x v="279"/>
  </r>
  <r>
    <x v="4"/>
    <x v="1"/>
    <x v="2"/>
    <x v="4"/>
    <x v="4"/>
    <x v="4"/>
    <x v="2"/>
    <x v="2"/>
    <x v="5"/>
    <x v="5"/>
    <x v="145"/>
    <x v="95"/>
    <x v="163"/>
    <x v="13"/>
    <x v="11"/>
    <x v="13"/>
    <x v="11"/>
  </r>
  <r>
    <x v="4"/>
    <x v="1"/>
    <x v="2"/>
    <x v="4"/>
    <x v="5"/>
    <x v="4"/>
    <x v="0"/>
    <x v="2"/>
    <x v="1"/>
    <x v="7"/>
    <x v="11"/>
    <x v="16"/>
    <x v="10"/>
    <x v="162"/>
    <x v="97"/>
    <x v="19"/>
    <x v="8"/>
  </r>
  <r>
    <x v="4"/>
    <x v="1"/>
    <x v="2"/>
    <x v="4"/>
    <x v="6"/>
    <x v="5"/>
    <x v="1"/>
    <x v="1"/>
    <x v="0"/>
    <x v="2"/>
    <x v="2"/>
    <x v="2"/>
    <x v="3"/>
    <x v="1"/>
    <x v="1"/>
    <x v="2"/>
    <x v="3"/>
  </r>
  <r>
    <x v="4"/>
    <x v="1"/>
    <x v="2"/>
    <x v="13"/>
    <x v="4"/>
    <x v="22"/>
    <x v="7"/>
    <x v="15"/>
    <x v="9"/>
    <x v="228"/>
    <x v="33"/>
    <x v="242"/>
    <x v="268"/>
    <x v="267"/>
    <x v="275"/>
    <x v="292"/>
    <x v="289"/>
  </r>
  <r>
    <x v="4"/>
    <x v="1"/>
    <x v="2"/>
    <x v="13"/>
    <x v="5"/>
    <x v="22"/>
    <x v="100"/>
    <x v="15"/>
    <x v="183"/>
    <x v="229"/>
    <x v="152"/>
    <x v="155"/>
    <x v="269"/>
    <x v="21"/>
    <x v="28"/>
    <x v="5"/>
    <x v="290"/>
  </r>
  <r>
    <x v="4"/>
    <x v="1"/>
    <x v="2"/>
    <x v="13"/>
    <x v="6"/>
    <x v="5"/>
    <x v="1"/>
    <x v="1"/>
    <x v="0"/>
    <x v="2"/>
    <x v="2"/>
    <x v="2"/>
    <x v="3"/>
    <x v="1"/>
    <x v="1"/>
    <x v="287"/>
    <x v="291"/>
  </r>
  <r>
    <x v="4"/>
    <x v="1"/>
    <x v="2"/>
    <x v="0"/>
    <x v="29"/>
    <x v="1"/>
    <x v="16"/>
    <x v="162"/>
    <x v="21"/>
    <x v="230"/>
    <x v="146"/>
    <x v="157"/>
    <x v="270"/>
    <x v="268"/>
    <x v="276"/>
    <x v="293"/>
    <x v="292"/>
  </r>
  <r>
    <x v="4"/>
    <x v="1"/>
    <x v="2"/>
    <x v="0"/>
    <x v="30"/>
    <x v="5"/>
    <x v="1"/>
    <x v="1"/>
    <x v="4"/>
    <x v="7"/>
    <x v="13"/>
    <x v="30"/>
    <x v="14"/>
    <x v="23"/>
    <x v="20"/>
    <x v="9"/>
    <x v="12"/>
  </r>
  <r>
    <x v="4"/>
    <x v="1"/>
    <x v="2"/>
    <x v="0"/>
    <x v="31"/>
    <x v="5"/>
    <x v="1"/>
    <x v="1"/>
    <x v="0"/>
    <x v="2"/>
    <x v="2"/>
    <x v="3"/>
    <x v="1"/>
    <x v="3"/>
    <x v="0"/>
    <x v="2"/>
    <x v="3"/>
  </r>
  <r>
    <x v="4"/>
    <x v="1"/>
    <x v="2"/>
    <x v="14"/>
    <x v="7"/>
    <x v="4"/>
    <x v="4"/>
    <x v="3"/>
    <x v="1"/>
    <x v="7"/>
    <x v="145"/>
    <x v="95"/>
    <x v="18"/>
    <x v="15"/>
    <x v="158"/>
    <x v="18"/>
    <x v="293"/>
  </r>
  <r>
    <x v="4"/>
    <x v="1"/>
    <x v="2"/>
    <x v="14"/>
    <x v="8"/>
    <x v="4"/>
    <x v="0"/>
    <x v="5"/>
    <x v="10"/>
    <x v="4"/>
    <x v="145"/>
    <x v="30"/>
    <x v="14"/>
    <x v="23"/>
    <x v="6"/>
    <x v="9"/>
    <x v="14"/>
  </r>
  <r>
    <x v="4"/>
    <x v="1"/>
    <x v="2"/>
    <x v="14"/>
    <x v="9"/>
    <x v="5"/>
    <x v="1"/>
    <x v="1"/>
    <x v="0"/>
    <x v="2"/>
    <x v="2"/>
    <x v="2"/>
    <x v="1"/>
    <x v="2"/>
    <x v="2"/>
    <x v="1"/>
    <x v="2"/>
  </r>
  <r>
    <x v="4"/>
    <x v="1"/>
    <x v="2"/>
    <x v="14"/>
    <x v="10"/>
    <x v="5"/>
    <x v="1"/>
    <x v="4"/>
    <x v="4"/>
    <x v="3"/>
    <x v="3"/>
    <x v="4"/>
    <x v="5"/>
    <x v="4"/>
    <x v="16"/>
    <x v="4"/>
    <x v="2"/>
  </r>
  <r>
    <x v="4"/>
    <x v="1"/>
    <x v="2"/>
    <x v="14"/>
    <x v="11"/>
    <x v="5"/>
    <x v="1"/>
    <x v="1"/>
    <x v="0"/>
    <x v="2"/>
    <x v="2"/>
    <x v="2"/>
    <x v="3"/>
    <x v="1"/>
    <x v="1"/>
    <x v="3"/>
    <x v="1"/>
  </r>
  <r>
    <x v="4"/>
    <x v="1"/>
    <x v="2"/>
    <x v="15"/>
    <x v="7"/>
    <x v="5"/>
    <x v="1"/>
    <x v="1"/>
    <x v="2"/>
    <x v="0"/>
    <x v="3"/>
    <x v="0"/>
    <x v="4"/>
    <x v="5"/>
    <x v="8"/>
    <x v="0"/>
    <x v="9"/>
  </r>
  <r>
    <x v="4"/>
    <x v="1"/>
    <x v="2"/>
    <x v="15"/>
    <x v="8"/>
    <x v="5"/>
    <x v="1"/>
    <x v="1"/>
    <x v="0"/>
    <x v="2"/>
    <x v="2"/>
    <x v="3"/>
    <x v="1"/>
    <x v="3"/>
    <x v="2"/>
    <x v="1"/>
    <x v="2"/>
  </r>
  <r>
    <x v="4"/>
    <x v="1"/>
    <x v="2"/>
    <x v="15"/>
    <x v="9"/>
    <x v="5"/>
    <x v="1"/>
    <x v="1"/>
    <x v="2"/>
    <x v="0"/>
    <x v="0"/>
    <x v="0"/>
    <x v="4"/>
    <x v="5"/>
    <x v="8"/>
    <x v="0"/>
    <x v="9"/>
  </r>
  <r>
    <x v="4"/>
    <x v="1"/>
    <x v="2"/>
    <x v="15"/>
    <x v="10"/>
    <x v="5"/>
    <x v="1"/>
    <x v="1"/>
    <x v="0"/>
    <x v="2"/>
    <x v="2"/>
    <x v="2"/>
    <x v="3"/>
    <x v="1"/>
    <x v="1"/>
    <x v="3"/>
    <x v="1"/>
  </r>
  <r>
    <x v="4"/>
    <x v="1"/>
    <x v="2"/>
    <x v="15"/>
    <x v="11"/>
    <x v="5"/>
    <x v="1"/>
    <x v="1"/>
    <x v="0"/>
    <x v="2"/>
    <x v="2"/>
    <x v="2"/>
    <x v="3"/>
    <x v="1"/>
    <x v="1"/>
    <x v="3"/>
    <x v="1"/>
  </r>
  <r>
    <x v="4"/>
    <x v="1"/>
    <x v="2"/>
    <x v="16"/>
    <x v="7"/>
    <x v="5"/>
    <x v="1"/>
    <x v="1"/>
    <x v="0"/>
    <x v="2"/>
    <x v="2"/>
    <x v="3"/>
    <x v="1"/>
    <x v="3"/>
    <x v="0"/>
    <x v="2"/>
    <x v="0"/>
  </r>
  <r>
    <x v="4"/>
    <x v="1"/>
    <x v="2"/>
    <x v="16"/>
    <x v="8"/>
    <x v="5"/>
    <x v="1"/>
    <x v="1"/>
    <x v="0"/>
    <x v="2"/>
    <x v="2"/>
    <x v="2"/>
    <x v="3"/>
    <x v="1"/>
    <x v="1"/>
    <x v="3"/>
    <x v="1"/>
  </r>
  <r>
    <x v="4"/>
    <x v="1"/>
    <x v="2"/>
    <x v="16"/>
    <x v="9"/>
    <x v="5"/>
    <x v="1"/>
    <x v="1"/>
    <x v="0"/>
    <x v="2"/>
    <x v="2"/>
    <x v="2"/>
    <x v="3"/>
    <x v="1"/>
    <x v="1"/>
    <x v="3"/>
    <x v="1"/>
  </r>
  <r>
    <x v="4"/>
    <x v="1"/>
    <x v="2"/>
    <x v="16"/>
    <x v="10"/>
    <x v="5"/>
    <x v="1"/>
    <x v="1"/>
    <x v="0"/>
    <x v="2"/>
    <x v="2"/>
    <x v="2"/>
    <x v="3"/>
    <x v="1"/>
    <x v="1"/>
    <x v="3"/>
    <x v="0"/>
  </r>
  <r>
    <x v="4"/>
    <x v="1"/>
    <x v="2"/>
    <x v="16"/>
    <x v="11"/>
    <x v="5"/>
    <x v="1"/>
    <x v="1"/>
    <x v="0"/>
    <x v="2"/>
    <x v="2"/>
    <x v="2"/>
    <x v="3"/>
    <x v="1"/>
    <x v="1"/>
    <x v="3"/>
    <x v="1"/>
  </r>
  <r>
    <x v="4"/>
    <x v="1"/>
    <x v="3"/>
    <x v="0"/>
    <x v="32"/>
    <x v="23"/>
    <x v="147"/>
    <x v="165"/>
    <x v="184"/>
    <x v="29"/>
    <x v="230"/>
    <x v="243"/>
    <x v="1"/>
    <x v="269"/>
    <x v="277"/>
    <x v="47"/>
    <x v="0"/>
  </r>
  <r>
    <x v="4"/>
    <x v="1"/>
    <x v="3"/>
    <x v="3"/>
    <x v="1"/>
    <x v="5"/>
    <x v="22"/>
    <x v="166"/>
    <x v="14"/>
    <x v="1"/>
    <x v="231"/>
    <x v="3"/>
    <x v="1"/>
    <x v="3"/>
    <x v="0"/>
    <x v="294"/>
    <x v="0"/>
  </r>
  <r>
    <x v="4"/>
    <x v="1"/>
    <x v="3"/>
    <x v="3"/>
    <x v="2"/>
    <x v="4"/>
    <x v="7"/>
    <x v="167"/>
    <x v="24"/>
    <x v="104"/>
    <x v="157"/>
    <x v="3"/>
    <x v="1"/>
    <x v="42"/>
    <x v="278"/>
    <x v="2"/>
    <x v="0"/>
  </r>
  <r>
    <x v="4"/>
    <x v="1"/>
    <x v="3"/>
    <x v="3"/>
    <x v="3"/>
    <x v="24"/>
    <x v="27"/>
    <x v="15"/>
    <x v="2"/>
    <x v="35"/>
    <x v="4"/>
    <x v="99"/>
    <x v="1"/>
    <x v="270"/>
    <x v="33"/>
    <x v="38"/>
    <x v="0"/>
  </r>
  <r>
    <x v="4"/>
    <x v="1"/>
    <x v="3"/>
    <x v="4"/>
    <x v="4"/>
    <x v="4"/>
    <x v="2"/>
    <x v="15"/>
    <x v="2"/>
    <x v="9"/>
    <x v="4"/>
    <x v="3"/>
    <x v="1"/>
    <x v="3"/>
    <x v="175"/>
    <x v="2"/>
    <x v="0"/>
  </r>
  <r>
    <x v="4"/>
    <x v="1"/>
    <x v="3"/>
    <x v="4"/>
    <x v="5"/>
    <x v="5"/>
    <x v="2"/>
    <x v="15"/>
    <x v="2"/>
    <x v="1"/>
    <x v="4"/>
    <x v="3"/>
    <x v="1"/>
    <x v="3"/>
    <x v="0"/>
    <x v="6"/>
    <x v="0"/>
  </r>
  <r>
    <x v="4"/>
    <x v="1"/>
    <x v="3"/>
    <x v="4"/>
    <x v="6"/>
    <x v="24"/>
    <x v="27"/>
    <x v="27"/>
    <x v="33"/>
    <x v="31"/>
    <x v="35"/>
    <x v="34"/>
    <x v="40"/>
    <x v="38"/>
    <x v="35"/>
    <x v="3"/>
    <x v="0"/>
  </r>
  <r>
    <x v="4"/>
    <x v="1"/>
    <x v="3"/>
    <x v="2"/>
    <x v="7"/>
    <x v="22"/>
    <x v="2"/>
    <x v="168"/>
    <x v="35"/>
    <x v="30"/>
    <x v="34"/>
    <x v="3"/>
    <x v="1"/>
    <x v="44"/>
    <x v="279"/>
    <x v="295"/>
    <x v="0"/>
  </r>
  <r>
    <x v="4"/>
    <x v="1"/>
    <x v="3"/>
    <x v="2"/>
    <x v="8"/>
    <x v="22"/>
    <x v="26"/>
    <x v="169"/>
    <x v="2"/>
    <x v="231"/>
    <x v="158"/>
    <x v="3"/>
    <x v="1"/>
    <x v="42"/>
    <x v="36"/>
    <x v="113"/>
    <x v="0"/>
  </r>
  <r>
    <x v="4"/>
    <x v="1"/>
    <x v="3"/>
    <x v="2"/>
    <x v="9"/>
    <x v="5"/>
    <x v="1"/>
    <x v="1"/>
    <x v="37"/>
    <x v="1"/>
    <x v="4"/>
    <x v="99"/>
    <x v="1"/>
    <x v="3"/>
    <x v="0"/>
    <x v="114"/>
    <x v="0"/>
  </r>
  <r>
    <x v="4"/>
    <x v="1"/>
    <x v="3"/>
    <x v="2"/>
    <x v="10"/>
    <x v="24"/>
    <x v="27"/>
    <x v="15"/>
    <x v="2"/>
    <x v="1"/>
    <x v="4"/>
    <x v="3"/>
    <x v="1"/>
    <x v="3"/>
    <x v="0"/>
    <x v="39"/>
    <x v="0"/>
  </r>
  <r>
    <x v="4"/>
    <x v="1"/>
    <x v="3"/>
    <x v="2"/>
    <x v="11"/>
    <x v="24"/>
    <x v="27"/>
    <x v="27"/>
    <x v="33"/>
    <x v="31"/>
    <x v="35"/>
    <x v="34"/>
    <x v="40"/>
    <x v="38"/>
    <x v="35"/>
    <x v="40"/>
    <x v="38"/>
  </r>
  <r>
    <x v="4"/>
    <x v="1"/>
    <x v="3"/>
    <x v="0"/>
    <x v="33"/>
    <x v="20"/>
    <x v="24"/>
    <x v="166"/>
    <x v="40"/>
    <x v="232"/>
    <x v="39"/>
    <x v="244"/>
    <x v="1"/>
    <x v="271"/>
    <x v="36"/>
    <x v="114"/>
    <x v="0"/>
  </r>
  <r>
    <x v="4"/>
    <x v="1"/>
    <x v="3"/>
    <x v="3"/>
    <x v="1"/>
    <x v="5"/>
    <x v="22"/>
    <x v="166"/>
    <x v="14"/>
    <x v="1"/>
    <x v="231"/>
    <x v="3"/>
    <x v="1"/>
    <x v="3"/>
    <x v="0"/>
    <x v="296"/>
    <x v="0"/>
  </r>
  <r>
    <x v="4"/>
    <x v="1"/>
    <x v="3"/>
    <x v="3"/>
    <x v="2"/>
    <x v="4"/>
    <x v="7"/>
    <x v="167"/>
    <x v="24"/>
    <x v="104"/>
    <x v="157"/>
    <x v="3"/>
    <x v="1"/>
    <x v="173"/>
    <x v="279"/>
    <x v="189"/>
    <x v="0"/>
  </r>
  <r>
    <x v="4"/>
    <x v="1"/>
    <x v="3"/>
    <x v="3"/>
    <x v="3"/>
    <x v="24"/>
    <x v="27"/>
    <x v="15"/>
    <x v="2"/>
    <x v="35"/>
    <x v="4"/>
    <x v="99"/>
    <x v="1"/>
    <x v="270"/>
    <x v="33"/>
    <x v="38"/>
    <x v="0"/>
  </r>
  <r>
    <x v="4"/>
    <x v="1"/>
    <x v="3"/>
    <x v="0"/>
    <x v="34"/>
    <x v="22"/>
    <x v="30"/>
    <x v="29"/>
    <x v="40"/>
    <x v="233"/>
    <x v="4"/>
    <x v="3"/>
    <x v="1"/>
    <x v="44"/>
    <x v="279"/>
    <x v="47"/>
    <x v="0"/>
  </r>
  <r>
    <x v="4"/>
    <x v="1"/>
    <x v="3"/>
    <x v="4"/>
    <x v="4"/>
    <x v="22"/>
    <x v="22"/>
    <x v="15"/>
    <x v="24"/>
    <x v="33"/>
    <x v="4"/>
    <x v="3"/>
    <x v="1"/>
    <x v="3"/>
    <x v="278"/>
    <x v="2"/>
    <x v="0"/>
  </r>
  <r>
    <x v="4"/>
    <x v="1"/>
    <x v="3"/>
    <x v="4"/>
    <x v="5"/>
    <x v="22"/>
    <x v="100"/>
    <x v="14"/>
    <x v="39"/>
    <x v="1"/>
    <x v="4"/>
    <x v="3"/>
    <x v="1"/>
    <x v="270"/>
    <x v="0"/>
    <x v="297"/>
    <x v="0"/>
  </r>
  <r>
    <x v="4"/>
    <x v="1"/>
    <x v="3"/>
    <x v="4"/>
    <x v="6"/>
    <x v="24"/>
    <x v="27"/>
    <x v="27"/>
    <x v="33"/>
    <x v="31"/>
    <x v="35"/>
    <x v="34"/>
    <x v="40"/>
    <x v="38"/>
    <x v="1"/>
    <x v="6"/>
    <x v="0"/>
  </r>
  <r>
    <x v="4"/>
    <x v="1"/>
    <x v="4"/>
    <x v="0"/>
    <x v="14"/>
    <x v="109"/>
    <x v="148"/>
    <x v="170"/>
    <x v="185"/>
    <x v="234"/>
    <x v="232"/>
    <x v="245"/>
    <x v="271"/>
    <x v="272"/>
    <x v="280"/>
    <x v="298"/>
    <x v="294"/>
  </r>
  <r>
    <x v="4"/>
    <x v="1"/>
    <x v="4"/>
    <x v="1"/>
    <x v="1"/>
    <x v="5"/>
    <x v="149"/>
    <x v="171"/>
    <x v="186"/>
    <x v="235"/>
    <x v="233"/>
    <x v="246"/>
    <x v="3"/>
    <x v="272"/>
    <x v="1"/>
    <x v="3"/>
    <x v="295"/>
  </r>
  <r>
    <x v="4"/>
    <x v="1"/>
    <x v="4"/>
    <x v="1"/>
    <x v="2"/>
    <x v="110"/>
    <x v="1"/>
    <x v="172"/>
    <x v="187"/>
    <x v="236"/>
    <x v="234"/>
    <x v="247"/>
    <x v="3"/>
    <x v="1"/>
    <x v="281"/>
    <x v="299"/>
    <x v="1"/>
  </r>
  <r>
    <x v="4"/>
    <x v="1"/>
    <x v="4"/>
    <x v="1"/>
    <x v="3"/>
    <x v="5"/>
    <x v="1"/>
    <x v="173"/>
    <x v="188"/>
    <x v="237"/>
    <x v="235"/>
    <x v="2"/>
    <x v="271"/>
    <x v="1"/>
    <x v="282"/>
    <x v="300"/>
    <x v="296"/>
  </r>
  <r>
    <x v="4"/>
    <x v="1"/>
    <x v="4"/>
    <x v="1"/>
    <x v="4"/>
    <x v="111"/>
    <x v="1"/>
    <x v="1"/>
    <x v="189"/>
    <x v="2"/>
    <x v="236"/>
    <x v="248"/>
    <x v="3"/>
    <x v="1"/>
    <x v="1"/>
    <x v="301"/>
    <x v="1"/>
  </r>
  <r>
    <x v="4"/>
    <x v="1"/>
    <x v="4"/>
    <x v="1"/>
    <x v="5"/>
    <x v="5"/>
    <x v="150"/>
    <x v="1"/>
    <x v="190"/>
    <x v="2"/>
    <x v="2"/>
    <x v="2"/>
    <x v="3"/>
    <x v="1"/>
    <x v="1"/>
    <x v="3"/>
    <x v="297"/>
  </r>
  <r>
    <x v="4"/>
    <x v="1"/>
    <x v="4"/>
    <x v="1"/>
    <x v="6"/>
    <x v="5"/>
    <x v="1"/>
    <x v="1"/>
    <x v="0"/>
    <x v="2"/>
    <x v="2"/>
    <x v="2"/>
    <x v="3"/>
    <x v="1"/>
    <x v="1"/>
    <x v="3"/>
    <x v="298"/>
  </r>
  <r>
    <x v="4"/>
    <x v="1"/>
    <x v="4"/>
    <x v="2"/>
    <x v="7"/>
    <x v="111"/>
    <x v="151"/>
    <x v="174"/>
    <x v="191"/>
    <x v="238"/>
    <x v="237"/>
    <x v="249"/>
    <x v="272"/>
    <x v="1"/>
    <x v="282"/>
    <x v="302"/>
    <x v="299"/>
  </r>
  <r>
    <x v="4"/>
    <x v="1"/>
    <x v="4"/>
    <x v="2"/>
    <x v="8"/>
    <x v="110"/>
    <x v="152"/>
    <x v="175"/>
    <x v="192"/>
    <x v="237"/>
    <x v="235"/>
    <x v="246"/>
    <x v="3"/>
    <x v="1"/>
    <x v="281"/>
    <x v="301"/>
    <x v="300"/>
  </r>
  <r>
    <x v="4"/>
    <x v="1"/>
    <x v="4"/>
    <x v="2"/>
    <x v="9"/>
    <x v="5"/>
    <x v="1"/>
    <x v="1"/>
    <x v="193"/>
    <x v="239"/>
    <x v="238"/>
    <x v="2"/>
    <x v="273"/>
    <x v="272"/>
    <x v="1"/>
    <x v="3"/>
    <x v="296"/>
  </r>
  <r>
    <x v="4"/>
    <x v="1"/>
    <x v="4"/>
    <x v="2"/>
    <x v="10"/>
    <x v="5"/>
    <x v="1"/>
    <x v="173"/>
    <x v="188"/>
    <x v="2"/>
    <x v="239"/>
    <x v="2"/>
    <x v="3"/>
    <x v="1"/>
    <x v="1"/>
    <x v="3"/>
    <x v="301"/>
  </r>
  <r>
    <x v="4"/>
    <x v="1"/>
    <x v="4"/>
    <x v="2"/>
    <x v="11"/>
    <x v="5"/>
    <x v="1"/>
    <x v="1"/>
    <x v="0"/>
    <x v="2"/>
    <x v="2"/>
    <x v="2"/>
    <x v="3"/>
    <x v="1"/>
    <x v="1"/>
    <x v="3"/>
    <x v="1"/>
  </r>
  <r>
    <x v="4"/>
    <x v="1"/>
    <x v="5"/>
    <x v="0"/>
    <x v="14"/>
    <x v="112"/>
    <x v="153"/>
    <x v="176"/>
    <x v="194"/>
    <x v="240"/>
    <x v="240"/>
    <x v="250"/>
    <x v="274"/>
    <x v="273"/>
    <x v="283"/>
    <x v="303"/>
    <x v="302"/>
  </r>
  <r>
    <x v="4"/>
    <x v="1"/>
    <x v="5"/>
    <x v="1"/>
    <x v="1"/>
    <x v="5"/>
    <x v="154"/>
    <x v="177"/>
    <x v="195"/>
    <x v="241"/>
    <x v="241"/>
    <x v="251"/>
    <x v="3"/>
    <x v="273"/>
    <x v="1"/>
    <x v="3"/>
    <x v="303"/>
  </r>
  <r>
    <x v="4"/>
    <x v="1"/>
    <x v="5"/>
    <x v="1"/>
    <x v="2"/>
    <x v="113"/>
    <x v="1"/>
    <x v="178"/>
    <x v="196"/>
    <x v="242"/>
    <x v="242"/>
    <x v="252"/>
    <x v="3"/>
    <x v="1"/>
    <x v="284"/>
    <x v="304"/>
    <x v="1"/>
  </r>
  <r>
    <x v="4"/>
    <x v="1"/>
    <x v="5"/>
    <x v="1"/>
    <x v="3"/>
    <x v="5"/>
    <x v="1"/>
    <x v="179"/>
    <x v="197"/>
    <x v="243"/>
    <x v="243"/>
    <x v="2"/>
    <x v="274"/>
    <x v="1"/>
    <x v="285"/>
    <x v="300"/>
    <x v="304"/>
  </r>
  <r>
    <x v="4"/>
    <x v="1"/>
    <x v="5"/>
    <x v="1"/>
    <x v="4"/>
    <x v="114"/>
    <x v="1"/>
    <x v="1"/>
    <x v="189"/>
    <x v="2"/>
    <x v="244"/>
    <x v="253"/>
    <x v="3"/>
    <x v="1"/>
    <x v="1"/>
    <x v="301"/>
    <x v="1"/>
  </r>
  <r>
    <x v="4"/>
    <x v="1"/>
    <x v="5"/>
    <x v="1"/>
    <x v="5"/>
    <x v="5"/>
    <x v="150"/>
    <x v="1"/>
    <x v="198"/>
    <x v="2"/>
    <x v="2"/>
    <x v="2"/>
    <x v="3"/>
    <x v="1"/>
    <x v="1"/>
    <x v="3"/>
    <x v="305"/>
  </r>
  <r>
    <x v="4"/>
    <x v="1"/>
    <x v="5"/>
    <x v="1"/>
    <x v="6"/>
    <x v="5"/>
    <x v="1"/>
    <x v="1"/>
    <x v="0"/>
    <x v="2"/>
    <x v="2"/>
    <x v="2"/>
    <x v="3"/>
    <x v="1"/>
    <x v="1"/>
    <x v="3"/>
    <x v="306"/>
  </r>
  <r>
    <x v="4"/>
    <x v="1"/>
    <x v="5"/>
    <x v="2"/>
    <x v="7"/>
    <x v="114"/>
    <x v="155"/>
    <x v="180"/>
    <x v="199"/>
    <x v="244"/>
    <x v="245"/>
    <x v="254"/>
    <x v="275"/>
    <x v="1"/>
    <x v="285"/>
    <x v="305"/>
    <x v="307"/>
  </r>
  <r>
    <x v="4"/>
    <x v="1"/>
    <x v="5"/>
    <x v="2"/>
    <x v="8"/>
    <x v="113"/>
    <x v="152"/>
    <x v="181"/>
    <x v="200"/>
    <x v="243"/>
    <x v="243"/>
    <x v="251"/>
    <x v="3"/>
    <x v="1"/>
    <x v="284"/>
    <x v="301"/>
    <x v="308"/>
  </r>
  <r>
    <x v="4"/>
    <x v="1"/>
    <x v="5"/>
    <x v="2"/>
    <x v="9"/>
    <x v="5"/>
    <x v="1"/>
    <x v="1"/>
    <x v="201"/>
    <x v="245"/>
    <x v="246"/>
    <x v="2"/>
    <x v="276"/>
    <x v="273"/>
    <x v="1"/>
    <x v="3"/>
    <x v="304"/>
  </r>
  <r>
    <x v="4"/>
    <x v="1"/>
    <x v="5"/>
    <x v="2"/>
    <x v="10"/>
    <x v="5"/>
    <x v="1"/>
    <x v="179"/>
    <x v="197"/>
    <x v="2"/>
    <x v="247"/>
    <x v="2"/>
    <x v="3"/>
    <x v="1"/>
    <x v="1"/>
    <x v="3"/>
    <x v="309"/>
  </r>
  <r>
    <x v="4"/>
    <x v="1"/>
    <x v="5"/>
    <x v="2"/>
    <x v="11"/>
    <x v="5"/>
    <x v="1"/>
    <x v="1"/>
    <x v="0"/>
    <x v="2"/>
    <x v="2"/>
    <x v="2"/>
    <x v="3"/>
    <x v="1"/>
    <x v="1"/>
    <x v="3"/>
    <x v="1"/>
  </r>
  <r>
    <x v="4"/>
    <x v="1"/>
    <x v="4"/>
    <x v="0"/>
    <x v="35"/>
    <x v="115"/>
    <x v="156"/>
    <x v="182"/>
    <x v="202"/>
    <x v="246"/>
    <x v="248"/>
    <x v="255"/>
    <x v="277"/>
    <x v="274"/>
    <x v="286"/>
    <x v="306"/>
    <x v="310"/>
  </r>
  <r>
    <x v="4"/>
    <x v="1"/>
    <x v="4"/>
    <x v="0"/>
    <x v="36"/>
    <x v="5"/>
    <x v="1"/>
    <x v="1"/>
    <x v="203"/>
    <x v="247"/>
    <x v="249"/>
    <x v="256"/>
    <x v="3"/>
    <x v="1"/>
    <x v="287"/>
    <x v="3"/>
    <x v="311"/>
  </r>
  <r>
    <x v="4"/>
    <x v="1"/>
    <x v="4"/>
    <x v="0"/>
    <x v="37"/>
    <x v="5"/>
    <x v="1"/>
    <x v="1"/>
    <x v="0"/>
    <x v="2"/>
    <x v="2"/>
    <x v="2"/>
    <x v="3"/>
    <x v="1"/>
    <x v="1"/>
    <x v="3"/>
    <x v="1"/>
  </r>
  <r>
    <x v="4"/>
    <x v="1"/>
    <x v="4"/>
    <x v="5"/>
    <x v="7"/>
    <x v="116"/>
    <x v="157"/>
    <x v="183"/>
    <x v="204"/>
    <x v="248"/>
    <x v="250"/>
    <x v="255"/>
    <x v="278"/>
    <x v="1"/>
    <x v="286"/>
    <x v="307"/>
    <x v="312"/>
  </r>
  <r>
    <x v="4"/>
    <x v="1"/>
    <x v="4"/>
    <x v="5"/>
    <x v="8"/>
    <x v="117"/>
    <x v="158"/>
    <x v="184"/>
    <x v="205"/>
    <x v="249"/>
    <x v="251"/>
    <x v="2"/>
    <x v="3"/>
    <x v="1"/>
    <x v="1"/>
    <x v="308"/>
    <x v="313"/>
  </r>
  <r>
    <x v="4"/>
    <x v="1"/>
    <x v="4"/>
    <x v="5"/>
    <x v="9"/>
    <x v="5"/>
    <x v="1"/>
    <x v="1"/>
    <x v="0"/>
    <x v="2"/>
    <x v="2"/>
    <x v="2"/>
    <x v="279"/>
    <x v="274"/>
    <x v="1"/>
    <x v="3"/>
    <x v="314"/>
  </r>
  <r>
    <x v="4"/>
    <x v="1"/>
    <x v="4"/>
    <x v="5"/>
    <x v="10"/>
    <x v="5"/>
    <x v="1"/>
    <x v="185"/>
    <x v="206"/>
    <x v="2"/>
    <x v="252"/>
    <x v="2"/>
    <x v="3"/>
    <x v="1"/>
    <x v="1"/>
    <x v="3"/>
    <x v="1"/>
  </r>
  <r>
    <x v="4"/>
    <x v="1"/>
    <x v="4"/>
    <x v="5"/>
    <x v="11"/>
    <x v="5"/>
    <x v="1"/>
    <x v="1"/>
    <x v="0"/>
    <x v="2"/>
    <x v="2"/>
    <x v="2"/>
    <x v="3"/>
    <x v="1"/>
    <x v="1"/>
    <x v="3"/>
    <x v="1"/>
  </r>
  <r>
    <x v="4"/>
    <x v="1"/>
    <x v="4"/>
    <x v="6"/>
    <x v="7"/>
    <x v="5"/>
    <x v="1"/>
    <x v="1"/>
    <x v="207"/>
    <x v="250"/>
    <x v="2"/>
    <x v="257"/>
    <x v="3"/>
    <x v="1"/>
    <x v="1"/>
    <x v="3"/>
    <x v="1"/>
  </r>
  <r>
    <x v="4"/>
    <x v="1"/>
    <x v="4"/>
    <x v="6"/>
    <x v="8"/>
    <x v="5"/>
    <x v="1"/>
    <x v="1"/>
    <x v="0"/>
    <x v="2"/>
    <x v="2"/>
    <x v="258"/>
    <x v="3"/>
    <x v="1"/>
    <x v="287"/>
    <x v="3"/>
    <x v="311"/>
  </r>
  <r>
    <x v="4"/>
    <x v="1"/>
    <x v="4"/>
    <x v="6"/>
    <x v="9"/>
    <x v="5"/>
    <x v="1"/>
    <x v="1"/>
    <x v="208"/>
    <x v="251"/>
    <x v="249"/>
    <x v="2"/>
    <x v="3"/>
    <x v="1"/>
    <x v="1"/>
    <x v="3"/>
    <x v="1"/>
  </r>
  <r>
    <x v="4"/>
    <x v="1"/>
    <x v="4"/>
    <x v="6"/>
    <x v="10"/>
    <x v="5"/>
    <x v="1"/>
    <x v="1"/>
    <x v="0"/>
    <x v="2"/>
    <x v="2"/>
    <x v="2"/>
    <x v="3"/>
    <x v="1"/>
    <x v="1"/>
    <x v="3"/>
    <x v="1"/>
  </r>
  <r>
    <x v="4"/>
    <x v="1"/>
    <x v="4"/>
    <x v="6"/>
    <x v="11"/>
    <x v="5"/>
    <x v="1"/>
    <x v="1"/>
    <x v="0"/>
    <x v="2"/>
    <x v="2"/>
    <x v="2"/>
    <x v="3"/>
    <x v="1"/>
    <x v="1"/>
    <x v="3"/>
    <x v="1"/>
  </r>
  <r>
    <x v="4"/>
    <x v="1"/>
    <x v="5"/>
    <x v="0"/>
    <x v="35"/>
    <x v="115"/>
    <x v="156"/>
    <x v="182"/>
    <x v="202"/>
    <x v="246"/>
    <x v="248"/>
    <x v="255"/>
    <x v="277"/>
    <x v="274"/>
    <x v="286"/>
    <x v="306"/>
    <x v="310"/>
  </r>
  <r>
    <x v="4"/>
    <x v="1"/>
    <x v="5"/>
    <x v="0"/>
    <x v="36"/>
    <x v="5"/>
    <x v="1"/>
    <x v="1"/>
    <x v="203"/>
    <x v="247"/>
    <x v="249"/>
    <x v="256"/>
    <x v="3"/>
    <x v="1"/>
    <x v="287"/>
    <x v="3"/>
    <x v="311"/>
  </r>
  <r>
    <x v="4"/>
    <x v="1"/>
    <x v="5"/>
    <x v="0"/>
    <x v="37"/>
    <x v="5"/>
    <x v="1"/>
    <x v="1"/>
    <x v="0"/>
    <x v="2"/>
    <x v="2"/>
    <x v="2"/>
    <x v="3"/>
    <x v="1"/>
    <x v="1"/>
    <x v="3"/>
    <x v="1"/>
  </r>
  <r>
    <x v="4"/>
    <x v="1"/>
    <x v="5"/>
    <x v="5"/>
    <x v="7"/>
    <x v="116"/>
    <x v="157"/>
    <x v="183"/>
    <x v="204"/>
    <x v="248"/>
    <x v="250"/>
    <x v="255"/>
    <x v="278"/>
    <x v="1"/>
    <x v="286"/>
    <x v="307"/>
    <x v="312"/>
  </r>
  <r>
    <x v="4"/>
    <x v="1"/>
    <x v="5"/>
    <x v="5"/>
    <x v="8"/>
    <x v="117"/>
    <x v="158"/>
    <x v="184"/>
    <x v="205"/>
    <x v="249"/>
    <x v="251"/>
    <x v="2"/>
    <x v="3"/>
    <x v="1"/>
    <x v="1"/>
    <x v="308"/>
    <x v="313"/>
  </r>
  <r>
    <x v="4"/>
    <x v="1"/>
    <x v="5"/>
    <x v="5"/>
    <x v="9"/>
    <x v="5"/>
    <x v="1"/>
    <x v="1"/>
    <x v="0"/>
    <x v="2"/>
    <x v="2"/>
    <x v="2"/>
    <x v="279"/>
    <x v="274"/>
    <x v="1"/>
    <x v="3"/>
    <x v="314"/>
  </r>
  <r>
    <x v="4"/>
    <x v="1"/>
    <x v="5"/>
    <x v="5"/>
    <x v="10"/>
    <x v="5"/>
    <x v="1"/>
    <x v="185"/>
    <x v="206"/>
    <x v="2"/>
    <x v="252"/>
    <x v="2"/>
    <x v="3"/>
    <x v="1"/>
    <x v="1"/>
    <x v="3"/>
    <x v="1"/>
  </r>
  <r>
    <x v="4"/>
    <x v="1"/>
    <x v="5"/>
    <x v="5"/>
    <x v="11"/>
    <x v="5"/>
    <x v="1"/>
    <x v="1"/>
    <x v="0"/>
    <x v="2"/>
    <x v="2"/>
    <x v="2"/>
    <x v="3"/>
    <x v="1"/>
    <x v="1"/>
    <x v="3"/>
    <x v="1"/>
  </r>
  <r>
    <x v="4"/>
    <x v="1"/>
    <x v="5"/>
    <x v="6"/>
    <x v="7"/>
    <x v="5"/>
    <x v="1"/>
    <x v="1"/>
    <x v="207"/>
    <x v="250"/>
    <x v="2"/>
    <x v="257"/>
    <x v="3"/>
    <x v="1"/>
    <x v="1"/>
    <x v="3"/>
    <x v="1"/>
  </r>
  <r>
    <x v="4"/>
    <x v="1"/>
    <x v="5"/>
    <x v="6"/>
    <x v="8"/>
    <x v="5"/>
    <x v="1"/>
    <x v="1"/>
    <x v="0"/>
    <x v="2"/>
    <x v="2"/>
    <x v="258"/>
    <x v="3"/>
    <x v="1"/>
    <x v="287"/>
    <x v="3"/>
    <x v="311"/>
  </r>
  <r>
    <x v="4"/>
    <x v="1"/>
    <x v="5"/>
    <x v="6"/>
    <x v="9"/>
    <x v="5"/>
    <x v="1"/>
    <x v="1"/>
    <x v="208"/>
    <x v="251"/>
    <x v="249"/>
    <x v="2"/>
    <x v="3"/>
    <x v="1"/>
    <x v="1"/>
    <x v="3"/>
    <x v="1"/>
  </r>
  <r>
    <x v="4"/>
    <x v="1"/>
    <x v="5"/>
    <x v="6"/>
    <x v="10"/>
    <x v="5"/>
    <x v="1"/>
    <x v="1"/>
    <x v="0"/>
    <x v="2"/>
    <x v="2"/>
    <x v="2"/>
    <x v="3"/>
    <x v="1"/>
    <x v="1"/>
    <x v="3"/>
    <x v="1"/>
  </r>
  <r>
    <x v="4"/>
    <x v="1"/>
    <x v="5"/>
    <x v="6"/>
    <x v="11"/>
    <x v="5"/>
    <x v="1"/>
    <x v="1"/>
    <x v="0"/>
    <x v="2"/>
    <x v="2"/>
    <x v="2"/>
    <x v="3"/>
    <x v="1"/>
    <x v="1"/>
    <x v="3"/>
    <x v="1"/>
  </r>
  <r>
    <x v="4"/>
    <x v="1"/>
    <x v="6"/>
    <x v="0"/>
    <x v="26"/>
    <x v="109"/>
    <x v="159"/>
    <x v="186"/>
    <x v="209"/>
    <x v="252"/>
    <x v="253"/>
    <x v="259"/>
    <x v="280"/>
    <x v="275"/>
    <x v="288"/>
    <x v="309"/>
    <x v="315"/>
  </r>
  <r>
    <x v="4"/>
    <x v="1"/>
    <x v="6"/>
    <x v="1"/>
    <x v="1"/>
    <x v="5"/>
    <x v="149"/>
    <x v="187"/>
    <x v="210"/>
    <x v="253"/>
    <x v="254"/>
    <x v="260"/>
    <x v="281"/>
    <x v="276"/>
    <x v="289"/>
    <x v="310"/>
    <x v="316"/>
  </r>
  <r>
    <x v="4"/>
    <x v="1"/>
    <x v="6"/>
    <x v="1"/>
    <x v="2"/>
    <x v="110"/>
    <x v="160"/>
    <x v="188"/>
    <x v="211"/>
    <x v="254"/>
    <x v="255"/>
    <x v="261"/>
    <x v="282"/>
    <x v="277"/>
    <x v="290"/>
    <x v="311"/>
    <x v="317"/>
  </r>
  <r>
    <x v="4"/>
    <x v="1"/>
    <x v="6"/>
    <x v="1"/>
    <x v="3"/>
    <x v="5"/>
    <x v="1"/>
    <x v="173"/>
    <x v="212"/>
    <x v="255"/>
    <x v="256"/>
    <x v="262"/>
    <x v="283"/>
    <x v="278"/>
    <x v="291"/>
    <x v="312"/>
    <x v="318"/>
  </r>
  <r>
    <x v="4"/>
    <x v="1"/>
    <x v="6"/>
    <x v="1"/>
    <x v="4"/>
    <x v="111"/>
    <x v="161"/>
    <x v="189"/>
    <x v="213"/>
    <x v="256"/>
    <x v="257"/>
    <x v="263"/>
    <x v="284"/>
    <x v="279"/>
    <x v="292"/>
    <x v="313"/>
    <x v="319"/>
  </r>
  <r>
    <x v="4"/>
    <x v="1"/>
    <x v="6"/>
    <x v="1"/>
    <x v="5"/>
    <x v="5"/>
    <x v="150"/>
    <x v="190"/>
    <x v="214"/>
    <x v="257"/>
    <x v="258"/>
    <x v="264"/>
    <x v="285"/>
    <x v="280"/>
    <x v="293"/>
    <x v="314"/>
    <x v="320"/>
  </r>
  <r>
    <x v="4"/>
    <x v="1"/>
    <x v="6"/>
    <x v="1"/>
    <x v="6"/>
    <x v="5"/>
    <x v="1"/>
    <x v="1"/>
    <x v="0"/>
    <x v="2"/>
    <x v="2"/>
    <x v="2"/>
    <x v="3"/>
    <x v="1"/>
    <x v="1"/>
    <x v="3"/>
    <x v="298"/>
  </r>
  <r>
    <x v="4"/>
    <x v="1"/>
    <x v="6"/>
    <x v="11"/>
    <x v="1"/>
    <x v="5"/>
    <x v="162"/>
    <x v="191"/>
    <x v="215"/>
    <x v="258"/>
    <x v="259"/>
    <x v="265"/>
    <x v="286"/>
    <x v="281"/>
    <x v="294"/>
    <x v="315"/>
    <x v="321"/>
  </r>
  <r>
    <x v="4"/>
    <x v="1"/>
    <x v="6"/>
    <x v="11"/>
    <x v="2"/>
    <x v="118"/>
    <x v="163"/>
    <x v="192"/>
    <x v="216"/>
    <x v="259"/>
    <x v="260"/>
    <x v="266"/>
    <x v="287"/>
    <x v="282"/>
    <x v="295"/>
    <x v="316"/>
    <x v="322"/>
  </r>
  <r>
    <x v="4"/>
    <x v="1"/>
    <x v="6"/>
    <x v="11"/>
    <x v="3"/>
    <x v="5"/>
    <x v="1"/>
    <x v="193"/>
    <x v="217"/>
    <x v="260"/>
    <x v="261"/>
    <x v="267"/>
    <x v="288"/>
    <x v="283"/>
    <x v="296"/>
    <x v="317"/>
    <x v="323"/>
  </r>
  <r>
    <x v="4"/>
    <x v="1"/>
    <x v="6"/>
    <x v="11"/>
    <x v="4"/>
    <x v="119"/>
    <x v="164"/>
    <x v="194"/>
    <x v="218"/>
    <x v="261"/>
    <x v="262"/>
    <x v="268"/>
    <x v="289"/>
    <x v="284"/>
    <x v="297"/>
    <x v="318"/>
    <x v="324"/>
  </r>
  <r>
    <x v="4"/>
    <x v="1"/>
    <x v="6"/>
    <x v="11"/>
    <x v="5"/>
    <x v="5"/>
    <x v="165"/>
    <x v="195"/>
    <x v="219"/>
    <x v="262"/>
    <x v="263"/>
    <x v="269"/>
    <x v="290"/>
    <x v="285"/>
    <x v="298"/>
    <x v="319"/>
    <x v="325"/>
  </r>
  <r>
    <x v="4"/>
    <x v="1"/>
    <x v="6"/>
    <x v="11"/>
    <x v="6"/>
    <x v="5"/>
    <x v="1"/>
    <x v="1"/>
    <x v="0"/>
    <x v="2"/>
    <x v="2"/>
    <x v="2"/>
    <x v="3"/>
    <x v="1"/>
    <x v="1"/>
    <x v="3"/>
    <x v="326"/>
  </r>
  <r>
    <x v="4"/>
    <x v="1"/>
    <x v="6"/>
    <x v="2"/>
    <x v="7"/>
    <x v="111"/>
    <x v="166"/>
    <x v="196"/>
    <x v="220"/>
    <x v="263"/>
    <x v="264"/>
    <x v="270"/>
    <x v="291"/>
    <x v="286"/>
    <x v="299"/>
    <x v="320"/>
    <x v="327"/>
  </r>
  <r>
    <x v="4"/>
    <x v="1"/>
    <x v="6"/>
    <x v="2"/>
    <x v="8"/>
    <x v="110"/>
    <x v="167"/>
    <x v="197"/>
    <x v="221"/>
    <x v="264"/>
    <x v="265"/>
    <x v="271"/>
    <x v="292"/>
    <x v="287"/>
    <x v="300"/>
    <x v="321"/>
    <x v="328"/>
  </r>
  <r>
    <x v="4"/>
    <x v="1"/>
    <x v="6"/>
    <x v="2"/>
    <x v="9"/>
    <x v="5"/>
    <x v="1"/>
    <x v="1"/>
    <x v="193"/>
    <x v="265"/>
    <x v="266"/>
    <x v="272"/>
    <x v="293"/>
    <x v="288"/>
    <x v="301"/>
    <x v="322"/>
    <x v="329"/>
  </r>
  <r>
    <x v="4"/>
    <x v="1"/>
    <x v="6"/>
    <x v="2"/>
    <x v="10"/>
    <x v="5"/>
    <x v="1"/>
    <x v="173"/>
    <x v="212"/>
    <x v="266"/>
    <x v="267"/>
    <x v="273"/>
    <x v="294"/>
    <x v="289"/>
    <x v="302"/>
    <x v="323"/>
    <x v="330"/>
  </r>
  <r>
    <x v="4"/>
    <x v="1"/>
    <x v="6"/>
    <x v="2"/>
    <x v="11"/>
    <x v="5"/>
    <x v="1"/>
    <x v="1"/>
    <x v="0"/>
    <x v="2"/>
    <x v="2"/>
    <x v="2"/>
    <x v="3"/>
    <x v="1"/>
    <x v="1"/>
    <x v="3"/>
    <x v="1"/>
  </r>
  <r>
    <x v="4"/>
    <x v="1"/>
    <x v="6"/>
    <x v="11"/>
    <x v="7"/>
    <x v="119"/>
    <x v="168"/>
    <x v="198"/>
    <x v="222"/>
    <x v="267"/>
    <x v="268"/>
    <x v="274"/>
    <x v="295"/>
    <x v="290"/>
    <x v="303"/>
    <x v="324"/>
    <x v="331"/>
  </r>
  <r>
    <x v="4"/>
    <x v="1"/>
    <x v="6"/>
    <x v="11"/>
    <x v="8"/>
    <x v="118"/>
    <x v="169"/>
    <x v="199"/>
    <x v="223"/>
    <x v="268"/>
    <x v="269"/>
    <x v="275"/>
    <x v="296"/>
    <x v="291"/>
    <x v="304"/>
    <x v="325"/>
    <x v="332"/>
  </r>
  <r>
    <x v="4"/>
    <x v="1"/>
    <x v="6"/>
    <x v="11"/>
    <x v="9"/>
    <x v="5"/>
    <x v="1"/>
    <x v="1"/>
    <x v="224"/>
    <x v="269"/>
    <x v="270"/>
    <x v="276"/>
    <x v="297"/>
    <x v="292"/>
    <x v="305"/>
    <x v="326"/>
    <x v="333"/>
  </r>
  <r>
    <x v="4"/>
    <x v="1"/>
    <x v="6"/>
    <x v="11"/>
    <x v="10"/>
    <x v="5"/>
    <x v="1"/>
    <x v="193"/>
    <x v="217"/>
    <x v="270"/>
    <x v="271"/>
    <x v="277"/>
    <x v="298"/>
    <x v="293"/>
    <x v="306"/>
    <x v="327"/>
    <x v="334"/>
  </r>
  <r>
    <x v="4"/>
    <x v="1"/>
    <x v="6"/>
    <x v="11"/>
    <x v="11"/>
    <x v="5"/>
    <x v="1"/>
    <x v="1"/>
    <x v="0"/>
    <x v="2"/>
    <x v="2"/>
    <x v="2"/>
    <x v="3"/>
    <x v="1"/>
    <x v="1"/>
    <x v="3"/>
    <x v="1"/>
  </r>
  <r>
    <x v="4"/>
    <x v="1"/>
    <x v="7"/>
    <x v="0"/>
    <x v="26"/>
    <x v="112"/>
    <x v="170"/>
    <x v="200"/>
    <x v="225"/>
    <x v="271"/>
    <x v="272"/>
    <x v="278"/>
    <x v="299"/>
    <x v="294"/>
    <x v="307"/>
    <x v="328"/>
    <x v="335"/>
  </r>
  <r>
    <x v="4"/>
    <x v="1"/>
    <x v="7"/>
    <x v="1"/>
    <x v="1"/>
    <x v="5"/>
    <x v="154"/>
    <x v="201"/>
    <x v="226"/>
    <x v="272"/>
    <x v="273"/>
    <x v="279"/>
    <x v="300"/>
    <x v="295"/>
    <x v="308"/>
    <x v="329"/>
    <x v="336"/>
  </r>
  <r>
    <x v="4"/>
    <x v="1"/>
    <x v="7"/>
    <x v="1"/>
    <x v="2"/>
    <x v="113"/>
    <x v="171"/>
    <x v="202"/>
    <x v="227"/>
    <x v="273"/>
    <x v="274"/>
    <x v="280"/>
    <x v="301"/>
    <x v="296"/>
    <x v="309"/>
    <x v="330"/>
    <x v="337"/>
  </r>
  <r>
    <x v="4"/>
    <x v="1"/>
    <x v="7"/>
    <x v="1"/>
    <x v="3"/>
    <x v="5"/>
    <x v="1"/>
    <x v="179"/>
    <x v="228"/>
    <x v="274"/>
    <x v="275"/>
    <x v="281"/>
    <x v="302"/>
    <x v="297"/>
    <x v="310"/>
    <x v="331"/>
    <x v="338"/>
  </r>
  <r>
    <x v="4"/>
    <x v="1"/>
    <x v="7"/>
    <x v="1"/>
    <x v="4"/>
    <x v="114"/>
    <x v="172"/>
    <x v="203"/>
    <x v="229"/>
    <x v="275"/>
    <x v="276"/>
    <x v="282"/>
    <x v="303"/>
    <x v="298"/>
    <x v="311"/>
    <x v="332"/>
    <x v="339"/>
  </r>
  <r>
    <x v="4"/>
    <x v="1"/>
    <x v="7"/>
    <x v="1"/>
    <x v="5"/>
    <x v="5"/>
    <x v="150"/>
    <x v="190"/>
    <x v="230"/>
    <x v="276"/>
    <x v="277"/>
    <x v="283"/>
    <x v="304"/>
    <x v="299"/>
    <x v="312"/>
    <x v="333"/>
    <x v="340"/>
  </r>
  <r>
    <x v="4"/>
    <x v="1"/>
    <x v="7"/>
    <x v="1"/>
    <x v="6"/>
    <x v="5"/>
    <x v="1"/>
    <x v="1"/>
    <x v="0"/>
    <x v="2"/>
    <x v="2"/>
    <x v="2"/>
    <x v="3"/>
    <x v="1"/>
    <x v="1"/>
    <x v="3"/>
    <x v="306"/>
  </r>
  <r>
    <x v="4"/>
    <x v="1"/>
    <x v="7"/>
    <x v="11"/>
    <x v="1"/>
    <x v="5"/>
    <x v="173"/>
    <x v="204"/>
    <x v="231"/>
    <x v="277"/>
    <x v="278"/>
    <x v="284"/>
    <x v="305"/>
    <x v="300"/>
    <x v="313"/>
    <x v="334"/>
    <x v="341"/>
  </r>
  <r>
    <x v="4"/>
    <x v="1"/>
    <x v="7"/>
    <x v="11"/>
    <x v="2"/>
    <x v="120"/>
    <x v="174"/>
    <x v="205"/>
    <x v="232"/>
    <x v="278"/>
    <x v="279"/>
    <x v="285"/>
    <x v="306"/>
    <x v="301"/>
    <x v="314"/>
    <x v="335"/>
    <x v="342"/>
  </r>
  <r>
    <x v="4"/>
    <x v="1"/>
    <x v="7"/>
    <x v="11"/>
    <x v="3"/>
    <x v="5"/>
    <x v="1"/>
    <x v="206"/>
    <x v="233"/>
    <x v="279"/>
    <x v="280"/>
    <x v="286"/>
    <x v="307"/>
    <x v="302"/>
    <x v="315"/>
    <x v="336"/>
    <x v="343"/>
  </r>
  <r>
    <x v="4"/>
    <x v="1"/>
    <x v="7"/>
    <x v="11"/>
    <x v="4"/>
    <x v="121"/>
    <x v="175"/>
    <x v="207"/>
    <x v="234"/>
    <x v="280"/>
    <x v="281"/>
    <x v="287"/>
    <x v="308"/>
    <x v="303"/>
    <x v="316"/>
    <x v="337"/>
    <x v="344"/>
  </r>
  <r>
    <x v="4"/>
    <x v="1"/>
    <x v="7"/>
    <x v="11"/>
    <x v="5"/>
    <x v="5"/>
    <x v="176"/>
    <x v="208"/>
    <x v="235"/>
    <x v="281"/>
    <x v="282"/>
    <x v="288"/>
    <x v="309"/>
    <x v="304"/>
    <x v="317"/>
    <x v="338"/>
    <x v="345"/>
  </r>
  <r>
    <x v="4"/>
    <x v="1"/>
    <x v="7"/>
    <x v="11"/>
    <x v="6"/>
    <x v="5"/>
    <x v="1"/>
    <x v="1"/>
    <x v="0"/>
    <x v="2"/>
    <x v="2"/>
    <x v="2"/>
    <x v="3"/>
    <x v="1"/>
    <x v="1"/>
    <x v="3"/>
    <x v="346"/>
  </r>
  <r>
    <x v="4"/>
    <x v="1"/>
    <x v="7"/>
    <x v="2"/>
    <x v="7"/>
    <x v="114"/>
    <x v="177"/>
    <x v="209"/>
    <x v="236"/>
    <x v="282"/>
    <x v="283"/>
    <x v="289"/>
    <x v="310"/>
    <x v="305"/>
    <x v="318"/>
    <x v="339"/>
    <x v="347"/>
  </r>
  <r>
    <x v="4"/>
    <x v="1"/>
    <x v="7"/>
    <x v="2"/>
    <x v="8"/>
    <x v="113"/>
    <x v="178"/>
    <x v="210"/>
    <x v="237"/>
    <x v="283"/>
    <x v="284"/>
    <x v="290"/>
    <x v="311"/>
    <x v="306"/>
    <x v="319"/>
    <x v="340"/>
    <x v="348"/>
  </r>
  <r>
    <x v="4"/>
    <x v="1"/>
    <x v="7"/>
    <x v="2"/>
    <x v="9"/>
    <x v="5"/>
    <x v="1"/>
    <x v="1"/>
    <x v="201"/>
    <x v="284"/>
    <x v="285"/>
    <x v="291"/>
    <x v="312"/>
    <x v="307"/>
    <x v="320"/>
    <x v="341"/>
    <x v="349"/>
  </r>
  <r>
    <x v="4"/>
    <x v="1"/>
    <x v="7"/>
    <x v="2"/>
    <x v="10"/>
    <x v="5"/>
    <x v="1"/>
    <x v="179"/>
    <x v="228"/>
    <x v="285"/>
    <x v="286"/>
    <x v="292"/>
    <x v="313"/>
    <x v="308"/>
    <x v="321"/>
    <x v="342"/>
    <x v="350"/>
  </r>
  <r>
    <x v="4"/>
    <x v="1"/>
    <x v="7"/>
    <x v="2"/>
    <x v="11"/>
    <x v="5"/>
    <x v="1"/>
    <x v="1"/>
    <x v="0"/>
    <x v="2"/>
    <x v="2"/>
    <x v="2"/>
    <x v="3"/>
    <x v="1"/>
    <x v="1"/>
    <x v="3"/>
    <x v="1"/>
  </r>
  <r>
    <x v="4"/>
    <x v="1"/>
    <x v="7"/>
    <x v="11"/>
    <x v="7"/>
    <x v="121"/>
    <x v="179"/>
    <x v="211"/>
    <x v="238"/>
    <x v="286"/>
    <x v="287"/>
    <x v="293"/>
    <x v="314"/>
    <x v="309"/>
    <x v="322"/>
    <x v="343"/>
    <x v="351"/>
  </r>
  <r>
    <x v="4"/>
    <x v="1"/>
    <x v="7"/>
    <x v="11"/>
    <x v="8"/>
    <x v="120"/>
    <x v="180"/>
    <x v="212"/>
    <x v="239"/>
    <x v="287"/>
    <x v="288"/>
    <x v="294"/>
    <x v="315"/>
    <x v="310"/>
    <x v="323"/>
    <x v="344"/>
    <x v="352"/>
  </r>
  <r>
    <x v="4"/>
    <x v="1"/>
    <x v="7"/>
    <x v="11"/>
    <x v="9"/>
    <x v="5"/>
    <x v="1"/>
    <x v="1"/>
    <x v="240"/>
    <x v="288"/>
    <x v="289"/>
    <x v="295"/>
    <x v="316"/>
    <x v="311"/>
    <x v="324"/>
    <x v="345"/>
    <x v="353"/>
  </r>
  <r>
    <x v="4"/>
    <x v="1"/>
    <x v="7"/>
    <x v="11"/>
    <x v="10"/>
    <x v="5"/>
    <x v="1"/>
    <x v="206"/>
    <x v="233"/>
    <x v="289"/>
    <x v="290"/>
    <x v="296"/>
    <x v="317"/>
    <x v="312"/>
    <x v="325"/>
    <x v="346"/>
    <x v="354"/>
  </r>
  <r>
    <x v="4"/>
    <x v="1"/>
    <x v="7"/>
    <x v="11"/>
    <x v="11"/>
    <x v="5"/>
    <x v="1"/>
    <x v="1"/>
    <x v="0"/>
    <x v="2"/>
    <x v="2"/>
    <x v="2"/>
    <x v="3"/>
    <x v="1"/>
    <x v="1"/>
    <x v="3"/>
    <x v="1"/>
  </r>
  <r>
    <x v="4"/>
    <x v="1"/>
    <x v="6"/>
    <x v="0"/>
    <x v="29"/>
    <x v="115"/>
    <x v="181"/>
    <x v="213"/>
    <x v="241"/>
    <x v="290"/>
    <x v="291"/>
    <x v="297"/>
    <x v="318"/>
    <x v="313"/>
    <x v="326"/>
    <x v="347"/>
    <x v="355"/>
  </r>
  <r>
    <x v="4"/>
    <x v="1"/>
    <x v="6"/>
    <x v="0"/>
    <x v="30"/>
    <x v="5"/>
    <x v="1"/>
    <x v="1"/>
    <x v="203"/>
    <x v="291"/>
    <x v="292"/>
    <x v="298"/>
    <x v="319"/>
    <x v="314"/>
    <x v="327"/>
    <x v="348"/>
    <x v="356"/>
  </r>
  <r>
    <x v="4"/>
    <x v="1"/>
    <x v="6"/>
    <x v="0"/>
    <x v="31"/>
    <x v="5"/>
    <x v="1"/>
    <x v="1"/>
    <x v="0"/>
    <x v="2"/>
    <x v="2"/>
    <x v="2"/>
    <x v="3"/>
    <x v="1"/>
    <x v="1"/>
    <x v="3"/>
    <x v="1"/>
  </r>
  <r>
    <x v="4"/>
    <x v="1"/>
    <x v="6"/>
    <x v="14"/>
    <x v="7"/>
    <x v="116"/>
    <x v="182"/>
    <x v="214"/>
    <x v="242"/>
    <x v="292"/>
    <x v="293"/>
    <x v="299"/>
    <x v="320"/>
    <x v="315"/>
    <x v="328"/>
    <x v="349"/>
    <x v="357"/>
  </r>
  <r>
    <x v="4"/>
    <x v="1"/>
    <x v="6"/>
    <x v="14"/>
    <x v="8"/>
    <x v="117"/>
    <x v="183"/>
    <x v="215"/>
    <x v="243"/>
    <x v="293"/>
    <x v="294"/>
    <x v="300"/>
    <x v="321"/>
    <x v="316"/>
    <x v="329"/>
    <x v="350"/>
    <x v="358"/>
  </r>
  <r>
    <x v="4"/>
    <x v="1"/>
    <x v="6"/>
    <x v="14"/>
    <x v="9"/>
    <x v="5"/>
    <x v="1"/>
    <x v="1"/>
    <x v="0"/>
    <x v="2"/>
    <x v="2"/>
    <x v="2"/>
    <x v="279"/>
    <x v="317"/>
    <x v="330"/>
    <x v="351"/>
    <x v="359"/>
  </r>
  <r>
    <x v="4"/>
    <x v="1"/>
    <x v="6"/>
    <x v="14"/>
    <x v="10"/>
    <x v="5"/>
    <x v="1"/>
    <x v="185"/>
    <x v="244"/>
    <x v="294"/>
    <x v="295"/>
    <x v="301"/>
    <x v="322"/>
    <x v="318"/>
    <x v="331"/>
    <x v="352"/>
    <x v="360"/>
  </r>
  <r>
    <x v="4"/>
    <x v="1"/>
    <x v="6"/>
    <x v="14"/>
    <x v="11"/>
    <x v="5"/>
    <x v="1"/>
    <x v="1"/>
    <x v="0"/>
    <x v="2"/>
    <x v="2"/>
    <x v="2"/>
    <x v="3"/>
    <x v="1"/>
    <x v="1"/>
    <x v="3"/>
    <x v="1"/>
  </r>
  <r>
    <x v="4"/>
    <x v="1"/>
    <x v="6"/>
    <x v="15"/>
    <x v="7"/>
    <x v="5"/>
    <x v="1"/>
    <x v="1"/>
    <x v="207"/>
    <x v="295"/>
    <x v="296"/>
    <x v="302"/>
    <x v="323"/>
    <x v="319"/>
    <x v="332"/>
    <x v="353"/>
    <x v="361"/>
  </r>
  <r>
    <x v="4"/>
    <x v="1"/>
    <x v="6"/>
    <x v="15"/>
    <x v="8"/>
    <x v="5"/>
    <x v="1"/>
    <x v="1"/>
    <x v="0"/>
    <x v="2"/>
    <x v="2"/>
    <x v="258"/>
    <x v="324"/>
    <x v="320"/>
    <x v="333"/>
    <x v="354"/>
    <x v="362"/>
  </r>
  <r>
    <x v="4"/>
    <x v="1"/>
    <x v="6"/>
    <x v="15"/>
    <x v="9"/>
    <x v="5"/>
    <x v="1"/>
    <x v="1"/>
    <x v="208"/>
    <x v="296"/>
    <x v="297"/>
    <x v="303"/>
    <x v="325"/>
    <x v="321"/>
    <x v="334"/>
    <x v="355"/>
    <x v="363"/>
  </r>
  <r>
    <x v="4"/>
    <x v="1"/>
    <x v="6"/>
    <x v="15"/>
    <x v="10"/>
    <x v="5"/>
    <x v="1"/>
    <x v="1"/>
    <x v="0"/>
    <x v="2"/>
    <x v="2"/>
    <x v="2"/>
    <x v="3"/>
    <x v="1"/>
    <x v="1"/>
    <x v="3"/>
    <x v="1"/>
  </r>
  <r>
    <x v="4"/>
    <x v="1"/>
    <x v="6"/>
    <x v="15"/>
    <x v="11"/>
    <x v="5"/>
    <x v="1"/>
    <x v="1"/>
    <x v="0"/>
    <x v="2"/>
    <x v="2"/>
    <x v="2"/>
    <x v="3"/>
    <x v="1"/>
    <x v="1"/>
    <x v="3"/>
    <x v="1"/>
  </r>
  <r>
    <x v="4"/>
    <x v="1"/>
    <x v="7"/>
    <x v="0"/>
    <x v="29"/>
    <x v="115"/>
    <x v="181"/>
    <x v="213"/>
    <x v="241"/>
    <x v="290"/>
    <x v="291"/>
    <x v="297"/>
    <x v="318"/>
    <x v="313"/>
    <x v="326"/>
    <x v="347"/>
    <x v="355"/>
  </r>
  <r>
    <x v="4"/>
    <x v="1"/>
    <x v="7"/>
    <x v="0"/>
    <x v="30"/>
    <x v="5"/>
    <x v="1"/>
    <x v="1"/>
    <x v="203"/>
    <x v="291"/>
    <x v="292"/>
    <x v="298"/>
    <x v="319"/>
    <x v="314"/>
    <x v="327"/>
    <x v="348"/>
    <x v="356"/>
  </r>
  <r>
    <x v="4"/>
    <x v="1"/>
    <x v="7"/>
    <x v="0"/>
    <x v="31"/>
    <x v="5"/>
    <x v="1"/>
    <x v="1"/>
    <x v="0"/>
    <x v="2"/>
    <x v="2"/>
    <x v="2"/>
    <x v="3"/>
    <x v="1"/>
    <x v="1"/>
    <x v="3"/>
    <x v="1"/>
  </r>
  <r>
    <x v="4"/>
    <x v="1"/>
    <x v="7"/>
    <x v="14"/>
    <x v="7"/>
    <x v="116"/>
    <x v="182"/>
    <x v="214"/>
    <x v="242"/>
    <x v="292"/>
    <x v="293"/>
    <x v="299"/>
    <x v="320"/>
    <x v="315"/>
    <x v="328"/>
    <x v="349"/>
    <x v="357"/>
  </r>
  <r>
    <x v="4"/>
    <x v="1"/>
    <x v="7"/>
    <x v="14"/>
    <x v="8"/>
    <x v="117"/>
    <x v="183"/>
    <x v="215"/>
    <x v="243"/>
    <x v="293"/>
    <x v="294"/>
    <x v="300"/>
    <x v="321"/>
    <x v="316"/>
    <x v="329"/>
    <x v="350"/>
    <x v="358"/>
  </r>
  <r>
    <x v="4"/>
    <x v="1"/>
    <x v="7"/>
    <x v="14"/>
    <x v="9"/>
    <x v="5"/>
    <x v="1"/>
    <x v="1"/>
    <x v="0"/>
    <x v="2"/>
    <x v="2"/>
    <x v="2"/>
    <x v="279"/>
    <x v="317"/>
    <x v="330"/>
    <x v="351"/>
    <x v="359"/>
  </r>
  <r>
    <x v="4"/>
    <x v="1"/>
    <x v="7"/>
    <x v="14"/>
    <x v="10"/>
    <x v="5"/>
    <x v="1"/>
    <x v="185"/>
    <x v="244"/>
    <x v="294"/>
    <x v="295"/>
    <x v="301"/>
    <x v="322"/>
    <x v="318"/>
    <x v="331"/>
    <x v="352"/>
    <x v="360"/>
  </r>
  <r>
    <x v="4"/>
    <x v="1"/>
    <x v="7"/>
    <x v="14"/>
    <x v="11"/>
    <x v="5"/>
    <x v="1"/>
    <x v="1"/>
    <x v="0"/>
    <x v="2"/>
    <x v="2"/>
    <x v="2"/>
    <x v="3"/>
    <x v="1"/>
    <x v="1"/>
    <x v="3"/>
    <x v="1"/>
  </r>
  <r>
    <x v="4"/>
    <x v="1"/>
    <x v="7"/>
    <x v="15"/>
    <x v="7"/>
    <x v="5"/>
    <x v="1"/>
    <x v="1"/>
    <x v="207"/>
    <x v="295"/>
    <x v="296"/>
    <x v="302"/>
    <x v="323"/>
    <x v="319"/>
    <x v="332"/>
    <x v="353"/>
    <x v="361"/>
  </r>
  <r>
    <x v="4"/>
    <x v="1"/>
    <x v="7"/>
    <x v="15"/>
    <x v="8"/>
    <x v="5"/>
    <x v="1"/>
    <x v="1"/>
    <x v="0"/>
    <x v="2"/>
    <x v="2"/>
    <x v="258"/>
    <x v="324"/>
    <x v="320"/>
    <x v="333"/>
    <x v="354"/>
    <x v="362"/>
  </r>
  <r>
    <x v="4"/>
    <x v="1"/>
    <x v="7"/>
    <x v="15"/>
    <x v="9"/>
    <x v="5"/>
    <x v="1"/>
    <x v="1"/>
    <x v="208"/>
    <x v="296"/>
    <x v="297"/>
    <x v="303"/>
    <x v="325"/>
    <x v="321"/>
    <x v="334"/>
    <x v="355"/>
    <x v="363"/>
  </r>
  <r>
    <x v="4"/>
    <x v="1"/>
    <x v="7"/>
    <x v="15"/>
    <x v="10"/>
    <x v="5"/>
    <x v="1"/>
    <x v="1"/>
    <x v="0"/>
    <x v="2"/>
    <x v="2"/>
    <x v="2"/>
    <x v="3"/>
    <x v="1"/>
    <x v="1"/>
    <x v="3"/>
    <x v="1"/>
  </r>
  <r>
    <x v="4"/>
    <x v="1"/>
    <x v="7"/>
    <x v="15"/>
    <x v="11"/>
    <x v="5"/>
    <x v="1"/>
    <x v="1"/>
    <x v="0"/>
    <x v="2"/>
    <x v="2"/>
    <x v="2"/>
    <x v="3"/>
    <x v="1"/>
    <x v="1"/>
    <x v="3"/>
    <x v="1"/>
  </r>
  <r>
    <x v="5"/>
    <x v="0"/>
    <x v="0"/>
    <x v="0"/>
    <x v="0"/>
    <x v="7"/>
    <x v="1"/>
    <x v="1"/>
    <x v="0"/>
    <x v="2"/>
    <x v="2"/>
    <x v="1"/>
    <x v="3"/>
    <x v="1"/>
    <x v="1"/>
    <x v="3"/>
    <x v="3"/>
  </r>
  <r>
    <x v="5"/>
    <x v="0"/>
    <x v="0"/>
    <x v="1"/>
    <x v="1"/>
    <x v="5"/>
    <x v="1"/>
    <x v="1"/>
    <x v="0"/>
    <x v="2"/>
    <x v="2"/>
    <x v="2"/>
    <x v="3"/>
    <x v="1"/>
    <x v="1"/>
    <x v="3"/>
    <x v="1"/>
  </r>
  <r>
    <x v="5"/>
    <x v="0"/>
    <x v="0"/>
    <x v="1"/>
    <x v="2"/>
    <x v="5"/>
    <x v="1"/>
    <x v="1"/>
    <x v="0"/>
    <x v="2"/>
    <x v="2"/>
    <x v="2"/>
    <x v="3"/>
    <x v="1"/>
    <x v="1"/>
    <x v="3"/>
    <x v="1"/>
  </r>
  <r>
    <x v="5"/>
    <x v="0"/>
    <x v="0"/>
    <x v="1"/>
    <x v="3"/>
    <x v="5"/>
    <x v="1"/>
    <x v="1"/>
    <x v="0"/>
    <x v="2"/>
    <x v="2"/>
    <x v="2"/>
    <x v="3"/>
    <x v="1"/>
    <x v="1"/>
    <x v="3"/>
    <x v="1"/>
  </r>
  <r>
    <x v="5"/>
    <x v="0"/>
    <x v="0"/>
    <x v="1"/>
    <x v="4"/>
    <x v="5"/>
    <x v="1"/>
    <x v="1"/>
    <x v="0"/>
    <x v="2"/>
    <x v="2"/>
    <x v="2"/>
    <x v="3"/>
    <x v="1"/>
    <x v="1"/>
    <x v="3"/>
    <x v="1"/>
  </r>
  <r>
    <x v="5"/>
    <x v="0"/>
    <x v="0"/>
    <x v="1"/>
    <x v="5"/>
    <x v="7"/>
    <x v="1"/>
    <x v="1"/>
    <x v="0"/>
    <x v="2"/>
    <x v="2"/>
    <x v="1"/>
    <x v="3"/>
    <x v="1"/>
    <x v="1"/>
    <x v="3"/>
    <x v="3"/>
  </r>
  <r>
    <x v="5"/>
    <x v="0"/>
    <x v="0"/>
    <x v="1"/>
    <x v="6"/>
    <x v="5"/>
    <x v="1"/>
    <x v="1"/>
    <x v="0"/>
    <x v="2"/>
    <x v="2"/>
    <x v="2"/>
    <x v="3"/>
    <x v="1"/>
    <x v="1"/>
    <x v="3"/>
    <x v="1"/>
  </r>
  <r>
    <x v="5"/>
    <x v="0"/>
    <x v="0"/>
    <x v="2"/>
    <x v="7"/>
    <x v="7"/>
    <x v="1"/>
    <x v="1"/>
    <x v="0"/>
    <x v="2"/>
    <x v="2"/>
    <x v="2"/>
    <x v="3"/>
    <x v="1"/>
    <x v="1"/>
    <x v="3"/>
    <x v="1"/>
  </r>
  <r>
    <x v="5"/>
    <x v="0"/>
    <x v="0"/>
    <x v="2"/>
    <x v="8"/>
    <x v="5"/>
    <x v="1"/>
    <x v="1"/>
    <x v="0"/>
    <x v="2"/>
    <x v="2"/>
    <x v="2"/>
    <x v="3"/>
    <x v="1"/>
    <x v="1"/>
    <x v="3"/>
    <x v="1"/>
  </r>
  <r>
    <x v="5"/>
    <x v="0"/>
    <x v="0"/>
    <x v="2"/>
    <x v="9"/>
    <x v="5"/>
    <x v="1"/>
    <x v="1"/>
    <x v="0"/>
    <x v="2"/>
    <x v="2"/>
    <x v="1"/>
    <x v="3"/>
    <x v="1"/>
    <x v="1"/>
    <x v="3"/>
    <x v="3"/>
  </r>
  <r>
    <x v="5"/>
    <x v="0"/>
    <x v="0"/>
    <x v="2"/>
    <x v="10"/>
    <x v="5"/>
    <x v="1"/>
    <x v="1"/>
    <x v="0"/>
    <x v="2"/>
    <x v="2"/>
    <x v="2"/>
    <x v="3"/>
    <x v="1"/>
    <x v="1"/>
    <x v="3"/>
    <x v="1"/>
  </r>
  <r>
    <x v="5"/>
    <x v="0"/>
    <x v="0"/>
    <x v="2"/>
    <x v="11"/>
    <x v="5"/>
    <x v="1"/>
    <x v="1"/>
    <x v="0"/>
    <x v="2"/>
    <x v="2"/>
    <x v="2"/>
    <x v="3"/>
    <x v="1"/>
    <x v="1"/>
    <x v="3"/>
    <x v="1"/>
  </r>
  <r>
    <x v="5"/>
    <x v="0"/>
    <x v="0"/>
    <x v="0"/>
    <x v="12"/>
    <x v="5"/>
    <x v="1"/>
    <x v="1"/>
    <x v="0"/>
    <x v="2"/>
    <x v="2"/>
    <x v="2"/>
    <x v="3"/>
    <x v="1"/>
    <x v="1"/>
    <x v="3"/>
    <x v="1"/>
  </r>
  <r>
    <x v="5"/>
    <x v="0"/>
    <x v="0"/>
    <x v="3"/>
    <x v="1"/>
    <x v="5"/>
    <x v="1"/>
    <x v="1"/>
    <x v="0"/>
    <x v="2"/>
    <x v="2"/>
    <x v="2"/>
    <x v="3"/>
    <x v="1"/>
    <x v="1"/>
    <x v="3"/>
    <x v="1"/>
  </r>
  <r>
    <x v="5"/>
    <x v="0"/>
    <x v="0"/>
    <x v="3"/>
    <x v="2"/>
    <x v="5"/>
    <x v="1"/>
    <x v="1"/>
    <x v="0"/>
    <x v="2"/>
    <x v="2"/>
    <x v="2"/>
    <x v="3"/>
    <x v="1"/>
    <x v="1"/>
    <x v="3"/>
    <x v="1"/>
  </r>
  <r>
    <x v="5"/>
    <x v="0"/>
    <x v="0"/>
    <x v="3"/>
    <x v="3"/>
    <x v="5"/>
    <x v="1"/>
    <x v="1"/>
    <x v="0"/>
    <x v="2"/>
    <x v="2"/>
    <x v="2"/>
    <x v="3"/>
    <x v="1"/>
    <x v="1"/>
    <x v="3"/>
    <x v="1"/>
  </r>
  <r>
    <x v="5"/>
    <x v="0"/>
    <x v="0"/>
    <x v="0"/>
    <x v="13"/>
    <x v="7"/>
    <x v="1"/>
    <x v="1"/>
    <x v="0"/>
    <x v="2"/>
    <x v="2"/>
    <x v="1"/>
    <x v="3"/>
    <x v="1"/>
    <x v="1"/>
    <x v="3"/>
    <x v="3"/>
  </r>
  <r>
    <x v="5"/>
    <x v="0"/>
    <x v="0"/>
    <x v="4"/>
    <x v="4"/>
    <x v="5"/>
    <x v="1"/>
    <x v="1"/>
    <x v="0"/>
    <x v="2"/>
    <x v="2"/>
    <x v="2"/>
    <x v="3"/>
    <x v="1"/>
    <x v="1"/>
    <x v="3"/>
    <x v="1"/>
  </r>
  <r>
    <x v="5"/>
    <x v="0"/>
    <x v="0"/>
    <x v="4"/>
    <x v="5"/>
    <x v="7"/>
    <x v="1"/>
    <x v="1"/>
    <x v="0"/>
    <x v="2"/>
    <x v="2"/>
    <x v="1"/>
    <x v="3"/>
    <x v="1"/>
    <x v="1"/>
    <x v="3"/>
    <x v="3"/>
  </r>
  <r>
    <x v="5"/>
    <x v="0"/>
    <x v="0"/>
    <x v="4"/>
    <x v="6"/>
    <x v="5"/>
    <x v="1"/>
    <x v="1"/>
    <x v="0"/>
    <x v="2"/>
    <x v="2"/>
    <x v="2"/>
    <x v="3"/>
    <x v="1"/>
    <x v="1"/>
    <x v="3"/>
    <x v="1"/>
  </r>
  <r>
    <x v="5"/>
    <x v="1"/>
    <x v="0"/>
    <x v="0"/>
    <x v="14"/>
    <x v="1"/>
    <x v="1"/>
    <x v="1"/>
    <x v="0"/>
    <x v="1"/>
    <x v="2"/>
    <x v="1"/>
    <x v="3"/>
    <x v="1"/>
    <x v="1"/>
    <x v="3"/>
    <x v="3"/>
  </r>
  <r>
    <x v="5"/>
    <x v="1"/>
    <x v="0"/>
    <x v="1"/>
    <x v="1"/>
    <x v="5"/>
    <x v="1"/>
    <x v="1"/>
    <x v="0"/>
    <x v="2"/>
    <x v="2"/>
    <x v="2"/>
    <x v="3"/>
    <x v="1"/>
    <x v="1"/>
    <x v="3"/>
    <x v="1"/>
  </r>
  <r>
    <x v="5"/>
    <x v="1"/>
    <x v="0"/>
    <x v="1"/>
    <x v="2"/>
    <x v="5"/>
    <x v="1"/>
    <x v="1"/>
    <x v="0"/>
    <x v="2"/>
    <x v="2"/>
    <x v="2"/>
    <x v="3"/>
    <x v="1"/>
    <x v="1"/>
    <x v="3"/>
    <x v="1"/>
  </r>
  <r>
    <x v="5"/>
    <x v="1"/>
    <x v="0"/>
    <x v="1"/>
    <x v="3"/>
    <x v="5"/>
    <x v="1"/>
    <x v="1"/>
    <x v="0"/>
    <x v="2"/>
    <x v="2"/>
    <x v="2"/>
    <x v="3"/>
    <x v="1"/>
    <x v="1"/>
    <x v="3"/>
    <x v="1"/>
  </r>
  <r>
    <x v="5"/>
    <x v="1"/>
    <x v="0"/>
    <x v="1"/>
    <x v="4"/>
    <x v="5"/>
    <x v="1"/>
    <x v="1"/>
    <x v="0"/>
    <x v="2"/>
    <x v="2"/>
    <x v="2"/>
    <x v="3"/>
    <x v="1"/>
    <x v="1"/>
    <x v="3"/>
    <x v="1"/>
  </r>
  <r>
    <x v="5"/>
    <x v="1"/>
    <x v="0"/>
    <x v="1"/>
    <x v="5"/>
    <x v="1"/>
    <x v="1"/>
    <x v="1"/>
    <x v="0"/>
    <x v="1"/>
    <x v="2"/>
    <x v="1"/>
    <x v="3"/>
    <x v="1"/>
    <x v="1"/>
    <x v="3"/>
    <x v="3"/>
  </r>
  <r>
    <x v="5"/>
    <x v="1"/>
    <x v="0"/>
    <x v="1"/>
    <x v="6"/>
    <x v="5"/>
    <x v="1"/>
    <x v="1"/>
    <x v="0"/>
    <x v="2"/>
    <x v="2"/>
    <x v="2"/>
    <x v="3"/>
    <x v="1"/>
    <x v="1"/>
    <x v="3"/>
    <x v="1"/>
  </r>
  <r>
    <x v="5"/>
    <x v="1"/>
    <x v="0"/>
    <x v="2"/>
    <x v="7"/>
    <x v="1"/>
    <x v="1"/>
    <x v="1"/>
    <x v="0"/>
    <x v="1"/>
    <x v="2"/>
    <x v="2"/>
    <x v="3"/>
    <x v="1"/>
    <x v="1"/>
    <x v="3"/>
    <x v="1"/>
  </r>
  <r>
    <x v="5"/>
    <x v="1"/>
    <x v="0"/>
    <x v="2"/>
    <x v="8"/>
    <x v="5"/>
    <x v="1"/>
    <x v="1"/>
    <x v="0"/>
    <x v="2"/>
    <x v="2"/>
    <x v="2"/>
    <x v="3"/>
    <x v="1"/>
    <x v="1"/>
    <x v="3"/>
    <x v="1"/>
  </r>
  <r>
    <x v="5"/>
    <x v="1"/>
    <x v="0"/>
    <x v="2"/>
    <x v="9"/>
    <x v="5"/>
    <x v="1"/>
    <x v="1"/>
    <x v="0"/>
    <x v="2"/>
    <x v="2"/>
    <x v="1"/>
    <x v="3"/>
    <x v="1"/>
    <x v="1"/>
    <x v="3"/>
    <x v="3"/>
  </r>
  <r>
    <x v="5"/>
    <x v="1"/>
    <x v="0"/>
    <x v="2"/>
    <x v="10"/>
    <x v="5"/>
    <x v="1"/>
    <x v="1"/>
    <x v="0"/>
    <x v="2"/>
    <x v="2"/>
    <x v="2"/>
    <x v="3"/>
    <x v="1"/>
    <x v="1"/>
    <x v="3"/>
    <x v="1"/>
  </r>
  <r>
    <x v="5"/>
    <x v="1"/>
    <x v="0"/>
    <x v="2"/>
    <x v="11"/>
    <x v="5"/>
    <x v="1"/>
    <x v="1"/>
    <x v="0"/>
    <x v="2"/>
    <x v="2"/>
    <x v="2"/>
    <x v="3"/>
    <x v="1"/>
    <x v="1"/>
    <x v="3"/>
    <x v="1"/>
  </r>
  <r>
    <x v="5"/>
    <x v="1"/>
    <x v="0"/>
    <x v="0"/>
    <x v="15"/>
    <x v="4"/>
    <x v="1"/>
    <x v="1"/>
    <x v="0"/>
    <x v="2"/>
    <x v="2"/>
    <x v="2"/>
    <x v="3"/>
    <x v="1"/>
    <x v="1"/>
    <x v="3"/>
    <x v="0"/>
  </r>
  <r>
    <x v="5"/>
    <x v="1"/>
    <x v="0"/>
    <x v="0"/>
    <x v="16"/>
    <x v="4"/>
    <x v="1"/>
    <x v="1"/>
    <x v="0"/>
    <x v="1"/>
    <x v="2"/>
    <x v="2"/>
    <x v="3"/>
    <x v="1"/>
    <x v="1"/>
    <x v="3"/>
    <x v="1"/>
  </r>
  <r>
    <x v="5"/>
    <x v="1"/>
    <x v="0"/>
    <x v="0"/>
    <x v="17"/>
    <x v="5"/>
    <x v="1"/>
    <x v="1"/>
    <x v="0"/>
    <x v="2"/>
    <x v="2"/>
    <x v="1"/>
    <x v="3"/>
    <x v="1"/>
    <x v="1"/>
    <x v="3"/>
    <x v="0"/>
  </r>
  <r>
    <x v="5"/>
    <x v="1"/>
    <x v="0"/>
    <x v="5"/>
    <x v="7"/>
    <x v="4"/>
    <x v="1"/>
    <x v="1"/>
    <x v="0"/>
    <x v="2"/>
    <x v="2"/>
    <x v="2"/>
    <x v="3"/>
    <x v="1"/>
    <x v="1"/>
    <x v="3"/>
    <x v="1"/>
  </r>
  <r>
    <x v="5"/>
    <x v="1"/>
    <x v="0"/>
    <x v="5"/>
    <x v="8"/>
    <x v="5"/>
    <x v="1"/>
    <x v="1"/>
    <x v="0"/>
    <x v="2"/>
    <x v="2"/>
    <x v="2"/>
    <x v="3"/>
    <x v="1"/>
    <x v="1"/>
    <x v="3"/>
    <x v="1"/>
  </r>
  <r>
    <x v="5"/>
    <x v="1"/>
    <x v="0"/>
    <x v="5"/>
    <x v="9"/>
    <x v="5"/>
    <x v="1"/>
    <x v="1"/>
    <x v="0"/>
    <x v="2"/>
    <x v="2"/>
    <x v="2"/>
    <x v="3"/>
    <x v="1"/>
    <x v="1"/>
    <x v="3"/>
    <x v="0"/>
  </r>
  <r>
    <x v="5"/>
    <x v="1"/>
    <x v="0"/>
    <x v="5"/>
    <x v="10"/>
    <x v="5"/>
    <x v="1"/>
    <x v="1"/>
    <x v="0"/>
    <x v="2"/>
    <x v="2"/>
    <x v="2"/>
    <x v="3"/>
    <x v="1"/>
    <x v="1"/>
    <x v="3"/>
    <x v="1"/>
  </r>
  <r>
    <x v="5"/>
    <x v="1"/>
    <x v="0"/>
    <x v="5"/>
    <x v="11"/>
    <x v="5"/>
    <x v="1"/>
    <x v="1"/>
    <x v="0"/>
    <x v="2"/>
    <x v="2"/>
    <x v="2"/>
    <x v="3"/>
    <x v="1"/>
    <x v="1"/>
    <x v="3"/>
    <x v="1"/>
  </r>
  <r>
    <x v="5"/>
    <x v="1"/>
    <x v="0"/>
    <x v="6"/>
    <x v="7"/>
    <x v="4"/>
    <x v="1"/>
    <x v="1"/>
    <x v="0"/>
    <x v="1"/>
    <x v="2"/>
    <x v="2"/>
    <x v="3"/>
    <x v="1"/>
    <x v="1"/>
    <x v="3"/>
    <x v="1"/>
  </r>
  <r>
    <x v="5"/>
    <x v="1"/>
    <x v="0"/>
    <x v="6"/>
    <x v="8"/>
    <x v="5"/>
    <x v="1"/>
    <x v="1"/>
    <x v="0"/>
    <x v="2"/>
    <x v="2"/>
    <x v="2"/>
    <x v="3"/>
    <x v="1"/>
    <x v="1"/>
    <x v="3"/>
    <x v="1"/>
  </r>
  <r>
    <x v="5"/>
    <x v="1"/>
    <x v="0"/>
    <x v="6"/>
    <x v="9"/>
    <x v="5"/>
    <x v="1"/>
    <x v="1"/>
    <x v="0"/>
    <x v="2"/>
    <x v="2"/>
    <x v="2"/>
    <x v="3"/>
    <x v="1"/>
    <x v="1"/>
    <x v="3"/>
    <x v="1"/>
  </r>
  <r>
    <x v="5"/>
    <x v="1"/>
    <x v="0"/>
    <x v="6"/>
    <x v="10"/>
    <x v="5"/>
    <x v="1"/>
    <x v="1"/>
    <x v="0"/>
    <x v="2"/>
    <x v="2"/>
    <x v="2"/>
    <x v="3"/>
    <x v="1"/>
    <x v="1"/>
    <x v="3"/>
    <x v="1"/>
  </r>
  <r>
    <x v="5"/>
    <x v="1"/>
    <x v="0"/>
    <x v="6"/>
    <x v="11"/>
    <x v="5"/>
    <x v="1"/>
    <x v="1"/>
    <x v="0"/>
    <x v="2"/>
    <x v="2"/>
    <x v="2"/>
    <x v="3"/>
    <x v="1"/>
    <x v="1"/>
    <x v="3"/>
    <x v="1"/>
  </r>
  <r>
    <x v="5"/>
    <x v="1"/>
    <x v="0"/>
    <x v="7"/>
    <x v="7"/>
    <x v="5"/>
    <x v="1"/>
    <x v="1"/>
    <x v="0"/>
    <x v="2"/>
    <x v="2"/>
    <x v="2"/>
    <x v="3"/>
    <x v="1"/>
    <x v="1"/>
    <x v="3"/>
    <x v="1"/>
  </r>
  <r>
    <x v="5"/>
    <x v="1"/>
    <x v="0"/>
    <x v="7"/>
    <x v="8"/>
    <x v="5"/>
    <x v="1"/>
    <x v="1"/>
    <x v="0"/>
    <x v="2"/>
    <x v="2"/>
    <x v="2"/>
    <x v="3"/>
    <x v="1"/>
    <x v="1"/>
    <x v="3"/>
    <x v="1"/>
  </r>
  <r>
    <x v="5"/>
    <x v="1"/>
    <x v="0"/>
    <x v="7"/>
    <x v="9"/>
    <x v="5"/>
    <x v="1"/>
    <x v="1"/>
    <x v="0"/>
    <x v="2"/>
    <x v="2"/>
    <x v="1"/>
    <x v="3"/>
    <x v="1"/>
    <x v="1"/>
    <x v="3"/>
    <x v="0"/>
  </r>
  <r>
    <x v="5"/>
    <x v="1"/>
    <x v="0"/>
    <x v="7"/>
    <x v="10"/>
    <x v="5"/>
    <x v="1"/>
    <x v="1"/>
    <x v="0"/>
    <x v="2"/>
    <x v="2"/>
    <x v="2"/>
    <x v="3"/>
    <x v="1"/>
    <x v="1"/>
    <x v="3"/>
    <x v="1"/>
  </r>
  <r>
    <x v="5"/>
    <x v="1"/>
    <x v="0"/>
    <x v="7"/>
    <x v="11"/>
    <x v="5"/>
    <x v="1"/>
    <x v="1"/>
    <x v="0"/>
    <x v="2"/>
    <x v="2"/>
    <x v="2"/>
    <x v="3"/>
    <x v="1"/>
    <x v="1"/>
    <x v="3"/>
    <x v="1"/>
  </r>
  <r>
    <x v="5"/>
    <x v="1"/>
    <x v="0"/>
    <x v="0"/>
    <x v="18"/>
    <x v="5"/>
    <x v="1"/>
    <x v="1"/>
    <x v="0"/>
    <x v="2"/>
    <x v="2"/>
    <x v="2"/>
    <x v="3"/>
    <x v="1"/>
    <x v="1"/>
    <x v="3"/>
    <x v="1"/>
  </r>
  <r>
    <x v="5"/>
    <x v="1"/>
    <x v="0"/>
    <x v="3"/>
    <x v="1"/>
    <x v="5"/>
    <x v="1"/>
    <x v="1"/>
    <x v="0"/>
    <x v="2"/>
    <x v="2"/>
    <x v="2"/>
    <x v="3"/>
    <x v="1"/>
    <x v="1"/>
    <x v="3"/>
    <x v="1"/>
  </r>
  <r>
    <x v="5"/>
    <x v="1"/>
    <x v="0"/>
    <x v="3"/>
    <x v="2"/>
    <x v="5"/>
    <x v="1"/>
    <x v="1"/>
    <x v="0"/>
    <x v="2"/>
    <x v="2"/>
    <x v="2"/>
    <x v="3"/>
    <x v="1"/>
    <x v="1"/>
    <x v="3"/>
    <x v="1"/>
  </r>
  <r>
    <x v="5"/>
    <x v="1"/>
    <x v="0"/>
    <x v="3"/>
    <x v="3"/>
    <x v="5"/>
    <x v="1"/>
    <x v="1"/>
    <x v="0"/>
    <x v="2"/>
    <x v="2"/>
    <x v="2"/>
    <x v="3"/>
    <x v="1"/>
    <x v="1"/>
    <x v="3"/>
    <x v="1"/>
  </r>
  <r>
    <x v="5"/>
    <x v="1"/>
    <x v="0"/>
    <x v="0"/>
    <x v="19"/>
    <x v="1"/>
    <x v="1"/>
    <x v="1"/>
    <x v="0"/>
    <x v="1"/>
    <x v="2"/>
    <x v="1"/>
    <x v="3"/>
    <x v="1"/>
    <x v="1"/>
    <x v="3"/>
    <x v="3"/>
  </r>
  <r>
    <x v="5"/>
    <x v="1"/>
    <x v="0"/>
    <x v="4"/>
    <x v="4"/>
    <x v="5"/>
    <x v="1"/>
    <x v="1"/>
    <x v="0"/>
    <x v="2"/>
    <x v="2"/>
    <x v="2"/>
    <x v="3"/>
    <x v="1"/>
    <x v="1"/>
    <x v="3"/>
    <x v="1"/>
  </r>
  <r>
    <x v="5"/>
    <x v="1"/>
    <x v="0"/>
    <x v="4"/>
    <x v="5"/>
    <x v="1"/>
    <x v="1"/>
    <x v="1"/>
    <x v="0"/>
    <x v="1"/>
    <x v="2"/>
    <x v="1"/>
    <x v="3"/>
    <x v="1"/>
    <x v="1"/>
    <x v="3"/>
    <x v="3"/>
  </r>
  <r>
    <x v="5"/>
    <x v="1"/>
    <x v="0"/>
    <x v="4"/>
    <x v="6"/>
    <x v="5"/>
    <x v="1"/>
    <x v="1"/>
    <x v="0"/>
    <x v="2"/>
    <x v="2"/>
    <x v="2"/>
    <x v="3"/>
    <x v="1"/>
    <x v="1"/>
    <x v="3"/>
    <x v="1"/>
  </r>
  <r>
    <x v="5"/>
    <x v="2"/>
    <x v="1"/>
    <x v="0"/>
    <x v="20"/>
    <x v="4"/>
    <x v="2"/>
    <x v="4"/>
    <x v="2"/>
    <x v="2"/>
    <x v="2"/>
    <x v="2"/>
    <x v="3"/>
    <x v="1"/>
    <x v="1"/>
    <x v="3"/>
    <x v="1"/>
  </r>
  <r>
    <x v="5"/>
    <x v="2"/>
    <x v="1"/>
    <x v="1"/>
    <x v="1"/>
    <x v="5"/>
    <x v="1"/>
    <x v="1"/>
    <x v="0"/>
    <x v="2"/>
    <x v="2"/>
    <x v="2"/>
    <x v="3"/>
    <x v="1"/>
    <x v="1"/>
    <x v="3"/>
    <x v="1"/>
  </r>
  <r>
    <x v="5"/>
    <x v="2"/>
    <x v="1"/>
    <x v="1"/>
    <x v="2"/>
    <x v="5"/>
    <x v="1"/>
    <x v="1"/>
    <x v="0"/>
    <x v="2"/>
    <x v="2"/>
    <x v="2"/>
    <x v="3"/>
    <x v="1"/>
    <x v="1"/>
    <x v="3"/>
    <x v="1"/>
  </r>
  <r>
    <x v="5"/>
    <x v="2"/>
    <x v="1"/>
    <x v="1"/>
    <x v="3"/>
    <x v="5"/>
    <x v="1"/>
    <x v="1"/>
    <x v="0"/>
    <x v="2"/>
    <x v="2"/>
    <x v="2"/>
    <x v="3"/>
    <x v="1"/>
    <x v="1"/>
    <x v="3"/>
    <x v="1"/>
  </r>
  <r>
    <x v="5"/>
    <x v="2"/>
    <x v="1"/>
    <x v="1"/>
    <x v="4"/>
    <x v="5"/>
    <x v="1"/>
    <x v="1"/>
    <x v="0"/>
    <x v="2"/>
    <x v="2"/>
    <x v="2"/>
    <x v="3"/>
    <x v="1"/>
    <x v="1"/>
    <x v="3"/>
    <x v="1"/>
  </r>
  <r>
    <x v="5"/>
    <x v="2"/>
    <x v="1"/>
    <x v="1"/>
    <x v="5"/>
    <x v="4"/>
    <x v="2"/>
    <x v="4"/>
    <x v="2"/>
    <x v="2"/>
    <x v="2"/>
    <x v="2"/>
    <x v="3"/>
    <x v="1"/>
    <x v="1"/>
    <x v="3"/>
    <x v="1"/>
  </r>
  <r>
    <x v="5"/>
    <x v="2"/>
    <x v="1"/>
    <x v="1"/>
    <x v="6"/>
    <x v="5"/>
    <x v="1"/>
    <x v="1"/>
    <x v="0"/>
    <x v="2"/>
    <x v="2"/>
    <x v="2"/>
    <x v="3"/>
    <x v="1"/>
    <x v="1"/>
    <x v="3"/>
    <x v="1"/>
  </r>
  <r>
    <x v="5"/>
    <x v="2"/>
    <x v="1"/>
    <x v="8"/>
    <x v="1"/>
    <x v="5"/>
    <x v="1"/>
    <x v="1"/>
    <x v="0"/>
    <x v="157"/>
    <x v="207"/>
    <x v="215"/>
    <x v="239"/>
    <x v="238"/>
    <x v="247"/>
    <x v="254"/>
    <x v="172"/>
  </r>
  <r>
    <x v="5"/>
    <x v="2"/>
    <x v="1"/>
    <x v="8"/>
    <x v="2"/>
    <x v="5"/>
    <x v="1"/>
    <x v="1"/>
    <x v="0"/>
    <x v="157"/>
    <x v="207"/>
    <x v="215"/>
    <x v="239"/>
    <x v="238"/>
    <x v="247"/>
    <x v="254"/>
    <x v="172"/>
  </r>
  <r>
    <x v="5"/>
    <x v="2"/>
    <x v="1"/>
    <x v="8"/>
    <x v="3"/>
    <x v="5"/>
    <x v="1"/>
    <x v="1"/>
    <x v="0"/>
    <x v="157"/>
    <x v="207"/>
    <x v="215"/>
    <x v="239"/>
    <x v="238"/>
    <x v="247"/>
    <x v="254"/>
    <x v="172"/>
  </r>
  <r>
    <x v="5"/>
    <x v="2"/>
    <x v="1"/>
    <x v="8"/>
    <x v="4"/>
    <x v="5"/>
    <x v="1"/>
    <x v="1"/>
    <x v="0"/>
    <x v="157"/>
    <x v="207"/>
    <x v="215"/>
    <x v="239"/>
    <x v="238"/>
    <x v="247"/>
    <x v="254"/>
    <x v="172"/>
  </r>
  <r>
    <x v="5"/>
    <x v="2"/>
    <x v="1"/>
    <x v="8"/>
    <x v="5"/>
    <x v="4"/>
    <x v="2"/>
    <x v="4"/>
    <x v="2"/>
    <x v="157"/>
    <x v="207"/>
    <x v="215"/>
    <x v="239"/>
    <x v="238"/>
    <x v="247"/>
    <x v="254"/>
    <x v="172"/>
  </r>
  <r>
    <x v="5"/>
    <x v="2"/>
    <x v="1"/>
    <x v="8"/>
    <x v="6"/>
    <x v="5"/>
    <x v="1"/>
    <x v="1"/>
    <x v="0"/>
    <x v="157"/>
    <x v="207"/>
    <x v="215"/>
    <x v="239"/>
    <x v="238"/>
    <x v="247"/>
    <x v="254"/>
    <x v="172"/>
  </r>
  <r>
    <x v="5"/>
    <x v="2"/>
    <x v="1"/>
    <x v="2"/>
    <x v="7"/>
    <x v="4"/>
    <x v="2"/>
    <x v="4"/>
    <x v="2"/>
    <x v="2"/>
    <x v="2"/>
    <x v="2"/>
    <x v="3"/>
    <x v="1"/>
    <x v="1"/>
    <x v="3"/>
    <x v="1"/>
  </r>
  <r>
    <x v="5"/>
    <x v="2"/>
    <x v="1"/>
    <x v="2"/>
    <x v="8"/>
    <x v="5"/>
    <x v="1"/>
    <x v="1"/>
    <x v="0"/>
    <x v="2"/>
    <x v="2"/>
    <x v="2"/>
    <x v="3"/>
    <x v="1"/>
    <x v="1"/>
    <x v="3"/>
    <x v="1"/>
  </r>
  <r>
    <x v="5"/>
    <x v="2"/>
    <x v="1"/>
    <x v="2"/>
    <x v="9"/>
    <x v="5"/>
    <x v="1"/>
    <x v="1"/>
    <x v="0"/>
    <x v="2"/>
    <x v="2"/>
    <x v="2"/>
    <x v="3"/>
    <x v="1"/>
    <x v="1"/>
    <x v="3"/>
    <x v="1"/>
  </r>
  <r>
    <x v="5"/>
    <x v="2"/>
    <x v="1"/>
    <x v="2"/>
    <x v="10"/>
    <x v="5"/>
    <x v="1"/>
    <x v="1"/>
    <x v="0"/>
    <x v="2"/>
    <x v="2"/>
    <x v="2"/>
    <x v="3"/>
    <x v="1"/>
    <x v="1"/>
    <x v="3"/>
    <x v="1"/>
  </r>
  <r>
    <x v="5"/>
    <x v="2"/>
    <x v="1"/>
    <x v="2"/>
    <x v="11"/>
    <x v="5"/>
    <x v="1"/>
    <x v="1"/>
    <x v="0"/>
    <x v="2"/>
    <x v="2"/>
    <x v="2"/>
    <x v="3"/>
    <x v="1"/>
    <x v="1"/>
    <x v="3"/>
    <x v="1"/>
  </r>
  <r>
    <x v="5"/>
    <x v="2"/>
    <x v="1"/>
    <x v="0"/>
    <x v="21"/>
    <x v="5"/>
    <x v="1"/>
    <x v="1"/>
    <x v="0"/>
    <x v="2"/>
    <x v="2"/>
    <x v="2"/>
    <x v="3"/>
    <x v="1"/>
    <x v="1"/>
    <x v="3"/>
    <x v="1"/>
  </r>
  <r>
    <x v="5"/>
    <x v="2"/>
    <x v="1"/>
    <x v="3"/>
    <x v="1"/>
    <x v="5"/>
    <x v="1"/>
    <x v="1"/>
    <x v="0"/>
    <x v="2"/>
    <x v="2"/>
    <x v="2"/>
    <x v="3"/>
    <x v="1"/>
    <x v="1"/>
    <x v="3"/>
    <x v="1"/>
  </r>
  <r>
    <x v="5"/>
    <x v="2"/>
    <x v="1"/>
    <x v="3"/>
    <x v="2"/>
    <x v="5"/>
    <x v="1"/>
    <x v="1"/>
    <x v="0"/>
    <x v="2"/>
    <x v="2"/>
    <x v="2"/>
    <x v="3"/>
    <x v="1"/>
    <x v="1"/>
    <x v="3"/>
    <x v="1"/>
  </r>
  <r>
    <x v="5"/>
    <x v="2"/>
    <x v="1"/>
    <x v="3"/>
    <x v="3"/>
    <x v="5"/>
    <x v="1"/>
    <x v="1"/>
    <x v="0"/>
    <x v="2"/>
    <x v="2"/>
    <x v="2"/>
    <x v="3"/>
    <x v="1"/>
    <x v="1"/>
    <x v="3"/>
    <x v="1"/>
  </r>
  <r>
    <x v="5"/>
    <x v="2"/>
    <x v="1"/>
    <x v="9"/>
    <x v="1"/>
    <x v="5"/>
    <x v="1"/>
    <x v="1"/>
    <x v="0"/>
    <x v="2"/>
    <x v="2"/>
    <x v="2"/>
    <x v="3"/>
    <x v="1"/>
    <x v="1"/>
    <x v="3"/>
    <x v="4"/>
  </r>
  <r>
    <x v="5"/>
    <x v="2"/>
    <x v="1"/>
    <x v="9"/>
    <x v="2"/>
    <x v="5"/>
    <x v="1"/>
    <x v="1"/>
    <x v="0"/>
    <x v="2"/>
    <x v="2"/>
    <x v="2"/>
    <x v="3"/>
    <x v="1"/>
    <x v="1"/>
    <x v="3"/>
    <x v="4"/>
  </r>
  <r>
    <x v="5"/>
    <x v="2"/>
    <x v="1"/>
    <x v="9"/>
    <x v="3"/>
    <x v="5"/>
    <x v="1"/>
    <x v="1"/>
    <x v="0"/>
    <x v="2"/>
    <x v="2"/>
    <x v="2"/>
    <x v="3"/>
    <x v="1"/>
    <x v="1"/>
    <x v="3"/>
    <x v="4"/>
  </r>
  <r>
    <x v="5"/>
    <x v="2"/>
    <x v="1"/>
    <x v="0"/>
    <x v="22"/>
    <x v="4"/>
    <x v="2"/>
    <x v="4"/>
    <x v="2"/>
    <x v="2"/>
    <x v="2"/>
    <x v="2"/>
    <x v="3"/>
    <x v="1"/>
    <x v="1"/>
    <x v="3"/>
    <x v="1"/>
  </r>
  <r>
    <x v="5"/>
    <x v="2"/>
    <x v="1"/>
    <x v="4"/>
    <x v="4"/>
    <x v="5"/>
    <x v="1"/>
    <x v="1"/>
    <x v="0"/>
    <x v="2"/>
    <x v="2"/>
    <x v="2"/>
    <x v="3"/>
    <x v="1"/>
    <x v="1"/>
    <x v="3"/>
    <x v="1"/>
  </r>
  <r>
    <x v="5"/>
    <x v="2"/>
    <x v="1"/>
    <x v="4"/>
    <x v="5"/>
    <x v="4"/>
    <x v="2"/>
    <x v="4"/>
    <x v="2"/>
    <x v="2"/>
    <x v="2"/>
    <x v="2"/>
    <x v="3"/>
    <x v="1"/>
    <x v="1"/>
    <x v="3"/>
    <x v="1"/>
  </r>
  <r>
    <x v="5"/>
    <x v="2"/>
    <x v="1"/>
    <x v="4"/>
    <x v="6"/>
    <x v="5"/>
    <x v="1"/>
    <x v="1"/>
    <x v="0"/>
    <x v="2"/>
    <x v="2"/>
    <x v="2"/>
    <x v="3"/>
    <x v="1"/>
    <x v="1"/>
    <x v="3"/>
    <x v="1"/>
  </r>
  <r>
    <x v="5"/>
    <x v="2"/>
    <x v="1"/>
    <x v="10"/>
    <x v="4"/>
    <x v="5"/>
    <x v="1"/>
    <x v="1"/>
    <x v="0"/>
    <x v="2"/>
    <x v="2"/>
    <x v="2"/>
    <x v="3"/>
    <x v="1"/>
    <x v="1"/>
    <x v="3"/>
    <x v="1"/>
  </r>
  <r>
    <x v="5"/>
    <x v="2"/>
    <x v="1"/>
    <x v="10"/>
    <x v="5"/>
    <x v="15"/>
    <x v="92"/>
    <x v="79"/>
    <x v="7"/>
    <x v="2"/>
    <x v="2"/>
    <x v="2"/>
    <x v="3"/>
    <x v="1"/>
    <x v="1"/>
    <x v="3"/>
    <x v="1"/>
  </r>
  <r>
    <x v="5"/>
    <x v="2"/>
    <x v="1"/>
    <x v="10"/>
    <x v="6"/>
    <x v="5"/>
    <x v="1"/>
    <x v="1"/>
    <x v="0"/>
    <x v="2"/>
    <x v="2"/>
    <x v="2"/>
    <x v="3"/>
    <x v="1"/>
    <x v="1"/>
    <x v="3"/>
    <x v="1"/>
  </r>
  <r>
    <x v="5"/>
    <x v="0"/>
    <x v="2"/>
    <x v="0"/>
    <x v="23"/>
    <x v="7"/>
    <x v="4"/>
    <x v="6"/>
    <x v="5"/>
    <x v="0"/>
    <x v="3"/>
    <x v="14"/>
    <x v="0"/>
    <x v="0"/>
    <x v="26"/>
    <x v="36"/>
    <x v="32"/>
  </r>
  <r>
    <x v="5"/>
    <x v="0"/>
    <x v="2"/>
    <x v="1"/>
    <x v="1"/>
    <x v="5"/>
    <x v="1"/>
    <x v="1"/>
    <x v="0"/>
    <x v="2"/>
    <x v="2"/>
    <x v="2"/>
    <x v="3"/>
    <x v="1"/>
    <x v="1"/>
    <x v="3"/>
    <x v="1"/>
  </r>
  <r>
    <x v="5"/>
    <x v="0"/>
    <x v="2"/>
    <x v="1"/>
    <x v="2"/>
    <x v="5"/>
    <x v="1"/>
    <x v="1"/>
    <x v="0"/>
    <x v="2"/>
    <x v="2"/>
    <x v="2"/>
    <x v="3"/>
    <x v="1"/>
    <x v="1"/>
    <x v="3"/>
    <x v="1"/>
  </r>
  <r>
    <x v="5"/>
    <x v="0"/>
    <x v="2"/>
    <x v="1"/>
    <x v="3"/>
    <x v="5"/>
    <x v="1"/>
    <x v="1"/>
    <x v="0"/>
    <x v="2"/>
    <x v="2"/>
    <x v="2"/>
    <x v="3"/>
    <x v="1"/>
    <x v="1"/>
    <x v="3"/>
    <x v="1"/>
  </r>
  <r>
    <x v="5"/>
    <x v="0"/>
    <x v="2"/>
    <x v="1"/>
    <x v="4"/>
    <x v="5"/>
    <x v="1"/>
    <x v="1"/>
    <x v="0"/>
    <x v="2"/>
    <x v="2"/>
    <x v="2"/>
    <x v="3"/>
    <x v="1"/>
    <x v="1"/>
    <x v="3"/>
    <x v="1"/>
  </r>
  <r>
    <x v="5"/>
    <x v="0"/>
    <x v="2"/>
    <x v="1"/>
    <x v="5"/>
    <x v="7"/>
    <x v="4"/>
    <x v="6"/>
    <x v="5"/>
    <x v="0"/>
    <x v="3"/>
    <x v="14"/>
    <x v="0"/>
    <x v="0"/>
    <x v="26"/>
    <x v="36"/>
    <x v="32"/>
  </r>
  <r>
    <x v="5"/>
    <x v="0"/>
    <x v="2"/>
    <x v="1"/>
    <x v="6"/>
    <x v="5"/>
    <x v="1"/>
    <x v="1"/>
    <x v="0"/>
    <x v="2"/>
    <x v="2"/>
    <x v="2"/>
    <x v="3"/>
    <x v="1"/>
    <x v="1"/>
    <x v="3"/>
    <x v="1"/>
  </r>
  <r>
    <x v="5"/>
    <x v="0"/>
    <x v="2"/>
    <x v="2"/>
    <x v="7"/>
    <x v="7"/>
    <x v="4"/>
    <x v="6"/>
    <x v="5"/>
    <x v="0"/>
    <x v="3"/>
    <x v="4"/>
    <x v="5"/>
    <x v="4"/>
    <x v="16"/>
    <x v="4"/>
    <x v="2"/>
  </r>
  <r>
    <x v="5"/>
    <x v="0"/>
    <x v="2"/>
    <x v="2"/>
    <x v="8"/>
    <x v="5"/>
    <x v="1"/>
    <x v="1"/>
    <x v="0"/>
    <x v="2"/>
    <x v="2"/>
    <x v="2"/>
    <x v="3"/>
    <x v="1"/>
    <x v="1"/>
    <x v="3"/>
    <x v="1"/>
  </r>
  <r>
    <x v="5"/>
    <x v="0"/>
    <x v="2"/>
    <x v="2"/>
    <x v="9"/>
    <x v="5"/>
    <x v="1"/>
    <x v="1"/>
    <x v="0"/>
    <x v="2"/>
    <x v="2"/>
    <x v="1"/>
    <x v="2"/>
    <x v="2"/>
    <x v="2"/>
    <x v="1"/>
    <x v="9"/>
  </r>
  <r>
    <x v="5"/>
    <x v="0"/>
    <x v="2"/>
    <x v="2"/>
    <x v="10"/>
    <x v="5"/>
    <x v="1"/>
    <x v="1"/>
    <x v="0"/>
    <x v="2"/>
    <x v="2"/>
    <x v="2"/>
    <x v="3"/>
    <x v="1"/>
    <x v="1"/>
    <x v="3"/>
    <x v="1"/>
  </r>
  <r>
    <x v="5"/>
    <x v="0"/>
    <x v="2"/>
    <x v="2"/>
    <x v="11"/>
    <x v="5"/>
    <x v="1"/>
    <x v="1"/>
    <x v="0"/>
    <x v="2"/>
    <x v="2"/>
    <x v="2"/>
    <x v="3"/>
    <x v="1"/>
    <x v="1"/>
    <x v="3"/>
    <x v="1"/>
  </r>
  <r>
    <x v="5"/>
    <x v="0"/>
    <x v="2"/>
    <x v="0"/>
    <x v="24"/>
    <x v="5"/>
    <x v="1"/>
    <x v="1"/>
    <x v="0"/>
    <x v="2"/>
    <x v="2"/>
    <x v="2"/>
    <x v="3"/>
    <x v="1"/>
    <x v="1"/>
    <x v="3"/>
    <x v="1"/>
  </r>
  <r>
    <x v="5"/>
    <x v="0"/>
    <x v="2"/>
    <x v="3"/>
    <x v="1"/>
    <x v="5"/>
    <x v="1"/>
    <x v="1"/>
    <x v="0"/>
    <x v="2"/>
    <x v="2"/>
    <x v="2"/>
    <x v="3"/>
    <x v="1"/>
    <x v="1"/>
    <x v="3"/>
    <x v="1"/>
  </r>
  <r>
    <x v="5"/>
    <x v="0"/>
    <x v="2"/>
    <x v="3"/>
    <x v="2"/>
    <x v="5"/>
    <x v="1"/>
    <x v="1"/>
    <x v="0"/>
    <x v="2"/>
    <x v="2"/>
    <x v="2"/>
    <x v="3"/>
    <x v="1"/>
    <x v="1"/>
    <x v="3"/>
    <x v="1"/>
  </r>
  <r>
    <x v="5"/>
    <x v="0"/>
    <x v="2"/>
    <x v="3"/>
    <x v="3"/>
    <x v="5"/>
    <x v="1"/>
    <x v="1"/>
    <x v="0"/>
    <x v="2"/>
    <x v="2"/>
    <x v="2"/>
    <x v="3"/>
    <x v="1"/>
    <x v="1"/>
    <x v="3"/>
    <x v="1"/>
  </r>
  <r>
    <x v="5"/>
    <x v="0"/>
    <x v="2"/>
    <x v="0"/>
    <x v="25"/>
    <x v="7"/>
    <x v="4"/>
    <x v="6"/>
    <x v="5"/>
    <x v="0"/>
    <x v="3"/>
    <x v="14"/>
    <x v="0"/>
    <x v="0"/>
    <x v="26"/>
    <x v="36"/>
    <x v="32"/>
  </r>
  <r>
    <x v="5"/>
    <x v="0"/>
    <x v="2"/>
    <x v="4"/>
    <x v="4"/>
    <x v="5"/>
    <x v="1"/>
    <x v="1"/>
    <x v="0"/>
    <x v="2"/>
    <x v="2"/>
    <x v="2"/>
    <x v="3"/>
    <x v="1"/>
    <x v="1"/>
    <x v="3"/>
    <x v="1"/>
  </r>
  <r>
    <x v="5"/>
    <x v="0"/>
    <x v="2"/>
    <x v="4"/>
    <x v="5"/>
    <x v="7"/>
    <x v="4"/>
    <x v="6"/>
    <x v="5"/>
    <x v="0"/>
    <x v="3"/>
    <x v="14"/>
    <x v="0"/>
    <x v="0"/>
    <x v="26"/>
    <x v="36"/>
    <x v="32"/>
  </r>
  <r>
    <x v="5"/>
    <x v="0"/>
    <x v="2"/>
    <x v="4"/>
    <x v="6"/>
    <x v="5"/>
    <x v="1"/>
    <x v="1"/>
    <x v="0"/>
    <x v="2"/>
    <x v="2"/>
    <x v="2"/>
    <x v="3"/>
    <x v="1"/>
    <x v="1"/>
    <x v="3"/>
    <x v="1"/>
  </r>
  <r>
    <x v="5"/>
    <x v="1"/>
    <x v="2"/>
    <x v="0"/>
    <x v="26"/>
    <x v="1"/>
    <x v="0"/>
    <x v="2"/>
    <x v="4"/>
    <x v="0"/>
    <x v="3"/>
    <x v="14"/>
    <x v="0"/>
    <x v="0"/>
    <x v="26"/>
    <x v="36"/>
    <x v="32"/>
  </r>
  <r>
    <x v="5"/>
    <x v="1"/>
    <x v="2"/>
    <x v="1"/>
    <x v="1"/>
    <x v="5"/>
    <x v="1"/>
    <x v="1"/>
    <x v="0"/>
    <x v="2"/>
    <x v="2"/>
    <x v="2"/>
    <x v="3"/>
    <x v="1"/>
    <x v="1"/>
    <x v="3"/>
    <x v="1"/>
  </r>
  <r>
    <x v="5"/>
    <x v="1"/>
    <x v="2"/>
    <x v="1"/>
    <x v="2"/>
    <x v="5"/>
    <x v="1"/>
    <x v="1"/>
    <x v="0"/>
    <x v="2"/>
    <x v="2"/>
    <x v="2"/>
    <x v="3"/>
    <x v="1"/>
    <x v="1"/>
    <x v="3"/>
    <x v="1"/>
  </r>
  <r>
    <x v="5"/>
    <x v="1"/>
    <x v="2"/>
    <x v="1"/>
    <x v="3"/>
    <x v="5"/>
    <x v="1"/>
    <x v="1"/>
    <x v="0"/>
    <x v="2"/>
    <x v="2"/>
    <x v="2"/>
    <x v="3"/>
    <x v="1"/>
    <x v="1"/>
    <x v="3"/>
    <x v="1"/>
  </r>
  <r>
    <x v="5"/>
    <x v="1"/>
    <x v="2"/>
    <x v="1"/>
    <x v="4"/>
    <x v="5"/>
    <x v="1"/>
    <x v="1"/>
    <x v="0"/>
    <x v="2"/>
    <x v="2"/>
    <x v="2"/>
    <x v="3"/>
    <x v="1"/>
    <x v="1"/>
    <x v="3"/>
    <x v="1"/>
  </r>
  <r>
    <x v="5"/>
    <x v="1"/>
    <x v="2"/>
    <x v="1"/>
    <x v="5"/>
    <x v="1"/>
    <x v="0"/>
    <x v="2"/>
    <x v="4"/>
    <x v="0"/>
    <x v="3"/>
    <x v="14"/>
    <x v="0"/>
    <x v="0"/>
    <x v="26"/>
    <x v="36"/>
    <x v="32"/>
  </r>
  <r>
    <x v="5"/>
    <x v="1"/>
    <x v="2"/>
    <x v="1"/>
    <x v="6"/>
    <x v="5"/>
    <x v="1"/>
    <x v="1"/>
    <x v="0"/>
    <x v="2"/>
    <x v="2"/>
    <x v="2"/>
    <x v="3"/>
    <x v="1"/>
    <x v="1"/>
    <x v="3"/>
    <x v="1"/>
  </r>
  <r>
    <x v="5"/>
    <x v="1"/>
    <x v="2"/>
    <x v="11"/>
    <x v="1"/>
    <x v="5"/>
    <x v="1"/>
    <x v="1"/>
    <x v="0"/>
    <x v="2"/>
    <x v="2"/>
    <x v="2"/>
    <x v="3"/>
    <x v="1"/>
    <x v="1"/>
    <x v="3"/>
    <x v="1"/>
  </r>
  <r>
    <x v="5"/>
    <x v="1"/>
    <x v="2"/>
    <x v="11"/>
    <x v="2"/>
    <x v="5"/>
    <x v="1"/>
    <x v="1"/>
    <x v="0"/>
    <x v="2"/>
    <x v="2"/>
    <x v="2"/>
    <x v="3"/>
    <x v="1"/>
    <x v="1"/>
    <x v="3"/>
    <x v="1"/>
  </r>
  <r>
    <x v="5"/>
    <x v="1"/>
    <x v="2"/>
    <x v="11"/>
    <x v="3"/>
    <x v="5"/>
    <x v="1"/>
    <x v="1"/>
    <x v="0"/>
    <x v="2"/>
    <x v="2"/>
    <x v="2"/>
    <x v="3"/>
    <x v="1"/>
    <x v="1"/>
    <x v="3"/>
    <x v="1"/>
  </r>
  <r>
    <x v="5"/>
    <x v="1"/>
    <x v="2"/>
    <x v="11"/>
    <x v="4"/>
    <x v="5"/>
    <x v="1"/>
    <x v="1"/>
    <x v="0"/>
    <x v="2"/>
    <x v="2"/>
    <x v="2"/>
    <x v="3"/>
    <x v="1"/>
    <x v="1"/>
    <x v="3"/>
    <x v="1"/>
  </r>
  <r>
    <x v="5"/>
    <x v="1"/>
    <x v="2"/>
    <x v="11"/>
    <x v="5"/>
    <x v="4"/>
    <x v="2"/>
    <x v="4"/>
    <x v="2"/>
    <x v="1"/>
    <x v="4"/>
    <x v="3"/>
    <x v="1"/>
    <x v="3"/>
    <x v="0"/>
    <x v="2"/>
    <x v="0"/>
  </r>
  <r>
    <x v="5"/>
    <x v="1"/>
    <x v="2"/>
    <x v="11"/>
    <x v="6"/>
    <x v="5"/>
    <x v="1"/>
    <x v="1"/>
    <x v="0"/>
    <x v="2"/>
    <x v="2"/>
    <x v="2"/>
    <x v="3"/>
    <x v="1"/>
    <x v="1"/>
    <x v="3"/>
    <x v="1"/>
  </r>
  <r>
    <x v="5"/>
    <x v="1"/>
    <x v="2"/>
    <x v="2"/>
    <x v="7"/>
    <x v="1"/>
    <x v="0"/>
    <x v="2"/>
    <x v="4"/>
    <x v="0"/>
    <x v="3"/>
    <x v="4"/>
    <x v="5"/>
    <x v="4"/>
    <x v="16"/>
    <x v="4"/>
    <x v="2"/>
  </r>
  <r>
    <x v="5"/>
    <x v="1"/>
    <x v="2"/>
    <x v="2"/>
    <x v="8"/>
    <x v="5"/>
    <x v="1"/>
    <x v="1"/>
    <x v="0"/>
    <x v="2"/>
    <x v="2"/>
    <x v="2"/>
    <x v="3"/>
    <x v="1"/>
    <x v="1"/>
    <x v="3"/>
    <x v="1"/>
  </r>
  <r>
    <x v="5"/>
    <x v="1"/>
    <x v="2"/>
    <x v="2"/>
    <x v="9"/>
    <x v="5"/>
    <x v="1"/>
    <x v="1"/>
    <x v="0"/>
    <x v="2"/>
    <x v="2"/>
    <x v="1"/>
    <x v="2"/>
    <x v="2"/>
    <x v="2"/>
    <x v="1"/>
    <x v="9"/>
  </r>
  <r>
    <x v="5"/>
    <x v="1"/>
    <x v="2"/>
    <x v="2"/>
    <x v="10"/>
    <x v="5"/>
    <x v="1"/>
    <x v="1"/>
    <x v="0"/>
    <x v="2"/>
    <x v="2"/>
    <x v="2"/>
    <x v="3"/>
    <x v="1"/>
    <x v="1"/>
    <x v="3"/>
    <x v="1"/>
  </r>
  <r>
    <x v="5"/>
    <x v="1"/>
    <x v="2"/>
    <x v="2"/>
    <x v="11"/>
    <x v="5"/>
    <x v="1"/>
    <x v="1"/>
    <x v="0"/>
    <x v="2"/>
    <x v="2"/>
    <x v="2"/>
    <x v="3"/>
    <x v="1"/>
    <x v="1"/>
    <x v="3"/>
    <x v="1"/>
  </r>
  <r>
    <x v="5"/>
    <x v="1"/>
    <x v="2"/>
    <x v="0"/>
    <x v="27"/>
    <x v="5"/>
    <x v="1"/>
    <x v="1"/>
    <x v="0"/>
    <x v="2"/>
    <x v="2"/>
    <x v="2"/>
    <x v="3"/>
    <x v="1"/>
    <x v="1"/>
    <x v="3"/>
    <x v="1"/>
  </r>
  <r>
    <x v="5"/>
    <x v="1"/>
    <x v="2"/>
    <x v="3"/>
    <x v="1"/>
    <x v="5"/>
    <x v="1"/>
    <x v="1"/>
    <x v="0"/>
    <x v="2"/>
    <x v="2"/>
    <x v="2"/>
    <x v="3"/>
    <x v="1"/>
    <x v="1"/>
    <x v="3"/>
    <x v="1"/>
  </r>
  <r>
    <x v="5"/>
    <x v="1"/>
    <x v="2"/>
    <x v="3"/>
    <x v="2"/>
    <x v="5"/>
    <x v="1"/>
    <x v="1"/>
    <x v="0"/>
    <x v="2"/>
    <x v="2"/>
    <x v="2"/>
    <x v="3"/>
    <x v="1"/>
    <x v="1"/>
    <x v="3"/>
    <x v="1"/>
  </r>
  <r>
    <x v="5"/>
    <x v="1"/>
    <x v="2"/>
    <x v="3"/>
    <x v="3"/>
    <x v="5"/>
    <x v="1"/>
    <x v="1"/>
    <x v="0"/>
    <x v="2"/>
    <x v="2"/>
    <x v="2"/>
    <x v="3"/>
    <x v="1"/>
    <x v="1"/>
    <x v="3"/>
    <x v="1"/>
  </r>
  <r>
    <x v="5"/>
    <x v="1"/>
    <x v="2"/>
    <x v="12"/>
    <x v="1"/>
    <x v="108"/>
    <x v="69"/>
    <x v="103"/>
    <x v="245"/>
    <x v="157"/>
    <x v="207"/>
    <x v="215"/>
    <x v="239"/>
    <x v="238"/>
    <x v="247"/>
    <x v="254"/>
    <x v="172"/>
  </r>
  <r>
    <x v="5"/>
    <x v="1"/>
    <x v="2"/>
    <x v="12"/>
    <x v="2"/>
    <x v="108"/>
    <x v="69"/>
    <x v="103"/>
    <x v="245"/>
    <x v="157"/>
    <x v="207"/>
    <x v="215"/>
    <x v="239"/>
    <x v="238"/>
    <x v="247"/>
    <x v="254"/>
    <x v="172"/>
  </r>
  <r>
    <x v="5"/>
    <x v="1"/>
    <x v="2"/>
    <x v="12"/>
    <x v="3"/>
    <x v="108"/>
    <x v="69"/>
    <x v="103"/>
    <x v="245"/>
    <x v="157"/>
    <x v="207"/>
    <x v="215"/>
    <x v="239"/>
    <x v="238"/>
    <x v="247"/>
    <x v="254"/>
    <x v="172"/>
  </r>
  <r>
    <x v="5"/>
    <x v="1"/>
    <x v="2"/>
    <x v="0"/>
    <x v="28"/>
    <x v="1"/>
    <x v="0"/>
    <x v="2"/>
    <x v="4"/>
    <x v="0"/>
    <x v="3"/>
    <x v="14"/>
    <x v="0"/>
    <x v="0"/>
    <x v="26"/>
    <x v="36"/>
    <x v="32"/>
  </r>
  <r>
    <x v="5"/>
    <x v="1"/>
    <x v="2"/>
    <x v="4"/>
    <x v="4"/>
    <x v="5"/>
    <x v="1"/>
    <x v="1"/>
    <x v="0"/>
    <x v="2"/>
    <x v="2"/>
    <x v="2"/>
    <x v="3"/>
    <x v="1"/>
    <x v="1"/>
    <x v="3"/>
    <x v="1"/>
  </r>
  <r>
    <x v="5"/>
    <x v="1"/>
    <x v="2"/>
    <x v="4"/>
    <x v="5"/>
    <x v="1"/>
    <x v="0"/>
    <x v="2"/>
    <x v="4"/>
    <x v="0"/>
    <x v="3"/>
    <x v="14"/>
    <x v="0"/>
    <x v="0"/>
    <x v="26"/>
    <x v="36"/>
    <x v="32"/>
  </r>
  <r>
    <x v="5"/>
    <x v="1"/>
    <x v="2"/>
    <x v="4"/>
    <x v="6"/>
    <x v="5"/>
    <x v="1"/>
    <x v="1"/>
    <x v="0"/>
    <x v="2"/>
    <x v="2"/>
    <x v="2"/>
    <x v="3"/>
    <x v="1"/>
    <x v="1"/>
    <x v="3"/>
    <x v="1"/>
  </r>
  <r>
    <x v="5"/>
    <x v="1"/>
    <x v="2"/>
    <x v="13"/>
    <x v="4"/>
    <x v="5"/>
    <x v="1"/>
    <x v="1"/>
    <x v="0"/>
    <x v="2"/>
    <x v="2"/>
    <x v="2"/>
    <x v="3"/>
    <x v="1"/>
    <x v="1"/>
    <x v="3"/>
    <x v="1"/>
  </r>
  <r>
    <x v="5"/>
    <x v="1"/>
    <x v="2"/>
    <x v="13"/>
    <x v="5"/>
    <x v="4"/>
    <x v="2"/>
    <x v="4"/>
    <x v="2"/>
    <x v="1"/>
    <x v="4"/>
    <x v="3"/>
    <x v="1"/>
    <x v="3"/>
    <x v="0"/>
    <x v="2"/>
    <x v="0"/>
  </r>
  <r>
    <x v="5"/>
    <x v="1"/>
    <x v="2"/>
    <x v="13"/>
    <x v="6"/>
    <x v="5"/>
    <x v="1"/>
    <x v="1"/>
    <x v="0"/>
    <x v="2"/>
    <x v="2"/>
    <x v="2"/>
    <x v="3"/>
    <x v="1"/>
    <x v="1"/>
    <x v="3"/>
    <x v="1"/>
  </r>
  <r>
    <x v="5"/>
    <x v="1"/>
    <x v="2"/>
    <x v="0"/>
    <x v="29"/>
    <x v="4"/>
    <x v="2"/>
    <x v="4"/>
    <x v="2"/>
    <x v="1"/>
    <x v="4"/>
    <x v="3"/>
    <x v="1"/>
    <x v="3"/>
    <x v="0"/>
    <x v="2"/>
    <x v="3"/>
  </r>
  <r>
    <x v="5"/>
    <x v="1"/>
    <x v="2"/>
    <x v="0"/>
    <x v="30"/>
    <x v="4"/>
    <x v="2"/>
    <x v="4"/>
    <x v="2"/>
    <x v="3"/>
    <x v="1"/>
    <x v="1"/>
    <x v="2"/>
    <x v="2"/>
    <x v="2"/>
    <x v="1"/>
    <x v="3"/>
  </r>
  <r>
    <x v="5"/>
    <x v="1"/>
    <x v="2"/>
    <x v="0"/>
    <x v="31"/>
    <x v="5"/>
    <x v="1"/>
    <x v="1"/>
    <x v="0"/>
    <x v="2"/>
    <x v="2"/>
    <x v="1"/>
    <x v="2"/>
    <x v="2"/>
    <x v="2"/>
    <x v="1"/>
    <x v="2"/>
  </r>
  <r>
    <x v="5"/>
    <x v="1"/>
    <x v="2"/>
    <x v="14"/>
    <x v="7"/>
    <x v="4"/>
    <x v="2"/>
    <x v="4"/>
    <x v="2"/>
    <x v="1"/>
    <x v="4"/>
    <x v="3"/>
    <x v="1"/>
    <x v="3"/>
    <x v="0"/>
    <x v="2"/>
    <x v="0"/>
  </r>
  <r>
    <x v="5"/>
    <x v="1"/>
    <x v="2"/>
    <x v="14"/>
    <x v="8"/>
    <x v="5"/>
    <x v="1"/>
    <x v="1"/>
    <x v="0"/>
    <x v="2"/>
    <x v="2"/>
    <x v="2"/>
    <x v="3"/>
    <x v="1"/>
    <x v="1"/>
    <x v="3"/>
    <x v="1"/>
  </r>
  <r>
    <x v="5"/>
    <x v="1"/>
    <x v="2"/>
    <x v="14"/>
    <x v="9"/>
    <x v="5"/>
    <x v="1"/>
    <x v="1"/>
    <x v="0"/>
    <x v="2"/>
    <x v="2"/>
    <x v="2"/>
    <x v="3"/>
    <x v="1"/>
    <x v="1"/>
    <x v="3"/>
    <x v="0"/>
  </r>
  <r>
    <x v="5"/>
    <x v="1"/>
    <x v="2"/>
    <x v="14"/>
    <x v="10"/>
    <x v="5"/>
    <x v="1"/>
    <x v="1"/>
    <x v="0"/>
    <x v="2"/>
    <x v="2"/>
    <x v="2"/>
    <x v="3"/>
    <x v="1"/>
    <x v="1"/>
    <x v="3"/>
    <x v="1"/>
  </r>
  <r>
    <x v="5"/>
    <x v="1"/>
    <x v="2"/>
    <x v="14"/>
    <x v="11"/>
    <x v="5"/>
    <x v="1"/>
    <x v="1"/>
    <x v="0"/>
    <x v="2"/>
    <x v="2"/>
    <x v="2"/>
    <x v="3"/>
    <x v="1"/>
    <x v="1"/>
    <x v="3"/>
    <x v="1"/>
  </r>
  <r>
    <x v="5"/>
    <x v="1"/>
    <x v="2"/>
    <x v="15"/>
    <x v="7"/>
    <x v="4"/>
    <x v="2"/>
    <x v="4"/>
    <x v="2"/>
    <x v="3"/>
    <x v="1"/>
    <x v="1"/>
    <x v="2"/>
    <x v="2"/>
    <x v="2"/>
    <x v="1"/>
    <x v="3"/>
  </r>
  <r>
    <x v="5"/>
    <x v="1"/>
    <x v="2"/>
    <x v="15"/>
    <x v="8"/>
    <x v="5"/>
    <x v="1"/>
    <x v="1"/>
    <x v="0"/>
    <x v="2"/>
    <x v="2"/>
    <x v="2"/>
    <x v="3"/>
    <x v="1"/>
    <x v="1"/>
    <x v="3"/>
    <x v="1"/>
  </r>
  <r>
    <x v="5"/>
    <x v="1"/>
    <x v="2"/>
    <x v="15"/>
    <x v="9"/>
    <x v="5"/>
    <x v="1"/>
    <x v="1"/>
    <x v="0"/>
    <x v="2"/>
    <x v="2"/>
    <x v="2"/>
    <x v="3"/>
    <x v="1"/>
    <x v="1"/>
    <x v="3"/>
    <x v="1"/>
  </r>
  <r>
    <x v="5"/>
    <x v="1"/>
    <x v="2"/>
    <x v="15"/>
    <x v="10"/>
    <x v="5"/>
    <x v="1"/>
    <x v="1"/>
    <x v="0"/>
    <x v="2"/>
    <x v="2"/>
    <x v="2"/>
    <x v="3"/>
    <x v="1"/>
    <x v="1"/>
    <x v="3"/>
    <x v="1"/>
  </r>
  <r>
    <x v="5"/>
    <x v="1"/>
    <x v="2"/>
    <x v="15"/>
    <x v="11"/>
    <x v="5"/>
    <x v="1"/>
    <x v="1"/>
    <x v="0"/>
    <x v="2"/>
    <x v="2"/>
    <x v="2"/>
    <x v="3"/>
    <x v="1"/>
    <x v="1"/>
    <x v="3"/>
    <x v="1"/>
  </r>
  <r>
    <x v="5"/>
    <x v="1"/>
    <x v="2"/>
    <x v="16"/>
    <x v="7"/>
    <x v="5"/>
    <x v="1"/>
    <x v="1"/>
    <x v="0"/>
    <x v="2"/>
    <x v="2"/>
    <x v="2"/>
    <x v="3"/>
    <x v="1"/>
    <x v="1"/>
    <x v="3"/>
    <x v="1"/>
  </r>
  <r>
    <x v="5"/>
    <x v="1"/>
    <x v="2"/>
    <x v="16"/>
    <x v="8"/>
    <x v="5"/>
    <x v="1"/>
    <x v="1"/>
    <x v="0"/>
    <x v="2"/>
    <x v="2"/>
    <x v="2"/>
    <x v="3"/>
    <x v="1"/>
    <x v="1"/>
    <x v="3"/>
    <x v="1"/>
  </r>
  <r>
    <x v="5"/>
    <x v="1"/>
    <x v="2"/>
    <x v="16"/>
    <x v="9"/>
    <x v="5"/>
    <x v="1"/>
    <x v="1"/>
    <x v="0"/>
    <x v="2"/>
    <x v="2"/>
    <x v="1"/>
    <x v="2"/>
    <x v="2"/>
    <x v="2"/>
    <x v="1"/>
    <x v="2"/>
  </r>
  <r>
    <x v="5"/>
    <x v="1"/>
    <x v="2"/>
    <x v="16"/>
    <x v="10"/>
    <x v="5"/>
    <x v="1"/>
    <x v="1"/>
    <x v="0"/>
    <x v="2"/>
    <x v="2"/>
    <x v="2"/>
    <x v="3"/>
    <x v="1"/>
    <x v="1"/>
    <x v="3"/>
    <x v="1"/>
  </r>
  <r>
    <x v="5"/>
    <x v="1"/>
    <x v="2"/>
    <x v="16"/>
    <x v="11"/>
    <x v="5"/>
    <x v="1"/>
    <x v="1"/>
    <x v="0"/>
    <x v="2"/>
    <x v="2"/>
    <x v="2"/>
    <x v="3"/>
    <x v="1"/>
    <x v="1"/>
    <x v="3"/>
    <x v="1"/>
  </r>
  <r>
    <x v="5"/>
    <x v="1"/>
    <x v="3"/>
    <x v="0"/>
    <x v="32"/>
    <x v="61"/>
    <x v="100"/>
    <x v="168"/>
    <x v="40"/>
    <x v="1"/>
    <x v="4"/>
    <x v="3"/>
    <x v="1"/>
    <x v="3"/>
    <x v="0"/>
    <x v="2"/>
    <x v="0"/>
  </r>
  <r>
    <x v="5"/>
    <x v="1"/>
    <x v="3"/>
    <x v="3"/>
    <x v="1"/>
    <x v="24"/>
    <x v="27"/>
    <x v="27"/>
    <x v="33"/>
    <x v="31"/>
    <x v="35"/>
    <x v="34"/>
    <x v="40"/>
    <x v="38"/>
    <x v="35"/>
    <x v="40"/>
    <x v="38"/>
  </r>
  <r>
    <x v="5"/>
    <x v="1"/>
    <x v="3"/>
    <x v="3"/>
    <x v="2"/>
    <x v="24"/>
    <x v="27"/>
    <x v="27"/>
    <x v="33"/>
    <x v="31"/>
    <x v="35"/>
    <x v="34"/>
    <x v="40"/>
    <x v="38"/>
    <x v="35"/>
    <x v="40"/>
    <x v="38"/>
  </r>
  <r>
    <x v="5"/>
    <x v="1"/>
    <x v="3"/>
    <x v="3"/>
    <x v="3"/>
    <x v="24"/>
    <x v="27"/>
    <x v="27"/>
    <x v="33"/>
    <x v="31"/>
    <x v="35"/>
    <x v="34"/>
    <x v="40"/>
    <x v="38"/>
    <x v="35"/>
    <x v="40"/>
    <x v="38"/>
  </r>
  <r>
    <x v="5"/>
    <x v="1"/>
    <x v="3"/>
    <x v="4"/>
    <x v="4"/>
    <x v="24"/>
    <x v="27"/>
    <x v="27"/>
    <x v="33"/>
    <x v="31"/>
    <x v="35"/>
    <x v="34"/>
    <x v="40"/>
    <x v="38"/>
    <x v="35"/>
    <x v="40"/>
    <x v="38"/>
  </r>
  <r>
    <x v="5"/>
    <x v="1"/>
    <x v="3"/>
    <x v="4"/>
    <x v="5"/>
    <x v="61"/>
    <x v="100"/>
    <x v="168"/>
    <x v="40"/>
    <x v="1"/>
    <x v="4"/>
    <x v="3"/>
    <x v="1"/>
    <x v="3"/>
    <x v="0"/>
    <x v="2"/>
    <x v="0"/>
  </r>
  <r>
    <x v="5"/>
    <x v="1"/>
    <x v="3"/>
    <x v="4"/>
    <x v="6"/>
    <x v="24"/>
    <x v="27"/>
    <x v="27"/>
    <x v="33"/>
    <x v="31"/>
    <x v="35"/>
    <x v="34"/>
    <x v="40"/>
    <x v="38"/>
    <x v="35"/>
    <x v="40"/>
    <x v="38"/>
  </r>
  <r>
    <x v="5"/>
    <x v="1"/>
    <x v="3"/>
    <x v="2"/>
    <x v="7"/>
    <x v="61"/>
    <x v="100"/>
    <x v="168"/>
    <x v="40"/>
    <x v="1"/>
    <x v="4"/>
    <x v="3"/>
    <x v="1"/>
    <x v="3"/>
    <x v="0"/>
    <x v="2"/>
    <x v="0"/>
  </r>
  <r>
    <x v="5"/>
    <x v="1"/>
    <x v="3"/>
    <x v="2"/>
    <x v="8"/>
    <x v="24"/>
    <x v="27"/>
    <x v="27"/>
    <x v="33"/>
    <x v="31"/>
    <x v="35"/>
    <x v="34"/>
    <x v="40"/>
    <x v="38"/>
    <x v="35"/>
    <x v="40"/>
    <x v="38"/>
  </r>
  <r>
    <x v="5"/>
    <x v="1"/>
    <x v="3"/>
    <x v="2"/>
    <x v="9"/>
    <x v="24"/>
    <x v="27"/>
    <x v="27"/>
    <x v="33"/>
    <x v="31"/>
    <x v="35"/>
    <x v="3"/>
    <x v="1"/>
    <x v="3"/>
    <x v="0"/>
    <x v="2"/>
    <x v="0"/>
  </r>
  <r>
    <x v="5"/>
    <x v="1"/>
    <x v="3"/>
    <x v="2"/>
    <x v="10"/>
    <x v="24"/>
    <x v="27"/>
    <x v="27"/>
    <x v="33"/>
    <x v="31"/>
    <x v="35"/>
    <x v="34"/>
    <x v="40"/>
    <x v="38"/>
    <x v="35"/>
    <x v="40"/>
    <x v="38"/>
  </r>
  <r>
    <x v="5"/>
    <x v="1"/>
    <x v="3"/>
    <x v="2"/>
    <x v="11"/>
    <x v="24"/>
    <x v="27"/>
    <x v="27"/>
    <x v="33"/>
    <x v="31"/>
    <x v="35"/>
    <x v="34"/>
    <x v="40"/>
    <x v="38"/>
    <x v="35"/>
    <x v="40"/>
    <x v="38"/>
  </r>
  <r>
    <x v="5"/>
    <x v="1"/>
    <x v="3"/>
    <x v="0"/>
    <x v="33"/>
    <x v="24"/>
    <x v="27"/>
    <x v="27"/>
    <x v="33"/>
    <x v="31"/>
    <x v="35"/>
    <x v="34"/>
    <x v="40"/>
    <x v="38"/>
    <x v="35"/>
    <x v="40"/>
    <x v="38"/>
  </r>
  <r>
    <x v="5"/>
    <x v="1"/>
    <x v="3"/>
    <x v="3"/>
    <x v="1"/>
    <x v="24"/>
    <x v="27"/>
    <x v="27"/>
    <x v="33"/>
    <x v="31"/>
    <x v="35"/>
    <x v="34"/>
    <x v="40"/>
    <x v="38"/>
    <x v="35"/>
    <x v="40"/>
    <x v="38"/>
  </r>
  <r>
    <x v="5"/>
    <x v="1"/>
    <x v="3"/>
    <x v="3"/>
    <x v="2"/>
    <x v="24"/>
    <x v="27"/>
    <x v="27"/>
    <x v="33"/>
    <x v="31"/>
    <x v="35"/>
    <x v="34"/>
    <x v="40"/>
    <x v="38"/>
    <x v="35"/>
    <x v="40"/>
    <x v="38"/>
  </r>
  <r>
    <x v="5"/>
    <x v="1"/>
    <x v="3"/>
    <x v="3"/>
    <x v="3"/>
    <x v="24"/>
    <x v="27"/>
    <x v="27"/>
    <x v="33"/>
    <x v="31"/>
    <x v="35"/>
    <x v="34"/>
    <x v="40"/>
    <x v="38"/>
    <x v="35"/>
    <x v="40"/>
    <x v="38"/>
  </r>
  <r>
    <x v="5"/>
    <x v="1"/>
    <x v="3"/>
    <x v="0"/>
    <x v="34"/>
    <x v="61"/>
    <x v="100"/>
    <x v="168"/>
    <x v="40"/>
    <x v="1"/>
    <x v="4"/>
    <x v="3"/>
    <x v="1"/>
    <x v="3"/>
    <x v="0"/>
    <x v="2"/>
    <x v="0"/>
  </r>
  <r>
    <x v="5"/>
    <x v="1"/>
    <x v="3"/>
    <x v="4"/>
    <x v="4"/>
    <x v="24"/>
    <x v="27"/>
    <x v="27"/>
    <x v="33"/>
    <x v="31"/>
    <x v="35"/>
    <x v="34"/>
    <x v="40"/>
    <x v="38"/>
    <x v="35"/>
    <x v="40"/>
    <x v="38"/>
  </r>
  <r>
    <x v="5"/>
    <x v="1"/>
    <x v="3"/>
    <x v="4"/>
    <x v="5"/>
    <x v="61"/>
    <x v="100"/>
    <x v="168"/>
    <x v="40"/>
    <x v="1"/>
    <x v="4"/>
    <x v="3"/>
    <x v="1"/>
    <x v="3"/>
    <x v="0"/>
    <x v="2"/>
    <x v="0"/>
  </r>
  <r>
    <x v="5"/>
    <x v="1"/>
    <x v="3"/>
    <x v="4"/>
    <x v="6"/>
    <x v="24"/>
    <x v="27"/>
    <x v="27"/>
    <x v="33"/>
    <x v="31"/>
    <x v="35"/>
    <x v="34"/>
    <x v="40"/>
    <x v="38"/>
    <x v="35"/>
    <x v="40"/>
    <x v="38"/>
  </r>
  <r>
    <x v="5"/>
    <x v="1"/>
    <x v="4"/>
    <x v="0"/>
    <x v="14"/>
    <x v="122"/>
    <x v="1"/>
    <x v="1"/>
    <x v="0"/>
    <x v="297"/>
    <x v="2"/>
    <x v="304"/>
    <x v="3"/>
    <x v="1"/>
    <x v="1"/>
    <x v="3"/>
    <x v="364"/>
  </r>
  <r>
    <x v="5"/>
    <x v="1"/>
    <x v="4"/>
    <x v="1"/>
    <x v="1"/>
    <x v="5"/>
    <x v="1"/>
    <x v="1"/>
    <x v="0"/>
    <x v="2"/>
    <x v="2"/>
    <x v="2"/>
    <x v="3"/>
    <x v="1"/>
    <x v="1"/>
    <x v="3"/>
    <x v="1"/>
  </r>
  <r>
    <x v="5"/>
    <x v="1"/>
    <x v="4"/>
    <x v="1"/>
    <x v="2"/>
    <x v="5"/>
    <x v="1"/>
    <x v="1"/>
    <x v="0"/>
    <x v="2"/>
    <x v="2"/>
    <x v="2"/>
    <x v="3"/>
    <x v="1"/>
    <x v="1"/>
    <x v="3"/>
    <x v="1"/>
  </r>
  <r>
    <x v="5"/>
    <x v="1"/>
    <x v="4"/>
    <x v="1"/>
    <x v="3"/>
    <x v="5"/>
    <x v="1"/>
    <x v="1"/>
    <x v="0"/>
    <x v="2"/>
    <x v="2"/>
    <x v="2"/>
    <x v="3"/>
    <x v="1"/>
    <x v="1"/>
    <x v="3"/>
    <x v="1"/>
  </r>
  <r>
    <x v="5"/>
    <x v="1"/>
    <x v="4"/>
    <x v="1"/>
    <x v="4"/>
    <x v="5"/>
    <x v="1"/>
    <x v="1"/>
    <x v="0"/>
    <x v="2"/>
    <x v="2"/>
    <x v="2"/>
    <x v="3"/>
    <x v="1"/>
    <x v="1"/>
    <x v="3"/>
    <x v="1"/>
  </r>
  <r>
    <x v="5"/>
    <x v="1"/>
    <x v="4"/>
    <x v="1"/>
    <x v="5"/>
    <x v="122"/>
    <x v="1"/>
    <x v="1"/>
    <x v="0"/>
    <x v="297"/>
    <x v="2"/>
    <x v="304"/>
    <x v="3"/>
    <x v="1"/>
    <x v="1"/>
    <x v="3"/>
    <x v="364"/>
  </r>
  <r>
    <x v="5"/>
    <x v="1"/>
    <x v="4"/>
    <x v="1"/>
    <x v="6"/>
    <x v="5"/>
    <x v="1"/>
    <x v="1"/>
    <x v="0"/>
    <x v="2"/>
    <x v="2"/>
    <x v="2"/>
    <x v="3"/>
    <x v="1"/>
    <x v="1"/>
    <x v="3"/>
    <x v="1"/>
  </r>
  <r>
    <x v="5"/>
    <x v="1"/>
    <x v="4"/>
    <x v="2"/>
    <x v="7"/>
    <x v="122"/>
    <x v="1"/>
    <x v="1"/>
    <x v="0"/>
    <x v="297"/>
    <x v="2"/>
    <x v="2"/>
    <x v="3"/>
    <x v="1"/>
    <x v="1"/>
    <x v="3"/>
    <x v="1"/>
  </r>
  <r>
    <x v="5"/>
    <x v="1"/>
    <x v="4"/>
    <x v="2"/>
    <x v="8"/>
    <x v="5"/>
    <x v="1"/>
    <x v="1"/>
    <x v="0"/>
    <x v="2"/>
    <x v="2"/>
    <x v="2"/>
    <x v="3"/>
    <x v="1"/>
    <x v="1"/>
    <x v="3"/>
    <x v="1"/>
  </r>
  <r>
    <x v="5"/>
    <x v="1"/>
    <x v="4"/>
    <x v="2"/>
    <x v="9"/>
    <x v="5"/>
    <x v="1"/>
    <x v="1"/>
    <x v="0"/>
    <x v="2"/>
    <x v="2"/>
    <x v="304"/>
    <x v="3"/>
    <x v="1"/>
    <x v="1"/>
    <x v="3"/>
    <x v="364"/>
  </r>
  <r>
    <x v="5"/>
    <x v="1"/>
    <x v="4"/>
    <x v="2"/>
    <x v="10"/>
    <x v="5"/>
    <x v="1"/>
    <x v="1"/>
    <x v="0"/>
    <x v="2"/>
    <x v="2"/>
    <x v="2"/>
    <x v="3"/>
    <x v="1"/>
    <x v="1"/>
    <x v="3"/>
    <x v="1"/>
  </r>
  <r>
    <x v="5"/>
    <x v="1"/>
    <x v="4"/>
    <x v="2"/>
    <x v="11"/>
    <x v="5"/>
    <x v="1"/>
    <x v="1"/>
    <x v="0"/>
    <x v="2"/>
    <x v="2"/>
    <x v="2"/>
    <x v="3"/>
    <x v="1"/>
    <x v="1"/>
    <x v="3"/>
    <x v="1"/>
  </r>
  <r>
    <x v="5"/>
    <x v="1"/>
    <x v="5"/>
    <x v="0"/>
    <x v="14"/>
    <x v="123"/>
    <x v="1"/>
    <x v="1"/>
    <x v="0"/>
    <x v="298"/>
    <x v="2"/>
    <x v="305"/>
    <x v="3"/>
    <x v="1"/>
    <x v="1"/>
    <x v="3"/>
    <x v="365"/>
  </r>
  <r>
    <x v="5"/>
    <x v="1"/>
    <x v="5"/>
    <x v="1"/>
    <x v="1"/>
    <x v="5"/>
    <x v="1"/>
    <x v="1"/>
    <x v="0"/>
    <x v="2"/>
    <x v="2"/>
    <x v="2"/>
    <x v="3"/>
    <x v="1"/>
    <x v="1"/>
    <x v="3"/>
    <x v="1"/>
  </r>
  <r>
    <x v="5"/>
    <x v="1"/>
    <x v="5"/>
    <x v="1"/>
    <x v="2"/>
    <x v="5"/>
    <x v="1"/>
    <x v="1"/>
    <x v="0"/>
    <x v="2"/>
    <x v="2"/>
    <x v="2"/>
    <x v="3"/>
    <x v="1"/>
    <x v="1"/>
    <x v="3"/>
    <x v="1"/>
  </r>
  <r>
    <x v="5"/>
    <x v="1"/>
    <x v="5"/>
    <x v="1"/>
    <x v="3"/>
    <x v="5"/>
    <x v="1"/>
    <x v="1"/>
    <x v="0"/>
    <x v="2"/>
    <x v="2"/>
    <x v="2"/>
    <x v="3"/>
    <x v="1"/>
    <x v="1"/>
    <x v="3"/>
    <x v="1"/>
  </r>
  <r>
    <x v="5"/>
    <x v="1"/>
    <x v="5"/>
    <x v="1"/>
    <x v="4"/>
    <x v="5"/>
    <x v="1"/>
    <x v="1"/>
    <x v="0"/>
    <x v="2"/>
    <x v="2"/>
    <x v="2"/>
    <x v="3"/>
    <x v="1"/>
    <x v="1"/>
    <x v="3"/>
    <x v="1"/>
  </r>
  <r>
    <x v="5"/>
    <x v="1"/>
    <x v="5"/>
    <x v="1"/>
    <x v="5"/>
    <x v="123"/>
    <x v="1"/>
    <x v="1"/>
    <x v="0"/>
    <x v="298"/>
    <x v="2"/>
    <x v="305"/>
    <x v="3"/>
    <x v="1"/>
    <x v="1"/>
    <x v="3"/>
    <x v="365"/>
  </r>
  <r>
    <x v="5"/>
    <x v="1"/>
    <x v="5"/>
    <x v="1"/>
    <x v="6"/>
    <x v="5"/>
    <x v="1"/>
    <x v="1"/>
    <x v="0"/>
    <x v="2"/>
    <x v="2"/>
    <x v="2"/>
    <x v="3"/>
    <x v="1"/>
    <x v="1"/>
    <x v="3"/>
    <x v="1"/>
  </r>
  <r>
    <x v="5"/>
    <x v="1"/>
    <x v="5"/>
    <x v="2"/>
    <x v="7"/>
    <x v="123"/>
    <x v="1"/>
    <x v="1"/>
    <x v="0"/>
    <x v="298"/>
    <x v="2"/>
    <x v="2"/>
    <x v="3"/>
    <x v="1"/>
    <x v="1"/>
    <x v="3"/>
    <x v="1"/>
  </r>
  <r>
    <x v="5"/>
    <x v="1"/>
    <x v="5"/>
    <x v="2"/>
    <x v="8"/>
    <x v="5"/>
    <x v="1"/>
    <x v="1"/>
    <x v="0"/>
    <x v="2"/>
    <x v="2"/>
    <x v="2"/>
    <x v="3"/>
    <x v="1"/>
    <x v="1"/>
    <x v="3"/>
    <x v="1"/>
  </r>
  <r>
    <x v="5"/>
    <x v="1"/>
    <x v="5"/>
    <x v="2"/>
    <x v="9"/>
    <x v="5"/>
    <x v="1"/>
    <x v="1"/>
    <x v="0"/>
    <x v="2"/>
    <x v="2"/>
    <x v="305"/>
    <x v="3"/>
    <x v="1"/>
    <x v="1"/>
    <x v="3"/>
    <x v="365"/>
  </r>
  <r>
    <x v="5"/>
    <x v="1"/>
    <x v="5"/>
    <x v="2"/>
    <x v="10"/>
    <x v="5"/>
    <x v="1"/>
    <x v="1"/>
    <x v="0"/>
    <x v="2"/>
    <x v="2"/>
    <x v="2"/>
    <x v="3"/>
    <x v="1"/>
    <x v="1"/>
    <x v="3"/>
    <x v="1"/>
  </r>
  <r>
    <x v="5"/>
    <x v="1"/>
    <x v="5"/>
    <x v="2"/>
    <x v="11"/>
    <x v="5"/>
    <x v="1"/>
    <x v="1"/>
    <x v="0"/>
    <x v="2"/>
    <x v="2"/>
    <x v="2"/>
    <x v="3"/>
    <x v="1"/>
    <x v="1"/>
    <x v="3"/>
    <x v="1"/>
  </r>
  <r>
    <x v="5"/>
    <x v="1"/>
    <x v="4"/>
    <x v="0"/>
    <x v="35"/>
    <x v="124"/>
    <x v="1"/>
    <x v="1"/>
    <x v="0"/>
    <x v="2"/>
    <x v="2"/>
    <x v="2"/>
    <x v="3"/>
    <x v="1"/>
    <x v="1"/>
    <x v="3"/>
    <x v="366"/>
  </r>
  <r>
    <x v="5"/>
    <x v="1"/>
    <x v="4"/>
    <x v="0"/>
    <x v="36"/>
    <x v="125"/>
    <x v="1"/>
    <x v="1"/>
    <x v="0"/>
    <x v="299"/>
    <x v="2"/>
    <x v="2"/>
    <x v="3"/>
    <x v="1"/>
    <x v="1"/>
    <x v="3"/>
    <x v="1"/>
  </r>
  <r>
    <x v="5"/>
    <x v="1"/>
    <x v="4"/>
    <x v="0"/>
    <x v="37"/>
    <x v="5"/>
    <x v="1"/>
    <x v="1"/>
    <x v="0"/>
    <x v="2"/>
    <x v="2"/>
    <x v="2"/>
    <x v="3"/>
    <x v="1"/>
    <x v="1"/>
    <x v="3"/>
    <x v="1"/>
  </r>
  <r>
    <x v="5"/>
    <x v="1"/>
    <x v="4"/>
    <x v="5"/>
    <x v="7"/>
    <x v="124"/>
    <x v="1"/>
    <x v="1"/>
    <x v="0"/>
    <x v="2"/>
    <x v="2"/>
    <x v="2"/>
    <x v="3"/>
    <x v="1"/>
    <x v="1"/>
    <x v="3"/>
    <x v="1"/>
  </r>
  <r>
    <x v="5"/>
    <x v="1"/>
    <x v="4"/>
    <x v="5"/>
    <x v="8"/>
    <x v="5"/>
    <x v="1"/>
    <x v="1"/>
    <x v="0"/>
    <x v="2"/>
    <x v="2"/>
    <x v="2"/>
    <x v="3"/>
    <x v="1"/>
    <x v="1"/>
    <x v="3"/>
    <x v="1"/>
  </r>
  <r>
    <x v="5"/>
    <x v="1"/>
    <x v="4"/>
    <x v="5"/>
    <x v="9"/>
    <x v="5"/>
    <x v="1"/>
    <x v="1"/>
    <x v="0"/>
    <x v="2"/>
    <x v="2"/>
    <x v="2"/>
    <x v="3"/>
    <x v="1"/>
    <x v="1"/>
    <x v="3"/>
    <x v="366"/>
  </r>
  <r>
    <x v="5"/>
    <x v="1"/>
    <x v="4"/>
    <x v="5"/>
    <x v="10"/>
    <x v="5"/>
    <x v="1"/>
    <x v="1"/>
    <x v="0"/>
    <x v="2"/>
    <x v="2"/>
    <x v="2"/>
    <x v="3"/>
    <x v="1"/>
    <x v="1"/>
    <x v="3"/>
    <x v="1"/>
  </r>
  <r>
    <x v="5"/>
    <x v="1"/>
    <x v="4"/>
    <x v="5"/>
    <x v="11"/>
    <x v="5"/>
    <x v="1"/>
    <x v="1"/>
    <x v="0"/>
    <x v="2"/>
    <x v="2"/>
    <x v="2"/>
    <x v="3"/>
    <x v="1"/>
    <x v="1"/>
    <x v="3"/>
    <x v="1"/>
  </r>
  <r>
    <x v="5"/>
    <x v="1"/>
    <x v="4"/>
    <x v="6"/>
    <x v="7"/>
    <x v="125"/>
    <x v="1"/>
    <x v="1"/>
    <x v="0"/>
    <x v="299"/>
    <x v="2"/>
    <x v="2"/>
    <x v="3"/>
    <x v="1"/>
    <x v="1"/>
    <x v="3"/>
    <x v="1"/>
  </r>
  <r>
    <x v="5"/>
    <x v="1"/>
    <x v="4"/>
    <x v="6"/>
    <x v="8"/>
    <x v="5"/>
    <x v="1"/>
    <x v="1"/>
    <x v="0"/>
    <x v="2"/>
    <x v="2"/>
    <x v="2"/>
    <x v="3"/>
    <x v="1"/>
    <x v="1"/>
    <x v="3"/>
    <x v="1"/>
  </r>
  <r>
    <x v="5"/>
    <x v="1"/>
    <x v="4"/>
    <x v="6"/>
    <x v="9"/>
    <x v="5"/>
    <x v="1"/>
    <x v="1"/>
    <x v="0"/>
    <x v="2"/>
    <x v="2"/>
    <x v="2"/>
    <x v="3"/>
    <x v="1"/>
    <x v="1"/>
    <x v="3"/>
    <x v="1"/>
  </r>
  <r>
    <x v="5"/>
    <x v="1"/>
    <x v="4"/>
    <x v="6"/>
    <x v="10"/>
    <x v="5"/>
    <x v="1"/>
    <x v="1"/>
    <x v="0"/>
    <x v="2"/>
    <x v="2"/>
    <x v="2"/>
    <x v="3"/>
    <x v="1"/>
    <x v="1"/>
    <x v="3"/>
    <x v="1"/>
  </r>
  <r>
    <x v="5"/>
    <x v="1"/>
    <x v="4"/>
    <x v="6"/>
    <x v="11"/>
    <x v="5"/>
    <x v="1"/>
    <x v="1"/>
    <x v="0"/>
    <x v="2"/>
    <x v="2"/>
    <x v="2"/>
    <x v="3"/>
    <x v="1"/>
    <x v="1"/>
    <x v="3"/>
    <x v="1"/>
  </r>
  <r>
    <x v="5"/>
    <x v="1"/>
    <x v="5"/>
    <x v="0"/>
    <x v="35"/>
    <x v="124"/>
    <x v="1"/>
    <x v="1"/>
    <x v="0"/>
    <x v="2"/>
    <x v="2"/>
    <x v="2"/>
    <x v="3"/>
    <x v="1"/>
    <x v="1"/>
    <x v="3"/>
    <x v="366"/>
  </r>
  <r>
    <x v="5"/>
    <x v="1"/>
    <x v="5"/>
    <x v="0"/>
    <x v="36"/>
    <x v="125"/>
    <x v="1"/>
    <x v="1"/>
    <x v="0"/>
    <x v="299"/>
    <x v="2"/>
    <x v="2"/>
    <x v="3"/>
    <x v="1"/>
    <x v="1"/>
    <x v="3"/>
    <x v="1"/>
  </r>
  <r>
    <x v="5"/>
    <x v="1"/>
    <x v="5"/>
    <x v="0"/>
    <x v="37"/>
    <x v="5"/>
    <x v="1"/>
    <x v="1"/>
    <x v="0"/>
    <x v="2"/>
    <x v="2"/>
    <x v="2"/>
    <x v="3"/>
    <x v="1"/>
    <x v="1"/>
    <x v="3"/>
    <x v="1"/>
  </r>
  <r>
    <x v="5"/>
    <x v="1"/>
    <x v="5"/>
    <x v="5"/>
    <x v="7"/>
    <x v="124"/>
    <x v="1"/>
    <x v="1"/>
    <x v="0"/>
    <x v="2"/>
    <x v="2"/>
    <x v="2"/>
    <x v="3"/>
    <x v="1"/>
    <x v="1"/>
    <x v="3"/>
    <x v="1"/>
  </r>
  <r>
    <x v="5"/>
    <x v="1"/>
    <x v="5"/>
    <x v="5"/>
    <x v="8"/>
    <x v="5"/>
    <x v="1"/>
    <x v="1"/>
    <x v="0"/>
    <x v="2"/>
    <x v="2"/>
    <x v="2"/>
    <x v="3"/>
    <x v="1"/>
    <x v="1"/>
    <x v="3"/>
    <x v="1"/>
  </r>
  <r>
    <x v="5"/>
    <x v="1"/>
    <x v="5"/>
    <x v="5"/>
    <x v="9"/>
    <x v="5"/>
    <x v="1"/>
    <x v="1"/>
    <x v="0"/>
    <x v="2"/>
    <x v="2"/>
    <x v="2"/>
    <x v="3"/>
    <x v="1"/>
    <x v="1"/>
    <x v="3"/>
    <x v="366"/>
  </r>
  <r>
    <x v="5"/>
    <x v="1"/>
    <x v="5"/>
    <x v="5"/>
    <x v="10"/>
    <x v="5"/>
    <x v="1"/>
    <x v="1"/>
    <x v="0"/>
    <x v="2"/>
    <x v="2"/>
    <x v="2"/>
    <x v="3"/>
    <x v="1"/>
    <x v="1"/>
    <x v="3"/>
    <x v="1"/>
  </r>
  <r>
    <x v="5"/>
    <x v="1"/>
    <x v="5"/>
    <x v="5"/>
    <x v="11"/>
    <x v="5"/>
    <x v="1"/>
    <x v="1"/>
    <x v="0"/>
    <x v="2"/>
    <x v="2"/>
    <x v="2"/>
    <x v="3"/>
    <x v="1"/>
    <x v="1"/>
    <x v="3"/>
    <x v="1"/>
  </r>
  <r>
    <x v="5"/>
    <x v="1"/>
    <x v="5"/>
    <x v="6"/>
    <x v="7"/>
    <x v="125"/>
    <x v="1"/>
    <x v="1"/>
    <x v="0"/>
    <x v="299"/>
    <x v="2"/>
    <x v="2"/>
    <x v="3"/>
    <x v="1"/>
    <x v="1"/>
    <x v="3"/>
    <x v="1"/>
  </r>
  <r>
    <x v="5"/>
    <x v="1"/>
    <x v="5"/>
    <x v="6"/>
    <x v="8"/>
    <x v="5"/>
    <x v="1"/>
    <x v="1"/>
    <x v="0"/>
    <x v="2"/>
    <x v="2"/>
    <x v="2"/>
    <x v="3"/>
    <x v="1"/>
    <x v="1"/>
    <x v="3"/>
    <x v="1"/>
  </r>
  <r>
    <x v="5"/>
    <x v="1"/>
    <x v="5"/>
    <x v="6"/>
    <x v="9"/>
    <x v="5"/>
    <x v="1"/>
    <x v="1"/>
    <x v="0"/>
    <x v="2"/>
    <x v="2"/>
    <x v="2"/>
    <x v="3"/>
    <x v="1"/>
    <x v="1"/>
    <x v="3"/>
    <x v="1"/>
  </r>
  <r>
    <x v="5"/>
    <x v="1"/>
    <x v="5"/>
    <x v="6"/>
    <x v="10"/>
    <x v="5"/>
    <x v="1"/>
    <x v="1"/>
    <x v="0"/>
    <x v="2"/>
    <x v="2"/>
    <x v="2"/>
    <x v="3"/>
    <x v="1"/>
    <x v="1"/>
    <x v="3"/>
    <x v="1"/>
  </r>
  <r>
    <x v="5"/>
    <x v="1"/>
    <x v="5"/>
    <x v="6"/>
    <x v="11"/>
    <x v="5"/>
    <x v="1"/>
    <x v="1"/>
    <x v="0"/>
    <x v="2"/>
    <x v="2"/>
    <x v="2"/>
    <x v="3"/>
    <x v="1"/>
    <x v="1"/>
    <x v="3"/>
    <x v="1"/>
  </r>
  <r>
    <x v="5"/>
    <x v="1"/>
    <x v="6"/>
    <x v="0"/>
    <x v="26"/>
    <x v="122"/>
    <x v="184"/>
    <x v="216"/>
    <x v="246"/>
    <x v="300"/>
    <x v="298"/>
    <x v="306"/>
    <x v="326"/>
    <x v="322"/>
    <x v="335"/>
    <x v="356"/>
    <x v="367"/>
  </r>
  <r>
    <x v="5"/>
    <x v="1"/>
    <x v="6"/>
    <x v="1"/>
    <x v="1"/>
    <x v="5"/>
    <x v="1"/>
    <x v="1"/>
    <x v="0"/>
    <x v="2"/>
    <x v="2"/>
    <x v="2"/>
    <x v="3"/>
    <x v="1"/>
    <x v="1"/>
    <x v="3"/>
    <x v="1"/>
  </r>
  <r>
    <x v="5"/>
    <x v="1"/>
    <x v="6"/>
    <x v="1"/>
    <x v="2"/>
    <x v="5"/>
    <x v="1"/>
    <x v="1"/>
    <x v="0"/>
    <x v="2"/>
    <x v="2"/>
    <x v="2"/>
    <x v="3"/>
    <x v="1"/>
    <x v="1"/>
    <x v="3"/>
    <x v="1"/>
  </r>
  <r>
    <x v="5"/>
    <x v="1"/>
    <x v="6"/>
    <x v="1"/>
    <x v="3"/>
    <x v="5"/>
    <x v="1"/>
    <x v="1"/>
    <x v="0"/>
    <x v="2"/>
    <x v="2"/>
    <x v="2"/>
    <x v="3"/>
    <x v="1"/>
    <x v="1"/>
    <x v="3"/>
    <x v="1"/>
  </r>
  <r>
    <x v="5"/>
    <x v="1"/>
    <x v="6"/>
    <x v="1"/>
    <x v="4"/>
    <x v="5"/>
    <x v="1"/>
    <x v="1"/>
    <x v="0"/>
    <x v="2"/>
    <x v="2"/>
    <x v="2"/>
    <x v="3"/>
    <x v="1"/>
    <x v="1"/>
    <x v="3"/>
    <x v="1"/>
  </r>
  <r>
    <x v="5"/>
    <x v="1"/>
    <x v="6"/>
    <x v="1"/>
    <x v="5"/>
    <x v="122"/>
    <x v="184"/>
    <x v="216"/>
    <x v="246"/>
    <x v="300"/>
    <x v="298"/>
    <x v="306"/>
    <x v="326"/>
    <x v="322"/>
    <x v="335"/>
    <x v="356"/>
    <x v="367"/>
  </r>
  <r>
    <x v="5"/>
    <x v="1"/>
    <x v="6"/>
    <x v="1"/>
    <x v="6"/>
    <x v="5"/>
    <x v="1"/>
    <x v="1"/>
    <x v="0"/>
    <x v="2"/>
    <x v="2"/>
    <x v="2"/>
    <x v="3"/>
    <x v="1"/>
    <x v="1"/>
    <x v="3"/>
    <x v="1"/>
  </r>
  <r>
    <x v="5"/>
    <x v="1"/>
    <x v="6"/>
    <x v="11"/>
    <x v="1"/>
    <x v="5"/>
    <x v="1"/>
    <x v="1"/>
    <x v="0"/>
    <x v="2"/>
    <x v="2"/>
    <x v="2"/>
    <x v="3"/>
    <x v="1"/>
    <x v="1"/>
    <x v="3"/>
    <x v="1"/>
  </r>
  <r>
    <x v="5"/>
    <x v="1"/>
    <x v="6"/>
    <x v="11"/>
    <x v="2"/>
    <x v="5"/>
    <x v="1"/>
    <x v="1"/>
    <x v="0"/>
    <x v="2"/>
    <x v="2"/>
    <x v="2"/>
    <x v="3"/>
    <x v="1"/>
    <x v="1"/>
    <x v="3"/>
    <x v="1"/>
  </r>
  <r>
    <x v="5"/>
    <x v="1"/>
    <x v="6"/>
    <x v="11"/>
    <x v="3"/>
    <x v="5"/>
    <x v="1"/>
    <x v="1"/>
    <x v="0"/>
    <x v="2"/>
    <x v="2"/>
    <x v="2"/>
    <x v="3"/>
    <x v="1"/>
    <x v="1"/>
    <x v="3"/>
    <x v="1"/>
  </r>
  <r>
    <x v="5"/>
    <x v="1"/>
    <x v="6"/>
    <x v="11"/>
    <x v="4"/>
    <x v="5"/>
    <x v="1"/>
    <x v="1"/>
    <x v="0"/>
    <x v="2"/>
    <x v="2"/>
    <x v="2"/>
    <x v="3"/>
    <x v="1"/>
    <x v="1"/>
    <x v="3"/>
    <x v="1"/>
  </r>
  <r>
    <x v="5"/>
    <x v="1"/>
    <x v="6"/>
    <x v="11"/>
    <x v="5"/>
    <x v="4"/>
    <x v="2"/>
    <x v="4"/>
    <x v="2"/>
    <x v="1"/>
    <x v="4"/>
    <x v="3"/>
    <x v="1"/>
    <x v="3"/>
    <x v="0"/>
    <x v="2"/>
    <x v="0"/>
  </r>
  <r>
    <x v="5"/>
    <x v="1"/>
    <x v="6"/>
    <x v="11"/>
    <x v="6"/>
    <x v="5"/>
    <x v="1"/>
    <x v="1"/>
    <x v="0"/>
    <x v="2"/>
    <x v="2"/>
    <x v="2"/>
    <x v="3"/>
    <x v="1"/>
    <x v="1"/>
    <x v="3"/>
    <x v="1"/>
  </r>
  <r>
    <x v="5"/>
    <x v="1"/>
    <x v="6"/>
    <x v="2"/>
    <x v="7"/>
    <x v="122"/>
    <x v="184"/>
    <x v="216"/>
    <x v="246"/>
    <x v="300"/>
    <x v="298"/>
    <x v="307"/>
    <x v="327"/>
    <x v="323"/>
    <x v="336"/>
    <x v="357"/>
    <x v="368"/>
  </r>
  <r>
    <x v="5"/>
    <x v="1"/>
    <x v="6"/>
    <x v="2"/>
    <x v="8"/>
    <x v="5"/>
    <x v="1"/>
    <x v="1"/>
    <x v="0"/>
    <x v="2"/>
    <x v="2"/>
    <x v="2"/>
    <x v="3"/>
    <x v="1"/>
    <x v="1"/>
    <x v="3"/>
    <x v="1"/>
  </r>
  <r>
    <x v="5"/>
    <x v="1"/>
    <x v="6"/>
    <x v="2"/>
    <x v="9"/>
    <x v="5"/>
    <x v="1"/>
    <x v="1"/>
    <x v="0"/>
    <x v="2"/>
    <x v="2"/>
    <x v="304"/>
    <x v="328"/>
    <x v="324"/>
    <x v="337"/>
    <x v="358"/>
    <x v="369"/>
  </r>
  <r>
    <x v="5"/>
    <x v="1"/>
    <x v="6"/>
    <x v="2"/>
    <x v="10"/>
    <x v="5"/>
    <x v="1"/>
    <x v="1"/>
    <x v="0"/>
    <x v="2"/>
    <x v="2"/>
    <x v="2"/>
    <x v="3"/>
    <x v="1"/>
    <x v="1"/>
    <x v="3"/>
    <x v="1"/>
  </r>
  <r>
    <x v="5"/>
    <x v="1"/>
    <x v="6"/>
    <x v="2"/>
    <x v="11"/>
    <x v="5"/>
    <x v="1"/>
    <x v="1"/>
    <x v="0"/>
    <x v="2"/>
    <x v="2"/>
    <x v="2"/>
    <x v="3"/>
    <x v="1"/>
    <x v="1"/>
    <x v="3"/>
    <x v="1"/>
  </r>
  <r>
    <x v="5"/>
    <x v="1"/>
    <x v="6"/>
    <x v="11"/>
    <x v="7"/>
    <x v="4"/>
    <x v="2"/>
    <x v="4"/>
    <x v="2"/>
    <x v="1"/>
    <x v="4"/>
    <x v="308"/>
    <x v="329"/>
    <x v="325"/>
    <x v="338"/>
    <x v="359"/>
    <x v="370"/>
  </r>
  <r>
    <x v="5"/>
    <x v="1"/>
    <x v="6"/>
    <x v="11"/>
    <x v="8"/>
    <x v="5"/>
    <x v="1"/>
    <x v="1"/>
    <x v="0"/>
    <x v="2"/>
    <x v="2"/>
    <x v="2"/>
    <x v="3"/>
    <x v="1"/>
    <x v="1"/>
    <x v="3"/>
    <x v="1"/>
  </r>
  <r>
    <x v="5"/>
    <x v="1"/>
    <x v="6"/>
    <x v="11"/>
    <x v="9"/>
    <x v="5"/>
    <x v="1"/>
    <x v="1"/>
    <x v="0"/>
    <x v="2"/>
    <x v="2"/>
    <x v="309"/>
    <x v="330"/>
    <x v="326"/>
    <x v="339"/>
    <x v="360"/>
    <x v="371"/>
  </r>
  <r>
    <x v="5"/>
    <x v="1"/>
    <x v="6"/>
    <x v="11"/>
    <x v="10"/>
    <x v="5"/>
    <x v="1"/>
    <x v="1"/>
    <x v="0"/>
    <x v="2"/>
    <x v="2"/>
    <x v="2"/>
    <x v="3"/>
    <x v="1"/>
    <x v="1"/>
    <x v="3"/>
    <x v="1"/>
  </r>
  <r>
    <x v="5"/>
    <x v="1"/>
    <x v="6"/>
    <x v="11"/>
    <x v="11"/>
    <x v="5"/>
    <x v="1"/>
    <x v="1"/>
    <x v="0"/>
    <x v="2"/>
    <x v="2"/>
    <x v="2"/>
    <x v="3"/>
    <x v="1"/>
    <x v="1"/>
    <x v="3"/>
    <x v="1"/>
  </r>
  <r>
    <x v="5"/>
    <x v="1"/>
    <x v="7"/>
    <x v="0"/>
    <x v="26"/>
    <x v="123"/>
    <x v="185"/>
    <x v="217"/>
    <x v="247"/>
    <x v="301"/>
    <x v="299"/>
    <x v="310"/>
    <x v="331"/>
    <x v="327"/>
    <x v="340"/>
    <x v="361"/>
    <x v="372"/>
  </r>
  <r>
    <x v="5"/>
    <x v="1"/>
    <x v="7"/>
    <x v="1"/>
    <x v="1"/>
    <x v="5"/>
    <x v="1"/>
    <x v="1"/>
    <x v="0"/>
    <x v="2"/>
    <x v="2"/>
    <x v="2"/>
    <x v="3"/>
    <x v="1"/>
    <x v="1"/>
    <x v="3"/>
    <x v="1"/>
  </r>
  <r>
    <x v="5"/>
    <x v="1"/>
    <x v="7"/>
    <x v="1"/>
    <x v="2"/>
    <x v="5"/>
    <x v="1"/>
    <x v="1"/>
    <x v="0"/>
    <x v="2"/>
    <x v="2"/>
    <x v="2"/>
    <x v="3"/>
    <x v="1"/>
    <x v="1"/>
    <x v="3"/>
    <x v="1"/>
  </r>
  <r>
    <x v="5"/>
    <x v="1"/>
    <x v="7"/>
    <x v="1"/>
    <x v="3"/>
    <x v="5"/>
    <x v="1"/>
    <x v="1"/>
    <x v="0"/>
    <x v="2"/>
    <x v="2"/>
    <x v="2"/>
    <x v="3"/>
    <x v="1"/>
    <x v="1"/>
    <x v="3"/>
    <x v="1"/>
  </r>
  <r>
    <x v="5"/>
    <x v="1"/>
    <x v="7"/>
    <x v="1"/>
    <x v="4"/>
    <x v="5"/>
    <x v="1"/>
    <x v="1"/>
    <x v="0"/>
    <x v="2"/>
    <x v="2"/>
    <x v="2"/>
    <x v="3"/>
    <x v="1"/>
    <x v="1"/>
    <x v="3"/>
    <x v="1"/>
  </r>
  <r>
    <x v="5"/>
    <x v="1"/>
    <x v="7"/>
    <x v="1"/>
    <x v="5"/>
    <x v="123"/>
    <x v="185"/>
    <x v="217"/>
    <x v="247"/>
    <x v="301"/>
    <x v="299"/>
    <x v="310"/>
    <x v="331"/>
    <x v="327"/>
    <x v="340"/>
    <x v="361"/>
    <x v="372"/>
  </r>
  <r>
    <x v="5"/>
    <x v="1"/>
    <x v="7"/>
    <x v="1"/>
    <x v="6"/>
    <x v="5"/>
    <x v="1"/>
    <x v="1"/>
    <x v="0"/>
    <x v="2"/>
    <x v="2"/>
    <x v="2"/>
    <x v="3"/>
    <x v="1"/>
    <x v="1"/>
    <x v="3"/>
    <x v="1"/>
  </r>
  <r>
    <x v="5"/>
    <x v="1"/>
    <x v="7"/>
    <x v="11"/>
    <x v="1"/>
    <x v="5"/>
    <x v="1"/>
    <x v="1"/>
    <x v="0"/>
    <x v="2"/>
    <x v="2"/>
    <x v="2"/>
    <x v="3"/>
    <x v="1"/>
    <x v="1"/>
    <x v="3"/>
    <x v="1"/>
  </r>
  <r>
    <x v="5"/>
    <x v="1"/>
    <x v="7"/>
    <x v="11"/>
    <x v="2"/>
    <x v="5"/>
    <x v="1"/>
    <x v="1"/>
    <x v="0"/>
    <x v="2"/>
    <x v="2"/>
    <x v="2"/>
    <x v="3"/>
    <x v="1"/>
    <x v="1"/>
    <x v="3"/>
    <x v="1"/>
  </r>
  <r>
    <x v="5"/>
    <x v="1"/>
    <x v="7"/>
    <x v="11"/>
    <x v="3"/>
    <x v="5"/>
    <x v="1"/>
    <x v="1"/>
    <x v="0"/>
    <x v="2"/>
    <x v="2"/>
    <x v="2"/>
    <x v="3"/>
    <x v="1"/>
    <x v="1"/>
    <x v="3"/>
    <x v="1"/>
  </r>
  <r>
    <x v="5"/>
    <x v="1"/>
    <x v="7"/>
    <x v="11"/>
    <x v="4"/>
    <x v="5"/>
    <x v="1"/>
    <x v="1"/>
    <x v="0"/>
    <x v="2"/>
    <x v="2"/>
    <x v="2"/>
    <x v="3"/>
    <x v="1"/>
    <x v="1"/>
    <x v="3"/>
    <x v="1"/>
  </r>
  <r>
    <x v="5"/>
    <x v="1"/>
    <x v="7"/>
    <x v="11"/>
    <x v="5"/>
    <x v="4"/>
    <x v="2"/>
    <x v="4"/>
    <x v="2"/>
    <x v="1"/>
    <x v="4"/>
    <x v="3"/>
    <x v="1"/>
    <x v="3"/>
    <x v="0"/>
    <x v="2"/>
    <x v="0"/>
  </r>
  <r>
    <x v="5"/>
    <x v="1"/>
    <x v="7"/>
    <x v="11"/>
    <x v="6"/>
    <x v="5"/>
    <x v="1"/>
    <x v="1"/>
    <x v="0"/>
    <x v="2"/>
    <x v="2"/>
    <x v="2"/>
    <x v="3"/>
    <x v="1"/>
    <x v="1"/>
    <x v="3"/>
    <x v="1"/>
  </r>
  <r>
    <x v="5"/>
    <x v="1"/>
    <x v="7"/>
    <x v="2"/>
    <x v="7"/>
    <x v="123"/>
    <x v="185"/>
    <x v="217"/>
    <x v="247"/>
    <x v="301"/>
    <x v="299"/>
    <x v="311"/>
    <x v="332"/>
    <x v="328"/>
    <x v="341"/>
    <x v="362"/>
    <x v="373"/>
  </r>
  <r>
    <x v="5"/>
    <x v="1"/>
    <x v="7"/>
    <x v="2"/>
    <x v="8"/>
    <x v="5"/>
    <x v="1"/>
    <x v="1"/>
    <x v="0"/>
    <x v="2"/>
    <x v="2"/>
    <x v="2"/>
    <x v="3"/>
    <x v="1"/>
    <x v="1"/>
    <x v="3"/>
    <x v="1"/>
  </r>
  <r>
    <x v="5"/>
    <x v="1"/>
    <x v="7"/>
    <x v="2"/>
    <x v="9"/>
    <x v="5"/>
    <x v="1"/>
    <x v="1"/>
    <x v="0"/>
    <x v="2"/>
    <x v="2"/>
    <x v="305"/>
    <x v="333"/>
    <x v="329"/>
    <x v="342"/>
    <x v="363"/>
    <x v="374"/>
  </r>
  <r>
    <x v="5"/>
    <x v="1"/>
    <x v="7"/>
    <x v="2"/>
    <x v="10"/>
    <x v="5"/>
    <x v="1"/>
    <x v="1"/>
    <x v="0"/>
    <x v="2"/>
    <x v="2"/>
    <x v="2"/>
    <x v="3"/>
    <x v="1"/>
    <x v="1"/>
    <x v="3"/>
    <x v="1"/>
  </r>
  <r>
    <x v="5"/>
    <x v="1"/>
    <x v="7"/>
    <x v="2"/>
    <x v="11"/>
    <x v="5"/>
    <x v="1"/>
    <x v="1"/>
    <x v="0"/>
    <x v="2"/>
    <x v="2"/>
    <x v="2"/>
    <x v="3"/>
    <x v="1"/>
    <x v="1"/>
    <x v="3"/>
    <x v="1"/>
  </r>
  <r>
    <x v="5"/>
    <x v="1"/>
    <x v="7"/>
    <x v="11"/>
    <x v="7"/>
    <x v="4"/>
    <x v="2"/>
    <x v="4"/>
    <x v="2"/>
    <x v="1"/>
    <x v="4"/>
    <x v="312"/>
    <x v="334"/>
    <x v="330"/>
    <x v="343"/>
    <x v="364"/>
    <x v="375"/>
  </r>
  <r>
    <x v="5"/>
    <x v="1"/>
    <x v="7"/>
    <x v="11"/>
    <x v="8"/>
    <x v="5"/>
    <x v="1"/>
    <x v="1"/>
    <x v="0"/>
    <x v="2"/>
    <x v="2"/>
    <x v="2"/>
    <x v="3"/>
    <x v="1"/>
    <x v="1"/>
    <x v="3"/>
    <x v="1"/>
  </r>
  <r>
    <x v="5"/>
    <x v="1"/>
    <x v="7"/>
    <x v="11"/>
    <x v="9"/>
    <x v="5"/>
    <x v="1"/>
    <x v="1"/>
    <x v="0"/>
    <x v="2"/>
    <x v="2"/>
    <x v="313"/>
    <x v="335"/>
    <x v="331"/>
    <x v="344"/>
    <x v="365"/>
    <x v="376"/>
  </r>
  <r>
    <x v="5"/>
    <x v="1"/>
    <x v="7"/>
    <x v="11"/>
    <x v="10"/>
    <x v="5"/>
    <x v="1"/>
    <x v="1"/>
    <x v="0"/>
    <x v="2"/>
    <x v="2"/>
    <x v="2"/>
    <x v="3"/>
    <x v="1"/>
    <x v="1"/>
    <x v="3"/>
    <x v="1"/>
  </r>
  <r>
    <x v="5"/>
    <x v="1"/>
    <x v="7"/>
    <x v="11"/>
    <x v="11"/>
    <x v="5"/>
    <x v="1"/>
    <x v="1"/>
    <x v="0"/>
    <x v="2"/>
    <x v="2"/>
    <x v="2"/>
    <x v="3"/>
    <x v="1"/>
    <x v="1"/>
    <x v="3"/>
    <x v="1"/>
  </r>
  <r>
    <x v="5"/>
    <x v="1"/>
    <x v="6"/>
    <x v="0"/>
    <x v="29"/>
    <x v="124"/>
    <x v="186"/>
    <x v="218"/>
    <x v="248"/>
    <x v="302"/>
    <x v="300"/>
    <x v="314"/>
    <x v="336"/>
    <x v="332"/>
    <x v="345"/>
    <x v="366"/>
    <x v="377"/>
  </r>
  <r>
    <x v="5"/>
    <x v="1"/>
    <x v="6"/>
    <x v="0"/>
    <x v="30"/>
    <x v="125"/>
    <x v="187"/>
    <x v="219"/>
    <x v="249"/>
    <x v="303"/>
    <x v="301"/>
    <x v="315"/>
    <x v="337"/>
    <x v="333"/>
    <x v="346"/>
    <x v="367"/>
    <x v="378"/>
  </r>
  <r>
    <x v="5"/>
    <x v="1"/>
    <x v="6"/>
    <x v="0"/>
    <x v="31"/>
    <x v="5"/>
    <x v="1"/>
    <x v="1"/>
    <x v="0"/>
    <x v="2"/>
    <x v="2"/>
    <x v="2"/>
    <x v="3"/>
    <x v="1"/>
    <x v="1"/>
    <x v="3"/>
    <x v="1"/>
  </r>
  <r>
    <x v="5"/>
    <x v="1"/>
    <x v="6"/>
    <x v="14"/>
    <x v="7"/>
    <x v="124"/>
    <x v="186"/>
    <x v="218"/>
    <x v="248"/>
    <x v="302"/>
    <x v="300"/>
    <x v="314"/>
    <x v="336"/>
    <x v="332"/>
    <x v="345"/>
    <x v="366"/>
    <x v="379"/>
  </r>
  <r>
    <x v="5"/>
    <x v="1"/>
    <x v="6"/>
    <x v="14"/>
    <x v="8"/>
    <x v="5"/>
    <x v="1"/>
    <x v="1"/>
    <x v="0"/>
    <x v="2"/>
    <x v="2"/>
    <x v="2"/>
    <x v="3"/>
    <x v="1"/>
    <x v="1"/>
    <x v="3"/>
    <x v="1"/>
  </r>
  <r>
    <x v="5"/>
    <x v="1"/>
    <x v="6"/>
    <x v="14"/>
    <x v="9"/>
    <x v="5"/>
    <x v="1"/>
    <x v="1"/>
    <x v="0"/>
    <x v="2"/>
    <x v="2"/>
    <x v="2"/>
    <x v="3"/>
    <x v="1"/>
    <x v="1"/>
    <x v="3"/>
    <x v="366"/>
  </r>
  <r>
    <x v="5"/>
    <x v="1"/>
    <x v="6"/>
    <x v="14"/>
    <x v="10"/>
    <x v="5"/>
    <x v="1"/>
    <x v="1"/>
    <x v="0"/>
    <x v="2"/>
    <x v="2"/>
    <x v="2"/>
    <x v="3"/>
    <x v="1"/>
    <x v="1"/>
    <x v="3"/>
    <x v="1"/>
  </r>
  <r>
    <x v="5"/>
    <x v="1"/>
    <x v="6"/>
    <x v="14"/>
    <x v="11"/>
    <x v="5"/>
    <x v="1"/>
    <x v="1"/>
    <x v="0"/>
    <x v="2"/>
    <x v="2"/>
    <x v="2"/>
    <x v="3"/>
    <x v="1"/>
    <x v="1"/>
    <x v="3"/>
    <x v="1"/>
  </r>
  <r>
    <x v="5"/>
    <x v="1"/>
    <x v="6"/>
    <x v="15"/>
    <x v="7"/>
    <x v="125"/>
    <x v="187"/>
    <x v="219"/>
    <x v="249"/>
    <x v="303"/>
    <x v="301"/>
    <x v="315"/>
    <x v="337"/>
    <x v="333"/>
    <x v="346"/>
    <x v="367"/>
    <x v="378"/>
  </r>
  <r>
    <x v="5"/>
    <x v="1"/>
    <x v="6"/>
    <x v="15"/>
    <x v="8"/>
    <x v="5"/>
    <x v="1"/>
    <x v="1"/>
    <x v="0"/>
    <x v="2"/>
    <x v="2"/>
    <x v="2"/>
    <x v="3"/>
    <x v="1"/>
    <x v="1"/>
    <x v="3"/>
    <x v="1"/>
  </r>
  <r>
    <x v="5"/>
    <x v="1"/>
    <x v="6"/>
    <x v="15"/>
    <x v="9"/>
    <x v="5"/>
    <x v="1"/>
    <x v="1"/>
    <x v="0"/>
    <x v="2"/>
    <x v="2"/>
    <x v="2"/>
    <x v="3"/>
    <x v="1"/>
    <x v="1"/>
    <x v="3"/>
    <x v="1"/>
  </r>
  <r>
    <x v="5"/>
    <x v="1"/>
    <x v="6"/>
    <x v="15"/>
    <x v="10"/>
    <x v="5"/>
    <x v="1"/>
    <x v="1"/>
    <x v="0"/>
    <x v="2"/>
    <x v="2"/>
    <x v="2"/>
    <x v="3"/>
    <x v="1"/>
    <x v="1"/>
    <x v="3"/>
    <x v="1"/>
  </r>
  <r>
    <x v="5"/>
    <x v="1"/>
    <x v="6"/>
    <x v="15"/>
    <x v="11"/>
    <x v="5"/>
    <x v="1"/>
    <x v="1"/>
    <x v="0"/>
    <x v="2"/>
    <x v="2"/>
    <x v="2"/>
    <x v="3"/>
    <x v="1"/>
    <x v="1"/>
    <x v="3"/>
    <x v="1"/>
  </r>
  <r>
    <x v="5"/>
    <x v="1"/>
    <x v="7"/>
    <x v="0"/>
    <x v="29"/>
    <x v="124"/>
    <x v="186"/>
    <x v="218"/>
    <x v="248"/>
    <x v="302"/>
    <x v="300"/>
    <x v="314"/>
    <x v="336"/>
    <x v="332"/>
    <x v="345"/>
    <x v="366"/>
    <x v="377"/>
  </r>
  <r>
    <x v="5"/>
    <x v="1"/>
    <x v="7"/>
    <x v="0"/>
    <x v="30"/>
    <x v="125"/>
    <x v="187"/>
    <x v="219"/>
    <x v="249"/>
    <x v="303"/>
    <x v="301"/>
    <x v="315"/>
    <x v="337"/>
    <x v="333"/>
    <x v="346"/>
    <x v="367"/>
    <x v="378"/>
  </r>
  <r>
    <x v="5"/>
    <x v="1"/>
    <x v="7"/>
    <x v="0"/>
    <x v="31"/>
    <x v="5"/>
    <x v="1"/>
    <x v="1"/>
    <x v="0"/>
    <x v="2"/>
    <x v="2"/>
    <x v="2"/>
    <x v="3"/>
    <x v="1"/>
    <x v="1"/>
    <x v="3"/>
    <x v="1"/>
  </r>
  <r>
    <x v="5"/>
    <x v="1"/>
    <x v="7"/>
    <x v="14"/>
    <x v="7"/>
    <x v="124"/>
    <x v="186"/>
    <x v="218"/>
    <x v="248"/>
    <x v="302"/>
    <x v="300"/>
    <x v="314"/>
    <x v="336"/>
    <x v="332"/>
    <x v="345"/>
    <x v="366"/>
    <x v="379"/>
  </r>
  <r>
    <x v="5"/>
    <x v="1"/>
    <x v="7"/>
    <x v="14"/>
    <x v="8"/>
    <x v="5"/>
    <x v="1"/>
    <x v="1"/>
    <x v="0"/>
    <x v="2"/>
    <x v="2"/>
    <x v="2"/>
    <x v="3"/>
    <x v="1"/>
    <x v="1"/>
    <x v="3"/>
    <x v="1"/>
  </r>
  <r>
    <x v="5"/>
    <x v="1"/>
    <x v="7"/>
    <x v="14"/>
    <x v="9"/>
    <x v="5"/>
    <x v="1"/>
    <x v="1"/>
    <x v="0"/>
    <x v="2"/>
    <x v="2"/>
    <x v="2"/>
    <x v="3"/>
    <x v="1"/>
    <x v="1"/>
    <x v="3"/>
    <x v="366"/>
  </r>
  <r>
    <x v="5"/>
    <x v="1"/>
    <x v="7"/>
    <x v="14"/>
    <x v="10"/>
    <x v="5"/>
    <x v="1"/>
    <x v="1"/>
    <x v="0"/>
    <x v="2"/>
    <x v="2"/>
    <x v="2"/>
    <x v="3"/>
    <x v="1"/>
    <x v="1"/>
    <x v="3"/>
    <x v="1"/>
  </r>
  <r>
    <x v="5"/>
    <x v="1"/>
    <x v="7"/>
    <x v="14"/>
    <x v="11"/>
    <x v="5"/>
    <x v="1"/>
    <x v="1"/>
    <x v="0"/>
    <x v="2"/>
    <x v="2"/>
    <x v="2"/>
    <x v="3"/>
    <x v="1"/>
    <x v="1"/>
    <x v="3"/>
    <x v="1"/>
  </r>
  <r>
    <x v="5"/>
    <x v="1"/>
    <x v="7"/>
    <x v="15"/>
    <x v="7"/>
    <x v="125"/>
    <x v="187"/>
    <x v="219"/>
    <x v="249"/>
    <x v="303"/>
    <x v="301"/>
    <x v="315"/>
    <x v="337"/>
    <x v="333"/>
    <x v="346"/>
    <x v="367"/>
    <x v="378"/>
  </r>
  <r>
    <x v="5"/>
    <x v="1"/>
    <x v="7"/>
    <x v="15"/>
    <x v="8"/>
    <x v="5"/>
    <x v="1"/>
    <x v="1"/>
    <x v="0"/>
    <x v="2"/>
    <x v="2"/>
    <x v="2"/>
    <x v="3"/>
    <x v="1"/>
    <x v="1"/>
    <x v="3"/>
    <x v="1"/>
  </r>
  <r>
    <x v="5"/>
    <x v="1"/>
    <x v="7"/>
    <x v="15"/>
    <x v="9"/>
    <x v="5"/>
    <x v="1"/>
    <x v="1"/>
    <x v="0"/>
    <x v="2"/>
    <x v="2"/>
    <x v="2"/>
    <x v="3"/>
    <x v="1"/>
    <x v="1"/>
    <x v="3"/>
    <x v="1"/>
  </r>
  <r>
    <x v="5"/>
    <x v="1"/>
    <x v="7"/>
    <x v="15"/>
    <x v="10"/>
    <x v="5"/>
    <x v="1"/>
    <x v="1"/>
    <x v="0"/>
    <x v="2"/>
    <x v="2"/>
    <x v="2"/>
    <x v="3"/>
    <x v="1"/>
    <x v="1"/>
    <x v="3"/>
    <x v="1"/>
  </r>
  <r>
    <x v="5"/>
    <x v="1"/>
    <x v="7"/>
    <x v="15"/>
    <x v="11"/>
    <x v="5"/>
    <x v="1"/>
    <x v="1"/>
    <x v="0"/>
    <x v="2"/>
    <x v="2"/>
    <x v="2"/>
    <x v="3"/>
    <x v="1"/>
    <x v="1"/>
    <x v="3"/>
    <x v="1"/>
  </r>
  <r>
    <x v="6"/>
    <x v="0"/>
    <x v="0"/>
    <x v="0"/>
    <x v="0"/>
    <x v="7"/>
    <x v="0"/>
    <x v="2"/>
    <x v="5"/>
    <x v="1"/>
    <x v="2"/>
    <x v="3"/>
    <x v="4"/>
    <x v="2"/>
    <x v="2"/>
    <x v="4"/>
    <x v="3"/>
  </r>
  <r>
    <x v="6"/>
    <x v="0"/>
    <x v="0"/>
    <x v="1"/>
    <x v="1"/>
    <x v="5"/>
    <x v="2"/>
    <x v="4"/>
    <x v="2"/>
    <x v="2"/>
    <x v="2"/>
    <x v="2"/>
    <x v="1"/>
    <x v="1"/>
    <x v="0"/>
    <x v="2"/>
    <x v="1"/>
  </r>
  <r>
    <x v="6"/>
    <x v="0"/>
    <x v="0"/>
    <x v="1"/>
    <x v="2"/>
    <x v="1"/>
    <x v="1"/>
    <x v="4"/>
    <x v="0"/>
    <x v="2"/>
    <x v="2"/>
    <x v="2"/>
    <x v="1"/>
    <x v="3"/>
    <x v="1"/>
    <x v="3"/>
    <x v="1"/>
  </r>
  <r>
    <x v="6"/>
    <x v="0"/>
    <x v="0"/>
    <x v="1"/>
    <x v="3"/>
    <x v="5"/>
    <x v="2"/>
    <x v="1"/>
    <x v="0"/>
    <x v="2"/>
    <x v="2"/>
    <x v="2"/>
    <x v="3"/>
    <x v="1"/>
    <x v="1"/>
    <x v="3"/>
    <x v="1"/>
  </r>
  <r>
    <x v="6"/>
    <x v="0"/>
    <x v="0"/>
    <x v="1"/>
    <x v="4"/>
    <x v="5"/>
    <x v="1"/>
    <x v="1"/>
    <x v="2"/>
    <x v="1"/>
    <x v="2"/>
    <x v="3"/>
    <x v="1"/>
    <x v="3"/>
    <x v="1"/>
    <x v="1"/>
    <x v="1"/>
  </r>
  <r>
    <x v="6"/>
    <x v="0"/>
    <x v="0"/>
    <x v="1"/>
    <x v="5"/>
    <x v="4"/>
    <x v="1"/>
    <x v="1"/>
    <x v="2"/>
    <x v="2"/>
    <x v="2"/>
    <x v="2"/>
    <x v="1"/>
    <x v="1"/>
    <x v="0"/>
    <x v="3"/>
    <x v="3"/>
  </r>
  <r>
    <x v="6"/>
    <x v="0"/>
    <x v="0"/>
    <x v="1"/>
    <x v="6"/>
    <x v="5"/>
    <x v="1"/>
    <x v="1"/>
    <x v="0"/>
    <x v="2"/>
    <x v="2"/>
    <x v="2"/>
    <x v="3"/>
    <x v="1"/>
    <x v="1"/>
    <x v="3"/>
    <x v="1"/>
  </r>
  <r>
    <x v="6"/>
    <x v="0"/>
    <x v="0"/>
    <x v="2"/>
    <x v="7"/>
    <x v="4"/>
    <x v="0"/>
    <x v="4"/>
    <x v="4"/>
    <x v="2"/>
    <x v="2"/>
    <x v="3"/>
    <x v="2"/>
    <x v="1"/>
    <x v="0"/>
    <x v="4"/>
    <x v="1"/>
  </r>
  <r>
    <x v="6"/>
    <x v="0"/>
    <x v="0"/>
    <x v="2"/>
    <x v="8"/>
    <x v="1"/>
    <x v="1"/>
    <x v="4"/>
    <x v="2"/>
    <x v="1"/>
    <x v="2"/>
    <x v="2"/>
    <x v="1"/>
    <x v="2"/>
    <x v="0"/>
    <x v="3"/>
    <x v="1"/>
  </r>
  <r>
    <x v="6"/>
    <x v="0"/>
    <x v="0"/>
    <x v="2"/>
    <x v="9"/>
    <x v="5"/>
    <x v="1"/>
    <x v="1"/>
    <x v="0"/>
    <x v="2"/>
    <x v="2"/>
    <x v="2"/>
    <x v="3"/>
    <x v="1"/>
    <x v="1"/>
    <x v="3"/>
    <x v="3"/>
  </r>
  <r>
    <x v="6"/>
    <x v="0"/>
    <x v="0"/>
    <x v="2"/>
    <x v="10"/>
    <x v="5"/>
    <x v="1"/>
    <x v="1"/>
    <x v="0"/>
    <x v="2"/>
    <x v="2"/>
    <x v="2"/>
    <x v="1"/>
    <x v="1"/>
    <x v="1"/>
    <x v="3"/>
    <x v="1"/>
  </r>
  <r>
    <x v="6"/>
    <x v="0"/>
    <x v="0"/>
    <x v="2"/>
    <x v="11"/>
    <x v="5"/>
    <x v="1"/>
    <x v="1"/>
    <x v="0"/>
    <x v="2"/>
    <x v="2"/>
    <x v="2"/>
    <x v="3"/>
    <x v="1"/>
    <x v="1"/>
    <x v="3"/>
    <x v="1"/>
  </r>
  <r>
    <x v="6"/>
    <x v="0"/>
    <x v="0"/>
    <x v="0"/>
    <x v="12"/>
    <x v="1"/>
    <x v="0"/>
    <x v="2"/>
    <x v="2"/>
    <x v="2"/>
    <x v="2"/>
    <x v="2"/>
    <x v="2"/>
    <x v="3"/>
    <x v="0"/>
    <x v="2"/>
    <x v="3"/>
  </r>
  <r>
    <x v="6"/>
    <x v="0"/>
    <x v="0"/>
    <x v="3"/>
    <x v="1"/>
    <x v="5"/>
    <x v="2"/>
    <x v="4"/>
    <x v="2"/>
    <x v="2"/>
    <x v="2"/>
    <x v="2"/>
    <x v="1"/>
    <x v="1"/>
    <x v="0"/>
    <x v="2"/>
    <x v="3"/>
  </r>
  <r>
    <x v="6"/>
    <x v="0"/>
    <x v="0"/>
    <x v="3"/>
    <x v="2"/>
    <x v="1"/>
    <x v="1"/>
    <x v="4"/>
    <x v="0"/>
    <x v="2"/>
    <x v="2"/>
    <x v="2"/>
    <x v="1"/>
    <x v="3"/>
    <x v="1"/>
    <x v="3"/>
    <x v="1"/>
  </r>
  <r>
    <x v="6"/>
    <x v="0"/>
    <x v="0"/>
    <x v="3"/>
    <x v="3"/>
    <x v="5"/>
    <x v="2"/>
    <x v="1"/>
    <x v="0"/>
    <x v="2"/>
    <x v="2"/>
    <x v="2"/>
    <x v="3"/>
    <x v="1"/>
    <x v="1"/>
    <x v="3"/>
    <x v="1"/>
  </r>
  <r>
    <x v="6"/>
    <x v="0"/>
    <x v="0"/>
    <x v="0"/>
    <x v="13"/>
    <x v="4"/>
    <x v="1"/>
    <x v="2"/>
    <x v="5"/>
    <x v="1"/>
    <x v="2"/>
    <x v="3"/>
    <x v="2"/>
    <x v="3"/>
    <x v="2"/>
    <x v="4"/>
    <x v="3"/>
  </r>
  <r>
    <x v="6"/>
    <x v="0"/>
    <x v="0"/>
    <x v="4"/>
    <x v="4"/>
    <x v="5"/>
    <x v="1"/>
    <x v="2"/>
    <x v="2"/>
    <x v="1"/>
    <x v="2"/>
    <x v="3"/>
    <x v="1"/>
    <x v="3"/>
    <x v="0"/>
    <x v="1"/>
    <x v="1"/>
  </r>
  <r>
    <x v="6"/>
    <x v="0"/>
    <x v="0"/>
    <x v="4"/>
    <x v="5"/>
    <x v="4"/>
    <x v="1"/>
    <x v="1"/>
    <x v="4"/>
    <x v="2"/>
    <x v="2"/>
    <x v="2"/>
    <x v="1"/>
    <x v="1"/>
    <x v="0"/>
    <x v="2"/>
    <x v="3"/>
  </r>
  <r>
    <x v="6"/>
    <x v="0"/>
    <x v="0"/>
    <x v="4"/>
    <x v="6"/>
    <x v="5"/>
    <x v="1"/>
    <x v="1"/>
    <x v="0"/>
    <x v="2"/>
    <x v="2"/>
    <x v="2"/>
    <x v="3"/>
    <x v="1"/>
    <x v="1"/>
    <x v="3"/>
    <x v="1"/>
  </r>
  <r>
    <x v="6"/>
    <x v="1"/>
    <x v="0"/>
    <x v="0"/>
    <x v="14"/>
    <x v="1"/>
    <x v="2"/>
    <x v="2"/>
    <x v="0"/>
    <x v="12"/>
    <x v="1"/>
    <x v="2"/>
    <x v="1"/>
    <x v="162"/>
    <x v="0"/>
    <x v="0"/>
    <x v="3"/>
  </r>
  <r>
    <x v="6"/>
    <x v="1"/>
    <x v="0"/>
    <x v="1"/>
    <x v="1"/>
    <x v="5"/>
    <x v="1"/>
    <x v="4"/>
    <x v="0"/>
    <x v="3"/>
    <x v="2"/>
    <x v="2"/>
    <x v="3"/>
    <x v="3"/>
    <x v="1"/>
    <x v="1"/>
    <x v="1"/>
  </r>
  <r>
    <x v="6"/>
    <x v="1"/>
    <x v="0"/>
    <x v="1"/>
    <x v="2"/>
    <x v="1"/>
    <x v="1"/>
    <x v="1"/>
    <x v="0"/>
    <x v="1"/>
    <x v="2"/>
    <x v="2"/>
    <x v="3"/>
    <x v="2"/>
    <x v="1"/>
    <x v="3"/>
    <x v="1"/>
  </r>
  <r>
    <x v="6"/>
    <x v="1"/>
    <x v="0"/>
    <x v="1"/>
    <x v="3"/>
    <x v="5"/>
    <x v="1"/>
    <x v="4"/>
    <x v="0"/>
    <x v="2"/>
    <x v="2"/>
    <x v="2"/>
    <x v="3"/>
    <x v="1"/>
    <x v="1"/>
    <x v="3"/>
    <x v="1"/>
  </r>
  <r>
    <x v="6"/>
    <x v="1"/>
    <x v="0"/>
    <x v="1"/>
    <x v="4"/>
    <x v="5"/>
    <x v="1"/>
    <x v="1"/>
    <x v="0"/>
    <x v="1"/>
    <x v="4"/>
    <x v="2"/>
    <x v="1"/>
    <x v="2"/>
    <x v="1"/>
    <x v="1"/>
    <x v="1"/>
  </r>
  <r>
    <x v="6"/>
    <x v="1"/>
    <x v="0"/>
    <x v="1"/>
    <x v="5"/>
    <x v="5"/>
    <x v="2"/>
    <x v="1"/>
    <x v="0"/>
    <x v="2"/>
    <x v="4"/>
    <x v="2"/>
    <x v="3"/>
    <x v="3"/>
    <x v="0"/>
    <x v="3"/>
    <x v="3"/>
  </r>
  <r>
    <x v="6"/>
    <x v="1"/>
    <x v="0"/>
    <x v="1"/>
    <x v="6"/>
    <x v="5"/>
    <x v="1"/>
    <x v="1"/>
    <x v="0"/>
    <x v="2"/>
    <x v="2"/>
    <x v="2"/>
    <x v="3"/>
    <x v="1"/>
    <x v="1"/>
    <x v="3"/>
    <x v="1"/>
  </r>
  <r>
    <x v="6"/>
    <x v="1"/>
    <x v="0"/>
    <x v="2"/>
    <x v="7"/>
    <x v="4"/>
    <x v="1"/>
    <x v="2"/>
    <x v="0"/>
    <x v="3"/>
    <x v="4"/>
    <x v="2"/>
    <x v="1"/>
    <x v="2"/>
    <x v="1"/>
    <x v="0"/>
    <x v="1"/>
  </r>
  <r>
    <x v="6"/>
    <x v="1"/>
    <x v="0"/>
    <x v="2"/>
    <x v="8"/>
    <x v="4"/>
    <x v="2"/>
    <x v="1"/>
    <x v="0"/>
    <x v="3"/>
    <x v="4"/>
    <x v="2"/>
    <x v="3"/>
    <x v="4"/>
    <x v="0"/>
    <x v="3"/>
    <x v="1"/>
  </r>
  <r>
    <x v="6"/>
    <x v="1"/>
    <x v="0"/>
    <x v="2"/>
    <x v="9"/>
    <x v="5"/>
    <x v="1"/>
    <x v="1"/>
    <x v="0"/>
    <x v="2"/>
    <x v="2"/>
    <x v="2"/>
    <x v="3"/>
    <x v="1"/>
    <x v="1"/>
    <x v="3"/>
    <x v="3"/>
  </r>
  <r>
    <x v="6"/>
    <x v="1"/>
    <x v="0"/>
    <x v="2"/>
    <x v="10"/>
    <x v="5"/>
    <x v="1"/>
    <x v="1"/>
    <x v="0"/>
    <x v="2"/>
    <x v="2"/>
    <x v="2"/>
    <x v="3"/>
    <x v="3"/>
    <x v="1"/>
    <x v="3"/>
    <x v="1"/>
  </r>
  <r>
    <x v="6"/>
    <x v="1"/>
    <x v="0"/>
    <x v="2"/>
    <x v="11"/>
    <x v="5"/>
    <x v="1"/>
    <x v="1"/>
    <x v="0"/>
    <x v="2"/>
    <x v="2"/>
    <x v="2"/>
    <x v="3"/>
    <x v="1"/>
    <x v="1"/>
    <x v="3"/>
    <x v="1"/>
  </r>
  <r>
    <x v="6"/>
    <x v="1"/>
    <x v="0"/>
    <x v="0"/>
    <x v="15"/>
    <x v="4"/>
    <x v="1"/>
    <x v="2"/>
    <x v="0"/>
    <x v="3"/>
    <x v="2"/>
    <x v="2"/>
    <x v="3"/>
    <x v="5"/>
    <x v="0"/>
    <x v="3"/>
    <x v="1"/>
  </r>
  <r>
    <x v="6"/>
    <x v="1"/>
    <x v="0"/>
    <x v="0"/>
    <x v="16"/>
    <x v="4"/>
    <x v="2"/>
    <x v="1"/>
    <x v="0"/>
    <x v="1"/>
    <x v="4"/>
    <x v="2"/>
    <x v="3"/>
    <x v="3"/>
    <x v="1"/>
    <x v="4"/>
    <x v="0"/>
  </r>
  <r>
    <x v="6"/>
    <x v="1"/>
    <x v="0"/>
    <x v="0"/>
    <x v="17"/>
    <x v="5"/>
    <x v="1"/>
    <x v="1"/>
    <x v="0"/>
    <x v="1"/>
    <x v="4"/>
    <x v="2"/>
    <x v="1"/>
    <x v="3"/>
    <x v="1"/>
    <x v="2"/>
    <x v="0"/>
  </r>
  <r>
    <x v="6"/>
    <x v="1"/>
    <x v="0"/>
    <x v="5"/>
    <x v="7"/>
    <x v="5"/>
    <x v="1"/>
    <x v="2"/>
    <x v="0"/>
    <x v="1"/>
    <x v="2"/>
    <x v="2"/>
    <x v="3"/>
    <x v="1"/>
    <x v="1"/>
    <x v="3"/>
    <x v="1"/>
  </r>
  <r>
    <x v="6"/>
    <x v="1"/>
    <x v="0"/>
    <x v="5"/>
    <x v="8"/>
    <x v="4"/>
    <x v="1"/>
    <x v="1"/>
    <x v="0"/>
    <x v="1"/>
    <x v="2"/>
    <x v="2"/>
    <x v="3"/>
    <x v="4"/>
    <x v="0"/>
    <x v="3"/>
    <x v="1"/>
  </r>
  <r>
    <x v="6"/>
    <x v="1"/>
    <x v="0"/>
    <x v="5"/>
    <x v="9"/>
    <x v="5"/>
    <x v="1"/>
    <x v="1"/>
    <x v="0"/>
    <x v="2"/>
    <x v="2"/>
    <x v="2"/>
    <x v="3"/>
    <x v="1"/>
    <x v="1"/>
    <x v="3"/>
    <x v="1"/>
  </r>
  <r>
    <x v="6"/>
    <x v="1"/>
    <x v="0"/>
    <x v="5"/>
    <x v="10"/>
    <x v="5"/>
    <x v="1"/>
    <x v="1"/>
    <x v="0"/>
    <x v="2"/>
    <x v="2"/>
    <x v="2"/>
    <x v="3"/>
    <x v="3"/>
    <x v="1"/>
    <x v="3"/>
    <x v="1"/>
  </r>
  <r>
    <x v="6"/>
    <x v="1"/>
    <x v="0"/>
    <x v="5"/>
    <x v="11"/>
    <x v="5"/>
    <x v="1"/>
    <x v="1"/>
    <x v="0"/>
    <x v="2"/>
    <x v="2"/>
    <x v="2"/>
    <x v="3"/>
    <x v="1"/>
    <x v="1"/>
    <x v="3"/>
    <x v="1"/>
  </r>
  <r>
    <x v="6"/>
    <x v="1"/>
    <x v="0"/>
    <x v="6"/>
    <x v="7"/>
    <x v="4"/>
    <x v="1"/>
    <x v="1"/>
    <x v="0"/>
    <x v="1"/>
    <x v="4"/>
    <x v="2"/>
    <x v="3"/>
    <x v="3"/>
    <x v="1"/>
    <x v="4"/>
    <x v="1"/>
  </r>
  <r>
    <x v="6"/>
    <x v="1"/>
    <x v="0"/>
    <x v="6"/>
    <x v="8"/>
    <x v="5"/>
    <x v="2"/>
    <x v="1"/>
    <x v="0"/>
    <x v="2"/>
    <x v="2"/>
    <x v="2"/>
    <x v="3"/>
    <x v="1"/>
    <x v="1"/>
    <x v="3"/>
    <x v="1"/>
  </r>
  <r>
    <x v="6"/>
    <x v="1"/>
    <x v="0"/>
    <x v="6"/>
    <x v="9"/>
    <x v="5"/>
    <x v="1"/>
    <x v="1"/>
    <x v="0"/>
    <x v="2"/>
    <x v="2"/>
    <x v="2"/>
    <x v="3"/>
    <x v="1"/>
    <x v="1"/>
    <x v="3"/>
    <x v="0"/>
  </r>
  <r>
    <x v="6"/>
    <x v="1"/>
    <x v="0"/>
    <x v="6"/>
    <x v="10"/>
    <x v="5"/>
    <x v="1"/>
    <x v="1"/>
    <x v="0"/>
    <x v="2"/>
    <x v="2"/>
    <x v="2"/>
    <x v="3"/>
    <x v="1"/>
    <x v="1"/>
    <x v="3"/>
    <x v="1"/>
  </r>
  <r>
    <x v="6"/>
    <x v="1"/>
    <x v="0"/>
    <x v="6"/>
    <x v="11"/>
    <x v="5"/>
    <x v="1"/>
    <x v="1"/>
    <x v="0"/>
    <x v="2"/>
    <x v="2"/>
    <x v="2"/>
    <x v="3"/>
    <x v="1"/>
    <x v="1"/>
    <x v="3"/>
    <x v="1"/>
  </r>
  <r>
    <x v="6"/>
    <x v="1"/>
    <x v="0"/>
    <x v="7"/>
    <x v="7"/>
    <x v="5"/>
    <x v="1"/>
    <x v="1"/>
    <x v="0"/>
    <x v="2"/>
    <x v="2"/>
    <x v="2"/>
    <x v="1"/>
    <x v="3"/>
    <x v="1"/>
    <x v="2"/>
    <x v="1"/>
  </r>
  <r>
    <x v="6"/>
    <x v="1"/>
    <x v="0"/>
    <x v="7"/>
    <x v="8"/>
    <x v="5"/>
    <x v="1"/>
    <x v="1"/>
    <x v="0"/>
    <x v="1"/>
    <x v="4"/>
    <x v="2"/>
    <x v="3"/>
    <x v="1"/>
    <x v="1"/>
    <x v="3"/>
    <x v="1"/>
  </r>
  <r>
    <x v="6"/>
    <x v="1"/>
    <x v="0"/>
    <x v="7"/>
    <x v="9"/>
    <x v="5"/>
    <x v="1"/>
    <x v="1"/>
    <x v="0"/>
    <x v="2"/>
    <x v="2"/>
    <x v="2"/>
    <x v="3"/>
    <x v="1"/>
    <x v="1"/>
    <x v="3"/>
    <x v="0"/>
  </r>
  <r>
    <x v="6"/>
    <x v="1"/>
    <x v="0"/>
    <x v="7"/>
    <x v="10"/>
    <x v="5"/>
    <x v="1"/>
    <x v="1"/>
    <x v="0"/>
    <x v="2"/>
    <x v="2"/>
    <x v="2"/>
    <x v="3"/>
    <x v="1"/>
    <x v="1"/>
    <x v="3"/>
    <x v="1"/>
  </r>
  <r>
    <x v="6"/>
    <x v="1"/>
    <x v="0"/>
    <x v="7"/>
    <x v="11"/>
    <x v="5"/>
    <x v="1"/>
    <x v="1"/>
    <x v="0"/>
    <x v="2"/>
    <x v="2"/>
    <x v="2"/>
    <x v="3"/>
    <x v="1"/>
    <x v="1"/>
    <x v="3"/>
    <x v="1"/>
  </r>
  <r>
    <x v="6"/>
    <x v="1"/>
    <x v="0"/>
    <x v="0"/>
    <x v="18"/>
    <x v="1"/>
    <x v="1"/>
    <x v="2"/>
    <x v="0"/>
    <x v="0"/>
    <x v="2"/>
    <x v="2"/>
    <x v="3"/>
    <x v="4"/>
    <x v="1"/>
    <x v="1"/>
    <x v="3"/>
  </r>
  <r>
    <x v="6"/>
    <x v="1"/>
    <x v="0"/>
    <x v="3"/>
    <x v="1"/>
    <x v="5"/>
    <x v="1"/>
    <x v="4"/>
    <x v="0"/>
    <x v="3"/>
    <x v="2"/>
    <x v="2"/>
    <x v="3"/>
    <x v="3"/>
    <x v="1"/>
    <x v="1"/>
    <x v="3"/>
  </r>
  <r>
    <x v="6"/>
    <x v="1"/>
    <x v="0"/>
    <x v="3"/>
    <x v="2"/>
    <x v="1"/>
    <x v="1"/>
    <x v="1"/>
    <x v="0"/>
    <x v="1"/>
    <x v="2"/>
    <x v="2"/>
    <x v="3"/>
    <x v="2"/>
    <x v="1"/>
    <x v="3"/>
    <x v="1"/>
  </r>
  <r>
    <x v="6"/>
    <x v="1"/>
    <x v="0"/>
    <x v="3"/>
    <x v="3"/>
    <x v="5"/>
    <x v="1"/>
    <x v="4"/>
    <x v="0"/>
    <x v="2"/>
    <x v="2"/>
    <x v="2"/>
    <x v="3"/>
    <x v="1"/>
    <x v="1"/>
    <x v="3"/>
    <x v="1"/>
  </r>
  <r>
    <x v="6"/>
    <x v="1"/>
    <x v="0"/>
    <x v="0"/>
    <x v="19"/>
    <x v="5"/>
    <x v="2"/>
    <x v="1"/>
    <x v="0"/>
    <x v="12"/>
    <x v="1"/>
    <x v="2"/>
    <x v="1"/>
    <x v="4"/>
    <x v="0"/>
    <x v="0"/>
    <x v="3"/>
  </r>
  <r>
    <x v="6"/>
    <x v="1"/>
    <x v="0"/>
    <x v="4"/>
    <x v="4"/>
    <x v="5"/>
    <x v="1"/>
    <x v="1"/>
    <x v="0"/>
    <x v="0"/>
    <x v="4"/>
    <x v="2"/>
    <x v="1"/>
    <x v="2"/>
    <x v="1"/>
    <x v="4"/>
    <x v="1"/>
  </r>
  <r>
    <x v="6"/>
    <x v="1"/>
    <x v="0"/>
    <x v="4"/>
    <x v="5"/>
    <x v="5"/>
    <x v="2"/>
    <x v="1"/>
    <x v="0"/>
    <x v="1"/>
    <x v="4"/>
    <x v="2"/>
    <x v="3"/>
    <x v="3"/>
    <x v="0"/>
    <x v="2"/>
    <x v="3"/>
  </r>
  <r>
    <x v="6"/>
    <x v="1"/>
    <x v="0"/>
    <x v="4"/>
    <x v="6"/>
    <x v="5"/>
    <x v="1"/>
    <x v="1"/>
    <x v="0"/>
    <x v="2"/>
    <x v="2"/>
    <x v="2"/>
    <x v="3"/>
    <x v="1"/>
    <x v="1"/>
    <x v="3"/>
    <x v="1"/>
  </r>
  <r>
    <x v="6"/>
    <x v="2"/>
    <x v="1"/>
    <x v="0"/>
    <x v="20"/>
    <x v="4"/>
    <x v="0"/>
    <x v="2"/>
    <x v="1"/>
    <x v="3"/>
    <x v="2"/>
    <x v="3"/>
    <x v="4"/>
    <x v="1"/>
    <x v="0"/>
    <x v="3"/>
    <x v="1"/>
  </r>
  <r>
    <x v="6"/>
    <x v="2"/>
    <x v="1"/>
    <x v="1"/>
    <x v="1"/>
    <x v="5"/>
    <x v="2"/>
    <x v="4"/>
    <x v="4"/>
    <x v="2"/>
    <x v="2"/>
    <x v="2"/>
    <x v="1"/>
    <x v="1"/>
    <x v="0"/>
    <x v="3"/>
    <x v="1"/>
  </r>
  <r>
    <x v="6"/>
    <x v="2"/>
    <x v="1"/>
    <x v="1"/>
    <x v="2"/>
    <x v="5"/>
    <x v="1"/>
    <x v="4"/>
    <x v="2"/>
    <x v="2"/>
    <x v="2"/>
    <x v="2"/>
    <x v="1"/>
    <x v="1"/>
    <x v="1"/>
    <x v="3"/>
    <x v="1"/>
  </r>
  <r>
    <x v="6"/>
    <x v="2"/>
    <x v="1"/>
    <x v="1"/>
    <x v="3"/>
    <x v="5"/>
    <x v="2"/>
    <x v="1"/>
    <x v="0"/>
    <x v="2"/>
    <x v="2"/>
    <x v="2"/>
    <x v="3"/>
    <x v="1"/>
    <x v="1"/>
    <x v="3"/>
    <x v="1"/>
  </r>
  <r>
    <x v="6"/>
    <x v="2"/>
    <x v="1"/>
    <x v="1"/>
    <x v="4"/>
    <x v="5"/>
    <x v="1"/>
    <x v="1"/>
    <x v="2"/>
    <x v="1"/>
    <x v="2"/>
    <x v="3"/>
    <x v="1"/>
    <x v="1"/>
    <x v="1"/>
    <x v="3"/>
    <x v="1"/>
  </r>
  <r>
    <x v="6"/>
    <x v="2"/>
    <x v="1"/>
    <x v="1"/>
    <x v="5"/>
    <x v="4"/>
    <x v="1"/>
    <x v="1"/>
    <x v="2"/>
    <x v="1"/>
    <x v="2"/>
    <x v="2"/>
    <x v="1"/>
    <x v="1"/>
    <x v="1"/>
    <x v="3"/>
    <x v="1"/>
  </r>
  <r>
    <x v="6"/>
    <x v="2"/>
    <x v="1"/>
    <x v="1"/>
    <x v="6"/>
    <x v="5"/>
    <x v="1"/>
    <x v="1"/>
    <x v="0"/>
    <x v="2"/>
    <x v="2"/>
    <x v="2"/>
    <x v="3"/>
    <x v="1"/>
    <x v="1"/>
    <x v="3"/>
    <x v="1"/>
  </r>
  <r>
    <x v="6"/>
    <x v="2"/>
    <x v="1"/>
    <x v="8"/>
    <x v="1"/>
    <x v="5"/>
    <x v="22"/>
    <x v="15"/>
    <x v="250"/>
    <x v="2"/>
    <x v="207"/>
    <x v="2"/>
    <x v="338"/>
    <x v="238"/>
    <x v="0"/>
    <x v="254"/>
    <x v="172"/>
  </r>
  <r>
    <x v="6"/>
    <x v="2"/>
    <x v="1"/>
    <x v="8"/>
    <x v="2"/>
    <x v="5"/>
    <x v="1"/>
    <x v="15"/>
    <x v="134"/>
    <x v="2"/>
    <x v="207"/>
    <x v="2"/>
    <x v="338"/>
    <x v="238"/>
    <x v="1"/>
    <x v="254"/>
    <x v="172"/>
  </r>
  <r>
    <x v="6"/>
    <x v="2"/>
    <x v="1"/>
    <x v="8"/>
    <x v="3"/>
    <x v="5"/>
    <x v="22"/>
    <x v="1"/>
    <x v="0"/>
    <x v="2"/>
    <x v="207"/>
    <x v="2"/>
    <x v="3"/>
    <x v="238"/>
    <x v="1"/>
    <x v="254"/>
    <x v="172"/>
  </r>
  <r>
    <x v="6"/>
    <x v="2"/>
    <x v="1"/>
    <x v="8"/>
    <x v="4"/>
    <x v="5"/>
    <x v="1"/>
    <x v="1"/>
    <x v="134"/>
    <x v="10"/>
    <x v="207"/>
    <x v="3"/>
    <x v="338"/>
    <x v="238"/>
    <x v="1"/>
    <x v="254"/>
    <x v="172"/>
  </r>
  <r>
    <x v="6"/>
    <x v="2"/>
    <x v="1"/>
    <x v="8"/>
    <x v="5"/>
    <x v="4"/>
    <x v="1"/>
    <x v="1"/>
    <x v="134"/>
    <x v="10"/>
    <x v="207"/>
    <x v="2"/>
    <x v="338"/>
    <x v="238"/>
    <x v="1"/>
    <x v="254"/>
    <x v="172"/>
  </r>
  <r>
    <x v="6"/>
    <x v="2"/>
    <x v="1"/>
    <x v="8"/>
    <x v="6"/>
    <x v="5"/>
    <x v="1"/>
    <x v="1"/>
    <x v="0"/>
    <x v="2"/>
    <x v="207"/>
    <x v="2"/>
    <x v="3"/>
    <x v="238"/>
    <x v="1"/>
    <x v="254"/>
    <x v="172"/>
  </r>
  <r>
    <x v="6"/>
    <x v="2"/>
    <x v="1"/>
    <x v="2"/>
    <x v="7"/>
    <x v="5"/>
    <x v="0"/>
    <x v="4"/>
    <x v="5"/>
    <x v="1"/>
    <x v="2"/>
    <x v="3"/>
    <x v="2"/>
    <x v="1"/>
    <x v="0"/>
    <x v="3"/>
    <x v="1"/>
  </r>
  <r>
    <x v="6"/>
    <x v="2"/>
    <x v="1"/>
    <x v="2"/>
    <x v="8"/>
    <x v="4"/>
    <x v="1"/>
    <x v="4"/>
    <x v="4"/>
    <x v="1"/>
    <x v="2"/>
    <x v="2"/>
    <x v="1"/>
    <x v="1"/>
    <x v="1"/>
    <x v="3"/>
    <x v="1"/>
  </r>
  <r>
    <x v="6"/>
    <x v="2"/>
    <x v="1"/>
    <x v="2"/>
    <x v="9"/>
    <x v="5"/>
    <x v="1"/>
    <x v="1"/>
    <x v="0"/>
    <x v="2"/>
    <x v="2"/>
    <x v="2"/>
    <x v="3"/>
    <x v="1"/>
    <x v="1"/>
    <x v="3"/>
    <x v="1"/>
  </r>
  <r>
    <x v="6"/>
    <x v="2"/>
    <x v="1"/>
    <x v="2"/>
    <x v="10"/>
    <x v="5"/>
    <x v="1"/>
    <x v="1"/>
    <x v="0"/>
    <x v="2"/>
    <x v="2"/>
    <x v="2"/>
    <x v="1"/>
    <x v="1"/>
    <x v="1"/>
    <x v="3"/>
    <x v="1"/>
  </r>
  <r>
    <x v="6"/>
    <x v="2"/>
    <x v="1"/>
    <x v="2"/>
    <x v="11"/>
    <x v="5"/>
    <x v="1"/>
    <x v="1"/>
    <x v="0"/>
    <x v="2"/>
    <x v="2"/>
    <x v="2"/>
    <x v="3"/>
    <x v="1"/>
    <x v="1"/>
    <x v="3"/>
    <x v="1"/>
  </r>
  <r>
    <x v="6"/>
    <x v="2"/>
    <x v="1"/>
    <x v="0"/>
    <x v="21"/>
    <x v="5"/>
    <x v="0"/>
    <x v="2"/>
    <x v="5"/>
    <x v="2"/>
    <x v="2"/>
    <x v="2"/>
    <x v="2"/>
    <x v="1"/>
    <x v="0"/>
    <x v="3"/>
    <x v="1"/>
  </r>
  <r>
    <x v="6"/>
    <x v="2"/>
    <x v="1"/>
    <x v="3"/>
    <x v="1"/>
    <x v="5"/>
    <x v="2"/>
    <x v="4"/>
    <x v="4"/>
    <x v="2"/>
    <x v="2"/>
    <x v="2"/>
    <x v="1"/>
    <x v="1"/>
    <x v="0"/>
    <x v="3"/>
    <x v="1"/>
  </r>
  <r>
    <x v="6"/>
    <x v="2"/>
    <x v="1"/>
    <x v="3"/>
    <x v="2"/>
    <x v="5"/>
    <x v="1"/>
    <x v="4"/>
    <x v="2"/>
    <x v="2"/>
    <x v="2"/>
    <x v="2"/>
    <x v="1"/>
    <x v="1"/>
    <x v="1"/>
    <x v="3"/>
    <x v="1"/>
  </r>
  <r>
    <x v="6"/>
    <x v="2"/>
    <x v="1"/>
    <x v="3"/>
    <x v="3"/>
    <x v="5"/>
    <x v="2"/>
    <x v="1"/>
    <x v="0"/>
    <x v="2"/>
    <x v="2"/>
    <x v="2"/>
    <x v="3"/>
    <x v="1"/>
    <x v="1"/>
    <x v="3"/>
    <x v="1"/>
  </r>
  <r>
    <x v="6"/>
    <x v="2"/>
    <x v="1"/>
    <x v="9"/>
    <x v="1"/>
    <x v="5"/>
    <x v="92"/>
    <x v="79"/>
    <x v="11"/>
    <x v="2"/>
    <x v="2"/>
    <x v="2"/>
    <x v="7"/>
    <x v="1"/>
    <x v="0"/>
    <x v="3"/>
    <x v="4"/>
  </r>
  <r>
    <x v="6"/>
    <x v="2"/>
    <x v="1"/>
    <x v="9"/>
    <x v="2"/>
    <x v="5"/>
    <x v="1"/>
    <x v="79"/>
    <x v="23"/>
    <x v="2"/>
    <x v="2"/>
    <x v="2"/>
    <x v="7"/>
    <x v="1"/>
    <x v="1"/>
    <x v="3"/>
    <x v="4"/>
  </r>
  <r>
    <x v="6"/>
    <x v="2"/>
    <x v="1"/>
    <x v="9"/>
    <x v="3"/>
    <x v="5"/>
    <x v="92"/>
    <x v="1"/>
    <x v="0"/>
    <x v="2"/>
    <x v="2"/>
    <x v="2"/>
    <x v="3"/>
    <x v="1"/>
    <x v="1"/>
    <x v="3"/>
    <x v="4"/>
  </r>
  <r>
    <x v="6"/>
    <x v="2"/>
    <x v="1"/>
    <x v="0"/>
    <x v="22"/>
    <x v="4"/>
    <x v="1"/>
    <x v="2"/>
    <x v="1"/>
    <x v="3"/>
    <x v="2"/>
    <x v="3"/>
    <x v="2"/>
    <x v="1"/>
    <x v="0"/>
    <x v="3"/>
    <x v="1"/>
  </r>
  <r>
    <x v="6"/>
    <x v="2"/>
    <x v="1"/>
    <x v="4"/>
    <x v="4"/>
    <x v="5"/>
    <x v="1"/>
    <x v="2"/>
    <x v="5"/>
    <x v="1"/>
    <x v="2"/>
    <x v="3"/>
    <x v="1"/>
    <x v="1"/>
    <x v="0"/>
    <x v="3"/>
    <x v="1"/>
  </r>
  <r>
    <x v="6"/>
    <x v="2"/>
    <x v="1"/>
    <x v="4"/>
    <x v="5"/>
    <x v="4"/>
    <x v="1"/>
    <x v="1"/>
    <x v="4"/>
    <x v="1"/>
    <x v="2"/>
    <x v="2"/>
    <x v="1"/>
    <x v="1"/>
    <x v="1"/>
    <x v="3"/>
    <x v="1"/>
  </r>
  <r>
    <x v="6"/>
    <x v="2"/>
    <x v="1"/>
    <x v="4"/>
    <x v="6"/>
    <x v="5"/>
    <x v="1"/>
    <x v="1"/>
    <x v="0"/>
    <x v="2"/>
    <x v="2"/>
    <x v="2"/>
    <x v="3"/>
    <x v="1"/>
    <x v="1"/>
    <x v="3"/>
    <x v="1"/>
  </r>
  <r>
    <x v="6"/>
    <x v="2"/>
    <x v="1"/>
    <x v="10"/>
    <x v="4"/>
    <x v="5"/>
    <x v="1"/>
    <x v="13"/>
    <x v="9"/>
    <x v="10"/>
    <x v="2"/>
    <x v="26"/>
    <x v="7"/>
    <x v="1"/>
    <x v="3"/>
    <x v="3"/>
    <x v="1"/>
  </r>
  <r>
    <x v="6"/>
    <x v="2"/>
    <x v="1"/>
    <x v="10"/>
    <x v="5"/>
    <x v="15"/>
    <x v="1"/>
    <x v="1"/>
    <x v="8"/>
    <x v="10"/>
    <x v="2"/>
    <x v="2"/>
    <x v="7"/>
    <x v="1"/>
    <x v="1"/>
    <x v="3"/>
    <x v="1"/>
  </r>
  <r>
    <x v="6"/>
    <x v="2"/>
    <x v="1"/>
    <x v="10"/>
    <x v="6"/>
    <x v="5"/>
    <x v="1"/>
    <x v="1"/>
    <x v="0"/>
    <x v="2"/>
    <x v="2"/>
    <x v="2"/>
    <x v="3"/>
    <x v="1"/>
    <x v="1"/>
    <x v="3"/>
    <x v="1"/>
  </r>
  <r>
    <x v="6"/>
    <x v="0"/>
    <x v="2"/>
    <x v="0"/>
    <x v="23"/>
    <x v="7"/>
    <x v="16"/>
    <x v="11"/>
    <x v="126"/>
    <x v="13"/>
    <x v="223"/>
    <x v="234"/>
    <x v="17"/>
    <x v="168"/>
    <x v="31"/>
    <x v="12"/>
    <x v="279"/>
  </r>
  <r>
    <x v="6"/>
    <x v="0"/>
    <x v="2"/>
    <x v="1"/>
    <x v="1"/>
    <x v="5"/>
    <x v="2"/>
    <x v="2"/>
    <x v="5"/>
    <x v="0"/>
    <x v="3"/>
    <x v="4"/>
    <x v="4"/>
    <x v="5"/>
    <x v="26"/>
    <x v="35"/>
    <x v="34"/>
  </r>
  <r>
    <x v="6"/>
    <x v="0"/>
    <x v="2"/>
    <x v="1"/>
    <x v="2"/>
    <x v="1"/>
    <x v="0"/>
    <x v="6"/>
    <x v="5"/>
    <x v="0"/>
    <x v="3"/>
    <x v="4"/>
    <x v="4"/>
    <x v="0"/>
    <x v="26"/>
    <x v="36"/>
    <x v="103"/>
  </r>
  <r>
    <x v="6"/>
    <x v="0"/>
    <x v="2"/>
    <x v="1"/>
    <x v="3"/>
    <x v="5"/>
    <x v="2"/>
    <x v="4"/>
    <x v="2"/>
    <x v="1"/>
    <x v="4"/>
    <x v="3"/>
    <x v="1"/>
    <x v="3"/>
    <x v="0"/>
    <x v="2"/>
    <x v="0"/>
  </r>
  <r>
    <x v="6"/>
    <x v="0"/>
    <x v="2"/>
    <x v="1"/>
    <x v="4"/>
    <x v="5"/>
    <x v="1"/>
    <x v="1"/>
    <x v="2"/>
    <x v="3"/>
    <x v="1"/>
    <x v="4"/>
    <x v="4"/>
    <x v="0"/>
    <x v="26"/>
    <x v="19"/>
    <x v="32"/>
  </r>
  <r>
    <x v="6"/>
    <x v="0"/>
    <x v="2"/>
    <x v="1"/>
    <x v="5"/>
    <x v="4"/>
    <x v="2"/>
    <x v="4"/>
    <x v="4"/>
    <x v="3"/>
    <x v="1"/>
    <x v="1"/>
    <x v="5"/>
    <x v="4"/>
    <x v="8"/>
    <x v="0"/>
    <x v="34"/>
  </r>
  <r>
    <x v="6"/>
    <x v="0"/>
    <x v="2"/>
    <x v="1"/>
    <x v="6"/>
    <x v="5"/>
    <x v="1"/>
    <x v="1"/>
    <x v="0"/>
    <x v="2"/>
    <x v="2"/>
    <x v="2"/>
    <x v="3"/>
    <x v="1"/>
    <x v="1"/>
    <x v="3"/>
    <x v="1"/>
  </r>
  <r>
    <x v="6"/>
    <x v="0"/>
    <x v="2"/>
    <x v="2"/>
    <x v="7"/>
    <x v="4"/>
    <x v="4"/>
    <x v="3"/>
    <x v="13"/>
    <x v="7"/>
    <x v="11"/>
    <x v="7"/>
    <x v="14"/>
    <x v="23"/>
    <x v="20"/>
    <x v="13"/>
    <x v="14"/>
  </r>
  <r>
    <x v="6"/>
    <x v="0"/>
    <x v="2"/>
    <x v="2"/>
    <x v="8"/>
    <x v="1"/>
    <x v="0"/>
    <x v="6"/>
    <x v="3"/>
    <x v="5"/>
    <x v="9"/>
    <x v="14"/>
    <x v="10"/>
    <x v="9"/>
    <x v="6"/>
    <x v="11"/>
    <x v="8"/>
  </r>
  <r>
    <x v="6"/>
    <x v="0"/>
    <x v="2"/>
    <x v="2"/>
    <x v="9"/>
    <x v="5"/>
    <x v="1"/>
    <x v="1"/>
    <x v="0"/>
    <x v="2"/>
    <x v="2"/>
    <x v="2"/>
    <x v="3"/>
    <x v="1"/>
    <x v="1"/>
    <x v="3"/>
    <x v="3"/>
  </r>
  <r>
    <x v="6"/>
    <x v="0"/>
    <x v="2"/>
    <x v="2"/>
    <x v="10"/>
    <x v="5"/>
    <x v="1"/>
    <x v="1"/>
    <x v="0"/>
    <x v="2"/>
    <x v="2"/>
    <x v="2"/>
    <x v="1"/>
    <x v="3"/>
    <x v="0"/>
    <x v="2"/>
    <x v="0"/>
  </r>
  <r>
    <x v="6"/>
    <x v="0"/>
    <x v="2"/>
    <x v="2"/>
    <x v="11"/>
    <x v="5"/>
    <x v="1"/>
    <x v="1"/>
    <x v="0"/>
    <x v="2"/>
    <x v="2"/>
    <x v="2"/>
    <x v="3"/>
    <x v="1"/>
    <x v="1"/>
    <x v="3"/>
    <x v="1"/>
  </r>
  <r>
    <x v="6"/>
    <x v="0"/>
    <x v="2"/>
    <x v="0"/>
    <x v="24"/>
    <x v="1"/>
    <x v="5"/>
    <x v="0"/>
    <x v="10"/>
    <x v="6"/>
    <x v="13"/>
    <x v="7"/>
    <x v="14"/>
    <x v="13"/>
    <x v="11"/>
    <x v="25"/>
    <x v="11"/>
  </r>
  <r>
    <x v="6"/>
    <x v="0"/>
    <x v="2"/>
    <x v="3"/>
    <x v="1"/>
    <x v="5"/>
    <x v="2"/>
    <x v="2"/>
    <x v="5"/>
    <x v="0"/>
    <x v="3"/>
    <x v="4"/>
    <x v="4"/>
    <x v="5"/>
    <x v="26"/>
    <x v="35"/>
    <x v="18"/>
  </r>
  <r>
    <x v="6"/>
    <x v="0"/>
    <x v="2"/>
    <x v="3"/>
    <x v="2"/>
    <x v="1"/>
    <x v="0"/>
    <x v="6"/>
    <x v="5"/>
    <x v="0"/>
    <x v="3"/>
    <x v="4"/>
    <x v="4"/>
    <x v="0"/>
    <x v="26"/>
    <x v="36"/>
    <x v="103"/>
  </r>
  <r>
    <x v="6"/>
    <x v="0"/>
    <x v="2"/>
    <x v="3"/>
    <x v="3"/>
    <x v="5"/>
    <x v="2"/>
    <x v="4"/>
    <x v="2"/>
    <x v="1"/>
    <x v="4"/>
    <x v="3"/>
    <x v="1"/>
    <x v="3"/>
    <x v="0"/>
    <x v="2"/>
    <x v="0"/>
  </r>
  <r>
    <x v="6"/>
    <x v="0"/>
    <x v="2"/>
    <x v="0"/>
    <x v="25"/>
    <x v="4"/>
    <x v="2"/>
    <x v="6"/>
    <x v="13"/>
    <x v="6"/>
    <x v="13"/>
    <x v="11"/>
    <x v="163"/>
    <x v="15"/>
    <x v="158"/>
    <x v="18"/>
    <x v="177"/>
  </r>
  <r>
    <x v="6"/>
    <x v="0"/>
    <x v="2"/>
    <x v="4"/>
    <x v="4"/>
    <x v="5"/>
    <x v="1"/>
    <x v="2"/>
    <x v="5"/>
    <x v="12"/>
    <x v="0"/>
    <x v="14"/>
    <x v="10"/>
    <x v="18"/>
    <x v="5"/>
    <x v="9"/>
    <x v="6"/>
  </r>
  <r>
    <x v="6"/>
    <x v="0"/>
    <x v="2"/>
    <x v="4"/>
    <x v="5"/>
    <x v="4"/>
    <x v="2"/>
    <x v="4"/>
    <x v="5"/>
    <x v="0"/>
    <x v="3"/>
    <x v="4"/>
    <x v="4"/>
    <x v="5"/>
    <x v="26"/>
    <x v="35"/>
    <x v="18"/>
  </r>
  <r>
    <x v="6"/>
    <x v="0"/>
    <x v="2"/>
    <x v="4"/>
    <x v="6"/>
    <x v="5"/>
    <x v="1"/>
    <x v="1"/>
    <x v="0"/>
    <x v="2"/>
    <x v="2"/>
    <x v="2"/>
    <x v="3"/>
    <x v="1"/>
    <x v="1"/>
    <x v="3"/>
    <x v="1"/>
  </r>
  <r>
    <x v="6"/>
    <x v="1"/>
    <x v="2"/>
    <x v="0"/>
    <x v="26"/>
    <x v="1"/>
    <x v="4"/>
    <x v="5"/>
    <x v="1"/>
    <x v="17"/>
    <x v="223"/>
    <x v="152"/>
    <x v="259"/>
    <x v="168"/>
    <x v="347"/>
    <x v="12"/>
    <x v="279"/>
  </r>
  <r>
    <x v="6"/>
    <x v="1"/>
    <x v="2"/>
    <x v="1"/>
    <x v="1"/>
    <x v="5"/>
    <x v="1"/>
    <x v="4"/>
    <x v="2"/>
    <x v="0"/>
    <x v="3"/>
    <x v="4"/>
    <x v="5"/>
    <x v="5"/>
    <x v="8"/>
    <x v="35"/>
    <x v="34"/>
  </r>
  <r>
    <x v="6"/>
    <x v="1"/>
    <x v="2"/>
    <x v="1"/>
    <x v="2"/>
    <x v="1"/>
    <x v="0"/>
    <x v="2"/>
    <x v="4"/>
    <x v="0"/>
    <x v="3"/>
    <x v="4"/>
    <x v="5"/>
    <x v="0"/>
    <x v="26"/>
    <x v="36"/>
    <x v="103"/>
  </r>
  <r>
    <x v="6"/>
    <x v="1"/>
    <x v="2"/>
    <x v="1"/>
    <x v="3"/>
    <x v="5"/>
    <x v="1"/>
    <x v="4"/>
    <x v="2"/>
    <x v="1"/>
    <x v="4"/>
    <x v="3"/>
    <x v="1"/>
    <x v="3"/>
    <x v="0"/>
    <x v="2"/>
    <x v="0"/>
  </r>
  <r>
    <x v="6"/>
    <x v="1"/>
    <x v="2"/>
    <x v="1"/>
    <x v="4"/>
    <x v="5"/>
    <x v="1"/>
    <x v="1"/>
    <x v="0"/>
    <x v="1"/>
    <x v="1"/>
    <x v="1"/>
    <x v="5"/>
    <x v="0"/>
    <x v="26"/>
    <x v="19"/>
    <x v="32"/>
  </r>
  <r>
    <x v="6"/>
    <x v="1"/>
    <x v="2"/>
    <x v="1"/>
    <x v="5"/>
    <x v="5"/>
    <x v="2"/>
    <x v="4"/>
    <x v="2"/>
    <x v="1"/>
    <x v="1"/>
    <x v="1"/>
    <x v="2"/>
    <x v="4"/>
    <x v="8"/>
    <x v="0"/>
    <x v="34"/>
  </r>
  <r>
    <x v="6"/>
    <x v="1"/>
    <x v="2"/>
    <x v="1"/>
    <x v="6"/>
    <x v="5"/>
    <x v="1"/>
    <x v="1"/>
    <x v="0"/>
    <x v="2"/>
    <x v="2"/>
    <x v="2"/>
    <x v="3"/>
    <x v="1"/>
    <x v="1"/>
    <x v="3"/>
    <x v="1"/>
  </r>
  <r>
    <x v="6"/>
    <x v="1"/>
    <x v="2"/>
    <x v="11"/>
    <x v="1"/>
    <x v="5"/>
    <x v="1"/>
    <x v="28"/>
    <x v="134"/>
    <x v="8"/>
    <x v="26"/>
    <x v="160"/>
    <x v="338"/>
    <x v="334"/>
    <x v="268"/>
    <x v="368"/>
    <x v="380"/>
  </r>
  <r>
    <x v="6"/>
    <x v="1"/>
    <x v="2"/>
    <x v="11"/>
    <x v="2"/>
    <x v="4"/>
    <x v="100"/>
    <x v="29"/>
    <x v="250"/>
    <x v="8"/>
    <x v="26"/>
    <x v="160"/>
    <x v="338"/>
    <x v="26"/>
    <x v="348"/>
    <x v="369"/>
    <x v="111"/>
  </r>
  <r>
    <x v="6"/>
    <x v="1"/>
    <x v="2"/>
    <x v="11"/>
    <x v="3"/>
    <x v="5"/>
    <x v="1"/>
    <x v="28"/>
    <x v="134"/>
    <x v="304"/>
    <x v="302"/>
    <x v="316"/>
    <x v="339"/>
    <x v="165"/>
    <x v="270"/>
    <x v="370"/>
    <x v="381"/>
  </r>
  <r>
    <x v="6"/>
    <x v="1"/>
    <x v="2"/>
    <x v="11"/>
    <x v="4"/>
    <x v="5"/>
    <x v="1"/>
    <x v="1"/>
    <x v="0"/>
    <x v="304"/>
    <x v="25"/>
    <x v="317"/>
    <x v="338"/>
    <x v="26"/>
    <x v="348"/>
    <x v="371"/>
    <x v="183"/>
  </r>
  <r>
    <x v="6"/>
    <x v="1"/>
    <x v="2"/>
    <x v="11"/>
    <x v="5"/>
    <x v="5"/>
    <x v="7"/>
    <x v="28"/>
    <x v="134"/>
    <x v="304"/>
    <x v="25"/>
    <x v="317"/>
    <x v="34"/>
    <x v="335"/>
    <x v="268"/>
    <x v="372"/>
    <x v="380"/>
  </r>
  <r>
    <x v="6"/>
    <x v="1"/>
    <x v="2"/>
    <x v="11"/>
    <x v="6"/>
    <x v="5"/>
    <x v="1"/>
    <x v="1"/>
    <x v="0"/>
    <x v="2"/>
    <x v="2"/>
    <x v="2"/>
    <x v="3"/>
    <x v="1"/>
    <x v="1"/>
    <x v="3"/>
    <x v="1"/>
  </r>
  <r>
    <x v="6"/>
    <x v="1"/>
    <x v="2"/>
    <x v="2"/>
    <x v="7"/>
    <x v="4"/>
    <x v="2"/>
    <x v="6"/>
    <x v="5"/>
    <x v="5"/>
    <x v="11"/>
    <x v="16"/>
    <x v="12"/>
    <x v="23"/>
    <x v="6"/>
    <x v="13"/>
    <x v="14"/>
  </r>
  <r>
    <x v="6"/>
    <x v="1"/>
    <x v="2"/>
    <x v="2"/>
    <x v="8"/>
    <x v="4"/>
    <x v="0"/>
    <x v="2"/>
    <x v="4"/>
    <x v="12"/>
    <x v="9"/>
    <x v="14"/>
    <x v="0"/>
    <x v="9"/>
    <x v="6"/>
    <x v="11"/>
    <x v="8"/>
  </r>
  <r>
    <x v="6"/>
    <x v="1"/>
    <x v="2"/>
    <x v="2"/>
    <x v="9"/>
    <x v="5"/>
    <x v="1"/>
    <x v="1"/>
    <x v="0"/>
    <x v="2"/>
    <x v="2"/>
    <x v="2"/>
    <x v="3"/>
    <x v="1"/>
    <x v="1"/>
    <x v="3"/>
    <x v="3"/>
  </r>
  <r>
    <x v="6"/>
    <x v="1"/>
    <x v="2"/>
    <x v="2"/>
    <x v="10"/>
    <x v="5"/>
    <x v="1"/>
    <x v="1"/>
    <x v="0"/>
    <x v="2"/>
    <x v="2"/>
    <x v="2"/>
    <x v="3"/>
    <x v="3"/>
    <x v="0"/>
    <x v="2"/>
    <x v="0"/>
  </r>
  <r>
    <x v="6"/>
    <x v="1"/>
    <x v="2"/>
    <x v="2"/>
    <x v="11"/>
    <x v="5"/>
    <x v="1"/>
    <x v="1"/>
    <x v="0"/>
    <x v="2"/>
    <x v="2"/>
    <x v="2"/>
    <x v="3"/>
    <x v="1"/>
    <x v="1"/>
    <x v="3"/>
    <x v="1"/>
  </r>
  <r>
    <x v="6"/>
    <x v="1"/>
    <x v="2"/>
    <x v="0"/>
    <x v="27"/>
    <x v="1"/>
    <x v="0"/>
    <x v="3"/>
    <x v="3"/>
    <x v="6"/>
    <x v="13"/>
    <x v="7"/>
    <x v="12"/>
    <x v="13"/>
    <x v="20"/>
    <x v="25"/>
    <x v="11"/>
  </r>
  <r>
    <x v="6"/>
    <x v="1"/>
    <x v="2"/>
    <x v="3"/>
    <x v="1"/>
    <x v="5"/>
    <x v="1"/>
    <x v="4"/>
    <x v="2"/>
    <x v="0"/>
    <x v="3"/>
    <x v="4"/>
    <x v="5"/>
    <x v="5"/>
    <x v="8"/>
    <x v="35"/>
    <x v="18"/>
  </r>
  <r>
    <x v="6"/>
    <x v="1"/>
    <x v="2"/>
    <x v="3"/>
    <x v="2"/>
    <x v="1"/>
    <x v="0"/>
    <x v="2"/>
    <x v="4"/>
    <x v="0"/>
    <x v="3"/>
    <x v="4"/>
    <x v="5"/>
    <x v="0"/>
    <x v="26"/>
    <x v="36"/>
    <x v="103"/>
  </r>
  <r>
    <x v="6"/>
    <x v="1"/>
    <x v="2"/>
    <x v="3"/>
    <x v="3"/>
    <x v="5"/>
    <x v="1"/>
    <x v="4"/>
    <x v="2"/>
    <x v="1"/>
    <x v="4"/>
    <x v="3"/>
    <x v="1"/>
    <x v="3"/>
    <x v="0"/>
    <x v="2"/>
    <x v="0"/>
  </r>
  <r>
    <x v="6"/>
    <x v="1"/>
    <x v="2"/>
    <x v="12"/>
    <x v="1"/>
    <x v="5"/>
    <x v="1"/>
    <x v="16"/>
    <x v="8"/>
    <x v="100"/>
    <x v="97"/>
    <x v="318"/>
    <x v="340"/>
    <x v="336"/>
    <x v="169"/>
    <x v="6"/>
    <x v="382"/>
  </r>
  <r>
    <x v="6"/>
    <x v="1"/>
    <x v="2"/>
    <x v="12"/>
    <x v="2"/>
    <x v="4"/>
    <x v="2"/>
    <x v="15"/>
    <x v="24"/>
    <x v="100"/>
    <x v="97"/>
    <x v="318"/>
    <x v="340"/>
    <x v="105"/>
    <x v="3"/>
    <x v="373"/>
    <x v="27"/>
  </r>
  <r>
    <x v="6"/>
    <x v="1"/>
    <x v="2"/>
    <x v="12"/>
    <x v="3"/>
    <x v="5"/>
    <x v="1"/>
    <x v="16"/>
    <x v="8"/>
    <x v="101"/>
    <x v="98"/>
    <x v="319"/>
    <x v="22"/>
    <x v="337"/>
    <x v="93"/>
    <x v="374"/>
    <x v="383"/>
  </r>
  <r>
    <x v="6"/>
    <x v="1"/>
    <x v="2"/>
    <x v="0"/>
    <x v="28"/>
    <x v="5"/>
    <x v="2"/>
    <x v="4"/>
    <x v="2"/>
    <x v="5"/>
    <x v="13"/>
    <x v="7"/>
    <x v="9"/>
    <x v="15"/>
    <x v="10"/>
    <x v="18"/>
    <x v="177"/>
  </r>
  <r>
    <x v="6"/>
    <x v="1"/>
    <x v="2"/>
    <x v="4"/>
    <x v="4"/>
    <x v="5"/>
    <x v="1"/>
    <x v="1"/>
    <x v="0"/>
    <x v="0"/>
    <x v="0"/>
    <x v="0"/>
    <x v="0"/>
    <x v="18"/>
    <x v="97"/>
    <x v="9"/>
    <x v="6"/>
  </r>
  <r>
    <x v="6"/>
    <x v="1"/>
    <x v="2"/>
    <x v="4"/>
    <x v="5"/>
    <x v="5"/>
    <x v="2"/>
    <x v="4"/>
    <x v="2"/>
    <x v="3"/>
    <x v="3"/>
    <x v="4"/>
    <x v="5"/>
    <x v="5"/>
    <x v="26"/>
    <x v="35"/>
    <x v="18"/>
  </r>
  <r>
    <x v="6"/>
    <x v="1"/>
    <x v="2"/>
    <x v="4"/>
    <x v="6"/>
    <x v="5"/>
    <x v="1"/>
    <x v="1"/>
    <x v="0"/>
    <x v="2"/>
    <x v="2"/>
    <x v="2"/>
    <x v="3"/>
    <x v="1"/>
    <x v="1"/>
    <x v="3"/>
    <x v="1"/>
  </r>
  <r>
    <x v="6"/>
    <x v="1"/>
    <x v="2"/>
    <x v="13"/>
    <x v="4"/>
    <x v="108"/>
    <x v="1"/>
    <x v="1"/>
    <x v="0"/>
    <x v="102"/>
    <x v="303"/>
    <x v="320"/>
    <x v="268"/>
    <x v="338"/>
    <x v="349"/>
    <x v="108"/>
    <x v="108"/>
  </r>
  <r>
    <x v="6"/>
    <x v="1"/>
    <x v="2"/>
    <x v="13"/>
    <x v="5"/>
    <x v="108"/>
    <x v="2"/>
    <x v="4"/>
    <x v="2"/>
    <x v="159"/>
    <x v="97"/>
    <x v="318"/>
    <x v="269"/>
    <x v="339"/>
    <x v="350"/>
    <x v="175"/>
    <x v="384"/>
  </r>
  <r>
    <x v="6"/>
    <x v="1"/>
    <x v="2"/>
    <x v="13"/>
    <x v="6"/>
    <x v="108"/>
    <x v="1"/>
    <x v="1"/>
    <x v="0"/>
    <x v="2"/>
    <x v="2"/>
    <x v="2"/>
    <x v="3"/>
    <x v="1"/>
    <x v="1"/>
    <x v="3"/>
    <x v="1"/>
  </r>
  <r>
    <x v="6"/>
    <x v="1"/>
    <x v="2"/>
    <x v="0"/>
    <x v="29"/>
    <x v="4"/>
    <x v="2"/>
    <x v="6"/>
    <x v="5"/>
    <x v="5"/>
    <x v="9"/>
    <x v="14"/>
    <x v="0"/>
    <x v="23"/>
    <x v="20"/>
    <x v="9"/>
    <x v="6"/>
  </r>
  <r>
    <x v="6"/>
    <x v="1"/>
    <x v="2"/>
    <x v="0"/>
    <x v="30"/>
    <x v="4"/>
    <x v="0"/>
    <x v="2"/>
    <x v="4"/>
    <x v="0"/>
    <x v="0"/>
    <x v="0"/>
    <x v="4"/>
    <x v="0"/>
    <x v="26"/>
    <x v="107"/>
    <x v="8"/>
  </r>
  <r>
    <x v="6"/>
    <x v="1"/>
    <x v="2"/>
    <x v="0"/>
    <x v="31"/>
    <x v="5"/>
    <x v="1"/>
    <x v="1"/>
    <x v="0"/>
    <x v="1"/>
    <x v="1"/>
    <x v="1"/>
    <x v="5"/>
    <x v="5"/>
    <x v="8"/>
    <x v="36"/>
    <x v="34"/>
  </r>
  <r>
    <x v="6"/>
    <x v="1"/>
    <x v="2"/>
    <x v="14"/>
    <x v="7"/>
    <x v="5"/>
    <x v="1"/>
    <x v="2"/>
    <x v="4"/>
    <x v="0"/>
    <x v="3"/>
    <x v="4"/>
    <x v="5"/>
    <x v="4"/>
    <x v="16"/>
    <x v="4"/>
    <x v="2"/>
  </r>
  <r>
    <x v="6"/>
    <x v="1"/>
    <x v="2"/>
    <x v="14"/>
    <x v="8"/>
    <x v="4"/>
    <x v="2"/>
    <x v="4"/>
    <x v="2"/>
    <x v="3"/>
    <x v="1"/>
    <x v="1"/>
    <x v="2"/>
    <x v="0"/>
    <x v="14"/>
    <x v="35"/>
    <x v="34"/>
  </r>
  <r>
    <x v="6"/>
    <x v="1"/>
    <x v="2"/>
    <x v="14"/>
    <x v="9"/>
    <x v="5"/>
    <x v="1"/>
    <x v="1"/>
    <x v="0"/>
    <x v="2"/>
    <x v="2"/>
    <x v="2"/>
    <x v="3"/>
    <x v="1"/>
    <x v="1"/>
    <x v="3"/>
    <x v="1"/>
  </r>
  <r>
    <x v="6"/>
    <x v="1"/>
    <x v="2"/>
    <x v="14"/>
    <x v="10"/>
    <x v="5"/>
    <x v="1"/>
    <x v="1"/>
    <x v="0"/>
    <x v="2"/>
    <x v="2"/>
    <x v="2"/>
    <x v="3"/>
    <x v="3"/>
    <x v="0"/>
    <x v="2"/>
    <x v="0"/>
  </r>
  <r>
    <x v="6"/>
    <x v="1"/>
    <x v="2"/>
    <x v="14"/>
    <x v="11"/>
    <x v="5"/>
    <x v="1"/>
    <x v="1"/>
    <x v="0"/>
    <x v="2"/>
    <x v="2"/>
    <x v="2"/>
    <x v="3"/>
    <x v="1"/>
    <x v="1"/>
    <x v="3"/>
    <x v="1"/>
  </r>
  <r>
    <x v="6"/>
    <x v="1"/>
    <x v="2"/>
    <x v="15"/>
    <x v="7"/>
    <x v="4"/>
    <x v="2"/>
    <x v="4"/>
    <x v="2"/>
    <x v="3"/>
    <x v="3"/>
    <x v="4"/>
    <x v="5"/>
    <x v="5"/>
    <x v="8"/>
    <x v="19"/>
    <x v="32"/>
  </r>
  <r>
    <x v="6"/>
    <x v="1"/>
    <x v="2"/>
    <x v="15"/>
    <x v="8"/>
    <x v="5"/>
    <x v="2"/>
    <x v="4"/>
    <x v="2"/>
    <x v="1"/>
    <x v="4"/>
    <x v="3"/>
    <x v="1"/>
    <x v="3"/>
    <x v="0"/>
    <x v="2"/>
    <x v="0"/>
  </r>
  <r>
    <x v="6"/>
    <x v="1"/>
    <x v="2"/>
    <x v="15"/>
    <x v="9"/>
    <x v="5"/>
    <x v="1"/>
    <x v="1"/>
    <x v="0"/>
    <x v="2"/>
    <x v="2"/>
    <x v="2"/>
    <x v="3"/>
    <x v="1"/>
    <x v="1"/>
    <x v="3"/>
    <x v="0"/>
  </r>
  <r>
    <x v="6"/>
    <x v="1"/>
    <x v="2"/>
    <x v="15"/>
    <x v="10"/>
    <x v="5"/>
    <x v="1"/>
    <x v="1"/>
    <x v="0"/>
    <x v="2"/>
    <x v="2"/>
    <x v="2"/>
    <x v="3"/>
    <x v="1"/>
    <x v="1"/>
    <x v="3"/>
    <x v="1"/>
  </r>
  <r>
    <x v="6"/>
    <x v="1"/>
    <x v="2"/>
    <x v="15"/>
    <x v="11"/>
    <x v="5"/>
    <x v="1"/>
    <x v="1"/>
    <x v="0"/>
    <x v="2"/>
    <x v="2"/>
    <x v="2"/>
    <x v="3"/>
    <x v="1"/>
    <x v="1"/>
    <x v="3"/>
    <x v="1"/>
  </r>
  <r>
    <x v="6"/>
    <x v="1"/>
    <x v="2"/>
    <x v="16"/>
    <x v="7"/>
    <x v="5"/>
    <x v="1"/>
    <x v="1"/>
    <x v="0"/>
    <x v="2"/>
    <x v="2"/>
    <x v="2"/>
    <x v="1"/>
    <x v="2"/>
    <x v="2"/>
    <x v="4"/>
    <x v="2"/>
  </r>
  <r>
    <x v="6"/>
    <x v="1"/>
    <x v="2"/>
    <x v="16"/>
    <x v="8"/>
    <x v="5"/>
    <x v="1"/>
    <x v="1"/>
    <x v="0"/>
    <x v="1"/>
    <x v="1"/>
    <x v="1"/>
    <x v="2"/>
    <x v="2"/>
    <x v="2"/>
    <x v="1"/>
    <x v="3"/>
  </r>
  <r>
    <x v="6"/>
    <x v="1"/>
    <x v="2"/>
    <x v="16"/>
    <x v="9"/>
    <x v="5"/>
    <x v="1"/>
    <x v="1"/>
    <x v="0"/>
    <x v="2"/>
    <x v="2"/>
    <x v="2"/>
    <x v="3"/>
    <x v="1"/>
    <x v="1"/>
    <x v="3"/>
    <x v="0"/>
  </r>
  <r>
    <x v="6"/>
    <x v="1"/>
    <x v="2"/>
    <x v="16"/>
    <x v="10"/>
    <x v="5"/>
    <x v="1"/>
    <x v="1"/>
    <x v="0"/>
    <x v="2"/>
    <x v="2"/>
    <x v="2"/>
    <x v="3"/>
    <x v="1"/>
    <x v="1"/>
    <x v="3"/>
    <x v="1"/>
  </r>
  <r>
    <x v="6"/>
    <x v="1"/>
    <x v="2"/>
    <x v="16"/>
    <x v="11"/>
    <x v="5"/>
    <x v="1"/>
    <x v="1"/>
    <x v="0"/>
    <x v="2"/>
    <x v="2"/>
    <x v="2"/>
    <x v="3"/>
    <x v="1"/>
    <x v="1"/>
    <x v="3"/>
    <x v="1"/>
  </r>
  <r>
    <x v="6"/>
    <x v="1"/>
    <x v="3"/>
    <x v="0"/>
    <x v="32"/>
    <x v="61"/>
    <x v="30"/>
    <x v="169"/>
    <x v="24"/>
    <x v="30"/>
    <x v="4"/>
    <x v="321"/>
    <x v="111"/>
    <x v="3"/>
    <x v="351"/>
    <x v="2"/>
    <x v="0"/>
  </r>
  <r>
    <x v="6"/>
    <x v="1"/>
    <x v="3"/>
    <x v="3"/>
    <x v="1"/>
    <x v="24"/>
    <x v="1"/>
    <x v="15"/>
    <x v="37"/>
    <x v="1"/>
    <x v="4"/>
    <x v="3"/>
    <x v="111"/>
    <x v="3"/>
    <x v="175"/>
    <x v="2"/>
    <x v="0"/>
  </r>
  <r>
    <x v="6"/>
    <x v="1"/>
    <x v="3"/>
    <x v="3"/>
    <x v="2"/>
    <x v="4"/>
    <x v="2"/>
    <x v="168"/>
    <x v="40"/>
    <x v="1"/>
    <x v="4"/>
    <x v="3"/>
    <x v="111"/>
    <x v="3"/>
    <x v="0"/>
    <x v="2"/>
    <x v="0"/>
  </r>
  <r>
    <x v="6"/>
    <x v="1"/>
    <x v="3"/>
    <x v="3"/>
    <x v="3"/>
    <x v="24"/>
    <x v="1"/>
    <x v="4"/>
    <x v="2"/>
    <x v="1"/>
    <x v="4"/>
    <x v="3"/>
    <x v="1"/>
    <x v="3"/>
    <x v="0"/>
    <x v="2"/>
    <x v="0"/>
  </r>
  <r>
    <x v="6"/>
    <x v="1"/>
    <x v="3"/>
    <x v="4"/>
    <x v="4"/>
    <x v="24"/>
    <x v="27"/>
    <x v="27"/>
    <x v="0"/>
    <x v="10"/>
    <x v="4"/>
    <x v="97"/>
    <x v="111"/>
    <x v="3"/>
    <x v="0"/>
    <x v="2"/>
    <x v="0"/>
  </r>
  <r>
    <x v="6"/>
    <x v="1"/>
    <x v="3"/>
    <x v="4"/>
    <x v="5"/>
    <x v="5"/>
    <x v="2"/>
    <x v="4"/>
    <x v="24"/>
    <x v="10"/>
    <x v="4"/>
    <x v="3"/>
    <x v="110"/>
    <x v="3"/>
    <x v="0"/>
    <x v="2"/>
    <x v="0"/>
  </r>
  <r>
    <x v="6"/>
    <x v="1"/>
    <x v="3"/>
    <x v="4"/>
    <x v="6"/>
    <x v="24"/>
    <x v="27"/>
    <x v="27"/>
    <x v="33"/>
    <x v="31"/>
    <x v="35"/>
    <x v="34"/>
    <x v="40"/>
    <x v="38"/>
    <x v="35"/>
    <x v="40"/>
    <x v="38"/>
  </r>
  <r>
    <x v="6"/>
    <x v="1"/>
    <x v="3"/>
    <x v="2"/>
    <x v="7"/>
    <x v="4"/>
    <x v="7"/>
    <x v="80"/>
    <x v="24"/>
    <x v="105"/>
    <x v="4"/>
    <x v="32"/>
    <x v="42"/>
    <x v="3"/>
    <x v="352"/>
    <x v="2"/>
    <x v="0"/>
  </r>
  <r>
    <x v="6"/>
    <x v="1"/>
    <x v="3"/>
    <x v="2"/>
    <x v="8"/>
    <x v="22"/>
    <x v="2"/>
    <x v="168"/>
    <x v="24"/>
    <x v="32"/>
    <x v="4"/>
    <x v="3"/>
    <x v="38"/>
    <x v="3"/>
    <x v="0"/>
    <x v="2"/>
    <x v="0"/>
  </r>
  <r>
    <x v="6"/>
    <x v="1"/>
    <x v="3"/>
    <x v="2"/>
    <x v="9"/>
    <x v="24"/>
    <x v="27"/>
    <x v="27"/>
    <x v="33"/>
    <x v="31"/>
    <x v="35"/>
    <x v="34"/>
    <x v="40"/>
    <x v="38"/>
    <x v="35"/>
    <x v="40"/>
    <x v="0"/>
  </r>
  <r>
    <x v="6"/>
    <x v="1"/>
    <x v="3"/>
    <x v="2"/>
    <x v="10"/>
    <x v="24"/>
    <x v="27"/>
    <x v="27"/>
    <x v="33"/>
    <x v="31"/>
    <x v="35"/>
    <x v="34"/>
    <x v="3"/>
    <x v="3"/>
    <x v="0"/>
    <x v="2"/>
    <x v="0"/>
  </r>
  <r>
    <x v="6"/>
    <x v="1"/>
    <x v="3"/>
    <x v="2"/>
    <x v="11"/>
    <x v="24"/>
    <x v="27"/>
    <x v="27"/>
    <x v="33"/>
    <x v="31"/>
    <x v="35"/>
    <x v="34"/>
    <x v="40"/>
    <x v="38"/>
    <x v="35"/>
    <x v="40"/>
    <x v="38"/>
  </r>
  <r>
    <x v="6"/>
    <x v="1"/>
    <x v="3"/>
    <x v="0"/>
    <x v="33"/>
    <x v="4"/>
    <x v="22"/>
    <x v="168"/>
    <x v="181"/>
    <x v="1"/>
    <x v="4"/>
    <x v="3"/>
    <x v="42"/>
    <x v="3"/>
    <x v="37"/>
    <x v="2"/>
    <x v="0"/>
  </r>
  <r>
    <x v="6"/>
    <x v="1"/>
    <x v="3"/>
    <x v="3"/>
    <x v="1"/>
    <x v="24"/>
    <x v="1"/>
    <x v="15"/>
    <x v="37"/>
    <x v="1"/>
    <x v="4"/>
    <x v="3"/>
    <x v="111"/>
    <x v="3"/>
    <x v="175"/>
    <x v="2"/>
    <x v="0"/>
  </r>
  <r>
    <x v="6"/>
    <x v="1"/>
    <x v="3"/>
    <x v="3"/>
    <x v="2"/>
    <x v="4"/>
    <x v="2"/>
    <x v="168"/>
    <x v="40"/>
    <x v="1"/>
    <x v="4"/>
    <x v="3"/>
    <x v="111"/>
    <x v="3"/>
    <x v="0"/>
    <x v="2"/>
    <x v="0"/>
  </r>
  <r>
    <x v="6"/>
    <x v="1"/>
    <x v="3"/>
    <x v="3"/>
    <x v="3"/>
    <x v="24"/>
    <x v="1"/>
    <x v="4"/>
    <x v="2"/>
    <x v="1"/>
    <x v="4"/>
    <x v="3"/>
    <x v="1"/>
    <x v="3"/>
    <x v="0"/>
    <x v="2"/>
    <x v="0"/>
  </r>
  <r>
    <x v="6"/>
    <x v="1"/>
    <x v="3"/>
    <x v="0"/>
    <x v="34"/>
    <x v="5"/>
    <x v="2"/>
    <x v="14"/>
    <x v="31"/>
    <x v="33"/>
    <x v="4"/>
    <x v="37"/>
    <x v="178"/>
    <x v="3"/>
    <x v="353"/>
    <x v="2"/>
    <x v="0"/>
  </r>
  <r>
    <x v="6"/>
    <x v="1"/>
    <x v="3"/>
    <x v="4"/>
    <x v="4"/>
    <x v="24"/>
    <x v="27"/>
    <x v="1"/>
    <x v="0"/>
    <x v="35"/>
    <x v="4"/>
    <x v="99"/>
    <x v="38"/>
    <x v="3"/>
    <x v="180"/>
    <x v="2"/>
    <x v="0"/>
  </r>
  <r>
    <x v="6"/>
    <x v="1"/>
    <x v="3"/>
    <x v="4"/>
    <x v="5"/>
    <x v="5"/>
    <x v="2"/>
    <x v="4"/>
    <x v="37"/>
    <x v="9"/>
    <x v="4"/>
    <x v="3"/>
    <x v="111"/>
    <x v="3"/>
    <x v="0"/>
    <x v="2"/>
    <x v="0"/>
  </r>
  <r>
    <x v="6"/>
    <x v="1"/>
    <x v="3"/>
    <x v="4"/>
    <x v="6"/>
    <x v="24"/>
    <x v="27"/>
    <x v="27"/>
    <x v="33"/>
    <x v="31"/>
    <x v="35"/>
    <x v="34"/>
    <x v="40"/>
    <x v="38"/>
    <x v="35"/>
    <x v="40"/>
    <x v="38"/>
  </r>
  <r>
    <x v="6"/>
    <x v="1"/>
    <x v="4"/>
    <x v="0"/>
    <x v="14"/>
    <x v="126"/>
    <x v="188"/>
    <x v="220"/>
    <x v="0"/>
    <x v="305"/>
    <x v="304"/>
    <x v="2"/>
    <x v="341"/>
    <x v="340"/>
    <x v="354"/>
    <x v="375"/>
    <x v="385"/>
  </r>
  <r>
    <x v="6"/>
    <x v="1"/>
    <x v="4"/>
    <x v="1"/>
    <x v="1"/>
    <x v="5"/>
    <x v="1"/>
    <x v="221"/>
    <x v="0"/>
    <x v="306"/>
    <x v="2"/>
    <x v="2"/>
    <x v="3"/>
    <x v="341"/>
    <x v="1"/>
    <x v="376"/>
    <x v="1"/>
  </r>
  <r>
    <x v="6"/>
    <x v="1"/>
    <x v="4"/>
    <x v="1"/>
    <x v="2"/>
    <x v="126"/>
    <x v="1"/>
    <x v="1"/>
    <x v="0"/>
    <x v="307"/>
    <x v="2"/>
    <x v="2"/>
    <x v="3"/>
    <x v="342"/>
    <x v="1"/>
    <x v="3"/>
    <x v="1"/>
  </r>
  <r>
    <x v="6"/>
    <x v="1"/>
    <x v="4"/>
    <x v="1"/>
    <x v="3"/>
    <x v="5"/>
    <x v="1"/>
    <x v="222"/>
    <x v="0"/>
    <x v="2"/>
    <x v="2"/>
    <x v="2"/>
    <x v="3"/>
    <x v="1"/>
    <x v="1"/>
    <x v="3"/>
    <x v="1"/>
  </r>
  <r>
    <x v="6"/>
    <x v="1"/>
    <x v="4"/>
    <x v="1"/>
    <x v="4"/>
    <x v="5"/>
    <x v="1"/>
    <x v="1"/>
    <x v="0"/>
    <x v="308"/>
    <x v="305"/>
    <x v="2"/>
    <x v="341"/>
    <x v="343"/>
    <x v="1"/>
    <x v="377"/>
    <x v="1"/>
  </r>
  <r>
    <x v="6"/>
    <x v="1"/>
    <x v="4"/>
    <x v="1"/>
    <x v="5"/>
    <x v="5"/>
    <x v="188"/>
    <x v="1"/>
    <x v="0"/>
    <x v="2"/>
    <x v="306"/>
    <x v="2"/>
    <x v="3"/>
    <x v="344"/>
    <x v="354"/>
    <x v="3"/>
    <x v="385"/>
  </r>
  <r>
    <x v="6"/>
    <x v="1"/>
    <x v="4"/>
    <x v="1"/>
    <x v="6"/>
    <x v="5"/>
    <x v="1"/>
    <x v="1"/>
    <x v="0"/>
    <x v="2"/>
    <x v="2"/>
    <x v="2"/>
    <x v="3"/>
    <x v="1"/>
    <x v="1"/>
    <x v="3"/>
    <x v="1"/>
  </r>
  <r>
    <x v="6"/>
    <x v="1"/>
    <x v="4"/>
    <x v="2"/>
    <x v="7"/>
    <x v="127"/>
    <x v="1"/>
    <x v="220"/>
    <x v="0"/>
    <x v="309"/>
    <x v="306"/>
    <x v="2"/>
    <x v="341"/>
    <x v="345"/>
    <x v="1"/>
    <x v="375"/>
    <x v="1"/>
  </r>
  <r>
    <x v="6"/>
    <x v="1"/>
    <x v="4"/>
    <x v="2"/>
    <x v="8"/>
    <x v="128"/>
    <x v="188"/>
    <x v="1"/>
    <x v="0"/>
    <x v="310"/>
    <x v="305"/>
    <x v="2"/>
    <x v="3"/>
    <x v="346"/>
    <x v="354"/>
    <x v="3"/>
    <x v="1"/>
  </r>
  <r>
    <x v="6"/>
    <x v="1"/>
    <x v="4"/>
    <x v="2"/>
    <x v="9"/>
    <x v="5"/>
    <x v="1"/>
    <x v="1"/>
    <x v="0"/>
    <x v="2"/>
    <x v="2"/>
    <x v="2"/>
    <x v="3"/>
    <x v="1"/>
    <x v="1"/>
    <x v="3"/>
    <x v="385"/>
  </r>
  <r>
    <x v="6"/>
    <x v="1"/>
    <x v="4"/>
    <x v="2"/>
    <x v="10"/>
    <x v="5"/>
    <x v="1"/>
    <x v="1"/>
    <x v="0"/>
    <x v="2"/>
    <x v="2"/>
    <x v="2"/>
    <x v="3"/>
    <x v="347"/>
    <x v="1"/>
    <x v="3"/>
    <x v="1"/>
  </r>
  <r>
    <x v="6"/>
    <x v="1"/>
    <x v="4"/>
    <x v="2"/>
    <x v="11"/>
    <x v="5"/>
    <x v="1"/>
    <x v="1"/>
    <x v="0"/>
    <x v="2"/>
    <x v="2"/>
    <x v="2"/>
    <x v="3"/>
    <x v="1"/>
    <x v="1"/>
    <x v="3"/>
    <x v="1"/>
  </r>
  <r>
    <x v="6"/>
    <x v="1"/>
    <x v="5"/>
    <x v="0"/>
    <x v="14"/>
    <x v="126"/>
    <x v="188"/>
    <x v="220"/>
    <x v="0"/>
    <x v="305"/>
    <x v="304"/>
    <x v="2"/>
    <x v="341"/>
    <x v="340"/>
    <x v="354"/>
    <x v="375"/>
    <x v="385"/>
  </r>
  <r>
    <x v="6"/>
    <x v="1"/>
    <x v="5"/>
    <x v="1"/>
    <x v="1"/>
    <x v="5"/>
    <x v="1"/>
    <x v="221"/>
    <x v="0"/>
    <x v="306"/>
    <x v="2"/>
    <x v="2"/>
    <x v="3"/>
    <x v="341"/>
    <x v="1"/>
    <x v="376"/>
    <x v="1"/>
  </r>
  <r>
    <x v="6"/>
    <x v="1"/>
    <x v="5"/>
    <x v="1"/>
    <x v="2"/>
    <x v="126"/>
    <x v="1"/>
    <x v="1"/>
    <x v="0"/>
    <x v="307"/>
    <x v="2"/>
    <x v="2"/>
    <x v="3"/>
    <x v="342"/>
    <x v="1"/>
    <x v="3"/>
    <x v="1"/>
  </r>
  <r>
    <x v="6"/>
    <x v="1"/>
    <x v="5"/>
    <x v="1"/>
    <x v="3"/>
    <x v="5"/>
    <x v="1"/>
    <x v="222"/>
    <x v="0"/>
    <x v="2"/>
    <x v="2"/>
    <x v="2"/>
    <x v="3"/>
    <x v="1"/>
    <x v="1"/>
    <x v="3"/>
    <x v="1"/>
  </r>
  <r>
    <x v="6"/>
    <x v="1"/>
    <x v="5"/>
    <x v="1"/>
    <x v="4"/>
    <x v="5"/>
    <x v="1"/>
    <x v="1"/>
    <x v="0"/>
    <x v="308"/>
    <x v="305"/>
    <x v="2"/>
    <x v="341"/>
    <x v="343"/>
    <x v="1"/>
    <x v="377"/>
    <x v="1"/>
  </r>
  <r>
    <x v="6"/>
    <x v="1"/>
    <x v="5"/>
    <x v="1"/>
    <x v="5"/>
    <x v="5"/>
    <x v="188"/>
    <x v="1"/>
    <x v="0"/>
    <x v="2"/>
    <x v="306"/>
    <x v="2"/>
    <x v="3"/>
    <x v="344"/>
    <x v="354"/>
    <x v="3"/>
    <x v="385"/>
  </r>
  <r>
    <x v="6"/>
    <x v="1"/>
    <x v="5"/>
    <x v="1"/>
    <x v="6"/>
    <x v="5"/>
    <x v="1"/>
    <x v="1"/>
    <x v="0"/>
    <x v="2"/>
    <x v="2"/>
    <x v="2"/>
    <x v="3"/>
    <x v="1"/>
    <x v="1"/>
    <x v="3"/>
    <x v="1"/>
  </r>
  <r>
    <x v="6"/>
    <x v="1"/>
    <x v="5"/>
    <x v="2"/>
    <x v="7"/>
    <x v="127"/>
    <x v="1"/>
    <x v="220"/>
    <x v="0"/>
    <x v="309"/>
    <x v="306"/>
    <x v="2"/>
    <x v="341"/>
    <x v="345"/>
    <x v="1"/>
    <x v="375"/>
    <x v="1"/>
  </r>
  <r>
    <x v="6"/>
    <x v="1"/>
    <x v="5"/>
    <x v="2"/>
    <x v="8"/>
    <x v="128"/>
    <x v="188"/>
    <x v="1"/>
    <x v="0"/>
    <x v="310"/>
    <x v="305"/>
    <x v="2"/>
    <x v="3"/>
    <x v="346"/>
    <x v="354"/>
    <x v="3"/>
    <x v="1"/>
  </r>
  <r>
    <x v="6"/>
    <x v="1"/>
    <x v="5"/>
    <x v="2"/>
    <x v="9"/>
    <x v="5"/>
    <x v="1"/>
    <x v="1"/>
    <x v="0"/>
    <x v="2"/>
    <x v="2"/>
    <x v="2"/>
    <x v="3"/>
    <x v="1"/>
    <x v="1"/>
    <x v="3"/>
    <x v="385"/>
  </r>
  <r>
    <x v="6"/>
    <x v="1"/>
    <x v="5"/>
    <x v="2"/>
    <x v="10"/>
    <x v="5"/>
    <x v="1"/>
    <x v="1"/>
    <x v="0"/>
    <x v="2"/>
    <x v="2"/>
    <x v="2"/>
    <x v="3"/>
    <x v="347"/>
    <x v="1"/>
    <x v="3"/>
    <x v="1"/>
  </r>
  <r>
    <x v="6"/>
    <x v="1"/>
    <x v="5"/>
    <x v="2"/>
    <x v="11"/>
    <x v="5"/>
    <x v="1"/>
    <x v="1"/>
    <x v="0"/>
    <x v="2"/>
    <x v="2"/>
    <x v="2"/>
    <x v="3"/>
    <x v="1"/>
    <x v="1"/>
    <x v="3"/>
    <x v="1"/>
  </r>
  <r>
    <x v="6"/>
    <x v="1"/>
    <x v="4"/>
    <x v="0"/>
    <x v="35"/>
    <x v="129"/>
    <x v="1"/>
    <x v="223"/>
    <x v="0"/>
    <x v="311"/>
    <x v="2"/>
    <x v="2"/>
    <x v="3"/>
    <x v="348"/>
    <x v="355"/>
    <x v="3"/>
    <x v="1"/>
  </r>
  <r>
    <x v="6"/>
    <x v="1"/>
    <x v="4"/>
    <x v="0"/>
    <x v="36"/>
    <x v="130"/>
    <x v="189"/>
    <x v="1"/>
    <x v="0"/>
    <x v="312"/>
    <x v="307"/>
    <x v="2"/>
    <x v="3"/>
    <x v="349"/>
    <x v="1"/>
    <x v="378"/>
    <x v="386"/>
  </r>
  <r>
    <x v="6"/>
    <x v="1"/>
    <x v="4"/>
    <x v="0"/>
    <x v="37"/>
    <x v="5"/>
    <x v="1"/>
    <x v="1"/>
    <x v="0"/>
    <x v="2"/>
    <x v="2"/>
    <x v="2"/>
    <x v="3"/>
    <x v="1"/>
    <x v="1"/>
    <x v="3"/>
    <x v="1"/>
  </r>
  <r>
    <x v="6"/>
    <x v="1"/>
    <x v="4"/>
    <x v="5"/>
    <x v="7"/>
    <x v="5"/>
    <x v="1"/>
    <x v="223"/>
    <x v="0"/>
    <x v="313"/>
    <x v="2"/>
    <x v="2"/>
    <x v="3"/>
    <x v="1"/>
    <x v="1"/>
    <x v="3"/>
    <x v="1"/>
  </r>
  <r>
    <x v="6"/>
    <x v="1"/>
    <x v="4"/>
    <x v="5"/>
    <x v="8"/>
    <x v="129"/>
    <x v="1"/>
    <x v="1"/>
    <x v="0"/>
    <x v="314"/>
    <x v="2"/>
    <x v="2"/>
    <x v="3"/>
    <x v="350"/>
    <x v="355"/>
    <x v="3"/>
    <x v="1"/>
  </r>
  <r>
    <x v="6"/>
    <x v="1"/>
    <x v="4"/>
    <x v="5"/>
    <x v="9"/>
    <x v="5"/>
    <x v="1"/>
    <x v="1"/>
    <x v="0"/>
    <x v="2"/>
    <x v="2"/>
    <x v="2"/>
    <x v="3"/>
    <x v="1"/>
    <x v="1"/>
    <x v="3"/>
    <x v="1"/>
  </r>
  <r>
    <x v="6"/>
    <x v="1"/>
    <x v="4"/>
    <x v="5"/>
    <x v="10"/>
    <x v="5"/>
    <x v="1"/>
    <x v="1"/>
    <x v="0"/>
    <x v="2"/>
    <x v="2"/>
    <x v="2"/>
    <x v="3"/>
    <x v="351"/>
    <x v="1"/>
    <x v="3"/>
    <x v="1"/>
  </r>
  <r>
    <x v="6"/>
    <x v="1"/>
    <x v="4"/>
    <x v="5"/>
    <x v="11"/>
    <x v="5"/>
    <x v="1"/>
    <x v="1"/>
    <x v="0"/>
    <x v="2"/>
    <x v="2"/>
    <x v="2"/>
    <x v="3"/>
    <x v="1"/>
    <x v="1"/>
    <x v="3"/>
    <x v="1"/>
  </r>
  <r>
    <x v="6"/>
    <x v="1"/>
    <x v="4"/>
    <x v="6"/>
    <x v="7"/>
    <x v="130"/>
    <x v="1"/>
    <x v="1"/>
    <x v="0"/>
    <x v="312"/>
    <x v="307"/>
    <x v="2"/>
    <x v="3"/>
    <x v="349"/>
    <x v="1"/>
    <x v="378"/>
    <x v="1"/>
  </r>
  <r>
    <x v="6"/>
    <x v="1"/>
    <x v="4"/>
    <x v="6"/>
    <x v="8"/>
    <x v="5"/>
    <x v="189"/>
    <x v="1"/>
    <x v="0"/>
    <x v="2"/>
    <x v="2"/>
    <x v="2"/>
    <x v="3"/>
    <x v="1"/>
    <x v="1"/>
    <x v="3"/>
    <x v="1"/>
  </r>
  <r>
    <x v="6"/>
    <x v="1"/>
    <x v="4"/>
    <x v="6"/>
    <x v="9"/>
    <x v="5"/>
    <x v="1"/>
    <x v="1"/>
    <x v="0"/>
    <x v="2"/>
    <x v="2"/>
    <x v="2"/>
    <x v="3"/>
    <x v="1"/>
    <x v="1"/>
    <x v="3"/>
    <x v="386"/>
  </r>
  <r>
    <x v="6"/>
    <x v="1"/>
    <x v="4"/>
    <x v="6"/>
    <x v="10"/>
    <x v="5"/>
    <x v="1"/>
    <x v="1"/>
    <x v="0"/>
    <x v="2"/>
    <x v="2"/>
    <x v="2"/>
    <x v="3"/>
    <x v="1"/>
    <x v="1"/>
    <x v="3"/>
    <x v="1"/>
  </r>
  <r>
    <x v="6"/>
    <x v="1"/>
    <x v="4"/>
    <x v="6"/>
    <x v="11"/>
    <x v="5"/>
    <x v="1"/>
    <x v="1"/>
    <x v="0"/>
    <x v="2"/>
    <x v="2"/>
    <x v="2"/>
    <x v="3"/>
    <x v="1"/>
    <x v="1"/>
    <x v="3"/>
    <x v="1"/>
  </r>
  <r>
    <x v="6"/>
    <x v="1"/>
    <x v="5"/>
    <x v="0"/>
    <x v="35"/>
    <x v="129"/>
    <x v="1"/>
    <x v="223"/>
    <x v="0"/>
    <x v="311"/>
    <x v="2"/>
    <x v="2"/>
    <x v="3"/>
    <x v="348"/>
    <x v="355"/>
    <x v="3"/>
    <x v="1"/>
  </r>
  <r>
    <x v="6"/>
    <x v="1"/>
    <x v="5"/>
    <x v="0"/>
    <x v="36"/>
    <x v="130"/>
    <x v="189"/>
    <x v="1"/>
    <x v="0"/>
    <x v="312"/>
    <x v="307"/>
    <x v="2"/>
    <x v="3"/>
    <x v="349"/>
    <x v="1"/>
    <x v="378"/>
    <x v="386"/>
  </r>
  <r>
    <x v="6"/>
    <x v="1"/>
    <x v="5"/>
    <x v="0"/>
    <x v="37"/>
    <x v="5"/>
    <x v="1"/>
    <x v="1"/>
    <x v="0"/>
    <x v="2"/>
    <x v="2"/>
    <x v="2"/>
    <x v="3"/>
    <x v="1"/>
    <x v="1"/>
    <x v="3"/>
    <x v="1"/>
  </r>
  <r>
    <x v="6"/>
    <x v="1"/>
    <x v="5"/>
    <x v="5"/>
    <x v="7"/>
    <x v="5"/>
    <x v="1"/>
    <x v="223"/>
    <x v="0"/>
    <x v="313"/>
    <x v="2"/>
    <x v="2"/>
    <x v="3"/>
    <x v="1"/>
    <x v="1"/>
    <x v="3"/>
    <x v="1"/>
  </r>
  <r>
    <x v="6"/>
    <x v="1"/>
    <x v="5"/>
    <x v="5"/>
    <x v="8"/>
    <x v="129"/>
    <x v="1"/>
    <x v="1"/>
    <x v="0"/>
    <x v="314"/>
    <x v="2"/>
    <x v="2"/>
    <x v="3"/>
    <x v="350"/>
    <x v="355"/>
    <x v="3"/>
    <x v="1"/>
  </r>
  <r>
    <x v="6"/>
    <x v="1"/>
    <x v="5"/>
    <x v="5"/>
    <x v="9"/>
    <x v="5"/>
    <x v="1"/>
    <x v="1"/>
    <x v="0"/>
    <x v="2"/>
    <x v="2"/>
    <x v="2"/>
    <x v="3"/>
    <x v="1"/>
    <x v="1"/>
    <x v="3"/>
    <x v="1"/>
  </r>
  <r>
    <x v="6"/>
    <x v="1"/>
    <x v="5"/>
    <x v="5"/>
    <x v="10"/>
    <x v="5"/>
    <x v="1"/>
    <x v="1"/>
    <x v="0"/>
    <x v="2"/>
    <x v="2"/>
    <x v="2"/>
    <x v="3"/>
    <x v="351"/>
    <x v="1"/>
    <x v="3"/>
    <x v="1"/>
  </r>
  <r>
    <x v="6"/>
    <x v="1"/>
    <x v="5"/>
    <x v="5"/>
    <x v="11"/>
    <x v="5"/>
    <x v="1"/>
    <x v="1"/>
    <x v="0"/>
    <x v="2"/>
    <x v="2"/>
    <x v="2"/>
    <x v="3"/>
    <x v="1"/>
    <x v="1"/>
    <x v="3"/>
    <x v="1"/>
  </r>
  <r>
    <x v="6"/>
    <x v="1"/>
    <x v="5"/>
    <x v="6"/>
    <x v="7"/>
    <x v="130"/>
    <x v="1"/>
    <x v="1"/>
    <x v="0"/>
    <x v="312"/>
    <x v="307"/>
    <x v="2"/>
    <x v="3"/>
    <x v="349"/>
    <x v="1"/>
    <x v="378"/>
    <x v="1"/>
  </r>
  <r>
    <x v="6"/>
    <x v="1"/>
    <x v="5"/>
    <x v="6"/>
    <x v="8"/>
    <x v="5"/>
    <x v="189"/>
    <x v="1"/>
    <x v="0"/>
    <x v="2"/>
    <x v="2"/>
    <x v="2"/>
    <x v="3"/>
    <x v="1"/>
    <x v="1"/>
    <x v="3"/>
    <x v="1"/>
  </r>
  <r>
    <x v="6"/>
    <x v="1"/>
    <x v="5"/>
    <x v="6"/>
    <x v="9"/>
    <x v="5"/>
    <x v="1"/>
    <x v="1"/>
    <x v="0"/>
    <x v="2"/>
    <x v="2"/>
    <x v="2"/>
    <x v="3"/>
    <x v="1"/>
    <x v="1"/>
    <x v="3"/>
    <x v="386"/>
  </r>
  <r>
    <x v="6"/>
    <x v="1"/>
    <x v="5"/>
    <x v="6"/>
    <x v="10"/>
    <x v="5"/>
    <x v="1"/>
    <x v="1"/>
    <x v="0"/>
    <x v="2"/>
    <x v="2"/>
    <x v="2"/>
    <x v="3"/>
    <x v="1"/>
    <x v="1"/>
    <x v="3"/>
    <x v="1"/>
  </r>
  <r>
    <x v="6"/>
    <x v="1"/>
    <x v="5"/>
    <x v="6"/>
    <x v="11"/>
    <x v="5"/>
    <x v="1"/>
    <x v="1"/>
    <x v="0"/>
    <x v="2"/>
    <x v="2"/>
    <x v="2"/>
    <x v="3"/>
    <x v="1"/>
    <x v="1"/>
    <x v="3"/>
    <x v="1"/>
  </r>
  <r>
    <x v="6"/>
    <x v="1"/>
    <x v="6"/>
    <x v="0"/>
    <x v="26"/>
    <x v="126"/>
    <x v="190"/>
    <x v="224"/>
    <x v="251"/>
    <x v="315"/>
    <x v="308"/>
    <x v="322"/>
    <x v="342"/>
    <x v="352"/>
    <x v="356"/>
    <x v="379"/>
    <x v="387"/>
  </r>
  <r>
    <x v="6"/>
    <x v="1"/>
    <x v="6"/>
    <x v="1"/>
    <x v="1"/>
    <x v="5"/>
    <x v="1"/>
    <x v="221"/>
    <x v="252"/>
    <x v="316"/>
    <x v="309"/>
    <x v="323"/>
    <x v="343"/>
    <x v="353"/>
    <x v="357"/>
    <x v="380"/>
    <x v="388"/>
  </r>
  <r>
    <x v="6"/>
    <x v="1"/>
    <x v="6"/>
    <x v="1"/>
    <x v="2"/>
    <x v="126"/>
    <x v="191"/>
    <x v="225"/>
    <x v="253"/>
    <x v="317"/>
    <x v="310"/>
    <x v="324"/>
    <x v="344"/>
    <x v="354"/>
    <x v="358"/>
    <x v="381"/>
    <x v="389"/>
  </r>
  <r>
    <x v="6"/>
    <x v="1"/>
    <x v="6"/>
    <x v="1"/>
    <x v="3"/>
    <x v="5"/>
    <x v="1"/>
    <x v="222"/>
    <x v="254"/>
    <x v="318"/>
    <x v="311"/>
    <x v="325"/>
    <x v="345"/>
    <x v="355"/>
    <x v="359"/>
    <x v="382"/>
    <x v="390"/>
  </r>
  <r>
    <x v="6"/>
    <x v="1"/>
    <x v="6"/>
    <x v="1"/>
    <x v="4"/>
    <x v="5"/>
    <x v="1"/>
    <x v="1"/>
    <x v="0"/>
    <x v="308"/>
    <x v="312"/>
    <x v="326"/>
    <x v="346"/>
    <x v="356"/>
    <x v="360"/>
    <x v="383"/>
    <x v="391"/>
  </r>
  <r>
    <x v="6"/>
    <x v="1"/>
    <x v="6"/>
    <x v="1"/>
    <x v="5"/>
    <x v="5"/>
    <x v="188"/>
    <x v="226"/>
    <x v="255"/>
    <x v="319"/>
    <x v="313"/>
    <x v="327"/>
    <x v="347"/>
    <x v="357"/>
    <x v="361"/>
    <x v="384"/>
    <x v="392"/>
  </r>
  <r>
    <x v="6"/>
    <x v="1"/>
    <x v="6"/>
    <x v="1"/>
    <x v="6"/>
    <x v="5"/>
    <x v="1"/>
    <x v="1"/>
    <x v="0"/>
    <x v="2"/>
    <x v="2"/>
    <x v="2"/>
    <x v="3"/>
    <x v="1"/>
    <x v="1"/>
    <x v="3"/>
    <x v="1"/>
  </r>
  <r>
    <x v="6"/>
    <x v="1"/>
    <x v="6"/>
    <x v="11"/>
    <x v="1"/>
    <x v="5"/>
    <x v="1"/>
    <x v="227"/>
    <x v="256"/>
    <x v="320"/>
    <x v="314"/>
    <x v="328"/>
    <x v="348"/>
    <x v="358"/>
    <x v="362"/>
    <x v="385"/>
    <x v="393"/>
  </r>
  <r>
    <x v="6"/>
    <x v="1"/>
    <x v="6"/>
    <x v="11"/>
    <x v="2"/>
    <x v="4"/>
    <x v="192"/>
    <x v="228"/>
    <x v="257"/>
    <x v="321"/>
    <x v="315"/>
    <x v="329"/>
    <x v="349"/>
    <x v="359"/>
    <x v="363"/>
    <x v="386"/>
    <x v="394"/>
  </r>
  <r>
    <x v="6"/>
    <x v="1"/>
    <x v="6"/>
    <x v="11"/>
    <x v="3"/>
    <x v="5"/>
    <x v="1"/>
    <x v="229"/>
    <x v="258"/>
    <x v="322"/>
    <x v="316"/>
    <x v="330"/>
    <x v="350"/>
    <x v="360"/>
    <x v="364"/>
    <x v="387"/>
    <x v="395"/>
  </r>
  <r>
    <x v="6"/>
    <x v="1"/>
    <x v="6"/>
    <x v="11"/>
    <x v="4"/>
    <x v="5"/>
    <x v="1"/>
    <x v="1"/>
    <x v="0"/>
    <x v="323"/>
    <x v="317"/>
    <x v="331"/>
    <x v="351"/>
    <x v="361"/>
    <x v="365"/>
    <x v="388"/>
    <x v="396"/>
  </r>
  <r>
    <x v="6"/>
    <x v="1"/>
    <x v="6"/>
    <x v="11"/>
    <x v="5"/>
    <x v="5"/>
    <x v="193"/>
    <x v="230"/>
    <x v="259"/>
    <x v="324"/>
    <x v="318"/>
    <x v="332"/>
    <x v="352"/>
    <x v="362"/>
    <x v="366"/>
    <x v="389"/>
    <x v="397"/>
  </r>
  <r>
    <x v="6"/>
    <x v="1"/>
    <x v="6"/>
    <x v="11"/>
    <x v="6"/>
    <x v="5"/>
    <x v="1"/>
    <x v="1"/>
    <x v="0"/>
    <x v="2"/>
    <x v="2"/>
    <x v="2"/>
    <x v="3"/>
    <x v="1"/>
    <x v="1"/>
    <x v="3"/>
    <x v="1"/>
  </r>
  <r>
    <x v="6"/>
    <x v="1"/>
    <x v="6"/>
    <x v="2"/>
    <x v="7"/>
    <x v="127"/>
    <x v="194"/>
    <x v="231"/>
    <x v="260"/>
    <x v="325"/>
    <x v="319"/>
    <x v="333"/>
    <x v="353"/>
    <x v="363"/>
    <x v="367"/>
    <x v="390"/>
    <x v="398"/>
  </r>
  <r>
    <x v="6"/>
    <x v="1"/>
    <x v="6"/>
    <x v="2"/>
    <x v="8"/>
    <x v="128"/>
    <x v="195"/>
    <x v="232"/>
    <x v="261"/>
    <x v="326"/>
    <x v="320"/>
    <x v="334"/>
    <x v="354"/>
    <x v="364"/>
    <x v="368"/>
    <x v="391"/>
    <x v="399"/>
  </r>
  <r>
    <x v="6"/>
    <x v="1"/>
    <x v="6"/>
    <x v="2"/>
    <x v="9"/>
    <x v="5"/>
    <x v="1"/>
    <x v="1"/>
    <x v="0"/>
    <x v="2"/>
    <x v="2"/>
    <x v="2"/>
    <x v="3"/>
    <x v="1"/>
    <x v="1"/>
    <x v="3"/>
    <x v="385"/>
  </r>
  <r>
    <x v="6"/>
    <x v="1"/>
    <x v="6"/>
    <x v="2"/>
    <x v="10"/>
    <x v="5"/>
    <x v="1"/>
    <x v="1"/>
    <x v="0"/>
    <x v="2"/>
    <x v="2"/>
    <x v="2"/>
    <x v="3"/>
    <x v="347"/>
    <x v="369"/>
    <x v="392"/>
    <x v="400"/>
  </r>
  <r>
    <x v="6"/>
    <x v="1"/>
    <x v="6"/>
    <x v="2"/>
    <x v="11"/>
    <x v="5"/>
    <x v="1"/>
    <x v="1"/>
    <x v="0"/>
    <x v="2"/>
    <x v="2"/>
    <x v="2"/>
    <x v="3"/>
    <x v="1"/>
    <x v="1"/>
    <x v="3"/>
    <x v="1"/>
  </r>
  <r>
    <x v="6"/>
    <x v="1"/>
    <x v="6"/>
    <x v="11"/>
    <x v="7"/>
    <x v="131"/>
    <x v="196"/>
    <x v="233"/>
    <x v="262"/>
    <x v="327"/>
    <x v="321"/>
    <x v="335"/>
    <x v="355"/>
    <x v="365"/>
    <x v="370"/>
    <x v="393"/>
    <x v="401"/>
  </r>
  <r>
    <x v="6"/>
    <x v="1"/>
    <x v="6"/>
    <x v="11"/>
    <x v="8"/>
    <x v="132"/>
    <x v="197"/>
    <x v="234"/>
    <x v="263"/>
    <x v="328"/>
    <x v="322"/>
    <x v="336"/>
    <x v="356"/>
    <x v="366"/>
    <x v="371"/>
    <x v="394"/>
    <x v="402"/>
  </r>
  <r>
    <x v="6"/>
    <x v="1"/>
    <x v="6"/>
    <x v="11"/>
    <x v="9"/>
    <x v="5"/>
    <x v="1"/>
    <x v="1"/>
    <x v="0"/>
    <x v="2"/>
    <x v="2"/>
    <x v="2"/>
    <x v="3"/>
    <x v="1"/>
    <x v="1"/>
    <x v="3"/>
    <x v="403"/>
  </r>
  <r>
    <x v="6"/>
    <x v="1"/>
    <x v="6"/>
    <x v="11"/>
    <x v="10"/>
    <x v="5"/>
    <x v="1"/>
    <x v="1"/>
    <x v="0"/>
    <x v="2"/>
    <x v="2"/>
    <x v="2"/>
    <x v="3"/>
    <x v="367"/>
    <x v="372"/>
    <x v="395"/>
    <x v="404"/>
  </r>
  <r>
    <x v="6"/>
    <x v="1"/>
    <x v="6"/>
    <x v="11"/>
    <x v="11"/>
    <x v="5"/>
    <x v="1"/>
    <x v="1"/>
    <x v="0"/>
    <x v="2"/>
    <x v="2"/>
    <x v="2"/>
    <x v="3"/>
    <x v="1"/>
    <x v="1"/>
    <x v="3"/>
    <x v="1"/>
  </r>
  <r>
    <x v="6"/>
    <x v="1"/>
    <x v="7"/>
    <x v="0"/>
    <x v="26"/>
    <x v="126"/>
    <x v="190"/>
    <x v="224"/>
    <x v="251"/>
    <x v="315"/>
    <x v="308"/>
    <x v="322"/>
    <x v="342"/>
    <x v="352"/>
    <x v="356"/>
    <x v="379"/>
    <x v="387"/>
  </r>
  <r>
    <x v="6"/>
    <x v="1"/>
    <x v="7"/>
    <x v="1"/>
    <x v="1"/>
    <x v="5"/>
    <x v="1"/>
    <x v="221"/>
    <x v="252"/>
    <x v="316"/>
    <x v="309"/>
    <x v="323"/>
    <x v="343"/>
    <x v="353"/>
    <x v="357"/>
    <x v="380"/>
    <x v="388"/>
  </r>
  <r>
    <x v="6"/>
    <x v="1"/>
    <x v="7"/>
    <x v="1"/>
    <x v="2"/>
    <x v="126"/>
    <x v="191"/>
    <x v="225"/>
    <x v="253"/>
    <x v="317"/>
    <x v="310"/>
    <x v="324"/>
    <x v="344"/>
    <x v="354"/>
    <x v="358"/>
    <x v="381"/>
    <x v="389"/>
  </r>
  <r>
    <x v="6"/>
    <x v="1"/>
    <x v="7"/>
    <x v="1"/>
    <x v="3"/>
    <x v="5"/>
    <x v="1"/>
    <x v="222"/>
    <x v="254"/>
    <x v="318"/>
    <x v="311"/>
    <x v="325"/>
    <x v="345"/>
    <x v="355"/>
    <x v="359"/>
    <x v="382"/>
    <x v="390"/>
  </r>
  <r>
    <x v="6"/>
    <x v="1"/>
    <x v="7"/>
    <x v="1"/>
    <x v="4"/>
    <x v="5"/>
    <x v="1"/>
    <x v="1"/>
    <x v="0"/>
    <x v="308"/>
    <x v="312"/>
    <x v="326"/>
    <x v="346"/>
    <x v="356"/>
    <x v="360"/>
    <x v="383"/>
    <x v="391"/>
  </r>
  <r>
    <x v="6"/>
    <x v="1"/>
    <x v="7"/>
    <x v="1"/>
    <x v="5"/>
    <x v="5"/>
    <x v="188"/>
    <x v="226"/>
    <x v="255"/>
    <x v="319"/>
    <x v="313"/>
    <x v="327"/>
    <x v="347"/>
    <x v="357"/>
    <x v="361"/>
    <x v="384"/>
    <x v="392"/>
  </r>
  <r>
    <x v="6"/>
    <x v="1"/>
    <x v="7"/>
    <x v="1"/>
    <x v="6"/>
    <x v="5"/>
    <x v="1"/>
    <x v="1"/>
    <x v="0"/>
    <x v="2"/>
    <x v="2"/>
    <x v="2"/>
    <x v="3"/>
    <x v="1"/>
    <x v="1"/>
    <x v="3"/>
    <x v="1"/>
  </r>
  <r>
    <x v="6"/>
    <x v="1"/>
    <x v="7"/>
    <x v="11"/>
    <x v="1"/>
    <x v="5"/>
    <x v="1"/>
    <x v="227"/>
    <x v="256"/>
    <x v="320"/>
    <x v="314"/>
    <x v="328"/>
    <x v="348"/>
    <x v="358"/>
    <x v="362"/>
    <x v="385"/>
    <x v="393"/>
  </r>
  <r>
    <x v="6"/>
    <x v="1"/>
    <x v="7"/>
    <x v="11"/>
    <x v="2"/>
    <x v="4"/>
    <x v="192"/>
    <x v="228"/>
    <x v="257"/>
    <x v="321"/>
    <x v="315"/>
    <x v="329"/>
    <x v="349"/>
    <x v="359"/>
    <x v="363"/>
    <x v="386"/>
    <x v="394"/>
  </r>
  <r>
    <x v="6"/>
    <x v="1"/>
    <x v="7"/>
    <x v="11"/>
    <x v="3"/>
    <x v="5"/>
    <x v="1"/>
    <x v="229"/>
    <x v="258"/>
    <x v="322"/>
    <x v="316"/>
    <x v="330"/>
    <x v="350"/>
    <x v="360"/>
    <x v="364"/>
    <x v="387"/>
    <x v="395"/>
  </r>
  <r>
    <x v="6"/>
    <x v="1"/>
    <x v="7"/>
    <x v="11"/>
    <x v="4"/>
    <x v="5"/>
    <x v="1"/>
    <x v="1"/>
    <x v="0"/>
    <x v="323"/>
    <x v="317"/>
    <x v="331"/>
    <x v="351"/>
    <x v="361"/>
    <x v="365"/>
    <x v="388"/>
    <x v="396"/>
  </r>
  <r>
    <x v="6"/>
    <x v="1"/>
    <x v="7"/>
    <x v="11"/>
    <x v="5"/>
    <x v="5"/>
    <x v="193"/>
    <x v="230"/>
    <x v="259"/>
    <x v="324"/>
    <x v="318"/>
    <x v="332"/>
    <x v="352"/>
    <x v="362"/>
    <x v="366"/>
    <x v="389"/>
    <x v="397"/>
  </r>
  <r>
    <x v="6"/>
    <x v="1"/>
    <x v="7"/>
    <x v="11"/>
    <x v="6"/>
    <x v="5"/>
    <x v="1"/>
    <x v="1"/>
    <x v="0"/>
    <x v="2"/>
    <x v="2"/>
    <x v="2"/>
    <x v="3"/>
    <x v="1"/>
    <x v="1"/>
    <x v="3"/>
    <x v="1"/>
  </r>
  <r>
    <x v="6"/>
    <x v="1"/>
    <x v="7"/>
    <x v="2"/>
    <x v="7"/>
    <x v="127"/>
    <x v="194"/>
    <x v="231"/>
    <x v="260"/>
    <x v="325"/>
    <x v="319"/>
    <x v="333"/>
    <x v="353"/>
    <x v="363"/>
    <x v="367"/>
    <x v="390"/>
    <x v="398"/>
  </r>
  <r>
    <x v="6"/>
    <x v="1"/>
    <x v="7"/>
    <x v="2"/>
    <x v="8"/>
    <x v="128"/>
    <x v="195"/>
    <x v="232"/>
    <x v="261"/>
    <x v="326"/>
    <x v="320"/>
    <x v="334"/>
    <x v="354"/>
    <x v="364"/>
    <x v="368"/>
    <x v="391"/>
    <x v="399"/>
  </r>
  <r>
    <x v="6"/>
    <x v="1"/>
    <x v="7"/>
    <x v="2"/>
    <x v="9"/>
    <x v="5"/>
    <x v="1"/>
    <x v="1"/>
    <x v="0"/>
    <x v="2"/>
    <x v="2"/>
    <x v="2"/>
    <x v="3"/>
    <x v="1"/>
    <x v="1"/>
    <x v="3"/>
    <x v="385"/>
  </r>
  <r>
    <x v="6"/>
    <x v="1"/>
    <x v="7"/>
    <x v="2"/>
    <x v="10"/>
    <x v="5"/>
    <x v="1"/>
    <x v="1"/>
    <x v="0"/>
    <x v="2"/>
    <x v="2"/>
    <x v="2"/>
    <x v="3"/>
    <x v="347"/>
    <x v="369"/>
    <x v="392"/>
    <x v="400"/>
  </r>
  <r>
    <x v="6"/>
    <x v="1"/>
    <x v="7"/>
    <x v="2"/>
    <x v="11"/>
    <x v="5"/>
    <x v="1"/>
    <x v="1"/>
    <x v="0"/>
    <x v="2"/>
    <x v="2"/>
    <x v="2"/>
    <x v="3"/>
    <x v="1"/>
    <x v="1"/>
    <x v="3"/>
    <x v="1"/>
  </r>
  <r>
    <x v="6"/>
    <x v="1"/>
    <x v="7"/>
    <x v="11"/>
    <x v="7"/>
    <x v="131"/>
    <x v="196"/>
    <x v="233"/>
    <x v="262"/>
    <x v="327"/>
    <x v="321"/>
    <x v="335"/>
    <x v="355"/>
    <x v="365"/>
    <x v="370"/>
    <x v="393"/>
    <x v="401"/>
  </r>
  <r>
    <x v="6"/>
    <x v="1"/>
    <x v="7"/>
    <x v="11"/>
    <x v="8"/>
    <x v="132"/>
    <x v="197"/>
    <x v="234"/>
    <x v="263"/>
    <x v="328"/>
    <x v="322"/>
    <x v="336"/>
    <x v="356"/>
    <x v="366"/>
    <x v="371"/>
    <x v="394"/>
    <x v="402"/>
  </r>
  <r>
    <x v="6"/>
    <x v="1"/>
    <x v="7"/>
    <x v="11"/>
    <x v="9"/>
    <x v="5"/>
    <x v="1"/>
    <x v="1"/>
    <x v="0"/>
    <x v="2"/>
    <x v="2"/>
    <x v="2"/>
    <x v="3"/>
    <x v="1"/>
    <x v="1"/>
    <x v="3"/>
    <x v="403"/>
  </r>
  <r>
    <x v="6"/>
    <x v="1"/>
    <x v="7"/>
    <x v="11"/>
    <x v="10"/>
    <x v="5"/>
    <x v="1"/>
    <x v="1"/>
    <x v="0"/>
    <x v="2"/>
    <x v="2"/>
    <x v="2"/>
    <x v="3"/>
    <x v="367"/>
    <x v="372"/>
    <x v="395"/>
    <x v="404"/>
  </r>
  <r>
    <x v="6"/>
    <x v="1"/>
    <x v="7"/>
    <x v="11"/>
    <x v="11"/>
    <x v="5"/>
    <x v="1"/>
    <x v="1"/>
    <x v="0"/>
    <x v="2"/>
    <x v="2"/>
    <x v="2"/>
    <x v="3"/>
    <x v="1"/>
    <x v="1"/>
    <x v="3"/>
    <x v="1"/>
  </r>
  <r>
    <x v="6"/>
    <x v="1"/>
    <x v="6"/>
    <x v="0"/>
    <x v="29"/>
    <x v="129"/>
    <x v="198"/>
    <x v="235"/>
    <x v="264"/>
    <x v="329"/>
    <x v="323"/>
    <x v="337"/>
    <x v="357"/>
    <x v="368"/>
    <x v="373"/>
    <x v="396"/>
    <x v="405"/>
  </r>
  <r>
    <x v="6"/>
    <x v="1"/>
    <x v="6"/>
    <x v="0"/>
    <x v="30"/>
    <x v="130"/>
    <x v="199"/>
    <x v="236"/>
    <x v="265"/>
    <x v="330"/>
    <x v="324"/>
    <x v="338"/>
    <x v="358"/>
    <x v="369"/>
    <x v="374"/>
    <x v="397"/>
    <x v="406"/>
  </r>
  <r>
    <x v="6"/>
    <x v="1"/>
    <x v="6"/>
    <x v="0"/>
    <x v="31"/>
    <x v="5"/>
    <x v="1"/>
    <x v="1"/>
    <x v="0"/>
    <x v="2"/>
    <x v="2"/>
    <x v="2"/>
    <x v="3"/>
    <x v="1"/>
    <x v="1"/>
    <x v="3"/>
    <x v="1"/>
  </r>
  <r>
    <x v="6"/>
    <x v="1"/>
    <x v="6"/>
    <x v="14"/>
    <x v="7"/>
    <x v="5"/>
    <x v="1"/>
    <x v="223"/>
    <x v="266"/>
    <x v="331"/>
    <x v="325"/>
    <x v="339"/>
    <x v="359"/>
    <x v="370"/>
    <x v="375"/>
    <x v="398"/>
    <x v="407"/>
  </r>
  <r>
    <x v="6"/>
    <x v="1"/>
    <x v="6"/>
    <x v="14"/>
    <x v="8"/>
    <x v="129"/>
    <x v="198"/>
    <x v="237"/>
    <x v="267"/>
    <x v="332"/>
    <x v="326"/>
    <x v="340"/>
    <x v="360"/>
    <x v="371"/>
    <x v="376"/>
    <x v="399"/>
    <x v="408"/>
  </r>
  <r>
    <x v="6"/>
    <x v="1"/>
    <x v="6"/>
    <x v="14"/>
    <x v="9"/>
    <x v="5"/>
    <x v="1"/>
    <x v="1"/>
    <x v="0"/>
    <x v="2"/>
    <x v="2"/>
    <x v="2"/>
    <x v="3"/>
    <x v="1"/>
    <x v="1"/>
    <x v="3"/>
    <x v="1"/>
  </r>
  <r>
    <x v="6"/>
    <x v="1"/>
    <x v="6"/>
    <x v="14"/>
    <x v="10"/>
    <x v="5"/>
    <x v="1"/>
    <x v="1"/>
    <x v="0"/>
    <x v="2"/>
    <x v="2"/>
    <x v="2"/>
    <x v="3"/>
    <x v="351"/>
    <x v="377"/>
    <x v="400"/>
    <x v="409"/>
  </r>
  <r>
    <x v="6"/>
    <x v="1"/>
    <x v="6"/>
    <x v="14"/>
    <x v="11"/>
    <x v="5"/>
    <x v="1"/>
    <x v="1"/>
    <x v="0"/>
    <x v="2"/>
    <x v="2"/>
    <x v="2"/>
    <x v="3"/>
    <x v="1"/>
    <x v="1"/>
    <x v="3"/>
    <x v="1"/>
  </r>
  <r>
    <x v="6"/>
    <x v="1"/>
    <x v="6"/>
    <x v="15"/>
    <x v="7"/>
    <x v="130"/>
    <x v="200"/>
    <x v="238"/>
    <x v="268"/>
    <x v="333"/>
    <x v="327"/>
    <x v="341"/>
    <x v="361"/>
    <x v="372"/>
    <x v="378"/>
    <x v="401"/>
    <x v="410"/>
  </r>
  <r>
    <x v="6"/>
    <x v="1"/>
    <x v="6"/>
    <x v="15"/>
    <x v="8"/>
    <x v="5"/>
    <x v="189"/>
    <x v="239"/>
    <x v="269"/>
    <x v="334"/>
    <x v="328"/>
    <x v="342"/>
    <x v="362"/>
    <x v="373"/>
    <x v="379"/>
    <x v="402"/>
    <x v="411"/>
  </r>
  <r>
    <x v="6"/>
    <x v="1"/>
    <x v="6"/>
    <x v="15"/>
    <x v="9"/>
    <x v="5"/>
    <x v="1"/>
    <x v="1"/>
    <x v="0"/>
    <x v="2"/>
    <x v="2"/>
    <x v="2"/>
    <x v="3"/>
    <x v="1"/>
    <x v="1"/>
    <x v="3"/>
    <x v="386"/>
  </r>
  <r>
    <x v="6"/>
    <x v="1"/>
    <x v="6"/>
    <x v="15"/>
    <x v="10"/>
    <x v="5"/>
    <x v="1"/>
    <x v="1"/>
    <x v="0"/>
    <x v="2"/>
    <x v="2"/>
    <x v="2"/>
    <x v="3"/>
    <x v="1"/>
    <x v="1"/>
    <x v="3"/>
    <x v="1"/>
  </r>
  <r>
    <x v="6"/>
    <x v="1"/>
    <x v="6"/>
    <x v="15"/>
    <x v="11"/>
    <x v="5"/>
    <x v="1"/>
    <x v="1"/>
    <x v="0"/>
    <x v="2"/>
    <x v="2"/>
    <x v="2"/>
    <x v="3"/>
    <x v="1"/>
    <x v="1"/>
    <x v="3"/>
    <x v="1"/>
  </r>
  <r>
    <x v="6"/>
    <x v="1"/>
    <x v="7"/>
    <x v="0"/>
    <x v="29"/>
    <x v="129"/>
    <x v="198"/>
    <x v="235"/>
    <x v="264"/>
    <x v="329"/>
    <x v="323"/>
    <x v="337"/>
    <x v="357"/>
    <x v="368"/>
    <x v="373"/>
    <x v="396"/>
    <x v="405"/>
  </r>
  <r>
    <x v="6"/>
    <x v="1"/>
    <x v="7"/>
    <x v="0"/>
    <x v="30"/>
    <x v="130"/>
    <x v="199"/>
    <x v="236"/>
    <x v="265"/>
    <x v="330"/>
    <x v="324"/>
    <x v="338"/>
    <x v="358"/>
    <x v="369"/>
    <x v="374"/>
    <x v="397"/>
    <x v="406"/>
  </r>
  <r>
    <x v="6"/>
    <x v="1"/>
    <x v="7"/>
    <x v="0"/>
    <x v="31"/>
    <x v="5"/>
    <x v="1"/>
    <x v="1"/>
    <x v="0"/>
    <x v="2"/>
    <x v="2"/>
    <x v="2"/>
    <x v="3"/>
    <x v="1"/>
    <x v="1"/>
    <x v="3"/>
    <x v="1"/>
  </r>
  <r>
    <x v="6"/>
    <x v="1"/>
    <x v="7"/>
    <x v="14"/>
    <x v="7"/>
    <x v="5"/>
    <x v="1"/>
    <x v="223"/>
    <x v="266"/>
    <x v="331"/>
    <x v="325"/>
    <x v="339"/>
    <x v="359"/>
    <x v="370"/>
    <x v="375"/>
    <x v="398"/>
    <x v="407"/>
  </r>
  <r>
    <x v="6"/>
    <x v="1"/>
    <x v="7"/>
    <x v="14"/>
    <x v="8"/>
    <x v="129"/>
    <x v="198"/>
    <x v="237"/>
    <x v="267"/>
    <x v="332"/>
    <x v="326"/>
    <x v="340"/>
    <x v="360"/>
    <x v="371"/>
    <x v="376"/>
    <x v="399"/>
    <x v="408"/>
  </r>
  <r>
    <x v="6"/>
    <x v="1"/>
    <x v="7"/>
    <x v="14"/>
    <x v="9"/>
    <x v="5"/>
    <x v="1"/>
    <x v="1"/>
    <x v="0"/>
    <x v="2"/>
    <x v="2"/>
    <x v="2"/>
    <x v="3"/>
    <x v="1"/>
    <x v="1"/>
    <x v="3"/>
    <x v="1"/>
  </r>
  <r>
    <x v="6"/>
    <x v="1"/>
    <x v="7"/>
    <x v="14"/>
    <x v="10"/>
    <x v="5"/>
    <x v="1"/>
    <x v="1"/>
    <x v="0"/>
    <x v="2"/>
    <x v="2"/>
    <x v="2"/>
    <x v="3"/>
    <x v="351"/>
    <x v="377"/>
    <x v="400"/>
    <x v="409"/>
  </r>
  <r>
    <x v="6"/>
    <x v="1"/>
    <x v="7"/>
    <x v="14"/>
    <x v="11"/>
    <x v="5"/>
    <x v="1"/>
    <x v="1"/>
    <x v="0"/>
    <x v="2"/>
    <x v="2"/>
    <x v="2"/>
    <x v="3"/>
    <x v="1"/>
    <x v="1"/>
    <x v="3"/>
    <x v="1"/>
  </r>
  <r>
    <x v="6"/>
    <x v="1"/>
    <x v="7"/>
    <x v="15"/>
    <x v="7"/>
    <x v="130"/>
    <x v="200"/>
    <x v="238"/>
    <x v="268"/>
    <x v="333"/>
    <x v="327"/>
    <x v="341"/>
    <x v="361"/>
    <x v="372"/>
    <x v="378"/>
    <x v="401"/>
    <x v="410"/>
  </r>
  <r>
    <x v="6"/>
    <x v="1"/>
    <x v="7"/>
    <x v="15"/>
    <x v="8"/>
    <x v="5"/>
    <x v="189"/>
    <x v="239"/>
    <x v="269"/>
    <x v="334"/>
    <x v="328"/>
    <x v="342"/>
    <x v="362"/>
    <x v="373"/>
    <x v="379"/>
    <x v="402"/>
    <x v="411"/>
  </r>
  <r>
    <x v="6"/>
    <x v="1"/>
    <x v="7"/>
    <x v="15"/>
    <x v="9"/>
    <x v="5"/>
    <x v="1"/>
    <x v="1"/>
    <x v="0"/>
    <x v="2"/>
    <x v="2"/>
    <x v="2"/>
    <x v="3"/>
    <x v="1"/>
    <x v="1"/>
    <x v="3"/>
    <x v="386"/>
  </r>
  <r>
    <x v="6"/>
    <x v="1"/>
    <x v="7"/>
    <x v="15"/>
    <x v="10"/>
    <x v="5"/>
    <x v="1"/>
    <x v="1"/>
    <x v="0"/>
    <x v="2"/>
    <x v="2"/>
    <x v="2"/>
    <x v="3"/>
    <x v="1"/>
    <x v="1"/>
    <x v="3"/>
    <x v="1"/>
  </r>
  <r>
    <x v="6"/>
    <x v="1"/>
    <x v="7"/>
    <x v="15"/>
    <x v="11"/>
    <x v="5"/>
    <x v="1"/>
    <x v="1"/>
    <x v="0"/>
    <x v="2"/>
    <x v="2"/>
    <x v="2"/>
    <x v="3"/>
    <x v="1"/>
    <x v="1"/>
    <x v="3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2025统计" cacheId="0" dataOnRows="1" autoFormatId="1" applyNumberFormats="0" applyBorderFormats="0" applyFontFormats="0" applyPatternFormats="0" applyAlignmentFormats="0" applyWidthHeightFormats="1" dataCaption="" updatedVersion="5" compact="0" compactData="0" showDrill="1">
  <location ref="A7:I20" firstHeaderRow="1" firstDataRow="2" firstDataCol="1" rowPageCount="4" colPageCount="1"/>
  <pivotFields count="17">
    <pivotField axis="axisCol" compact="0" outline="0" multipleItemSelectionAllowed="1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Page" compact="0" outline="0" multipleItemSelectionAllowed="1" showAll="0">
      <items count="4">
        <item h="1" x="0"/>
        <item x="1"/>
        <item h="1" x="2"/>
        <item t="default"/>
      </items>
    </pivotField>
    <pivotField axis="axisPage" compact="0" outline="0" multipleItemSelectionAllowed="1" showAll="0">
      <items count="11">
        <item h="1" x="0"/>
        <item h="1" x="1"/>
        <item x="2"/>
        <item h="1" x="3"/>
        <item h="1" x="4"/>
        <item h="1" x="5"/>
        <item h="1" x="6"/>
        <item h="1" x="7"/>
        <item h="1" x="8"/>
        <item h="1" x="9"/>
        <item t="default"/>
      </items>
    </pivotField>
    <pivotField axis="axisPage" compact="0" outline="0" multipleItemSelectionAllowed="1" showAll="0">
      <items count="18">
        <item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t="default"/>
      </items>
    </pivotField>
    <pivotField axis="axisPage" compact="0" outline="0" multipleItemSelectionAllowed="1" showAll="0">
      <items count="43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t="default"/>
      </items>
    </pivotField>
    <pivotField dataField="1" compact="0" outline="0" multipleItemSelectionAllowed="1" showAll="0">
      <items count="114">
        <item x="1"/>
        <item x="96"/>
        <item x="56"/>
        <item x="112"/>
        <item x="29"/>
        <item x="25"/>
        <item x="58"/>
        <item x="59"/>
        <item x="77"/>
        <item x="97"/>
        <item x="55"/>
        <item x="110"/>
        <item x="109"/>
        <item x="104"/>
        <item x="111"/>
        <item x="14"/>
        <item x="64"/>
        <item x="70"/>
        <item x="98"/>
        <item x="65"/>
        <item x="71"/>
        <item x="88"/>
        <item x="84"/>
        <item x="94"/>
        <item x="95"/>
        <item x="27"/>
        <item x="31"/>
        <item x="72"/>
        <item x="66"/>
        <item x="34"/>
        <item x="35"/>
        <item x="68"/>
        <item x="62"/>
        <item x="7"/>
        <item x="57"/>
        <item x="28"/>
        <item x="32"/>
        <item x="54"/>
        <item x="8"/>
        <item x="102"/>
        <item x="107"/>
        <item x="40"/>
        <item x="50"/>
        <item x="41"/>
        <item x="51"/>
        <item x="105"/>
        <item x="100"/>
        <item x="6"/>
        <item x="30"/>
        <item x="26"/>
        <item x="101"/>
        <item x="106"/>
        <item x="36"/>
        <item x="108"/>
        <item x="103"/>
        <item x="63"/>
        <item x="69"/>
        <item x="9"/>
        <item x="12"/>
        <item x="78"/>
        <item x="45"/>
        <item x="42"/>
        <item x="52"/>
        <item x="67"/>
        <item x="73"/>
        <item x="3"/>
        <item x="38"/>
        <item x="48"/>
        <item x="82"/>
        <item x="92"/>
        <item x="86"/>
        <item x="16"/>
        <item x="21"/>
        <item x="80"/>
        <item x="90"/>
        <item x="61"/>
        <item x="81"/>
        <item x="91"/>
        <item x="83"/>
        <item x="93"/>
        <item x="87"/>
        <item x="2"/>
        <item x="23"/>
        <item x="24"/>
        <item x="17"/>
        <item x="22"/>
        <item x="5"/>
        <item x="79"/>
        <item x="99"/>
        <item x="89"/>
        <item x="85"/>
        <item x="39"/>
        <item x="49"/>
        <item x="60"/>
        <item x="4"/>
        <item x="43"/>
        <item x="53"/>
        <item x="15"/>
        <item x="20"/>
        <item x="46"/>
        <item x="33"/>
        <item x="37"/>
        <item x="47"/>
        <item x="44"/>
        <item x="0"/>
        <item x="75"/>
        <item x="74"/>
        <item x="76"/>
        <item x="13"/>
        <item x="19"/>
        <item x="18"/>
        <item x="10"/>
        <item x="11"/>
        <item t="default"/>
      </items>
    </pivotField>
    <pivotField dataField="1" compact="0" outline="0" multipleItemSelectionAllowed="1" showAll="0">
      <items count="162">
        <item x="1"/>
        <item x="152"/>
        <item x="98"/>
        <item x="160"/>
        <item x="100"/>
        <item x="25"/>
        <item x="101"/>
        <item x="105"/>
        <item x="147"/>
        <item x="135"/>
        <item x="150"/>
        <item x="97"/>
        <item x="157"/>
        <item x="155"/>
        <item x="119"/>
        <item x="149"/>
        <item x="153"/>
        <item x="51"/>
        <item x="39"/>
        <item x="45"/>
        <item x="33"/>
        <item x="156"/>
        <item x="35"/>
        <item x="47"/>
        <item x="154"/>
        <item x="77"/>
        <item x="90"/>
        <item x="151"/>
        <item x="118"/>
        <item x="78"/>
        <item x="91"/>
        <item x="131"/>
        <item x="143"/>
        <item x="61"/>
        <item x="36"/>
        <item x="48"/>
        <item x="94"/>
        <item x="81"/>
        <item x="9"/>
        <item x="145"/>
        <item x="133"/>
        <item x="148"/>
        <item x="62"/>
        <item x="88"/>
        <item x="75"/>
        <item x="11"/>
        <item x="107"/>
        <item x="146"/>
        <item x="134"/>
        <item x="99"/>
        <item x="96"/>
        <item x="140"/>
        <item x="128"/>
        <item x="8"/>
        <item x="24"/>
        <item x="27"/>
        <item x="121"/>
        <item x="158"/>
        <item x="112"/>
        <item x="73"/>
        <item x="117"/>
        <item x="86"/>
        <item x="74"/>
        <item x="87"/>
        <item x="123"/>
        <item x="38"/>
        <item x="50"/>
        <item x="40"/>
        <item x="52"/>
        <item x="10"/>
        <item x="132"/>
        <item x="144"/>
        <item x="63"/>
        <item x="159"/>
        <item x="76"/>
        <item x="89"/>
        <item x="64"/>
        <item x="127"/>
        <item x="139"/>
        <item x="108"/>
        <item x="46"/>
        <item x="34"/>
        <item x="66"/>
        <item x="19"/>
        <item x="16"/>
        <item x="14"/>
        <item x="79"/>
        <item x="92"/>
        <item x="65"/>
        <item x="82"/>
        <item x="95"/>
        <item x="12"/>
        <item x="29"/>
        <item x="109"/>
        <item x="0"/>
        <item x="71"/>
        <item x="84"/>
        <item x="129"/>
        <item x="141"/>
        <item x="31"/>
        <item x="43"/>
        <item x="69"/>
        <item x="59"/>
        <item x="58"/>
        <item x="60"/>
        <item x="130"/>
        <item x="142"/>
        <item x="2"/>
        <item x="54"/>
        <item x="126"/>
        <item x="138"/>
        <item x="56"/>
        <item x="53"/>
        <item x="55"/>
        <item x="32"/>
        <item x="44"/>
        <item x="111"/>
        <item x="116"/>
        <item x="120"/>
        <item x="5"/>
        <item x="110"/>
        <item x="72"/>
        <item x="113"/>
        <item x="115"/>
        <item x="85"/>
        <item x="68"/>
        <item x="3"/>
        <item x="125"/>
        <item x="137"/>
        <item x="80"/>
        <item x="93"/>
        <item x="6"/>
        <item x="70"/>
        <item x="83"/>
        <item x="67"/>
        <item x="122"/>
        <item x="7"/>
        <item x="124"/>
        <item x="136"/>
        <item x="114"/>
        <item x="4"/>
        <item x="102"/>
        <item x="103"/>
        <item x="104"/>
        <item x="106"/>
        <item x="37"/>
        <item x="49"/>
        <item x="17"/>
        <item x="23"/>
        <item x="20"/>
        <item x="15"/>
        <item x="22"/>
        <item x="18"/>
        <item x="30"/>
        <item x="42"/>
        <item x="28"/>
        <item x="41"/>
        <item x="26"/>
        <item x="21"/>
        <item x="57"/>
        <item x="13"/>
        <item t="default"/>
      </items>
    </pivotField>
    <pivotField dataField="1" compact="0" outline="0" multipleItemSelectionAllowed="1" showAll="0">
      <items count="209">
        <item x="3"/>
        <item x="172"/>
        <item x="117"/>
        <item x="26"/>
        <item x="29"/>
        <item x="189"/>
        <item x="207"/>
        <item x="156"/>
        <item x="142"/>
        <item x="119"/>
        <item x="50"/>
        <item x="35"/>
        <item x="165"/>
        <item x="151"/>
        <item x="62"/>
        <item x="66"/>
        <item x="120"/>
        <item x="135"/>
        <item x="124"/>
        <item x="169"/>
        <item x="196"/>
        <item x="84"/>
        <item x="190"/>
        <item x="188"/>
        <item x="179"/>
        <item x="206"/>
        <item x="198"/>
        <item x="51"/>
        <item x="36"/>
        <item x="171"/>
        <item x="167"/>
        <item x="116"/>
        <item x="59"/>
        <item x="44"/>
        <item x="204"/>
        <item x="130"/>
        <item x="38"/>
        <item x="53"/>
        <item x="186"/>
        <item x="95"/>
        <item x="109"/>
        <item x="170"/>
        <item x="197"/>
        <item x="168"/>
        <item x="147"/>
        <item x="161"/>
        <item x="191"/>
        <item x="183"/>
        <item x="125"/>
        <item x="199"/>
        <item x="176"/>
        <item x="193"/>
        <item x="112"/>
        <item x="98"/>
        <item x="163"/>
        <item x="149"/>
        <item x="12"/>
        <item x="73"/>
        <item x="100"/>
        <item x="114"/>
        <item x="39"/>
        <item x="54"/>
        <item x="205"/>
        <item x="75"/>
        <item x="180"/>
        <item x="106"/>
        <item x="92"/>
        <item x="166"/>
        <item x="23"/>
        <item x="16"/>
        <item x="22"/>
        <item x="25"/>
        <item x="94"/>
        <item x="108"/>
        <item x="164"/>
        <item x="150"/>
        <item x="5"/>
        <item x="157"/>
        <item x="143"/>
        <item x="200"/>
        <item x="13"/>
        <item x="118"/>
        <item x="115"/>
        <item x="74"/>
        <item x="64"/>
        <item x="68"/>
        <item x="181"/>
        <item x="177"/>
        <item x="15"/>
        <item x="14"/>
        <item x="185"/>
        <item x="182"/>
        <item x="192"/>
        <item x="91"/>
        <item x="105"/>
        <item x="43"/>
        <item x="58"/>
        <item x="45"/>
        <item x="60"/>
        <item x="202"/>
        <item x="194"/>
        <item x="18"/>
        <item x="107"/>
        <item x="93"/>
        <item x="78"/>
        <item x="184"/>
        <item x="21"/>
        <item x="201"/>
        <item x="178"/>
        <item x="79"/>
        <item x="148"/>
        <item x="162"/>
        <item x="187"/>
        <item x="17"/>
        <item x="195"/>
        <item x="20"/>
        <item x="173"/>
        <item x="99"/>
        <item x="113"/>
        <item x="174"/>
        <item x="52"/>
        <item x="37"/>
        <item x="141"/>
        <item x="155"/>
        <item x="203"/>
        <item x="6"/>
        <item x="127"/>
        <item x="96"/>
        <item x="110"/>
        <item x="31"/>
        <item x="81"/>
        <item x="80"/>
        <item x="126"/>
        <item x="83"/>
        <item x="28"/>
        <item x="41"/>
        <item x="56"/>
        <item x="1"/>
        <item x="88"/>
        <item x="102"/>
        <item x="145"/>
        <item x="159"/>
        <item x="33"/>
        <item x="48"/>
        <item x="90"/>
        <item x="104"/>
        <item x="70"/>
        <item x="129"/>
        <item x="134"/>
        <item x="131"/>
        <item x="128"/>
        <item x="71"/>
        <item x="133"/>
        <item x="72"/>
        <item x="146"/>
        <item x="160"/>
        <item x="4"/>
        <item x="63"/>
        <item x="140"/>
        <item x="154"/>
        <item x="67"/>
        <item x="137"/>
        <item x="86"/>
        <item x="61"/>
        <item x="65"/>
        <item x="34"/>
        <item x="49"/>
        <item x="2"/>
        <item x="89"/>
        <item x="103"/>
        <item x="85"/>
        <item x="0"/>
        <item x="97"/>
        <item x="111"/>
        <item x="144"/>
        <item x="158"/>
        <item x="9"/>
        <item x="139"/>
        <item x="153"/>
        <item x="136"/>
        <item x="87"/>
        <item x="7"/>
        <item x="101"/>
        <item x="82"/>
        <item x="11"/>
        <item x="121"/>
        <item x="122"/>
        <item x="123"/>
        <item x="138"/>
        <item x="175"/>
        <item x="152"/>
        <item x="132"/>
        <item x="40"/>
        <item x="55"/>
        <item x="42"/>
        <item x="57"/>
        <item x="10"/>
        <item x="77"/>
        <item x="8"/>
        <item x="76"/>
        <item x="32"/>
        <item x="47"/>
        <item x="30"/>
        <item x="46"/>
        <item x="27"/>
        <item x="24"/>
        <item x="69"/>
        <item x="19"/>
        <item t="default"/>
      </items>
    </pivotField>
    <pivotField dataField="1" compact="0" outline="0" multipleItemSelectionAllowed="1" showAll="0">
      <items count="296">
        <item x="3"/>
        <item x="262"/>
        <item x="50"/>
        <item x="292"/>
        <item x="144"/>
        <item x="245"/>
        <item x="230"/>
        <item x="57"/>
        <item x="270"/>
        <item x="184"/>
        <item x="166"/>
        <item x="98"/>
        <item x="103"/>
        <item x="222"/>
        <item x="204"/>
        <item x="293"/>
        <item x="190"/>
        <item x="141"/>
        <item x="203"/>
        <item x="199"/>
        <item x="187"/>
        <item x="259"/>
        <item x="274"/>
        <item x="191"/>
        <item x="294"/>
        <item x="49"/>
        <item x="56"/>
        <item x="47"/>
        <item x="165"/>
        <item x="183"/>
        <item x="285"/>
        <item x="278"/>
        <item x="54"/>
        <item x="255"/>
        <item x="240"/>
        <item x="74"/>
        <item x="64"/>
        <item x="82"/>
        <item x="92"/>
        <item x="291"/>
        <item x="156"/>
        <item x="174"/>
        <item x="289"/>
        <item x="227"/>
        <item x="67"/>
        <item x="85"/>
        <item x="261"/>
        <item x="257"/>
        <item x="158"/>
        <item x="176"/>
        <item x="142"/>
        <item x="113"/>
        <item x="267"/>
        <item x="48"/>
        <item x="268"/>
        <item x="260"/>
        <item x="55"/>
        <item x="275"/>
        <item x="91"/>
        <item x="73"/>
        <item x="18"/>
        <item x="139"/>
        <item x="258"/>
        <item x="95"/>
        <item x="207"/>
        <item x="100"/>
        <item x="284"/>
        <item x="282"/>
        <item x="159"/>
        <item x="286"/>
        <item x="177"/>
        <item x="238"/>
        <item x="21"/>
        <item x="253"/>
        <item x="279"/>
        <item x="117"/>
        <item x="155"/>
        <item x="173"/>
        <item x="68"/>
        <item x="86"/>
        <item x="112"/>
        <item x="288"/>
        <item x="83"/>
        <item x="65"/>
        <item x="290"/>
        <item x="108"/>
        <item x="192"/>
        <item x="194"/>
        <item x="17"/>
        <item x="276"/>
        <item x="209"/>
        <item x="239"/>
        <item x="254"/>
        <item x="256"/>
        <item x="111"/>
        <item x="247"/>
        <item x="232"/>
        <item x="231"/>
        <item x="246"/>
        <item x="271"/>
        <item x="154"/>
        <item x="172"/>
        <item x="265"/>
        <item x="115"/>
        <item x="280"/>
        <item x="7"/>
        <item x="206"/>
        <item x="118"/>
        <item x="164"/>
        <item x="182"/>
        <item x="216"/>
        <item x="127"/>
        <item x="211"/>
        <item x="116"/>
        <item x="143"/>
        <item x="140"/>
        <item x="189"/>
        <item x="10"/>
        <item x="97"/>
        <item x="102"/>
        <item x="277"/>
        <item x="186"/>
        <item x="266"/>
        <item x="188"/>
        <item x="236"/>
        <item x="251"/>
        <item x="27"/>
        <item x="185"/>
        <item x="93"/>
        <item x="75"/>
        <item x="16"/>
        <item x="175"/>
        <item x="157"/>
        <item x="208"/>
        <item x="72"/>
        <item x="90"/>
        <item x="114"/>
        <item x="283"/>
        <item x="272"/>
        <item x="6"/>
        <item x="281"/>
        <item x="20"/>
        <item x="229"/>
        <item x="244"/>
        <item x="24"/>
        <item x="84"/>
        <item x="66"/>
        <item x="181"/>
        <item x="163"/>
        <item x="237"/>
        <item x="252"/>
        <item x="9"/>
        <item x="287"/>
        <item x="30"/>
        <item x="269"/>
        <item x="263"/>
        <item x="31"/>
        <item x="273"/>
        <item x="264"/>
        <item x="33"/>
        <item x="23"/>
        <item x="43"/>
        <item x="213"/>
        <item x="39"/>
        <item x="212"/>
        <item x="28"/>
        <item x="25"/>
        <item x="29"/>
        <item x="119"/>
        <item x="162"/>
        <item x="180"/>
        <item x="36"/>
        <item x="40"/>
        <item x="59"/>
        <item x="77"/>
        <item x="46"/>
        <item x="198"/>
        <item x="202"/>
        <item x="2"/>
        <item x="38"/>
        <item x="234"/>
        <item x="249"/>
        <item x="35"/>
        <item x="45"/>
        <item x="123"/>
        <item x="135"/>
        <item x="62"/>
        <item x="80"/>
        <item x="152"/>
        <item x="170"/>
        <item x="105"/>
        <item x="153"/>
        <item x="106"/>
        <item x="171"/>
        <item x="218"/>
        <item x="107"/>
        <item x="215"/>
        <item x="51"/>
        <item x="70"/>
        <item x="221"/>
        <item x="88"/>
        <item x="235"/>
        <item x="250"/>
        <item x="4"/>
        <item x="217"/>
        <item x="214"/>
        <item x="96"/>
        <item x="220"/>
        <item x="228"/>
        <item x="53"/>
        <item x="243"/>
        <item x="101"/>
        <item x="34"/>
        <item x="44"/>
        <item x="94"/>
        <item x="99"/>
        <item x="124"/>
        <item x="136"/>
        <item x="63"/>
        <item x="81"/>
        <item x="37"/>
        <item x="32"/>
        <item x="42"/>
        <item x="60"/>
        <item x="1"/>
        <item x="78"/>
        <item x="126"/>
        <item x="138"/>
        <item x="130"/>
        <item x="151"/>
        <item x="169"/>
        <item x="224"/>
        <item x="145"/>
        <item x="5"/>
        <item x="121"/>
        <item x="133"/>
        <item x="0"/>
        <item x="150"/>
        <item x="168"/>
        <item x="226"/>
        <item x="242"/>
        <item x="223"/>
        <item x="12"/>
        <item x="233"/>
        <item x="248"/>
        <item x="8"/>
        <item x="161"/>
        <item x="195"/>
        <item x="197"/>
        <item x="179"/>
        <item x="201"/>
        <item x="193"/>
        <item x="196"/>
        <item x="200"/>
        <item x="147"/>
        <item x="22"/>
        <item x="71"/>
        <item x="89"/>
        <item x="19"/>
        <item x="69"/>
        <item x="87"/>
        <item x="225"/>
        <item x="210"/>
        <item x="219"/>
        <item x="241"/>
        <item x="205"/>
        <item x="122"/>
        <item x="134"/>
        <item x="15"/>
        <item x="14"/>
        <item x="61"/>
        <item x="79"/>
        <item x="110"/>
        <item x="13"/>
        <item x="146"/>
        <item x="129"/>
        <item x="11"/>
        <item x="125"/>
        <item x="137"/>
        <item x="160"/>
        <item x="178"/>
        <item x="148"/>
        <item x="109"/>
        <item x="128"/>
        <item x="120"/>
        <item x="132"/>
        <item x="58"/>
        <item x="52"/>
        <item x="76"/>
        <item x="41"/>
        <item x="149"/>
        <item x="131"/>
        <item x="167"/>
        <item x="104"/>
        <item x="26"/>
        <item t="default"/>
      </items>
    </pivotField>
    <pivotField dataField="1" compact="0" outline="0" multipleItemSelectionAllowed="1" showAll="0">
      <items count="346">
        <item x="1"/>
        <item x="303"/>
        <item x="342"/>
        <item x="319"/>
        <item x="51"/>
        <item x="61"/>
        <item x="157"/>
        <item x="202"/>
        <item x="257"/>
        <item x="181"/>
        <item x="49"/>
        <item x="59"/>
        <item x="224"/>
        <item x="70"/>
        <item x="90"/>
        <item x="343"/>
        <item x="209"/>
        <item x="223"/>
        <item x="158"/>
        <item x="218"/>
        <item x="296"/>
        <item x="279"/>
        <item x="203"/>
        <item x="182"/>
        <item x="315"/>
        <item x="210"/>
        <item x="255"/>
        <item x="344"/>
        <item x="180"/>
        <item x="201"/>
        <item x="300"/>
        <item x="50"/>
        <item x="60"/>
        <item x="48"/>
        <item x="106"/>
        <item x="58"/>
        <item x="72"/>
        <item x="92"/>
        <item x="114"/>
        <item x="109"/>
        <item x="117"/>
        <item x="171"/>
        <item x="192"/>
        <item x="46"/>
        <item x="341"/>
        <item x="57"/>
        <item x="314"/>
        <item x="14"/>
        <item x="173"/>
        <item x="194"/>
        <item x="156"/>
        <item x="317"/>
        <item x="327"/>
        <item x="301"/>
        <item x="324"/>
        <item x="80"/>
        <item x="100"/>
        <item x="313"/>
        <item x="206"/>
        <item x="323"/>
        <item x="332"/>
        <item x="316"/>
        <item x="73"/>
        <item x="108"/>
        <item x="93"/>
        <item x="234"/>
        <item x="302"/>
        <item x="298"/>
        <item x="155"/>
        <item x="116"/>
        <item x="335"/>
        <item x="334"/>
        <item x="256"/>
        <item x="230"/>
        <item x="277"/>
        <item x="294"/>
        <item x="329"/>
        <item x="336"/>
        <item x="278"/>
        <item x="295"/>
        <item x="328"/>
        <item x="254"/>
        <item x="128"/>
        <item x="69"/>
        <item x="89"/>
        <item x="174"/>
        <item x="195"/>
        <item x="339"/>
        <item x="338"/>
        <item x="68"/>
        <item x="137"/>
        <item x="88"/>
        <item x="340"/>
        <item x="269"/>
        <item x="286"/>
        <item x="138"/>
        <item x="122"/>
        <item x="103"/>
        <item x="214"/>
        <item x="221"/>
        <item x="170"/>
        <item x="191"/>
        <item x="111"/>
        <item x="21"/>
        <item x="23"/>
        <item x="15"/>
        <item x="307"/>
        <item x="299"/>
        <item x="18"/>
        <item x="325"/>
        <item x="227"/>
        <item x="169"/>
        <item x="190"/>
        <item x="134"/>
        <item x="330"/>
        <item x="288"/>
        <item x="271"/>
        <item x="235"/>
        <item x="99"/>
        <item x="79"/>
        <item x="131"/>
        <item x="320"/>
        <item x="127"/>
        <item x="287"/>
        <item x="270"/>
        <item x="81"/>
        <item x="101"/>
        <item x="133"/>
        <item x="179"/>
        <item x="200"/>
        <item x="12"/>
        <item x="297"/>
        <item x="262"/>
        <item x="161"/>
        <item x="19"/>
        <item x="144"/>
        <item x="154"/>
        <item x="208"/>
        <item x="268"/>
        <item x="285"/>
        <item x="24"/>
        <item x="147"/>
        <item x="107"/>
        <item x="115"/>
        <item x="13"/>
        <item x="308"/>
        <item x="326"/>
        <item x="205"/>
        <item x="16"/>
        <item x="78"/>
        <item x="98"/>
        <item x="207"/>
        <item x="275"/>
        <item x="292"/>
        <item x="130"/>
        <item x="193"/>
        <item x="172"/>
        <item x="309"/>
        <item x="27"/>
        <item x="17"/>
        <item x="40"/>
        <item x="143"/>
        <item x="331"/>
        <item x="153"/>
        <item x="28"/>
        <item x="41"/>
        <item x="204"/>
        <item x="132"/>
        <item x="333"/>
        <item x="321"/>
        <item x="146"/>
        <item x="228"/>
        <item x="20"/>
        <item x="310"/>
        <item x="91"/>
        <item x="142"/>
        <item x="71"/>
        <item x="152"/>
        <item x="337"/>
        <item x="148"/>
        <item x="199"/>
        <item x="178"/>
        <item x="243"/>
        <item x="253"/>
        <item x="211"/>
        <item x="246"/>
        <item x="304"/>
        <item x="305"/>
        <item x="233"/>
        <item x="276"/>
        <item x="293"/>
        <item x="318"/>
        <item x="141"/>
        <item x="151"/>
        <item x="322"/>
        <item x="236"/>
        <item x="136"/>
        <item x="231"/>
        <item x="312"/>
        <item x="232"/>
        <item x="177"/>
        <item x="229"/>
        <item x="198"/>
        <item x="237"/>
        <item x="311"/>
        <item x="139"/>
        <item x="135"/>
        <item x="217"/>
        <item x="222"/>
        <item x="0"/>
        <item x="66"/>
        <item x="86"/>
        <item x="165"/>
        <item x="186"/>
        <item x="140"/>
        <item x="150"/>
        <item x="145"/>
        <item x="32"/>
        <item x="44"/>
        <item x="36"/>
        <item x="119"/>
        <item x="167"/>
        <item x="120"/>
        <item x="188"/>
        <item x="121"/>
        <item x="34"/>
        <item x="30"/>
        <item x="273"/>
        <item x="42"/>
        <item x="290"/>
        <item x="274"/>
        <item x="291"/>
        <item x="3"/>
        <item x="104"/>
        <item x="112"/>
        <item x="241"/>
        <item x="251"/>
        <item x="239"/>
        <item x="249"/>
        <item x="265"/>
        <item x="76"/>
        <item x="282"/>
        <item x="96"/>
        <item x="53"/>
        <item x="67"/>
        <item x="87"/>
        <item x="26"/>
        <item x="39"/>
        <item x="240"/>
        <item x="250"/>
        <item x="4"/>
        <item x="258"/>
        <item x="168"/>
        <item x="189"/>
        <item x="64"/>
        <item x="84"/>
        <item x="63"/>
        <item x="83"/>
        <item x="47"/>
        <item x="164"/>
        <item x="5"/>
        <item x="105"/>
        <item x="113"/>
        <item x="45"/>
        <item x="56"/>
        <item x="185"/>
        <item x="267"/>
        <item x="284"/>
        <item x="259"/>
        <item x="55"/>
        <item x="266"/>
        <item x="283"/>
        <item x="2"/>
        <item x="29"/>
        <item x="163"/>
        <item x="184"/>
        <item x="264"/>
        <item x="281"/>
        <item x="9"/>
        <item x="31"/>
        <item x="43"/>
        <item x="102"/>
        <item x="110"/>
        <item x="242"/>
        <item x="245"/>
        <item x="7"/>
        <item x="252"/>
        <item x="213"/>
        <item x="216"/>
        <item x="238"/>
        <item x="244"/>
        <item x="220"/>
        <item x="212"/>
        <item x="215"/>
        <item x="248"/>
        <item x="176"/>
        <item x="75"/>
        <item x="219"/>
        <item x="95"/>
        <item x="197"/>
        <item x="124"/>
        <item x="261"/>
        <item x="77"/>
        <item x="97"/>
        <item x="260"/>
        <item x="225"/>
        <item x="25"/>
        <item x="38"/>
        <item x="159"/>
        <item x="35"/>
        <item x="22"/>
        <item x="52"/>
        <item x="226"/>
        <item x="166"/>
        <item x="187"/>
        <item x="74"/>
        <item x="94"/>
        <item x="306"/>
        <item x="11"/>
        <item x="33"/>
        <item x="272"/>
        <item x="289"/>
        <item x="125"/>
        <item x="129"/>
        <item x="10"/>
        <item x="8"/>
        <item x="175"/>
        <item x="160"/>
        <item x="263"/>
        <item x="196"/>
        <item x="247"/>
        <item x="280"/>
        <item x="126"/>
        <item x="65"/>
        <item x="85"/>
        <item x="123"/>
        <item x="162"/>
        <item x="149"/>
        <item x="183"/>
        <item x="62"/>
        <item x="82"/>
        <item x="54"/>
        <item x="37"/>
        <item x="118"/>
        <item x="6"/>
        <item t="default"/>
      </items>
    </pivotField>
    <pivotField dataField="1" compact="0" outline="0" multipleItemSelectionAllowed="1" showAll="0">
      <items count="361">
        <item x="3"/>
        <item x="221"/>
        <item x="322"/>
        <item x="276"/>
        <item x="85"/>
        <item x="63"/>
        <item x="220"/>
        <item x="150"/>
        <item x="46"/>
        <item x="50"/>
        <item x="358"/>
        <item x="47"/>
        <item x="151"/>
        <item x="103"/>
        <item x="112"/>
        <item x="235"/>
        <item x="227"/>
        <item x="201"/>
        <item x="239"/>
        <item x="178"/>
        <item x="60"/>
        <item x="82"/>
        <item x="315"/>
        <item x="357"/>
        <item x="298"/>
        <item x="208"/>
        <item x="206"/>
        <item x="275"/>
        <item x="42"/>
        <item x="209"/>
        <item x="359"/>
        <item x="176"/>
        <item x="199"/>
        <item x="165"/>
        <item x="188"/>
        <item x="319"/>
        <item x="39"/>
        <item x="99"/>
        <item x="62"/>
        <item x="84"/>
        <item x="167"/>
        <item x="190"/>
        <item x="108"/>
        <item x="17"/>
        <item x="102"/>
        <item x="111"/>
        <item x="346"/>
        <item x="333"/>
        <item x="341"/>
        <item x="343"/>
        <item x="356"/>
        <item x="342"/>
        <item x="246"/>
        <item x="320"/>
        <item x="71"/>
        <item x="338"/>
        <item x="93"/>
        <item x="168"/>
        <item x="191"/>
        <item x="353"/>
        <item x="352"/>
        <item x="327"/>
        <item x="204"/>
        <item x="314"/>
        <item x="297"/>
        <item x="337"/>
        <item x="64"/>
        <item x="86"/>
        <item x="296"/>
        <item x="313"/>
        <item x="354"/>
        <item x="101"/>
        <item x="110"/>
        <item x="121"/>
        <item x="349"/>
        <item x="348"/>
        <item x="350"/>
        <item x="274"/>
        <item x="164"/>
        <item x="187"/>
        <item x="59"/>
        <item x="81"/>
        <item x="30"/>
        <item x="305"/>
        <item x="288"/>
        <item x="355"/>
        <item x="273"/>
        <item x="26"/>
        <item x="58"/>
        <item x="80"/>
        <item x="163"/>
        <item x="186"/>
        <item x="243"/>
        <item x="117"/>
        <item x="223"/>
        <item x="233"/>
        <item x="96"/>
        <item x="18"/>
        <item x="105"/>
        <item x="152"/>
        <item x="325"/>
        <item x="149"/>
        <item x="21"/>
        <item x="329"/>
        <item x="129"/>
        <item x="122"/>
        <item x="175"/>
        <item x="198"/>
        <item x="321"/>
        <item x="262"/>
        <item x="258"/>
        <item x="271"/>
        <item x="230"/>
        <item x="238"/>
        <item x="200"/>
        <item x="177"/>
        <item x="317"/>
        <item x="306"/>
        <item x="289"/>
        <item x="119"/>
        <item x="128"/>
        <item x="92"/>
        <item x="70"/>
        <item x="23"/>
        <item x="125"/>
        <item x="72"/>
        <item x="94"/>
        <item x="120"/>
        <item x="253"/>
        <item x="281"/>
        <item x="155"/>
        <item x="266"/>
        <item x="287"/>
        <item x="304"/>
        <item x="16"/>
        <item x="345"/>
        <item x="272"/>
        <item x="207"/>
        <item x="6"/>
        <item x="100"/>
        <item x="109"/>
        <item x="307"/>
        <item x="261"/>
        <item x="290"/>
        <item x="330"/>
        <item x="257"/>
        <item x="340"/>
        <item x="203"/>
        <item x="270"/>
        <item x="69"/>
        <item x="91"/>
        <item x="124"/>
        <item x="205"/>
        <item x="294"/>
        <item x="311"/>
        <item x="135"/>
        <item x="145"/>
        <item x="141"/>
        <item x="20"/>
        <item x="326"/>
        <item x="331"/>
        <item x="38"/>
        <item x="41"/>
        <item x="45"/>
        <item x="328"/>
        <item x="40"/>
        <item x="54"/>
        <item x="244"/>
        <item x="37"/>
        <item x="344"/>
        <item x="76"/>
        <item x="44"/>
        <item x="19"/>
        <item x="318"/>
        <item x="335"/>
        <item x="24"/>
        <item x="197"/>
        <item x="174"/>
        <item x="339"/>
        <item x="127"/>
        <item x="254"/>
        <item x="267"/>
        <item x="189"/>
        <item x="166"/>
        <item x="247"/>
        <item x="83"/>
        <item x="61"/>
        <item x="173"/>
        <item x="196"/>
        <item x="316"/>
        <item x="240"/>
        <item x="202"/>
        <item x="334"/>
        <item x="323"/>
        <item x="249"/>
        <item x="324"/>
        <item x="351"/>
        <item x="34"/>
        <item x="237"/>
        <item x="229"/>
        <item x="36"/>
        <item x="295"/>
        <item x="312"/>
        <item x="250"/>
        <item x="245"/>
        <item x="32"/>
        <item x="29"/>
        <item x="347"/>
        <item x="28"/>
        <item x="33"/>
        <item x="35"/>
        <item x="248"/>
        <item x="133"/>
        <item x="132"/>
        <item x="131"/>
        <item x="226"/>
        <item x="234"/>
        <item x="2"/>
        <item x="336"/>
        <item x="332"/>
        <item x="56"/>
        <item x="78"/>
        <item x="171"/>
        <item x="159"/>
        <item x="194"/>
        <item x="182"/>
        <item x="114"/>
        <item x="252"/>
        <item x="265"/>
        <item x="161"/>
        <item x="214"/>
        <item x="211"/>
        <item x="115"/>
        <item x="184"/>
        <item x="218"/>
        <item x="116"/>
        <item x="277"/>
        <item x="1"/>
        <item x="97"/>
        <item x="293"/>
        <item x="310"/>
        <item x="106"/>
        <item x="292"/>
        <item x="309"/>
        <item x="67"/>
        <item x="89"/>
        <item x="212"/>
        <item x="215"/>
        <item x="219"/>
        <item x="57"/>
        <item x="284"/>
        <item x="79"/>
        <item x="301"/>
        <item x="4"/>
        <item x="162"/>
        <item x="185"/>
        <item x="53"/>
        <item x="75"/>
        <item x="5"/>
        <item x="98"/>
        <item x="107"/>
        <item x="255"/>
        <item x="268"/>
        <item x="52"/>
        <item x="210"/>
        <item x="213"/>
        <item x="74"/>
        <item x="217"/>
        <item x="158"/>
        <item x="137"/>
        <item x="140"/>
        <item x="181"/>
        <item x="147"/>
        <item x="49"/>
        <item x="278"/>
        <item x="0"/>
        <item x="285"/>
        <item x="302"/>
        <item x="157"/>
        <item x="25"/>
        <item x="180"/>
        <item x="256"/>
        <item x="269"/>
        <item x="15"/>
        <item x="260"/>
        <item x="95"/>
        <item x="251"/>
        <item x="104"/>
        <item x="264"/>
        <item x="259"/>
        <item x="10"/>
        <item x="283"/>
        <item x="300"/>
        <item x="170"/>
        <item x="66"/>
        <item x="88"/>
        <item x="193"/>
        <item x="7"/>
        <item x="286"/>
        <item x="138"/>
        <item x="303"/>
        <item x="148"/>
        <item x="142"/>
        <item x="68"/>
        <item x="172"/>
        <item x="90"/>
        <item x="195"/>
        <item x="8"/>
        <item x="222"/>
        <item x="228"/>
        <item x="236"/>
        <item x="13"/>
        <item x="279"/>
        <item x="27"/>
        <item x="225"/>
        <item x="65"/>
        <item x="216"/>
        <item x="224"/>
        <item x="232"/>
        <item x="87"/>
        <item x="241"/>
        <item x="231"/>
        <item x="136"/>
        <item x="146"/>
        <item x="130"/>
        <item x="280"/>
        <item x="134"/>
        <item x="144"/>
        <item x="139"/>
        <item x="22"/>
        <item x="126"/>
        <item x="12"/>
        <item x="154"/>
        <item x="123"/>
        <item x="55"/>
        <item x="77"/>
        <item x="14"/>
        <item x="291"/>
        <item x="308"/>
        <item x="11"/>
        <item x="118"/>
        <item x="169"/>
        <item x="9"/>
        <item x="192"/>
        <item x="153"/>
        <item x="282"/>
        <item x="160"/>
        <item x="242"/>
        <item x="183"/>
        <item x="299"/>
        <item x="263"/>
        <item x="51"/>
        <item x="73"/>
        <item x="48"/>
        <item x="43"/>
        <item x="156"/>
        <item x="143"/>
        <item x="179"/>
        <item x="113"/>
        <item x="31"/>
        <item t="default"/>
      </items>
    </pivotField>
    <pivotField dataField="1" compact="0" outline="0" multipleItemSelectionAllowed="1" showAll="0">
      <items count="380">
        <item x="2"/>
        <item x="340"/>
        <item x="339"/>
        <item x="170"/>
        <item x="106"/>
        <item x="84"/>
        <item x="264"/>
        <item x="239"/>
        <item x="262"/>
        <item x="226"/>
        <item x="124"/>
        <item x="133"/>
        <item x="257"/>
        <item x="247"/>
        <item x="221"/>
        <item x="198"/>
        <item x="263"/>
        <item x="305"/>
        <item x="323"/>
        <item x="61"/>
        <item x="376"/>
        <item x="62"/>
        <item x="69"/>
        <item x="230"/>
        <item x="291"/>
        <item x="292"/>
        <item x="228"/>
        <item x="338"/>
        <item x="231"/>
        <item x="246"/>
        <item x="256"/>
        <item x="185"/>
        <item x="208"/>
        <item x="378"/>
        <item x="169"/>
        <item x="168"/>
        <item x="335"/>
        <item x="77"/>
        <item x="120"/>
        <item x="196"/>
        <item x="219"/>
        <item x="187"/>
        <item x="210"/>
        <item x="83"/>
        <item x="105"/>
        <item x="23"/>
        <item x="273"/>
        <item x="129"/>
        <item x="331"/>
        <item x="313"/>
        <item x="365"/>
        <item x="361"/>
        <item x="167"/>
        <item x="276"/>
        <item x="92"/>
        <item x="114"/>
        <item x="352"/>
        <item x="360"/>
        <item x="371"/>
        <item x="375"/>
        <item x="123"/>
        <item x="132"/>
        <item x="377"/>
        <item x="85"/>
        <item x="107"/>
        <item x="373"/>
        <item x="188"/>
        <item x="211"/>
        <item x="347"/>
        <item x="21"/>
        <item x="311"/>
        <item x="329"/>
        <item x="356"/>
        <item x="122"/>
        <item x="39"/>
        <item x="131"/>
        <item x="367"/>
        <item x="336"/>
        <item x="32"/>
        <item x="369"/>
        <item x="312"/>
        <item x="330"/>
        <item x="81"/>
        <item x="20"/>
        <item x="103"/>
        <item x="184"/>
        <item x="207"/>
        <item x="79"/>
        <item x="101"/>
        <item x="102"/>
        <item x="80"/>
        <item x="275"/>
        <item x="302"/>
        <item x="320"/>
        <item x="138"/>
        <item x="242"/>
        <item x="254"/>
        <item x="224"/>
        <item x="147"/>
        <item x="183"/>
        <item x="350"/>
        <item x="206"/>
        <item x="19"/>
        <item x="227"/>
        <item x="271"/>
        <item x="65"/>
        <item x="117"/>
        <item x="126"/>
        <item x="195"/>
        <item x="49"/>
        <item x="218"/>
        <item x="374"/>
        <item x="29"/>
        <item x="220"/>
        <item x="197"/>
        <item x="251"/>
        <item x="261"/>
        <item x="270"/>
        <item x="303"/>
        <item x="321"/>
        <item x="337"/>
        <item x="362"/>
        <item x="349"/>
        <item x="146"/>
        <item x="63"/>
        <item x="143"/>
        <item x="345"/>
        <item x="372"/>
        <item x="93"/>
        <item x="115"/>
        <item x="70"/>
        <item x="333"/>
        <item x="140"/>
        <item x="60"/>
        <item x="233"/>
        <item x="68"/>
        <item x="364"/>
        <item x="26"/>
        <item x="18"/>
        <item x="175"/>
        <item x="357"/>
        <item x="301"/>
        <item x="319"/>
        <item x="368"/>
        <item x="322"/>
        <item x="304"/>
        <item x="141"/>
        <item x="7"/>
        <item x="113"/>
        <item x="121"/>
        <item x="91"/>
        <item x="130"/>
        <item x="159"/>
        <item x="156"/>
        <item x="166"/>
        <item x="46"/>
        <item x="229"/>
        <item x="90"/>
        <item x="112"/>
        <item x="25"/>
        <item x="235"/>
        <item x="56"/>
        <item x="236"/>
        <item x="359"/>
        <item x="238"/>
        <item x="346"/>
        <item x="225"/>
        <item x="363"/>
        <item x="265"/>
        <item x="285"/>
        <item x="223"/>
        <item x="142"/>
        <item x="272"/>
        <item x="283"/>
        <item x="290"/>
        <item x="348"/>
        <item x="274"/>
        <item x="22"/>
        <item x="104"/>
        <item x="334"/>
        <item x="82"/>
        <item x="354"/>
        <item x="358"/>
        <item x="145"/>
        <item x="194"/>
        <item x="217"/>
        <item x="150"/>
        <item x="209"/>
        <item x="186"/>
        <item x="154"/>
        <item x="232"/>
        <item x="164"/>
        <item x="193"/>
        <item x="216"/>
        <item x="370"/>
        <item x="332"/>
        <item x="30"/>
        <item x="10"/>
        <item x="222"/>
        <item x="38"/>
        <item x="310"/>
        <item x="328"/>
        <item x="153"/>
        <item x="260"/>
        <item x="250"/>
        <item x="163"/>
        <item x="37"/>
        <item x="149"/>
        <item x="277"/>
        <item x="234"/>
        <item x="281"/>
        <item x="279"/>
        <item x="353"/>
        <item x="42"/>
        <item x="366"/>
        <item x="44"/>
        <item x="43"/>
        <item x="36"/>
        <item x="41"/>
        <item x="152"/>
        <item x="148"/>
        <item x="35"/>
        <item x="162"/>
        <item x="278"/>
        <item x="245"/>
        <item x="255"/>
        <item x="282"/>
        <item x="289"/>
        <item x="286"/>
        <item x="1"/>
        <item x="171"/>
        <item x="295"/>
        <item x="341"/>
        <item x="343"/>
        <item x="172"/>
        <item x="309"/>
        <item x="327"/>
        <item x="179"/>
        <item x="202"/>
        <item x="351"/>
        <item x="355"/>
        <item x="47"/>
        <item x="57"/>
        <item x="52"/>
        <item x="76"/>
        <item x="99"/>
        <item x="135"/>
        <item x="191"/>
        <item x="214"/>
        <item x="181"/>
        <item x="136"/>
        <item x="204"/>
        <item x="137"/>
        <item x="342"/>
        <item x="344"/>
        <item x="155"/>
        <item x="165"/>
        <item x="158"/>
        <item x="4"/>
        <item x="118"/>
        <item x="127"/>
        <item x="307"/>
        <item x="325"/>
        <item x="284"/>
        <item x="280"/>
        <item x="151"/>
        <item x="288"/>
        <item x="157"/>
        <item x="161"/>
        <item x="88"/>
        <item x="110"/>
        <item x="249"/>
        <item x="259"/>
        <item x="78"/>
        <item x="100"/>
        <item x="240"/>
        <item x="3"/>
        <item x="308"/>
        <item x="326"/>
        <item x="182"/>
        <item x="205"/>
        <item x="31"/>
        <item x="298"/>
        <item x="316"/>
        <item x="48"/>
        <item x="58"/>
        <item x="6"/>
        <item x="119"/>
        <item x="128"/>
        <item x="74"/>
        <item x="97"/>
        <item x="50"/>
        <item x="59"/>
        <item x="72"/>
        <item x="95"/>
        <item x="53"/>
        <item x="73"/>
        <item x="67"/>
        <item x="96"/>
        <item x="5"/>
        <item x="178"/>
        <item x="201"/>
        <item x="299"/>
        <item x="317"/>
        <item x="45"/>
        <item x="64"/>
        <item x="55"/>
        <item x="0"/>
        <item x="51"/>
        <item x="177"/>
        <item x="200"/>
        <item x="116"/>
        <item x="125"/>
        <item x="12"/>
        <item x="190"/>
        <item x="213"/>
        <item x="9"/>
        <item x="297"/>
        <item x="315"/>
        <item x="300"/>
        <item x="318"/>
        <item x="89"/>
        <item x="192"/>
        <item x="111"/>
        <item x="215"/>
        <item x="34"/>
        <item x="241"/>
        <item x="248"/>
        <item x="258"/>
        <item x="8"/>
        <item x="13"/>
        <item x="244"/>
        <item x="293"/>
        <item x="253"/>
        <item x="14"/>
        <item x="237"/>
        <item x="243"/>
        <item x="87"/>
        <item x="109"/>
        <item x="252"/>
        <item x="28"/>
        <item x="86"/>
        <item x="108"/>
        <item x="294"/>
        <item x="268"/>
        <item x="17"/>
        <item x="33"/>
        <item x="144"/>
        <item x="174"/>
        <item x="75"/>
        <item x="98"/>
        <item x="306"/>
        <item x="27"/>
        <item x="324"/>
        <item x="139"/>
        <item x="24"/>
        <item x="16"/>
        <item x="189"/>
        <item x="173"/>
        <item x="269"/>
        <item x="212"/>
        <item x="180"/>
        <item x="203"/>
        <item x="15"/>
        <item x="267"/>
        <item x="296"/>
        <item x="314"/>
        <item x="287"/>
        <item x="11"/>
        <item x="266"/>
        <item x="71"/>
        <item x="94"/>
        <item x="66"/>
        <item x="176"/>
        <item x="160"/>
        <item x="199"/>
        <item x="54"/>
        <item x="134"/>
        <item x="40"/>
        <item t="default"/>
      </items>
    </pivotField>
    <pivotField dataField="1" compact="0" outline="0" multipleItemSelectionAllowed="1" showAll="0">
      <items count="455">
        <item x="3"/>
        <item x="69"/>
        <item x="76"/>
        <item x="396"/>
        <item x="189"/>
        <item x="114"/>
        <item x="92"/>
        <item x="336"/>
        <item x="292"/>
        <item x="340"/>
        <item x="395"/>
        <item x="339"/>
        <item x="338"/>
        <item x="71"/>
        <item x="78"/>
        <item x="190"/>
        <item x="262"/>
        <item x="283"/>
        <item x="271"/>
        <item x="291"/>
        <item x="132"/>
        <item x="141"/>
        <item x="333"/>
        <item x="289"/>
        <item x="426"/>
        <item x="356"/>
        <item x="377"/>
        <item x="243"/>
        <item x="220"/>
        <item x="290"/>
        <item x="252"/>
        <item x="387"/>
        <item x="366"/>
        <item x="250"/>
        <item x="378"/>
        <item x="357"/>
        <item x="282"/>
        <item x="270"/>
        <item x="394"/>
        <item x="438"/>
        <item x="410"/>
        <item x="405"/>
        <item x="253"/>
        <item x="451"/>
        <item x="300"/>
        <item x="453"/>
        <item x="337"/>
        <item x="91"/>
        <item x="113"/>
        <item x="28"/>
        <item x="85"/>
        <item x="209"/>
        <item x="232"/>
        <item x="128"/>
        <item x="418"/>
        <item x="334"/>
        <item x="386"/>
        <item x="365"/>
        <item x="417"/>
        <item x="137"/>
        <item x="440"/>
        <item x="218"/>
        <item x="241"/>
        <item x="192"/>
        <item x="207"/>
        <item x="230"/>
        <item x="435"/>
        <item x="191"/>
        <item x="335"/>
        <item x="248"/>
        <item x="93"/>
        <item x="115"/>
        <item x="301"/>
        <item x="100"/>
        <item x="122"/>
        <item x="154"/>
        <item x="448"/>
        <item x="163"/>
        <item x="26"/>
        <item x="434"/>
        <item x="210"/>
        <item x="233"/>
        <item x="45"/>
        <item x="131"/>
        <item x="140"/>
        <item x="452"/>
        <item x="430"/>
        <item x="38"/>
        <item x="398"/>
        <item x="130"/>
        <item x="402"/>
        <item x="391"/>
        <item x="139"/>
        <item x="152"/>
        <item x="392"/>
        <item x="444"/>
        <item x="110"/>
        <item x="88"/>
        <item x="188"/>
        <item x="305"/>
        <item x="299"/>
        <item x="416"/>
        <item x="419"/>
        <item x="332"/>
        <item x="414"/>
        <item x="25"/>
        <item x="206"/>
        <item x="229"/>
        <item x="422"/>
        <item x="306"/>
        <item x="146"/>
        <item x="111"/>
        <item x="89"/>
        <item x="446"/>
        <item x="265"/>
        <item x="280"/>
        <item x="276"/>
        <item x="288"/>
        <item x="364"/>
        <item x="385"/>
        <item x="44"/>
        <item x="363"/>
        <item x="384"/>
        <item x="246"/>
        <item x="153"/>
        <item x="249"/>
        <item x="415"/>
        <item x="254"/>
        <item x="125"/>
        <item x="24"/>
        <item x="160"/>
        <item x="205"/>
        <item x="228"/>
        <item x="134"/>
        <item x="242"/>
        <item x="219"/>
        <item x="297"/>
        <item x="101"/>
        <item x="123"/>
        <item x="255"/>
        <item x="353"/>
        <item x="374"/>
        <item x="217"/>
        <item x="240"/>
        <item x="447"/>
        <item x="157"/>
        <item x="35"/>
        <item x="87"/>
        <item x="393"/>
        <item x="109"/>
        <item x="442"/>
        <item x="439"/>
        <item x="23"/>
        <item x="354"/>
        <item x="375"/>
        <item x="389"/>
        <item x="6"/>
        <item x="376"/>
        <item x="355"/>
        <item x="352"/>
        <item x="373"/>
        <item x="57"/>
        <item x="67"/>
        <item x="60"/>
        <item x="32"/>
        <item x="164"/>
        <item x="312"/>
        <item x="436"/>
        <item x="326"/>
        <item x="121"/>
        <item x="99"/>
        <item x="272"/>
        <item x="284"/>
        <item x="150"/>
        <item x="197"/>
        <item x="31"/>
        <item x="22"/>
        <item x="61"/>
        <item x="413"/>
        <item x="55"/>
        <item x="65"/>
        <item x="443"/>
        <item x="151"/>
        <item x="27"/>
        <item x="129"/>
        <item x="138"/>
        <item x="159"/>
        <item x="70"/>
        <item x="68"/>
        <item x="437"/>
        <item x="251"/>
        <item x="268"/>
        <item x="433"/>
        <item x="279"/>
        <item x="407"/>
        <item x="412"/>
        <item x="77"/>
        <item x="156"/>
        <item x="75"/>
        <item x="257"/>
        <item x="298"/>
        <item x="245"/>
        <item x="425"/>
        <item x="351"/>
        <item x="30"/>
        <item x="424"/>
        <item x="112"/>
        <item x="431"/>
        <item x="90"/>
        <item x="372"/>
        <item x="421"/>
        <item x="302"/>
        <item x="247"/>
        <item x="98"/>
        <item x="120"/>
        <item x="158"/>
        <item x="450"/>
        <item x="9"/>
        <item x="428"/>
        <item x="231"/>
        <item x="208"/>
        <item x="216"/>
        <item x="239"/>
        <item x="390"/>
        <item x="432"/>
        <item x="318"/>
        <item x="445"/>
        <item x="420"/>
        <item x="411"/>
        <item x="406"/>
        <item x="323"/>
        <item x="256"/>
        <item x="449"/>
        <item x="215"/>
        <item x="238"/>
        <item x="362"/>
        <item x="383"/>
        <item x="36"/>
        <item x="43"/>
        <item x="315"/>
        <item x="329"/>
        <item x="281"/>
        <item x="269"/>
        <item x="175"/>
        <item x="187"/>
        <item x="10"/>
        <item x="179"/>
        <item x="388"/>
        <item x="49"/>
        <item x="51"/>
        <item x="287"/>
        <item x="275"/>
        <item x="50"/>
        <item x="244"/>
        <item x="166"/>
        <item x="47"/>
        <item x="42"/>
        <item x="40"/>
        <item x="310"/>
        <item x="168"/>
        <item x="441"/>
        <item x="41"/>
        <item x="48"/>
        <item x="309"/>
        <item x="316"/>
        <item x="308"/>
        <item x="165"/>
        <item x="307"/>
        <item x="330"/>
        <item x="162"/>
        <item x="304"/>
        <item x="320"/>
        <item x="167"/>
        <item x="2"/>
        <item x="194"/>
        <item x="345"/>
        <item x="399"/>
        <item x="403"/>
        <item x="172"/>
        <item x="184"/>
        <item x="361"/>
        <item x="382"/>
        <item x="171"/>
        <item x="397"/>
        <item x="183"/>
        <item x="401"/>
        <item x="427"/>
        <item x="84"/>
        <item x="107"/>
        <item x="429"/>
        <item x="143"/>
        <item x="173"/>
        <item x="177"/>
        <item x="170"/>
        <item x="185"/>
        <item x="182"/>
        <item x="342"/>
        <item x="203"/>
        <item x="144"/>
        <item x="226"/>
        <item x="145"/>
        <item x="174"/>
        <item x="186"/>
        <item x="178"/>
        <item x="404"/>
        <item x="409"/>
        <item x="423"/>
        <item x="322"/>
        <item x="317"/>
        <item x="331"/>
        <item x="1"/>
        <item x="54"/>
        <item x="213"/>
        <item x="236"/>
        <item x="126"/>
        <item x="314"/>
        <item x="135"/>
        <item x="201"/>
        <item x="274"/>
        <item x="328"/>
        <item x="224"/>
        <item x="286"/>
        <item x="86"/>
        <item x="108"/>
        <item x="96"/>
        <item x="118"/>
        <item x="313"/>
        <item x="327"/>
        <item x="5"/>
        <item x="321"/>
        <item x="400"/>
        <item x="193"/>
        <item x="408"/>
        <item x="204"/>
        <item x="227"/>
        <item x="37"/>
        <item x="4"/>
        <item x="169"/>
        <item x="181"/>
        <item x="176"/>
        <item x="127"/>
        <item x="136"/>
        <item x="81"/>
        <item x="341"/>
        <item x="104"/>
        <item x="258"/>
        <item x="360"/>
        <item x="259"/>
        <item x="0"/>
        <item x="381"/>
        <item x="261"/>
        <item x="359"/>
        <item x="380"/>
        <item x="74"/>
        <item x="53"/>
        <item x="64"/>
        <item x="147"/>
        <item x="311"/>
        <item x="82"/>
        <item x="200"/>
        <item x="105"/>
        <item x="325"/>
        <item x="223"/>
        <item x="319"/>
        <item x="348"/>
        <item x="369"/>
        <item x="21"/>
        <item x="56"/>
        <item x="124"/>
        <item x="66"/>
        <item x="133"/>
        <item x="59"/>
        <item x="52"/>
        <item x="72"/>
        <item x="63"/>
        <item x="263"/>
        <item x="58"/>
        <item x="349"/>
        <item x="13"/>
        <item x="370"/>
        <item x="199"/>
        <item x="222"/>
        <item x="350"/>
        <item x="371"/>
        <item x="347"/>
        <item x="368"/>
        <item x="97"/>
        <item x="214"/>
        <item x="119"/>
        <item x="237"/>
        <item x="20"/>
        <item x="264"/>
        <item x="212"/>
        <item x="235"/>
        <item x="80"/>
        <item x="103"/>
        <item x="12"/>
        <item x="7"/>
        <item x="267"/>
        <item x="278"/>
        <item x="16"/>
        <item x="95"/>
        <item x="117"/>
        <item x="8"/>
        <item x="14"/>
        <item x="273"/>
        <item x="285"/>
        <item x="34"/>
        <item x="344"/>
        <item x="303"/>
        <item x="343"/>
        <item x="294"/>
        <item x="260"/>
        <item x="266"/>
        <item x="277"/>
        <item x="18"/>
        <item x="83"/>
        <item x="39"/>
        <item x="106"/>
        <item x="196"/>
        <item x="161"/>
        <item x="94"/>
        <item x="116"/>
        <item x="358"/>
        <item x="379"/>
        <item x="33"/>
        <item x="148"/>
        <item x="202"/>
        <item x="225"/>
        <item x="295"/>
        <item x="211"/>
        <item x="234"/>
        <item x="29"/>
        <item x="17"/>
        <item x="195"/>
        <item x="155"/>
        <item x="19"/>
        <item x="15"/>
        <item x="149"/>
        <item x="296"/>
        <item x="346"/>
        <item x="11"/>
        <item x="367"/>
        <item x="324"/>
        <item x="293"/>
        <item x="79"/>
        <item x="102"/>
        <item x="73"/>
        <item x="198"/>
        <item x="180"/>
        <item x="221"/>
        <item x="62"/>
        <item x="142"/>
        <item x="46"/>
        <item t="default"/>
      </items>
    </pivotField>
    <pivotField dataField="1" compact="0" outline="0" multipleItemSelectionAllowed="1" showAll="0">
      <items count="491">
        <item x="2"/>
        <item x="368"/>
        <item x="430"/>
        <item x="119"/>
        <item x="97"/>
        <item x="326"/>
        <item x="207"/>
        <item x="285"/>
        <item x="137"/>
        <item x="146"/>
        <item x="387"/>
        <item x="410"/>
        <item x="208"/>
        <item x="257"/>
        <item x="234"/>
        <item x="73"/>
        <item x="83"/>
        <item x="312"/>
        <item x="296"/>
        <item x="420"/>
        <item x="398"/>
        <item x="324"/>
        <item x="325"/>
        <item x="298"/>
        <item x="314"/>
        <item x="411"/>
        <item x="266"/>
        <item x="388"/>
        <item x="153"/>
        <item x="323"/>
        <item x="264"/>
        <item x="322"/>
        <item x="306"/>
        <item x="474"/>
        <item x="332"/>
        <item x="267"/>
        <item x="487"/>
        <item x="27"/>
        <item x="419"/>
        <item x="397"/>
        <item x="489"/>
        <item x="426"/>
        <item x="369"/>
        <item x="90"/>
        <item x="468"/>
        <item x="96"/>
        <item x="118"/>
        <item x="476"/>
        <item x="72"/>
        <item x="232"/>
        <item x="255"/>
        <item x="342"/>
        <item x="82"/>
        <item x="333"/>
        <item x="471"/>
        <item x="98"/>
        <item x="120"/>
        <item x="428"/>
        <item x="223"/>
        <item x="246"/>
        <item x="170"/>
        <item x="44"/>
        <item x="69"/>
        <item x="71"/>
        <item x="458"/>
        <item x="81"/>
        <item x="221"/>
        <item x="244"/>
        <item x="224"/>
        <item x="247"/>
        <item x="484"/>
        <item x="79"/>
        <item x="105"/>
        <item x="127"/>
        <item x="470"/>
        <item x="370"/>
        <item x="262"/>
        <item x="488"/>
        <item x="429"/>
        <item x="36"/>
        <item x="161"/>
        <item x="157"/>
        <item x="180"/>
        <item x="136"/>
        <item x="145"/>
        <item x="465"/>
        <item x="169"/>
        <item x="26"/>
        <item x="424"/>
        <item x="206"/>
        <item x="133"/>
        <item x="425"/>
        <item x="480"/>
        <item x="367"/>
        <item x="449"/>
        <item x="439"/>
        <item x="142"/>
        <item x="205"/>
        <item x="268"/>
        <item x="305"/>
        <item x="321"/>
        <item x="150"/>
        <item x="25"/>
        <item x="179"/>
        <item x="93"/>
        <item x="115"/>
        <item x="220"/>
        <item x="243"/>
        <item x="116"/>
        <item x="94"/>
        <item x="70"/>
        <item x="459"/>
        <item x="331"/>
        <item x="80"/>
        <item x="149"/>
        <item x="135"/>
        <item x="152"/>
        <item x="168"/>
        <item x="482"/>
        <item x="144"/>
        <item x="24"/>
        <item x="395"/>
        <item x="417"/>
        <item x="396"/>
        <item x="418"/>
        <item x="175"/>
        <item x="162"/>
        <item x="366"/>
        <item x="263"/>
        <item x="181"/>
        <item x="256"/>
        <item x="233"/>
        <item x="106"/>
        <item x="128"/>
        <item x="338"/>
        <item x="384"/>
        <item x="407"/>
        <item x="33"/>
        <item x="329"/>
        <item x="315"/>
        <item x="299"/>
        <item x="68"/>
        <item x="219"/>
        <item x="242"/>
        <item x="78"/>
        <item x="231"/>
        <item x="7"/>
        <item x="254"/>
        <item x="483"/>
        <item x="444"/>
        <item x="454"/>
        <item x="270"/>
        <item x="427"/>
        <item x="478"/>
        <item x="300"/>
        <item x="316"/>
        <item x="192"/>
        <item x="130"/>
        <item x="30"/>
        <item x="204"/>
        <item x="385"/>
        <item x="408"/>
        <item x="334"/>
        <item x="383"/>
        <item x="406"/>
        <item x="475"/>
        <item x="139"/>
        <item x="23"/>
        <item x="196"/>
        <item x="260"/>
        <item x="172"/>
        <item x="92"/>
        <item x="114"/>
        <item x="472"/>
        <item x="126"/>
        <item x="104"/>
        <item x="167"/>
        <item x="335"/>
        <item x="211"/>
        <item x="273"/>
        <item x="281"/>
        <item x="457"/>
        <item x="479"/>
        <item x="409"/>
        <item x="386"/>
        <item x="22"/>
        <item x="134"/>
        <item x="143"/>
        <item x="422"/>
        <item x="473"/>
        <item x="265"/>
        <item x="293"/>
        <item x="446"/>
        <item x="456"/>
        <item x="469"/>
        <item x="309"/>
        <item x="274"/>
        <item x="171"/>
        <item x="282"/>
        <item x="117"/>
        <item x="95"/>
        <item x="6"/>
        <item x="330"/>
        <item x="259"/>
        <item x="455"/>
        <item x="445"/>
        <item x="381"/>
        <item x="174"/>
        <item x="466"/>
        <item x="404"/>
        <item x="29"/>
        <item x="269"/>
        <item x="261"/>
        <item x="191"/>
        <item x="432"/>
        <item x="336"/>
        <item x="195"/>
        <item x="203"/>
        <item x="103"/>
        <item x="125"/>
        <item x="436"/>
        <item x="486"/>
        <item x="245"/>
        <item x="222"/>
        <item x="349"/>
        <item x="43"/>
        <item x="361"/>
        <item x="463"/>
        <item x="303"/>
        <item x="319"/>
        <item x="467"/>
        <item x="297"/>
        <item x="313"/>
        <item x="230"/>
        <item x="253"/>
        <item x="393"/>
        <item x="54"/>
        <item x="65"/>
        <item x="481"/>
        <item x="10"/>
        <item x="485"/>
        <item x="229"/>
        <item x="252"/>
        <item x="271"/>
        <item x="60"/>
        <item x="337"/>
        <item x="394"/>
        <item x="416"/>
        <item x="148"/>
        <item x="382"/>
        <item x="287"/>
        <item x="405"/>
        <item x="188"/>
        <item x="48"/>
        <item x="34"/>
        <item x="423"/>
        <item x="200"/>
        <item x="42"/>
        <item x="341"/>
        <item x="460"/>
        <item x="344"/>
        <item x="290"/>
        <item x="345"/>
        <item x="49"/>
        <item x="41"/>
        <item x="46"/>
        <item x="304"/>
        <item x="320"/>
        <item x="47"/>
        <item x="40"/>
        <item x="343"/>
        <item x="440"/>
        <item x="450"/>
        <item x="477"/>
        <item x="433"/>
        <item x="340"/>
        <item x="50"/>
        <item x="178"/>
        <item x="356"/>
        <item x="437"/>
        <item x="185"/>
        <item x="183"/>
        <item x="156"/>
        <item x="160"/>
        <item x="184"/>
        <item x="421"/>
        <item x="346"/>
        <item x="182"/>
        <item x="177"/>
        <item x="348"/>
        <item x="360"/>
        <item x="258"/>
        <item x="441"/>
        <item x="5"/>
        <item x="451"/>
        <item x="357"/>
        <item x="59"/>
        <item x="56"/>
        <item x="67"/>
        <item x="353"/>
        <item x="365"/>
        <item x="375"/>
        <item x="189"/>
        <item x="201"/>
        <item x="392"/>
        <item x="415"/>
        <item x="350"/>
        <item x="53"/>
        <item x="362"/>
        <item x="64"/>
        <item x="431"/>
        <item x="435"/>
        <item x="462"/>
        <item x="464"/>
        <item x="443"/>
        <item x="151"/>
        <item x="453"/>
        <item x="155"/>
        <item x="187"/>
        <item x="159"/>
        <item x="199"/>
        <item x="154"/>
        <item x="158"/>
        <item x="442"/>
        <item x="452"/>
        <item x="461"/>
        <item x="3"/>
        <item x="89"/>
        <item x="112"/>
        <item x="74"/>
        <item x="75"/>
        <item x="302"/>
        <item x="131"/>
        <item x="52"/>
        <item x="318"/>
        <item x="63"/>
        <item x="227"/>
        <item x="250"/>
        <item x="140"/>
        <item x="372"/>
        <item x="91"/>
        <item x="113"/>
        <item x="55"/>
        <item x="217"/>
        <item x="190"/>
        <item x="66"/>
        <item x="240"/>
        <item x="202"/>
        <item x="58"/>
        <item x="194"/>
        <item x="1"/>
        <item x="215"/>
        <item x="218"/>
        <item x="238"/>
        <item x="241"/>
        <item x="101"/>
        <item x="123"/>
        <item x="186"/>
        <item x="198"/>
        <item x="193"/>
        <item x="4"/>
        <item x="438"/>
        <item x="275"/>
        <item x="286"/>
        <item x="448"/>
        <item x="283"/>
        <item x="294"/>
        <item x="132"/>
        <item x="141"/>
        <item x="310"/>
        <item x="35"/>
        <item x="276"/>
        <item x="278"/>
        <item x="284"/>
        <item x="351"/>
        <item x="51"/>
        <item x="363"/>
        <item x="434"/>
        <item x="62"/>
        <item x="447"/>
        <item x="57"/>
        <item x="371"/>
        <item x="272"/>
        <item x="277"/>
        <item x="280"/>
        <item x="295"/>
        <item x="0"/>
        <item x="311"/>
        <item x="352"/>
        <item x="364"/>
        <item x="355"/>
        <item x="39"/>
        <item x="390"/>
        <item x="391"/>
        <item x="413"/>
        <item x="86"/>
        <item x="414"/>
        <item x="109"/>
        <item x="87"/>
        <item x="214"/>
        <item x="110"/>
        <item x="237"/>
        <item x="14"/>
        <item x="378"/>
        <item x="129"/>
        <item x="347"/>
        <item x="354"/>
        <item x="401"/>
        <item x="359"/>
        <item x="138"/>
        <item x="77"/>
        <item x="13"/>
        <item x="102"/>
        <item x="228"/>
        <item x="124"/>
        <item x="251"/>
        <item x="38"/>
        <item x="289"/>
        <item x="379"/>
        <item x="377"/>
        <item x="402"/>
        <item x="400"/>
        <item x="213"/>
        <item x="236"/>
        <item x="17"/>
        <item x="226"/>
        <item x="249"/>
        <item x="21"/>
        <item x="288"/>
        <item x="37"/>
        <item x="292"/>
        <item x="308"/>
        <item x="85"/>
        <item x="108"/>
        <item x="380"/>
        <item x="403"/>
        <item x="12"/>
        <item x="100"/>
        <item x="122"/>
        <item x="163"/>
        <item x="9"/>
        <item x="8"/>
        <item x="15"/>
        <item x="374"/>
        <item x="327"/>
        <item x="301"/>
        <item x="88"/>
        <item x="32"/>
        <item x="111"/>
        <item x="317"/>
        <item x="210"/>
        <item x="339"/>
        <item x="19"/>
        <item x="373"/>
        <item x="291"/>
        <item x="279"/>
        <item x="307"/>
        <item x="99"/>
        <item x="121"/>
        <item x="176"/>
        <item x="216"/>
        <item x="239"/>
        <item x="389"/>
        <item x="173"/>
        <item x="412"/>
        <item x="31"/>
        <item x="166"/>
        <item x="225"/>
        <item x="248"/>
        <item x="28"/>
        <item x="209"/>
        <item x="18"/>
        <item x="20"/>
        <item x="165"/>
        <item x="16"/>
        <item x="164"/>
        <item x="11"/>
        <item x="376"/>
        <item x="358"/>
        <item x="399"/>
        <item x="328"/>
        <item x="76"/>
        <item x="84"/>
        <item x="107"/>
        <item x="212"/>
        <item x="197"/>
        <item x="235"/>
        <item x="61"/>
        <item x="147"/>
        <item x="45"/>
        <item t="default"/>
      </items>
    </pivotField>
    <pivotField dataField="1" compact="0" outline="0" multipleItemSelectionAllowed="1" showAll="0">
      <items count="503">
        <item x="1"/>
        <item x="62"/>
        <item x="65"/>
        <item x="426"/>
        <item x="101"/>
        <item x="79"/>
        <item x="149"/>
        <item x="324"/>
        <item x="363"/>
        <item x="364"/>
        <item x="207"/>
        <item x="361"/>
        <item x="209"/>
        <item x="366"/>
        <item x="210"/>
        <item x="383"/>
        <item x="406"/>
        <item x="119"/>
        <item x="128"/>
        <item x="473"/>
        <item x="261"/>
        <item x="238"/>
        <item x="416"/>
        <item x="394"/>
        <item x="310"/>
        <item x="293"/>
        <item x="322"/>
        <item x="323"/>
        <item x="407"/>
        <item x="384"/>
        <item x="295"/>
        <item x="312"/>
        <item x="270"/>
        <item x="321"/>
        <item x="268"/>
        <item x="486"/>
        <item x="320"/>
        <item x="472"/>
        <item x="303"/>
        <item x="332"/>
        <item x="415"/>
        <item x="365"/>
        <item x="29"/>
        <item x="393"/>
        <item x="501"/>
        <item x="422"/>
        <item x="271"/>
        <item x="471"/>
        <item x="166"/>
        <item x="157"/>
        <item x="72"/>
        <item x="362"/>
        <item x="499"/>
        <item x="480"/>
        <item x="208"/>
        <item x="78"/>
        <item x="100"/>
        <item x="333"/>
        <item x="496"/>
        <item x="179"/>
        <item x="463"/>
        <item x="456"/>
        <item x="227"/>
        <item x="250"/>
        <item x="80"/>
        <item x="102"/>
        <item x="150"/>
        <item x="206"/>
        <item x="148"/>
        <item x="186"/>
        <item x="228"/>
        <item x="251"/>
        <item x="483"/>
        <item x="424"/>
        <item x="87"/>
        <item x="109"/>
        <item x="500"/>
        <item x="425"/>
        <item x="236"/>
        <item x="259"/>
        <item x="178"/>
        <item x="266"/>
        <item x="225"/>
        <item x="248"/>
        <item x="445"/>
        <item x="433"/>
        <item x="118"/>
        <item x="127"/>
        <item x="27"/>
        <item x="7"/>
        <item x="420"/>
        <item x="115"/>
        <item x="492"/>
        <item x="421"/>
        <item x="457"/>
        <item x="124"/>
        <item x="40"/>
        <item x="272"/>
        <item x="302"/>
        <item x="319"/>
        <item x="26"/>
        <item x="331"/>
        <item x="276"/>
        <item x="75"/>
        <item x="97"/>
        <item x="177"/>
        <item x="98"/>
        <item x="76"/>
        <item x="477"/>
        <item x="154"/>
        <item x="117"/>
        <item x="163"/>
        <item x="224"/>
        <item x="247"/>
        <item x="28"/>
        <item x="25"/>
        <item x="126"/>
        <item x="495"/>
        <item x="392"/>
        <item x="414"/>
        <item x="454"/>
        <item x="339"/>
        <item x="170"/>
        <item x="267"/>
        <item x="260"/>
        <item x="237"/>
        <item x="277"/>
        <item x="487"/>
        <item x="88"/>
        <item x="110"/>
        <item x="37"/>
        <item x="176"/>
        <item x="391"/>
        <item x="413"/>
        <item x="380"/>
        <item x="403"/>
        <item x="313"/>
        <item x="296"/>
        <item x="223"/>
        <item x="246"/>
        <item x="444"/>
        <item x="432"/>
        <item x="235"/>
        <item x="258"/>
        <item x="131"/>
        <item x="484"/>
        <item x="59"/>
        <item x="58"/>
        <item x="61"/>
        <item x="329"/>
        <item x="494"/>
        <item x="137"/>
        <item x="140"/>
        <item x="381"/>
        <item x="404"/>
        <item x="146"/>
        <item x="274"/>
        <item x="34"/>
        <item x="297"/>
        <item x="314"/>
        <item x="466"/>
        <item x="112"/>
        <item x="24"/>
        <item x="328"/>
        <item x="469"/>
        <item x="121"/>
        <item x="275"/>
        <item x="423"/>
        <item x="74"/>
        <item x="96"/>
        <item x="338"/>
        <item x="485"/>
        <item x="379"/>
        <item x="402"/>
        <item x="455"/>
        <item x="9"/>
        <item x="108"/>
        <item x="488"/>
        <item x="182"/>
        <item x="86"/>
        <item x="175"/>
        <item x="264"/>
        <item x="440"/>
        <item x="452"/>
        <item x="215"/>
        <item x="405"/>
        <item x="382"/>
        <item x="288"/>
        <item x="334"/>
        <item x="305"/>
        <item x="491"/>
        <item x="164"/>
        <item x="468"/>
        <item x="155"/>
        <item x="33"/>
        <item x="451"/>
        <item x="439"/>
        <item x="133"/>
        <item x="116"/>
        <item x="125"/>
        <item x="465"/>
        <item x="23"/>
        <item x="330"/>
        <item x="190"/>
        <item x="181"/>
        <item x="269"/>
        <item x="13"/>
        <item x="201"/>
        <item x="290"/>
        <item x="197"/>
        <item x="481"/>
        <item x="307"/>
        <item x="450"/>
        <item x="438"/>
        <item x="99"/>
        <item x="352"/>
        <item x="77"/>
        <item x="459"/>
        <item x="350"/>
        <item x="418"/>
        <item x="354"/>
        <item x="360"/>
        <item x="130"/>
        <item x="335"/>
        <item x="263"/>
        <item x="349"/>
        <item x="377"/>
        <item x="359"/>
        <item x="478"/>
        <item x="57"/>
        <item x="400"/>
        <item x="273"/>
        <item x="32"/>
        <item x="8"/>
        <item x="490"/>
        <item x="265"/>
        <item x="249"/>
        <item x="226"/>
        <item x="430"/>
        <item x="85"/>
        <item x="442"/>
        <item x="107"/>
        <item x="160"/>
        <item x="169"/>
        <item x="49"/>
        <item x="498"/>
        <item x="475"/>
        <item x="168"/>
        <item x="159"/>
        <item x="464"/>
        <item x="300"/>
        <item x="317"/>
        <item x="479"/>
        <item x="234"/>
        <item x="257"/>
        <item x="294"/>
        <item x="311"/>
        <item x="467"/>
        <item x="389"/>
        <item x="462"/>
        <item x="337"/>
        <item x="54"/>
        <item x="493"/>
        <item x="482"/>
        <item x="367"/>
        <item x="132"/>
        <item x="233"/>
        <item x="46"/>
        <item x="256"/>
        <item x="390"/>
        <item x="412"/>
        <item x="47"/>
        <item x="458"/>
        <item x="156"/>
        <item x="165"/>
        <item x="497"/>
        <item x="53"/>
        <item x="378"/>
        <item x="38"/>
        <item x="401"/>
        <item x="419"/>
        <item x="55"/>
        <item x="434"/>
        <item x="446"/>
        <item x="193"/>
        <item x="51"/>
        <item x="204"/>
        <item x="282"/>
        <item x="44"/>
        <item x="196"/>
        <item x="48"/>
        <item x="348"/>
        <item x="358"/>
        <item x="286"/>
        <item x="56"/>
        <item x="280"/>
        <item x="281"/>
        <item x="301"/>
        <item x="318"/>
        <item x="461"/>
        <item x="136"/>
        <item x="212"/>
        <item x="279"/>
        <item x="191"/>
        <item x="145"/>
        <item x="278"/>
        <item x="202"/>
        <item x="460"/>
        <item x="185"/>
        <item x="45"/>
        <item x="188"/>
        <item x="52"/>
        <item x="341"/>
        <item x="417"/>
        <item x="344"/>
        <item x="343"/>
        <item x="345"/>
        <item x="342"/>
        <item x="340"/>
        <item x="187"/>
        <item x="184"/>
        <item x="3"/>
        <item x="262"/>
        <item x="427"/>
        <item x="429"/>
        <item x="371"/>
        <item x="192"/>
        <item x="203"/>
        <item x="489"/>
        <item x="388"/>
        <item x="411"/>
        <item x="135"/>
        <item x="144"/>
        <item x="194"/>
        <item x="198"/>
        <item x="205"/>
        <item x="211"/>
        <item x="353"/>
        <item x="347"/>
        <item x="357"/>
        <item x="437"/>
        <item x="151"/>
        <item x="449"/>
        <item x="368"/>
        <item x="436"/>
        <item x="448"/>
        <item x="138"/>
        <item x="147"/>
        <item x="141"/>
        <item x="4"/>
        <item x="474"/>
        <item x="71"/>
        <item x="158"/>
        <item x="94"/>
        <item x="167"/>
        <item x="435"/>
        <item x="476"/>
        <item x="447"/>
        <item x="134"/>
        <item x="143"/>
        <item x="139"/>
        <item x="351"/>
        <item x="346"/>
        <item x="189"/>
        <item x="356"/>
        <item x="200"/>
        <item x="195"/>
        <item x="470"/>
        <item x="299"/>
        <item x="113"/>
        <item x="153"/>
        <item x="316"/>
        <item x="162"/>
        <item x="122"/>
        <item x="73"/>
        <item x="95"/>
        <item x="221"/>
        <item x="244"/>
        <item x="5"/>
        <item x="222"/>
        <item x="245"/>
        <item x="83"/>
        <item x="105"/>
        <item x="142"/>
        <item x="231"/>
        <item x="254"/>
        <item x="152"/>
        <item x="12"/>
        <item x="431"/>
        <item x="161"/>
        <item x="443"/>
        <item x="291"/>
        <item x="114"/>
        <item x="123"/>
        <item x="308"/>
        <item x="219"/>
        <item x="39"/>
        <item x="242"/>
        <item x="292"/>
        <item x="2"/>
        <item x="309"/>
        <item x="428"/>
        <item x="441"/>
        <item x="43"/>
        <item x="68"/>
        <item x="91"/>
        <item x="69"/>
        <item x="387"/>
        <item x="92"/>
        <item x="410"/>
        <item x="0"/>
        <item x="111"/>
        <item x="218"/>
        <item x="120"/>
        <item x="241"/>
        <item x="386"/>
        <item x="64"/>
        <item x="409"/>
        <item x="374"/>
        <item x="16"/>
        <item x="397"/>
        <item x="84"/>
        <item x="232"/>
        <item x="106"/>
        <item x="255"/>
        <item x="42"/>
        <item x="285"/>
        <item x="375"/>
        <item x="398"/>
        <item x="11"/>
        <item x="217"/>
        <item x="230"/>
        <item x="240"/>
        <item x="253"/>
        <item x="6"/>
        <item x="373"/>
        <item x="396"/>
        <item x="284"/>
        <item x="19"/>
        <item x="289"/>
        <item x="306"/>
        <item x="67"/>
        <item x="90"/>
        <item x="376"/>
        <item x="399"/>
        <item x="15"/>
        <item x="82"/>
        <item x="104"/>
        <item x="31"/>
        <item x="18"/>
        <item x="171"/>
        <item x="10"/>
        <item x="336"/>
        <item x="298"/>
        <item x="70"/>
        <item x="36"/>
        <item x="93"/>
        <item x="315"/>
        <item x="370"/>
        <item x="453"/>
        <item x="214"/>
        <item x="41"/>
        <item x="369"/>
        <item x="287"/>
        <item x="283"/>
        <item x="304"/>
        <item x="21"/>
        <item x="81"/>
        <item x="103"/>
        <item x="220"/>
        <item x="243"/>
        <item x="385"/>
        <item x="408"/>
        <item x="183"/>
        <item x="35"/>
        <item x="229"/>
        <item x="252"/>
        <item x="174"/>
        <item x="30"/>
        <item x="213"/>
        <item x="327"/>
        <item x="22"/>
        <item x="180"/>
        <item x="173"/>
        <item x="20"/>
        <item x="172"/>
        <item x="326"/>
        <item x="17"/>
        <item x="372"/>
        <item x="355"/>
        <item x="395"/>
        <item x="325"/>
        <item x="14"/>
        <item x="63"/>
        <item x="66"/>
        <item x="89"/>
        <item x="216"/>
        <item x="199"/>
        <item x="239"/>
        <item x="60"/>
        <item x="129"/>
        <item x="50"/>
        <item t="default"/>
      </items>
    </pivotField>
    <pivotField dataField="1" compact="0" outline="0" multipleItemSelectionAllowed="1" showAll="0">
      <items count="499">
        <item x="4"/>
        <item x="236"/>
        <item x="426"/>
        <item x="133"/>
        <item x="111"/>
        <item x="195"/>
        <item x="342"/>
        <item x="235"/>
        <item x="383"/>
        <item x="406"/>
        <item x="151"/>
        <item x="160"/>
        <item x="301"/>
        <item x="285"/>
        <item x="262"/>
        <item x="416"/>
        <item x="394"/>
        <item x="328"/>
        <item x="311"/>
        <item x="407"/>
        <item x="384"/>
        <item x="341"/>
        <item x="313"/>
        <item x="330"/>
        <item x="294"/>
        <item x="339"/>
        <item x="482"/>
        <item x="292"/>
        <item x="349"/>
        <item x="338"/>
        <item x="321"/>
        <item x="40"/>
        <item x="340"/>
        <item x="415"/>
        <item x="368"/>
        <item x="393"/>
        <item x="497"/>
        <item x="422"/>
        <item x="295"/>
        <item x="188"/>
        <item x="177"/>
        <item x="104"/>
        <item x="91"/>
        <item x="110"/>
        <item x="97"/>
        <item x="132"/>
        <item x="495"/>
        <item x="476"/>
        <item x="90"/>
        <item x="96"/>
        <item x="350"/>
        <item x="492"/>
        <item x="460"/>
        <item x="207"/>
        <item x="449"/>
        <item x="435"/>
        <item x="112"/>
        <item x="134"/>
        <item x="219"/>
        <item x="251"/>
        <item x="274"/>
        <item x="196"/>
        <item x="193"/>
        <item x="252"/>
        <item x="275"/>
        <item x="479"/>
        <item x="424"/>
        <item x="13"/>
        <item x="206"/>
        <item x="496"/>
        <item x="260"/>
        <item x="283"/>
        <item x="425"/>
        <item x="38"/>
        <item x="119"/>
        <item x="141"/>
        <item x="290"/>
        <item x="249"/>
        <item x="272"/>
        <item x="150"/>
        <item x="159"/>
        <item x="466"/>
        <item x="57"/>
        <item x="58"/>
        <item x="488"/>
        <item x="421"/>
        <item x="39"/>
        <item x="320"/>
        <item x="337"/>
        <item x="448"/>
        <item x="434"/>
        <item x="348"/>
        <item x="50"/>
        <item x="205"/>
        <item x="420"/>
        <item x="37"/>
        <item x="298"/>
        <item x="130"/>
        <item x="108"/>
        <item x="147"/>
        <item x="297"/>
        <item x="473"/>
        <item x="174"/>
        <item x="300"/>
        <item x="248"/>
        <item x="271"/>
        <item x="149"/>
        <item x="185"/>
        <item x="10"/>
        <item x="491"/>
        <item x="156"/>
        <item x="158"/>
        <item x="392"/>
        <item x="414"/>
        <item x="36"/>
        <item x="355"/>
        <item x="194"/>
        <item x="95"/>
        <item x="89"/>
        <item x="120"/>
        <item x="142"/>
        <item x="291"/>
        <item x="284"/>
        <item x="261"/>
        <item x="59"/>
        <item x="483"/>
        <item x="107"/>
        <item x="129"/>
        <item x="204"/>
        <item x="467"/>
        <item x="443"/>
        <item x="457"/>
        <item x="47"/>
        <item x="469"/>
        <item x="380"/>
        <item x="403"/>
        <item x="480"/>
        <item x="456"/>
        <item x="442"/>
        <item x="331"/>
        <item x="314"/>
        <item x="226"/>
        <item x="163"/>
        <item x="233"/>
        <item x="259"/>
        <item x="282"/>
        <item x="247"/>
        <item x="270"/>
        <item x="391"/>
        <item x="413"/>
        <item x="229"/>
        <item x="490"/>
        <item x="346"/>
        <item x="11"/>
        <item x="44"/>
        <item x="315"/>
        <item x="332"/>
        <item x="214"/>
        <item x="345"/>
        <item x="144"/>
        <item x="459"/>
        <item x="381"/>
        <item x="404"/>
        <item x="153"/>
        <item x="106"/>
        <item x="88"/>
        <item x="128"/>
        <item x="94"/>
        <item x="197"/>
        <item x="423"/>
        <item x="379"/>
        <item x="402"/>
        <item x="230"/>
        <item x="227"/>
        <item x="234"/>
        <item x="211"/>
        <item x="484"/>
        <item x="203"/>
        <item x="35"/>
        <item x="354"/>
        <item x="17"/>
        <item x="481"/>
        <item x="405"/>
        <item x="382"/>
        <item x="288"/>
        <item x="239"/>
        <item x="296"/>
        <item x="140"/>
        <item x="118"/>
        <item x="306"/>
        <item x="20"/>
        <item x="323"/>
        <item x="202"/>
        <item x="487"/>
        <item x="186"/>
        <item x="175"/>
        <item x="34"/>
        <item x="164"/>
        <item x="148"/>
        <item x="157"/>
        <item x="210"/>
        <item x="461"/>
        <item x="43"/>
        <item x="293"/>
        <item x="308"/>
        <item x="131"/>
        <item x="109"/>
        <item x="477"/>
        <item x="347"/>
        <item x="325"/>
        <item x="69"/>
        <item x="82"/>
        <item x="21"/>
        <item x="213"/>
        <item x="418"/>
        <item x="209"/>
        <item x="162"/>
        <item x="436"/>
        <item x="450"/>
        <item x="287"/>
        <item x="42"/>
        <item x="437"/>
        <item x="377"/>
        <item x="451"/>
        <item x="351"/>
        <item x="474"/>
        <item x="12"/>
        <item x="400"/>
        <item x="71"/>
        <item x="67"/>
        <item x="463"/>
        <item x="84"/>
        <item x="486"/>
        <item x="117"/>
        <item x="139"/>
        <item x="225"/>
        <item x="273"/>
        <item x="232"/>
        <item x="250"/>
        <item x="228"/>
        <item x="289"/>
        <item x="432"/>
        <item x="446"/>
        <item x="181"/>
        <item x="192"/>
        <item x="54"/>
        <item x="494"/>
        <item x="471"/>
        <item x="191"/>
        <item x="180"/>
        <item x="318"/>
        <item x="72"/>
        <item x="335"/>
        <item x="312"/>
        <item x="329"/>
        <item x="258"/>
        <item x="281"/>
        <item x="427"/>
        <item x="353"/>
        <item x="389"/>
        <item x="18"/>
        <item x="478"/>
        <item x="65"/>
        <item x="489"/>
        <item x="390"/>
        <item x="412"/>
        <item x="257"/>
        <item x="280"/>
        <item x="455"/>
        <item x="441"/>
        <item x="475"/>
        <item x="462"/>
        <item x="176"/>
        <item x="187"/>
        <item x="493"/>
        <item x="165"/>
        <item x="48"/>
        <item x="378"/>
        <item x="401"/>
        <item x="75"/>
        <item x="87"/>
        <item x="419"/>
        <item x="166"/>
        <item x="79"/>
        <item x="61"/>
        <item x="64"/>
        <item x="51"/>
        <item x="56"/>
        <item x="63"/>
        <item x="218"/>
        <item x="53"/>
        <item x="224"/>
        <item x="358"/>
        <item x="304"/>
        <item x="55"/>
        <item x="217"/>
        <item x="66"/>
        <item x="361"/>
        <item x="319"/>
        <item x="336"/>
        <item x="52"/>
        <item x="465"/>
        <item x="62"/>
        <item x="220"/>
        <item x="222"/>
        <item x="360"/>
        <item x="216"/>
        <item x="356"/>
        <item x="73"/>
        <item x="85"/>
        <item x="357"/>
        <item x="464"/>
        <item x="363"/>
        <item x="223"/>
        <item x="221"/>
        <item x="359"/>
        <item x="362"/>
        <item x="417"/>
        <item x="2"/>
        <item x="286"/>
        <item x="77"/>
        <item x="431"/>
        <item x="445"/>
        <item x="371"/>
        <item x="364"/>
        <item x="367"/>
        <item x="365"/>
        <item x="388"/>
        <item x="411"/>
        <item x="172"/>
        <item x="183"/>
        <item x="485"/>
        <item x="440"/>
        <item x="170"/>
        <item x="454"/>
        <item x="439"/>
        <item x="453"/>
        <item x="179"/>
        <item x="190"/>
        <item x="1"/>
        <item x="470"/>
        <item x="103"/>
        <item x="178"/>
        <item x="126"/>
        <item x="189"/>
        <item x="472"/>
        <item x="169"/>
        <item x="74"/>
        <item x="86"/>
        <item x="78"/>
        <item x="317"/>
        <item x="173"/>
        <item x="334"/>
        <item x="184"/>
        <item x="468"/>
        <item x="145"/>
        <item x="105"/>
        <item x="70"/>
        <item x="83"/>
        <item x="127"/>
        <item x="154"/>
        <item x="245"/>
        <item x="268"/>
        <item x="5"/>
        <item x="246"/>
        <item x="269"/>
        <item x="168"/>
        <item x="255"/>
        <item x="428"/>
        <item x="278"/>
        <item x="171"/>
        <item x="3"/>
        <item x="430"/>
        <item x="115"/>
        <item x="433"/>
        <item x="68"/>
        <item x="182"/>
        <item x="137"/>
        <item x="81"/>
        <item x="447"/>
        <item x="146"/>
        <item x="76"/>
        <item x="155"/>
        <item x="309"/>
        <item x="243"/>
        <item x="326"/>
        <item x="266"/>
        <item x="49"/>
        <item x="310"/>
        <item x="8"/>
        <item x="327"/>
        <item x="7"/>
        <item x="438"/>
        <item x="452"/>
        <item x="387"/>
        <item x="410"/>
        <item x="101"/>
        <item x="124"/>
        <item x="161"/>
        <item x="242"/>
        <item x="265"/>
        <item x="143"/>
        <item x="152"/>
        <item x="93"/>
        <item x="374"/>
        <item x="6"/>
        <item x="397"/>
        <item x="116"/>
        <item x="256"/>
        <item x="138"/>
        <item x="386"/>
        <item x="279"/>
        <item x="100"/>
        <item x="409"/>
        <item x="123"/>
        <item x="0"/>
        <item x="303"/>
        <item x="429"/>
        <item x="444"/>
        <item x="16"/>
        <item x="375"/>
        <item x="254"/>
        <item x="398"/>
        <item x="241"/>
        <item x="277"/>
        <item x="264"/>
        <item x="33"/>
        <item x="373"/>
        <item x="396"/>
        <item x="302"/>
        <item x="24"/>
        <item x="307"/>
        <item x="324"/>
        <item x="376"/>
        <item x="99"/>
        <item x="399"/>
        <item x="19"/>
        <item x="122"/>
        <item x="9"/>
        <item x="23"/>
        <item x="29"/>
        <item x="114"/>
        <item x="136"/>
        <item x="28"/>
        <item x="15"/>
        <item x="14"/>
        <item x="316"/>
        <item x="333"/>
        <item x="102"/>
        <item x="125"/>
        <item x="370"/>
        <item x="26"/>
        <item x="238"/>
        <item x="25"/>
        <item x="458"/>
        <item x="299"/>
        <item x="305"/>
        <item x="322"/>
        <item x="46"/>
        <item x="369"/>
        <item x="113"/>
        <item x="135"/>
        <item x="244"/>
        <item x="267"/>
        <item x="385"/>
        <item x="408"/>
        <item x="31"/>
        <item x="215"/>
        <item x="253"/>
        <item x="276"/>
        <item x="212"/>
        <item x="352"/>
        <item x="237"/>
        <item x="45"/>
        <item x="200"/>
        <item x="41"/>
        <item x="208"/>
        <item x="32"/>
        <item x="201"/>
        <item x="199"/>
        <item x="372"/>
        <item x="366"/>
        <item x="395"/>
        <item x="344"/>
        <item x="198"/>
        <item x="30"/>
        <item x="343"/>
        <item x="27"/>
        <item x="92"/>
        <item x="98"/>
        <item x="240"/>
        <item x="121"/>
        <item x="231"/>
        <item x="263"/>
        <item x="22"/>
        <item x="80"/>
        <item x="167"/>
        <item x="60"/>
        <item t="default"/>
      </items>
    </pivotField>
    <pivotField dataField="1" compact="0" outline="0" multipleItemSelectionAllowed="1" showAll="0">
      <items count="501">
        <item x="2"/>
        <item x="431"/>
        <item x="112"/>
        <item x="90"/>
        <item x="223"/>
        <item x="177"/>
        <item x="330"/>
        <item x="220"/>
        <item x="221"/>
        <item x="388"/>
        <item x="411"/>
        <item x="130"/>
        <item x="139"/>
        <item x="274"/>
        <item x="251"/>
        <item x="421"/>
        <item x="399"/>
        <item x="316"/>
        <item x="299"/>
        <item x="412"/>
        <item x="389"/>
        <item x="329"/>
        <item x="301"/>
        <item x="318"/>
        <item x="327"/>
        <item x="483"/>
        <item x="281"/>
        <item x="338"/>
        <item x="283"/>
        <item x="326"/>
        <item x="309"/>
        <item x="37"/>
        <item x="328"/>
        <item x="420"/>
        <item x="398"/>
        <item x="222"/>
        <item x="499"/>
        <item x="427"/>
        <item x="284"/>
        <item x="170"/>
        <item x="159"/>
        <item x="83"/>
        <item x="89"/>
        <item x="111"/>
        <item x="219"/>
        <item x="497"/>
        <item x="477"/>
        <item x="339"/>
        <item x="189"/>
        <item x="372"/>
        <item x="198"/>
        <item x="493"/>
        <item x="464"/>
        <item x="453"/>
        <item x="438"/>
        <item x="91"/>
        <item x="113"/>
        <item x="240"/>
        <item x="263"/>
        <item x="178"/>
        <item x="241"/>
        <item x="264"/>
        <item x="175"/>
        <item x="480"/>
        <item x="429"/>
        <item x="10"/>
        <item x="498"/>
        <item x="98"/>
        <item x="120"/>
        <item x="430"/>
        <item x="249"/>
        <item x="272"/>
        <item x="373"/>
        <item x="279"/>
        <item x="129"/>
        <item x="138"/>
        <item x="188"/>
        <item x="55"/>
        <item x="36"/>
        <item x="489"/>
        <item x="426"/>
        <item x="48"/>
        <item x="308"/>
        <item x="325"/>
        <item x="452"/>
        <item x="437"/>
        <item x="238"/>
        <item x="261"/>
        <item x="337"/>
        <item x="237"/>
        <item x="260"/>
        <item x="187"/>
        <item x="126"/>
        <item x="474"/>
        <item x="156"/>
        <item x="397"/>
        <item x="419"/>
        <item x="128"/>
        <item x="167"/>
        <item x="109"/>
        <item x="87"/>
        <item x="35"/>
        <item x="492"/>
        <item x="135"/>
        <item x="346"/>
        <item x="137"/>
        <item x="17"/>
        <item x="273"/>
        <item x="250"/>
        <item x="99"/>
        <item x="121"/>
        <item x="207"/>
        <item x="176"/>
        <item x="86"/>
        <item x="108"/>
        <item x="280"/>
        <item x="34"/>
        <item x="484"/>
        <item x="425"/>
        <item x="471"/>
        <item x="446"/>
        <item x="461"/>
        <item x="385"/>
        <item x="408"/>
        <item x="495"/>
        <item x="481"/>
        <item x="193"/>
        <item x="460"/>
        <item x="445"/>
        <item x="319"/>
        <item x="186"/>
        <item x="302"/>
        <item x="236"/>
        <item x="259"/>
        <item x="142"/>
        <item x="491"/>
        <item x="335"/>
        <item x="7"/>
        <item x="45"/>
        <item x="303"/>
        <item x="320"/>
        <item x="123"/>
        <item x="386"/>
        <item x="409"/>
        <item x="85"/>
        <item x="107"/>
        <item x="248"/>
        <item x="271"/>
        <item x="463"/>
        <item x="185"/>
        <item x="396"/>
        <item x="418"/>
        <item x="132"/>
        <item x="141"/>
        <item x="33"/>
        <item x="41"/>
        <item x="345"/>
        <item x="485"/>
        <item x="384"/>
        <item x="407"/>
        <item x="410"/>
        <item x="387"/>
        <item x="8"/>
        <item x="341"/>
        <item x="482"/>
        <item x="206"/>
        <item x="212"/>
        <item x="228"/>
        <item x="285"/>
        <item x="217"/>
        <item x="184"/>
        <item x="277"/>
        <item x="294"/>
        <item x="311"/>
        <item x="32"/>
        <item x="342"/>
        <item x="488"/>
        <item x="168"/>
        <item x="157"/>
        <item x="119"/>
        <item x="428"/>
        <item x="97"/>
        <item x="140"/>
        <item x="127"/>
        <item x="136"/>
        <item x="40"/>
        <item x="336"/>
        <item x="9"/>
        <item x="191"/>
        <item x="282"/>
        <item x="296"/>
        <item x="478"/>
        <item x="313"/>
        <item x="110"/>
        <item x="149"/>
        <item x="88"/>
        <item x="18"/>
        <item x="39"/>
        <item x="64"/>
        <item x="190"/>
        <item x="357"/>
        <item x="204"/>
        <item x="368"/>
        <item x="439"/>
        <item x="454"/>
        <item x="215"/>
        <item x="210"/>
        <item x="276"/>
        <item x="440"/>
        <item x="382"/>
        <item x="455"/>
        <item x="356"/>
        <item x="475"/>
        <item x="15"/>
        <item x="405"/>
        <item x="367"/>
        <item x="262"/>
        <item x="239"/>
        <item x="96"/>
        <item x="118"/>
        <item x="192"/>
        <item x="466"/>
        <item x="146"/>
        <item x="487"/>
        <item x="19"/>
        <item x="423"/>
        <item x="434"/>
        <item x="449"/>
        <item x="163"/>
        <item x="174"/>
        <item x="278"/>
        <item x="54"/>
        <item x="496"/>
        <item x="472"/>
        <item x="173"/>
        <item x="162"/>
        <item x="306"/>
        <item x="323"/>
        <item x="247"/>
        <item x="270"/>
        <item x="358"/>
        <item x="300"/>
        <item x="317"/>
        <item x="369"/>
        <item x="148"/>
        <item x="394"/>
        <item x="286"/>
        <item x="395"/>
        <item x="53"/>
        <item x="417"/>
        <item x="479"/>
        <item x="344"/>
        <item x="144"/>
        <item x="490"/>
        <item x="246"/>
        <item x="269"/>
        <item x="60"/>
        <item x="459"/>
        <item x="444"/>
        <item x="46"/>
        <item x="476"/>
        <item x="465"/>
        <item x="158"/>
        <item x="169"/>
        <item x="494"/>
        <item x="145"/>
        <item x="383"/>
        <item x="406"/>
        <item x="424"/>
        <item x="467"/>
        <item x="59"/>
        <item x="57"/>
        <item x="52"/>
        <item x="61"/>
        <item x="50"/>
        <item x="202"/>
        <item x="197"/>
        <item x="62"/>
        <item x="51"/>
        <item x="353"/>
        <item x="63"/>
        <item x="196"/>
        <item x="292"/>
        <item x="58"/>
        <item x="200"/>
        <item x="349"/>
        <item x="307"/>
        <item x="324"/>
        <item x="468"/>
        <item x="352"/>
        <item x="199"/>
        <item x="201"/>
        <item x="350"/>
        <item x="195"/>
        <item x="66"/>
        <item x="347"/>
        <item x="362"/>
        <item x="288"/>
        <item x="71"/>
        <item x="287"/>
        <item x="348"/>
        <item x="351"/>
        <item x="359"/>
        <item x="370"/>
        <item x="1"/>
        <item x="422"/>
        <item x="73"/>
        <item x="76"/>
        <item x="275"/>
        <item x="433"/>
        <item x="448"/>
        <item x="225"/>
        <item x="67"/>
        <item x="376"/>
        <item x="72"/>
        <item x="393"/>
        <item x="416"/>
        <item x="154"/>
        <item x="165"/>
        <item x="486"/>
        <item x="443"/>
        <item x="152"/>
        <item x="458"/>
        <item x="442"/>
        <item x="457"/>
        <item x="161"/>
        <item x="172"/>
        <item x="355"/>
        <item x="0"/>
        <item x="470"/>
        <item x="366"/>
        <item x="82"/>
        <item x="65"/>
        <item x="160"/>
        <item x="105"/>
        <item x="70"/>
        <item x="171"/>
        <item x="473"/>
        <item x="151"/>
        <item x="224"/>
        <item x="360"/>
        <item x="371"/>
        <item x="363"/>
        <item x="305"/>
        <item x="155"/>
        <item x="322"/>
        <item x="205"/>
        <item x="166"/>
        <item x="216"/>
        <item x="469"/>
        <item x="124"/>
        <item x="84"/>
        <item x="208"/>
        <item x="106"/>
        <item x="211"/>
        <item x="218"/>
        <item x="133"/>
        <item x="234"/>
        <item x="4"/>
        <item x="257"/>
        <item x="68"/>
        <item x="235"/>
        <item x="258"/>
        <item x="361"/>
        <item x="354"/>
        <item x="365"/>
        <item x="203"/>
        <item x="209"/>
        <item x="214"/>
        <item x="47"/>
        <item x="150"/>
        <item x="435"/>
        <item x="153"/>
        <item x="5"/>
        <item x="450"/>
        <item x="94"/>
        <item x="436"/>
        <item x="164"/>
        <item x="116"/>
        <item x="451"/>
        <item x="244"/>
        <item x="267"/>
        <item x="297"/>
        <item x="314"/>
        <item x="298"/>
        <item x="6"/>
        <item x="315"/>
        <item x="125"/>
        <item x="134"/>
        <item x="14"/>
        <item x="441"/>
        <item x="456"/>
        <item x="392"/>
        <item x="415"/>
        <item x="232"/>
        <item x="31"/>
        <item x="255"/>
        <item x="231"/>
        <item x="254"/>
        <item x="75"/>
        <item x="80"/>
        <item x="103"/>
        <item x="43"/>
        <item x="379"/>
        <item x="122"/>
        <item x="402"/>
        <item x="95"/>
        <item x="131"/>
        <item x="245"/>
        <item x="117"/>
        <item x="268"/>
        <item x="79"/>
        <item x="102"/>
        <item x="143"/>
        <item x="291"/>
        <item x="432"/>
        <item x="447"/>
        <item x="27"/>
        <item x="380"/>
        <item x="30"/>
        <item x="230"/>
        <item x="403"/>
        <item x="391"/>
        <item x="253"/>
        <item x="414"/>
        <item x="290"/>
        <item x="13"/>
        <item x="295"/>
        <item x="312"/>
        <item x="78"/>
        <item x="378"/>
        <item x="16"/>
        <item x="101"/>
        <item x="401"/>
        <item x="381"/>
        <item x="243"/>
        <item x="404"/>
        <item x="266"/>
        <item x="3"/>
        <item x="22"/>
        <item x="21"/>
        <item x="179"/>
        <item x="25"/>
        <item x="93"/>
        <item x="115"/>
        <item x="12"/>
        <item x="304"/>
        <item x="321"/>
        <item x="181"/>
        <item x="81"/>
        <item x="375"/>
        <item x="104"/>
        <item x="23"/>
        <item x="227"/>
        <item x="11"/>
        <item x="289"/>
        <item x="293"/>
        <item x="310"/>
        <item x="44"/>
        <item x="462"/>
        <item x="92"/>
        <item x="114"/>
        <item x="233"/>
        <item x="331"/>
        <item x="256"/>
        <item x="374"/>
        <item x="390"/>
        <item x="413"/>
        <item x="28"/>
        <item x="49"/>
        <item x="242"/>
        <item x="265"/>
        <item x="194"/>
        <item x="343"/>
        <item x="226"/>
        <item x="42"/>
        <item x="38"/>
        <item x="334"/>
        <item x="182"/>
        <item x="29"/>
        <item x="340"/>
        <item x="183"/>
        <item x="377"/>
        <item x="364"/>
        <item x="400"/>
        <item x="180"/>
        <item x="26"/>
        <item x="333"/>
        <item x="24"/>
        <item x="332"/>
        <item x="77"/>
        <item x="74"/>
        <item x="100"/>
        <item x="20"/>
        <item x="229"/>
        <item x="213"/>
        <item x="252"/>
        <item x="69"/>
        <item x="147"/>
        <item x="56"/>
        <item t="default"/>
      </items>
    </pivotField>
  </pivotFields>
  <rowFields count="1">
    <field x="-2"/>
  </rowFields>
  <row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rowItems>
  <colFields count="1">
    <field x="0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4">
    <pageField fld="1"/>
    <pageField fld="2"/>
    <pageField fld="3"/>
    <pageField fld="4"/>
  </pageFields>
  <dataFields count="12">
    <dataField name="2025年1月" fld="5" baseField="0" baseItem="2"/>
    <dataField name="2025年2月" fld="6" baseField="0" baseItem="2"/>
    <dataField name="2025年3月" fld="7" baseField="0" baseItem="2"/>
    <dataField name="2025年4月" fld="8" baseField="0" baseItem="2"/>
    <dataField name="2025年5月" fld="9" baseField="0" baseItem="2"/>
    <dataField name="2025年6月" fld="10" baseField="0" baseItem="2"/>
    <dataField name="2025年7月" fld="11" baseField="0" baseItem="2"/>
    <dataField name="2025年8月" fld="12" baseField="0" baseItem="2"/>
    <dataField name="2025年9月" fld="13" baseField="0" baseItem="2"/>
    <dataField name="2025年10月" fld="14" baseField="0" baseItem="2"/>
    <dataField name="2025年11月" fld="15" baseField="0" baseItem="2"/>
    <dataField name="2025年12月" fld="16" baseField="0" baseItem="2"/>
  </dataFields>
  <pivotTableStyleInfo showRowHeaders="1" showColHeaders="1" showLastColumn="1"/>
</pivotTableDefinition>
</file>

<file path=xl/pivotTables/pivotTable2.xml><?xml version="1.0" encoding="utf-8"?>
<pivotTableDefinition xmlns="http://schemas.openxmlformats.org/spreadsheetml/2006/main" name="2025统计 2" cacheId="0" dataOnRows="1" autoFormatId="1" applyNumberFormats="0" applyBorderFormats="0" applyFontFormats="0" applyPatternFormats="0" applyAlignmentFormats="0" applyWidthHeightFormats="1" dataCaption="" updatedVersion="5" compact="0" compactData="0" showDrill="1">
  <location ref="K7:S20" firstHeaderRow="1" firstDataRow="2" firstDataCol="1" rowPageCount="4" colPageCount="1"/>
  <pivotFields count="17">
    <pivotField axis="axisPage" compact="0" outline="0" multipleItemSelectionAllowed="1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Page" compact="0" outline="0" multipleItemSelectionAllowed="1" showAll="0">
      <items count="4">
        <item h="1" x="0"/>
        <item h="1" x="1"/>
        <item x="2"/>
        <item t="default"/>
      </items>
    </pivotField>
    <pivotField axis="axisPage" compact="0" outline="0" multipleItemSelectionAllowed="1" showAll="0">
      <items count="11">
        <item h="1" x="0"/>
        <item x="1"/>
        <item h="1" x="2"/>
        <item h="1" x="3"/>
        <item h="1" x="4"/>
        <item h="1" x="5"/>
        <item h="1" x="6"/>
        <item h="1" x="7"/>
        <item h="1" x="8"/>
        <item h="1" x="9"/>
        <item t="default"/>
      </items>
    </pivotField>
    <pivotField axis="axisPage" compact="0" outline="0" multipleItemSelectionAllowed="1" showAll="0">
      <items count="18">
        <item h="1" x="0"/>
        <item h="1" x="1"/>
        <item h="1" x="2"/>
        <item x="3"/>
        <item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t="default"/>
      </items>
    </pivotField>
    <pivotField axis="axisCol" compact="0" outline="0" multipleItemSelectionAllowed="1" showAll="0">
      <items count="43">
        <item h="1" x="22"/>
        <item h="1" x="25"/>
        <item h="1" x="28"/>
        <item h="1" x="13"/>
        <item h="1" x="19"/>
        <item h="1" x="34"/>
        <item h="1" x="18"/>
        <item h="1" x="41"/>
        <item x="1"/>
        <item x="2"/>
        <item h="1" x="21"/>
        <item x="3"/>
        <item x="4"/>
        <item h="1" x="9"/>
        <item h="1" x="8"/>
        <item h="1" x="16"/>
        <item h="1" x="39"/>
        <item h="1" x="17"/>
        <item h="1" x="40"/>
        <item x="5"/>
        <item h="1" x="10"/>
        <item h="1" x="32"/>
        <item h="1" x="30"/>
        <item h="1" x="31"/>
        <item h="1" x="24"/>
        <item h="1" x="27"/>
        <item x="6"/>
        <item h="1" x="0"/>
        <item h="1" x="15"/>
        <item h="1" x="12"/>
        <item h="1" x="11"/>
        <item h="1" x="33"/>
        <item x="7"/>
        <item h="1" x="23"/>
        <item h="1" x="26"/>
        <item h="1" x="29"/>
        <item h="1" x="14"/>
        <item h="1" x="20"/>
        <item h="1" x="35"/>
        <item h="1" x="38"/>
        <item h="1" x="36"/>
        <item h="1" x="37"/>
        <item t="default"/>
      </items>
    </pivotField>
    <pivotField dataField="1" compact="0" outline="0" multipleItemSelectionAllowed="1" showAll="0">
      <items count="114">
        <item x="1"/>
        <item x="96"/>
        <item x="56"/>
        <item x="112"/>
        <item x="29"/>
        <item x="25"/>
        <item x="58"/>
        <item x="59"/>
        <item x="77"/>
        <item x="97"/>
        <item x="55"/>
        <item x="110"/>
        <item x="109"/>
        <item x="104"/>
        <item x="111"/>
        <item x="14"/>
        <item x="64"/>
        <item x="70"/>
        <item x="98"/>
        <item x="65"/>
        <item x="71"/>
        <item x="88"/>
        <item x="84"/>
        <item x="94"/>
        <item x="95"/>
        <item x="27"/>
        <item x="31"/>
        <item x="72"/>
        <item x="66"/>
        <item x="34"/>
        <item x="35"/>
        <item x="68"/>
        <item x="62"/>
        <item x="7"/>
        <item x="57"/>
        <item x="28"/>
        <item x="32"/>
        <item x="54"/>
        <item x="8"/>
        <item x="102"/>
        <item x="107"/>
        <item x="40"/>
        <item x="50"/>
        <item x="41"/>
        <item x="51"/>
        <item x="105"/>
        <item x="100"/>
        <item x="6"/>
        <item x="30"/>
        <item x="26"/>
        <item x="101"/>
        <item x="106"/>
        <item x="36"/>
        <item x="108"/>
        <item x="103"/>
        <item x="63"/>
        <item x="69"/>
        <item x="9"/>
        <item x="12"/>
        <item x="78"/>
        <item x="45"/>
        <item x="42"/>
        <item x="52"/>
        <item x="67"/>
        <item x="73"/>
        <item x="3"/>
        <item x="38"/>
        <item x="48"/>
        <item x="82"/>
        <item x="92"/>
        <item x="86"/>
        <item x="16"/>
        <item x="21"/>
        <item x="80"/>
        <item x="90"/>
        <item x="61"/>
        <item x="81"/>
        <item x="91"/>
        <item x="83"/>
        <item x="93"/>
        <item x="87"/>
        <item x="2"/>
        <item x="23"/>
        <item x="24"/>
        <item x="17"/>
        <item x="22"/>
        <item x="5"/>
        <item x="79"/>
        <item x="99"/>
        <item x="89"/>
        <item x="85"/>
        <item x="39"/>
        <item x="49"/>
        <item x="60"/>
        <item x="4"/>
        <item x="43"/>
        <item x="53"/>
        <item x="15"/>
        <item x="20"/>
        <item x="46"/>
        <item x="33"/>
        <item x="37"/>
        <item x="47"/>
        <item x="44"/>
        <item x="0"/>
        <item x="75"/>
        <item x="74"/>
        <item x="76"/>
        <item x="13"/>
        <item x="19"/>
        <item x="18"/>
        <item x="10"/>
        <item x="11"/>
        <item t="default"/>
      </items>
    </pivotField>
    <pivotField dataField="1" compact="0" outline="0" multipleItemSelectionAllowed="1" showAll="0">
      <items count="162">
        <item x="1"/>
        <item x="152"/>
        <item x="98"/>
        <item x="160"/>
        <item x="100"/>
        <item x="25"/>
        <item x="101"/>
        <item x="105"/>
        <item x="147"/>
        <item x="135"/>
        <item x="150"/>
        <item x="97"/>
        <item x="157"/>
        <item x="155"/>
        <item x="119"/>
        <item x="149"/>
        <item x="153"/>
        <item x="51"/>
        <item x="39"/>
        <item x="45"/>
        <item x="33"/>
        <item x="156"/>
        <item x="35"/>
        <item x="47"/>
        <item x="154"/>
        <item x="77"/>
        <item x="90"/>
        <item x="151"/>
        <item x="118"/>
        <item x="78"/>
        <item x="91"/>
        <item x="131"/>
        <item x="143"/>
        <item x="61"/>
        <item x="36"/>
        <item x="48"/>
        <item x="94"/>
        <item x="81"/>
        <item x="9"/>
        <item x="145"/>
        <item x="133"/>
        <item x="148"/>
        <item x="62"/>
        <item x="88"/>
        <item x="75"/>
        <item x="11"/>
        <item x="107"/>
        <item x="146"/>
        <item x="134"/>
        <item x="99"/>
        <item x="96"/>
        <item x="140"/>
        <item x="128"/>
        <item x="8"/>
        <item x="24"/>
        <item x="27"/>
        <item x="121"/>
        <item x="158"/>
        <item x="112"/>
        <item x="73"/>
        <item x="117"/>
        <item x="86"/>
        <item x="74"/>
        <item x="87"/>
        <item x="123"/>
        <item x="38"/>
        <item x="50"/>
        <item x="40"/>
        <item x="52"/>
        <item x="10"/>
        <item x="132"/>
        <item x="144"/>
        <item x="63"/>
        <item x="159"/>
        <item x="76"/>
        <item x="89"/>
        <item x="64"/>
        <item x="127"/>
        <item x="139"/>
        <item x="108"/>
        <item x="46"/>
        <item x="34"/>
        <item x="66"/>
        <item x="19"/>
        <item x="16"/>
        <item x="14"/>
        <item x="79"/>
        <item x="92"/>
        <item x="65"/>
        <item x="82"/>
        <item x="95"/>
        <item x="12"/>
        <item x="29"/>
        <item x="109"/>
        <item x="0"/>
        <item x="71"/>
        <item x="84"/>
        <item x="129"/>
        <item x="141"/>
        <item x="31"/>
        <item x="43"/>
        <item x="69"/>
        <item x="59"/>
        <item x="58"/>
        <item x="60"/>
        <item x="130"/>
        <item x="142"/>
        <item x="2"/>
        <item x="54"/>
        <item x="126"/>
        <item x="138"/>
        <item x="56"/>
        <item x="53"/>
        <item x="55"/>
        <item x="32"/>
        <item x="44"/>
        <item x="111"/>
        <item x="116"/>
        <item x="120"/>
        <item x="5"/>
        <item x="110"/>
        <item x="72"/>
        <item x="113"/>
        <item x="115"/>
        <item x="85"/>
        <item x="68"/>
        <item x="3"/>
        <item x="125"/>
        <item x="137"/>
        <item x="80"/>
        <item x="93"/>
        <item x="6"/>
        <item x="70"/>
        <item x="83"/>
        <item x="67"/>
        <item x="122"/>
        <item x="7"/>
        <item x="124"/>
        <item x="136"/>
        <item x="114"/>
        <item x="4"/>
        <item x="102"/>
        <item x="103"/>
        <item x="104"/>
        <item x="106"/>
        <item x="37"/>
        <item x="49"/>
        <item x="17"/>
        <item x="23"/>
        <item x="20"/>
        <item x="15"/>
        <item x="22"/>
        <item x="18"/>
        <item x="30"/>
        <item x="42"/>
        <item x="28"/>
        <item x="41"/>
        <item x="26"/>
        <item x="21"/>
        <item x="57"/>
        <item x="13"/>
        <item t="default"/>
      </items>
    </pivotField>
    <pivotField dataField="1" compact="0" outline="0" multipleItemSelectionAllowed="1" showAll="0">
      <items count="209">
        <item x="3"/>
        <item x="172"/>
        <item x="117"/>
        <item x="26"/>
        <item x="29"/>
        <item x="189"/>
        <item x="207"/>
        <item x="156"/>
        <item x="142"/>
        <item x="119"/>
        <item x="50"/>
        <item x="35"/>
        <item x="165"/>
        <item x="151"/>
        <item x="62"/>
        <item x="66"/>
        <item x="120"/>
        <item x="135"/>
        <item x="124"/>
        <item x="169"/>
        <item x="196"/>
        <item x="84"/>
        <item x="190"/>
        <item x="188"/>
        <item x="179"/>
        <item x="206"/>
        <item x="198"/>
        <item x="51"/>
        <item x="36"/>
        <item x="171"/>
        <item x="167"/>
        <item x="116"/>
        <item x="59"/>
        <item x="44"/>
        <item x="204"/>
        <item x="130"/>
        <item x="38"/>
        <item x="53"/>
        <item x="186"/>
        <item x="95"/>
        <item x="109"/>
        <item x="170"/>
        <item x="197"/>
        <item x="168"/>
        <item x="147"/>
        <item x="161"/>
        <item x="191"/>
        <item x="183"/>
        <item x="125"/>
        <item x="199"/>
        <item x="176"/>
        <item x="193"/>
        <item x="112"/>
        <item x="98"/>
        <item x="163"/>
        <item x="149"/>
        <item x="12"/>
        <item x="73"/>
        <item x="100"/>
        <item x="114"/>
        <item x="39"/>
        <item x="54"/>
        <item x="205"/>
        <item x="75"/>
        <item x="180"/>
        <item x="106"/>
        <item x="92"/>
        <item x="166"/>
        <item x="23"/>
        <item x="16"/>
        <item x="22"/>
        <item x="25"/>
        <item x="94"/>
        <item x="108"/>
        <item x="164"/>
        <item x="150"/>
        <item x="5"/>
        <item x="157"/>
        <item x="143"/>
        <item x="200"/>
        <item x="13"/>
        <item x="118"/>
        <item x="115"/>
        <item x="74"/>
        <item x="64"/>
        <item x="68"/>
        <item x="181"/>
        <item x="177"/>
        <item x="15"/>
        <item x="14"/>
        <item x="185"/>
        <item x="182"/>
        <item x="192"/>
        <item x="91"/>
        <item x="105"/>
        <item x="43"/>
        <item x="58"/>
        <item x="45"/>
        <item x="60"/>
        <item x="202"/>
        <item x="194"/>
        <item x="18"/>
        <item x="107"/>
        <item x="93"/>
        <item x="78"/>
        <item x="184"/>
        <item x="21"/>
        <item x="201"/>
        <item x="178"/>
        <item x="79"/>
        <item x="148"/>
        <item x="162"/>
        <item x="187"/>
        <item x="17"/>
        <item x="195"/>
        <item x="20"/>
        <item x="173"/>
        <item x="99"/>
        <item x="113"/>
        <item x="174"/>
        <item x="52"/>
        <item x="37"/>
        <item x="141"/>
        <item x="155"/>
        <item x="203"/>
        <item x="6"/>
        <item x="127"/>
        <item x="96"/>
        <item x="110"/>
        <item x="31"/>
        <item x="81"/>
        <item x="80"/>
        <item x="126"/>
        <item x="83"/>
        <item x="28"/>
        <item x="41"/>
        <item x="56"/>
        <item x="1"/>
        <item x="88"/>
        <item x="102"/>
        <item x="145"/>
        <item x="159"/>
        <item x="33"/>
        <item x="48"/>
        <item x="90"/>
        <item x="104"/>
        <item x="70"/>
        <item x="129"/>
        <item x="134"/>
        <item x="131"/>
        <item x="128"/>
        <item x="71"/>
        <item x="133"/>
        <item x="72"/>
        <item x="146"/>
        <item x="160"/>
        <item x="4"/>
        <item x="63"/>
        <item x="140"/>
        <item x="154"/>
        <item x="67"/>
        <item x="137"/>
        <item x="86"/>
        <item x="61"/>
        <item x="65"/>
        <item x="34"/>
        <item x="49"/>
        <item x="2"/>
        <item x="89"/>
        <item x="103"/>
        <item x="85"/>
        <item x="0"/>
        <item x="97"/>
        <item x="111"/>
        <item x="144"/>
        <item x="158"/>
        <item x="9"/>
        <item x="139"/>
        <item x="153"/>
        <item x="136"/>
        <item x="87"/>
        <item x="7"/>
        <item x="101"/>
        <item x="82"/>
        <item x="11"/>
        <item x="121"/>
        <item x="122"/>
        <item x="123"/>
        <item x="138"/>
        <item x="175"/>
        <item x="152"/>
        <item x="132"/>
        <item x="40"/>
        <item x="55"/>
        <item x="42"/>
        <item x="57"/>
        <item x="10"/>
        <item x="77"/>
        <item x="8"/>
        <item x="76"/>
        <item x="32"/>
        <item x="47"/>
        <item x="30"/>
        <item x="46"/>
        <item x="27"/>
        <item x="24"/>
        <item x="69"/>
        <item x="19"/>
        <item t="default"/>
      </items>
    </pivotField>
    <pivotField dataField="1" compact="0" outline="0" multipleItemSelectionAllowed="1" showAll="0">
      <items count="296">
        <item x="3"/>
        <item x="262"/>
        <item x="50"/>
        <item x="292"/>
        <item x="144"/>
        <item x="245"/>
        <item x="230"/>
        <item x="57"/>
        <item x="270"/>
        <item x="184"/>
        <item x="166"/>
        <item x="98"/>
        <item x="103"/>
        <item x="222"/>
        <item x="204"/>
        <item x="293"/>
        <item x="190"/>
        <item x="141"/>
        <item x="203"/>
        <item x="199"/>
        <item x="187"/>
        <item x="259"/>
        <item x="274"/>
        <item x="191"/>
        <item x="294"/>
        <item x="49"/>
        <item x="56"/>
        <item x="47"/>
        <item x="165"/>
        <item x="183"/>
        <item x="285"/>
        <item x="278"/>
        <item x="54"/>
        <item x="255"/>
        <item x="240"/>
        <item x="74"/>
        <item x="64"/>
        <item x="82"/>
        <item x="92"/>
        <item x="291"/>
        <item x="156"/>
        <item x="174"/>
        <item x="289"/>
        <item x="227"/>
        <item x="67"/>
        <item x="85"/>
        <item x="261"/>
        <item x="257"/>
        <item x="158"/>
        <item x="176"/>
        <item x="142"/>
        <item x="113"/>
        <item x="267"/>
        <item x="48"/>
        <item x="268"/>
        <item x="260"/>
        <item x="55"/>
        <item x="275"/>
        <item x="91"/>
        <item x="73"/>
        <item x="18"/>
        <item x="139"/>
        <item x="258"/>
        <item x="95"/>
        <item x="207"/>
        <item x="100"/>
        <item x="284"/>
        <item x="282"/>
        <item x="159"/>
        <item x="286"/>
        <item x="177"/>
        <item x="238"/>
        <item x="21"/>
        <item x="253"/>
        <item x="279"/>
        <item x="117"/>
        <item x="155"/>
        <item x="173"/>
        <item x="68"/>
        <item x="86"/>
        <item x="112"/>
        <item x="288"/>
        <item x="83"/>
        <item x="65"/>
        <item x="290"/>
        <item x="108"/>
        <item x="192"/>
        <item x="194"/>
        <item x="17"/>
        <item x="276"/>
        <item x="209"/>
        <item x="239"/>
        <item x="254"/>
        <item x="256"/>
        <item x="111"/>
        <item x="247"/>
        <item x="232"/>
        <item x="231"/>
        <item x="246"/>
        <item x="271"/>
        <item x="154"/>
        <item x="172"/>
        <item x="265"/>
        <item x="115"/>
        <item x="280"/>
        <item x="7"/>
        <item x="206"/>
        <item x="118"/>
        <item x="164"/>
        <item x="182"/>
        <item x="216"/>
        <item x="127"/>
        <item x="211"/>
        <item x="116"/>
        <item x="143"/>
        <item x="140"/>
        <item x="189"/>
        <item x="10"/>
        <item x="97"/>
        <item x="102"/>
        <item x="277"/>
        <item x="186"/>
        <item x="266"/>
        <item x="188"/>
        <item x="236"/>
        <item x="251"/>
        <item x="27"/>
        <item x="185"/>
        <item x="93"/>
        <item x="75"/>
        <item x="16"/>
        <item x="175"/>
        <item x="157"/>
        <item x="208"/>
        <item x="72"/>
        <item x="90"/>
        <item x="114"/>
        <item x="283"/>
        <item x="272"/>
        <item x="6"/>
        <item x="281"/>
        <item x="20"/>
        <item x="229"/>
        <item x="244"/>
        <item x="24"/>
        <item x="84"/>
        <item x="66"/>
        <item x="181"/>
        <item x="163"/>
        <item x="237"/>
        <item x="252"/>
        <item x="9"/>
        <item x="287"/>
        <item x="30"/>
        <item x="269"/>
        <item x="263"/>
        <item x="31"/>
        <item x="273"/>
        <item x="264"/>
        <item x="33"/>
        <item x="23"/>
        <item x="43"/>
        <item x="213"/>
        <item x="39"/>
        <item x="212"/>
        <item x="28"/>
        <item x="25"/>
        <item x="29"/>
        <item x="119"/>
        <item x="162"/>
        <item x="180"/>
        <item x="36"/>
        <item x="40"/>
        <item x="59"/>
        <item x="77"/>
        <item x="46"/>
        <item x="198"/>
        <item x="202"/>
        <item x="2"/>
        <item x="38"/>
        <item x="234"/>
        <item x="249"/>
        <item x="35"/>
        <item x="45"/>
        <item x="123"/>
        <item x="135"/>
        <item x="62"/>
        <item x="80"/>
        <item x="152"/>
        <item x="170"/>
        <item x="105"/>
        <item x="153"/>
        <item x="106"/>
        <item x="171"/>
        <item x="218"/>
        <item x="107"/>
        <item x="215"/>
        <item x="51"/>
        <item x="70"/>
        <item x="221"/>
        <item x="88"/>
        <item x="235"/>
        <item x="250"/>
        <item x="4"/>
        <item x="217"/>
        <item x="214"/>
        <item x="96"/>
        <item x="220"/>
        <item x="228"/>
        <item x="53"/>
        <item x="243"/>
        <item x="101"/>
        <item x="34"/>
        <item x="44"/>
        <item x="94"/>
        <item x="99"/>
        <item x="124"/>
        <item x="136"/>
        <item x="63"/>
        <item x="81"/>
        <item x="37"/>
        <item x="32"/>
        <item x="42"/>
        <item x="60"/>
        <item x="1"/>
        <item x="78"/>
        <item x="126"/>
        <item x="138"/>
        <item x="130"/>
        <item x="151"/>
        <item x="169"/>
        <item x="224"/>
        <item x="145"/>
        <item x="5"/>
        <item x="121"/>
        <item x="133"/>
        <item x="0"/>
        <item x="150"/>
        <item x="168"/>
        <item x="226"/>
        <item x="242"/>
        <item x="223"/>
        <item x="12"/>
        <item x="233"/>
        <item x="248"/>
        <item x="8"/>
        <item x="161"/>
        <item x="195"/>
        <item x="197"/>
        <item x="179"/>
        <item x="201"/>
        <item x="193"/>
        <item x="196"/>
        <item x="200"/>
        <item x="147"/>
        <item x="22"/>
        <item x="71"/>
        <item x="89"/>
        <item x="19"/>
        <item x="69"/>
        <item x="87"/>
        <item x="225"/>
        <item x="210"/>
        <item x="219"/>
        <item x="241"/>
        <item x="205"/>
        <item x="122"/>
        <item x="134"/>
        <item x="15"/>
        <item x="14"/>
        <item x="61"/>
        <item x="79"/>
        <item x="110"/>
        <item x="13"/>
        <item x="146"/>
        <item x="129"/>
        <item x="11"/>
        <item x="125"/>
        <item x="137"/>
        <item x="160"/>
        <item x="178"/>
        <item x="148"/>
        <item x="109"/>
        <item x="128"/>
        <item x="120"/>
        <item x="132"/>
        <item x="58"/>
        <item x="52"/>
        <item x="76"/>
        <item x="41"/>
        <item x="149"/>
        <item x="131"/>
        <item x="167"/>
        <item x="104"/>
        <item x="26"/>
        <item t="default"/>
      </items>
    </pivotField>
    <pivotField dataField="1" compact="0" outline="0" multipleItemSelectionAllowed="1" showAll="0">
      <items count="346">
        <item x="1"/>
        <item x="303"/>
        <item x="342"/>
        <item x="319"/>
        <item x="51"/>
        <item x="61"/>
        <item x="157"/>
        <item x="202"/>
        <item x="257"/>
        <item x="181"/>
        <item x="49"/>
        <item x="59"/>
        <item x="224"/>
        <item x="70"/>
        <item x="90"/>
        <item x="343"/>
        <item x="209"/>
        <item x="223"/>
        <item x="158"/>
        <item x="218"/>
        <item x="296"/>
        <item x="279"/>
        <item x="203"/>
        <item x="182"/>
        <item x="315"/>
        <item x="210"/>
        <item x="255"/>
        <item x="344"/>
        <item x="180"/>
        <item x="201"/>
        <item x="300"/>
        <item x="50"/>
        <item x="60"/>
        <item x="48"/>
        <item x="106"/>
        <item x="58"/>
        <item x="72"/>
        <item x="92"/>
        <item x="114"/>
        <item x="109"/>
        <item x="117"/>
        <item x="171"/>
        <item x="192"/>
        <item x="46"/>
        <item x="341"/>
        <item x="57"/>
        <item x="314"/>
        <item x="14"/>
        <item x="173"/>
        <item x="194"/>
        <item x="156"/>
        <item x="317"/>
        <item x="327"/>
        <item x="301"/>
        <item x="324"/>
        <item x="80"/>
        <item x="100"/>
        <item x="313"/>
        <item x="206"/>
        <item x="323"/>
        <item x="332"/>
        <item x="316"/>
        <item x="73"/>
        <item x="108"/>
        <item x="93"/>
        <item x="234"/>
        <item x="302"/>
        <item x="298"/>
        <item x="155"/>
        <item x="116"/>
        <item x="335"/>
        <item x="334"/>
        <item x="256"/>
        <item x="230"/>
        <item x="277"/>
        <item x="294"/>
        <item x="329"/>
        <item x="336"/>
        <item x="278"/>
        <item x="295"/>
        <item x="328"/>
        <item x="254"/>
        <item x="128"/>
        <item x="69"/>
        <item x="89"/>
        <item x="174"/>
        <item x="195"/>
        <item x="339"/>
        <item x="338"/>
        <item x="68"/>
        <item x="137"/>
        <item x="88"/>
        <item x="340"/>
        <item x="269"/>
        <item x="286"/>
        <item x="138"/>
        <item x="122"/>
        <item x="103"/>
        <item x="214"/>
        <item x="221"/>
        <item x="170"/>
        <item x="191"/>
        <item x="111"/>
        <item x="21"/>
        <item x="23"/>
        <item x="15"/>
        <item x="307"/>
        <item x="299"/>
        <item x="18"/>
        <item x="325"/>
        <item x="227"/>
        <item x="169"/>
        <item x="190"/>
        <item x="134"/>
        <item x="330"/>
        <item x="288"/>
        <item x="271"/>
        <item x="235"/>
        <item x="99"/>
        <item x="79"/>
        <item x="131"/>
        <item x="320"/>
        <item x="127"/>
        <item x="287"/>
        <item x="270"/>
        <item x="81"/>
        <item x="101"/>
        <item x="133"/>
        <item x="179"/>
        <item x="200"/>
        <item x="12"/>
        <item x="297"/>
        <item x="262"/>
        <item x="161"/>
        <item x="19"/>
        <item x="144"/>
        <item x="154"/>
        <item x="208"/>
        <item x="268"/>
        <item x="285"/>
        <item x="24"/>
        <item x="147"/>
        <item x="107"/>
        <item x="115"/>
        <item x="13"/>
        <item x="308"/>
        <item x="326"/>
        <item x="205"/>
        <item x="16"/>
        <item x="78"/>
        <item x="98"/>
        <item x="207"/>
        <item x="275"/>
        <item x="292"/>
        <item x="130"/>
        <item x="193"/>
        <item x="172"/>
        <item x="309"/>
        <item x="27"/>
        <item x="17"/>
        <item x="40"/>
        <item x="143"/>
        <item x="331"/>
        <item x="153"/>
        <item x="28"/>
        <item x="41"/>
        <item x="204"/>
        <item x="132"/>
        <item x="333"/>
        <item x="321"/>
        <item x="146"/>
        <item x="228"/>
        <item x="20"/>
        <item x="310"/>
        <item x="91"/>
        <item x="142"/>
        <item x="71"/>
        <item x="152"/>
        <item x="337"/>
        <item x="148"/>
        <item x="199"/>
        <item x="178"/>
        <item x="243"/>
        <item x="253"/>
        <item x="211"/>
        <item x="246"/>
        <item x="304"/>
        <item x="305"/>
        <item x="233"/>
        <item x="276"/>
        <item x="293"/>
        <item x="318"/>
        <item x="141"/>
        <item x="151"/>
        <item x="322"/>
        <item x="236"/>
        <item x="136"/>
        <item x="231"/>
        <item x="312"/>
        <item x="232"/>
        <item x="177"/>
        <item x="229"/>
        <item x="198"/>
        <item x="237"/>
        <item x="311"/>
        <item x="139"/>
        <item x="135"/>
        <item x="217"/>
        <item x="222"/>
        <item x="0"/>
        <item x="66"/>
        <item x="86"/>
        <item x="165"/>
        <item x="186"/>
        <item x="140"/>
        <item x="150"/>
        <item x="145"/>
        <item x="32"/>
        <item x="44"/>
        <item x="36"/>
        <item x="119"/>
        <item x="167"/>
        <item x="120"/>
        <item x="188"/>
        <item x="121"/>
        <item x="34"/>
        <item x="30"/>
        <item x="273"/>
        <item x="42"/>
        <item x="290"/>
        <item x="274"/>
        <item x="291"/>
        <item x="3"/>
        <item x="104"/>
        <item x="112"/>
        <item x="241"/>
        <item x="251"/>
        <item x="239"/>
        <item x="249"/>
        <item x="265"/>
        <item x="76"/>
        <item x="282"/>
        <item x="96"/>
        <item x="53"/>
        <item x="67"/>
        <item x="87"/>
        <item x="26"/>
        <item x="39"/>
        <item x="240"/>
        <item x="250"/>
        <item x="4"/>
        <item x="258"/>
        <item x="168"/>
        <item x="189"/>
        <item x="64"/>
        <item x="84"/>
        <item x="63"/>
        <item x="83"/>
        <item x="47"/>
        <item x="164"/>
        <item x="5"/>
        <item x="105"/>
        <item x="113"/>
        <item x="45"/>
        <item x="56"/>
        <item x="185"/>
        <item x="267"/>
        <item x="284"/>
        <item x="259"/>
        <item x="55"/>
        <item x="266"/>
        <item x="283"/>
        <item x="2"/>
        <item x="29"/>
        <item x="163"/>
        <item x="184"/>
        <item x="264"/>
        <item x="281"/>
        <item x="9"/>
        <item x="31"/>
        <item x="43"/>
        <item x="102"/>
        <item x="110"/>
        <item x="242"/>
        <item x="245"/>
        <item x="7"/>
        <item x="252"/>
        <item x="213"/>
        <item x="216"/>
        <item x="238"/>
        <item x="244"/>
        <item x="220"/>
        <item x="212"/>
        <item x="215"/>
        <item x="248"/>
        <item x="176"/>
        <item x="75"/>
        <item x="219"/>
        <item x="95"/>
        <item x="197"/>
        <item x="124"/>
        <item x="261"/>
        <item x="77"/>
        <item x="97"/>
        <item x="260"/>
        <item x="225"/>
        <item x="25"/>
        <item x="38"/>
        <item x="159"/>
        <item x="35"/>
        <item x="22"/>
        <item x="52"/>
        <item x="226"/>
        <item x="166"/>
        <item x="187"/>
        <item x="74"/>
        <item x="94"/>
        <item x="306"/>
        <item x="11"/>
        <item x="33"/>
        <item x="272"/>
        <item x="289"/>
        <item x="125"/>
        <item x="129"/>
        <item x="10"/>
        <item x="8"/>
        <item x="175"/>
        <item x="160"/>
        <item x="263"/>
        <item x="196"/>
        <item x="247"/>
        <item x="280"/>
        <item x="126"/>
        <item x="65"/>
        <item x="85"/>
        <item x="123"/>
        <item x="162"/>
        <item x="149"/>
        <item x="183"/>
        <item x="62"/>
        <item x="82"/>
        <item x="54"/>
        <item x="37"/>
        <item x="118"/>
        <item x="6"/>
        <item t="default"/>
      </items>
    </pivotField>
    <pivotField dataField="1" compact="0" outline="0" multipleItemSelectionAllowed="1" showAll="0">
      <items count="361">
        <item x="3"/>
        <item x="221"/>
        <item x="322"/>
        <item x="276"/>
        <item x="85"/>
        <item x="63"/>
        <item x="220"/>
        <item x="150"/>
        <item x="46"/>
        <item x="50"/>
        <item x="358"/>
        <item x="47"/>
        <item x="151"/>
        <item x="103"/>
        <item x="112"/>
        <item x="235"/>
        <item x="227"/>
        <item x="201"/>
        <item x="239"/>
        <item x="178"/>
        <item x="60"/>
        <item x="82"/>
        <item x="315"/>
        <item x="357"/>
        <item x="298"/>
        <item x="208"/>
        <item x="206"/>
        <item x="275"/>
        <item x="42"/>
        <item x="209"/>
        <item x="359"/>
        <item x="176"/>
        <item x="199"/>
        <item x="165"/>
        <item x="188"/>
        <item x="319"/>
        <item x="39"/>
        <item x="99"/>
        <item x="62"/>
        <item x="84"/>
        <item x="167"/>
        <item x="190"/>
        <item x="108"/>
        <item x="17"/>
        <item x="102"/>
        <item x="111"/>
        <item x="346"/>
        <item x="333"/>
        <item x="341"/>
        <item x="343"/>
        <item x="356"/>
        <item x="342"/>
        <item x="246"/>
        <item x="320"/>
        <item x="71"/>
        <item x="338"/>
        <item x="93"/>
        <item x="168"/>
        <item x="191"/>
        <item x="353"/>
        <item x="352"/>
        <item x="327"/>
        <item x="204"/>
        <item x="314"/>
        <item x="297"/>
        <item x="337"/>
        <item x="64"/>
        <item x="86"/>
        <item x="296"/>
        <item x="313"/>
        <item x="354"/>
        <item x="101"/>
        <item x="110"/>
        <item x="121"/>
        <item x="349"/>
        <item x="348"/>
        <item x="350"/>
        <item x="274"/>
        <item x="164"/>
        <item x="187"/>
        <item x="59"/>
        <item x="81"/>
        <item x="30"/>
        <item x="305"/>
        <item x="288"/>
        <item x="355"/>
        <item x="273"/>
        <item x="26"/>
        <item x="58"/>
        <item x="80"/>
        <item x="163"/>
        <item x="186"/>
        <item x="243"/>
        <item x="117"/>
        <item x="223"/>
        <item x="233"/>
        <item x="96"/>
        <item x="18"/>
        <item x="105"/>
        <item x="152"/>
        <item x="325"/>
        <item x="149"/>
        <item x="21"/>
        <item x="329"/>
        <item x="129"/>
        <item x="122"/>
        <item x="175"/>
        <item x="198"/>
        <item x="321"/>
        <item x="262"/>
        <item x="258"/>
        <item x="271"/>
        <item x="230"/>
        <item x="238"/>
        <item x="200"/>
        <item x="177"/>
        <item x="317"/>
        <item x="306"/>
        <item x="289"/>
        <item x="119"/>
        <item x="128"/>
        <item x="92"/>
        <item x="70"/>
        <item x="23"/>
        <item x="125"/>
        <item x="72"/>
        <item x="94"/>
        <item x="120"/>
        <item x="253"/>
        <item x="281"/>
        <item x="155"/>
        <item x="266"/>
        <item x="287"/>
        <item x="304"/>
        <item x="16"/>
        <item x="345"/>
        <item x="272"/>
        <item x="207"/>
        <item x="6"/>
        <item x="100"/>
        <item x="109"/>
        <item x="307"/>
        <item x="261"/>
        <item x="290"/>
        <item x="330"/>
        <item x="257"/>
        <item x="340"/>
        <item x="203"/>
        <item x="270"/>
        <item x="69"/>
        <item x="91"/>
        <item x="124"/>
        <item x="205"/>
        <item x="294"/>
        <item x="311"/>
        <item x="135"/>
        <item x="145"/>
        <item x="141"/>
        <item x="20"/>
        <item x="326"/>
        <item x="331"/>
        <item x="38"/>
        <item x="41"/>
        <item x="45"/>
        <item x="328"/>
        <item x="40"/>
        <item x="54"/>
        <item x="244"/>
        <item x="37"/>
        <item x="344"/>
        <item x="76"/>
        <item x="44"/>
        <item x="19"/>
        <item x="318"/>
        <item x="335"/>
        <item x="24"/>
        <item x="197"/>
        <item x="174"/>
        <item x="339"/>
        <item x="127"/>
        <item x="254"/>
        <item x="267"/>
        <item x="189"/>
        <item x="166"/>
        <item x="247"/>
        <item x="83"/>
        <item x="61"/>
        <item x="173"/>
        <item x="196"/>
        <item x="316"/>
        <item x="240"/>
        <item x="202"/>
        <item x="334"/>
        <item x="323"/>
        <item x="249"/>
        <item x="324"/>
        <item x="351"/>
        <item x="34"/>
        <item x="237"/>
        <item x="229"/>
        <item x="36"/>
        <item x="295"/>
        <item x="312"/>
        <item x="250"/>
        <item x="245"/>
        <item x="32"/>
        <item x="29"/>
        <item x="347"/>
        <item x="28"/>
        <item x="33"/>
        <item x="35"/>
        <item x="248"/>
        <item x="133"/>
        <item x="132"/>
        <item x="131"/>
        <item x="226"/>
        <item x="234"/>
        <item x="2"/>
        <item x="336"/>
        <item x="332"/>
        <item x="56"/>
        <item x="78"/>
        <item x="171"/>
        <item x="159"/>
        <item x="194"/>
        <item x="182"/>
        <item x="114"/>
        <item x="252"/>
        <item x="265"/>
        <item x="161"/>
        <item x="214"/>
        <item x="211"/>
        <item x="115"/>
        <item x="184"/>
        <item x="218"/>
        <item x="116"/>
        <item x="277"/>
        <item x="1"/>
        <item x="97"/>
        <item x="293"/>
        <item x="310"/>
        <item x="106"/>
        <item x="292"/>
        <item x="309"/>
        <item x="67"/>
        <item x="89"/>
        <item x="212"/>
        <item x="215"/>
        <item x="219"/>
        <item x="57"/>
        <item x="284"/>
        <item x="79"/>
        <item x="301"/>
        <item x="4"/>
        <item x="162"/>
        <item x="185"/>
        <item x="53"/>
        <item x="75"/>
        <item x="5"/>
        <item x="98"/>
        <item x="107"/>
        <item x="255"/>
        <item x="268"/>
        <item x="52"/>
        <item x="210"/>
        <item x="213"/>
        <item x="74"/>
        <item x="217"/>
        <item x="158"/>
        <item x="137"/>
        <item x="140"/>
        <item x="181"/>
        <item x="147"/>
        <item x="49"/>
        <item x="278"/>
        <item x="0"/>
        <item x="285"/>
        <item x="302"/>
        <item x="157"/>
        <item x="25"/>
        <item x="180"/>
        <item x="256"/>
        <item x="269"/>
        <item x="15"/>
        <item x="260"/>
        <item x="95"/>
        <item x="251"/>
        <item x="104"/>
        <item x="264"/>
        <item x="259"/>
        <item x="10"/>
        <item x="283"/>
        <item x="300"/>
        <item x="170"/>
        <item x="66"/>
        <item x="88"/>
        <item x="193"/>
        <item x="7"/>
        <item x="286"/>
        <item x="138"/>
        <item x="303"/>
        <item x="148"/>
        <item x="142"/>
        <item x="68"/>
        <item x="172"/>
        <item x="90"/>
        <item x="195"/>
        <item x="8"/>
        <item x="222"/>
        <item x="228"/>
        <item x="236"/>
        <item x="13"/>
        <item x="279"/>
        <item x="27"/>
        <item x="225"/>
        <item x="65"/>
        <item x="216"/>
        <item x="224"/>
        <item x="232"/>
        <item x="87"/>
        <item x="241"/>
        <item x="231"/>
        <item x="136"/>
        <item x="146"/>
        <item x="130"/>
        <item x="280"/>
        <item x="134"/>
        <item x="144"/>
        <item x="139"/>
        <item x="22"/>
        <item x="126"/>
        <item x="12"/>
        <item x="154"/>
        <item x="123"/>
        <item x="55"/>
        <item x="77"/>
        <item x="14"/>
        <item x="291"/>
        <item x="308"/>
        <item x="11"/>
        <item x="118"/>
        <item x="169"/>
        <item x="9"/>
        <item x="192"/>
        <item x="153"/>
        <item x="282"/>
        <item x="160"/>
        <item x="242"/>
        <item x="183"/>
        <item x="299"/>
        <item x="263"/>
        <item x="51"/>
        <item x="73"/>
        <item x="48"/>
        <item x="43"/>
        <item x="156"/>
        <item x="143"/>
        <item x="179"/>
        <item x="113"/>
        <item x="31"/>
        <item t="default"/>
      </items>
    </pivotField>
    <pivotField dataField="1" compact="0" outline="0" multipleItemSelectionAllowed="1" showAll="0">
      <items count="380">
        <item x="2"/>
        <item x="340"/>
        <item x="339"/>
        <item x="170"/>
        <item x="106"/>
        <item x="84"/>
        <item x="264"/>
        <item x="239"/>
        <item x="262"/>
        <item x="226"/>
        <item x="124"/>
        <item x="133"/>
        <item x="257"/>
        <item x="247"/>
        <item x="221"/>
        <item x="198"/>
        <item x="263"/>
        <item x="305"/>
        <item x="323"/>
        <item x="61"/>
        <item x="376"/>
        <item x="62"/>
        <item x="69"/>
        <item x="230"/>
        <item x="291"/>
        <item x="292"/>
        <item x="228"/>
        <item x="338"/>
        <item x="231"/>
        <item x="246"/>
        <item x="256"/>
        <item x="185"/>
        <item x="208"/>
        <item x="378"/>
        <item x="169"/>
        <item x="168"/>
        <item x="335"/>
        <item x="77"/>
        <item x="120"/>
        <item x="196"/>
        <item x="219"/>
        <item x="187"/>
        <item x="210"/>
        <item x="83"/>
        <item x="105"/>
        <item x="23"/>
        <item x="273"/>
        <item x="129"/>
        <item x="331"/>
        <item x="313"/>
        <item x="365"/>
        <item x="361"/>
        <item x="167"/>
        <item x="276"/>
        <item x="92"/>
        <item x="114"/>
        <item x="352"/>
        <item x="360"/>
        <item x="371"/>
        <item x="375"/>
        <item x="123"/>
        <item x="132"/>
        <item x="377"/>
        <item x="85"/>
        <item x="107"/>
        <item x="373"/>
        <item x="188"/>
        <item x="211"/>
        <item x="347"/>
        <item x="21"/>
        <item x="311"/>
        <item x="329"/>
        <item x="356"/>
        <item x="122"/>
        <item x="39"/>
        <item x="131"/>
        <item x="367"/>
        <item x="336"/>
        <item x="32"/>
        <item x="369"/>
        <item x="312"/>
        <item x="330"/>
        <item x="81"/>
        <item x="20"/>
        <item x="103"/>
        <item x="184"/>
        <item x="207"/>
        <item x="79"/>
        <item x="101"/>
        <item x="102"/>
        <item x="80"/>
        <item x="275"/>
        <item x="302"/>
        <item x="320"/>
        <item x="138"/>
        <item x="242"/>
        <item x="254"/>
        <item x="224"/>
        <item x="147"/>
        <item x="183"/>
        <item x="350"/>
        <item x="206"/>
        <item x="19"/>
        <item x="227"/>
        <item x="271"/>
        <item x="65"/>
        <item x="117"/>
        <item x="126"/>
        <item x="195"/>
        <item x="49"/>
        <item x="218"/>
        <item x="374"/>
        <item x="29"/>
        <item x="220"/>
        <item x="197"/>
        <item x="251"/>
        <item x="261"/>
        <item x="270"/>
        <item x="303"/>
        <item x="321"/>
        <item x="337"/>
        <item x="362"/>
        <item x="349"/>
        <item x="146"/>
        <item x="63"/>
        <item x="143"/>
        <item x="345"/>
        <item x="372"/>
        <item x="93"/>
        <item x="115"/>
        <item x="70"/>
        <item x="333"/>
        <item x="140"/>
        <item x="60"/>
        <item x="233"/>
        <item x="68"/>
        <item x="364"/>
        <item x="26"/>
        <item x="18"/>
        <item x="175"/>
        <item x="357"/>
        <item x="301"/>
        <item x="319"/>
        <item x="368"/>
        <item x="322"/>
        <item x="304"/>
        <item x="141"/>
        <item x="7"/>
        <item x="113"/>
        <item x="121"/>
        <item x="91"/>
        <item x="130"/>
        <item x="159"/>
        <item x="156"/>
        <item x="166"/>
        <item x="46"/>
        <item x="229"/>
        <item x="90"/>
        <item x="112"/>
        <item x="25"/>
        <item x="235"/>
        <item x="56"/>
        <item x="236"/>
        <item x="359"/>
        <item x="238"/>
        <item x="346"/>
        <item x="225"/>
        <item x="363"/>
        <item x="265"/>
        <item x="285"/>
        <item x="223"/>
        <item x="142"/>
        <item x="272"/>
        <item x="283"/>
        <item x="290"/>
        <item x="348"/>
        <item x="274"/>
        <item x="22"/>
        <item x="104"/>
        <item x="334"/>
        <item x="82"/>
        <item x="354"/>
        <item x="358"/>
        <item x="145"/>
        <item x="194"/>
        <item x="217"/>
        <item x="150"/>
        <item x="209"/>
        <item x="186"/>
        <item x="154"/>
        <item x="232"/>
        <item x="164"/>
        <item x="193"/>
        <item x="216"/>
        <item x="370"/>
        <item x="332"/>
        <item x="30"/>
        <item x="10"/>
        <item x="222"/>
        <item x="38"/>
        <item x="310"/>
        <item x="328"/>
        <item x="153"/>
        <item x="260"/>
        <item x="250"/>
        <item x="163"/>
        <item x="37"/>
        <item x="149"/>
        <item x="277"/>
        <item x="234"/>
        <item x="281"/>
        <item x="279"/>
        <item x="353"/>
        <item x="42"/>
        <item x="366"/>
        <item x="44"/>
        <item x="43"/>
        <item x="36"/>
        <item x="41"/>
        <item x="152"/>
        <item x="148"/>
        <item x="35"/>
        <item x="162"/>
        <item x="278"/>
        <item x="245"/>
        <item x="255"/>
        <item x="282"/>
        <item x="289"/>
        <item x="286"/>
        <item x="1"/>
        <item x="171"/>
        <item x="295"/>
        <item x="341"/>
        <item x="343"/>
        <item x="172"/>
        <item x="309"/>
        <item x="327"/>
        <item x="179"/>
        <item x="202"/>
        <item x="351"/>
        <item x="355"/>
        <item x="47"/>
        <item x="57"/>
        <item x="52"/>
        <item x="76"/>
        <item x="99"/>
        <item x="135"/>
        <item x="191"/>
        <item x="214"/>
        <item x="181"/>
        <item x="136"/>
        <item x="204"/>
        <item x="137"/>
        <item x="342"/>
        <item x="344"/>
        <item x="155"/>
        <item x="165"/>
        <item x="158"/>
        <item x="4"/>
        <item x="118"/>
        <item x="127"/>
        <item x="307"/>
        <item x="325"/>
        <item x="284"/>
        <item x="280"/>
        <item x="151"/>
        <item x="288"/>
        <item x="157"/>
        <item x="161"/>
        <item x="88"/>
        <item x="110"/>
        <item x="249"/>
        <item x="259"/>
        <item x="78"/>
        <item x="100"/>
        <item x="240"/>
        <item x="3"/>
        <item x="308"/>
        <item x="326"/>
        <item x="182"/>
        <item x="205"/>
        <item x="31"/>
        <item x="298"/>
        <item x="316"/>
        <item x="48"/>
        <item x="58"/>
        <item x="6"/>
        <item x="119"/>
        <item x="128"/>
        <item x="74"/>
        <item x="97"/>
        <item x="50"/>
        <item x="59"/>
        <item x="72"/>
        <item x="95"/>
        <item x="53"/>
        <item x="73"/>
        <item x="67"/>
        <item x="96"/>
        <item x="5"/>
        <item x="178"/>
        <item x="201"/>
        <item x="299"/>
        <item x="317"/>
        <item x="45"/>
        <item x="64"/>
        <item x="55"/>
        <item x="0"/>
        <item x="51"/>
        <item x="177"/>
        <item x="200"/>
        <item x="116"/>
        <item x="125"/>
        <item x="12"/>
        <item x="190"/>
        <item x="213"/>
        <item x="9"/>
        <item x="297"/>
        <item x="315"/>
        <item x="300"/>
        <item x="318"/>
        <item x="89"/>
        <item x="192"/>
        <item x="111"/>
        <item x="215"/>
        <item x="34"/>
        <item x="241"/>
        <item x="248"/>
        <item x="258"/>
        <item x="8"/>
        <item x="13"/>
        <item x="244"/>
        <item x="293"/>
        <item x="253"/>
        <item x="14"/>
        <item x="237"/>
        <item x="243"/>
        <item x="87"/>
        <item x="109"/>
        <item x="252"/>
        <item x="28"/>
        <item x="86"/>
        <item x="108"/>
        <item x="294"/>
        <item x="268"/>
        <item x="17"/>
        <item x="33"/>
        <item x="144"/>
        <item x="174"/>
        <item x="75"/>
        <item x="98"/>
        <item x="306"/>
        <item x="27"/>
        <item x="324"/>
        <item x="139"/>
        <item x="24"/>
        <item x="16"/>
        <item x="189"/>
        <item x="173"/>
        <item x="269"/>
        <item x="212"/>
        <item x="180"/>
        <item x="203"/>
        <item x="15"/>
        <item x="267"/>
        <item x="296"/>
        <item x="314"/>
        <item x="287"/>
        <item x="11"/>
        <item x="266"/>
        <item x="71"/>
        <item x="94"/>
        <item x="66"/>
        <item x="176"/>
        <item x="160"/>
        <item x="199"/>
        <item x="54"/>
        <item x="134"/>
        <item x="40"/>
        <item t="default"/>
      </items>
    </pivotField>
    <pivotField dataField="1" compact="0" outline="0" multipleItemSelectionAllowed="1" showAll="0">
      <items count="455">
        <item x="3"/>
        <item x="69"/>
        <item x="76"/>
        <item x="396"/>
        <item x="189"/>
        <item x="114"/>
        <item x="92"/>
        <item x="336"/>
        <item x="292"/>
        <item x="340"/>
        <item x="395"/>
        <item x="339"/>
        <item x="338"/>
        <item x="71"/>
        <item x="78"/>
        <item x="190"/>
        <item x="262"/>
        <item x="283"/>
        <item x="271"/>
        <item x="291"/>
        <item x="132"/>
        <item x="141"/>
        <item x="333"/>
        <item x="289"/>
        <item x="426"/>
        <item x="356"/>
        <item x="377"/>
        <item x="243"/>
        <item x="220"/>
        <item x="290"/>
        <item x="252"/>
        <item x="387"/>
        <item x="366"/>
        <item x="250"/>
        <item x="378"/>
        <item x="357"/>
        <item x="282"/>
        <item x="270"/>
        <item x="394"/>
        <item x="438"/>
        <item x="410"/>
        <item x="405"/>
        <item x="253"/>
        <item x="451"/>
        <item x="300"/>
        <item x="453"/>
        <item x="337"/>
        <item x="91"/>
        <item x="113"/>
        <item x="28"/>
        <item x="85"/>
        <item x="209"/>
        <item x="232"/>
        <item x="128"/>
        <item x="418"/>
        <item x="334"/>
        <item x="386"/>
        <item x="365"/>
        <item x="417"/>
        <item x="137"/>
        <item x="440"/>
        <item x="218"/>
        <item x="241"/>
        <item x="192"/>
        <item x="207"/>
        <item x="230"/>
        <item x="435"/>
        <item x="191"/>
        <item x="335"/>
        <item x="248"/>
        <item x="93"/>
        <item x="115"/>
        <item x="301"/>
        <item x="100"/>
        <item x="122"/>
        <item x="154"/>
        <item x="448"/>
        <item x="163"/>
        <item x="26"/>
        <item x="434"/>
        <item x="210"/>
        <item x="233"/>
        <item x="45"/>
        <item x="131"/>
        <item x="140"/>
        <item x="452"/>
        <item x="430"/>
        <item x="38"/>
        <item x="398"/>
        <item x="130"/>
        <item x="402"/>
        <item x="391"/>
        <item x="139"/>
        <item x="152"/>
        <item x="392"/>
        <item x="444"/>
        <item x="110"/>
        <item x="88"/>
        <item x="188"/>
        <item x="305"/>
        <item x="299"/>
        <item x="416"/>
        <item x="419"/>
        <item x="332"/>
        <item x="414"/>
        <item x="25"/>
        <item x="206"/>
        <item x="229"/>
        <item x="422"/>
        <item x="306"/>
        <item x="146"/>
        <item x="111"/>
        <item x="89"/>
        <item x="446"/>
        <item x="265"/>
        <item x="280"/>
        <item x="276"/>
        <item x="288"/>
        <item x="364"/>
        <item x="385"/>
        <item x="44"/>
        <item x="363"/>
        <item x="384"/>
        <item x="246"/>
        <item x="153"/>
        <item x="249"/>
        <item x="415"/>
        <item x="254"/>
        <item x="125"/>
        <item x="24"/>
        <item x="160"/>
        <item x="205"/>
        <item x="228"/>
        <item x="134"/>
        <item x="242"/>
        <item x="219"/>
        <item x="297"/>
        <item x="101"/>
        <item x="123"/>
        <item x="255"/>
        <item x="353"/>
        <item x="374"/>
        <item x="217"/>
        <item x="240"/>
        <item x="447"/>
        <item x="157"/>
        <item x="35"/>
        <item x="87"/>
        <item x="393"/>
        <item x="109"/>
        <item x="442"/>
        <item x="439"/>
        <item x="23"/>
        <item x="354"/>
        <item x="375"/>
        <item x="389"/>
        <item x="6"/>
        <item x="376"/>
        <item x="355"/>
        <item x="352"/>
        <item x="373"/>
        <item x="57"/>
        <item x="67"/>
        <item x="60"/>
        <item x="32"/>
        <item x="164"/>
        <item x="312"/>
        <item x="436"/>
        <item x="326"/>
        <item x="121"/>
        <item x="99"/>
        <item x="272"/>
        <item x="284"/>
        <item x="150"/>
        <item x="197"/>
        <item x="31"/>
        <item x="22"/>
        <item x="61"/>
        <item x="413"/>
        <item x="55"/>
        <item x="65"/>
        <item x="443"/>
        <item x="151"/>
        <item x="27"/>
        <item x="129"/>
        <item x="138"/>
        <item x="159"/>
        <item x="70"/>
        <item x="68"/>
        <item x="437"/>
        <item x="251"/>
        <item x="268"/>
        <item x="433"/>
        <item x="279"/>
        <item x="407"/>
        <item x="412"/>
        <item x="77"/>
        <item x="156"/>
        <item x="75"/>
        <item x="257"/>
        <item x="298"/>
        <item x="245"/>
        <item x="425"/>
        <item x="351"/>
        <item x="30"/>
        <item x="424"/>
        <item x="112"/>
        <item x="431"/>
        <item x="90"/>
        <item x="372"/>
        <item x="421"/>
        <item x="302"/>
        <item x="247"/>
        <item x="98"/>
        <item x="120"/>
        <item x="158"/>
        <item x="450"/>
        <item x="9"/>
        <item x="428"/>
        <item x="231"/>
        <item x="208"/>
        <item x="216"/>
        <item x="239"/>
        <item x="390"/>
        <item x="432"/>
        <item x="318"/>
        <item x="445"/>
        <item x="420"/>
        <item x="411"/>
        <item x="406"/>
        <item x="323"/>
        <item x="256"/>
        <item x="449"/>
        <item x="215"/>
        <item x="238"/>
        <item x="362"/>
        <item x="383"/>
        <item x="36"/>
        <item x="43"/>
        <item x="315"/>
        <item x="329"/>
        <item x="281"/>
        <item x="269"/>
        <item x="175"/>
        <item x="187"/>
        <item x="10"/>
        <item x="179"/>
        <item x="388"/>
        <item x="49"/>
        <item x="51"/>
        <item x="287"/>
        <item x="275"/>
        <item x="50"/>
        <item x="244"/>
        <item x="166"/>
        <item x="47"/>
        <item x="42"/>
        <item x="40"/>
        <item x="310"/>
        <item x="168"/>
        <item x="441"/>
        <item x="41"/>
        <item x="48"/>
        <item x="309"/>
        <item x="316"/>
        <item x="308"/>
        <item x="165"/>
        <item x="307"/>
        <item x="330"/>
        <item x="162"/>
        <item x="304"/>
        <item x="320"/>
        <item x="167"/>
        <item x="2"/>
        <item x="194"/>
        <item x="345"/>
        <item x="399"/>
        <item x="403"/>
        <item x="172"/>
        <item x="184"/>
        <item x="361"/>
        <item x="382"/>
        <item x="171"/>
        <item x="397"/>
        <item x="183"/>
        <item x="401"/>
        <item x="427"/>
        <item x="84"/>
        <item x="107"/>
        <item x="429"/>
        <item x="143"/>
        <item x="173"/>
        <item x="177"/>
        <item x="170"/>
        <item x="185"/>
        <item x="182"/>
        <item x="342"/>
        <item x="203"/>
        <item x="144"/>
        <item x="226"/>
        <item x="145"/>
        <item x="174"/>
        <item x="186"/>
        <item x="178"/>
        <item x="404"/>
        <item x="409"/>
        <item x="423"/>
        <item x="322"/>
        <item x="317"/>
        <item x="331"/>
        <item x="1"/>
        <item x="54"/>
        <item x="213"/>
        <item x="236"/>
        <item x="126"/>
        <item x="314"/>
        <item x="135"/>
        <item x="201"/>
        <item x="274"/>
        <item x="328"/>
        <item x="224"/>
        <item x="286"/>
        <item x="86"/>
        <item x="108"/>
        <item x="96"/>
        <item x="118"/>
        <item x="313"/>
        <item x="327"/>
        <item x="5"/>
        <item x="321"/>
        <item x="400"/>
        <item x="193"/>
        <item x="408"/>
        <item x="204"/>
        <item x="227"/>
        <item x="37"/>
        <item x="4"/>
        <item x="169"/>
        <item x="181"/>
        <item x="176"/>
        <item x="127"/>
        <item x="136"/>
        <item x="81"/>
        <item x="341"/>
        <item x="104"/>
        <item x="258"/>
        <item x="360"/>
        <item x="259"/>
        <item x="0"/>
        <item x="381"/>
        <item x="261"/>
        <item x="359"/>
        <item x="380"/>
        <item x="74"/>
        <item x="53"/>
        <item x="64"/>
        <item x="147"/>
        <item x="311"/>
        <item x="82"/>
        <item x="200"/>
        <item x="105"/>
        <item x="325"/>
        <item x="223"/>
        <item x="319"/>
        <item x="348"/>
        <item x="369"/>
        <item x="21"/>
        <item x="56"/>
        <item x="124"/>
        <item x="66"/>
        <item x="133"/>
        <item x="59"/>
        <item x="52"/>
        <item x="72"/>
        <item x="63"/>
        <item x="263"/>
        <item x="58"/>
        <item x="349"/>
        <item x="13"/>
        <item x="370"/>
        <item x="199"/>
        <item x="222"/>
        <item x="350"/>
        <item x="371"/>
        <item x="347"/>
        <item x="368"/>
        <item x="97"/>
        <item x="214"/>
        <item x="119"/>
        <item x="237"/>
        <item x="20"/>
        <item x="264"/>
        <item x="212"/>
        <item x="235"/>
        <item x="80"/>
        <item x="103"/>
        <item x="12"/>
        <item x="7"/>
        <item x="267"/>
        <item x="278"/>
        <item x="16"/>
        <item x="95"/>
        <item x="117"/>
        <item x="8"/>
        <item x="14"/>
        <item x="273"/>
        <item x="285"/>
        <item x="34"/>
        <item x="344"/>
        <item x="303"/>
        <item x="343"/>
        <item x="294"/>
        <item x="260"/>
        <item x="266"/>
        <item x="277"/>
        <item x="18"/>
        <item x="83"/>
        <item x="39"/>
        <item x="106"/>
        <item x="196"/>
        <item x="161"/>
        <item x="94"/>
        <item x="116"/>
        <item x="358"/>
        <item x="379"/>
        <item x="33"/>
        <item x="148"/>
        <item x="202"/>
        <item x="225"/>
        <item x="295"/>
        <item x="211"/>
        <item x="234"/>
        <item x="29"/>
        <item x="17"/>
        <item x="195"/>
        <item x="155"/>
        <item x="19"/>
        <item x="15"/>
        <item x="149"/>
        <item x="296"/>
        <item x="346"/>
        <item x="11"/>
        <item x="367"/>
        <item x="324"/>
        <item x="293"/>
        <item x="79"/>
        <item x="102"/>
        <item x="73"/>
        <item x="198"/>
        <item x="180"/>
        <item x="221"/>
        <item x="62"/>
        <item x="142"/>
        <item x="46"/>
        <item t="default"/>
      </items>
    </pivotField>
    <pivotField dataField="1" compact="0" outline="0" multipleItemSelectionAllowed="1" showAll="0">
      <items count="491">
        <item x="2"/>
        <item x="368"/>
        <item x="430"/>
        <item x="119"/>
        <item x="97"/>
        <item x="326"/>
        <item x="207"/>
        <item x="285"/>
        <item x="137"/>
        <item x="146"/>
        <item x="387"/>
        <item x="410"/>
        <item x="208"/>
        <item x="257"/>
        <item x="234"/>
        <item x="73"/>
        <item x="83"/>
        <item x="312"/>
        <item x="296"/>
        <item x="420"/>
        <item x="398"/>
        <item x="324"/>
        <item x="325"/>
        <item x="298"/>
        <item x="314"/>
        <item x="411"/>
        <item x="266"/>
        <item x="388"/>
        <item x="153"/>
        <item x="323"/>
        <item x="264"/>
        <item x="322"/>
        <item x="306"/>
        <item x="474"/>
        <item x="332"/>
        <item x="267"/>
        <item x="487"/>
        <item x="27"/>
        <item x="419"/>
        <item x="397"/>
        <item x="489"/>
        <item x="426"/>
        <item x="369"/>
        <item x="90"/>
        <item x="468"/>
        <item x="96"/>
        <item x="118"/>
        <item x="476"/>
        <item x="72"/>
        <item x="232"/>
        <item x="255"/>
        <item x="342"/>
        <item x="82"/>
        <item x="333"/>
        <item x="471"/>
        <item x="98"/>
        <item x="120"/>
        <item x="428"/>
        <item x="223"/>
        <item x="246"/>
        <item x="170"/>
        <item x="44"/>
        <item x="69"/>
        <item x="71"/>
        <item x="458"/>
        <item x="81"/>
        <item x="221"/>
        <item x="244"/>
        <item x="224"/>
        <item x="247"/>
        <item x="484"/>
        <item x="79"/>
        <item x="105"/>
        <item x="127"/>
        <item x="470"/>
        <item x="370"/>
        <item x="262"/>
        <item x="488"/>
        <item x="429"/>
        <item x="36"/>
        <item x="161"/>
        <item x="157"/>
        <item x="180"/>
        <item x="136"/>
        <item x="145"/>
        <item x="465"/>
        <item x="169"/>
        <item x="26"/>
        <item x="424"/>
        <item x="206"/>
        <item x="133"/>
        <item x="425"/>
        <item x="480"/>
        <item x="367"/>
        <item x="449"/>
        <item x="439"/>
        <item x="142"/>
        <item x="205"/>
        <item x="268"/>
        <item x="305"/>
        <item x="321"/>
        <item x="150"/>
        <item x="25"/>
        <item x="179"/>
        <item x="93"/>
        <item x="115"/>
        <item x="220"/>
        <item x="243"/>
        <item x="116"/>
        <item x="94"/>
        <item x="70"/>
        <item x="459"/>
        <item x="331"/>
        <item x="80"/>
        <item x="149"/>
        <item x="135"/>
        <item x="152"/>
        <item x="168"/>
        <item x="482"/>
        <item x="144"/>
        <item x="24"/>
        <item x="395"/>
        <item x="417"/>
        <item x="396"/>
        <item x="418"/>
        <item x="175"/>
        <item x="162"/>
        <item x="366"/>
        <item x="263"/>
        <item x="181"/>
        <item x="256"/>
        <item x="233"/>
        <item x="106"/>
        <item x="128"/>
        <item x="338"/>
        <item x="384"/>
        <item x="407"/>
        <item x="33"/>
        <item x="329"/>
        <item x="315"/>
        <item x="299"/>
        <item x="68"/>
        <item x="219"/>
        <item x="242"/>
        <item x="78"/>
        <item x="231"/>
        <item x="7"/>
        <item x="254"/>
        <item x="483"/>
        <item x="444"/>
        <item x="454"/>
        <item x="270"/>
        <item x="427"/>
        <item x="478"/>
        <item x="300"/>
        <item x="316"/>
        <item x="192"/>
        <item x="130"/>
        <item x="30"/>
        <item x="204"/>
        <item x="385"/>
        <item x="408"/>
        <item x="334"/>
        <item x="383"/>
        <item x="406"/>
        <item x="475"/>
        <item x="139"/>
        <item x="23"/>
        <item x="196"/>
        <item x="260"/>
        <item x="172"/>
        <item x="92"/>
        <item x="114"/>
        <item x="472"/>
        <item x="126"/>
        <item x="104"/>
        <item x="167"/>
        <item x="335"/>
        <item x="211"/>
        <item x="273"/>
        <item x="281"/>
        <item x="457"/>
        <item x="479"/>
        <item x="409"/>
        <item x="386"/>
        <item x="22"/>
        <item x="134"/>
        <item x="143"/>
        <item x="422"/>
        <item x="473"/>
        <item x="265"/>
        <item x="293"/>
        <item x="446"/>
        <item x="456"/>
        <item x="469"/>
        <item x="309"/>
        <item x="274"/>
        <item x="171"/>
        <item x="282"/>
        <item x="117"/>
        <item x="95"/>
        <item x="6"/>
        <item x="330"/>
        <item x="259"/>
        <item x="455"/>
        <item x="445"/>
        <item x="381"/>
        <item x="174"/>
        <item x="466"/>
        <item x="404"/>
        <item x="29"/>
        <item x="269"/>
        <item x="261"/>
        <item x="191"/>
        <item x="432"/>
        <item x="336"/>
        <item x="195"/>
        <item x="203"/>
        <item x="103"/>
        <item x="125"/>
        <item x="436"/>
        <item x="486"/>
        <item x="245"/>
        <item x="222"/>
        <item x="349"/>
        <item x="43"/>
        <item x="361"/>
        <item x="463"/>
        <item x="303"/>
        <item x="319"/>
        <item x="467"/>
        <item x="297"/>
        <item x="313"/>
        <item x="230"/>
        <item x="253"/>
        <item x="393"/>
        <item x="54"/>
        <item x="65"/>
        <item x="481"/>
        <item x="10"/>
        <item x="485"/>
        <item x="229"/>
        <item x="252"/>
        <item x="271"/>
        <item x="60"/>
        <item x="337"/>
        <item x="394"/>
        <item x="416"/>
        <item x="148"/>
        <item x="382"/>
        <item x="287"/>
        <item x="405"/>
        <item x="188"/>
        <item x="48"/>
        <item x="34"/>
        <item x="423"/>
        <item x="200"/>
        <item x="42"/>
        <item x="341"/>
        <item x="460"/>
        <item x="344"/>
        <item x="290"/>
        <item x="345"/>
        <item x="49"/>
        <item x="41"/>
        <item x="46"/>
        <item x="304"/>
        <item x="320"/>
        <item x="47"/>
        <item x="40"/>
        <item x="343"/>
        <item x="440"/>
        <item x="450"/>
        <item x="477"/>
        <item x="433"/>
        <item x="340"/>
        <item x="50"/>
        <item x="178"/>
        <item x="356"/>
        <item x="437"/>
        <item x="185"/>
        <item x="183"/>
        <item x="156"/>
        <item x="160"/>
        <item x="184"/>
        <item x="421"/>
        <item x="346"/>
        <item x="182"/>
        <item x="177"/>
        <item x="348"/>
        <item x="360"/>
        <item x="258"/>
        <item x="441"/>
        <item x="5"/>
        <item x="451"/>
        <item x="357"/>
        <item x="59"/>
        <item x="56"/>
        <item x="67"/>
        <item x="353"/>
        <item x="365"/>
        <item x="375"/>
        <item x="189"/>
        <item x="201"/>
        <item x="392"/>
        <item x="415"/>
        <item x="350"/>
        <item x="53"/>
        <item x="362"/>
        <item x="64"/>
        <item x="431"/>
        <item x="435"/>
        <item x="462"/>
        <item x="464"/>
        <item x="443"/>
        <item x="151"/>
        <item x="453"/>
        <item x="155"/>
        <item x="187"/>
        <item x="159"/>
        <item x="199"/>
        <item x="154"/>
        <item x="158"/>
        <item x="442"/>
        <item x="452"/>
        <item x="461"/>
        <item x="3"/>
        <item x="89"/>
        <item x="112"/>
        <item x="74"/>
        <item x="75"/>
        <item x="302"/>
        <item x="131"/>
        <item x="52"/>
        <item x="318"/>
        <item x="63"/>
        <item x="227"/>
        <item x="250"/>
        <item x="140"/>
        <item x="372"/>
        <item x="91"/>
        <item x="113"/>
        <item x="55"/>
        <item x="217"/>
        <item x="190"/>
        <item x="66"/>
        <item x="240"/>
        <item x="202"/>
        <item x="58"/>
        <item x="194"/>
        <item x="1"/>
        <item x="215"/>
        <item x="218"/>
        <item x="238"/>
        <item x="241"/>
        <item x="101"/>
        <item x="123"/>
        <item x="186"/>
        <item x="198"/>
        <item x="193"/>
        <item x="4"/>
        <item x="438"/>
        <item x="275"/>
        <item x="286"/>
        <item x="448"/>
        <item x="283"/>
        <item x="294"/>
        <item x="132"/>
        <item x="141"/>
        <item x="310"/>
        <item x="35"/>
        <item x="276"/>
        <item x="278"/>
        <item x="284"/>
        <item x="351"/>
        <item x="51"/>
        <item x="363"/>
        <item x="434"/>
        <item x="62"/>
        <item x="447"/>
        <item x="57"/>
        <item x="371"/>
        <item x="272"/>
        <item x="277"/>
        <item x="280"/>
        <item x="295"/>
        <item x="0"/>
        <item x="311"/>
        <item x="352"/>
        <item x="364"/>
        <item x="355"/>
        <item x="39"/>
        <item x="390"/>
        <item x="391"/>
        <item x="413"/>
        <item x="86"/>
        <item x="414"/>
        <item x="109"/>
        <item x="87"/>
        <item x="214"/>
        <item x="110"/>
        <item x="237"/>
        <item x="14"/>
        <item x="378"/>
        <item x="129"/>
        <item x="347"/>
        <item x="354"/>
        <item x="401"/>
        <item x="359"/>
        <item x="138"/>
        <item x="77"/>
        <item x="13"/>
        <item x="102"/>
        <item x="228"/>
        <item x="124"/>
        <item x="251"/>
        <item x="38"/>
        <item x="289"/>
        <item x="379"/>
        <item x="377"/>
        <item x="402"/>
        <item x="400"/>
        <item x="213"/>
        <item x="236"/>
        <item x="17"/>
        <item x="226"/>
        <item x="249"/>
        <item x="21"/>
        <item x="288"/>
        <item x="37"/>
        <item x="292"/>
        <item x="308"/>
        <item x="85"/>
        <item x="108"/>
        <item x="380"/>
        <item x="403"/>
        <item x="12"/>
        <item x="100"/>
        <item x="122"/>
        <item x="163"/>
        <item x="9"/>
        <item x="8"/>
        <item x="15"/>
        <item x="374"/>
        <item x="327"/>
        <item x="301"/>
        <item x="88"/>
        <item x="32"/>
        <item x="111"/>
        <item x="317"/>
        <item x="210"/>
        <item x="339"/>
        <item x="19"/>
        <item x="373"/>
        <item x="291"/>
        <item x="279"/>
        <item x="307"/>
        <item x="99"/>
        <item x="121"/>
        <item x="176"/>
        <item x="216"/>
        <item x="239"/>
        <item x="389"/>
        <item x="173"/>
        <item x="412"/>
        <item x="31"/>
        <item x="166"/>
        <item x="225"/>
        <item x="248"/>
        <item x="28"/>
        <item x="209"/>
        <item x="18"/>
        <item x="20"/>
        <item x="165"/>
        <item x="16"/>
        <item x="164"/>
        <item x="11"/>
        <item x="376"/>
        <item x="358"/>
        <item x="399"/>
        <item x="328"/>
        <item x="76"/>
        <item x="84"/>
        <item x="107"/>
        <item x="212"/>
        <item x="197"/>
        <item x="235"/>
        <item x="61"/>
        <item x="147"/>
        <item x="45"/>
        <item t="default"/>
      </items>
    </pivotField>
    <pivotField dataField="1" compact="0" outline="0" multipleItemSelectionAllowed="1" showAll="0">
      <items count="503">
        <item x="1"/>
        <item x="62"/>
        <item x="65"/>
        <item x="426"/>
        <item x="101"/>
        <item x="79"/>
        <item x="149"/>
        <item x="324"/>
        <item x="363"/>
        <item x="364"/>
        <item x="207"/>
        <item x="361"/>
        <item x="209"/>
        <item x="366"/>
        <item x="210"/>
        <item x="383"/>
        <item x="406"/>
        <item x="119"/>
        <item x="128"/>
        <item x="473"/>
        <item x="261"/>
        <item x="238"/>
        <item x="416"/>
        <item x="394"/>
        <item x="310"/>
        <item x="293"/>
        <item x="322"/>
        <item x="323"/>
        <item x="407"/>
        <item x="384"/>
        <item x="295"/>
        <item x="312"/>
        <item x="270"/>
        <item x="321"/>
        <item x="268"/>
        <item x="486"/>
        <item x="320"/>
        <item x="472"/>
        <item x="303"/>
        <item x="332"/>
        <item x="415"/>
        <item x="365"/>
        <item x="29"/>
        <item x="393"/>
        <item x="501"/>
        <item x="422"/>
        <item x="271"/>
        <item x="471"/>
        <item x="166"/>
        <item x="157"/>
        <item x="72"/>
        <item x="362"/>
        <item x="499"/>
        <item x="480"/>
        <item x="208"/>
        <item x="78"/>
        <item x="100"/>
        <item x="333"/>
        <item x="496"/>
        <item x="179"/>
        <item x="463"/>
        <item x="456"/>
        <item x="227"/>
        <item x="250"/>
        <item x="80"/>
        <item x="102"/>
        <item x="150"/>
        <item x="206"/>
        <item x="148"/>
        <item x="186"/>
        <item x="228"/>
        <item x="251"/>
        <item x="483"/>
        <item x="424"/>
        <item x="87"/>
        <item x="109"/>
        <item x="500"/>
        <item x="425"/>
        <item x="236"/>
        <item x="259"/>
        <item x="178"/>
        <item x="266"/>
        <item x="225"/>
        <item x="248"/>
        <item x="445"/>
        <item x="433"/>
        <item x="118"/>
        <item x="127"/>
        <item x="27"/>
        <item x="7"/>
        <item x="420"/>
        <item x="115"/>
        <item x="492"/>
        <item x="421"/>
        <item x="457"/>
        <item x="124"/>
        <item x="40"/>
        <item x="272"/>
        <item x="302"/>
        <item x="319"/>
        <item x="26"/>
        <item x="331"/>
        <item x="276"/>
        <item x="75"/>
        <item x="97"/>
        <item x="177"/>
        <item x="98"/>
        <item x="76"/>
        <item x="477"/>
        <item x="154"/>
        <item x="117"/>
        <item x="163"/>
        <item x="224"/>
        <item x="247"/>
        <item x="28"/>
        <item x="25"/>
        <item x="126"/>
        <item x="495"/>
        <item x="392"/>
        <item x="414"/>
        <item x="454"/>
        <item x="339"/>
        <item x="170"/>
        <item x="267"/>
        <item x="260"/>
        <item x="237"/>
        <item x="277"/>
        <item x="487"/>
        <item x="88"/>
        <item x="110"/>
        <item x="37"/>
        <item x="176"/>
        <item x="391"/>
        <item x="413"/>
        <item x="380"/>
        <item x="403"/>
        <item x="313"/>
        <item x="296"/>
        <item x="223"/>
        <item x="246"/>
        <item x="444"/>
        <item x="432"/>
        <item x="235"/>
        <item x="258"/>
        <item x="131"/>
        <item x="484"/>
        <item x="59"/>
        <item x="58"/>
        <item x="61"/>
        <item x="329"/>
        <item x="494"/>
        <item x="137"/>
        <item x="140"/>
        <item x="381"/>
        <item x="404"/>
        <item x="146"/>
        <item x="274"/>
        <item x="34"/>
        <item x="297"/>
        <item x="314"/>
        <item x="466"/>
        <item x="112"/>
        <item x="24"/>
        <item x="328"/>
        <item x="469"/>
        <item x="121"/>
        <item x="275"/>
        <item x="423"/>
        <item x="74"/>
        <item x="96"/>
        <item x="338"/>
        <item x="485"/>
        <item x="379"/>
        <item x="402"/>
        <item x="455"/>
        <item x="9"/>
        <item x="108"/>
        <item x="488"/>
        <item x="182"/>
        <item x="86"/>
        <item x="175"/>
        <item x="264"/>
        <item x="440"/>
        <item x="452"/>
        <item x="215"/>
        <item x="405"/>
        <item x="382"/>
        <item x="288"/>
        <item x="334"/>
        <item x="305"/>
        <item x="491"/>
        <item x="164"/>
        <item x="468"/>
        <item x="155"/>
        <item x="33"/>
        <item x="451"/>
        <item x="439"/>
        <item x="133"/>
        <item x="116"/>
        <item x="125"/>
        <item x="465"/>
        <item x="23"/>
        <item x="330"/>
        <item x="190"/>
        <item x="181"/>
        <item x="269"/>
        <item x="13"/>
        <item x="201"/>
        <item x="290"/>
        <item x="197"/>
        <item x="481"/>
        <item x="307"/>
        <item x="450"/>
        <item x="438"/>
        <item x="99"/>
        <item x="352"/>
        <item x="77"/>
        <item x="459"/>
        <item x="350"/>
        <item x="418"/>
        <item x="354"/>
        <item x="360"/>
        <item x="130"/>
        <item x="335"/>
        <item x="263"/>
        <item x="349"/>
        <item x="377"/>
        <item x="359"/>
        <item x="478"/>
        <item x="57"/>
        <item x="400"/>
        <item x="273"/>
        <item x="32"/>
        <item x="8"/>
        <item x="490"/>
        <item x="265"/>
        <item x="249"/>
        <item x="226"/>
        <item x="430"/>
        <item x="85"/>
        <item x="442"/>
        <item x="107"/>
        <item x="160"/>
        <item x="169"/>
        <item x="49"/>
        <item x="498"/>
        <item x="475"/>
        <item x="168"/>
        <item x="159"/>
        <item x="464"/>
        <item x="300"/>
        <item x="317"/>
        <item x="479"/>
        <item x="234"/>
        <item x="257"/>
        <item x="294"/>
        <item x="311"/>
        <item x="467"/>
        <item x="389"/>
        <item x="462"/>
        <item x="337"/>
        <item x="54"/>
        <item x="493"/>
        <item x="482"/>
        <item x="367"/>
        <item x="132"/>
        <item x="233"/>
        <item x="46"/>
        <item x="256"/>
        <item x="390"/>
        <item x="412"/>
        <item x="47"/>
        <item x="458"/>
        <item x="156"/>
        <item x="165"/>
        <item x="497"/>
        <item x="53"/>
        <item x="378"/>
        <item x="38"/>
        <item x="401"/>
        <item x="419"/>
        <item x="55"/>
        <item x="434"/>
        <item x="446"/>
        <item x="193"/>
        <item x="51"/>
        <item x="204"/>
        <item x="282"/>
        <item x="44"/>
        <item x="196"/>
        <item x="48"/>
        <item x="348"/>
        <item x="358"/>
        <item x="286"/>
        <item x="56"/>
        <item x="280"/>
        <item x="281"/>
        <item x="301"/>
        <item x="318"/>
        <item x="461"/>
        <item x="136"/>
        <item x="212"/>
        <item x="279"/>
        <item x="191"/>
        <item x="145"/>
        <item x="278"/>
        <item x="202"/>
        <item x="460"/>
        <item x="185"/>
        <item x="45"/>
        <item x="188"/>
        <item x="52"/>
        <item x="341"/>
        <item x="417"/>
        <item x="344"/>
        <item x="343"/>
        <item x="345"/>
        <item x="342"/>
        <item x="340"/>
        <item x="187"/>
        <item x="184"/>
        <item x="3"/>
        <item x="262"/>
        <item x="427"/>
        <item x="429"/>
        <item x="371"/>
        <item x="192"/>
        <item x="203"/>
        <item x="489"/>
        <item x="388"/>
        <item x="411"/>
        <item x="135"/>
        <item x="144"/>
        <item x="194"/>
        <item x="198"/>
        <item x="205"/>
        <item x="211"/>
        <item x="353"/>
        <item x="347"/>
        <item x="357"/>
        <item x="437"/>
        <item x="151"/>
        <item x="449"/>
        <item x="368"/>
        <item x="436"/>
        <item x="448"/>
        <item x="138"/>
        <item x="147"/>
        <item x="141"/>
        <item x="4"/>
        <item x="474"/>
        <item x="71"/>
        <item x="158"/>
        <item x="94"/>
        <item x="167"/>
        <item x="435"/>
        <item x="476"/>
        <item x="447"/>
        <item x="134"/>
        <item x="143"/>
        <item x="139"/>
        <item x="351"/>
        <item x="346"/>
        <item x="189"/>
        <item x="356"/>
        <item x="200"/>
        <item x="195"/>
        <item x="470"/>
        <item x="299"/>
        <item x="113"/>
        <item x="153"/>
        <item x="316"/>
        <item x="162"/>
        <item x="122"/>
        <item x="73"/>
        <item x="95"/>
        <item x="221"/>
        <item x="244"/>
        <item x="5"/>
        <item x="222"/>
        <item x="245"/>
        <item x="83"/>
        <item x="105"/>
        <item x="142"/>
        <item x="231"/>
        <item x="254"/>
        <item x="152"/>
        <item x="12"/>
        <item x="431"/>
        <item x="161"/>
        <item x="443"/>
        <item x="291"/>
        <item x="114"/>
        <item x="123"/>
        <item x="308"/>
        <item x="219"/>
        <item x="39"/>
        <item x="242"/>
        <item x="292"/>
        <item x="2"/>
        <item x="309"/>
        <item x="428"/>
        <item x="441"/>
        <item x="43"/>
        <item x="68"/>
        <item x="91"/>
        <item x="69"/>
        <item x="387"/>
        <item x="92"/>
        <item x="410"/>
        <item x="0"/>
        <item x="111"/>
        <item x="218"/>
        <item x="120"/>
        <item x="241"/>
        <item x="386"/>
        <item x="64"/>
        <item x="409"/>
        <item x="374"/>
        <item x="16"/>
        <item x="397"/>
        <item x="84"/>
        <item x="232"/>
        <item x="106"/>
        <item x="255"/>
        <item x="42"/>
        <item x="285"/>
        <item x="375"/>
        <item x="398"/>
        <item x="11"/>
        <item x="217"/>
        <item x="230"/>
        <item x="240"/>
        <item x="253"/>
        <item x="6"/>
        <item x="373"/>
        <item x="396"/>
        <item x="284"/>
        <item x="19"/>
        <item x="289"/>
        <item x="306"/>
        <item x="67"/>
        <item x="90"/>
        <item x="376"/>
        <item x="399"/>
        <item x="15"/>
        <item x="82"/>
        <item x="104"/>
        <item x="31"/>
        <item x="18"/>
        <item x="171"/>
        <item x="10"/>
        <item x="336"/>
        <item x="298"/>
        <item x="70"/>
        <item x="36"/>
        <item x="93"/>
        <item x="315"/>
        <item x="370"/>
        <item x="453"/>
        <item x="214"/>
        <item x="41"/>
        <item x="369"/>
        <item x="287"/>
        <item x="283"/>
        <item x="304"/>
        <item x="21"/>
        <item x="81"/>
        <item x="103"/>
        <item x="220"/>
        <item x="243"/>
        <item x="385"/>
        <item x="408"/>
        <item x="183"/>
        <item x="35"/>
        <item x="229"/>
        <item x="252"/>
        <item x="174"/>
        <item x="30"/>
        <item x="213"/>
        <item x="327"/>
        <item x="22"/>
        <item x="180"/>
        <item x="173"/>
        <item x="20"/>
        <item x="172"/>
        <item x="326"/>
        <item x="17"/>
        <item x="372"/>
        <item x="355"/>
        <item x="395"/>
        <item x="325"/>
        <item x="14"/>
        <item x="63"/>
        <item x="66"/>
        <item x="89"/>
        <item x="216"/>
        <item x="199"/>
        <item x="239"/>
        <item x="60"/>
        <item x="129"/>
        <item x="50"/>
        <item t="default"/>
      </items>
    </pivotField>
    <pivotField dataField="1" compact="0" outline="0" multipleItemSelectionAllowed="1" showAll="0">
      <items count="499">
        <item x="4"/>
        <item x="236"/>
        <item x="426"/>
        <item x="133"/>
        <item x="111"/>
        <item x="195"/>
        <item x="342"/>
        <item x="235"/>
        <item x="383"/>
        <item x="406"/>
        <item x="151"/>
        <item x="160"/>
        <item x="301"/>
        <item x="285"/>
        <item x="262"/>
        <item x="416"/>
        <item x="394"/>
        <item x="328"/>
        <item x="311"/>
        <item x="407"/>
        <item x="384"/>
        <item x="341"/>
        <item x="313"/>
        <item x="330"/>
        <item x="294"/>
        <item x="339"/>
        <item x="482"/>
        <item x="292"/>
        <item x="349"/>
        <item x="338"/>
        <item x="321"/>
        <item x="40"/>
        <item x="340"/>
        <item x="415"/>
        <item x="368"/>
        <item x="393"/>
        <item x="497"/>
        <item x="422"/>
        <item x="295"/>
        <item x="188"/>
        <item x="177"/>
        <item x="104"/>
        <item x="91"/>
        <item x="110"/>
        <item x="97"/>
        <item x="132"/>
        <item x="495"/>
        <item x="476"/>
        <item x="90"/>
        <item x="96"/>
        <item x="350"/>
        <item x="492"/>
        <item x="460"/>
        <item x="207"/>
        <item x="449"/>
        <item x="435"/>
        <item x="112"/>
        <item x="134"/>
        <item x="219"/>
        <item x="251"/>
        <item x="274"/>
        <item x="196"/>
        <item x="193"/>
        <item x="252"/>
        <item x="275"/>
        <item x="479"/>
        <item x="424"/>
        <item x="13"/>
        <item x="206"/>
        <item x="496"/>
        <item x="260"/>
        <item x="283"/>
        <item x="425"/>
        <item x="38"/>
        <item x="119"/>
        <item x="141"/>
        <item x="290"/>
        <item x="249"/>
        <item x="272"/>
        <item x="150"/>
        <item x="159"/>
        <item x="466"/>
        <item x="57"/>
        <item x="58"/>
        <item x="488"/>
        <item x="421"/>
        <item x="39"/>
        <item x="320"/>
        <item x="337"/>
        <item x="448"/>
        <item x="434"/>
        <item x="348"/>
        <item x="50"/>
        <item x="205"/>
        <item x="420"/>
        <item x="37"/>
        <item x="298"/>
        <item x="130"/>
        <item x="108"/>
        <item x="147"/>
        <item x="297"/>
        <item x="473"/>
        <item x="174"/>
        <item x="300"/>
        <item x="248"/>
        <item x="271"/>
        <item x="149"/>
        <item x="185"/>
        <item x="10"/>
        <item x="491"/>
        <item x="156"/>
        <item x="158"/>
        <item x="392"/>
        <item x="414"/>
        <item x="36"/>
        <item x="355"/>
        <item x="194"/>
        <item x="95"/>
        <item x="89"/>
        <item x="120"/>
        <item x="142"/>
        <item x="291"/>
        <item x="284"/>
        <item x="261"/>
        <item x="59"/>
        <item x="483"/>
        <item x="107"/>
        <item x="129"/>
        <item x="204"/>
        <item x="467"/>
        <item x="443"/>
        <item x="457"/>
        <item x="47"/>
        <item x="469"/>
        <item x="380"/>
        <item x="403"/>
        <item x="480"/>
        <item x="456"/>
        <item x="442"/>
        <item x="331"/>
        <item x="314"/>
        <item x="226"/>
        <item x="163"/>
        <item x="233"/>
        <item x="259"/>
        <item x="282"/>
        <item x="247"/>
        <item x="270"/>
        <item x="391"/>
        <item x="413"/>
        <item x="229"/>
        <item x="490"/>
        <item x="346"/>
        <item x="11"/>
        <item x="44"/>
        <item x="315"/>
        <item x="332"/>
        <item x="214"/>
        <item x="345"/>
        <item x="144"/>
        <item x="459"/>
        <item x="381"/>
        <item x="404"/>
        <item x="153"/>
        <item x="106"/>
        <item x="88"/>
        <item x="128"/>
        <item x="94"/>
        <item x="197"/>
        <item x="423"/>
        <item x="379"/>
        <item x="402"/>
        <item x="230"/>
        <item x="227"/>
        <item x="234"/>
        <item x="211"/>
        <item x="484"/>
        <item x="203"/>
        <item x="35"/>
        <item x="354"/>
        <item x="17"/>
        <item x="481"/>
        <item x="405"/>
        <item x="382"/>
        <item x="288"/>
        <item x="239"/>
        <item x="296"/>
        <item x="140"/>
        <item x="118"/>
        <item x="306"/>
        <item x="20"/>
        <item x="323"/>
        <item x="202"/>
        <item x="487"/>
        <item x="186"/>
        <item x="175"/>
        <item x="34"/>
        <item x="164"/>
        <item x="148"/>
        <item x="157"/>
        <item x="210"/>
        <item x="461"/>
        <item x="43"/>
        <item x="293"/>
        <item x="308"/>
        <item x="131"/>
        <item x="109"/>
        <item x="477"/>
        <item x="347"/>
        <item x="325"/>
        <item x="69"/>
        <item x="82"/>
        <item x="21"/>
        <item x="213"/>
        <item x="418"/>
        <item x="209"/>
        <item x="162"/>
        <item x="436"/>
        <item x="450"/>
        <item x="287"/>
        <item x="42"/>
        <item x="437"/>
        <item x="377"/>
        <item x="451"/>
        <item x="351"/>
        <item x="474"/>
        <item x="12"/>
        <item x="400"/>
        <item x="71"/>
        <item x="67"/>
        <item x="463"/>
        <item x="84"/>
        <item x="486"/>
        <item x="117"/>
        <item x="139"/>
        <item x="225"/>
        <item x="273"/>
        <item x="232"/>
        <item x="250"/>
        <item x="228"/>
        <item x="289"/>
        <item x="432"/>
        <item x="446"/>
        <item x="181"/>
        <item x="192"/>
        <item x="54"/>
        <item x="494"/>
        <item x="471"/>
        <item x="191"/>
        <item x="180"/>
        <item x="318"/>
        <item x="72"/>
        <item x="335"/>
        <item x="312"/>
        <item x="329"/>
        <item x="258"/>
        <item x="281"/>
        <item x="427"/>
        <item x="353"/>
        <item x="389"/>
        <item x="18"/>
        <item x="478"/>
        <item x="65"/>
        <item x="489"/>
        <item x="390"/>
        <item x="412"/>
        <item x="257"/>
        <item x="280"/>
        <item x="455"/>
        <item x="441"/>
        <item x="475"/>
        <item x="462"/>
        <item x="176"/>
        <item x="187"/>
        <item x="493"/>
        <item x="165"/>
        <item x="48"/>
        <item x="378"/>
        <item x="401"/>
        <item x="75"/>
        <item x="87"/>
        <item x="419"/>
        <item x="166"/>
        <item x="79"/>
        <item x="61"/>
        <item x="64"/>
        <item x="51"/>
        <item x="56"/>
        <item x="63"/>
        <item x="218"/>
        <item x="53"/>
        <item x="224"/>
        <item x="358"/>
        <item x="304"/>
        <item x="55"/>
        <item x="217"/>
        <item x="66"/>
        <item x="361"/>
        <item x="319"/>
        <item x="336"/>
        <item x="52"/>
        <item x="465"/>
        <item x="62"/>
        <item x="220"/>
        <item x="222"/>
        <item x="360"/>
        <item x="216"/>
        <item x="356"/>
        <item x="73"/>
        <item x="85"/>
        <item x="357"/>
        <item x="464"/>
        <item x="363"/>
        <item x="223"/>
        <item x="221"/>
        <item x="359"/>
        <item x="362"/>
        <item x="417"/>
        <item x="2"/>
        <item x="286"/>
        <item x="77"/>
        <item x="431"/>
        <item x="445"/>
        <item x="371"/>
        <item x="364"/>
        <item x="367"/>
        <item x="365"/>
        <item x="388"/>
        <item x="411"/>
        <item x="172"/>
        <item x="183"/>
        <item x="485"/>
        <item x="440"/>
        <item x="170"/>
        <item x="454"/>
        <item x="439"/>
        <item x="453"/>
        <item x="179"/>
        <item x="190"/>
        <item x="1"/>
        <item x="470"/>
        <item x="103"/>
        <item x="178"/>
        <item x="126"/>
        <item x="189"/>
        <item x="472"/>
        <item x="169"/>
        <item x="74"/>
        <item x="86"/>
        <item x="78"/>
        <item x="317"/>
        <item x="173"/>
        <item x="334"/>
        <item x="184"/>
        <item x="468"/>
        <item x="145"/>
        <item x="105"/>
        <item x="70"/>
        <item x="83"/>
        <item x="127"/>
        <item x="154"/>
        <item x="245"/>
        <item x="268"/>
        <item x="5"/>
        <item x="246"/>
        <item x="269"/>
        <item x="168"/>
        <item x="255"/>
        <item x="428"/>
        <item x="278"/>
        <item x="171"/>
        <item x="3"/>
        <item x="430"/>
        <item x="115"/>
        <item x="433"/>
        <item x="68"/>
        <item x="182"/>
        <item x="137"/>
        <item x="81"/>
        <item x="447"/>
        <item x="146"/>
        <item x="76"/>
        <item x="155"/>
        <item x="309"/>
        <item x="243"/>
        <item x="326"/>
        <item x="266"/>
        <item x="49"/>
        <item x="310"/>
        <item x="8"/>
        <item x="327"/>
        <item x="7"/>
        <item x="438"/>
        <item x="452"/>
        <item x="387"/>
        <item x="410"/>
        <item x="101"/>
        <item x="124"/>
        <item x="161"/>
        <item x="242"/>
        <item x="265"/>
        <item x="143"/>
        <item x="152"/>
        <item x="93"/>
        <item x="374"/>
        <item x="6"/>
        <item x="397"/>
        <item x="116"/>
        <item x="256"/>
        <item x="138"/>
        <item x="386"/>
        <item x="279"/>
        <item x="100"/>
        <item x="409"/>
        <item x="123"/>
        <item x="0"/>
        <item x="303"/>
        <item x="429"/>
        <item x="444"/>
        <item x="16"/>
        <item x="375"/>
        <item x="254"/>
        <item x="398"/>
        <item x="241"/>
        <item x="277"/>
        <item x="264"/>
        <item x="33"/>
        <item x="373"/>
        <item x="396"/>
        <item x="302"/>
        <item x="24"/>
        <item x="307"/>
        <item x="324"/>
        <item x="376"/>
        <item x="99"/>
        <item x="399"/>
        <item x="19"/>
        <item x="122"/>
        <item x="9"/>
        <item x="23"/>
        <item x="29"/>
        <item x="114"/>
        <item x="136"/>
        <item x="28"/>
        <item x="15"/>
        <item x="14"/>
        <item x="316"/>
        <item x="333"/>
        <item x="102"/>
        <item x="125"/>
        <item x="370"/>
        <item x="26"/>
        <item x="238"/>
        <item x="25"/>
        <item x="458"/>
        <item x="299"/>
        <item x="305"/>
        <item x="322"/>
        <item x="46"/>
        <item x="369"/>
        <item x="113"/>
        <item x="135"/>
        <item x="244"/>
        <item x="267"/>
        <item x="385"/>
        <item x="408"/>
        <item x="31"/>
        <item x="215"/>
        <item x="253"/>
        <item x="276"/>
        <item x="212"/>
        <item x="352"/>
        <item x="237"/>
        <item x="45"/>
        <item x="200"/>
        <item x="41"/>
        <item x="208"/>
        <item x="32"/>
        <item x="201"/>
        <item x="199"/>
        <item x="372"/>
        <item x="366"/>
        <item x="395"/>
        <item x="344"/>
        <item x="198"/>
        <item x="30"/>
        <item x="343"/>
        <item x="27"/>
        <item x="92"/>
        <item x="98"/>
        <item x="240"/>
        <item x="121"/>
        <item x="231"/>
        <item x="263"/>
        <item x="22"/>
        <item x="80"/>
        <item x="167"/>
        <item x="60"/>
        <item t="default"/>
      </items>
    </pivotField>
    <pivotField dataField="1" compact="0" outline="0" multipleItemSelectionAllowed="1" showAll="0">
      <items count="501">
        <item x="2"/>
        <item x="431"/>
        <item x="112"/>
        <item x="90"/>
        <item x="223"/>
        <item x="177"/>
        <item x="330"/>
        <item x="220"/>
        <item x="221"/>
        <item x="388"/>
        <item x="411"/>
        <item x="130"/>
        <item x="139"/>
        <item x="274"/>
        <item x="251"/>
        <item x="421"/>
        <item x="399"/>
        <item x="316"/>
        <item x="299"/>
        <item x="412"/>
        <item x="389"/>
        <item x="329"/>
        <item x="301"/>
        <item x="318"/>
        <item x="327"/>
        <item x="483"/>
        <item x="281"/>
        <item x="338"/>
        <item x="283"/>
        <item x="326"/>
        <item x="309"/>
        <item x="37"/>
        <item x="328"/>
        <item x="420"/>
        <item x="398"/>
        <item x="222"/>
        <item x="499"/>
        <item x="427"/>
        <item x="284"/>
        <item x="170"/>
        <item x="159"/>
        <item x="83"/>
        <item x="89"/>
        <item x="111"/>
        <item x="219"/>
        <item x="497"/>
        <item x="477"/>
        <item x="339"/>
        <item x="189"/>
        <item x="372"/>
        <item x="198"/>
        <item x="493"/>
        <item x="464"/>
        <item x="453"/>
        <item x="438"/>
        <item x="91"/>
        <item x="113"/>
        <item x="240"/>
        <item x="263"/>
        <item x="178"/>
        <item x="241"/>
        <item x="264"/>
        <item x="175"/>
        <item x="480"/>
        <item x="429"/>
        <item x="10"/>
        <item x="498"/>
        <item x="98"/>
        <item x="120"/>
        <item x="430"/>
        <item x="249"/>
        <item x="272"/>
        <item x="373"/>
        <item x="279"/>
        <item x="129"/>
        <item x="138"/>
        <item x="188"/>
        <item x="55"/>
        <item x="36"/>
        <item x="489"/>
        <item x="426"/>
        <item x="48"/>
        <item x="308"/>
        <item x="325"/>
        <item x="452"/>
        <item x="437"/>
        <item x="238"/>
        <item x="261"/>
        <item x="337"/>
        <item x="237"/>
        <item x="260"/>
        <item x="187"/>
        <item x="126"/>
        <item x="474"/>
        <item x="156"/>
        <item x="397"/>
        <item x="419"/>
        <item x="128"/>
        <item x="167"/>
        <item x="109"/>
        <item x="87"/>
        <item x="35"/>
        <item x="492"/>
        <item x="135"/>
        <item x="346"/>
        <item x="137"/>
        <item x="17"/>
        <item x="273"/>
        <item x="250"/>
        <item x="99"/>
        <item x="121"/>
        <item x="207"/>
        <item x="176"/>
        <item x="86"/>
        <item x="108"/>
        <item x="280"/>
        <item x="34"/>
        <item x="484"/>
        <item x="425"/>
        <item x="471"/>
        <item x="446"/>
        <item x="461"/>
        <item x="385"/>
        <item x="408"/>
        <item x="495"/>
        <item x="481"/>
        <item x="193"/>
        <item x="460"/>
        <item x="445"/>
        <item x="319"/>
        <item x="186"/>
        <item x="302"/>
        <item x="236"/>
        <item x="259"/>
        <item x="142"/>
        <item x="491"/>
        <item x="335"/>
        <item x="7"/>
        <item x="45"/>
        <item x="303"/>
        <item x="320"/>
        <item x="123"/>
        <item x="386"/>
        <item x="409"/>
        <item x="85"/>
        <item x="107"/>
        <item x="248"/>
        <item x="271"/>
        <item x="463"/>
        <item x="185"/>
        <item x="396"/>
        <item x="418"/>
        <item x="132"/>
        <item x="141"/>
        <item x="33"/>
        <item x="41"/>
        <item x="345"/>
        <item x="485"/>
        <item x="384"/>
        <item x="407"/>
        <item x="410"/>
        <item x="387"/>
        <item x="8"/>
        <item x="341"/>
        <item x="482"/>
        <item x="206"/>
        <item x="212"/>
        <item x="228"/>
        <item x="285"/>
        <item x="217"/>
        <item x="184"/>
        <item x="277"/>
        <item x="294"/>
        <item x="311"/>
        <item x="32"/>
        <item x="342"/>
        <item x="488"/>
        <item x="168"/>
        <item x="157"/>
        <item x="119"/>
        <item x="428"/>
        <item x="97"/>
        <item x="140"/>
        <item x="127"/>
        <item x="136"/>
        <item x="40"/>
        <item x="336"/>
        <item x="9"/>
        <item x="191"/>
        <item x="282"/>
        <item x="296"/>
        <item x="478"/>
        <item x="313"/>
        <item x="110"/>
        <item x="149"/>
        <item x="88"/>
        <item x="18"/>
        <item x="39"/>
        <item x="64"/>
        <item x="190"/>
        <item x="357"/>
        <item x="204"/>
        <item x="368"/>
        <item x="439"/>
        <item x="454"/>
        <item x="215"/>
        <item x="210"/>
        <item x="276"/>
        <item x="440"/>
        <item x="382"/>
        <item x="455"/>
        <item x="356"/>
        <item x="475"/>
        <item x="15"/>
        <item x="405"/>
        <item x="367"/>
        <item x="262"/>
        <item x="239"/>
        <item x="96"/>
        <item x="118"/>
        <item x="192"/>
        <item x="466"/>
        <item x="146"/>
        <item x="487"/>
        <item x="19"/>
        <item x="423"/>
        <item x="434"/>
        <item x="449"/>
        <item x="163"/>
        <item x="174"/>
        <item x="278"/>
        <item x="54"/>
        <item x="496"/>
        <item x="472"/>
        <item x="173"/>
        <item x="162"/>
        <item x="306"/>
        <item x="323"/>
        <item x="247"/>
        <item x="270"/>
        <item x="358"/>
        <item x="300"/>
        <item x="317"/>
        <item x="369"/>
        <item x="148"/>
        <item x="394"/>
        <item x="286"/>
        <item x="395"/>
        <item x="53"/>
        <item x="417"/>
        <item x="479"/>
        <item x="344"/>
        <item x="144"/>
        <item x="490"/>
        <item x="246"/>
        <item x="269"/>
        <item x="60"/>
        <item x="459"/>
        <item x="444"/>
        <item x="46"/>
        <item x="476"/>
        <item x="465"/>
        <item x="158"/>
        <item x="169"/>
        <item x="494"/>
        <item x="145"/>
        <item x="383"/>
        <item x="406"/>
        <item x="424"/>
        <item x="467"/>
        <item x="59"/>
        <item x="57"/>
        <item x="52"/>
        <item x="61"/>
        <item x="50"/>
        <item x="202"/>
        <item x="197"/>
        <item x="62"/>
        <item x="51"/>
        <item x="353"/>
        <item x="63"/>
        <item x="196"/>
        <item x="292"/>
        <item x="58"/>
        <item x="200"/>
        <item x="349"/>
        <item x="307"/>
        <item x="324"/>
        <item x="468"/>
        <item x="352"/>
        <item x="199"/>
        <item x="201"/>
        <item x="350"/>
        <item x="195"/>
        <item x="66"/>
        <item x="347"/>
        <item x="362"/>
        <item x="288"/>
        <item x="71"/>
        <item x="287"/>
        <item x="348"/>
        <item x="351"/>
        <item x="359"/>
        <item x="370"/>
        <item x="1"/>
        <item x="422"/>
        <item x="73"/>
        <item x="76"/>
        <item x="275"/>
        <item x="433"/>
        <item x="448"/>
        <item x="225"/>
        <item x="67"/>
        <item x="376"/>
        <item x="72"/>
        <item x="393"/>
        <item x="416"/>
        <item x="154"/>
        <item x="165"/>
        <item x="486"/>
        <item x="443"/>
        <item x="152"/>
        <item x="458"/>
        <item x="442"/>
        <item x="457"/>
        <item x="161"/>
        <item x="172"/>
        <item x="355"/>
        <item x="0"/>
        <item x="470"/>
        <item x="366"/>
        <item x="82"/>
        <item x="65"/>
        <item x="160"/>
        <item x="105"/>
        <item x="70"/>
        <item x="171"/>
        <item x="473"/>
        <item x="151"/>
        <item x="224"/>
        <item x="360"/>
        <item x="371"/>
        <item x="363"/>
        <item x="305"/>
        <item x="155"/>
        <item x="322"/>
        <item x="205"/>
        <item x="166"/>
        <item x="216"/>
        <item x="469"/>
        <item x="124"/>
        <item x="84"/>
        <item x="208"/>
        <item x="106"/>
        <item x="211"/>
        <item x="218"/>
        <item x="133"/>
        <item x="234"/>
        <item x="4"/>
        <item x="257"/>
        <item x="68"/>
        <item x="235"/>
        <item x="258"/>
        <item x="361"/>
        <item x="354"/>
        <item x="365"/>
        <item x="203"/>
        <item x="209"/>
        <item x="214"/>
        <item x="47"/>
        <item x="150"/>
        <item x="435"/>
        <item x="153"/>
        <item x="5"/>
        <item x="450"/>
        <item x="94"/>
        <item x="436"/>
        <item x="164"/>
        <item x="116"/>
        <item x="451"/>
        <item x="244"/>
        <item x="267"/>
        <item x="297"/>
        <item x="314"/>
        <item x="298"/>
        <item x="6"/>
        <item x="315"/>
        <item x="125"/>
        <item x="134"/>
        <item x="14"/>
        <item x="441"/>
        <item x="456"/>
        <item x="392"/>
        <item x="415"/>
        <item x="232"/>
        <item x="31"/>
        <item x="255"/>
        <item x="231"/>
        <item x="254"/>
        <item x="75"/>
        <item x="80"/>
        <item x="103"/>
        <item x="43"/>
        <item x="379"/>
        <item x="122"/>
        <item x="402"/>
        <item x="95"/>
        <item x="131"/>
        <item x="245"/>
        <item x="117"/>
        <item x="268"/>
        <item x="79"/>
        <item x="102"/>
        <item x="143"/>
        <item x="291"/>
        <item x="432"/>
        <item x="447"/>
        <item x="27"/>
        <item x="380"/>
        <item x="30"/>
        <item x="230"/>
        <item x="403"/>
        <item x="391"/>
        <item x="253"/>
        <item x="414"/>
        <item x="290"/>
        <item x="13"/>
        <item x="295"/>
        <item x="312"/>
        <item x="78"/>
        <item x="378"/>
        <item x="16"/>
        <item x="101"/>
        <item x="401"/>
        <item x="381"/>
        <item x="243"/>
        <item x="404"/>
        <item x="266"/>
        <item x="3"/>
        <item x="22"/>
        <item x="21"/>
        <item x="179"/>
        <item x="25"/>
        <item x="93"/>
        <item x="115"/>
        <item x="12"/>
        <item x="304"/>
        <item x="321"/>
        <item x="181"/>
        <item x="81"/>
        <item x="375"/>
        <item x="104"/>
        <item x="23"/>
        <item x="227"/>
        <item x="11"/>
        <item x="289"/>
        <item x="293"/>
        <item x="310"/>
        <item x="44"/>
        <item x="462"/>
        <item x="92"/>
        <item x="114"/>
        <item x="233"/>
        <item x="331"/>
        <item x="256"/>
        <item x="374"/>
        <item x="390"/>
        <item x="413"/>
        <item x="28"/>
        <item x="49"/>
        <item x="242"/>
        <item x="265"/>
        <item x="194"/>
        <item x="343"/>
        <item x="226"/>
        <item x="42"/>
        <item x="38"/>
        <item x="334"/>
        <item x="182"/>
        <item x="29"/>
        <item x="340"/>
        <item x="183"/>
        <item x="377"/>
        <item x="364"/>
        <item x="400"/>
        <item x="180"/>
        <item x="26"/>
        <item x="333"/>
        <item x="24"/>
        <item x="332"/>
        <item x="77"/>
        <item x="74"/>
        <item x="100"/>
        <item x="20"/>
        <item x="229"/>
        <item x="213"/>
        <item x="252"/>
        <item x="69"/>
        <item x="147"/>
        <item x="56"/>
        <item t="default"/>
      </items>
    </pivotField>
  </pivotFields>
  <rowFields count="1">
    <field x="-2"/>
  </rowFields>
  <row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rowItems>
  <colFields count="1">
    <field x="4"/>
  </colFields>
  <colItems count="8">
    <i>
      <x v="8"/>
    </i>
    <i>
      <x v="9"/>
    </i>
    <i>
      <x v="11"/>
    </i>
    <i>
      <x v="12"/>
    </i>
    <i>
      <x v="19"/>
    </i>
    <i>
      <x v="26"/>
    </i>
    <i>
      <x v="32"/>
    </i>
    <i t="grand">
      <x/>
    </i>
  </colItems>
  <pageFields count="4">
    <pageField fld="0"/>
    <pageField fld="1"/>
    <pageField fld="2"/>
    <pageField fld="3"/>
  </pageFields>
  <dataFields count="12">
    <dataField name="2025年1月" fld="5" baseField="0" baseItem="0"/>
    <dataField name="2025年2月" fld="6" baseField="0" baseItem="0"/>
    <dataField name="2025年3月" fld="7" baseField="0" baseItem="0"/>
    <dataField name="2025年4月" fld="8" baseField="0" baseItem="0"/>
    <dataField name="2025年5月" fld="9" baseField="0" baseItem="0"/>
    <dataField name="2025年6月" fld="10" baseField="0" baseItem="0"/>
    <dataField name="2025年7月" fld="11" baseField="0" baseItem="0"/>
    <dataField name="2025年8月" fld="12" baseField="0" baseItem="0"/>
    <dataField name="2025年9月" fld="13" baseField="0" baseItem="0"/>
    <dataField name="2025年10月" fld="14" baseField="0" baseItem="0"/>
    <dataField name="2025年11月" fld="15" baseField="0" baseItem="0"/>
    <dataField name="2025年12月" fld="16" baseField="0" baseItem="0"/>
  </dataFields>
  <pivotTableStyleInfo showRowHeaders="1" showColHeaders="1" showLastColumn="1"/>
</pivotTableDefinition>
</file>

<file path=xl/pivotTables/pivotTable3.xml><?xml version="1.0" encoding="utf-8"?>
<pivotTableDefinition xmlns="http://schemas.openxmlformats.org/spreadsheetml/2006/main" name="2025统计 3" cacheId="0" dataOnRows="1" autoFormatId="1" applyNumberFormats="0" applyBorderFormats="0" applyFontFormats="0" applyPatternFormats="0" applyAlignmentFormats="0" applyWidthHeightFormats="1" dataCaption="" updatedVersion="5" compact="0" compactData="0" showDrill="1">
  <location ref="U7:AA20" firstHeaderRow="1" firstDataRow="2" firstDataCol="1" rowPageCount="4" colPageCount="1"/>
  <pivotFields count="17">
    <pivotField axis="axisPage" compact="0" outline="0" multipleItemSelectionAllowed="1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Page" compact="0" outline="0" multipleItemSelectionAllowed="1" showAll="0">
      <items count="4">
        <item h="1" x="0"/>
        <item x="1"/>
        <item h="1" x="2"/>
        <item t="default"/>
      </items>
    </pivotField>
    <pivotField axis="axisPage" compact="0" outline="0" multipleItemSelectionAllowed="1" showAll="0">
      <items count="11">
        <item h="1" x="0"/>
        <item h="1" x="1"/>
        <item h="1" x="2"/>
        <item h="1" x="3"/>
        <item h="1" x="4"/>
        <item h="1" x="5"/>
        <item h="1" x="6"/>
        <item h="1" x="7"/>
        <item x="8"/>
        <item h="1" x="9"/>
        <item t="default"/>
      </items>
    </pivotField>
    <pivotField axis="axisPage" compact="0" outline="0" multipleItemSelectionAllowed="1" showAll="0">
      <items count="18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x="14"/>
        <item h="1" x="15"/>
        <item h="1" x="16"/>
        <item t="default"/>
      </items>
    </pivotField>
    <pivotField axis="axisCol" compact="0" outline="0" multipleItemSelectionAllowed="1" showAll="0">
      <items count="43">
        <item h="1" x="22"/>
        <item h="1" x="25"/>
        <item h="1" x="28"/>
        <item h="1" x="13"/>
        <item h="1" x="19"/>
        <item h="1" x="34"/>
        <item h="1" x="18"/>
        <item h="1" x="41"/>
        <item h="1" x="4"/>
        <item h="1" x="21"/>
        <item h="1" x="3"/>
        <item h="1" x="1"/>
        <item x="8"/>
        <item x="9"/>
        <item h="1" x="16"/>
        <item h="1" x="39"/>
        <item h="1" x="17"/>
        <item h="1" x="40"/>
        <item h="1" x="5"/>
        <item x="10"/>
        <item h="1" x="32"/>
        <item h="1" x="30"/>
        <item h="1" x="31"/>
        <item h="1" x="24"/>
        <item h="1" x="27"/>
        <item h="1" x="6"/>
        <item h="1" x="0"/>
        <item h="1" x="15"/>
        <item x="11"/>
        <item x="12"/>
        <item h="1" x="33"/>
        <item h="1" x="7"/>
        <item h="1" x="23"/>
        <item h="1" x="26"/>
        <item h="1" x="29"/>
        <item h="1" x="14"/>
        <item h="1" x="20"/>
        <item h="1" x="35"/>
        <item h="1" x="38"/>
        <item h="1" x="36"/>
        <item h="1" x="37"/>
        <item h="1" x="2"/>
        <item t="default"/>
      </items>
    </pivotField>
    <pivotField dataField="1" compact="0" outline="0" multipleItemSelectionAllowed="1" showAll="0">
      <items count="114">
        <item x="1"/>
        <item x="96"/>
        <item x="56"/>
        <item x="112"/>
        <item x="29"/>
        <item x="25"/>
        <item x="58"/>
        <item x="59"/>
        <item x="77"/>
        <item x="97"/>
        <item x="55"/>
        <item x="110"/>
        <item x="109"/>
        <item x="104"/>
        <item x="111"/>
        <item x="14"/>
        <item x="64"/>
        <item x="70"/>
        <item x="98"/>
        <item x="65"/>
        <item x="71"/>
        <item x="88"/>
        <item x="84"/>
        <item x="94"/>
        <item x="95"/>
        <item x="27"/>
        <item x="31"/>
        <item x="72"/>
        <item x="66"/>
        <item x="34"/>
        <item x="35"/>
        <item x="68"/>
        <item x="62"/>
        <item x="7"/>
        <item x="57"/>
        <item x="28"/>
        <item x="32"/>
        <item x="54"/>
        <item x="8"/>
        <item x="102"/>
        <item x="107"/>
        <item x="40"/>
        <item x="50"/>
        <item x="41"/>
        <item x="51"/>
        <item x="105"/>
        <item x="100"/>
        <item x="6"/>
        <item x="30"/>
        <item x="26"/>
        <item x="101"/>
        <item x="106"/>
        <item x="36"/>
        <item x="108"/>
        <item x="103"/>
        <item x="63"/>
        <item x="69"/>
        <item x="9"/>
        <item x="12"/>
        <item x="78"/>
        <item x="45"/>
        <item x="42"/>
        <item x="52"/>
        <item x="67"/>
        <item x="73"/>
        <item x="3"/>
        <item x="38"/>
        <item x="48"/>
        <item x="82"/>
        <item x="92"/>
        <item x="86"/>
        <item x="16"/>
        <item x="21"/>
        <item x="80"/>
        <item x="90"/>
        <item x="61"/>
        <item x="81"/>
        <item x="91"/>
        <item x="83"/>
        <item x="93"/>
        <item x="87"/>
        <item x="2"/>
        <item x="23"/>
        <item x="24"/>
        <item x="17"/>
        <item x="22"/>
        <item x="5"/>
        <item x="79"/>
        <item x="99"/>
        <item x="89"/>
        <item x="85"/>
        <item x="39"/>
        <item x="49"/>
        <item x="60"/>
        <item x="4"/>
        <item x="43"/>
        <item x="53"/>
        <item x="15"/>
        <item x="20"/>
        <item x="46"/>
        <item x="33"/>
        <item x="37"/>
        <item x="47"/>
        <item x="44"/>
        <item x="0"/>
        <item x="75"/>
        <item x="74"/>
        <item x="76"/>
        <item x="13"/>
        <item x="19"/>
        <item x="18"/>
        <item x="10"/>
        <item x="11"/>
        <item t="default"/>
      </items>
    </pivotField>
    <pivotField dataField="1" compact="0" outline="0" multipleItemSelectionAllowed="1" showAll="0">
      <items count="162">
        <item x="1"/>
        <item x="152"/>
        <item x="98"/>
        <item x="160"/>
        <item x="100"/>
        <item x="25"/>
        <item x="101"/>
        <item x="105"/>
        <item x="147"/>
        <item x="135"/>
        <item x="150"/>
        <item x="97"/>
        <item x="157"/>
        <item x="155"/>
        <item x="119"/>
        <item x="149"/>
        <item x="153"/>
        <item x="51"/>
        <item x="39"/>
        <item x="45"/>
        <item x="33"/>
        <item x="156"/>
        <item x="35"/>
        <item x="47"/>
        <item x="154"/>
        <item x="77"/>
        <item x="90"/>
        <item x="151"/>
        <item x="118"/>
        <item x="78"/>
        <item x="91"/>
        <item x="131"/>
        <item x="143"/>
        <item x="61"/>
        <item x="36"/>
        <item x="48"/>
        <item x="94"/>
        <item x="81"/>
        <item x="9"/>
        <item x="145"/>
        <item x="133"/>
        <item x="148"/>
        <item x="62"/>
        <item x="88"/>
        <item x="75"/>
        <item x="11"/>
        <item x="107"/>
        <item x="146"/>
        <item x="134"/>
        <item x="99"/>
        <item x="96"/>
        <item x="140"/>
        <item x="128"/>
        <item x="8"/>
        <item x="24"/>
        <item x="27"/>
        <item x="121"/>
        <item x="158"/>
        <item x="112"/>
        <item x="73"/>
        <item x="117"/>
        <item x="86"/>
        <item x="74"/>
        <item x="87"/>
        <item x="123"/>
        <item x="38"/>
        <item x="50"/>
        <item x="40"/>
        <item x="52"/>
        <item x="10"/>
        <item x="132"/>
        <item x="144"/>
        <item x="63"/>
        <item x="159"/>
        <item x="76"/>
        <item x="89"/>
        <item x="64"/>
        <item x="127"/>
        <item x="139"/>
        <item x="108"/>
        <item x="46"/>
        <item x="34"/>
        <item x="66"/>
        <item x="19"/>
        <item x="16"/>
        <item x="14"/>
        <item x="79"/>
        <item x="92"/>
        <item x="65"/>
        <item x="82"/>
        <item x="95"/>
        <item x="12"/>
        <item x="29"/>
        <item x="109"/>
        <item x="0"/>
        <item x="71"/>
        <item x="84"/>
        <item x="129"/>
        <item x="141"/>
        <item x="31"/>
        <item x="43"/>
        <item x="69"/>
        <item x="59"/>
        <item x="58"/>
        <item x="60"/>
        <item x="130"/>
        <item x="142"/>
        <item x="2"/>
        <item x="54"/>
        <item x="126"/>
        <item x="138"/>
        <item x="56"/>
        <item x="53"/>
        <item x="55"/>
        <item x="32"/>
        <item x="44"/>
        <item x="111"/>
        <item x="116"/>
        <item x="120"/>
        <item x="5"/>
        <item x="110"/>
        <item x="72"/>
        <item x="113"/>
        <item x="115"/>
        <item x="85"/>
        <item x="68"/>
        <item x="3"/>
        <item x="125"/>
        <item x="137"/>
        <item x="80"/>
        <item x="93"/>
        <item x="6"/>
        <item x="70"/>
        <item x="83"/>
        <item x="67"/>
        <item x="122"/>
        <item x="7"/>
        <item x="124"/>
        <item x="136"/>
        <item x="114"/>
        <item x="4"/>
        <item x="102"/>
        <item x="103"/>
        <item x="104"/>
        <item x="106"/>
        <item x="37"/>
        <item x="49"/>
        <item x="17"/>
        <item x="23"/>
        <item x="20"/>
        <item x="15"/>
        <item x="22"/>
        <item x="18"/>
        <item x="30"/>
        <item x="42"/>
        <item x="28"/>
        <item x="41"/>
        <item x="26"/>
        <item x="21"/>
        <item x="57"/>
        <item x="13"/>
        <item t="default"/>
      </items>
    </pivotField>
    <pivotField dataField="1" compact="0" outline="0" multipleItemSelectionAllowed="1" showAll="0">
      <items count="209">
        <item x="3"/>
        <item x="172"/>
        <item x="117"/>
        <item x="26"/>
        <item x="29"/>
        <item x="189"/>
        <item x="207"/>
        <item x="156"/>
        <item x="142"/>
        <item x="119"/>
        <item x="50"/>
        <item x="35"/>
        <item x="165"/>
        <item x="151"/>
        <item x="62"/>
        <item x="66"/>
        <item x="120"/>
        <item x="135"/>
        <item x="124"/>
        <item x="169"/>
        <item x="196"/>
        <item x="84"/>
        <item x="190"/>
        <item x="188"/>
        <item x="179"/>
        <item x="206"/>
        <item x="198"/>
        <item x="51"/>
        <item x="36"/>
        <item x="171"/>
        <item x="167"/>
        <item x="116"/>
        <item x="59"/>
        <item x="44"/>
        <item x="204"/>
        <item x="130"/>
        <item x="38"/>
        <item x="53"/>
        <item x="186"/>
        <item x="95"/>
        <item x="109"/>
        <item x="170"/>
        <item x="197"/>
        <item x="168"/>
        <item x="147"/>
        <item x="161"/>
        <item x="191"/>
        <item x="183"/>
        <item x="125"/>
        <item x="199"/>
        <item x="176"/>
        <item x="193"/>
        <item x="112"/>
        <item x="98"/>
        <item x="163"/>
        <item x="149"/>
        <item x="12"/>
        <item x="73"/>
        <item x="100"/>
        <item x="114"/>
        <item x="39"/>
        <item x="54"/>
        <item x="205"/>
        <item x="75"/>
        <item x="180"/>
        <item x="106"/>
        <item x="92"/>
        <item x="166"/>
        <item x="23"/>
        <item x="16"/>
        <item x="22"/>
        <item x="25"/>
        <item x="94"/>
        <item x="108"/>
        <item x="164"/>
        <item x="150"/>
        <item x="5"/>
        <item x="157"/>
        <item x="143"/>
        <item x="200"/>
        <item x="13"/>
        <item x="118"/>
        <item x="115"/>
        <item x="74"/>
        <item x="64"/>
        <item x="68"/>
        <item x="181"/>
        <item x="177"/>
        <item x="15"/>
        <item x="14"/>
        <item x="185"/>
        <item x="182"/>
        <item x="192"/>
        <item x="91"/>
        <item x="105"/>
        <item x="43"/>
        <item x="58"/>
        <item x="45"/>
        <item x="60"/>
        <item x="202"/>
        <item x="194"/>
        <item x="18"/>
        <item x="107"/>
        <item x="93"/>
        <item x="78"/>
        <item x="184"/>
        <item x="21"/>
        <item x="201"/>
        <item x="178"/>
        <item x="79"/>
        <item x="148"/>
        <item x="162"/>
        <item x="187"/>
        <item x="17"/>
        <item x="195"/>
        <item x="20"/>
        <item x="173"/>
        <item x="99"/>
        <item x="113"/>
        <item x="174"/>
        <item x="52"/>
        <item x="37"/>
        <item x="141"/>
        <item x="155"/>
        <item x="203"/>
        <item x="6"/>
        <item x="127"/>
        <item x="96"/>
        <item x="110"/>
        <item x="31"/>
        <item x="81"/>
        <item x="80"/>
        <item x="126"/>
        <item x="83"/>
        <item x="28"/>
        <item x="41"/>
        <item x="56"/>
        <item x="1"/>
        <item x="88"/>
        <item x="102"/>
        <item x="145"/>
        <item x="159"/>
        <item x="33"/>
        <item x="48"/>
        <item x="90"/>
        <item x="104"/>
        <item x="70"/>
        <item x="129"/>
        <item x="134"/>
        <item x="131"/>
        <item x="128"/>
        <item x="71"/>
        <item x="133"/>
        <item x="72"/>
        <item x="146"/>
        <item x="160"/>
        <item x="4"/>
        <item x="63"/>
        <item x="140"/>
        <item x="154"/>
        <item x="67"/>
        <item x="137"/>
        <item x="86"/>
        <item x="61"/>
        <item x="65"/>
        <item x="34"/>
        <item x="49"/>
        <item x="2"/>
        <item x="89"/>
        <item x="103"/>
        <item x="85"/>
        <item x="0"/>
        <item x="97"/>
        <item x="111"/>
        <item x="144"/>
        <item x="158"/>
        <item x="9"/>
        <item x="139"/>
        <item x="153"/>
        <item x="136"/>
        <item x="87"/>
        <item x="7"/>
        <item x="101"/>
        <item x="82"/>
        <item x="11"/>
        <item x="121"/>
        <item x="122"/>
        <item x="123"/>
        <item x="138"/>
        <item x="175"/>
        <item x="152"/>
        <item x="132"/>
        <item x="40"/>
        <item x="55"/>
        <item x="42"/>
        <item x="57"/>
        <item x="10"/>
        <item x="77"/>
        <item x="8"/>
        <item x="76"/>
        <item x="32"/>
        <item x="47"/>
        <item x="30"/>
        <item x="46"/>
        <item x="27"/>
        <item x="24"/>
        <item x="69"/>
        <item x="19"/>
        <item t="default"/>
      </items>
    </pivotField>
    <pivotField dataField="1" compact="0" outline="0" multipleItemSelectionAllowed="1" showAll="0">
      <items count="296">
        <item x="3"/>
        <item x="262"/>
        <item x="50"/>
        <item x="292"/>
        <item x="144"/>
        <item x="245"/>
        <item x="230"/>
        <item x="57"/>
        <item x="270"/>
        <item x="184"/>
        <item x="166"/>
        <item x="98"/>
        <item x="103"/>
        <item x="222"/>
        <item x="204"/>
        <item x="293"/>
        <item x="190"/>
        <item x="141"/>
        <item x="203"/>
        <item x="199"/>
        <item x="187"/>
        <item x="259"/>
        <item x="274"/>
        <item x="191"/>
        <item x="294"/>
        <item x="49"/>
        <item x="56"/>
        <item x="47"/>
        <item x="165"/>
        <item x="183"/>
        <item x="285"/>
        <item x="278"/>
        <item x="54"/>
        <item x="255"/>
        <item x="240"/>
        <item x="74"/>
        <item x="64"/>
        <item x="82"/>
        <item x="92"/>
        <item x="291"/>
        <item x="156"/>
        <item x="174"/>
        <item x="289"/>
        <item x="227"/>
        <item x="67"/>
        <item x="85"/>
        <item x="261"/>
        <item x="257"/>
        <item x="158"/>
        <item x="176"/>
        <item x="142"/>
        <item x="113"/>
        <item x="267"/>
        <item x="48"/>
        <item x="268"/>
        <item x="260"/>
        <item x="55"/>
        <item x="275"/>
        <item x="91"/>
        <item x="73"/>
        <item x="18"/>
        <item x="139"/>
        <item x="258"/>
        <item x="95"/>
        <item x="207"/>
        <item x="100"/>
        <item x="284"/>
        <item x="282"/>
        <item x="159"/>
        <item x="286"/>
        <item x="177"/>
        <item x="238"/>
        <item x="21"/>
        <item x="253"/>
        <item x="279"/>
        <item x="117"/>
        <item x="155"/>
        <item x="173"/>
        <item x="68"/>
        <item x="86"/>
        <item x="112"/>
        <item x="288"/>
        <item x="83"/>
        <item x="65"/>
        <item x="290"/>
        <item x="108"/>
        <item x="192"/>
        <item x="194"/>
        <item x="17"/>
        <item x="276"/>
        <item x="209"/>
        <item x="239"/>
        <item x="254"/>
        <item x="256"/>
        <item x="111"/>
        <item x="247"/>
        <item x="232"/>
        <item x="231"/>
        <item x="246"/>
        <item x="271"/>
        <item x="154"/>
        <item x="172"/>
        <item x="265"/>
        <item x="115"/>
        <item x="280"/>
        <item x="7"/>
        <item x="206"/>
        <item x="118"/>
        <item x="164"/>
        <item x="182"/>
        <item x="216"/>
        <item x="127"/>
        <item x="211"/>
        <item x="116"/>
        <item x="143"/>
        <item x="140"/>
        <item x="189"/>
        <item x="10"/>
        <item x="97"/>
        <item x="102"/>
        <item x="277"/>
        <item x="186"/>
        <item x="266"/>
        <item x="188"/>
        <item x="236"/>
        <item x="251"/>
        <item x="27"/>
        <item x="185"/>
        <item x="93"/>
        <item x="75"/>
        <item x="16"/>
        <item x="175"/>
        <item x="157"/>
        <item x="208"/>
        <item x="72"/>
        <item x="90"/>
        <item x="114"/>
        <item x="283"/>
        <item x="272"/>
        <item x="6"/>
        <item x="281"/>
        <item x="20"/>
        <item x="229"/>
        <item x="244"/>
        <item x="24"/>
        <item x="84"/>
        <item x="66"/>
        <item x="181"/>
        <item x="163"/>
        <item x="237"/>
        <item x="252"/>
        <item x="9"/>
        <item x="287"/>
        <item x="30"/>
        <item x="269"/>
        <item x="263"/>
        <item x="31"/>
        <item x="273"/>
        <item x="264"/>
        <item x="33"/>
        <item x="23"/>
        <item x="43"/>
        <item x="213"/>
        <item x="39"/>
        <item x="212"/>
        <item x="28"/>
        <item x="25"/>
        <item x="29"/>
        <item x="119"/>
        <item x="162"/>
        <item x="180"/>
        <item x="36"/>
        <item x="40"/>
        <item x="59"/>
        <item x="77"/>
        <item x="46"/>
        <item x="198"/>
        <item x="202"/>
        <item x="2"/>
        <item x="38"/>
        <item x="234"/>
        <item x="249"/>
        <item x="35"/>
        <item x="45"/>
        <item x="123"/>
        <item x="135"/>
        <item x="62"/>
        <item x="80"/>
        <item x="152"/>
        <item x="170"/>
        <item x="105"/>
        <item x="153"/>
        <item x="106"/>
        <item x="171"/>
        <item x="218"/>
        <item x="107"/>
        <item x="215"/>
        <item x="51"/>
        <item x="70"/>
        <item x="221"/>
        <item x="88"/>
        <item x="235"/>
        <item x="250"/>
        <item x="4"/>
        <item x="217"/>
        <item x="214"/>
        <item x="96"/>
        <item x="220"/>
        <item x="228"/>
        <item x="53"/>
        <item x="243"/>
        <item x="101"/>
        <item x="34"/>
        <item x="44"/>
        <item x="94"/>
        <item x="99"/>
        <item x="124"/>
        <item x="136"/>
        <item x="63"/>
        <item x="81"/>
        <item x="37"/>
        <item x="32"/>
        <item x="42"/>
        <item x="60"/>
        <item x="1"/>
        <item x="78"/>
        <item x="126"/>
        <item x="138"/>
        <item x="130"/>
        <item x="151"/>
        <item x="169"/>
        <item x="224"/>
        <item x="145"/>
        <item x="5"/>
        <item x="121"/>
        <item x="133"/>
        <item x="0"/>
        <item x="150"/>
        <item x="168"/>
        <item x="226"/>
        <item x="242"/>
        <item x="223"/>
        <item x="12"/>
        <item x="233"/>
        <item x="248"/>
        <item x="8"/>
        <item x="161"/>
        <item x="195"/>
        <item x="197"/>
        <item x="179"/>
        <item x="201"/>
        <item x="193"/>
        <item x="196"/>
        <item x="200"/>
        <item x="147"/>
        <item x="22"/>
        <item x="71"/>
        <item x="89"/>
        <item x="19"/>
        <item x="69"/>
        <item x="87"/>
        <item x="225"/>
        <item x="210"/>
        <item x="219"/>
        <item x="241"/>
        <item x="205"/>
        <item x="122"/>
        <item x="134"/>
        <item x="15"/>
        <item x="14"/>
        <item x="61"/>
        <item x="79"/>
        <item x="110"/>
        <item x="13"/>
        <item x="146"/>
        <item x="129"/>
        <item x="11"/>
        <item x="125"/>
        <item x="137"/>
        <item x="160"/>
        <item x="178"/>
        <item x="148"/>
        <item x="109"/>
        <item x="128"/>
        <item x="120"/>
        <item x="132"/>
        <item x="58"/>
        <item x="52"/>
        <item x="76"/>
        <item x="41"/>
        <item x="149"/>
        <item x="131"/>
        <item x="167"/>
        <item x="104"/>
        <item x="26"/>
        <item t="default"/>
      </items>
    </pivotField>
    <pivotField dataField="1" compact="0" outline="0" multipleItemSelectionAllowed="1" showAll="0">
      <items count="346">
        <item x="1"/>
        <item x="303"/>
        <item x="342"/>
        <item x="319"/>
        <item x="51"/>
        <item x="61"/>
        <item x="157"/>
        <item x="202"/>
        <item x="257"/>
        <item x="181"/>
        <item x="49"/>
        <item x="59"/>
        <item x="224"/>
        <item x="70"/>
        <item x="90"/>
        <item x="343"/>
        <item x="209"/>
        <item x="223"/>
        <item x="158"/>
        <item x="218"/>
        <item x="296"/>
        <item x="279"/>
        <item x="203"/>
        <item x="182"/>
        <item x="315"/>
        <item x="210"/>
        <item x="255"/>
        <item x="344"/>
        <item x="180"/>
        <item x="201"/>
        <item x="300"/>
        <item x="50"/>
        <item x="60"/>
        <item x="48"/>
        <item x="106"/>
        <item x="58"/>
        <item x="72"/>
        <item x="92"/>
        <item x="114"/>
        <item x="109"/>
        <item x="117"/>
        <item x="171"/>
        <item x="192"/>
        <item x="46"/>
        <item x="341"/>
        <item x="57"/>
        <item x="314"/>
        <item x="14"/>
        <item x="173"/>
        <item x="194"/>
        <item x="156"/>
        <item x="317"/>
        <item x="327"/>
        <item x="301"/>
        <item x="324"/>
        <item x="80"/>
        <item x="100"/>
        <item x="313"/>
        <item x="206"/>
        <item x="323"/>
        <item x="332"/>
        <item x="316"/>
        <item x="73"/>
        <item x="108"/>
        <item x="93"/>
        <item x="234"/>
        <item x="302"/>
        <item x="298"/>
        <item x="155"/>
        <item x="116"/>
        <item x="335"/>
        <item x="334"/>
        <item x="256"/>
        <item x="230"/>
        <item x="277"/>
        <item x="294"/>
        <item x="329"/>
        <item x="336"/>
        <item x="278"/>
        <item x="295"/>
        <item x="328"/>
        <item x="254"/>
        <item x="128"/>
        <item x="69"/>
        <item x="89"/>
        <item x="174"/>
        <item x="195"/>
        <item x="339"/>
        <item x="338"/>
        <item x="68"/>
        <item x="137"/>
        <item x="88"/>
        <item x="340"/>
        <item x="269"/>
        <item x="286"/>
        <item x="138"/>
        <item x="122"/>
        <item x="103"/>
        <item x="214"/>
        <item x="221"/>
        <item x="170"/>
        <item x="191"/>
        <item x="111"/>
        <item x="21"/>
        <item x="23"/>
        <item x="15"/>
        <item x="307"/>
        <item x="299"/>
        <item x="18"/>
        <item x="325"/>
        <item x="227"/>
        <item x="169"/>
        <item x="190"/>
        <item x="134"/>
        <item x="330"/>
        <item x="288"/>
        <item x="271"/>
        <item x="235"/>
        <item x="99"/>
        <item x="79"/>
        <item x="131"/>
        <item x="320"/>
        <item x="127"/>
        <item x="287"/>
        <item x="270"/>
        <item x="81"/>
        <item x="101"/>
        <item x="133"/>
        <item x="179"/>
        <item x="200"/>
        <item x="12"/>
        <item x="297"/>
        <item x="262"/>
        <item x="161"/>
        <item x="19"/>
        <item x="144"/>
        <item x="154"/>
        <item x="208"/>
        <item x="268"/>
        <item x="285"/>
        <item x="24"/>
        <item x="147"/>
        <item x="107"/>
        <item x="115"/>
        <item x="13"/>
        <item x="308"/>
        <item x="326"/>
        <item x="205"/>
        <item x="16"/>
        <item x="78"/>
        <item x="98"/>
        <item x="207"/>
        <item x="275"/>
        <item x="292"/>
        <item x="130"/>
        <item x="193"/>
        <item x="172"/>
        <item x="309"/>
        <item x="27"/>
        <item x="17"/>
        <item x="40"/>
        <item x="143"/>
        <item x="331"/>
        <item x="153"/>
        <item x="28"/>
        <item x="41"/>
        <item x="204"/>
        <item x="132"/>
        <item x="333"/>
        <item x="321"/>
        <item x="146"/>
        <item x="228"/>
        <item x="20"/>
        <item x="310"/>
        <item x="91"/>
        <item x="142"/>
        <item x="71"/>
        <item x="152"/>
        <item x="337"/>
        <item x="148"/>
        <item x="199"/>
        <item x="178"/>
        <item x="243"/>
        <item x="253"/>
        <item x="211"/>
        <item x="246"/>
        <item x="304"/>
        <item x="305"/>
        <item x="233"/>
        <item x="276"/>
        <item x="293"/>
        <item x="318"/>
        <item x="141"/>
        <item x="151"/>
        <item x="322"/>
        <item x="236"/>
        <item x="136"/>
        <item x="231"/>
        <item x="312"/>
        <item x="232"/>
        <item x="177"/>
        <item x="229"/>
        <item x="198"/>
        <item x="237"/>
        <item x="311"/>
        <item x="139"/>
        <item x="135"/>
        <item x="217"/>
        <item x="222"/>
        <item x="0"/>
        <item x="66"/>
        <item x="86"/>
        <item x="165"/>
        <item x="186"/>
        <item x="140"/>
        <item x="150"/>
        <item x="145"/>
        <item x="32"/>
        <item x="44"/>
        <item x="36"/>
        <item x="119"/>
        <item x="167"/>
        <item x="120"/>
        <item x="188"/>
        <item x="121"/>
        <item x="34"/>
        <item x="30"/>
        <item x="273"/>
        <item x="42"/>
        <item x="290"/>
        <item x="274"/>
        <item x="291"/>
        <item x="3"/>
        <item x="104"/>
        <item x="112"/>
        <item x="241"/>
        <item x="251"/>
        <item x="239"/>
        <item x="249"/>
        <item x="265"/>
        <item x="76"/>
        <item x="282"/>
        <item x="96"/>
        <item x="53"/>
        <item x="67"/>
        <item x="87"/>
        <item x="26"/>
        <item x="39"/>
        <item x="240"/>
        <item x="250"/>
        <item x="4"/>
        <item x="258"/>
        <item x="168"/>
        <item x="189"/>
        <item x="64"/>
        <item x="84"/>
        <item x="63"/>
        <item x="83"/>
        <item x="47"/>
        <item x="164"/>
        <item x="5"/>
        <item x="105"/>
        <item x="113"/>
        <item x="45"/>
        <item x="56"/>
        <item x="185"/>
        <item x="267"/>
        <item x="284"/>
        <item x="259"/>
        <item x="55"/>
        <item x="266"/>
        <item x="283"/>
        <item x="2"/>
        <item x="29"/>
        <item x="163"/>
        <item x="184"/>
        <item x="264"/>
        <item x="281"/>
        <item x="9"/>
        <item x="31"/>
        <item x="43"/>
        <item x="102"/>
        <item x="110"/>
        <item x="242"/>
        <item x="245"/>
        <item x="7"/>
        <item x="252"/>
        <item x="213"/>
        <item x="216"/>
        <item x="238"/>
        <item x="244"/>
        <item x="220"/>
        <item x="212"/>
        <item x="215"/>
        <item x="248"/>
        <item x="176"/>
        <item x="75"/>
        <item x="219"/>
        <item x="95"/>
        <item x="197"/>
        <item x="124"/>
        <item x="261"/>
        <item x="77"/>
        <item x="97"/>
        <item x="260"/>
        <item x="225"/>
        <item x="25"/>
        <item x="38"/>
        <item x="159"/>
        <item x="35"/>
        <item x="22"/>
        <item x="52"/>
        <item x="226"/>
        <item x="166"/>
        <item x="187"/>
        <item x="74"/>
        <item x="94"/>
        <item x="306"/>
        <item x="11"/>
        <item x="33"/>
        <item x="272"/>
        <item x="289"/>
        <item x="125"/>
        <item x="129"/>
        <item x="10"/>
        <item x="8"/>
        <item x="175"/>
        <item x="160"/>
        <item x="263"/>
        <item x="196"/>
        <item x="247"/>
        <item x="280"/>
        <item x="126"/>
        <item x="65"/>
        <item x="85"/>
        <item x="123"/>
        <item x="162"/>
        <item x="149"/>
        <item x="183"/>
        <item x="62"/>
        <item x="82"/>
        <item x="54"/>
        <item x="37"/>
        <item x="118"/>
        <item x="6"/>
        <item t="default"/>
      </items>
    </pivotField>
    <pivotField dataField="1" compact="0" outline="0" multipleItemSelectionAllowed="1" showAll="0">
      <items count="361">
        <item x="3"/>
        <item x="221"/>
        <item x="322"/>
        <item x="276"/>
        <item x="85"/>
        <item x="63"/>
        <item x="220"/>
        <item x="150"/>
        <item x="46"/>
        <item x="50"/>
        <item x="358"/>
        <item x="47"/>
        <item x="151"/>
        <item x="103"/>
        <item x="112"/>
        <item x="235"/>
        <item x="227"/>
        <item x="201"/>
        <item x="239"/>
        <item x="178"/>
        <item x="60"/>
        <item x="82"/>
        <item x="315"/>
        <item x="357"/>
        <item x="298"/>
        <item x="208"/>
        <item x="206"/>
        <item x="275"/>
        <item x="42"/>
        <item x="209"/>
        <item x="359"/>
        <item x="176"/>
        <item x="199"/>
        <item x="165"/>
        <item x="188"/>
        <item x="319"/>
        <item x="39"/>
        <item x="99"/>
        <item x="62"/>
        <item x="84"/>
        <item x="167"/>
        <item x="190"/>
        <item x="108"/>
        <item x="17"/>
        <item x="102"/>
        <item x="111"/>
        <item x="346"/>
        <item x="333"/>
        <item x="341"/>
        <item x="343"/>
        <item x="356"/>
        <item x="342"/>
        <item x="246"/>
        <item x="320"/>
        <item x="71"/>
        <item x="338"/>
        <item x="93"/>
        <item x="168"/>
        <item x="191"/>
        <item x="353"/>
        <item x="352"/>
        <item x="327"/>
        <item x="204"/>
        <item x="314"/>
        <item x="297"/>
        <item x="337"/>
        <item x="64"/>
        <item x="86"/>
        <item x="296"/>
        <item x="313"/>
        <item x="354"/>
        <item x="101"/>
        <item x="110"/>
        <item x="121"/>
        <item x="349"/>
        <item x="348"/>
        <item x="350"/>
        <item x="274"/>
        <item x="164"/>
        <item x="187"/>
        <item x="59"/>
        <item x="81"/>
        <item x="30"/>
        <item x="305"/>
        <item x="288"/>
        <item x="355"/>
        <item x="273"/>
        <item x="26"/>
        <item x="58"/>
        <item x="80"/>
        <item x="163"/>
        <item x="186"/>
        <item x="243"/>
        <item x="117"/>
        <item x="223"/>
        <item x="233"/>
        <item x="96"/>
        <item x="18"/>
        <item x="105"/>
        <item x="152"/>
        <item x="325"/>
        <item x="149"/>
        <item x="21"/>
        <item x="329"/>
        <item x="129"/>
        <item x="122"/>
        <item x="175"/>
        <item x="198"/>
        <item x="321"/>
        <item x="262"/>
        <item x="258"/>
        <item x="271"/>
        <item x="230"/>
        <item x="238"/>
        <item x="200"/>
        <item x="177"/>
        <item x="317"/>
        <item x="306"/>
        <item x="289"/>
        <item x="119"/>
        <item x="128"/>
        <item x="92"/>
        <item x="70"/>
        <item x="23"/>
        <item x="125"/>
        <item x="72"/>
        <item x="94"/>
        <item x="120"/>
        <item x="253"/>
        <item x="281"/>
        <item x="155"/>
        <item x="266"/>
        <item x="287"/>
        <item x="304"/>
        <item x="16"/>
        <item x="345"/>
        <item x="272"/>
        <item x="207"/>
        <item x="6"/>
        <item x="100"/>
        <item x="109"/>
        <item x="307"/>
        <item x="261"/>
        <item x="290"/>
        <item x="330"/>
        <item x="257"/>
        <item x="340"/>
        <item x="203"/>
        <item x="270"/>
        <item x="69"/>
        <item x="91"/>
        <item x="124"/>
        <item x="205"/>
        <item x="294"/>
        <item x="311"/>
        <item x="135"/>
        <item x="145"/>
        <item x="141"/>
        <item x="20"/>
        <item x="326"/>
        <item x="331"/>
        <item x="38"/>
        <item x="41"/>
        <item x="45"/>
        <item x="328"/>
        <item x="40"/>
        <item x="54"/>
        <item x="244"/>
        <item x="37"/>
        <item x="344"/>
        <item x="76"/>
        <item x="44"/>
        <item x="19"/>
        <item x="318"/>
        <item x="335"/>
        <item x="24"/>
        <item x="197"/>
        <item x="174"/>
        <item x="339"/>
        <item x="127"/>
        <item x="254"/>
        <item x="267"/>
        <item x="189"/>
        <item x="166"/>
        <item x="247"/>
        <item x="83"/>
        <item x="61"/>
        <item x="173"/>
        <item x="196"/>
        <item x="316"/>
        <item x="240"/>
        <item x="202"/>
        <item x="334"/>
        <item x="323"/>
        <item x="249"/>
        <item x="324"/>
        <item x="351"/>
        <item x="34"/>
        <item x="237"/>
        <item x="229"/>
        <item x="36"/>
        <item x="295"/>
        <item x="312"/>
        <item x="250"/>
        <item x="245"/>
        <item x="32"/>
        <item x="29"/>
        <item x="347"/>
        <item x="28"/>
        <item x="33"/>
        <item x="35"/>
        <item x="248"/>
        <item x="133"/>
        <item x="132"/>
        <item x="131"/>
        <item x="226"/>
        <item x="234"/>
        <item x="2"/>
        <item x="336"/>
        <item x="332"/>
        <item x="56"/>
        <item x="78"/>
        <item x="171"/>
        <item x="159"/>
        <item x="194"/>
        <item x="182"/>
        <item x="114"/>
        <item x="252"/>
        <item x="265"/>
        <item x="161"/>
        <item x="214"/>
        <item x="211"/>
        <item x="115"/>
        <item x="184"/>
        <item x="218"/>
        <item x="116"/>
        <item x="277"/>
        <item x="1"/>
        <item x="97"/>
        <item x="293"/>
        <item x="310"/>
        <item x="106"/>
        <item x="292"/>
        <item x="309"/>
        <item x="67"/>
        <item x="89"/>
        <item x="212"/>
        <item x="215"/>
        <item x="219"/>
        <item x="57"/>
        <item x="284"/>
        <item x="79"/>
        <item x="301"/>
        <item x="4"/>
        <item x="162"/>
        <item x="185"/>
        <item x="53"/>
        <item x="75"/>
        <item x="5"/>
        <item x="98"/>
        <item x="107"/>
        <item x="255"/>
        <item x="268"/>
        <item x="52"/>
        <item x="210"/>
        <item x="213"/>
        <item x="74"/>
        <item x="217"/>
        <item x="158"/>
        <item x="137"/>
        <item x="140"/>
        <item x="181"/>
        <item x="147"/>
        <item x="49"/>
        <item x="278"/>
        <item x="0"/>
        <item x="285"/>
        <item x="302"/>
        <item x="157"/>
        <item x="25"/>
        <item x="180"/>
        <item x="256"/>
        <item x="269"/>
        <item x="15"/>
        <item x="260"/>
        <item x="95"/>
        <item x="251"/>
        <item x="104"/>
        <item x="264"/>
        <item x="259"/>
        <item x="10"/>
        <item x="283"/>
        <item x="300"/>
        <item x="170"/>
        <item x="66"/>
        <item x="88"/>
        <item x="193"/>
        <item x="7"/>
        <item x="286"/>
        <item x="138"/>
        <item x="303"/>
        <item x="148"/>
        <item x="142"/>
        <item x="68"/>
        <item x="172"/>
        <item x="90"/>
        <item x="195"/>
        <item x="8"/>
        <item x="222"/>
        <item x="228"/>
        <item x="236"/>
        <item x="13"/>
        <item x="279"/>
        <item x="27"/>
        <item x="225"/>
        <item x="65"/>
        <item x="216"/>
        <item x="224"/>
        <item x="232"/>
        <item x="87"/>
        <item x="241"/>
        <item x="231"/>
        <item x="136"/>
        <item x="146"/>
        <item x="130"/>
        <item x="280"/>
        <item x="134"/>
        <item x="144"/>
        <item x="139"/>
        <item x="22"/>
        <item x="126"/>
        <item x="12"/>
        <item x="154"/>
        <item x="123"/>
        <item x="55"/>
        <item x="77"/>
        <item x="14"/>
        <item x="291"/>
        <item x="308"/>
        <item x="11"/>
        <item x="118"/>
        <item x="169"/>
        <item x="9"/>
        <item x="192"/>
        <item x="153"/>
        <item x="282"/>
        <item x="160"/>
        <item x="242"/>
        <item x="183"/>
        <item x="299"/>
        <item x="263"/>
        <item x="51"/>
        <item x="73"/>
        <item x="48"/>
        <item x="43"/>
        <item x="156"/>
        <item x="143"/>
        <item x="179"/>
        <item x="113"/>
        <item x="31"/>
        <item t="default"/>
      </items>
    </pivotField>
    <pivotField dataField="1" compact="0" outline="0" multipleItemSelectionAllowed="1" showAll="0">
      <items count="380">
        <item x="2"/>
        <item x="340"/>
        <item x="339"/>
        <item x="170"/>
        <item x="106"/>
        <item x="84"/>
        <item x="264"/>
        <item x="239"/>
        <item x="262"/>
        <item x="226"/>
        <item x="124"/>
        <item x="133"/>
        <item x="257"/>
        <item x="247"/>
        <item x="221"/>
        <item x="198"/>
        <item x="263"/>
        <item x="305"/>
        <item x="323"/>
        <item x="61"/>
        <item x="376"/>
        <item x="62"/>
        <item x="69"/>
        <item x="230"/>
        <item x="291"/>
        <item x="292"/>
        <item x="228"/>
        <item x="338"/>
        <item x="231"/>
        <item x="246"/>
        <item x="256"/>
        <item x="185"/>
        <item x="208"/>
        <item x="378"/>
        <item x="169"/>
        <item x="168"/>
        <item x="335"/>
        <item x="77"/>
        <item x="120"/>
        <item x="196"/>
        <item x="219"/>
        <item x="187"/>
        <item x="210"/>
        <item x="83"/>
        <item x="105"/>
        <item x="23"/>
        <item x="273"/>
        <item x="129"/>
        <item x="331"/>
        <item x="313"/>
        <item x="365"/>
        <item x="361"/>
        <item x="167"/>
        <item x="276"/>
        <item x="92"/>
        <item x="114"/>
        <item x="352"/>
        <item x="360"/>
        <item x="371"/>
        <item x="375"/>
        <item x="123"/>
        <item x="132"/>
        <item x="377"/>
        <item x="85"/>
        <item x="107"/>
        <item x="373"/>
        <item x="188"/>
        <item x="211"/>
        <item x="347"/>
        <item x="21"/>
        <item x="311"/>
        <item x="329"/>
        <item x="356"/>
        <item x="122"/>
        <item x="39"/>
        <item x="131"/>
        <item x="367"/>
        <item x="336"/>
        <item x="32"/>
        <item x="369"/>
        <item x="312"/>
        <item x="330"/>
        <item x="81"/>
        <item x="20"/>
        <item x="103"/>
        <item x="184"/>
        <item x="207"/>
        <item x="79"/>
        <item x="101"/>
        <item x="102"/>
        <item x="80"/>
        <item x="275"/>
        <item x="302"/>
        <item x="320"/>
        <item x="138"/>
        <item x="242"/>
        <item x="254"/>
        <item x="224"/>
        <item x="147"/>
        <item x="183"/>
        <item x="350"/>
        <item x="206"/>
        <item x="19"/>
        <item x="227"/>
        <item x="271"/>
        <item x="65"/>
        <item x="117"/>
        <item x="126"/>
        <item x="195"/>
        <item x="49"/>
        <item x="218"/>
        <item x="374"/>
        <item x="29"/>
        <item x="220"/>
        <item x="197"/>
        <item x="251"/>
        <item x="261"/>
        <item x="270"/>
        <item x="303"/>
        <item x="321"/>
        <item x="337"/>
        <item x="362"/>
        <item x="349"/>
        <item x="146"/>
        <item x="63"/>
        <item x="143"/>
        <item x="345"/>
        <item x="372"/>
        <item x="93"/>
        <item x="115"/>
        <item x="70"/>
        <item x="333"/>
        <item x="140"/>
        <item x="60"/>
        <item x="233"/>
        <item x="68"/>
        <item x="364"/>
        <item x="26"/>
        <item x="18"/>
        <item x="175"/>
        <item x="357"/>
        <item x="301"/>
        <item x="319"/>
        <item x="368"/>
        <item x="322"/>
        <item x="304"/>
        <item x="141"/>
        <item x="7"/>
        <item x="113"/>
        <item x="121"/>
        <item x="91"/>
        <item x="130"/>
        <item x="159"/>
        <item x="156"/>
        <item x="166"/>
        <item x="46"/>
        <item x="229"/>
        <item x="90"/>
        <item x="112"/>
        <item x="25"/>
        <item x="235"/>
        <item x="56"/>
        <item x="236"/>
        <item x="359"/>
        <item x="238"/>
        <item x="346"/>
        <item x="225"/>
        <item x="363"/>
        <item x="265"/>
        <item x="285"/>
        <item x="223"/>
        <item x="142"/>
        <item x="272"/>
        <item x="283"/>
        <item x="290"/>
        <item x="348"/>
        <item x="274"/>
        <item x="22"/>
        <item x="104"/>
        <item x="334"/>
        <item x="82"/>
        <item x="354"/>
        <item x="358"/>
        <item x="145"/>
        <item x="194"/>
        <item x="217"/>
        <item x="150"/>
        <item x="209"/>
        <item x="186"/>
        <item x="154"/>
        <item x="232"/>
        <item x="164"/>
        <item x="193"/>
        <item x="216"/>
        <item x="370"/>
        <item x="332"/>
        <item x="30"/>
        <item x="10"/>
        <item x="222"/>
        <item x="38"/>
        <item x="310"/>
        <item x="328"/>
        <item x="153"/>
        <item x="260"/>
        <item x="250"/>
        <item x="163"/>
        <item x="37"/>
        <item x="149"/>
        <item x="277"/>
        <item x="234"/>
        <item x="281"/>
        <item x="279"/>
        <item x="353"/>
        <item x="42"/>
        <item x="366"/>
        <item x="44"/>
        <item x="43"/>
        <item x="36"/>
        <item x="41"/>
        <item x="152"/>
        <item x="148"/>
        <item x="35"/>
        <item x="162"/>
        <item x="278"/>
        <item x="245"/>
        <item x="255"/>
        <item x="282"/>
        <item x="289"/>
        <item x="286"/>
        <item x="1"/>
        <item x="171"/>
        <item x="295"/>
        <item x="341"/>
        <item x="343"/>
        <item x="172"/>
        <item x="309"/>
        <item x="327"/>
        <item x="179"/>
        <item x="202"/>
        <item x="351"/>
        <item x="355"/>
        <item x="47"/>
        <item x="57"/>
        <item x="52"/>
        <item x="76"/>
        <item x="99"/>
        <item x="135"/>
        <item x="191"/>
        <item x="214"/>
        <item x="181"/>
        <item x="136"/>
        <item x="204"/>
        <item x="137"/>
        <item x="342"/>
        <item x="344"/>
        <item x="155"/>
        <item x="165"/>
        <item x="158"/>
        <item x="4"/>
        <item x="118"/>
        <item x="127"/>
        <item x="307"/>
        <item x="325"/>
        <item x="284"/>
        <item x="280"/>
        <item x="151"/>
        <item x="288"/>
        <item x="157"/>
        <item x="161"/>
        <item x="88"/>
        <item x="110"/>
        <item x="249"/>
        <item x="259"/>
        <item x="78"/>
        <item x="100"/>
        <item x="240"/>
        <item x="3"/>
        <item x="308"/>
        <item x="326"/>
        <item x="182"/>
        <item x="205"/>
        <item x="31"/>
        <item x="298"/>
        <item x="316"/>
        <item x="48"/>
        <item x="58"/>
        <item x="6"/>
        <item x="119"/>
        <item x="128"/>
        <item x="74"/>
        <item x="97"/>
        <item x="50"/>
        <item x="59"/>
        <item x="72"/>
        <item x="95"/>
        <item x="53"/>
        <item x="73"/>
        <item x="67"/>
        <item x="96"/>
        <item x="5"/>
        <item x="178"/>
        <item x="201"/>
        <item x="299"/>
        <item x="317"/>
        <item x="45"/>
        <item x="64"/>
        <item x="55"/>
        <item x="0"/>
        <item x="51"/>
        <item x="177"/>
        <item x="200"/>
        <item x="116"/>
        <item x="125"/>
        <item x="12"/>
        <item x="190"/>
        <item x="213"/>
        <item x="9"/>
        <item x="297"/>
        <item x="315"/>
        <item x="300"/>
        <item x="318"/>
        <item x="89"/>
        <item x="192"/>
        <item x="111"/>
        <item x="215"/>
        <item x="34"/>
        <item x="241"/>
        <item x="248"/>
        <item x="258"/>
        <item x="8"/>
        <item x="13"/>
        <item x="244"/>
        <item x="293"/>
        <item x="253"/>
        <item x="14"/>
        <item x="237"/>
        <item x="243"/>
        <item x="87"/>
        <item x="109"/>
        <item x="252"/>
        <item x="28"/>
        <item x="86"/>
        <item x="108"/>
        <item x="294"/>
        <item x="268"/>
        <item x="17"/>
        <item x="33"/>
        <item x="144"/>
        <item x="174"/>
        <item x="75"/>
        <item x="98"/>
        <item x="306"/>
        <item x="27"/>
        <item x="324"/>
        <item x="139"/>
        <item x="24"/>
        <item x="16"/>
        <item x="189"/>
        <item x="173"/>
        <item x="269"/>
        <item x="212"/>
        <item x="180"/>
        <item x="203"/>
        <item x="15"/>
        <item x="267"/>
        <item x="296"/>
        <item x="314"/>
        <item x="287"/>
        <item x="11"/>
        <item x="266"/>
        <item x="71"/>
        <item x="94"/>
        <item x="66"/>
        <item x="176"/>
        <item x="160"/>
        <item x="199"/>
        <item x="54"/>
        <item x="134"/>
        <item x="40"/>
        <item t="default"/>
      </items>
    </pivotField>
    <pivotField dataField="1" compact="0" outline="0" multipleItemSelectionAllowed="1" showAll="0">
      <items count="455">
        <item x="3"/>
        <item x="69"/>
        <item x="76"/>
        <item x="396"/>
        <item x="189"/>
        <item x="114"/>
        <item x="92"/>
        <item x="336"/>
        <item x="292"/>
        <item x="340"/>
        <item x="395"/>
        <item x="339"/>
        <item x="338"/>
        <item x="71"/>
        <item x="78"/>
        <item x="190"/>
        <item x="262"/>
        <item x="283"/>
        <item x="271"/>
        <item x="291"/>
        <item x="132"/>
        <item x="141"/>
        <item x="333"/>
        <item x="289"/>
        <item x="426"/>
        <item x="356"/>
        <item x="377"/>
        <item x="243"/>
        <item x="220"/>
        <item x="290"/>
        <item x="252"/>
        <item x="387"/>
        <item x="366"/>
        <item x="250"/>
        <item x="378"/>
        <item x="357"/>
        <item x="282"/>
        <item x="270"/>
        <item x="394"/>
        <item x="438"/>
        <item x="410"/>
        <item x="405"/>
        <item x="253"/>
        <item x="451"/>
        <item x="300"/>
        <item x="453"/>
        <item x="337"/>
        <item x="91"/>
        <item x="113"/>
        <item x="28"/>
        <item x="85"/>
        <item x="209"/>
        <item x="232"/>
        <item x="128"/>
        <item x="418"/>
        <item x="334"/>
        <item x="386"/>
        <item x="365"/>
        <item x="417"/>
        <item x="137"/>
        <item x="440"/>
        <item x="218"/>
        <item x="241"/>
        <item x="192"/>
        <item x="207"/>
        <item x="230"/>
        <item x="435"/>
        <item x="191"/>
        <item x="335"/>
        <item x="248"/>
        <item x="93"/>
        <item x="115"/>
        <item x="301"/>
        <item x="100"/>
        <item x="122"/>
        <item x="154"/>
        <item x="448"/>
        <item x="163"/>
        <item x="26"/>
        <item x="434"/>
        <item x="210"/>
        <item x="233"/>
        <item x="45"/>
        <item x="131"/>
        <item x="140"/>
        <item x="452"/>
        <item x="430"/>
        <item x="38"/>
        <item x="398"/>
        <item x="130"/>
        <item x="402"/>
        <item x="391"/>
        <item x="139"/>
        <item x="152"/>
        <item x="392"/>
        <item x="444"/>
        <item x="110"/>
        <item x="88"/>
        <item x="188"/>
        <item x="305"/>
        <item x="299"/>
        <item x="416"/>
        <item x="419"/>
        <item x="332"/>
        <item x="414"/>
        <item x="25"/>
        <item x="206"/>
        <item x="229"/>
        <item x="422"/>
        <item x="306"/>
        <item x="146"/>
        <item x="111"/>
        <item x="89"/>
        <item x="446"/>
        <item x="265"/>
        <item x="280"/>
        <item x="276"/>
        <item x="288"/>
        <item x="364"/>
        <item x="385"/>
        <item x="44"/>
        <item x="363"/>
        <item x="384"/>
        <item x="246"/>
        <item x="153"/>
        <item x="249"/>
        <item x="415"/>
        <item x="254"/>
        <item x="125"/>
        <item x="24"/>
        <item x="160"/>
        <item x="205"/>
        <item x="228"/>
        <item x="134"/>
        <item x="242"/>
        <item x="219"/>
        <item x="297"/>
        <item x="101"/>
        <item x="123"/>
        <item x="255"/>
        <item x="353"/>
        <item x="374"/>
        <item x="217"/>
        <item x="240"/>
        <item x="447"/>
        <item x="157"/>
        <item x="35"/>
        <item x="87"/>
        <item x="393"/>
        <item x="109"/>
        <item x="442"/>
        <item x="439"/>
        <item x="23"/>
        <item x="354"/>
        <item x="375"/>
        <item x="389"/>
        <item x="6"/>
        <item x="376"/>
        <item x="355"/>
        <item x="352"/>
        <item x="373"/>
        <item x="57"/>
        <item x="67"/>
        <item x="60"/>
        <item x="32"/>
        <item x="164"/>
        <item x="312"/>
        <item x="436"/>
        <item x="326"/>
        <item x="121"/>
        <item x="99"/>
        <item x="272"/>
        <item x="284"/>
        <item x="150"/>
        <item x="197"/>
        <item x="31"/>
        <item x="22"/>
        <item x="61"/>
        <item x="413"/>
        <item x="55"/>
        <item x="65"/>
        <item x="443"/>
        <item x="151"/>
        <item x="27"/>
        <item x="129"/>
        <item x="138"/>
        <item x="159"/>
        <item x="70"/>
        <item x="68"/>
        <item x="437"/>
        <item x="251"/>
        <item x="268"/>
        <item x="433"/>
        <item x="279"/>
        <item x="407"/>
        <item x="412"/>
        <item x="77"/>
        <item x="156"/>
        <item x="75"/>
        <item x="257"/>
        <item x="298"/>
        <item x="245"/>
        <item x="425"/>
        <item x="351"/>
        <item x="30"/>
        <item x="424"/>
        <item x="112"/>
        <item x="431"/>
        <item x="90"/>
        <item x="372"/>
        <item x="421"/>
        <item x="302"/>
        <item x="247"/>
        <item x="98"/>
        <item x="120"/>
        <item x="158"/>
        <item x="450"/>
        <item x="9"/>
        <item x="428"/>
        <item x="231"/>
        <item x="208"/>
        <item x="216"/>
        <item x="239"/>
        <item x="390"/>
        <item x="432"/>
        <item x="318"/>
        <item x="445"/>
        <item x="420"/>
        <item x="411"/>
        <item x="406"/>
        <item x="323"/>
        <item x="256"/>
        <item x="449"/>
        <item x="215"/>
        <item x="238"/>
        <item x="362"/>
        <item x="383"/>
        <item x="36"/>
        <item x="43"/>
        <item x="315"/>
        <item x="329"/>
        <item x="281"/>
        <item x="269"/>
        <item x="175"/>
        <item x="187"/>
        <item x="10"/>
        <item x="179"/>
        <item x="388"/>
        <item x="49"/>
        <item x="51"/>
        <item x="287"/>
        <item x="275"/>
        <item x="50"/>
        <item x="244"/>
        <item x="166"/>
        <item x="47"/>
        <item x="42"/>
        <item x="40"/>
        <item x="310"/>
        <item x="168"/>
        <item x="441"/>
        <item x="41"/>
        <item x="48"/>
        <item x="309"/>
        <item x="316"/>
        <item x="308"/>
        <item x="165"/>
        <item x="307"/>
        <item x="330"/>
        <item x="162"/>
        <item x="304"/>
        <item x="320"/>
        <item x="167"/>
        <item x="2"/>
        <item x="194"/>
        <item x="345"/>
        <item x="399"/>
        <item x="403"/>
        <item x="172"/>
        <item x="184"/>
        <item x="361"/>
        <item x="382"/>
        <item x="171"/>
        <item x="397"/>
        <item x="183"/>
        <item x="401"/>
        <item x="427"/>
        <item x="84"/>
        <item x="107"/>
        <item x="429"/>
        <item x="143"/>
        <item x="173"/>
        <item x="177"/>
        <item x="170"/>
        <item x="185"/>
        <item x="182"/>
        <item x="342"/>
        <item x="203"/>
        <item x="144"/>
        <item x="226"/>
        <item x="145"/>
        <item x="174"/>
        <item x="186"/>
        <item x="178"/>
        <item x="404"/>
        <item x="409"/>
        <item x="423"/>
        <item x="322"/>
        <item x="317"/>
        <item x="331"/>
        <item x="1"/>
        <item x="54"/>
        <item x="213"/>
        <item x="236"/>
        <item x="126"/>
        <item x="314"/>
        <item x="135"/>
        <item x="201"/>
        <item x="274"/>
        <item x="328"/>
        <item x="224"/>
        <item x="286"/>
        <item x="86"/>
        <item x="108"/>
        <item x="96"/>
        <item x="118"/>
        <item x="313"/>
        <item x="327"/>
        <item x="5"/>
        <item x="321"/>
        <item x="400"/>
        <item x="193"/>
        <item x="408"/>
        <item x="204"/>
        <item x="227"/>
        <item x="37"/>
        <item x="4"/>
        <item x="169"/>
        <item x="181"/>
        <item x="176"/>
        <item x="127"/>
        <item x="136"/>
        <item x="81"/>
        <item x="341"/>
        <item x="104"/>
        <item x="258"/>
        <item x="360"/>
        <item x="259"/>
        <item x="0"/>
        <item x="381"/>
        <item x="261"/>
        <item x="359"/>
        <item x="380"/>
        <item x="74"/>
        <item x="53"/>
        <item x="64"/>
        <item x="147"/>
        <item x="311"/>
        <item x="82"/>
        <item x="200"/>
        <item x="105"/>
        <item x="325"/>
        <item x="223"/>
        <item x="319"/>
        <item x="348"/>
        <item x="369"/>
        <item x="21"/>
        <item x="56"/>
        <item x="124"/>
        <item x="66"/>
        <item x="133"/>
        <item x="59"/>
        <item x="52"/>
        <item x="72"/>
        <item x="63"/>
        <item x="263"/>
        <item x="58"/>
        <item x="349"/>
        <item x="13"/>
        <item x="370"/>
        <item x="199"/>
        <item x="222"/>
        <item x="350"/>
        <item x="371"/>
        <item x="347"/>
        <item x="368"/>
        <item x="97"/>
        <item x="214"/>
        <item x="119"/>
        <item x="237"/>
        <item x="20"/>
        <item x="264"/>
        <item x="212"/>
        <item x="235"/>
        <item x="80"/>
        <item x="103"/>
        <item x="12"/>
        <item x="7"/>
        <item x="267"/>
        <item x="278"/>
        <item x="16"/>
        <item x="95"/>
        <item x="117"/>
        <item x="8"/>
        <item x="14"/>
        <item x="273"/>
        <item x="285"/>
        <item x="34"/>
        <item x="344"/>
        <item x="303"/>
        <item x="343"/>
        <item x="294"/>
        <item x="260"/>
        <item x="266"/>
        <item x="277"/>
        <item x="18"/>
        <item x="83"/>
        <item x="39"/>
        <item x="106"/>
        <item x="196"/>
        <item x="161"/>
        <item x="94"/>
        <item x="116"/>
        <item x="358"/>
        <item x="379"/>
        <item x="33"/>
        <item x="148"/>
        <item x="202"/>
        <item x="225"/>
        <item x="295"/>
        <item x="211"/>
        <item x="234"/>
        <item x="29"/>
        <item x="17"/>
        <item x="195"/>
        <item x="155"/>
        <item x="19"/>
        <item x="15"/>
        <item x="149"/>
        <item x="296"/>
        <item x="346"/>
        <item x="11"/>
        <item x="367"/>
        <item x="324"/>
        <item x="293"/>
        <item x="79"/>
        <item x="102"/>
        <item x="73"/>
        <item x="198"/>
        <item x="180"/>
        <item x="221"/>
        <item x="62"/>
        <item x="142"/>
        <item x="46"/>
        <item t="default"/>
      </items>
    </pivotField>
    <pivotField dataField="1" compact="0" outline="0" multipleItemSelectionAllowed="1" showAll="0">
      <items count="491">
        <item x="2"/>
        <item x="368"/>
        <item x="430"/>
        <item x="119"/>
        <item x="97"/>
        <item x="326"/>
        <item x="207"/>
        <item x="285"/>
        <item x="137"/>
        <item x="146"/>
        <item x="387"/>
        <item x="410"/>
        <item x="208"/>
        <item x="257"/>
        <item x="234"/>
        <item x="73"/>
        <item x="83"/>
        <item x="312"/>
        <item x="296"/>
        <item x="420"/>
        <item x="398"/>
        <item x="324"/>
        <item x="325"/>
        <item x="298"/>
        <item x="314"/>
        <item x="411"/>
        <item x="266"/>
        <item x="388"/>
        <item x="153"/>
        <item x="323"/>
        <item x="264"/>
        <item x="322"/>
        <item x="306"/>
        <item x="474"/>
        <item x="332"/>
        <item x="267"/>
        <item x="487"/>
        <item x="27"/>
        <item x="419"/>
        <item x="397"/>
        <item x="489"/>
        <item x="426"/>
        <item x="369"/>
        <item x="90"/>
        <item x="468"/>
        <item x="96"/>
        <item x="118"/>
        <item x="476"/>
        <item x="72"/>
        <item x="232"/>
        <item x="255"/>
        <item x="342"/>
        <item x="82"/>
        <item x="333"/>
        <item x="471"/>
        <item x="98"/>
        <item x="120"/>
        <item x="428"/>
        <item x="223"/>
        <item x="246"/>
        <item x="170"/>
        <item x="44"/>
        <item x="69"/>
        <item x="71"/>
        <item x="458"/>
        <item x="81"/>
        <item x="221"/>
        <item x="244"/>
        <item x="224"/>
        <item x="247"/>
        <item x="484"/>
        <item x="79"/>
        <item x="105"/>
        <item x="127"/>
        <item x="470"/>
        <item x="370"/>
        <item x="262"/>
        <item x="488"/>
        <item x="429"/>
        <item x="36"/>
        <item x="161"/>
        <item x="157"/>
        <item x="180"/>
        <item x="136"/>
        <item x="145"/>
        <item x="465"/>
        <item x="169"/>
        <item x="26"/>
        <item x="424"/>
        <item x="206"/>
        <item x="133"/>
        <item x="425"/>
        <item x="480"/>
        <item x="367"/>
        <item x="449"/>
        <item x="439"/>
        <item x="142"/>
        <item x="205"/>
        <item x="268"/>
        <item x="305"/>
        <item x="321"/>
        <item x="150"/>
        <item x="25"/>
        <item x="179"/>
        <item x="93"/>
        <item x="115"/>
        <item x="220"/>
        <item x="243"/>
        <item x="116"/>
        <item x="94"/>
        <item x="70"/>
        <item x="459"/>
        <item x="331"/>
        <item x="80"/>
        <item x="149"/>
        <item x="135"/>
        <item x="152"/>
        <item x="168"/>
        <item x="482"/>
        <item x="144"/>
        <item x="24"/>
        <item x="395"/>
        <item x="417"/>
        <item x="396"/>
        <item x="418"/>
        <item x="175"/>
        <item x="162"/>
        <item x="366"/>
        <item x="263"/>
        <item x="181"/>
        <item x="256"/>
        <item x="233"/>
        <item x="106"/>
        <item x="128"/>
        <item x="338"/>
        <item x="384"/>
        <item x="407"/>
        <item x="33"/>
        <item x="329"/>
        <item x="315"/>
        <item x="299"/>
        <item x="68"/>
        <item x="219"/>
        <item x="242"/>
        <item x="78"/>
        <item x="231"/>
        <item x="7"/>
        <item x="254"/>
        <item x="483"/>
        <item x="444"/>
        <item x="454"/>
        <item x="270"/>
        <item x="427"/>
        <item x="478"/>
        <item x="300"/>
        <item x="316"/>
        <item x="192"/>
        <item x="130"/>
        <item x="30"/>
        <item x="204"/>
        <item x="385"/>
        <item x="408"/>
        <item x="334"/>
        <item x="383"/>
        <item x="406"/>
        <item x="475"/>
        <item x="139"/>
        <item x="23"/>
        <item x="196"/>
        <item x="260"/>
        <item x="172"/>
        <item x="92"/>
        <item x="114"/>
        <item x="472"/>
        <item x="126"/>
        <item x="104"/>
        <item x="167"/>
        <item x="335"/>
        <item x="211"/>
        <item x="273"/>
        <item x="281"/>
        <item x="457"/>
        <item x="479"/>
        <item x="409"/>
        <item x="386"/>
        <item x="22"/>
        <item x="134"/>
        <item x="143"/>
        <item x="422"/>
        <item x="473"/>
        <item x="265"/>
        <item x="293"/>
        <item x="446"/>
        <item x="456"/>
        <item x="469"/>
        <item x="309"/>
        <item x="274"/>
        <item x="171"/>
        <item x="282"/>
        <item x="117"/>
        <item x="95"/>
        <item x="6"/>
        <item x="330"/>
        <item x="259"/>
        <item x="455"/>
        <item x="445"/>
        <item x="381"/>
        <item x="174"/>
        <item x="466"/>
        <item x="404"/>
        <item x="29"/>
        <item x="269"/>
        <item x="261"/>
        <item x="191"/>
        <item x="432"/>
        <item x="336"/>
        <item x="195"/>
        <item x="203"/>
        <item x="103"/>
        <item x="125"/>
        <item x="436"/>
        <item x="486"/>
        <item x="245"/>
        <item x="222"/>
        <item x="349"/>
        <item x="43"/>
        <item x="361"/>
        <item x="463"/>
        <item x="303"/>
        <item x="319"/>
        <item x="467"/>
        <item x="297"/>
        <item x="313"/>
        <item x="230"/>
        <item x="253"/>
        <item x="393"/>
        <item x="54"/>
        <item x="65"/>
        <item x="481"/>
        <item x="10"/>
        <item x="485"/>
        <item x="229"/>
        <item x="252"/>
        <item x="271"/>
        <item x="60"/>
        <item x="337"/>
        <item x="394"/>
        <item x="416"/>
        <item x="148"/>
        <item x="382"/>
        <item x="287"/>
        <item x="405"/>
        <item x="188"/>
        <item x="48"/>
        <item x="34"/>
        <item x="423"/>
        <item x="200"/>
        <item x="42"/>
        <item x="341"/>
        <item x="460"/>
        <item x="344"/>
        <item x="290"/>
        <item x="345"/>
        <item x="49"/>
        <item x="41"/>
        <item x="46"/>
        <item x="304"/>
        <item x="320"/>
        <item x="47"/>
        <item x="40"/>
        <item x="343"/>
        <item x="440"/>
        <item x="450"/>
        <item x="477"/>
        <item x="433"/>
        <item x="340"/>
        <item x="50"/>
        <item x="178"/>
        <item x="356"/>
        <item x="437"/>
        <item x="185"/>
        <item x="183"/>
        <item x="156"/>
        <item x="160"/>
        <item x="184"/>
        <item x="421"/>
        <item x="346"/>
        <item x="182"/>
        <item x="177"/>
        <item x="348"/>
        <item x="360"/>
        <item x="258"/>
        <item x="441"/>
        <item x="5"/>
        <item x="451"/>
        <item x="357"/>
        <item x="59"/>
        <item x="56"/>
        <item x="67"/>
        <item x="353"/>
        <item x="365"/>
        <item x="375"/>
        <item x="189"/>
        <item x="201"/>
        <item x="392"/>
        <item x="415"/>
        <item x="350"/>
        <item x="53"/>
        <item x="362"/>
        <item x="64"/>
        <item x="431"/>
        <item x="435"/>
        <item x="462"/>
        <item x="464"/>
        <item x="443"/>
        <item x="151"/>
        <item x="453"/>
        <item x="155"/>
        <item x="187"/>
        <item x="159"/>
        <item x="199"/>
        <item x="154"/>
        <item x="158"/>
        <item x="442"/>
        <item x="452"/>
        <item x="461"/>
        <item x="3"/>
        <item x="89"/>
        <item x="112"/>
        <item x="74"/>
        <item x="75"/>
        <item x="302"/>
        <item x="131"/>
        <item x="52"/>
        <item x="318"/>
        <item x="63"/>
        <item x="227"/>
        <item x="250"/>
        <item x="140"/>
        <item x="372"/>
        <item x="91"/>
        <item x="113"/>
        <item x="55"/>
        <item x="217"/>
        <item x="190"/>
        <item x="66"/>
        <item x="240"/>
        <item x="202"/>
        <item x="58"/>
        <item x="194"/>
        <item x="1"/>
        <item x="215"/>
        <item x="218"/>
        <item x="238"/>
        <item x="241"/>
        <item x="101"/>
        <item x="123"/>
        <item x="186"/>
        <item x="198"/>
        <item x="193"/>
        <item x="4"/>
        <item x="438"/>
        <item x="275"/>
        <item x="286"/>
        <item x="448"/>
        <item x="283"/>
        <item x="294"/>
        <item x="132"/>
        <item x="141"/>
        <item x="310"/>
        <item x="35"/>
        <item x="276"/>
        <item x="278"/>
        <item x="284"/>
        <item x="351"/>
        <item x="51"/>
        <item x="363"/>
        <item x="434"/>
        <item x="62"/>
        <item x="447"/>
        <item x="57"/>
        <item x="371"/>
        <item x="272"/>
        <item x="277"/>
        <item x="280"/>
        <item x="295"/>
        <item x="0"/>
        <item x="311"/>
        <item x="352"/>
        <item x="364"/>
        <item x="355"/>
        <item x="39"/>
        <item x="390"/>
        <item x="391"/>
        <item x="413"/>
        <item x="86"/>
        <item x="414"/>
        <item x="109"/>
        <item x="87"/>
        <item x="214"/>
        <item x="110"/>
        <item x="237"/>
        <item x="14"/>
        <item x="378"/>
        <item x="129"/>
        <item x="347"/>
        <item x="354"/>
        <item x="401"/>
        <item x="359"/>
        <item x="138"/>
        <item x="77"/>
        <item x="13"/>
        <item x="102"/>
        <item x="228"/>
        <item x="124"/>
        <item x="251"/>
        <item x="38"/>
        <item x="289"/>
        <item x="379"/>
        <item x="377"/>
        <item x="402"/>
        <item x="400"/>
        <item x="213"/>
        <item x="236"/>
        <item x="17"/>
        <item x="226"/>
        <item x="249"/>
        <item x="21"/>
        <item x="288"/>
        <item x="37"/>
        <item x="292"/>
        <item x="308"/>
        <item x="85"/>
        <item x="108"/>
        <item x="380"/>
        <item x="403"/>
        <item x="12"/>
        <item x="100"/>
        <item x="122"/>
        <item x="163"/>
        <item x="9"/>
        <item x="8"/>
        <item x="15"/>
        <item x="374"/>
        <item x="327"/>
        <item x="301"/>
        <item x="88"/>
        <item x="32"/>
        <item x="111"/>
        <item x="317"/>
        <item x="210"/>
        <item x="339"/>
        <item x="19"/>
        <item x="373"/>
        <item x="291"/>
        <item x="279"/>
        <item x="307"/>
        <item x="99"/>
        <item x="121"/>
        <item x="176"/>
        <item x="216"/>
        <item x="239"/>
        <item x="389"/>
        <item x="173"/>
        <item x="412"/>
        <item x="31"/>
        <item x="166"/>
        <item x="225"/>
        <item x="248"/>
        <item x="28"/>
        <item x="209"/>
        <item x="18"/>
        <item x="20"/>
        <item x="165"/>
        <item x="16"/>
        <item x="164"/>
        <item x="11"/>
        <item x="376"/>
        <item x="358"/>
        <item x="399"/>
        <item x="328"/>
        <item x="76"/>
        <item x="84"/>
        <item x="107"/>
        <item x="212"/>
        <item x="197"/>
        <item x="235"/>
        <item x="61"/>
        <item x="147"/>
        <item x="45"/>
        <item t="default"/>
      </items>
    </pivotField>
    <pivotField dataField="1" compact="0" outline="0" multipleItemSelectionAllowed="1" showAll="0">
      <items count="503">
        <item x="1"/>
        <item x="62"/>
        <item x="65"/>
        <item x="426"/>
        <item x="101"/>
        <item x="79"/>
        <item x="149"/>
        <item x="324"/>
        <item x="363"/>
        <item x="364"/>
        <item x="207"/>
        <item x="361"/>
        <item x="209"/>
        <item x="366"/>
        <item x="210"/>
        <item x="383"/>
        <item x="406"/>
        <item x="119"/>
        <item x="128"/>
        <item x="473"/>
        <item x="261"/>
        <item x="238"/>
        <item x="416"/>
        <item x="394"/>
        <item x="310"/>
        <item x="293"/>
        <item x="322"/>
        <item x="323"/>
        <item x="407"/>
        <item x="384"/>
        <item x="295"/>
        <item x="312"/>
        <item x="270"/>
        <item x="321"/>
        <item x="268"/>
        <item x="486"/>
        <item x="320"/>
        <item x="472"/>
        <item x="303"/>
        <item x="332"/>
        <item x="415"/>
        <item x="365"/>
        <item x="29"/>
        <item x="393"/>
        <item x="501"/>
        <item x="422"/>
        <item x="271"/>
        <item x="471"/>
        <item x="166"/>
        <item x="157"/>
        <item x="72"/>
        <item x="362"/>
        <item x="499"/>
        <item x="480"/>
        <item x="208"/>
        <item x="78"/>
        <item x="100"/>
        <item x="333"/>
        <item x="496"/>
        <item x="179"/>
        <item x="463"/>
        <item x="456"/>
        <item x="227"/>
        <item x="250"/>
        <item x="80"/>
        <item x="102"/>
        <item x="150"/>
        <item x="206"/>
        <item x="148"/>
        <item x="186"/>
        <item x="228"/>
        <item x="251"/>
        <item x="483"/>
        <item x="424"/>
        <item x="87"/>
        <item x="109"/>
        <item x="500"/>
        <item x="425"/>
        <item x="236"/>
        <item x="259"/>
        <item x="178"/>
        <item x="266"/>
        <item x="225"/>
        <item x="248"/>
        <item x="445"/>
        <item x="433"/>
        <item x="118"/>
        <item x="127"/>
        <item x="27"/>
        <item x="7"/>
        <item x="420"/>
        <item x="115"/>
        <item x="492"/>
        <item x="421"/>
        <item x="457"/>
        <item x="124"/>
        <item x="40"/>
        <item x="272"/>
        <item x="302"/>
        <item x="319"/>
        <item x="26"/>
        <item x="331"/>
        <item x="276"/>
        <item x="75"/>
        <item x="97"/>
        <item x="177"/>
        <item x="98"/>
        <item x="76"/>
        <item x="477"/>
        <item x="154"/>
        <item x="117"/>
        <item x="163"/>
        <item x="224"/>
        <item x="247"/>
        <item x="28"/>
        <item x="25"/>
        <item x="126"/>
        <item x="495"/>
        <item x="392"/>
        <item x="414"/>
        <item x="454"/>
        <item x="339"/>
        <item x="170"/>
        <item x="267"/>
        <item x="260"/>
        <item x="237"/>
        <item x="277"/>
        <item x="487"/>
        <item x="88"/>
        <item x="110"/>
        <item x="37"/>
        <item x="176"/>
        <item x="391"/>
        <item x="413"/>
        <item x="380"/>
        <item x="403"/>
        <item x="313"/>
        <item x="296"/>
        <item x="223"/>
        <item x="246"/>
        <item x="444"/>
        <item x="432"/>
        <item x="235"/>
        <item x="258"/>
        <item x="131"/>
        <item x="484"/>
        <item x="59"/>
        <item x="58"/>
        <item x="61"/>
        <item x="329"/>
        <item x="494"/>
        <item x="137"/>
        <item x="140"/>
        <item x="381"/>
        <item x="404"/>
        <item x="146"/>
        <item x="274"/>
        <item x="34"/>
        <item x="297"/>
        <item x="314"/>
        <item x="466"/>
        <item x="112"/>
        <item x="24"/>
        <item x="328"/>
        <item x="469"/>
        <item x="121"/>
        <item x="275"/>
        <item x="423"/>
        <item x="74"/>
        <item x="96"/>
        <item x="338"/>
        <item x="485"/>
        <item x="379"/>
        <item x="402"/>
        <item x="455"/>
        <item x="9"/>
        <item x="108"/>
        <item x="488"/>
        <item x="182"/>
        <item x="86"/>
        <item x="175"/>
        <item x="264"/>
        <item x="440"/>
        <item x="452"/>
        <item x="215"/>
        <item x="405"/>
        <item x="382"/>
        <item x="288"/>
        <item x="334"/>
        <item x="305"/>
        <item x="491"/>
        <item x="164"/>
        <item x="468"/>
        <item x="155"/>
        <item x="33"/>
        <item x="451"/>
        <item x="439"/>
        <item x="133"/>
        <item x="116"/>
        <item x="125"/>
        <item x="465"/>
        <item x="23"/>
        <item x="330"/>
        <item x="190"/>
        <item x="181"/>
        <item x="269"/>
        <item x="13"/>
        <item x="201"/>
        <item x="290"/>
        <item x="197"/>
        <item x="481"/>
        <item x="307"/>
        <item x="450"/>
        <item x="438"/>
        <item x="99"/>
        <item x="352"/>
        <item x="77"/>
        <item x="459"/>
        <item x="350"/>
        <item x="418"/>
        <item x="354"/>
        <item x="360"/>
        <item x="130"/>
        <item x="335"/>
        <item x="263"/>
        <item x="349"/>
        <item x="377"/>
        <item x="359"/>
        <item x="478"/>
        <item x="57"/>
        <item x="400"/>
        <item x="273"/>
        <item x="32"/>
        <item x="8"/>
        <item x="490"/>
        <item x="265"/>
        <item x="249"/>
        <item x="226"/>
        <item x="430"/>
        <item x="85"/>
        <item x="442"/>
        <item x="107"/>
        <item x="160"/>
        <item x="169"/>
        <item x="49"/>
        <item x="498"/>
        <item x="475"/>
        <item x="168"/>
        <item x="159"/>
        <item x="464"/>
        <item x="300"/>
        <item x="317"/>
        <item x="479"/>
        <item x="234"/>
        <item x="257"/>
        <item x="294"/>
        <item x="311"/>
        <item x="467"/>
        <item x="389"/>
        <item x="462"/>
        <item x="337"/>
        <item x="54"/>
        <item x="493"/>
        <item x="482"/>
        <item x="367"/>
        <item x="132"/>
        <item x="233"/>
        <item x="46"/>
        <item x="256"/>
        <item x="390"/>
        <item x="412"/>
        <item x="47"/>
        <item x="458"/>
        <item x="156"/>
        <item x="165"/>
        <item x="497"/>
        <item x="53"/>
        <item x="378"/>
        <item x="38"/>
        <item x="401"/>
        <item x="419"/>
        <item x="55"/>
        <item x="434"/>
        <item x="446"/>
        <item x="193"/>
        <item x="51"/>
        <item x="204"/>
        <item x="282"/>
        <item x="44"/>
        <item x="196"/>
        <item x="48"/>
        <item x="348"/>
        <item x="358"/>
        <item x="286"/>
        <item x="56"/>
        <item x="280"/>
        <item x="281"/>
        <item x="301"/>
        <item x="318"/>
        <item x="461"/>
        <item x="136"/>
        <item x="212"/>
        <item x="279"/>
        <item x="191"/>
        <item x="145"/>
        <item x="278"/>
        <item x="202"/>
        <item x="460"/>
        <item x="185"/>
        <item x="45"/>
        <item x="188"/>
        <item x="52"/>
        <item x="341"/>
        <item x="417"/>
        <item x="344"/>
        <item x="343"/>
        <item x="345"/>
        <item x="342"/>
        <item x="340"/>
        <item x="187"/>
        <item x="184"/>
        <item x="3"/>
        <item x="262"/>
        <item x="427"/>
        <item x="429"/>
        <item x="371"/>
        <item x="192"/>
        <item x="203"/>
        <item x="489"/>
        <item x="388"/>
        <item x="411"/>
        <item x="135"/>
        <item x="144"/>
        <item x="194"/>
        <item x="198"/>
        <item x="205"/>
        <item x="211"/>
        <item x="353"/>
        <item x="347"/>
        <item x="357"/>
        <item x="437"/>
        <item x="151"/>
        <item x="449"/>
        <item x="368"/>
        <item x="436"/>
        <item x="448"/>
        <item x="138"/>
        <item x="147"/>
        <item x="141"/>
        <item x="4"/>
        <item x="474"/>
        <item x="71"/>
        <item x="158"/>
        <item x="94"/>
        <item x="167"/>
        <item x="435"/>
        <item x="476"/>
        <item x="447"/>
        <item x="134"/>
        <item x="143"/>
        <item x="139"/>
        <item x="351"/>
        <item x="346"/>
        <item x="189"/>
        <item x="356"/>
        <item x="200"/>
        <item x="195"/>
        <item x="470"/>
        <item x="299"/>
        <item x="113"/>
        <item x="153"/>
        <item x="316"/>
        <item x="162"/>
        <item x="122"/>
        <item x="73"/>
        <item x="95"/>
        <item x="221"/>
        <item x="244"/>
        <item x="5"/>
        <item x="222"/>
        <item x="245"/>
        <item x="83"/>
        <item x="105"/>
        <item x="142"/>
        <item x="231"/>
        <item x="254"/>
        <item x="152"/>
        <item x="12"/>
        <item x="431"/>
        <item x="161"/>
        <item x="443"/>
        <item x="291"/>
        <item x="114"/>
        <item x="123"/>
        <item x="308"/>
        <item x="219"/>
        <item x="39"/>
        <item x="242"/>
        <item x="292"/>
        <item x="2"/>
        <item x="309"/>
        <item x="428"/>
        <item x="441"/>
        <item x="43"/>
        <item x="68"/>
        <item x="91"/>
        <item x="69"/>
        <item x="387"/>
        <item x="92"/>
        <item x="410"/>
        <item x="0"/>
        <item x="111"/>
        <item x="218"/>
        <item x="120"/>
        <item x="241"/>
        <item x="386"/>
        <item x="64"/>
        <item x="409"/>
        <item x="374"/>
        <item x="16"/>
        <item x="397"/>
        <item x="84"/>
        <item x="232"/>
        <item x="106"/>
        <item x="255"/>
        <item x="42"/>
        <item x="285"/>
        <item x="375"/>
        <item x="398"/>
        <item x="11"/>
        <item x="217"/>
        <item x="230"/>
        <item x="240"/>
        <item x="253"/>
        <item x="6"/>
        <item x="373"/>
        <item x="396"/>
        <item x="284"/>
        <item x="19"/>
        <item x="289"/>
        <item x="306"/>
        <item x="67"/>
        <item x="90"/>
        <item x="376"/>
        <item x="399"/>
        <item x="15"/>
        <item x="82"/>
        <item x="104"/>
        <item x="31"/>
        <item x="18"/>
        <item x="171"/>
        <item x="10"/>
        <item x="336"/>
        <item x="298"/>
        <item x="70"/>
        <item x="36"/>
        <item x="93"/>
        <item x="315"/>
        <item x="370"/>
        <item x="453"/>
        <item x="214"/>
        <item x="41"/>
        <item x="369"/>
        <item x="287"/>
        <item x="283"/>
        <item x="304"/>
        <item x="21"/>
        <item x="81"/>
        <item x="103"/>
        <item x="220"/>
        <item x="243"/>
        <item x="385"/>
        <item x="408"/>
        <item x="183"/>
        <item x="35"/>
        <item x="229"/>
        <item x="252"/>
        <item x="174"/>
        <item x="30"/>
        <item x="213"/>
        <item x="327"/>
        <item x="22"/>
        <item x="180"/>
        <item x="173"/>
        <item x="20"/>
        <item x="172"/>
        <item x="326"/>
        <item x="17"/>
        <item x="372"/>
        <item x="355"/>
        <item x="395"/>
        <item x="325"/>
        <item x="14"/>
        <item x="63"/>
        <item x="66"/>
        <item x="89"/>
        <item x="216"/>
        <item x="199"/>
        <item x="239"/>
        <item x="60"/>
        <item x="129"/>
        <item x="50"/>
        <item t="default"/>
      </items>
    </pivotField>
    <pivotField dataField="1" compact="0" outline="0" multipleItemSelectionAllowed="1" showAll="0">
      <items count="499">
        <item x="4"/>
        <item x="236"/>
        <item x="426"/>
        <item x="133"/>
        <item x="111"/>
        <item x="195"/>
        <item x="342"/>
        <item x="235"/>
        <item x="383"/>
        <item x="406"/>
        <item x="151"/>
        <item x="160"/>
        <item x="301"/>
        <item x="285"/>
        <item x="262"/>
        <item x="416"/>
        <item x="394"/>
        <item x="328"/>
        <item x="311"/>
        <item x="407"/>
        <item x="384"/>
        <item x="341"/>
        <item x="313"/>
        <item x="330"/>
        <item x="294"/>
        <item x="339"/>
        <item x="482"/>
        <item x="292"/>
        <item x="349"/>
        <item x="338"/>
        <item x="321"/>
        <item x="40"/>
        <item x="340"/>
        <item x="415"/>
        <item x="368"/>
        <item x="393"/>
        <item x="497"/>
        <item x="422"/>
        <item x="295"/>
        <item x="188"/>
        <item x="177"/>
        <item x="104"/>
        <item x="91"/>
        <item x="110"/>
        <item x="97"/>
        <item x="132"/>
        <item x="495"/>
        <item x="476"/>
        <item x="90"/>
        <item x="96"/>
        <item x="350"/>
        <item x="492"/>
        <item x="460"/>
        <item x="207"/>
        <item x="449"/>
        <item x="435"/>
        <item x="112"/>
        <item x="134"/>
        <item x="219"/>
        <item x="251"/>
        <item x="274"/>
        <item x="196"/>
        <item x="193"/>
        <item x="252"/>
        <item x="275"/>
        <item x="479"/>
        <item x="424"/>
        <item x="13"/>
        <item x="206"/>
        <item x="496"/>
        <item x="260"/>
        <item x="283"/>
        <item x="425"/>
        <item x="38"/>
        <item x="119"/>
        <item x="141"/>
        <item x="290"/>
        <item x="249"/>
        <item x="272"/>
        <item x="150"/>
        <item x="159"/>
        <item x="466"/>
        <item x="57"/>
        <item x="58"/>
        <item x="488"/>
        <item x="421"/>
        <item x="39"/>
        <item x="320"/>
        <item x="337"/>
        <item x="448"/>
        <item x="434"/>
        <item x="348"/>
        <item x="50"/>
        <item x="205"/>
        <item x="420"/>
        <item x="37"/>
        <item x="298"/>
        <item x="130"/>
        <item x="108"/>
        <item x="147"/>
        <item x="297"/>
        <item x="473"/>
        <item x="174"/>
        <item x="300"/>
        <item x="248"/>
        <item x="271"/>
        <item x="149"/>
        <item x="185"/>
        <item x="10"/>
        <item x="491"/>
        <item x="156"/>
        <item x="158"/>
        <item x="392"/>
        <item x="414"/>
        <item x="36"/>
        <item x="355"/>
        <item x="194"/>
        <item x="95"/>
        <item x="89"/>
        <item x="120"/>
        <item x="142"/>
        <item x="291"/>
        <item x="284"/>
        <item x="261"/>
        <item x="59"/>
        <item x="483"/>
        <item x="107"/>
        <item x="129"/>
        <item x="204"/>
        <item x="467"/>
        <item x="443"/>
        <item x="457"/>
        <item x="47"/>
        <item x="469"/>
        <item x="380"/>
        <item x="403"/>
        <item x="480"/>
        <item x="456"/>
        <item x="442"/>
        <item x="331"/>
        <item x="314"/>
        <item x="226"/>
        <item x="163"/>
        <item x="233"/>
        <item x="259"/>
        <item x="282"/>
        <item x="247"/>
        <item x="270"/>
        <item x="391"/>
        <item x="413"/>
        <item x="229"/>
        <item x="490"/>
        <item x="346"/>
        <item x="11"/>
        <item x="44"/>
        <item x="315"/>
        <item x="332"/>
        <item x="214"/>
        <item x="345"/>
        <item x="144"/>
        <item x="459"/>
        <item x="381"/>
        <item x="404"/>
        <item x="153"/>
        <item x="106"/>
        <item x="88"/>
        <item x="128"/>
        <item x="94"/>
        <item x="197"/>
        <item x="423"/>
        <item x="379"/>
        <item x="402"/>
        <item x="230"/>
        <item x="227"/>
        <item x="234"/>
        <item x="211"/>
        <item x="484"/>
        <item x="203"/>
        <item x="35"/>
        <item x="354"/>
        <item x="17"/>
        <item x="481"/>
        <item x="405"/>
        <item x="382"/>
        <item x="288"/>
        <item x="239"/>
        <item x="296"/>
        <item x="140"/>
        <item x="118"/>
        <item x="306"/>
        <item x="20"/>
        <item x="323"/>
        <item x="202"/>
        <item x="487"/>
        <item x="186"/>
        <item x="175"/>
        <item x="34"/>
        <item x="164"/>
        <item x="148"/>
        <item x="157"/>
        <item x="210"/>
        <item x="461"/>
        <item x="43"/>
        <item x="293"/>
        <item x="308"/>
        <item x="131"/>
        <item x="109"/>
        <item x="477"/>
        <item x="347"/>
        <item x="325"/>
        <item x="69"/>
        <item x="82"/>
        <item x="21"/>
        <item x="213"/>
        <item x="418"/>
        <item x="209"/>
        <item x="162"/>
        <item x="436"/>
        <item x="450"/>
        <item x="287"/>
        <item x="42"/>
        <item x="437"/>
        <item x="377"/>
        <item x="451"/>
        <item x="351"/>
        <item x="474"/>
        <item x="12"/>
        <item x="400"/>
        <item x="71"/>
        <item x="67"/>
        <item x="463"/>
        <item x="84"/>
        <item x="486"/>
        <item x="117"/>
        <item x="139"/>
        <item x="225"/>
        <item x="273"/>
        <item x="232"/>
        <item x="250"/>
        <item x="228"/>
        <item x="289"/>
        <item x="432"/>
        <item x="446"/>
        <item x="181"/>
        <item x="192"/>
        <item x="54"/>
        <item x="494"/>
        <item x="471"/>
        <item x="191"/>
        <item x="180"/>
        <item x="318"/>
        <item x="72"/>
        <item x="335"/>
        <item x="312"/>
        <item x="329"/>
        <item x="258"/>
        <item x="281"/>
        <item x="427"/>
        <item x="353"/>
        <item x="389"/>
        <item x="18"/>
        <item x="478"/>
        <item x="65"/>
        <item x="489"/>
        <item x="390"/>
        <item x="412"/>
        <item x="257"/>
        <item x="280"/>
        <item x="455"/>
        <item x="441"/>
        <item x="475"/>
        <item x="462"/>
        <item x="176"/>
        <item x="187"/>
        <item x="493"/>
        <item x="165"/>
        <item x="48"/>
        <item x="378"/>
        <item x="401"/>
        <item x="75"/>
        <item x="87"/>
        <item x="419"/>
        <item x="166"/>
        <item x="79"/>
        <item x="61"/>
        <item x="64"/>
        <item x="51"/>
        <item x="56"/>
        <item x="63"/>
        <item x="218"/>
        <item x="53"/>
        <item x="224"/>
        <item x="358"/>
        <item x="304"/>
        <item x="55"/>
        <item x="217"/>
        <item x="66"/>
        <item x="361"/>
        <item x="319"/>
        <item x="336"/>
        <item x="52"/>
        <item x="465"/>
        <item x="62"/>
        <item x="220"/>
        <item x="222"/>
        <item x="360"/>
        <item x="216"/>
        <item x="356"/>
        <item x="73"/>
        <item x="85"/>
        <item x="357"/>
        <item x="464"/>
        <item x="363"/>
        <item x="223"/>
        <item x="221"/>
        <item x="359"/>
        <item x="362"/>
        <item x="417"/>
        <item x="2"/>
        <item x="286"/>
        <item x="77"/>
        <item x="431"/>
        <item x="445"/>
        <item x="371"/>
        <item x="364"/>
        <item x="367"/>
        <item x="365"/>
        <item x="388"/>
        <item x="411"/>
        <item x="172"/>
        <item x="183"/>
        <item x="485"/>
        <item x="440"/>
        <item x="170"/>
        <item x="454"/>
        <item x="439"/>
        <item x="453"/>
        <item x="179"/>
        <item x="190"/>
        <item x="1"/>
        <item x="470"/>
        <item x="103"/>
        <item x="178"/>
        <item x="126"/>
        <item x="189"/>
        <item x="472"/>
        <item x="169"/>
        <item x="74"/>
        <item x="86"/>
        <item x="78"/>
        <item x="317"/>
        <item x="173"/>
        <item x="334"/>
        <item x="184"/>
        <item x="468"/>
        <item x="145"/>
        <item x="105"/>
        <item x="70"/>
        <item x="83"/>
        <item x="127"/>
        <item x="154"/>
        <item x="245"/>
        <item x="268"/>
        <item x="5"/>
        <item x="246"/>
        <item x="269"/>
        <item x="168"/>
        <item x="255"/>
        <item x="428"/>
        <item x="278"/>
        <item x="171"/>
        <item x="3"/>
        <item x="430"/>
        <item x="115"/>
        <item x="433"/>
        <item x="68"/>
        <item x="182"/>
        <item x="137"/>
        <item x="81"/>
        <item x="447"/>
        <item x="146"/>
        <item x="76"/>
        <item x="155"/>
        <item x="309"/>
        <item x="243"/>
        <item x="326"/>
        <item x="266"/>
        <item x="49"/>
        <item x="310"/>
        <item x="8"/>
        <item x="327"/>
        <item x="7"/>
        <item x="438"/>
        <item x="452"/>
        <item x="387"/>
        <item x="410"/>
        <item x="101"/>
        <item x="124"/>
        <item x="161"/>
        <item x="242"/>
        <item x="265"/>
        <item x="143"/>
        <item x="152"/>
        <item x="93"/>
        <item x="374"/>
        <item x="6"/>
        <item x="397"/>
        <item x="116"/>
        <item x="256"/>
        <item x="138"/>
        <item x="386"/>
        <item x="279"/>
        <item x="100"/>
        <item x="409"/>
        <item x="123"/>
        <item x="0"/>
        <item x="303"/>
        <item x="429"/>
        <item x="444"/>
        <item x="16"/>
        <item x="375"/>
        <item x="254"/>
        <item x="398"/>
        <item x="241"/>
        <item x="277"/>
        <item x="264"/>
        <item x="33"/>
        <item x="373"/>
        <item x="396"/>
        <item x="302"/>
        <item x="24"/>
        <item x="307"/>
        <item x="324"/>
        <item x="376"/>
        <item x="99"/>
        <item x="399"/>
        <item x="19"/>
        <item x="122"/>
        <item x="9"/>
        <item x="23"/>
        <item x="29"/>
        <item x="114"/>
        <item x="136"/>
        <item x="28"/>
        <item x="15"/>
        <item x="14"/>
        <item x="316"/>
        <item x="333"/>
        <item x="102"/>
        <item x="125"/>
        <item x="370"/>
        <item x="26"/>
        <item x="238"/>
        <item x="25"/>
        <item x="458"/>
        <item x="299"/>
        <item x="305"/>
        <item x="322"/>
        <item x="46"/>
        <item x="369"/>
        <item x="113"/>
        <item x="135"/>
        <item x="244"/>
        <item x="267"/>
        <item x="385"/>
        <item x="408"/>
        <item x="31"/>
        <item x="215"/>
        <item x="253"/>
        <item x="276"/>
        <item x="212"/>
        <item x="352"/>
        <item x="237"/>
        <item x="45"/>
        <item x="200"/>
        <item x="41"/>
        <item x="208"/>
        <item x="32"/>
        <item x="201"/>
        <item x="199"/>
        <item x="372"/>
        <item x="366"/>
        <item x="395"/>
        <item x="344"/>
        <item x="198"/>
        <item x="30"/>
        <item x="343"/>
        <item x="27"/>
        <item x="92"/>
        <item x="98"/>
        <item x="240"/>
        <item x="121"/>
        <item x="231"/>
        <item x="263"/>
        <item x="22"/>
        <item x="80"/>
        <item x="167"/>
        <item x="60"/>
        <item t="default"/>
      </items>
    </pivotField>
    <pivotField dataField="1" compact="0" outline="0" multipleItemSelectionAllowed="1" showAll="0">
      <items count="501">
        <item x="2"/>
        <item x="431"/>
        <item x="112"/>
        <item x="90"/>
        <item x="223"/>
        <item x="177"/>
        <item x="330"/>
        <item x="220"/>
        <item x="221"/>
        <item x="388"/>
        <item x="411"/>
        <item x="130"/>
        <item x="139"/>
        <item x="274"/>
        <item x="251"/>
        <item x="421"/>
        <item x="399"/>
        <item x="316"/>
        <item x="299"/>
        <item x="412"/>
        <item x="389"/>
        <item x="329"/>
        <item x="301"/>
        <item x="318"/>
        <item x="327"/>
        <item x="483"/>
        <item x="281"/>
        <item x="338"/>
        <item x="283"/>
        <item x="326"/>
        <item x="309"/>
        <item x="37"/>
        <item x="328"/>
        <item x="420"/>
        <item x="398"/>
        <item x="222"/>
        <item x="499"/>
        <item x="427"/>
        <item x="284"/>
        <item x="170"/>
        <item x="159"/>
        <item x="83"/>
        <item x="89"/>
        <item x="111"/>
        <item x="219"/>
        <item x="497"/>
        <item x="477"/>
        <item x="339"/>
        <item x="189"/>
        <item x="372"/>
        <item x="198"/>
        <item x="493"/>
        <item x="464"/>
        <item x="453"/>
        <item x="438"/>
        <item x="91"/>
        <item x="113"/>
        <item x="240"/>
        <item x="263"/>
        <item x="178"/>
        <item x="241"/>
        <item x="264"/>
        <item x="175"/>
        <item x="480"/>
        <item x="429"/>
        <item x="10"/>
        <item x="498"/>
        <item x="98"/>
        <item x="120"/>
        <item x="430"/>
        <item x="249"/>
        <item x="272"/>
        <item x="373"/>
        <item x="279"/>
        <item x="129"/>
        <item x="138"/>
        <item x="188"/>
        <item x="55"/>
        <item x="36"/>
        <item x="489"/>
        <item x="426"/>
        <item x="48"/>
        <item x="308"/>
        <item x="325"/>
        <item x="452"/>
        <item x="437"/>
        <item x="238"/>
        <item x="261"/>
        <item x="337"/>
        <item x="237"/>
        <item x="260"/>
        <item x="187"/>
        <item x="126"/>
        <item x="474"/>
        <item x="156"/>
        <item x="397"/>
        <item x="419"/>
        <item x="128"/>
        <item x="167"/>
        <item x="109"/>
        <item x="87"/>
        <item x="35"/>
        <item x="492"/>
        <item x="135"/>
        <item x="346"/>
        <item x="137"/>
        <item x="17"/>
        <item x="273"/>
        <item x="250"/>
        <item x="99"/>
        <item x="121"/>
        <item x="207"/>
        <item x="176"/>
        <item x="86"/>
        <item x="108"/>
        <item x="280"/>
        <item x="34"/>
        <item x="484"/>
        <item x="425"/>
        <item x="471"/>
        <item x="446"/>
        <item x="461"/>
        <item x="385"/>
        <item x="408"/>
        <item x="495"/>
        <item x="481"/>
        <item x="193"/>
        <item x="460"/>
        <item x="445"/>
        <item x="319"/>
        <item x="186"/>
        <item x="302"/>
        <item x="236"/>
        <item x="259"/>
        <item x="142"/>
        <item x="491"/>
        <item x="335"/>
        <item x="7"/>
        <item x="45"/>
        <item x="303"/>
        <item x="320"/>
        <item x="123"/>
        <item x="386"/>
        <item x="409"/>
        <item x="85"/>
        <item x="107"/>
        <item x="248"/>
        <item x="271"/>
        <item x="463"/>
        <item x="185"/>
        <item x="396"/>
        <item x="418"/>
        <item x="132"/>
        <item x="141"/>
        <item x="33"/>
        <item x="41"/>
        <item x="345"/>
        <item x="485"/>
        <item x="384"/>
        <item x="407"/>
        <item x="410"/>
        <item x="387"/>
        <item x="8"/>
        <item x="341"/>
        <item x="482"/>
        <item x="206"/>
        <item x="212"/>
        <item x="228"/>
        <item x="285"/>
        <item x="217"/>
        <item x="184"/>
        <item x="277"/>
        <item x="294"/>
        <item x="311"/>
        <item x="32"/>
        <item x="342"/>
        <item x="488"/>
        <item x="168"/>
        <item x="157"/>
        <item x="119"/>
        <item x="428"/>
        <item x="97"/>
        <item x="140"/>
        <item x="127"/>
        <item x="136"/>
        <item x="40"/>
        <item x="336"/>
        <item x="9"/>
        <item x="191"/>
        <item x="282"/>
        <item x="296"/>
        <item x="478"/>
        <item x="313"/>
        <item x="110"/>
        <item x="149"/>
        <item x="88"/>
        <item x="18"/>
        <item x="39"/>
        <item x="64"/>
        <item x="190"/>
        <item x="357"/>
        <item x="204"/>
        <item x="368"/>
        <item x="439"/>
        <item x="454"/>
        <item x="215"/>
        <item x="210"/>
        <item x="276"/>
        <item x="440"/>
        <item x="382"/>
        <item x="455"/>
        <item x="356"/>
        <item x="475"/>
        <item x="15"/>
        <item x="405"/>
        <item x="367"/>
        <item x="262"/>
        <item x="239"/>
        <item x="96"/>
        <item x="118"/>
        <item x="192"/>
        <item x="466"/>
        <item x="146"/>
        <item x="487"/>
        <item x="19"/>
        <item x="423"/>
        <item x="434"/>
        <item x="449"/>
        <item x="163"/>
        <item x="174"/>
        <item x="278"/>
        <item x="54"/>
        <item x="496"/>
        <item x="472"/>
        <item x="173"/>
        <item x="162"/>
        <item x="306"/>
        <item x="323"/>
        <item x="247"/>
        <item x="270"/>
        <item x="358"/>
        <item x="300"/>
        <item x="317"/>
        <item x="369"/>
        <item x="148"/>
        <item x="394"/>
        <item x="286"/>
        <item x="395"/>
        <item x="53"/>
        <item x="417"/>
        <item x="479"/>
        <item x="344"/>
        <item x="144"/>
        <item x="490"/>
        <item x="246"/>
        <item x="269"/>
        <item x="60"/>
        <item x="459"/>
        <item x="444"/>
        <item x="46"/>
        <item x="476"/>
        <item x="465"/>
        <item x="158"/>
        <item x="169"/>
        <item x="494"/>
        <item x="145"/>
        <item x="383"/>
        <item x="406"/>
        <item x="424"/>
        <item x="467"/>
        <item x="59"/>
        <item x="57"/>
        <item x="52"/>
        <item x="61"/>
        <item x="50"/>
        <item x="202"/>
        <item x="197"/>
        <item x="62"/>
        <item x="51"/>
        <item x="353"/>
        <item x="63"/>
        <item x="196"/>
        <item x="292"/>
        <item x="58"/>
        <item x="200"/>
        <item x="349"/>
        <item x="307"/>
        <item x="324"/>
        <item x="468"/>
        <item x="352"/>
        <item x="199"/>
        <item x="201"/>
        <item x="350"/>
        <item x="195"/>
        <item x="66"/>
        <item x="347"/>
        <item x="362"/>
        <item x="288"/>
        <item x="71"/>
        <item x="287"/>
        <item x="348"/>
        <item x="351"/>
        <item x="359"/>
        <item x="370"/>
        <item x="1"/>
        <item x="422"/>
        <item x="73"/>
        <item x="76"/>
        <item x="275"/>
        <item x="433"/>
        <item x="448"/>
        <item x="225"/>
        <item x="67"/>
        <item x="376"/>
        <item x="72"/>
        <item x="393"/>
        <item x="416"/>
        <item x="154"/>
        <item x="165"/>
        <item x="486"/>
        <item x="443"/>
        <item x="152"/>
        <item x="458"/>
        <item x="442"/>
        <item x="457"/>
        <item x="161"/>
        <item x="172"/>
        <item x="355"/>
        <item x="0"/>
        <item x="470"/>
        <item x="366"/>
        <item x="82"/>
        <item x="65"/>
        <item x="160"/>
        <item x="105"/>
        <item x="70"/>
        <item x="171"/>
        <item x="473"/>
        <item x="151"/>
        <item x="224"/>
        <item x="360"/>
        <item x="371"/>
        <item x="363"/>
        <item x="305"/>
        <item x="155"/>
        <item x="322"/>
        <item x="205"/>
        <item x="166"/>
        <item x="216"/>
        <item x="469"/>
        <item x="124"/>
        <item x="84"/>
        <item x="208"/>
        <item x="106"/>
        <item x="211"/>
        <item x="218"/>
        <item x="133"/>
        <item x="234"/>
        <item x="4"/>
        <item x="257"/>
        <item x="68"/>
        <item x="235"/>
        <item x="258"/>
        <item x="361"/>
        <item x="354"/>
        <item x="365"/>
        <item x="203"/>
        <item x="209"/>
        <item x="214"/>
        <item x="47"/>
        <item x="150"/>
        <item x="435"/>
        <item x="153"/>
        <item x="5"/>
        <item x="450"/>
        <item x="94"/>
        <item x="436"/>
        <item x="164"/>
        <item x="116"/>
        <item x="451"/>
        <item x="244"/>
        <item x="267"/>
        <item x="297"/>
        <item x="314"/>
        <item x="298"/>
        <item x="6"/>
        <item x="315"/>
        <item x="125"/>
        <item x="134"/>
        <item x="14"/>
        <item x="441"/>
        <item x="456"/>
        <item x="392"/>
        <item x="415"/>
        <item x="232"/>
        <item x="31"/>
        <item x="255"/>
        <item x="231"/>
        <item x="254"/>
        <item x="75"/>
        <item x="80"/>
        <item x="103"/>
        <item x="43"/>
        <item x="379"/>
        <item x="122"/>
        <item x="402"/>
        <item x="95"/>
        <item x="131"/>
        <item x="245"/>
        <item x="117"/>
        <item x="268"/>
        <item x="79"/>
        <item x="102"/>
        <item x="143"/>
        <item x="291"/>
        <item x="432"/>
        <item x="447"/>
        <item x="27"/>
        <item x="380"/>
        <item x="30"/>
        <item x="230"/>
        <item x="403"/>
        <item x="391"/>
        <item x="253"/>
        <item x="414"/>
        <item x="290"/>
        <item x="13"/>
        <item x="295"/>
        <item x="312"/>
        <item x="78"/>
        <item x="378"/>
        <item x="16"/>
        <item x="101"/>
        <item x="401"/>
        <item x="381"/>
        <item x="243"/>
        <item x="404"/>
        <item x="266"/>
        <item x="3"/>
        <item x="22"/>
        <item x="21"/>
        <item x="179"/>
        <item x="25"/>
        <item x="93"/>
        <item x="115"/>
        <item x="12"/>
        <item x="304"/>
        <item x="321"/>
        <item x="181"/>
        <item x="81"/>
        <item x="375"/>
        <item x="104"/>
        <item x="23"/>
        <item x="227"/>
        <item x="11"/>
        <item x="289"/>
        <item x="293"/>
        <item x="310"/>
        <item x="44"/>
        <item x="462"/>
        <item x="92"/>
        <item x="114"/>
        <item x="233"/>
        <item x="331"/>
        <item x="256"/>
        <item x="374"/>
        <item x="390"/>
        <item x="413"/>
        <item x="28"/>
        <item x="49"/>
        <item x="242"/>
        <item x="265"/>
        <item x="194"/>
        <item x="343"/>
        <item x="226"/>
        <item x="42"/>
        <item x="38"/>
        <item x="334"/>
        <item x="182"/>
        <item x="29"/>
        <item x="340"/>
        <item x="183"/>
        <item x="377"/>
        <item x="364"/>
        <item x="400"/>
        <item x="180"/>
        <item x="26"/>
        <item x="333"/>
        <item x="24"/>
        <item x="332"/>
        <item x="77"/>
        <item x="74"/>
        <item x="100"/>
        <item x="20"/>
        <item x="229"/>
        <item x="213"/>
        <item x="252"/>
        <item x="69"/>
        <item x="147"/>
        <item x="56"/>
        <item t="default"/>
      </items>
    </pivotField>
  </pivotFields>
  <rowFields count="1">
    <field x="-2"/>
  </rowFields>
  <row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rowItems>
  <colFields count="1">
    <field x="4"/>
  </colFields>
  <colItems count="6">
    <i>
      <x v="12"/>
    </i>
    <i>
      <x v="13"/>
    </i>
    <i>
      <x v="19"/>
    </i>
    <i>
      <x v="28"/>
    </i>
    <i>
      <x v="29"/>
    </i>
    <i t="grand">
      <x/>
    </i>
  </colItems>
  <pageFields count="4">
    <pageField fld="0"/>
    <pageField fld="1"/>
    <pageField fld="2"/>
    <pageField fld="3"/>
  </pageFields>
  <dataFields count="12">
    <dataField name="2025年1月" fld="5" baseField="0" baseItem="0"/>
    <dataField name="2025年2月" fld="6" baseField="0" baseItem="0"/>
    <dataField name="2025年3月" fld="7" baseField="0" baseItem="0"/>
    <dataField name="2025年4月" fld="8" baseField="0" baseItem="0"/>
    <dataField name="2025年5月" fld="9" baseField="0" baseItem="0"/>
    <dataField name="2025年6月" fld="10" baseField="0" baseItem="0"/>
    <dataField name="2025年7月" fld="11" baseField="0" baseItem="0"/>
    <dataField name="2025年8月" fld="12" baseField="0" baseItem="0"/>
    <dataField name="2025年9月" fld="13" baseField="0" baseItem="0"/>
    <dataField name="2025年10月" fld="14" baseField="0" baseItem="0"/>
    <dataField name="2025年11月" fld="15" baseField="0" baseItem="0"/>
    <dataField name="2025年12月" fld="16" baseField="0" baseItem="0"/>
  </dataFields>
  <pivotTableStyleInfo showRowHeaders="1" showColHeaders="1" showLastColumn="1"/>
</pivotTableDefinition>
</file>

<file path=xl/pivotTables/pivotTable4.xml><?xml version="1.0" encoding="utf-8"?>
<pivotTableDefinition xmlns="http://schemas.openxmlformats.org/spreadsheetml/2006/main" name="2025统计 4" cacheId="0" dataOnRows="1" autoFormatId="1" applyNumberFormats="0" applyBorderFormats="0" applyFontFormats="0" applyPatternFormats="0" applyAlignmentFormats="0" applyWidthHeightFormats="1" dataCaption="" updatedVersion="5" compact="0" compactData="0" showDrill="1">
  <location ref="A41:I54" firstHeaderRow="1" firstDataRow="2" firstDataCol="1" rowPageCount="4" colPageCount="1"/>
  <pivotFields count="17">
    <pivotField axis="axisCol" compact="0" outline="0" multipleItemSelectionAllowed="1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Page" compact="0" outline="0" multipleItemSelectionAllowed="1" showAll="0">
      <items count="4">
        <item h="1" x="0"/>
        <item h="1" x="1"/>
        <item x="2"/>
        <item t="default"/>
      </items>
    </pivotField>
    <pivotField axis="axisPage" compact="0" outline="0" multipleItemSelectionAllowed="1" showAll="0">
      <items count="11">
        <item h="1" x="0"/>
        <item x="1"/>
        <item h="1" x="2"/>
        <item h="1" x="3"/>
        <item h="1" x="4"/>
        <item h="1" x="5"/>
        <item h="1" x="6"/>
        <item h="1" x="7"/>
        <item h="1" x="8"/>
        <item h="1" x="9"/>
        <item t="default"/>
      </items>
    </pivotField>
    <pivotField axis="axisPage" compact="0" outline="0" multipleItemSelectionAllowed="1" showAll="0">
      <items count="18">
        <item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t="default"/>
      </items>
    </pivotField>
    <pivotField axis="axisPage" compact="0" outline="0" multipleItemSelectionAllowed="1" showAll="0">
      <items count="43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t="default"/>
      </items>
    </pivotField>
    <pivotField dataField="1" compact="0" outline="0" multipleItemSelectionAllowed="1" showAll="0">
      <items count="114">
        <item x="1"/>
        <item x="96"/>
        <item x="56"/>
        <item x="112"/>
        <item x="29"/>
        <item x="25"/>
        <item x="58"/>
        <item x="59"/>
        <item x="77"/>
        <item x="97"/>
        <item x="55"/>
        <item x="110"/>
        <item x="109"/>
        <item x="104"/>
        <item x="111"/>
        <item x="14"/>
        <item x="64"/>
        <item x="70"/>
        <item x="98"/>
        <item x="65"/>
        <item x="71"/>
        <item x="88"/>
        <item x="84"/>
        <item x="94"/>
        <item x="95"/>
        <item x="27"/>
        <item x="31"/>
        <item x="72"/>
        <item x="66"/>
        <item x="34"/>
        <item x="35"/>
        <item x="68"/>
        <item x="62"/>
        <item x="7"/>
        <item x="57"/>
        <item x="28"/>
        <item x="32"/>
        <item x="54"/>
        <item x="8"/>
        <item x="102"/>
        <item x="107"/>
        <item x="40"/>
        <item x="50"/>
        <item x="41"/>
        <item x="51"/>
        <item x="105"/>
        <item x="100"/>
        <item x="6"/>
        <item x="30"/>
        <item x="26"/>
        <item x="101"/>
        <item x="106"/>
        <item x="36"/>
        <item x="108"/>
        <item x="103"/>
        <item x="63"/>
        <item x="69"/>
        <item x="9"/>
        <item x="12"/>
        <item x="78"/>
        <item x="45"/>
        <item x="42"/>
        <item x="52"/>
        <item x="67"/>
        <item x="73"/>
        <item x="3"/>
        <item x="38"/>
        <item x="48"/>
        <item x="82"/>
        <item x="92"/>
        <item x="86"/>
        <item x="16"/>
        <item x="21"/>
        <item x="80"/>
        <item x="90"/>
        <item x="61"/>
        <item x="81"/>
        <item x="91"/>
        <item x="83"/>
        <item x="93"/>
        <item x="87"/>
        <item x="2"/>
        <item x="23"/>
        <item x="24"/>
        <item x="17"/>
        <item x="22"/>
        <item x="5"/>
        <item x="79"/>
        <item x="99"/>
        <item x="89"/>
        <item x="85"/>
        <item x="39"/>
        <item x="49"/>
        <item x="60"/>
        <item x="4"/>
        <item x="43"/>
        <item x="53"/>
        <item x="15"/>
        <item x="20"/>
        <item x="46"/>
        <item x="33"/>
        <item x="37"/>
        <item x="47"/>
        <item x="44"/>
        <item x="0"/>
        <item x="75"/>
        <item x="74"/>
        <item x="76"/>
        <item x="13"/>
        <item x="19"/>
        <item x="18"/>
        <item x="10"/>
        <item x="11"/>
        <item t="default"/>
      </items>
    </pivotField>
    <pivotField dataField="1" compact="0" outline="0" multipleItemSelectionAllowed="1" showAll="0">
      <items count="162">
        <item x="1"/>
        <item x="152"/>
        <item x="98"/>
        <item x="160"/>
        <item x="100"/>
        <item x="25"/>
        <item x="101"/>
        <item x="105"/>
        <item x="147"/>
        <item x="135"/>
        <item x="150"/>
        <item x="97"/>
        <item x="157"/>
        <item x="155"/>
        <item x="119"/>
        <item x="149"/>
        <item x="153"/>
        <item x="51"/>
        <item x="39"/>
        <item x="45"/>
        <item x="33"/>
        <item x="156"/>
        <item x="35"/>
        <item x="47"/>
        <item x="154"/>
        <item x="77"/>
        <item x="90"/>
        <item x="151"/>
        <item x="118"/>
        <item x="78"/>
        <item x="91"/>
        <item x="131"/>
        <item x="143"/>
        <item x="61"/>
        <item x="36"/>
        <item x="48"/>
        <item x="94"/>
        <item x="81"/>
        <item x="9"/>
        <item x="145"/>
        <item x="133"/>
        <item x="148"/>
        <item x="62"/>
        <item x="88"/>
        <item x="75"/>
        <item x="11"/>
        <item x="107"/>
        <item x="146"/>
        <item x="134"/>
        <item x="99"/>
        <item x="96"/>
        <item x="140"/>
        <item x="128"/>
        <item x="8"/>
        <item x="24"/>
        <item x="27"/>
        <item x="121"/>
        <item x="158"/>
        <item x="112"/>
        <item x="73"/>
        <item x="117"/>
        <item x="86"/>
        <item x="74"/>
        <item x="87"/>
        <item x="123"/>
        <item x="38"/>
        <item x="50"/>
        <item x="40"/>
        <item x="52"/>
        <item x="10"/>
        <item x="132"/>
        <item x="144"/>
        <item x="63"/>
        <item x="159"/>
        <item x="76"/>
        <item x="89"/>
        <item x="64"/>
        <item x="127"/>
        <item x="139"/>
        <item x="108"/>
        <item x="46"/>
        <item x="34"/>
        <item x="66"/>
        <item x="19"/>
        <item x="16"/>
        <item x="14"/>
        <item x="79"/>
        <item x="92"/>
        <item x="65"/>
        <item x="82"/>
        <item x="95"/>
        <item x="12"/>
        <item x="29"/>
        <item x="109"/>
        <item x="0"/>
        <item x="71"/>
        <item x="84"/>
        <item x="129"/>
        <item x="141"/>
        <item x="31"/>
        <item x="43"/>
        <item x="69"/>
        <item x="59"/>
        <item x="58"/>
        <item x="60"/>
        <item x="130"/>
        <item x="142"/>
        <item x="2"/>
        <item x="54"/>
        <item x="126"/>
        <item x="138"/>
        <item x="56"/>
        <item x="53"/>
        <item x="55"/>
        <item x="32"/>
        <item x="44"/>
        <item x="111"/>
        <item x="116"/>
        <item x="120"/>
        <item x="5"/>
        <item x="110"/>
        <item x="72"/>
        <item x="113"/>
        <item x="115"/>
        <item x="85"/>
        <item x="68"/>
        <item x="3"/>
        <item x="125"/>
        <item x="137"/>
        <item x="80"/>
        <item x="93"/>
        <item x="6"/>
        <item x="70"/>
        <item x="83"/>
        <item x="67"/>
        <item x="122"/>
        <item x="7"/>
        <item x="124"/>
        <item x="136"/>
        <item x="114"/>
        <item x="4"/>
        <item x="102"/>
        <item x="103"/>
        <item x="104"/>
        <item x="106"/>
        <item x="37"/>
        <item x="49"/>
        <item x="17"/>
        <item x="23"/>
        <item x="20"/>
        <item x="15"/>
        <item x="22"/>
        <item x="18"/>
        <item x="30"/>
        <item x="42"/>
        <item x="28"/>
        <item x="41"/>
        <item x="26"/>
        <item x="21"/>
        <item x="57"/>
        <item x="13"/>
        <item t="default"/>
      </items>
    </pivotField>
    <pivotField dataField="1" compact="0" outline="0" multipleItemSelectionAllowed="1" showAll="0">
      <items count="209">
        <item x="3"/>
        <item x="172"/>
        <item x="117"/>
        <item x="26"/>
        <item x="29"/>
        <item x="189"/>
        <item x="207"/>
        <item x="156"/>
        <item x="142"/>
        <item x="119"/>
        <item x="50"/>
        <item x="35"/>
        <item x="165"/>
        <item x="151"/>
        <item x="62"/>
        <item x="66"/>
        <item x="120"/>
        <item x="135"/>
        <item x="124"/>
        <item x="169"/>
        <item x="196"/>
        <item x="84"/>
        <item x="190"/>
        <item x="188"/>
        <item x="179"/>
        <item x="206"/>
        <item x="198"/>
        <item x="51"/>
        <item x="36"/>
        <item x="171"/>
        <item x="167"/>
        <item x="116"/>
        <item x="59"/>
        <item x="44"/>
        <item x="204"/>
        <item x="130"/>
        <item x="38"/>
        <item x="53"/>
        <item x="186"/>
        <item x="95"/>
        <item x="109"/>
        <item x="170"/>
        <item x="197"/>
        <item x="168"/>
        <item x="147"/>
        <item x="161"/>
        <item x="191"/>
        <item x="183"/>
        <item x="125"/>
        <item x="199"/>
        <item x="176"/>
        <item x="193"/>
        <item x="112"/>
        <item x="98"/>
        <item x="163"/>
        <item x="149"/>
        <item x="12"/>
        <item x="73"/>
        <item x="100"/>
        <item x="114"/>
        <item x="39"/>
        <item x="54"/>
        <item x="205"/>
        <item x="75"/>
        <item x="180"/>
        <item x="106"/>
        <item x="92"/>
        <item x="166"/>
        <item x="23"/>
        <item x="16"/>
        <item x="22"/>
        <item x="25"/>
        <item x="94"/>
        <item x="108"/>
        <item x="164"/>
        <item x="150"/>
        <item x="5"/>
        <item x="157"/>
        <item x="143"/>
        <item x="200"/>
        <item x="13"/>
        <item x="118"/>
        <item x="115"/>
        <item x="74"/>
        <item x="64"/>
        <item x="68"/>
        <item x="181"/>
        <item x="177"/>
        <item x="15"/>
        <item x="14"/>
        <item x="185"/>
        <item x="182"/>
        <item x="192"/>
        <item x="91"/>
        <item x="105"/>
        <item x="43"/>
        <item x="58"/>
        <item x="45"/>
        <item x="60"/>
        <item x="202"/>
        <item x="194"/>
        <item x="18"/>
        <item x="107"/>
        <item x="93"/>
        <item x="78"/>
        <item x="184"/>
        <item x="21"/>
        <item x="201"/>
        <item x="178"/>
        <item x="79"/>
        <item x="148"/>
        <item x="162"/>
        <item x="187"/>
        <item x="17"/>
        <item x="195"/>
        <item x="20"/>
        <item x="173"/>
        <item x="99"/>
        <item x="113"/>
        <item x="174"/>
        <item x="52"/>
        <item x="37"/>
        <item x="141"/>
        <item x="155"/>
        <item x="203"/>
        <item x="6"/>
        <item x="127"/>
        <item x="96"/>
        <item x="110"/>
        <item x="31"/>
        <item x="81"/>
        <item x="80"/>
        <item x="126"/>
        <item x="83"/>
        <item x="28"/>
        <item x="41"/>
        <item x="56"/>
        <item x="1"/>
        <item x="88"/>
        <item x="102"/>
        <item x="145"/>
        <item x="159"/>
        <item x="33"/>
        <item x="48"/>
        <item x="90"/>
        <item x="104"/>
        <item x="70"/>
        <item x="129"/>
        <item x="134"/>
        <item x="131"/>
        <item x="128"/>
        <item x="71"/>
        <item x="133"/>
        <item x="72"/>
        <item x="146"/>
        <item x="160"/>
        <item x="4"/>
        <item x="63"/>
        <item x="140"/>
        <item x="154"/>
        <item x="67"/>
        <item x="137"/>
        <item x="86"/>
        <item x="61"/>
        <item x="65"/>
        <item x="34"/>
        <item x="49"/>
        <item x="2"/>
        <item x="89"/>
        <item x="103"/>
        <item x="85"/>
        <item x="0"/>
        <item x="97"/>
        <item x="111"/>
        <item x="144"/>
        <item x="158"/>
        <item x="9"/>
        <item x="139"/>
        <item x="153"/>
        <item x="136"/>
        <item x="87"/>
        <item x="7"/>
        <item x="101"/>
        <item x="82"/>
        <item x="11"/>
        <item x="121"/>
        <item x="122"/>
        <item x="123"/>
        <item x="138"/>
        <item x="175"/>
        <item x="152"/>
        <item x="132"/>
        <item x="40"/>
        <item x="55"/>
        <item x="42"/>
        <item x="57"/>
        <item x="10"/>
        <item x="77"/>
        <item x="8"/>
        <item x="76"/>
        <item x="32"/>
        <item x="47"/>
        <item x="30"/>
        <item x="46"/>
        <item x="27"/>
        <item x="24"/>
        <item x="69"/>
        <item x="19"/>
        <item t="default"/>
      </items>
    </pivotField>
    <pivotField dataField="1" compact="0" outline="0" multipleItemSelectionAllowed="1" showAll="0">
      <items count="296">
        <item x="3"/>
        <item x="262"/>
        <item x="50"/>
        <item x="292"/>
        <item x="144"/>
        <item x="245"/>
        <item x="230"/>
        <item x="57"/>
        <item x="270"/>
        <item x="184"/>
        <item x="166"/>
        <item x="98"/>
        <item x="103"/>
        <item x="222"/>
        <item x="204"/>
        <item x="293"/>
        <item x="190"/>
        <item x="141"/>
        <item x="203"/>
        <item x="199"/>
        <item x="187"/>
        <item x="259"/>
        <item x="274"/>
        <item x="191"/>
        <item x="294"/>
        <item x="49"/>
        <item x="56"/>
        <item x="47"/>
        <item x="165"/>
        <item x="183"/>
        <item x="285"/>
        <item x="278"/>
        <item x="54"/>
        <item x="255"/>
        <item x="240"/>
        <item x="74"/>
        <item x="64"/>
        <item x="82"/>
        <item x="92"/>
        <item x="291"/>
        <item x="156"/>
        <item x="174"/>
        <item x="289"/>
        <item x="227"/>
        <item x="67"/>
        <item x="85"/>
        <item x="261"/>
        <item x="257"/>
        <item x="158"/>
        <item x="176"/>
        <item x="142"/>
        <item x="113"/>
        <item x="267"/>
        <item x="48"/>
        <item x="268"/>
        <item x="260"/>
        <item x="55"/>
        <item x="275"/>
        <item x="91"/>
        <item x="73"/>
        <item x="18"/>
        <item x="139"/>
        <item x="258"/>
        <item x="95"/>
        <item x="207"/>
        <item x="100"/>
        <item x="284"/>
        <item x="282"/>
        <item x="159"/>
        <item x="286"/>
        <item x="177"/>
        <item x="238"/>
        <item x="21"/>
        <item x="253"/>
        <item x="279"/>
        <item x="117"/>
        <item x="155"/>
        <item x="173"/>
        <item x="68"/>
        <item x="86"/>
        <item x="112"/>
        <item x="288"/>
        <item x="83"/>
        <item x="65"/>
        <item x="290"/>
        <item x="108"/>
        <item x="192"/>
        <item x="194"/>
        <item x="17"/>
        <item x="276"/>
        <item x="209"/>
        <item x="239"/>
        <item x="254"/>
        <item x="256"/>
        <item x="111"/>
        <item x="247"/>
        <item x="232"/>
        <item x="231"/>
        <item x="246"/>
        <item x="271"/>
        <item x="154"/>
        <item x="172"/>
        <item x="265"/>
        <item x="115"/>
        <item x="280"/>
        <item x="7"/>
        <item x="206"/>
        <item x="118"/>
        <item x="164"/>
        <item x="182"/>
        <item x="216"/>
        <item x="127"/>
        <item x="211"/>
        <item x="116"/>
        <item x="143"/>
        <item x="140"/>
        <item x="189"/>
        <item x="10"/>
        <item x="97"/>
        <item x="102"/>
        <item x="277"/>
        <item x="186"/>
        <item x="266"/>
        <item x="188"/>
        <item x="236"/>
        <item x="251"/>
        <item x="27"/>
        <item x="185"/>
        <item x="93"/>
        <item x="75"/>
        <item x="16"/>
        <item x="175"/>
        <item x="157"/>
        <item x="208"/>
        <item x="72"/>
        <item x="90"/>
        <item x="114"/>
        <item x="283"/>
        <item x="272"/>
        <item x="6"/>
        <item x="281"/>
        <item x="20"/>
        <item x="229"/>
        <item x="244"/>
        <item x="24"/>
        <item x="84"/>
        <item x="66"/>
        <item x="181"/>
        <item x="163"/>
        <item x="237"/>
        <item x="252"/>
        <item x="9"/>
        <item x="287"/>
        <item x="30"/>
        <item x="269"/>
        <item x="263"/>
        <item x="31"/>
        <item x="273"/>
        <item x="264"/>
        <item x="33"/>
        <item x="23"/>
        <item x="43"/>
        <item x="213"/>
        <item x="39"/>
        <item x="212"/>
        <item x="28"/>
        <item x="25"/>
        <item x="29"/>
        <item x="119"/>
        <item x="162"/>
        <item x="180"/>
        <item x="36"/>
        <item x="40"/>
        <item x="59"/>
        <item x="77"/>
        <item x="46"/>
        <item x="198"/>
        <item x="202"/>
        <item x="2"/>
        <item x="38"/>
        <item x="234"/>
        <item x="249"/>
        <item x="35"/>
        <item x="45"/>
        <item x="123"/>
        <item x="135"/>
        <item x="62"/>
        <item x="80"/>
        <item x="152"/>
        <item x="170"/>
        <item x="105"/>
        <item x="153"/>
        <item x="106"/>
        <item x="171"/>
        <item x="218"/>
        <item x="107"/>
        <item x="215"/>
        <item x="51"/>
        <item x="70"/>
        <item x="221"/>
        <item x="88"/>
        <item x="235"/>
        <item x="250"/>
        <item x="4"/>
        <item x="217"/>
        <item x="214"/>
        <item x="96"/>
        <item x="220"/>
        <item x="228"/>
        <item x="53"/>
        <item x="243"/>
        <item x="101"/>
        <item x="34"/>
        <item x="44"/>
        <item x="94"/>
        <item x="99"/>
        <item x="124"/>
        <item x="136"/>
        <item x="63"/>
        <item x="81"/>
        <item x="37"/>
        <item x="32"/>
        <item x="42"/>
        <item x="60"/>
        <item x="1"/>
        <item x="78"/>
        <item x="126"/>
        <item x="138"/>
        <item x="130"/>
        <item x="151"/>
        <item x="169"/>
        <item x="224"/>
        <item x="145"/>
        <item x="5"/>
        <item x="121"/>
        <item x="133"/>
        <item x="0"/>
        <item x="150"/>
        <item x="168"/>
        <item x="226"/>
        <item x="242"/>
        <item x="223"/>
        <item x="12"/>
        <item x="233"/>
        <item x="248"/>
        <item x="8"/>
        <item x="161"/>
        <item x="195"/>
        <item x="197"/>
        <item x="179"/>
        <item x="201"/>
        <item x="193"/>
        <item x="196"/>
        <item x="200"/>
        <item x="147"/>
        <item x="22"/>
        <item x="71"/>
        <item x="89"/>
        <item x="19"/>
        <item x="69"/>
        <item x="87"/>
        <item x="225"/>
        <item x="210"/>
        <item x="219"/>
        <item x="241"/>
        <item x="205"/>
        <item x="122"/>
        <item x="134"/>
        <item x="15"/>
        <item x="14"/>
        <item x="61"/>
        <item x="79"/>
        <item x="110"/>
        <item x="13"/>
        <item x="146"/>
        <item x="129"/>
        <item x="11"/>
        <item x="125"/>
        <item x="137"/>
        <item x="160"/>
        <item x="178"/>
        <item x="148"/>
        <item x="109"/>
        <item x="128"/>
        <item x="120"/>
        <item x="132"/>
        <item x="58"/>
        <item x="52"/>
        <item x="76"/>
        <item x="41"/>
        <item x="149"/>
        <item x="131"/>
        <item x="167"/>
        <item x="104"/>
        <item x="26"/>
        <item t="default"/>
      </items>
    </pivotField>
    <pivotField dataField="1" compact="0" outline="0" multipleItemSelectionAllowed="1" showAll="0">
      <items count="346">
        <item x="1"/>
        <item x="303"/>
        <item x="342"/>
        <item x="319"/>
        <item x="51"/>
        <item x="61"/>
        <item x="157"/>
        <item x="202"/>
        <item x="257"/>
        <item x="181"/>
        <item x="49"/>
        <item x="59"/>
        <item x="224"/>
        <item x="70"/>
        <item x="90"/>
        <item x="343"/>
        <item x="209"/>
        <item x="223"/>
        <item x="158"/>
        <item x="218"/>
        <item x="296"/>
        <item x="279"/>
        <item x="203"/>
        <item x="182"/>
        <item x="315"/>
        <item x="210"/>
        <item x="255"/>
        <item x="344"/>
        <item x="180"/>
        <item x="201"/>
        <item x="300"/>
        <item x="50"/>
        <item x="60"/>
        <item x="48"/>
        <item x="106"/>
        <item x="58"/>
        <item x="72"/>
        <item x="92"/>
        <item x="114"/>
        <item x="109"/>
        <item x="117"/>
        <item x="171"/>
        <item x="192"/>
        <item x="46"/>
        <item x="341"/>
        <item x="57"/>
        <item x="314"/>
        <item x="14"/>
        <item x="173"/>
        <item x="194"/>
        <item x="156"/>
        <item x="317"/>
        <item x="327"/>
        <item x="301"/>
        <item x="324"/>
        <item x="80"/>
        <item x="100"/>
        <item x="313"/>
        <item x="206"/>
        <item x="323"/>
        <item x="332"/>
        <item x="316"/>
        <item x="73"/>
        <item x="108"/>
        <item x="93"/>
        <item x="234"/>
        <item x="302"/>
        <item x="298"/>
        <item x="155"/>
        <item x="116"/>
        <item x="335"/>
        <item x="334"/>
        <item x="256"/>
        <item x="230"/>
        <item x="277"/>
        <item x="294"/>
        <item x="329"/>
        <item x="336"/>
        <item x="278"/>
        <item x="295"/>
        <item x="328"/>
        <item x="254"/>
        <item x="128"/>
        <item x="69"/>
        <item x="89"/>
        <item x="174"/>
        <item x="195"/>
        <item x="339"/>
        <item x="338"/>
        <item x="68"/>
        <item x="137"/>
        <item x="88"/>
        <item x="340"/>
        <item x="269"/>
        <item x="286"/>
        <item x="138"/>
        <item x="122"/>
        <item x="103"/>
        <item x="214"/>
        <item x="221"/>
        <item x="170"/>
        <item x="191"/>
        <item x="111"/>
        <item x="21"/>
        <item x="23"/>
        <item x="15"/>
        <item x="307"/>
        <item x="299"/>
        <item x="18"/>
        <item x="325"/>
        <item x="227"/>
        <item x="169"/>
        <item x="190"/>
        <item x="134"/>
        <item x="330"/>
        <item x="288"/>
        <item x="271"/>
        <item x="235"/>
        <item x="99"/>
        <item x="79"/>
        <item x="131"/>
        <item x="320"/>
        <item x="127"/>
        <item x="287"/>
        <item x="270"/>
        <item x="81"/>
        <item x="101"/>
        <item x="133"/>
        <item x="179"/>
        <item x="200"/>
        <item x="12"/>
        <item x="297"/>
        <item x="262"/>
        <item x="161"/>
        <item x="19"/>
        <item x="144"/>
        <item x="154"/>
        <item x="208"/>
        <item x="268"/>
        <item x="285"/>
        <item x="24"/>
        <item x="147"/>
        <item x="107"/>
        <item x="115"/>
        <item x="13"/>
        <item x="308"/>
        <item x="326"/>
        <item x="205"/>
        <item x="16"/>
        <item x="78"/>
        <item x="98"/>
        <item x="207"/>
        <item x="275"/>
        <item x="292"/>
        <item x="130"/>
        <item x="193"/>
        <item x="172"/>
        <item x="309"/>
        <item x="27"/>
        <item x="17"/>
        <item x="40"/>
        <item x="143"/>
        <item x="331"/>
        <item x="153"/>
        <item x="28"/>
        <item x="41"/>
        <item x="204"/>
        <item x="132"/>
        <item x="333"/>
        <item x="321"/>
        <item x="146"/>
        <item x="228"/>
        <item x="20"/>
        <item x="310"/>
        <item x="91"/>
        <item x="142"/>
        <item x="71"/>
        <item x="152"/>
        <item x="337"/>
        <item x="148"/>
        <item x="199"/>
        <item x="178"/>
        <item x="243"/>
        <item x="253"/>
        <item x="211"/>
        <item x="246"/>
        <item x="304"/>
        <item x="305"/>
        <item x="233"/>
        <item x="276"/>
        <item x="293"/>
        <item x="318"/>
        <item x="141"/>
        <item x="151"/>
        <item x="322"/>
        <item x="236"/>
        <item x="136"/>
        <item x="231"/>
        <item x="312"/>
        <item x="232"/>
        <item x="177"/>
        <item x="229"/>
        <item x="198"/>
        <item x="237"/>
        <item x="311"/>
        <item x="139"/>
        <item x="135"/>
        <item x="217"/>
        <item x="222"/>
        <item x="0"/>
        <item x="66"/>
        <item x="86"/>
        <item x="165"/>
        <item x="186"/>
        <item x="140"/>
        <item x="150"/>
        <item x="145"/>
        <item x="32"/>
        <item x="44"/>
        <item x="36"/>
        <item x="119"/>
        <item x="167"/>
        <item x="120"/>
        <item x="188"/>
        <item x="121"/>
        <item x="34"/>
        <item x="30"/>
        <item x="273"/>
        <item x="42"/>
        <item x="290"/>
        <item x="274"/>
        <item x="291"/>
        <item x="3"/>
        <item x="104"/>
        <item x="112"/>
        <item x="241"/>
        <item x="251"/>
        <item x="239"/>
        <item x="249"/>
        <item x="265"/>
        <item x="76"/>
        <item x="282"/>
        <item x="96"/>
        <item x="53"/>
        <item x="67"/>
        <item x="87"/>
        <item x="26"/>
        <item x="39"/>
        <item x="240"/>
        <item x="250"/>
        <item x="4"/>
        <item x="258"/>
        <item x="168"/>
        <item x="189"/>
        <item x="64"/>
        <item x="84"/>
        <item x="63"/>
        <item x="83"/>
        <item x="47"/>
        <item x="164"/>
        <item x="5"/>
        <item x="105"/>
        <item x="113"/>
        <item x="45"/>
        <item x="56"/>
        <item x="185"/>
        <item x="267"/>
        <item x="284"/>
        <item x="259"/>
        <item x="55"/>
        <item x="266"/>
        <item x="283"/>
        <item x="2"/>
        <item x="29"/>
        <item x="163"/>
        <item x="184"/>
        <item x="264"/>
        <item x="281"/>
        <item x="9"/>
        <item x="31"/>
        <item x="43"/>
        <item x="102"/>
        <item x="110"/>
        <item x="242"/>
        <item x="245"/>
        <item x="7"/>
        <item x="252"/>
        <item x="213"/>
        <item x="216"/>
        <item x="238"/>
        <item x="244"/>
        <item x="220"/>
        <item x="212"/>
        <item x="215"/>
        <item x="248"/>
        <item x="176"/>
        <item x="75"/>
        <item x="219"/>
        <item x="95"/>
        <item x="197"/>
        <item x="124"/>
        <item x="261"/>
        <item x="77"/>
        <item x="97"/>
        <item x="260"/>
        <item x="225"/>
        <item x="25"/>
        <item x="38"/>
        <item x="159"/>
        <item x="35"/>
        <item x="22"/>
        <item x="52"/>
        <item x="226"/>
        <item x="166"/>
        <item x="187"/>
        <item x="74"/>
        <item x="94"/>
        <item x="306"/>
        <item x="11"/>
        <item x="33"/>
        <item x="272"/>
        <item x="289"/>
        <item x="125"/>
        <item x="129"/>
        <item x="10"/>
        <item x="8"/>
        <item x="175"/>
        <item x="160"/>
        <item x="263"/>
        <item x="196"/>
        <item x="247"/>
        <item x="280"/>
        <item x="126"/>
        <item x="65"/>
        <item x="85"/>
        <item x="123"/>
        <item x="162"/>
        <item x="149"/>
        <item x="183"/>
        <item x="62"/>
        <item x="82"/>
        <item x="54"/>
        <item x="37"/>
        <item x="118"/>
        <item x="6"/>
        <item t="default"/>
      </items>
    </pivotField>
    <pivotField dataField="1" compact="0" outline="0" multipleItemSelectionAllowed="1" showAll="0">
      <items count="361">
        <item x="3"/>
        <item x="221"/>
        <item x="322"/>
        <item x="276"/>
        <item x="85"/>
        <item x="63"/>
        <item x="220"/>
        <item x="150"/>
        <item x="46"/>
        <item x="50"/>
        <item x="358"/>
        <item x="47"/>
        <item x="151"/>
        <item x="103"/>
        <item x="112"/>
        <item x="235"/>
        <item x="227"/>
        <item x="201"/>
        <item x="239"/>
        <item x="178"/>
        <item x="60"/>
        <item x="82"/>
        <item x="315"/>
        <item x="357"/>
        <item x="298"/>
        <item x="208"/>
        <item x="206"/>
        <item x="275"/>
        <item x="42"/>
        <item x="209"/>
        <item x="359"/>
        <item x="176"/>
        <item x="199"/>
        <item x="165"/>
        <item x="188"/>
        <item x="319"/>
        <item x="39"/>
        <item x="99"/>
        <item x="62"/>
        <item x="84"/>
        <item x="167"/>
        <item x="190"/>
        <item x="108"/>
        <item x="17"/>
        <item x="102"/>
        <item x="111"/>
        <item x="346"/>
        <item x="333"/>
        <item x="341"/>
        <item x="343"/>
        <item x="356"/>
        <item x="342"/>
        <item x="246"/>
        <item x="320"/>
        <item x="71"/>
        <item x="338"/>
        <item x="93"/>
        <item x="168"/>
        <item x="191"/>
        <item x="353"/>
        <item x="352"/>
        <item x="327"/>
        <item x="204"/>
        <item x="314"/>
        <item x="297"/>
        <item x="337"/>
        <item x="64"/>
        <item x="86"/>
        <item x="296"/>
        <item x="313"/>
        <item x="354"/>
        <item x="101"/>
        <item x="110"/>
        <item x="121"/>
        <item x="349"/>
        <item x="348"/>
        <item x="350"/>
        <item x="274"/>
        <item x="164"/>
        <item x="187"/>
        <item x="59"/>
        <item x="81"/>
        <item x="30"/>
        <item x="305"/>
        <item x="288"/>
        <item x="355"/>
        <item x="273"/>
        <item x="26"/>
        <item x="58"/>
        <item x="80"/>
        <item x="163"/>
        <item x="186"/>
        <item x="243"/>
        <item x="117"/>
        <item x="223"/>
        <item x="233"/>
        <item x="96"/>
        <item x="18"/>
        <item x="105"/>
        <item x="152"/>
        <item x="325"/>
        <item x="149"/>
        <item x="21"/>
        <item x="329"/>
        <item x="129"/>
        <item x="122"/>
        <item x="175"/>
        <item x="198"/>
        <item x="321"/>
        <item x="262"/>
        <item x="258"/>
        <item x="271"/>
        <item x="230"/>
        <item x="238"/>
        <item x="200"/>
        <item x="177"/>
        <item x="317"/>
        <item x="306"/>
        <item x="289"/>
        <item x="119"/>
        <item x="128"/>
        <item x="92"/>
        <item x="70"/>
        <item x="23"/>
        <item x="125"/>
        <item x="72"/>
        <item x="94"/>
        <item x="120"/>
        <item x="253"/>
        <item x="281"/>
        <item x="155"/>
        <item x="266"/>
        <item x="287"/>
        <item x="304"/>
        <item x="16"/>
        <item x="345"/>
        <item x="272"/>
        <item x="207"/>
        <item x="6"/>
        <item x="100"/>
        <item x="109"/>
        <item x="307"/>
        <item x="261"/>
        <item x="290"/>
        <item x="330"/>
        <item x="257"/>
        <item x="340"/>
        <item x="203"/>
        <item x="270"/>
        <item x="69"/>
        <item x="91"/>
        <item x="124"/>
        <item x="205"/>
        <item x="294"/>
        <item x="311"/>
        <item x="135"/>
        <item x="145"/>
        <item x="141"/>
        <item x="20"/>
        <item x="326"/>
        <item x="331"/>
        <item x="38"/>
        <item x="41"/>
        <item x="45"/>
        <item x="328"/>
        <item x="40"/>
        <item x="54"/>
        <item x="244"/>
        <item x="37"/>
        <item x="344"/>
        <item x="76"/>
        <item x="44"/>
        <item x="19"/>
        <item x="318"/>
        <item x="335"/>
        <item x="24"/>
        <item x="197"/>
        <item x="174"/>
        <item x="339"/>
        <item x="127"/>
        <item x="254"/>
        <item x="267"/>
        <item x="189"/>
        <item x="166"/>
        <item x="247"/>
        <item x="83"/>
        <item x="61"/>
        <item x="173"/>
        <item x="196"/>
        <item x="316"/>
        <item x="240"/>
        <item x="202"/>
        <item x="334"/>
        <item x="323"/>
        <item x="249"/>
        <item x="324"/>
        <item x="351"/>
        <item x="34"/>
        <item x="237"/>
        <item x="229"/>
        <item x="36"/>
        <item x="295"/>
        <item x="312"/>
        <item x="250"/>
        <item x="245"/>
        <item x="32"/>
        <item x="29"/>
        <item x="347"/>
        <item x="28"/>
        <item x="33"/>
        <item x="35"/>
        <item x="248"/>
        <item x="133"/>
        <item x="132"/>
        <item x="131"/>
        <item x="226"/>
        <item x="234"/>
        <item x="2"/>
        <item x="336"/>
        <item x="332"/>
        <item x="56"/>
        <item x="78"/>
        <item x="171"/>
        <item x="159"/>
        <item x="194"/>
        <item x="182"/>
        <item x="114"/>
        <item x="252"/>
        <item x="265"/>
        <item x="161"/>
        <item x="214"/>
        <item x="211"/>
        <item x="115"/>
        <item x="184"/>
        <item x="218"/>
        <item x="116"/>
        <item x="277"/>
        <item x="1"/>
        <item x="97"/>
        <item x="293"/>
        <item x="310"/>
        <item x="106"/>
        <item x="292"/>
        <item x="309"/>
        <item x="67"/>
        <item x="89"/>
        <item x="212"/>
        <item x="215"/>
        <item x="219"/>
        <item x="57"/>
        <item x="284"/>
        <item x="79"/>
        <item x="301"/>
        <item x="4"/>
        <item x="162"/>
        <item x="185"/>
        <item x="53"/>
        <item x="75"/>
        <item x="5"/>
        <item x="98"/>
        <item x="107"/>
        <item x="255"/>
        <item x="268"/>
        <item x="52"/>
        <item x="210"/>
        <item x="213"/>
        <item x="74"/>
        <item x="217"/>
        <item x="158"/>
        <item x="137"/>
        <item x="140"/>
        <item x="181"/>
        <item x="147"/>
        <item x="49"/>
        <item x="278"/>
        <item x="0"/>
        <item x="285"/>
        <item x="302"/>
        <item x="157"/>
        <item x="25"/>
        <item x="180"/>
        <item x="256"/>
        <item x="269"/>
        <item x="15"/>
        <item x="260"/>
        <item x="95"/>
        <item x="251"/>
        <item x="104"/>
        <item x="264"/>
        <item x="259"/>
        <item x="10"/>
        <item x="283"/>
        <item x="300"/>
        <item x="170"/>
        <item x="66"/>
        <item x="88"/>
        <item x="193"/>
        <item x="7"/>
        <item x="286"/>
        <item x="138"/>
        <item x="303"/>
        <item x="148"/>
        <item x="142"/>
        <item x="68"/>
        <item x="172"/>
        <item x="90"/>
        <item x="195"/>
        <item x="8"/>
        <item x="222"/>
        <item x="228"/>
        <item x="236"/>
        <item x="13"/>
        <item x="279"/>
        <item x="27"/>
        <item x="225"/>
        <item x="65"/>
        <item x="216"/>
        <item x="224"/>
        <item x="232"/>
        <item x="87"/>
        <item x="241"/>
        <item x="231"/>
        <item x="136"/>
        <item x="146"/>
        <item x="130"/>
        <item x="280"/>
        <item x="134"/>
        <item x="144"/>
        <item x="139"/>
        <item x="22"/>
        <item x="126"/>
        <item x="12"/>
        <item x="154"/>
        <item x="123"/>
        <item x="55"/>
        <item x="77"/>
        <item x="14"/>
        <item x="291"/>
        <item x="308"/>
        <item x="11"/>
        <item x="118"/>
        <item x="169"/>
        <item x="9"/>
        <item x="192"/>
        <item x="153"/>
        <item x="282"/>
        <item x="160"/>
        <item x="242"/>
        <item x="183"/>
        <item x="299"/>
        <item x="263"/>
        <item x="51"/>
        <item x="73"/>
        <item x="48"/>
        <item x="43"/>
        <item x="156"/>
        <item x="143"/>
        <item x="179"/>
        <item x="113"/>
        <item x="31"/>
        <item t="default"/>
      </items>
    </pivotField>
    <pivotField dataField="1" compact="0" outline="0" multipleItemSelectionAllowed="1" showAll="0">
      <items count="380">
        <item x="2"/>
        <item x="340"/>
        <item x="339"/>
        <item x="170"/>
        <item x="106"/>
        <item x="84"/>
        <item x="264"/>
        <item x="239"/>
        <item x="262"/>
        <item x="226"/>
        <item x="124"/>
        <item x="133"/>
        <item x="257"/>
        <item x="247"/>
        <item x="221"/>
        <item x="198"/>
        <item x="263"/>
        <item x="305"/>
        <item x="323"/>
        <item x="61"/>
        <item x="376"/>
        <item x="62"/>
        <item x="69"/>
        <item x="230"/>
        <item x="291"/>
        <item x="292"/>
        <item x="228"/>
        <item x="338"/>
        <item x="231"/>
        <item x="246"/>
        <item x="256"/>
        <item x="185"/>
        <item x="208"/>
        <item x="378"/>
        <item x="169"/>
        <item x="168"/>
        <item x="335"/>
        <item x="77"/>
        <item x="120"/>
        <item x="196"/>
        <item x="219"/>
        <item x="187"/>
        <item x="210"/>
        <item x="83"/>
        <item x="105"/>
        <item x="23"/>
        <item x="273"/>
        <item x="129"/>
        <item x="331"/>
        <item x="313"/>
        <item x="365"/>
        <item x="361"/>
        <item x="167"/>
        <item x="276"/>
        <item x="92"/>
        <item x="114"/>
        <item x="352"/>
        <item x="360"/>
        <item x="371"/>
        <item x="375"/>
        <item x="123"/>
        <item x="132"/>
        <item x="377"/>
        <item x="85"/>
        <item x="107"/>
        <item x="373"/>
        <item x="188"/>
        <item x="211"/>
        <item x="347"/>
        <item x="21"/>
        <item x="311"/>
        <item x="329"/>
        <item x="356"/>
        <item x="122"/>
        <item x="39"/>
        <item x="131"/>
        <item x="367"/>
        <item x="336"/>
        <item x="32"/>
        <item x="369"/>
        <item x="312"/>
        <item x="330"/>
        <item x="81"/>
        <item x="20"/>
        <item x="103"/>
        <item x="184"/>
        <item x="207"/>
        <item x="79"/>
        <item x="101"/>
        <item x="102"/>
        <item x="80"/>
        <item x="275"/>
        <item x="302"/>
        <item x="320"/>
        <item x="138"/>
        <item x="242"/>
        <item x="254"/>
        <item x="224"/>
        <item x="147"/>
        <item x="183"/>
        <item x="350"/>
        <item x="206"/>
        <item x="19"/>
        <item x="227"/>
        <item x="271"/>
        <item x="65"/>
        <item x="117"/>
        <item x="126"/>
        <item x="195"/>
        <item x="49"/>
        <item x="218"/>
        <item x="374"/>
        <item x="29"/>
        <item x="220"/>
        <item x="197"/>
        <item x="251"/>
        <item x="261"/>
        <item x="270"/>
        <item x="303"/>
        <item x="321"/>
        <item x="337"/>
        <item x="362"/>
        <item x="349"/>
        <item x="146"/>
        <item x="63"/>
        <item x="143"/>
        <item x="345"/>
        <item x="372"/>
        <item x="93"/>
        <item x="115"/>
        <item x="70"/>
        <item x="333"/>
        <item x="140"/>
        <item x="60"/>
        <item x="233"/>
        <item x="68"/>
        <item x="364"/>
        <item x="26"/>
        <item x="18"/>
        <item x="175"/>
        <item x="357"/>
        <item x="301"/>
        <item x="319"/>
        <item x="368"/>
        <item x="322"/>
        <item x="304"/>
        <item x="141"/>
        <item x="7"/>
        <item x="113"/>
        <item x="121"/>
        <item x="91"/>
        <item x="130"/>
        <item x="159"/>
        <item x="156"/>
        <item x="166"/>
        <item x="46"/>
        <item x="229"/>
        <item x="90"/>
        <item x="112"/>
        <item x="25"/>
        <item x="235"/>
        <item x="56"/>
        <item x="236"/>
        <item x="359"/>
        <item x="238"/>
        <item x="346"/>
        <item x="225"/>
        <item x="363"/>
        <item x="265"/>
        <item x="285"/>
        <item x="223"/>
        <item x="142"/>
        <item x="272"/>
        <item x="283"/>
        <item x="290"/>
        <item x="348"/>
        <item x="274"/>
        <item x="22"/>
        <item x="104"/>
        <item x="334"/>
        <item x="82"/>
        <item x="354"/>
        <item x="358"/>
        <item x="145"/>
        <item x="194"/>
        <item x="217"/>
        <item x="150"/>
        <item x="209"/>
        <item x="186"/>
        <item x="154"/>
        <item x="232"/>
        <item x="164"/>
        <item x="193"/>
        <item x="216"/>
        <item x="370"/>
        <item x="332"/>
        <item x="30"/>
        <item x="10"/>
        <item x="222"/>
        <item x="38"/>
        <item x="310"/>
        <item x="328"/>
        <item x="153"/>
        <item x="260"/>
        <item x="250"/>
        <item x="163"/>
        <item x="37"/>
        <item x="149"/>
        <item x="277"/>
        <item x="234"/>
        <item x="281"/>
        <item x="279"/>
        <item x="353"/>
        <item x="42"/>
        <item x="366"/>
        <item x="44"/>
        <item x="43"/>
        <item x="36"/>
        <item x="41"/>
        <item x="152"/>
        <item x="148"/>
        <item x="35"/>
        <item x="162"/>
        <item x="278"/>
        <item x="245"/>
        <item x="255"/>
        <item x="282"/>
        <item x="289"/>
        <item x="286"/>
        <item x="1"/>
        <item x="171"/>
        <item x="295"/>
        <item x="341"/>
        <item x="343"/>
        <item x="172"/>
        <item x="309"/>
        <item x="327"/>
        <item x="179"/>
        <item x="202"/>
        <item x="351"/>
        <item x="355"/>
        <item x="47"/>
        <item x="57"/>
        <item x="52"/>
        <item x="76"/>
        <item x="99"/>
        <item x="135"/>
        <item x="191"/>
        <item x="214"/>
        <item x="181"/>
        <item x="136"/>
        <item x="204"/>
        <item x="137"/>
        <item x="342"/>
        <item x="344"/>
        <item x="155"/>
        <item x="165"/>
        <item x="158"/>
        <item x="4"/>
        <item x="118"/>
        <item x="127"/>
        <item x="307"/>
        <item x="325"/>
        <item x="284"/>
        <item x="280"/>
        <item x="151"/>
        <item x="288"/>
        <item x="157"/>
        <item x="161"/>
        <item x="88"/>
        <item x="110"/>
        <item x="249"/>
        <item x="259"/>
        <item x="78"/>
        <item x="100"/>
        <item x="240"/>
        <item x="3"/>
        <item x="308"/>
        <item x="326"/>
        <item x="182"/>
        <item x="205"/>
        <item x="31"/>
        <item x="298"/>
        <item x="316"/>
        <item x="48"/>
        <item x="58"/>
        <item x="6"/>
        <item x="119"/>
        <item x="128"/>
        <item x="74"/>
        <item x="97"/>
        <item x="50"/>
        <item x="59"/>
        <item x="72"/>
        <item x="95"/>
        <item x="53"/>
        <item x="73"/>
        <item x="67"/>
        <item x="96"/>
        <item x="5"/>
        <item x="178"/>
        <item x="201"/>
        <item x="299"/>
        <item x="317"/>
        <item x="45"/>
        <item x="64"/>
        <item x="55"/>
        <item x="0"/>
        <item x="51"/>
        <item x="177"/>
        <item x="200"/>
        <item x="116"/>
        <item x="125"/>
        <item x="12"/>
        <item x="190"/>
        <item x="213"/>
        <item x="9"/>
        <item x="297"/>
        <item x="315"/>
        <item x="300"/>
        <item x="318"/>
        <item x="89"/>
        <item x="192"/>
        <item x="111"/>
        <item x="215"/>
        <item x="34"/>
        <item x="241"/>
        <item x="248"/>
        <item x="258"/>
        <item x="8"/>
        <item x="13"/>
        <item x="244"/>
        <item x="293"/>
        <item x="253"/>
        <item x="14"/>
        <item x="237"/>
        <item x="243"/>
        <item x="87"/>
        <item x="109"/>
        <item x="252"/>
        <item x="28"/>
        <item x="86"/>
        <item x="108"/>
        <item x="294"/>
        <item x="268"/>
        <item x="17"/>
        <item x="33"/>
        <item x="144"/>
        <item x="174"/>
        <item x="75"/>
        <item x="98"/>
        <item x="306"/>
        <item x="27"/>
        <item x="324"/>
        <item x="139"/>
        <item x="24"/>
        <item x="16"/>
        <item x="189"/>
        <item x="173"/>
        <item x="269"/>
        <item x="212"/>
        <item x="180"/>
        <item x="203"/>
        <item x="15"/>
        <item x="267"/>
        <item x="296"/>
        <item x="314"/>
        <item x="287"/>
        <item x="11"/>
        <item x="266"/>
        <item x="71"/>
        <item x="94"/>
        <item x="66"/>
        <item x="176"/>
        <item x="160"/>
        <item x="199"/>
        <item x="54"/>
        <item x="134"/>
        <item x="40"/>
        <item t="default"/>
      </items>
    </pivotField>
    <pivotField dataField="1" compact="0" outline="0" multipleItemSelectionAllowed="1" showAll="0">
      <items count="455">
        <item x="3"/>
        <item x="69"/>
        <item x="76"/>
        <item x="396"/>
        <item x="189"/>
        <item x="114"/>
        <item x="92"/>
        <item x="336"/>
        <item x="292"/>
        <item x="340"/>
        <item x="395"/>
        <item x="339"/>
        <item x="338"/>
        <item x="71"/>
        <item x="78"/>
        <item x="190"/>
        <item x="262"/>
        <item x="283"/>
        <item x="271"/>
        <item x="291"/>
        <item x="132"/>
        <item x="141"/>
        <item x="333"/>
        <item x="289"/>
        <item x="426"/>
        <item x="356"/>
        <item x="377"/>
        <item x="243"/>
        <item x="220"/>
        <item x="290"/>
        <item x="252"/>
        <item x="387"/>
        <item x="366"/>
        <item x="250"/>
        <item x="378"/>
        <item x="357"/>
        <item x="282"/>
        <item x="270"/>
        <item x="394"/>
        <item x="438"/>
        <item x="410"/>
        <item x="405"/>
        <item x="253"/>
        <item x="451"/>
        <item x="300"/>
        <item x="453"/>
        <item x="337"/>
        <item x="91"/>
        <item x="113"/>
        <item x="28"/>
        <item x="85"/>
        <item x="209"/>
        <item x="232"/>
        <item x="128"/>
        <item x="418"/>
        <item x="334"/>
        <item x="386"/>
        <item x="365"/>
        <item x="417"/>
        <item x="137"/>
        <item x="440"/>
        <item x="218"/>
        <item x="241"/>
        <item x="192"/>
        <item x="207"/>
        <item x="230"/>
        <item x="435"/>
        <item x="191"/>
        <item x="335"/>
        <item x="248"/>
        <item x="93"/>
        <item x="115"/>
        <item x="301"/>
        <item x="100"/>
        <item x="122"/>
        <item x="154"/>
        <item x="448"/>
        <item x="163"/>
        <item x="26"/>
        <item x="434"/>
        <item x="210"/>
        <item x="233"/>
        <item x="45"/>
        <item x="131"/>
        <item x="140"/>
        <item x="452"/>
        <item x="430"/>
        <item x="38"/>
        <item x="398"/>
        <item x="130"/>
        <item x="402"/>
        <item x="391"/>
        <item x="139"/>
        <item x="152"/>
        <item x="392"/>
        <item x="444"/>
        <item x="110"/>
        <item x="88"/>
        <item x="188"/>
        <item x="305"/>
        <item x="299"/>
        <item x="416"/>
        <item x="419"/>
        <item x="332"/>
        <item x="414"/>
        <item x="25"/>
        <item x="206"/>
        <item x="229"/>
        <item x="422"/>
        <item x="306"/>
        <item x="146"/>
        <item x="111"/>
        <item x="89"/>
        <item x="446"/>
        <item x="265"/>
        <item x="280"/>
        <item x="276"/>
        <item x="288"/>
        <item x="364"/>
        <item x="385"/>
        <item x="44"/>
        <item x="363"/>
        <item x="384"/>
        <item x="246"/>
        <item x="153"/>
        <item x="249"/>
        <item x="415"/>
        <item x="254"/>
        <item x="125"/>
        <item x="24"/>
        <item x="160"/>
        <item x="205"/>
        <item x="228"/>
        <item x="134"/>
        <item x="242"/>
        <item x="219"/>
        <item x="297"/>
        <item x="101"/>
        <item x="123"/>
        <item x="255"/>
        <item x="353"/>
        <item x="374"/>
        <item x="217"/>
        <item x="240"/>
        <item x="447"/>
        <item x="157"/>
        <item x="35"/>
        <item x="87"/>
        <item x="393"/>
        <item x="109"/>
        <item x="442"/>
        <item x="439"/>
        <item x="23"/>
        <item x="354"/>
        <item x="375"/>
        <item x="389"/>
        <item x="6"/>
        <item x="376"/>
        <item x="355"/>
        <item x="352"/>
        <item x="373"/>
        <item x="57"/>
        <item x="67"/>
        <item x="60"/>
        <item x="32"/>
        <item x="164"/>
        <item x="312"/>
        <item x="436"/>
        <item x="326"/>
        <item x="121"/>
        <item x="99"/>
        <item x="272"/>
        <item x="284"/>
        <item x="150"/>
        <item x="197"/>
        <item x="31"/>
        <item x="22"/>
        <item x="61"/>
        <item x="413"/>
        <item x="55"/>
        <item x="65"/>
        <item x="443"/>
        <item x="151"/>
        <item x="27"/>
        <item x="129"/>
        <item x="138"/>
        <item x="159"/>
        <item x="70"/>
        <item x="68"/>
        <item x="437"/>
        <item x="251"/>
        <item x="268"/>
        <item x="433"/>
        <item x="279"/>
        <item x="407"/>
        <item x="412"/>
        <item x="77"/>
        <item x="156"/>
        <item x="75"/>
        <item x="257"/>
        <item x="298"/>
        <item x="245"/>
        <item x="425"/>
        <item x="351"/>
        <item x="30"/>
        <item x="424"/>
        <item x="112"/>
        <item x="431"/>
        <item x="90"/>
        <item x="372"/>
        <item x="421"/>
        <item x="302"/>
        <item x="247"/>
        <item x="98"/>
        <item x="120"/>
        <item x="158"/>
        <item x="450"/>
        <item x="9"/>
        <item x="428"/>
        <item x="231"/>
        <item x="208"/>
        <item x="216"/>
        <item x="239"/>
        <item x="390"/>
        <item x="432"/>
        <item x="318"/>
        <item x="445"/>
        <item x="420"/>
        <item x="411"/>
        <item x="406"/>
        <item x="323"/>
        <item x="256"/>
        <item x="449"/>
        <item x="215"/>
        <item x="238"/>
        <item x="362"/>
        <item x="383"/>
        <item x="36"/>
        <item x="43"/>
        <item x="315"/>
        <item x="329"/>
        <item x="281"/>
        <item x="269"/>
        <item x="175"/>
        <item x="187"/>
        <item x="10"/>
        <item x="179"/>
        <item x="388"/>
        <item x="49"/>
        <item x="51"/>
        <item x="287"/>
        <item x="275"/>
        <item x="50"/>
        <item x="244"/>
        <item x="166"/>
        <item x="47"/>
        <item x="42"/>
        <item x="40"/>
        <item x="310"/>
        <item x="168"/>
        <item x="441"/>
        <item x="41"/>
        <item x="48"/>
        <item x="309"/>
        <item x="316"/>
        <item x="308"/>
        <item x="165"/>
        <item x="307"/>
        <item x="330"/>
        <item x="162"/>
        <item x="304"/>
        <item x="320"/>
        <item x="167"/>
        <item x="2"/>
        <item x="194"/>
        <item x="345"/>
        <item x="399"/>
        <item x="403"/>
        <item x="172"/>
        <item x="184"/>
        <item x="361"/>
        <item x="382"/>
        <item x="171"/>
        <item x="397"/>
        <item x="183"/>
        <item x="401"/>
        <item x="427"/>
        <item x="84"/>
        <item x="107"/>
        <item x="429"/>
        <item x="143"/>
        <item x="173"/>
        <item x="177"/>
        <item x="170"/>
        <item x="185"/>
        <item x="182"/>
        <item x="342"/>
        <item x="203"/>
        <item x="144"/>
        <item x="226"/>
        <item x="145"/>
        <item x="174"/>
        <item x="186"/>
        <item x="178"/>
        <item x="404"/>
        <item x="409"/>
        <item x="423"/>
        <item x="322"/>
        <item x="317"/>
        <item x="331"/>
        <item x="1"/>
        <item x="54"/>
        <item x="213"/>
        <item x="236"/>
        <item x="126"/>
        <item x="314"/>
        <item x="135"/>
        <item x="201"/>
        <item x="274"/>
        <item x="328"/>
        <item x="224"/>
        <item x="286"/>
        <item x="86"/>
        <item x="108"/>
        <item x="96"/>
        <item x="118"/>
        <item x="313"/>
        <item x="327"/>
        <item x="5"/>
        <item x="321"/>
        <item x="400"/>
        <item x="193"/>
        <item x="408"/>
        <item x="204"/>
        <item x="227"/>
        <item x="37"/>
        <item x="4"/>
        <item x="169"/>
        <item x="181"/>
        <item x="176"/>
        <item x="127"/>
        <item x="136"/>
        <item x="81"/>
        <item x="341"/>
        <item x="104"/>
        <item x="258"/>
        <item x="360"/>
        <item x="259"/>
        <item x="0"/>
        <item x="381"/>
        <item x="261"/>
        <item x="359"/>
        <item x="380"/>
        <item x="74"/>
        <item x="53"/>
        <item x="64"/>
        <item x="147"/>
        <item x="311"/>
        <item x="82"/>
        <item x="200"/>
        <item x="105"/>
        <item x="325"/>
        <item x="223"/>
        <item x="319"/>
        <item x="348"/>
        <item x="369"/>
        <item x="21"/>
        <item x="56"/>
        <item x="124"/>
        <item x="66"/>
        <item x="133"/>
        <item x="59"/>
        <item x="52"/>
        <item x="72"/>
        <item x="63"/>
        <item x="263"/>
        <item x="58"/>
        <item x="349"/>
        <item x="13"/>
        <item x="370"/>
        <item x="199"/>
        <item x="222"/>
        <item x="350"/>
        <item x="371"/>
        <item x="347"/>
        <item x="368"/>
        <item x="97"/>
        <item x="214"/>
        <item x="119"/>
        <item x="237"/>
        <item x="20"/>
        <item x="264"/>
        <item x="212"/>
        <item x="235"/>
        <item x="80"/>
        <item x="103"/>
        <item x="12"/>
        <item x="7"/>
        <item x="267"/>
        <item x="278"/>
        <item x="16"/>
        <item x="95"/>
        <item x="117"/>
        <item x="8"/>
        <item x="14"/>
        <item x="273"/>
        <item x="285"/>
        <item x="34"/>
        <item x="344"/>
        <item x="303"/>
        <item x="343"/>
        <item x="294"/>
        <item x="260"/>
        <item x="266"/>
        <item x="277"/>
        <item x="18"/>
        <item x="83"/>
        <item x="39"/>
        <item x="106"/>
        <item x="196"/>
        <item x="161"/>
        <item x="94"/>
        <item x="116"/>
        <item x="358"/>
        <item x="379"/>
        <item x="33"/>
        <item x="148"/>
        <item x="202"/>
        <item x="225"/>
        <item x="295"/>
        <item x="211"/>
        <item x="234"/>
        <item x="29"/>
        <item x="17"/>
        <item x="195"/>
        <item x="155"/>
        <item x="19"/>
        <item x="15"/>
        <item x="149"/>
        <item x="296"/>
        <item x="346"/>
        <item x="11"/>
        <item x="367"/>
        <item x="324"/>
        <item x="293"/>
        <item x="79"/>
        <item x="102"/>
        <item x="73"/>
        <item x="198"/>
        <item x="180"/>
        <item x="221"/>
        <item x="62"/>
        <item x="142"/>
        <item x="46"/>
        <item t="default"/>
      </items>
    </pivotField>
    <pivotField dataField="1" compact="0" outline="0" multipleItemSelectionAllowed="1" showAll="0">
      <items count="491">
        <item x="2"/>
        <item x="368"/>
        <item x="430"/>
        <item x="119"/>
        <item x="97"/>
        <item x="326"/>
        <item x="207"/>
        <item x="285"/>
        <item x="137"/>
        <item x="146"/>
        <item x="387"/>
        <item x="410"/>
        <item x="208"/>
        <item x="257"/>
        <item x="234"/>
        <item x="73"/>
        <item x="83"/>
        <item x="312"/>
        <item x="296"/>
        <item x="420"/>
        <item x="398"/>
        <item x="324"/>
        <item x="325"/>
        <item x="298"/>
        <item x="314"/>
        <item x="411"/>
        <item x="266"/>
        <item x="388"/>
        <item x="153"/>
        <item x="323"/>
        <item x="264"/>
        <item x="322"/>
        <item x="306"/>
        <item x="474"/>
        <item x="332"/>
        <item x="267"/>
        <item x="487"/>
        <item x="27"/>
        <item x="419"/>
        <item x="397"/>
        <item x="489"/>
        <item x="426"/>
        <item x="369"/>
        <item x="90"/>
        <item x="468"/>
        <item x="96"/>
        <item x="118"/>
        <item x="476"/>
        <item x="72"/>
        <item x="232"/>
        <item x="255"/>
        <item x="342"/>
        <item x="82"/>
        <item x="333"/>
        <item x="471"/>
        <item x="98"/>
        <item x="120"/>
        <item x="428"/>
        <item x="223"/>
        <item x="246"/>
        <item x="170"/>
        <item x="44"/>
        <item x="69"/>
        <item x="71"/>
        <item x="458"/>
        <item x="81"/>
        <item x="221"/>
        <item x="244"/>
        <item x="224"/>
        <item x="247"/>
        <item x="484"/>
        <item x="79"/>
        <item x="105"/>
        <item x="127"/>
        <item x="470"/>
        <item x="370"/>
        <item x="262"/>
        <item x="488"/>
        <item x="429"/>
        <item x="36"/>
        <item x="161"/>
        <item x="157"/>
        <item x="180"/>
        <item x="136"/>
        <item x="145"/>
        <item x="465"/>
        <item x="169"/>
        <item x="26"/>
        <item x="424"/>
        <item x="206"/>
        <item x="133"/>
        <item x="425"/>
        <item x="480"/>
        <item x="367"/>
        <item x="449"/>
        <item x="439"/>
        <item x="142"/>
        <item x="205"/>
        <item x="268"/>
        <item x="305"/>
        <item x="321"/>
        <item x="150"/>
        <item x="25"/>
        <item x="179"/>
        <item x="93"/>
        <item x="115"/>
        <item x="220"/>
        <item x="243"/>
        <item x="116"/>
        <item x="94"/>
        <item x="70"/>
        <item x="459"/>
        <item x="331"/>
        <item x="80"/>
        <item x="149"/>
        <item x="135"/>
        <item x="152"/>
        <item x="168"/>
        <item x="482"/>
        <item x="144"/>
        <item x="24"/>
        <item x="395"/>
        <item x="417"/>
        <item x="396"/>
        <item x="418"/>
        <item x="175"/>
        <item x="162"/>
        <item x="366"/>
        <item x="263"/>
        <item x="181"/>
        <item x="256"/>
        <item x="233"/>
        <item x="106"/>
        <item x="128"/>
        <item x="338"/>
        <item x="384"/>
        <item x="407"/>
        <item x="33"/>
        <item x="329"/>
        <item x="315"/>
        <item x="299"/>
        <item x="68"/>
        <item x="219"/>
        <item x="242"/>
        <item x="78"/>
        <item x="231"/>
        <item x="7"/>
        <item x="254"/>
        <item x="483"/>
        <item x="444"/>
        <item x="454"/>
        <item x="270"/>
        <item x="427"/>
        <item x="478"/>
        <item x="300"/>
        <item x="316"/>
        <item x="192"/>
        <item x="130"/>
        <item x="30"/>
        <item x="204"/>
        <item x="385"/>
        <item x="408"/>
        <item x="334"/>
        <item x="383"/>
        <item x="406"/>
        <item x="475"/>
        <item x="139"/>
        <item x="23"/>
        <item x="196"/>
        <item x="260"/>
        <item x="172"/>
        <item x="92"/>
        <item x="114"/>
        <item x="472"/>
        <item x="126"/>
        <item x="104"/>
        <item x="167"/>
        <item x="335"/>
        <item x="211"/>
        <item x="273"/>
        <item x="281"/>
        <item x="457"/>
        <item x="479"/>
        <item x="409"/>
        <item x="386"/>
        <item x="22"/>
        <item x="134"/>
        <item x="143"/>
        <item x="422"/>
        <item x="473"/>
        <item x="265"/>
        <item x="293"/>
        <item x="446"/>
        <item x="456"/>
        <item x="469"/>
        <item x="309"/>
        <item x="274"/>
        <item x="171"/>
        <item x="282"/>
        <item x="117"/>
        <item x="95"/>
        <item x="6"/>
        <item x="330"/>
        <item x="259"/>
        <item x="455"/>
        <item x="445"/>
        <item x="381"/>
        <item x="174"/>
        <item x="466"/>
        <item x="404"/>
        <item x="29"/>
        <item x="269"/>
        <item x="261"/>
        <item x="191"/>
        <item x="432"/>
        <item x="336"/>
        <item x="195"/>
        <item x="203"/>
        <item x="103"/>
        <item x="125"/>
        <item x="436"/>
        <item x="486"/>
        <item x="245"/>
        <item x="222"/>
        <item x="349"/>
        <item x="43"/>
        <item x="361"/>
        <item x="463"/>
        <item x="303"/>
        <item x="319"/>
        <item x="467"/>
        <item x="297"/>
        <item x="313"/>
        <item x="230"/>
        <item x="253"/>
        <item x="393"/>
        <item x="54"/>
        <item x="65"/>
        <item x="481"/>
        <item x="10"/>
        <item x="485"/>
        <item x="229"/>
        <item x="252"/>
        <item x="271"/>
        <item x="60"/>
        <item x="337"/>
        <item x="394"/>
        <item x="416"/>
        <item x="148"/>
        <item x="382"/>
        <item x="287"/>
        <item x="405"/>
        <item x="188"/>
        <item x="48"/>
        <item x="34"/>
        <item x="423"/>
        <item x="200"/>
        <item x="42"/>
        <item x="341"/>
        <item x="460"/>
        <item x="344"/>
        <item x="290"/>
        <item x="345"/>
        <item x="49"/>
        <item x="41"/>
        <item x="46"/>
        <item x="304"/>
        <item x="320"/>
        <item x="47"/>
        <item x="40"/>
        <item x="343"/>
        <item x="440"/>
        <item x="450"/>
        <item x="477"/>
        <item x="433"/>
        <item x="340"/>
        <item x="50"/>
        <item x="178"/>
        <item x="356"/>
        <item x="437"/>
        <item x="185"/>
        <item x="183"/>
        <item x="156"/>
        <item x="160"/>
        <item x="184"/>
        <item x="421"/>
        <item x="346"/>
        <item x="182"/>
        <item x="177"/>
        <item x="348"/>
        <item x="360"/>
        <item x="258"/>
        <item x="441"/>
        <item x="5"/>
        <item x="451"/>
        <item x="357"/>
        <item x="59"/>
        <item x="56"/>
        <item x="67"/>
        <item x="353"/>
        <item x="365"/>
        <item x="375"/>
        <item x="189"/>
        <item x="201"/>
        <item x="392"/>
        <item x="415"/>
        <item x="350"/>
        <item x="53"/>
        <item x="362"/>
        <item x="64"/>
        <item x="431"/>
        <item x="435"/>
        <item x="462"/>
        <item x="464"/>
        <item x="443"/>
        <item x="151"/>
        <item x="453"/>
        <item x="155"/>
        <item x="187"/>
        <item x="159"/>
        <item x="199"/>
        <item x="154"/>
        <item x="158"/>
        <item x="442"/>
        <item x="452"/>
        <item x="461"/>
        <item x="3"/>
        <item x="89"/>
        <item x="112"/>
        <item x="74"/>
        <item x="75"/>
        <item x="302"/>
        <item x="131"/>
        <item x="52"/>
        <item x="318"/>
        <item x="63"/>
        <item x="227"/>
        <item x="250"/>
        <item x="140"/>
        <item x="372"/>
        <item x="91"/>
        <item x="113"/>
        <item x="55"/>
        <item x="217"/>
        <item x="190"/>
        <item x="66"/>
        <item x="240"/>
        <item x="202"/>
        <item x="58"/>
        <item x="194"/>
        <item x="1"/>
        <item x="215"/>
        <item x="218"/>
        <item x="238"/>
        <item x="241"/>
        <item x="101"/>
        <item x="123"/>
        <item x="186"/>
        <item x="198"/>
        <item x="193"/>
        <item x="4"/>
        <item x="438"/>
        <item x="275"/>
        <item x="286"/>
        <item x="448"/>
        <item x="283"/>
        <item x="294"/>
        <item x="132"/>
        <item x="141"/>
        <item x="310"/>
        <item x="35"/>
        <item x="276"/>
        <item x="278"/>
        <item x="284"/>
        <item x="351"/>
        <item x="51"/>
        <item x="363"/>
        <item x="434"/>
        <item x="62"/>
        <item x="447"/>
        <item x="57"/>
        <item x="371"/>
        <item x="272"/>
        <item x="277"/>
        <item x="280"/>
        <item x="295"/>
        <item x="0"/>
        <item x="311"/>
        <item x="352"/>
        <item x="364"/>
        <item x="355"/>
        <item x="39"/>
        <item x="390"/>
        <item x="391"/>
        <item x="413"/>
        <item x="86"/>
        <item x="414"/>
        <item x="109"/>
        <item x="87"/>
        <item x="214"/>
        <item x="110"/>
        <item x="237"/>
        <item x="14"/>
        <item x="378"/>
        <item x="129"/>
        <item x="347"/>
        <item x="354"/>
        <item x="401"/>
        <item x="359"/>
        <item x="138"/>
        <item x="77"/>
        <item x="13"/>
        <item x="102"/>
        <item x="228"/>
        <item x="124"/>
        <item x="251"/>
        <item x="38"/>
        <item x="289"/>
        <item x="379"/>
        <item x="377"/>
        <item x="402"/>
        <item x="400"/>
        <item x="213"/>
        <item x="236"/>
        <item x="17"/>
        <item x="226"/>
        <item x="249"/>
        <item x="21"/>
        <item x="288"/>
        <item x="37"/>
        <item x="292"/>
        <item x="308"/>
        <item x="85"/>
        <item x="108"/>
        <item x="380"/>
        <item x="403"/>
        <item x="12"/>
        <item x="100"/>
        <item x="122"/>
        <item x="163"/>
        <item x="9"/>
        <item x="8"/>
        <item x="15"/>
        <item x="374"/>
        <item x="327"/>
        <item x="301"/>
        <item x="88"/>
        <item x="32"/>
        <item x="111"/>
        <item x="317"/>
        <item x="210"/>
        <item x="339"/>
        <item x="19"/>
        <item x="373"/>
        <item x="291"/>
        <item x="279"/>
        <item x="307"/>
        <item x="99"/>
        <item x="121"/>
        <item x="176"/>
        <item x="216"/>
        <item x="239"/>
        <item x="389"/>
        <item x="173"/>
        <item x="412"/>
        <item x="31"/>
        <item x="166"/>
        <item x="225"/>
        <item x="248"/>
        <item x="28"/>
        <item x="209"/>
        <item x="18"/>
        <item x="20"/>
        <item x="165"/>
        <item x="16"/>
        <item x="164"/>
        <item x="11"/>
        <item x="376"/>
        <item x="358"/>
        <item x="399"/>
        <item x="328"/>
        <item x="76"/>
        <item x="84"/>
        <item x="107"/>
        <item x="212"/>
        <item x="197"/>
        <item x="235"/>
        <item x="61"/>
        <item x="147"/>
        <item x="45"/>
        <item t="default"/>
      </items>
    </pivotField>
    <pivotField dataField="1" compact="0" outline="0" multipleItemSelectionAllowed="1" showAll="0">
      <items count="503">
        <item x="1"/>
        <item x="62"/>
        <item x="65"/>
        <item x="426"/>
        <item x="101"/>
        <item x="79"/>
        <item x="149"/>
        <item x="324"/>
        <item x="363"/>
        <item x="364"/>
        <item x="207"/>
        <item x="361"/>
        <item x="209"/>
        <item x="366"/>
        <item x="210"/>
        <item x="383"/>
        <item x="406"/>
        <item x="119"/>
        <item x="128"/>
        <item x="473"/>
        <item x="261"/>
        <item x="238"/>
        <item x="416"/>
        <item x="394"/>
        <item x="310"/>
        <item x="293"/>
        <item x="322"/>
        <item x="323"/>
        <item x="407"/>
        <item x="384"/>
        <item x="295"/>
        <item x="312"/>
        <item x="270"/>
        <item x="321"/>
        <item x="268"/>
        <item x="486"/>
        <item x="320"/>
        <item x="472"/>
        <item x="303"/>
        <item x="332"/>
        <item x="415"/>
        <item x="365"/>
        <item x="29"/>
        <item x="393"/>
        <item x="501"/>
        <item x="422"/>
        <item x="271"/>
        <item x="471"/>
        <item x="166"/>
        <item x="157"/>
        <item x="72"/>
        <item x="362"/>
        <item x="499"/>
        <item x="480"/>
        <item x="208"/>
        <item x="78"/>
        <item x="100"/>
        <item x="333"/>
        <item x="496"/>
        <item x="179"/>
        <item x="463"/>
        <item x="456"/>
        <item x="227"/>
        <item x="250"/>
        <item x="80"/>
        <item x="102"/>
        <item x="150"/>
        <item x="206"/>
        <item x="148"/>
        <item x="186"/>
        <item x="228"/>
        <item x="251"/>
        <item x="483"/>
        <item x="424"/>
        <item x="87"/>
        <item x="109"/>
        <item x="500"/>
        <item x="425"/>
        <item x="236"/>
        <item x="259"/>
        <item x="178"/>
        <item x="266"/>
        <item x="225"/>
        <item x="248"/>
        <item x="445"/>
        <item x="433"/>
        <item x="118"/>
        <item x="127"/>
        <item x="27"/>
        <item x="7"/>
        <item x="420"/>
        <item x="115"/>
        <item x="492"/>
        <item x="421"/>
        <item x="457"/>
        <item x="124"/>
        <item x="40"/>
        <item x="272"/>
        <item x="302"/>
        <item x="319"/>
        <item x="26"/>
        <item x="331"/>
        <item x="276"/>
        <item x="75"/>
        <item x="97"/>
        <item x="177"/>
        <item x="98"/>
        <item x="76"/>
        <item x="477"/>
        <item x="154"/>
        <item x="117"/>
        <item x="163"/>
        <item x="224"/>
        <item x="247"/>
        <item x="28"/>
        <item x="25"/>
        <item x="126"/>
        <item x="495"/>
        <item x="392"/>
        <item x="414"/>
        <item x="454"/>
        <item x="339"/>
        <item x="170"/>
        <item x="267"/>
        <item x="260"/>
        <item x="237"/>
        <item x="277"/>
        <item x="487"/>
        <item x="88"/>
        <item x="110"/>
        <item x="37"/>
        <item x="176"/>
        <item x="391"/>
        <item x="413"/>
        <item x="380"/>
        <item x="403"/>
        <item x="313"/>
        <item x="296"/>
        <item x="223"/>
        <item x="246"/>
        <item x="444"/>
        <item x="432"/>
        <item x="235"/>
        <item x="258"/>
        <item x="131"/>
        <item x="484"/>
        <item x="59"/>
        <item x="58"/>
        <item x="61"/>
        <item x="329"/>
        <item x="494"/>
        <item x="137"/>
        <item x="140"/>
        <item x="381"/>
        <item x="404"/>
        <item x="146"/>
        <item x="274"/>
        <item x="34"/>
        <item x="297"/>
        <item x="314"/>
        <item x="466"/>
        <item x="112"/>
        <item x="24"/>
        <item x="328"/>
        <item x="469"/>
        <item x="121"/>
        <item x="275"/>
        <item x="423"/>
        <item x="74"/>
        <item x="96"/>
        <item x="338"/>
        <item x="485"/>
        <item x="379"/>
        <item x="402"/>
        <item x="455"/>
        <item x="9"/>
        <item x="108"/>
        <item x="488"/>
        <item x="182"/>
        <item x="86"/>
        <item x="175"/>
        <item x="264"/>
        <item x="440"/>
        <item x="452"/>
        <item x="215"/>
        <item x="405"/>
        <item x="382"/>
        <item x="288"/>
        <item x="334"/>
        <item x="305"/>
        <item x="491"/>
        <item x="164"/>
        <item x="468"/>
        <item x="155"/>
        <item x="33"/>
        <item x="451"/>
        <item x="439"/>
        <item x="133"/>
        <item x="116"/>
        <item x="125"/>
        <item x="465"/>
        <item x="23"/>
        <item x="330"/>
        <item x="190"/>
        <item x="181"/>
        <item x="269"/>
        <item x="13"/>
        <item x="201"/>
        <item x="290"/>
        <item x="197"/>
        <item x="481"/>
        <item x="307"/>
        <item x="450"/>
        <item x="438"/>
        <item x="99"/>
        <item x="352"/>
        <item x="77"/>
        <item x="459"/>
        <item x="350"/>
        <item x="418"/>
        <item x="354"/>
        <item x="360"/>
        <item x="130"/>
        <item x="335"/>
        <item x="263"/>
        <item x="349"/>
        <item x="377"/>
        <item x="359"/>
        <item x="478"/>
        <item x="57"/>
        <item x="400"/>
        <item x="273"/>
        <item x="32"/>
        <item x="8"/>
        <item x="490"/>
        <item x="265"/>
        <item x="249"/>
        <item x="226"/>
        <item x="430"/>
        <item x="85"/>
        <item x="442"/>
        <item x="107"/>
        <item x="160"/>
        <item x="169"/>
        <item x="49"/>
        <item x="498"/>
        <item x="475"/>
        <item x="168"/>
        <item x="159"/>
        <item x="464"/>
        <item x="300"/>
        <item x="317"/>
        <item x="479"/>
        <item x="234"/>
        <item x="257"/>
        <item x="294"/>
        <item x="311"/>
        <item x="467"/>
        <item x="389"/>
        <item x="462"/>
        <item x="337"/>
        <item x="54"/>
        <item x="493"/>
        <item x="482"/>
        <item x="367"/>
        <item x="132"/>
        <item x="233"/>
        <item x="46"/>
        <item x="256"/>
        <item x="390"/>
        <item x="412"/>
        <item x="47"/>
        <item x="458"/>
        <item x="156"/>
        <item x="165"/>
        <item x="497"/>
        <item x="53"/>
        <item x="378"/>
        <item x="38"/>
        <item x="401"/>
        <item x="419"/>
        <item x="55"/>
        <item x="434"/>
        <item x="446"/>
        <item x="193"/>
        <item x="51"/>
        <item x="204"/>
        <item x="282"/>
        <item x="44"/>
        <item x="196"/>
        <item x="48"/>
        <item x="348"/>
        <item x="358"/>
        <item x="286"/>
        <item x="56"/>
        <item x="280"/>
        <item x="281"/>
        <item x="301"/>
        <item x="318"/>
        <item x="461"/>
        <item x="136"/>
        <item x="212"/>
        <item x="279"/>
        <item x="191"/>
        <item x="145"/>
        <item x="278"/>
        <item x="202"/>
        <item x="460"/>
        <item x="185"/>
        <item x="45"/>
        <item x="188"/>
        <item x="52"/>
        <item x="341"/>
        <item x="417"/>
        <item x="344"/>
        <item x="343"/>
        <item x="345"/>
        <item x="342"/>
        <item x="340"/>
        <item x="187"/>
        <item x="184"/>
        <item x="3"/>
        <item x="262"/>
        <item x="427"/>
        <item x="429"/>
        <item x="371"/>
        <item x="192"/>
        <item x="203"/>
        <item x="489"/>
        <item x="388"/>
        <item x="411"/>
        <item x="135"/>
        <item x="144"/>
        <item x="194"/>
        <item x="198"/>
        <item x="205"/>
        <item x="211"/>
        <item x="353"/>
        <item x="347"/>
        <item x="357"/>
        <item x="437"/>
        <item x="151"/>
        <item x="449"/>
        <item x="368"/>
        <item x="436"/>
        <item x="448"/>
        <item x="138"/>
        <item x="147"/>
        <item x="141"/>
        <item x="4"/>
        <item x="474"/>
        <item x="71"/>
        <item x="158"/>
        <item x="94"/>
        <item x="167"/>
        <item x="435"/>
        <item x="476"/>
        <item x="447"/>
        <item x="134"/>
        <item x="143"/>
        <item x="139"/>
        <item x="351"/>
        <item x="346"/>
        <item x="189"/>
        <item x="356"/>
        <item x="200"/>
        <item x="195"/>
        <item x="470"/>
        <item x="299"/>
        <item x="113"/>
        <item x="153"/>
        <item x="316"/>
        <item x="162"/>
        <item x="122"/>
        <item x="73"/>
        <item x="95"/>
        <item x="221"/>
        <item x="244"/>
        <item x="5"/>
        <item x="222"/>
        <item x="245"/>
        <item x="83"/>
        <item x="105"/>
        <item x="142"/>
        <item x="231"/>
        <item x="254"/>
        <item x="152"/>
        <item x="12"/>
        <item x="431"/>
        <item x="161"/>
        <item x="443"/>
        <item x="291"/>
        <item x="114"/>
        <item x="123"/>
        <item x="308"/>
        <item x="219"/>
        <item x="39"/>
        <item x="242"/>
        <item x="292"/>
        <item x="2"/>
        <item x="309"/>
        <item x="428"/>
        <item x="441"/>
        <item x="43"/>
        <item x="68"/>
        <item x="91"/>
        <item x="69"/>
        <item x="387"/>
        <item x="92"/>
        <item x="410"/>
        <item x="0"/>
        <item x="111"/>
        <item x="218"/>
        <item x="120"/>
        <item x="241"/>
        <item x="386"/>
        <item x="64"/>
        <item x="409"/>
        <item x="374"/>
        <item x="16"/>
        <item x="397"/>
        <item x="84"/>
        <item x="232"/>
        <item x="106"/>
        <item x="255"/>
        <item x="42"/>
        <item x="285"/>
        <item x="375"/>
        <item x="398"/>
        <item x="11"/>
        <item x="217"/>
        <item x="230"/>
        <item x="240"/>
        <item x="253"/>
        <item x="6"/>
        <item x="373"/>
        <item x="396"/>
        <item x="284"/>
        <item x="19"/>
        <item x="289"/>
        <item x="306"/>
        <item x="67"/>
        <item x="90"/>
        <item x="376"/>
        <item x="399"/>
        <item x="15"/>
        <item x="82"/>
        <item x="104"/>
        <item x="31"/>
        <item x="18"/>
        <item x="171"/>
        <item x="10"/>
        <item x="336"/>
        <item x="298"/>
        <item x="70"/>
        <item x="36"/>
        <item x="93"/>
        <item x="315"/>
        <item x="370"/>
        <item x="453"/>
        <item x="214"/>
        <item x="41"/>
        <item x="369"/>
        <item x="287"/>
        <item x="283"/>
        <item x="304"/>
        <item x="21"/>
        <item x="81"/>
        <item x="103"/>
        <item x="220"/>
        <item x="243"/>
        <item x="385"/>
        <item x="408"/>
        <item x="183"/>
        <item x="35"/>
        <item x="229"/>
        <item x="252"/>
        <item x="174"/>
        <item x="30"/>
        <item x="213"/>
        <item x="327"/>
        <item x="22"/>
        <item x="180"/>
        <item x="173"/>
        <item x="20"/>
        <item x="172"/>
        <item x="326"/>
        <item x="17"/>
        <item x="372"/>
        <item x="355"/>
        <item x="395"/>
        <item x="325"/>
        <item x="14"/>
        <item x="63"/>
        <item x="66"/>
        <item x="89"/>
        <item x="216"/>
        <item x="199"/>
        <item x="239"/>
        <item x="60"/>
        <item x="129"/>
        <item x="50"/>
        <item t="default"/>
      </items>
    </pivotField>
    <pivotField dataField="1" compact="0" outline="0" multipleItemSelectionAllowed="1" showAll="0">
      <items count="499">
        <item x="4"/>
        <item x="236"/>
        <item x="426"/>
        <item x="133"/>
        <item x="111"/>
        <item x="195"/>
        <item x="342"/>
        <item x="235"/>
        <item x="383"/>
        <item x="406"/>
        <item x="151"/>
        <item x="160"/>
        <item x="301"/>
        <item x="285"/>
        <item x="262"/>
        <item x="416"/>
        <item x="394"/>
        <item x="328"/>
        <item x="311"/>
        <item x="407"/>
        <item x="384"/>
        <item x="341"/>
        <item x="313"/>
        <item x="330"/>
        <item x="294"/>
        <item x="339"/>
        <item x="482"/>
        <item x="292"/>
        <item x="349"/>
        <item x="338"/>
        <item x="321"/>
        <item x="40"/>
        <item x="340"/>
        <item x="415"/>
        <item x="368"/>
        <item x="393"/>
        <item x="497"/>
        <item x="422"/>
        <item x="295"/>
        <item x="188"/>
        <item x="177"/>
        <item x="104"/>
        <item x="91"/>
        <item x="110"/>
        <item x="97"/>
        <item x="132"/>
        <item x="495"/>
        <item x="476"/>
        <item x="90"/>
        <item x="96"/>
        <item x="350"/>
        <item x="492"/>
        <item x="460"/>
        <item x="207"/>
        <item x="449"/>
        <item x="435"/>
        <item x="112"/>
        <item x="134"/>
        <item x="219"/>
        <item x="251"/>
        <item x="274"/>
        <item x="196"/>
        <item x="193"/>
        <item x="252"/>
        <item x="275"/>
        <item x="479"/>
        <item x="424"/>
        <item x="13"/>
        <item x="206"/>
        <item x="496"/>
        <item x="260"/>
        <item x="283"/>
        <item x="425"/>
        <item x="38"/>
        <item x="119"/>
        <item x="141"/>
        <item x="290"/>
        <item x="249"/>
        <item x="272"/>
        <item x="150"/>
        <item x="159"/>
        <item x="466"/>
        <item x="57"/>
        <item x="58"/>
        <item x="488"/>
        <item x="421"/>
        <item x="39"/>
        <item x="320"/>
        <item x="337"/>
        <item x="448"/>
        <item x="434"/>
        <item x="348"/>
        <item x="50"/>
        <item x="205"/>
        <item x="420"/>
        <item x="37"/>
        <item x="298"/>
        <item x="130"/>
        <item x="108"/>
        <item x="147"/>
        <item x="297"/>
        <item x="473"/>
        <item x="174"/>
        <item x="300"/>
        <item x="248"/>
        <item x="271"/>
        <item x="149"/>
        <item x="185"/>
        <item x="10"/>
        <item x="491"/>
        <item x="156"/>
        <item x="158"/>
        <item x="392"/>
        <item x="414"/>
        <item x="36"/>
        <item x="355"/>
        <item x="194"/>
        <item x="95"/>
        <item x="89"/>
        <item x="120"/>
        <item x="142"/>
        <item x="291"/>
        <item x="284"/>
        <item x="261"/>
        <item x="59"/>
        <item x="483"/>
        <item x="107"/>
        <item x="129"/>
        <item x="204"/>
        <item x="467"/>
        <item x="443"/>
        <item x="457"/>
        <item x="47"/>
        <item x="469"/>
        <item x="380"/>
        <item x="403"/>
        <item x="480"/>
        <item x="456"/>
        <item x="442"/>
        <item x="331"/>
        <item x="314"/>
        <item x="226"/>
        <item x="163"/>
        <item x="233"/>
        <item x="259"/>
        <item x="282"/>
        <item x="247"/>
        <item x="270"/>
        <item x="391"/>
        <item x="413"/>
        <item x="229"/>
        <item x="490"/>
        <item x="346"/>
        <item x="11"/>
        <item x="44"/>
        <item x="315"/>
        <item x="332"/>
        <item x="214"/>
        <item x="345"/>
        <item x="144"/>
        <item x="459"/>
        <item x="381"/>
        <item x="404"/>
        <item x="153"/>
        <item x="106"/>
        <item x="88"/>
        <item x="128"/>
        <item x="94"/>
        <item x="197"/>
        <item x="423"/>
        <item x="379"/>
        <item x="402"/>
        <item x="230"/>
        <item x="227"/>
        <item x="234"/>
        <item x="211"/>
        <item x="484"/>
        <item x="203"/>
        <item x="35"/>
        <item x="354"/>
        <item x="17"/>
        <item x="481"/>
        <item x="405"/>
        <item x="382"/>
        <item x="288"/>
        <item x="239"/>
        <item x="296"/>
        <item x="140"/>
        <item x="118"/>
        <item x="306"/>
        <item x="20"/>
        <item x="323"/>
        <item x="202"/>
        <item x="487"/>
        <item x="186"/>
        <item x="175"/>
        <item x="34"/>
        <item x="164"/>
        <item x="148"/>
        <item x="157"/>
        <item x="210"/>
        <item x="461"/>
        <item x="43"/>
        <item x="293"/>
        <item x="308"/>
        <item x="131"/>
        <item x="109"/>
        <item x="477"/>
        <item x="347"/>
        <item x="325"/>
        <item x="69"/>
        <item x="82"/>
        <item x="21"/>
        <item x="213"/>
        <item x="418"/>
        <item x="209"/>
        <item x="162"/>
        <item x="436"/>
        <item x="450"/>
        <item x="287"/>
        <item x="42"/>
        <item x="437"/>
        <item x="377"/>
        <item x="451"/>
        <item x="351"/>
        <item x="474"/>
        <item x="12"/>
        <item x="400"/>
        <item x="71"/>
        <item x="67"/>
        <item x="463"/>
        <item x="84"/>
        <item x="486"/>
        <item x="117"/>
        <item x="139"/>
        <item x="225"/>
        <item x="273"/>
        <item x="232"/>
        <item x="250"/>
        <item x="228"/>
        <item x="289"/>
        <item x="432"/>
        <item x="446"/>
        <item x="181"/>
        <item x="192"/>
        <item x="54"/>
        <item x="494"/>
        <item x="471"/>
        <item x="191"/>
        <item x="180"/>
        <item x="318"/>
        <item x="72"/>
        <item x="335"/>
        <item x="312"/>
        <item x="329"/>
        <item x="258"/>
        <item x="281"/>
        <item x="427"/>
        <item x="353"/>
        <item x="389"/>
        <item x="18"/>
        <item x="478"/>
        <item x="65"/>
        <item x="489"/>
        <item x="390"/>
        <item x="412"/>
        <item x="257"/>
        <item x="280"/>
        <item x="455"/>
        <item x="441"/>
        <item x="475"/>
        <item x="462"/>
        <item x="176"/>
        <item x="187"/>
        <item x="493"/>
        <item x="165"/>
        <item x="48"/>
        <item x="378"/>
        <item x="401"/>
        <item x="75"/>
        <item x="87"/>
        <item x="419"/>
        <item x="166"/>
        <item x="79"/>
        <item x="61"/>
        <item x="64"/>
        <item x="51"/>
        <item x="56"/>
        <item x="63"/>
        <item x="218"/>
        <item x="53"/>
        <item x="224"/>
        <item x="358"/>
        <item x="304"/>
        <item x="55"/>
        <item x="217"/>
        <item x="66"/>
        <item x="361"/>
        <item x="319"/>
        <item x="336"/>
        <item x="52"/>
        <item x="465"/>
        <item x="62"/>
        <item x="220"/>
        <item x="222"/>
        <item x="360"/>
        <item x="216"/>
        <item x="356"/>
        <item x="73"/>
        <item x="85"/>
        <item x="357"/>
        <item x="464"/>
        <item x="363"/>
        <item x="223"/>
        <item x="221"/>
        <item x="359"/>
        <item x="362"/>
        <item x="417"/>
        <item x="2"/>
        <item x="286"/>
        <item x="77"/>
        <item x="431"/>
        <item x="445"/>
        <item x="371"/>
        <item x="364"/>
        <item x="367"/>
        <item x="365"/>
        <item x="388"/>
        <item x="411"/>
        <item x="172"/>
        <item x="183"/>
        <item x="485"/>
        <item x="440"/>
        <item x="170"/>
        <item x="454"/>
        <item x="439"/>
        <item x="453"/>
        <item x="179"/>
        <item x="190"/>
        <item x="1"/>
        <item x="470"/>
        <item x="103"/>
        <item x="178"/>
        <item x="126"/>
        <item x="189"/>
        <item x="472"/>
        <item x="169"/>
        <item x="74"/>
        <item x="86"/>
        <item x="78"/>
        <item x="317"/>
        <item x="173"/>
        <item x="334"/>
        <item x="184"/>
        <item x="468"/>
        <item x="145"/>
        <item x="105"/>
        <item x="70"/>
        <item x="83"/>
        <item x="127"/>
        <item x="154"/>
        <item x="245"/>
        <item x="268"/>
        <item x="5"/>
        <item x="246"/>
        <item x="269"/>
        <item x="168"/>
        <item x="255"/>
        <item x="428"/>
        <item x="278"/>
        <item x="171"/>
        <item x="3"/>
        <item x="430"/>
        <item x="115"/>
        <item x="433"/>
        <item x="68"/>
        <item x="182"/>
        <item x="137"/>
        <item x="81"/>
        <item x="447"/>
        <item x="146"/>
        <item x="76"/>
        <item x="155"/>
        <item x="309"/>
        <item x="243"/>
        <item x="326"/>
        <item x="266"/>
        <item x="49"/>
        <item x="310"/>
        <item x="8"/>
        <item x="327"/>
        <item x="7"/>
        <item x="438"/>
        <item x="452"/>
        <item x="387"/>
        <item x="410"/>
        <item x="101"/>
        <item x="124"/>
        <item x="161"/>
        <item x="242"/>
        <item x="265"/>
        <item x="143"/>
        <item x="152"/>
        <item x="93"/>
        <item x="374"/>
        <item x="6"/>
        <item x="397"/>
        <item x="116"/>
        <item x="256"/>
        <item x="138"/>
        <item x="386"/>
        <item x="279"/>
        <item x="100"/>
        <item x="409"/>
        <item x="123"/>
        <item x="0"/>
        <item x="303"/>
        <item x="429"/>
        <item x="444"/>
        <item x="16"/>
        <item x="375"/>
        <item x="254"/>
        <item x="398"/>
        <item x="241"/>
        <item x="277"/>
        <item x="264"/>
        <item x="33"/>
        <item x="373"/>
        <item x="396"/>
        <item x="302"/>
        <item x="24"/>
        <item x="307"/>
        <item x="324"/>
        <item x="376"/>
        <item x="99"/>
        <item x="399"/>
        <item x="19"/>
        <item x="122"/>
        <item x="9"/>
        <item x="23"/>
        <item x="29"/>
        <item x="114"/>
        <item x="136"/>
        <item x="28"/>
        <item x="15"/>
        <item x="14"/>
        <item x="316"/>
        <item x="333"/>
        <item x="102"/>
        <item x="125"/>
        <item x="370"/>
        <item x="26"/>
        <item x="238"/>
        <item x="25"/>
        <item x="458"/>
        <item x="299"/>
        <item x="305"/>
        <item x="322"/>
        <item x="46"/>
        <item x="369"/>
        <item x="113"/>
        <item x="135"/>
        <item x="244"/>
        <item x="267"/>
        <item x="385"/>
        <item x="408"/>
        <item x="31"/>
        <item x="215"/>
        <item x="253"/>
        <item x="276"/>
        <item x="212"/>
        <item x="352"/>
        <item x="237"/>
        <item x="45"/>
        <item x="200"/>
        <item x="41"/>
        <item x="208"/>
        <item x="32"/>
        <item x="201"/>
        <item x="199"/>
        <item x="372"/>
        <item x="366"/>
        <item x="395"/>
        <item x="344"/>
        <item x="198"/>
        <item x="30"/>
        <item x="343"/>
        <item x="27"/>
        <item x="92"/>
        <item x="98"/>
        <item x="240"/>
        <item x="121"/>
        <item x="231"/>
        <item x="263"/>
        <item x="22"/>
        <item x="80"/>
        <item x="167"/>
        <item x="60"/>
        <item t="default"/>
      </items>
    </pivotField>
    <pivotField dataField="1" compact="0" outline="0" multipleItemSelectionAllowed="1" showAll="0">
      <items count="501">
        <item x="2"/>
        <item x="431"/>
        <item x="112"/>
        <item x="90"/>
        <item x="223"/>
        <item x="177"/>
        <item x="330"/>
        <item x="220"/>
        <item x="221"/>
        <item x="388"/>
        <item x="411"/>
        <item x="130"/>
        <item x="139"/>
        <item x="274"/>
        <item x="251"/>
        <item x="421"/>
        <item x="399"/>
        <item x="316"/>
        <item x="299"/>
        <item x="412"/>
        <item x="389"/>
        <item x="329"/>
        <item x="301"/>
        <item x="318"/>
        <item x="327"/>
        <item x="483"/>
        <item x="281"/>
        <item x="338"/>
        <item x="283"/>
        <item x="326"/>
        <item x="309"/>
        <item x="37"/>
        <item x="328"/>
        <item x="420"/>
        <item x="398"/>
        <item x="222"/>
        <item x="499"/>
        <item x="427"/>
        <item x="284"/>
        <item x="170"/>
        <item x="159"/>
        <item x="83"/>
        <item x="89"/>
        <item x="111"/>
        <item x="219"/>
        <item x="497"/>
        <item x="477"/>
        <item x="339"/>
        <item x="189"/>
        <item x="372"/>
        <item x="198"/>
        <item x="493"/>
        <item x="464"/>
        <item x="453"/>
        <item x="438"/>
        <item x="91"/>
        <item x="113"/>
        <item x="240"/>
        <item x="263"/>
        <item x="178"/>
        <item x="241"/>
        <item x="264"/>
        <item x="175"/>
        <item x="480"/>
        <item x="429"/>
        <item x="10"/>
        <item x="498"/>
        <item x="98"/>
        <item x="120"/>
        <item x="430"/>
        <item x="249"/>
        <item x="272"/>
        <item x="373"/>
        <item x="279"/>
        <item x="129"/>
        <item x="138"/>
        <item x="188"/>
        <item x="55"/>
        <item x="36"/>
        <item x="489"/>
        <item x="426"/>
        <item x="48"/>
        <item x="308"/>
        <item x="325"/>
        <item x="452"/>
        <item x="437"/>
        <item x="238"/>
        <item x="261"/>
        <item x="337"/>
        <item x="237"/>
        <item x="260"/>
        <item x="187"/>
        <item x="126"/>
        <item x="474"/>
        <item x="156"/>
        <item x="397"/>
        <item x="419"/>
        <item x="128"/>
        <item x="167"/>
        <item x="109"/>
        <item x="87"/>
        <item x="35"/>
        <item x="492"/>
        <item x="135"/>
        <item x="346"/>
        <item x="137"/>
        <item x="17"/>
        <item x="273"/>
        <item x="250"/>
        <item x="99"/>
        <item x="121"/>
        <item x="207"/>
        <item x="176"/>
        <item x="86"/>
        <item x="108"/>
        <item x="280"/>
        <item x="34"/>
        <item x="484"/>
        <item x="425"/>
        <item x="471"/>
        <item x="446"/>
        <item x="461"/>
        <item x="385"/>
        <item x="408"/>
        <item x="495"/>
        <item x="481"/>
        <item x="193"/>
        <item x="460"/>
        <item x="445"/>
        <item x="319"/>
        <item x="186"/>
        <item x="302"/>
        <item x="236"/>
        <item x="259"/>
        <item x="142"/>
        <item x="491"/>
        <item x="335"/>
        <item x="7"/>
        <item x="45"/>
        <item x="303"/>
        <item x="320"/>
        <item x="123"/>
        <item x="386"/>
        <item x="409"/>
        <item x="85"/>
        <item x="107"/>
        <item x="248"/>
        <item x="271"/>
        <item x="463"/>
        <item x="185"/>
        <item x="396"/>
        <item x="418"/>
        <item x="132"/>
        <item x="141"/>
        <item x="33"/>
        <item x="41"/>
        <item x="345"/>
        <item x="485"/>
        <item x="384"/>
        <item x="407"/>
        <item x="410"/>
        <item x="387"/>
        <item x="8"/>
        <item x="341"/>
        <item x="482"/>
        <item x="206"/>
        <item x="212"/>
        <item x="228"/>
        <item x="285"/>
        <item x="217"/>
        <item x="184"/>
        <item x="277"/>
        <item x="294"/>
        <item x="311"/>
        <item x="32"/>
        <item x="342"/>
        <item x="488"/>
        <item x="168"/>
        <item x="157"/>
        <item x="119"/>
        <item x="428"/>
        <item x="97"/>
        <item x="140"/>
        <item x="127"/>
        <item x="136"/>
        <item x="40"/>
        <item x="336"/>
        <item x="9"/>
        <item x="191"/>
        <item x="282"/>
        <item x="296"/>
        <item x="478"/>
        <item x="313"/>
        <item x="110"/>
        <item x="149"/>
        <item x="88"/>
        <item x="18"/>
        <item x="39"/>
        <item x="64"/>
        <item x="190"/>
        <item x="357"/>
        <item x="204"/>
        <item x="368"/>
        <item x="439"/>
        <item x="454"/>
        <item x="215"/>
        <item x="210"/>
        <item x="276"/>
        <item x="440"/>
        <item x="382"/>
        <item x="455"/>
        <item x="356"/>
        <item x="475"/>
        <item x="15"/>
        <item x="405"/>
        <item x="367"/>
        <item x="262"/>
        <item x="239"/>
        <item x="96"/>
        <item x="118"/>
        <item x="192"/>
        <item x="466"/>
        <item x="146"/>
        <item x="487"/>
        <item x="19"/>
        <item x="423"/>
        <item x="434"/>
        <item x="449"/>
        <item x="163"/>
        <item x="174"/>
        <item x="278"/>
        <item x="54"/>
        <item x="496"/>
        <item x="472"/>
        <item x="173"/>
        <item x="162"/>
        <item x="306"/>
        <item x="323"/>
        <item x="247"/>
        <item x="270"/>
        <item x="358"/>
        <item x="300"/>
        <item x="317"/>
        <item x="369"/>
        <item x="148"/>
        <item x="394"/>
        <item x="286"/>
        <item x="395"/>
        <item x="53"/>
        <item x="417"/>
        <item x="479"/>
        <item x="344"/>
        <item x="144"/>
        <item x="490"/>
        <item x="246"/>
        <item x="269"/>
        <item x="60"/>
        <item x="459"/>
        <item x="444"/>
        <item x="46"/>
        <item x="476"/>
        <item x="465"/>
        <item x="158"/>
        <item x="169"/>
        <item x="494"/>
        <item x="145"/>
        <item x="383"/>
        <item x="406"/>
        <item x="424"/>
        <item x="467"/>
        <item x="59"/>
        <item x="57"/>
        <item x="52"/>
        <item x="61"/>
        <item x="50"/>
        <item x="202"/>
        <item x="197"/>
        <item x="62"/>
        <item x="51"/>
        <item x="353"/>
        <item x="63"/>
        <item x="196"/>
        <item x="292"/>
        <item x="58"/>
        <item x="200"/>
        <item x="349"/>
        <item x="307"/>
        <item x="324"/>
        <item x="468"/>
        <item x="352"/>
        <item x="199"/>
        <item x="201"/>
        <item x="350"/>
        <item x="195"/>
        <item x="66"/>
        <item x="347"/>
        <item x="362"/>
        <item x="288"/>
        <item x="71"/>
        <item x="287"/>
        <item x="348"/>
        <item x="351"/>
        <item x="359"/>
        <item x="370"/>
        <item x="1"/>
        <item x="422"/>
        <item x="73"/>
        <item x="76"/>
        <item x="275"/>
        <item x="433"/>
        <item x="448"/>
        <item x="225"/>
        <item x="67"/>
        <item x="376"/>
        <item x="72"/>
        <item x="393"/>
        <item x="416"/>
        <item x="154"/>
        <item x="165"/>
        <item x="486"/>
        <item x="443"/>
        <item x="152"/>
        <item x="458"/>
        <item x="442"/>
        <item x="457"/>
        <item x="161"/>
        <item x="172"/>
        <item x="355"/>
        <item x="0"/>
        <item x="470"/>
        <item x="366"/>
        <item x="82"/>
        <item x="65"/>
        <item x="160"/>
        <item x="105"/>
        <item x="70"/>
        <item x="171"/>
        <item x="473"/>
        <item x="151"/>
        <item x="224"/>
        <item x="360"/>
        <item x="371"/>
        <item x="363"/>
        <item x="305"/>
        <item x="155"/>
        <item x="322"/>
        <item x="205"/>
        <item x="166"/>
        <item x="216"/>
        <item x="469"/>
        <item x="124"/>
        <item x="84"/>
        <item x="208"/>
        <item x="106"/>
        <item x="211"/>
        <item x="218"/>
        <item x="133"/>
        <item x="234"/>
        <item x="4"/>
        <item x="257"/>
        <item x="68"/>
        <item x="235"/>
        <item x="258"/>
        <item x="361"/>
        <item x="354"/>
        <item x="365"/>
        <item x="203"/>
        <item x="209"/>
        <item x="214"/>
        <item x="47"/>
        <item x="150"/>
        <item x="435"/>
        <item x="153"/>
        <item x="5"/>
        <item x="450"/>
        <item x="94"/>
        <item x="436"/>
        <item x="164"/>
        <item x="116"/>
        <item x="451"/>
        <item x="244"/>
        <item x="267"/>
        <item x="297"/>
        <item x="314"/>
        <item x="298"/>
        <item x="6"/>
        <item x="315"/>
        <item x="125"/>
        <item x="134"/>
        <item x="14"/>
        <item x="441"/>
        <item x="456"/>
        <item x="392"/>
        <item x="415"/>
        <item x="232"/>
        <item x="31"/>
        <item x="255"/>
        <item x="231"/>
        <item x="254"/>
        <item x="75"/>
        <item x="80"/>
        <item x="103"/>
        <item x="43"/>
        <item x="379"/>
        <item x="122"/>
        <item x="402"/>
        <item x="95"/>
        <item x="131"/>
        <item x="245"/>
        <item x="117"/>
        <item x="268"/>
        <item x="79"/>
        <item x="102"/>
        <item x="143"/>
        <item x="291"/>
        <item x="432"/>
        <item x="447"/>
        <item x="27"/>
        <item x="380"/>
        <item x="30"/>
        <item x="230"/>
        <item x="403"/>
        <item x="391"/>
        <item x="253"/>
        <item x="414"/>
        <item x="290"/>
        <item x="13"/>
        <item x="295"/>
        <item x="312"/>
        <item x="78"/>
        <item x="378"/>
        <item x="16"/>
        <item x="101"/>
        <item x="401"/>
        <item x="381"/>
        <item x="243"/>
        <item x="404"/>
        <item x="266"/>
        <item x="3"/>
        <item x="22"/>
        <item x="21"/>
        <item x="179"/>
        <item x="25"/>
        <item x="93"/>
        <item x="115"/>
        <item x="12"/>
        <item x="304"/>
        <item x="321"/>
        <item x="181"/>
        <item x="81"/>
        <item x="375"/>
        <item x="104"/>
        <item x="23"/>
        <item x="227"/>
        <item x="11"/>
        <item x="289"/>
        <item x="293"/>
        <item x="310"/>
        <item x="44"/>
        <item x="462"/>
        <item x="92"/>
        <item x="114"/>
        <item x="233"/>
        <item x="331"/>
        <item x="256"/>
        <item x="374"/>
        <item x="390"/>
        <item x="413"/>
        <item x="28"/>
        <item x="49"/>
        <item x="242"/>
        <item x="265"/>
        <item x="194"/>
        <item x="343"/>
        <item x="226"/>
        <item x="42"/>
        <item x="38"/>
        <item x="334"/>
        <item x="182"/>
        <item x="29"/>
        <item x="340"/>
        <item x="183"/>
        <item x="377"/>
        <item x="364"/>
        <item x="400"/>
        <item x="180"/>
        <item x="26"/>
        <item x="333"/>
        <item x="24"/>
        <item x="332"/>
        <item x="77"/>
        <item x="74"/>
        <item x="100"/>
        <item x="20"/>
        <item x="229"/>
        <item x="213"/>
        <item x="252"/>
        <item x="69"/>
        <item x="147"/>
        <item x="56"/>
        <item t="default"/>
      </items>
    </pivotField>
  </pivotFields>
  <rowFields count="1">
    <field x="-2"/>
  </rowFields>
  <row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rowItems>
  <colFields count="1">
    <field x="0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4">
    <pageField fld="1"/>
    <pageField fld="2"/>
    <pageField fld="3"/>
    <pageField fld="4"/>
  </pageFields>
  <dataFields count="12">
    <dataField name="2025年1月" fld="5" baseField="0" baseItem="2"/>
    <dataField name="2025年2月" fld="6" baseField="0" baseItem="2"/>
    <dataField name="2025年3月" fld="7" baseField="0" baseItem="2"/>
    <dataField name="2025年4月" fld="8" baseField="0" baseItem="2"/>
    <dataField name="2025年5月" fld="9" baseField="0" baseItem="2"/>
    <dataField name="2025年6月" fld="10" baseField="0" baseItem="2"/>
    <dataField name="2025年7月" fld="11" baseField="0" baseItem="2"/>
    <dataField name="2025年8月" fld="12" baseField="0" baseItem="2"/>
    <dataField name="2025年9月" fld="13" baseField="0" baseItem="2"/>
    <dataField name="2025年10月" fld="14" baseField="0" baseItem="2"/>
    <dataField name="2025年11月" fld="15" baseField="0" baseItem="2"/>
    <dataField name="2025年12月" fld="16" baseField="0" baseItem="2"/>
  </dataFields>
  <pivotTableStyleInfo showRowHeaders="1" showColHeaders="1" showLastColumn="1"/>
</pivotTableDefinition>
</file>

<file path=xl/pivotTables/pivotTable5.xml><?xml version="1.0" encoding="utf-8"?>
<pivotTableDefinition xmlns="http://schemas.openxmlformats.org/spreadsheetml/2006/main" name="2025统计 5" cacheId="0" dataOnRows="1" autoFormatId="1" applyNumberFormats="0" applyBorderFormats="0" applyFontFormats="0" applyPatternFormats="0" applyAlignmentFormats="0" applyWidthHeightFormats="1" dataCaption="" updatedVersion="5" compact="0" compactData="0" showDrill="1">
  <location ref="K41:S54" firstHeaderRow="1" firstDataRow="2" firstDataCol="1" rowPageCount="4" colPageCount="1"/>
  <pivotFields count="17">
    <pivotField axis="axisPage" compact="0" outline="0" multipleItemSelectionAllowed="1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Page" compact="0" outline="0" multipleItemSelectionAllowed="1" showAll="0">
      <items count="4">
        <item h="1" x="0"/>
        <item x="1"/>
        <item h="1" x="2"/>
        <item t="default"/>
      </items>
    </pivotField>
    <pivotField axis="axisPage" compact="0" outline="0" multipleItemSelectionAllowed="1" showAll="0">
      <items count="11">
        <item h="1" x="0"/>
        <item h="1" x="1"/>
        <item x="2"/>
        <item h="1" x="3"/>
        <item h="1" x="4"/>
        <item h="1" x="5"/>
        <item h="1" x="6"/>
        <item h="1" x="7"/>
        <item h="1" x="8"/>
        <item h="1" x="9"/>
        <item t="default"/>
      </items>
    </pivotField>
    <pivotField axis="axisPage" compact="0" outline="0" multipleItemSelectionAllowed="1" showAll="0">
      <items count="18">
        <item h="1" x="0"/>
        <item h="1" x="1"/>
        <item h="1" x="2"/>
        <item x="3"/>
        <item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t="default"/>
      </items>
    </pivotField>
    <pivotField axis="axisCol" compact="0" outline="0" multipleItemSelectionAllowed="1" showAll="0">
      <items count="43">
        <item x="22"/>
        <item x="25"/>
        <item x="28"/>
        <item x="13"/>
        <item x="19"/>
        <item x="34"/>
        <item x="18"/>
        <item x="41"/>
        <item x="1"/>
        <item x="2"/>
        <item x="21"/>
        <item x="3"/>
        <item x="4"/>
        <item x="9"/>
        <item x="8"/>
        <item x="16"/>
        <item x="39"/>
        <item x="17"/>
        <item x="40"/>
        <item x="5"/>
        <item x="10"/>
        <item x="32"/>
        <item x="30"/>
        <item x="31"/>
        <item x="24"/>
        <item x="27"/>
        <item x="6"/>
        <item x="0"/>
        <item x="15"/>
        <item x="12"/>
        <item x="11"/>
        <item x="33"/>
        <item x="7"/>
        <item x="23"/>
        <item x="26"/>
        <item x="29"/>
        <item x="14"/>
        <item x="20"/>
        <item x="35"/>
        <item x="38"/>
        <item x="36"/>
        <item x="37"/>
        <item t="default"/>
      </items>
    </pivotField>
    <pivotField dataField="1" compact="0" outline="0" multipleItemSelectionAllowed="1" showAll="0">
      <items count="114">
        <item x="1"/>
        <item x="96"/>
        <item x="56"/>
        <item x="112"/>
        <item x="29"/>
        <item x="25"/>
        <item x="58"/>
        <item x="59"/>
        <item x="77"/>
        <item x="97"/>
        <item x="55"/>
        <item x="110"/>
        <item x="109"/>
        <item x="104"/>
        <item x="111"/>
        <item x="14"/>
        <item x="64"/>
        <item x="70"/>
        <item x="98"/>
        <item x="65"/>
        <item x="71"/>
        <item x="88"/>
        <item x="84"/>
        <item x="94"/>
        <item x="95"/>
        <item x="27"/>
        <item x="31"/>
        <item x="72"/>
        <item x="66"/>
        <item x="34"/>
        <item x="35"/>
        <item x="68"/>
        <item x="62"/>
        <item x="7"/>
        <item x="57"/>
        <item x="28"/>
        <item x="32"/>
        <item x="54"/>
        <item x="8"/>
        <item x="102"/>
        <item x="107"/>
        <item x="40"/>
        <item x="50"/>
        <item x="41"/>
        <item x="51"/>
        <item x="105"/>
        <item x="100"/>
        <item x="6"/>
        <item x="30"/>
        <item x="26"/>
        <item x="101"/>
        <item x="106"/>
        <item x="36"/>
        <item x="108"/>
        <item x="103"/>
        <item x="63"/>
        <item x="69"/>
        <item x="9"/>
        <item x="12"/>
        <item x="78"/>
        <item x="45"/>
        <item x="42"/>
        <item x="52"/>
        <item x="67"/>
        <item x="73"/>
        <item x="3"/>
        <item x="38"/>
        <item x="48"/>
        <item x="82"/>
        <item x="92"/>
        <item x="86"/>
        <item x="16"/>
        <item x="21"/>
        <item x="80"/>
        <item x="90"/>
        <item x="61"/>
        <item x="81"/>
        <item x="91"/>
        <item x="83"/>
        <item x="93"/>
        <item x="87"/>
        <item x="2"/>
        <item x="23"/>
        <item x="24"/>
        <item x="17"/>
        <item x="22"/>
        <item x="5"/>
        <item x="79"/>
        <item x="99"/>
        <item x="89"/>
        <item x="85"/>
        <item x="39"/>
        <item x="49"/>
        <item x="60"/>
        <item x="4"/>
        <item x="43"/>
        <item x="53"/>
        <item x="15"/>
        <item x="20"/>
        <item x="46"/>
        <item x="33"/>
        <item x="37"/>
        <item x="47"/>
        <item x="44"/>
        <item x="0"/>
        <item x="75"/>
        <item x="74"/>
        <item x="76"/>
        <item x="13"/>
        <item x="19"/>
        <item x="18"/>
        <item x="10"/>
        <item x="11"/>
        <item t="default"/>
      </items>
    </pivotField>
    <pivotField dataField="1" compact="0" outline="0" multipleItemSelectionAllowed="1" showAll="0">
      <items count="162">
        <item x="1"/>
        <item x="152"/>
        <item x="98"/>
        <item x="160"/>
        <item x="100"/>
        <item x="25"/>
        <item x="101"/>
        <item x="105"/>
        <item x="147"/>
        <item x="135"/>
        <item x="150"/>
        <item x="97"/>
        <item x="157"/>
        <item x="155"/>
        <item x="119"/>
        <item x="149"/>
        <item x="153"/>
        <item x="51"/>
        <item x="39"/>
        <item x="45"/>
        <item x="33"/>
        <item x="156"/>
        <item x="35"/>
        <item x="47"/>
        <item x="154"/>
        <item x="77"/>
        <item x="90"/>
        <item x="151"/>
        <item x="118"/>
        <item x="78"/>
        <item x="91"/>
        <item x="131"/>
        <item x="143"/>
        <item x="61"/>
        <item x="36"/>
        <item x="48"/>
        <item x="94"/>
        <item x="81"/>
        <item x="9"/>
        <item x="145"/>
        <item x="133"/>
        <item x="148"/>
        <item x="62"/>
        <item x="88"/>
        <item x="75"/>
        <item x="11"/>
        <item x="107"/>
        <item x="146"/>
        <item x="134"/>
        <item x="99"/>
        <item x="96"/>
        <item x="140"/>
        <item x="128"/>
        <item x="8"/>
        <item x="24"/>
        <item x="27"/>
        <item x="121"/>
        <item x="158"/>
        <item x="112"/>
        <item x="73"/>
        <item x="117"/>
        <item x="86"/>
        <item x="74"/>
        <item x="87"/>
        <item x="123"/>
        <item x="38"/>
        <item x="50"/>
        <item x="40"/>
        <item x="52"/>
        <item x="10"/>
        <item x="132"/>
        <item x="144"/>
        <item x="63"/>
        <item x="159"/>
        <item x="76"/>
        <item x="89"/>
        <item x="64"/>
        <item x="127"/>
        <item x="139"/>
        <item x="108"/>
        <item x="46"/>
        <item x="34"/>
        <item x="66"/>
        <item x="19"/>
        <item x="16"/>
        <item x="14"/>
        <item x="79"/>
        <item x="92"/>
        <item x="65"/>
        <item x="82"/>
        <item x="95"/>
        <item x="12"/>
        <item x="29"/>
        <item x="109"/>
        <item x="0"/>
        <item x="71"/>
        <item x="84"/>
        <item x="129"/>
        <item x="141"/>
        <item x="31"/>
        <item x="43"/>
        <item x="69"/>
        <item x="59"/>
        <item x="58"/>
        <item x="60"/>
        <item x="130"/>
        <item x="142"/>
        <item x="2"/>
        <item x="54"/>
        <item x="126"/>
        <item x="138"/>
        <item x="56"/>
        <item x="53"/>
        <item x="55"/>
        <item x="32"/>
        <item x="44"/>
        <item x="111"/>
        <item x="116"/>
        <item x="120"/>
        <item x="5"/>
        <item x="110"/>
        <item x="72"/>
        <item x="113"/>
        <item x="115"/>
        <item x="85"/>
        <item x="68"/>
        <item x="3"/>
        <item x="125"/>
        <item x="137"/>
        <item x="80"/>
        <item x="93"/>
        <item x="6"/>
        <item x="70"/>
        <item x="83"/>
        <item x="67"/>
        <item x="122"/>
        <item x="7"/>
        <item x="124"/>
        <item x="136"/>
        <item x="114"/>
        <item x="4"/>
        <item x="102"/>
        <item x="103"/>
        <item x="104"/>
        <item x="106"/>
        <item x="37"/>
        <item x="49"/>
        <item x="17"/>
        <item x="23"/>
        <item x="20"/>
        <item x="15"/>
        <item x="22"/>
        <item x="18"/>
        <item x="30"/>
        <item x="42"/>
        <item x="28"/>
        <item x="41"/>
        <item x="26"/>
        <item x="21"/>
        <item x="57"/>
        <item x="13"/>
        <item t="default"/>
      </items>
    </pivotField>
    <pivotField dataField="1" compact="0" outline="0" multipleItemSelectionAllowed="1" showAll="0">
      <items count="209">
        <item x="3"/>
        <item x="172"/>
        <item x="117"/>
        <item x="26"/>
        <item x="29"/>
        <item x="189"/>
        <item x="207"/>
        <item x="156"/>
        <item x="142"/>
        <item x="119"/>
        <item x="50"/>
        <item x="35"/>
        <item x="165"/>
        <item x="151"/>
        <item x="62"/>
        <item x="66"/>
        <item x="120"/>
        <item x="135"/>
        <item x="124"/>
        <item x="169"/>
        <item x="196"/>
        <item x="84"/>
        <item x="190"/>
        <item x="188"/>
        <item x="179"/>
        <item x="206"/>
        <item x="198"/>
        <item x="51"/>
        <item x="36"/>
        <item x="171"/>
        <item x="167"/>
        <item x="116"/>
        <item x="59"/>
        <item x="44"/>
        <item x="204"/>
        <item x="130"/>
        <item x="38"/>
        <item x="53"/>
        <item x="186"/>
        <item x="95"/>
        <item x="109"/>
        <item x="170"/>
        <item x="197"/>
        <item x="168"/>
        <item x="147"/>
        <item x="161"/>
        <item x="191"/>
        <item x="183"/>
        <item x="125"/>
        <item x="199"/>
        <item x="176"/>
        <item x="193"/>
        <item x="112"/>
        <item x="98"/>
        <item x="163"/>
        <item x="149"/>
        <item x="12"/>
        <item x="73"/>
        <item x="100"/>
        <item x="114"/>
        <item x="39"/>
        <item x="54"/>
        <item x="205"/>
        <item x="75"/>
        <item x="180"/>
        <item x="106"/>
        <item x="92"/>
        <item x="166"/>
        <item x="23"/>
        <item x="16"/>
        <item x="22"/>
        <item x="25"/>
        <item x="94"/>
        <item x="108"/>
        <item x="164"/>
        <item x="150"/>
        <item x="5"/>
        <item x="157"/>
        <item x="143"/>
        <item x="200"/>
        <item x="13"/>
        <item x="118"/>
        <item x="115"/>
        <item x="74"/>
        <item x="64"/>
        <item x="68"/>
        <item x="181"/>
        <item x="177"/>
        <item x="15"/>
        <item x="14"/>
        <item x="185"/>
        <item x="182"/>
        <item x="192"/>
        <item x="91"/>
        <item x="105"/>
        <item x="43"/>
        <item x="58"/>
        <item x="45"/>
        <item x="60"/>
        <item x="202"/>
        <item x="194"/>
        <item x="18"/>
        <item x="107"/>
        <item x="93"/>
        <item x="78"/>
        <item x="184"/>
        <item x="21"/>
        <item x="201"/>
        <item x="178"/>
        <item x="79"/>
        <item x="148"/>
        <item x="162"/>
        <item x="187"/>
        <item x="17"/>
        <item x="195"/>
        <item x="20"/>
        <item x="173"/>
        <item x="99"/>
        <item x="113"/>
        <item x="174"/>
        <item x="52"/>
        <item x="37"/>
        <item x="141"/>
        <item x="155"/>
        <item x="203"/>
        <item x="6"/>
        <item x="127"/>
        <item x="96"/>
        <item x="110"/>
        <item x="31"/>
        <item x="81"/>
        <item x="80"/>
        <item x="126"/>
        <item x="83"/>
        <item x="28"/>
        <item x="41"/>
        <item x="56"/>
        <item x="1"/>
        <item x="88"/>
        <item x="102"/>
        <item x="145"/>
        <item x="159"/>
        <item x="33"/>
        <item x="48"/>
        <item x="90"/>
        <item x="104"/>
        <item x="70"/>
        <item x="129"/>
        <item x="134"/>
        <item x="131"/>
        <item x="128"/>
        <item x="71"/>
        <item x="133"/>
        <item x="72"/>
        <item x="146"/>
        <item x="160"/>
        <item x="4"/>
        <item x="63"/>
        <item x="140"/>
        <item x="154"/>
        <item x="67"/>
        <item x="137"/>
        <item x="86"/>
        <item x="61"/>
        <item x="65"/>
        <item x="34"/>
        <item x="49"/>
        <item x="2"/>
        <item x="89"/>
        <item x="103"/>
        <item x="85"/>
        <item x="0"/>
        <item x="97"/>
        <item x="111"/>
        <item x="144"/>
        <item x="158"/>
        <item x="9"/>
        <item x="139"/>
        <item x="153"/>
        <item x="136"/>
        <item x="87"/>
        <item x="7"/>
        <item x="101"/>
        <item x="82"/>
        <item x="11"/>
        <item x="121"/>
        <item x="122"/>
        <item x="123"/>
        <item x="138"/>
        <item x="175"/>
        <item x="152"/>
        <item x="132"/>
        <item x="40"/>
        <item x="55"/>
        <item x="42"/>
        <item x="57"/>
        <item x="10"/>
        <item x="77"/>
        <item x="8"/>
        <item x="76"/>
        <item x="32"/>
        <item x="47"/>
        <item x="30"/>
        <item x="46"/>
        <item x="27"/>
        <item x="24"/>
        <item x="69"/>
        <item x="19"/>
        <item t="default"/>
      </items>
    </pivotField>
    <pivotField dataField="1" compact="0" outline="0" multipleItemSelectionAllowed="1" showAll="0">
      <items count="296">
        <item x="3"/>
        <item x="262"/>
        <item x="50"/>
        <item x="292"/>
        <item x="144"/>
        <item x="245"/>
        <item x="230"/>
        <item x="57"/>
        <item x="270"/>
        <item x="184"/>
        <item x="166"/>
        <item x="98"/>
        <item x="103"/>
        <item x="222"/>
        <item x="204"/>
        <item x="293"/>
        <item x="190"/>
        <item x="141"/>
        <item x="203"/>
        <item x="199"/>
        <item x="187"/>
        <item x="259"/>
        <item x="274"/>
        <item x="191"/>
        <item x="294"/>
        <item x="49"/>
        <item x="56"/>
        <item x="47"/>
        <item x="165"/>
        <item x="183"/>
        <item x="285"/>
        <item x="278"/>
        <item x="54"/>
        <item x="255"/>
        <item x="240"/>
        <item x="74"/>
        <item x="64"/>
        <item x="82"/>
        <item x="92"/>
        <item x="291"/>
        <item x="156"/>
        <item x="174"/>
        <item x="289"/>
        <item x="227"/>
        <item x="67"/>
        <item x="85"/>
        <item x="261"/>
        <item x="257"/>
        <item x="158"/>
        <item x="176"/>
        <item x="142"/>
        <item x="113"/>
        <item x="267"/>
        <item x="48"/>
        <item x="268"/>
        <item x="260"/>
        <item x="55"/>
        <item x="275"/>
        <item x="91"/>
        <item x="73"/>
        <item x="18"/>
        <item x="139"/>
        <item x="258"/>
        <item x="95"/>
        <item x="207"/>
        <item x="100"/>
        <item x="284"/>
        <item x="282"/>
        <item x="159"/>
        <item x="286"/>
        <item x="177"/>
        <item x="238"/>
        <item x="21"/>
        <item x="253"/>
        <item x="279"/>
        <item x="117"/>
        <item x="155"/>
        <item x="173"/>
        <item x="68"/>
        <item x="86"/>
        <item x="112"/>
        <item x="288"/>
        <item x="83"/>
        <item x="65"/>
        <item x="290"/>
        <item x="108"/>
        <item x="192"/>
        <item x="194"/>
        <item x="17"/>
        <item x="276"/>
        <item x="209"/>
        <item x="239"/>
        <item x="254"/>
        <item x="256"/>
        <item x="111"/>
        <item x="247"/>
        <item x="232"/>
        <item x="231"/>
        <item x="246"/>
        <item x="271"/>
        <item x="154"/>
        <item x="172"/>
        <item x="265"/>
        <item x="115"/>
        <item x="280"/>
        <item x="7"/>
        <item x="206"/>
        <item x="118"/>
        <item x="164"/>
        <item x="182"/>
        <item x="216"/>
        <item x="127"/>
        <item x="211"/>
        <item x="116"/>
        <item x="143"/>
        <item x="140"/>
        <item x="189"/>
        <item x="10"/>
        <item x="97"/>
        <item x="102"/>
        <item x="277"/>
        <item x="186"/>
        <item x="266"/>
        <item x="188"/>
        <item x="236"/>
        <item x="251"/>
        <item x="27"/>
        <item x="185"/>
        <item x="93"/>
        <item x="75"/>
        <item x="16"/>
        <item x="175"/>
        <item x="157"/>
        <item x="208"/>
        <item x="72"/>
        <item x="90"/>
        <item x="114"/>
        <item x="283"/>
        <item x="272"/>
        <item x="6"/>
        <item x="281"/>
        <item x="20"/>
        <item x="229"/>
        <item x="244"/>
        <item x="24"/>
        <item x="84"/>
        <item x="66"/>
        <item x="181"/>
        <item x="163"/>
        <item x="237"/>
        <item x="252"/>
        <item x="9"/>
        <item x="287"/>
        <item x="30"/>
        <item x="269"/>
        <item x="263"/>
        <item x="31"/>
        <item x="273"/>
        <item x="264"/>
        <item x="33"/>
        <item x="23"/>
        <item x="43"/>
        <item x="213"/>
        <item x="39"/>
        <item x="212"/>
        <item x="28"/>
        <item x="25"/>
        <item x="29"/>
        <item x="119"/>
        <item x="162"/>
        <item x="180"/>
        <item x="36"/>
        <item x="40"/>
        <item x="59"/>
        <item x="77"/>
        <item x="46"/>
        <item x="198"/>
        <item x="202"/>
        <item x="2"/>
        <item x="38"/>
        <item x="234"/>
        <item x="249"/>
        <item x="35"/>
        <item x="45"/>
        <item x="123"/>
        <item x="135"/>
        <item x="62"/>
        <item x="80"/>
        <item x="152"/>
        <item x="170"/>
        <item x="105"/>
        <item x="153"/>
        <item x="106"/>
        <item x="171"/>
        <item x="218"/>
        <item x="107"/>
        <item x="215"/>
        <item x="51"/>
        <item x="70"/>
        <item x="221"/>
        <item x="88"/>
        <item x="235"/>
        <item x="250"/>
        <item x="4"/>
        <item x="217"/>
        <item x="214"/>
        <item x="96"/>
        <item x="220"/>
        <item x="228"/>
        <item x="53"/>
        <item x="243"/>
        <item x="101"/>
        <item x="34"/>
        <item x="44"/>
        <item x="94"/>
        <item x="99"/>
        <item x="124"/>
        <item x="136"/>
        <item x="63"/>
        <item x="81"/>
        <item x="37"/>
        <item x="32"/>
        <item x="42"/>
        <item x="60"/>
        <item x="1"/>
        <item x="78"/>
        <item x="126"/>
        <item x="138"/>
        <item x="130"/>
        <item x="151"/>
        <item x="169"/>
        <item x="224"/>
        <item x="145"/>
        <item x="5"/>
        <item x="121"/>
        <item x="133"/>
        <item x="0"/>
        <item x="150"/>
        <item x="168"/>
        <item x="226"/>
        <item x="242"/>
        <item x="223"/>
        <item x="12"/>
        <item x="233"/>
        <item x="248"/>
        <item x="8"/>
        <item x="161"/>
        <item x="195"/>
        <item x="197"/>
        <item x="179"/>
        <item x="201"/>
        <item x="193"/>
        <item x="196"/>
        <item x="200"/>
        <item x="147"/>
        <item x="22"/>
        <item x="71"/>
        <item x="89"/>
        <item x="19"/>
        <item x="69"/>
        <item x="87"/>
        <item x="225"/>
        <item x="210"/>
        <item x="219"/>
        <item x="241"/>
        <item x="205"/>
        <item x="122"/>
        <item x="134"/>
        <item x="15"/>
        <item x="14"/>
        <item x="61"/>
        <item x="79"/>
        <item x="110"/>
        <item x="13"/>
        <item x="146"/>
        <item x="129"/>
        <item x="11"/>
        <item x="125"/>
        <item x="137"/>
        <item x="160"/>
        <item x="178"/>
        <item x="148"/>
        <item x="109"/>
        <item x="128"/>
        <item x="120"/>
        <item x="132"/>
        <item x="58"/>
        <item x="52"/>
        <item x="76"/>
        <item x="41"/>
        <item x="149"/>
        <item x="131"/>
        <item x="167"/>
        <item x="104"/>
        <item x="26"/>
        <item t="default"/>
      </items>
    </pivotField>
    <pivotField dataField="1" compact="0" outline="0" multipleItemSelectionAllowed="1" showAll="0">
      <items count="346">
        <item x="1"/>
        <item x="303"/>
        <item x="342"/>
        <item x="319"/>
        <item x="51"/>
        <item x="61"/>
        <item x="157"/>
        <item x="202"/>
        <item x="257"/>
        <item x="181"/>
        <item x="49"/>
        <item x="59"/>
        <item x="224"/>
        <item x="70"/>
        <item x="90"/>
        <item x="343"/>
        <item x="209"/>
        <item x="223"/>
        <item x="158"/>
        <item x="218"/>
        <item x="296"/>
        <item x="279"/>
        <item x="203"/>
        <item x="182"/>
        <item x="315"/>
        <item x="210"/>
        <item x="255"/>
        <item x="344"/>
        <item x="180"/>
        <item x="201"/>
        <item x="300"/>
        <item x="50"/>
        <item x="60"/>
        <item x="48"/>
        <item x="106"/>
        <item x="58"/>
        <item x="72"/>
        <item x="92"/>
        <item x="114"/>
        <item x="109"/>
        <item x="117"/>
        <item x="171"/>
        <item x="192"/>
        <item x="46"/>
        <item x="341"/>
        <item x="57"/>
        <item x="314"/>
        <item x="14"/>
        <item x="173"/>
        <item x="194"/>
        <item x="156"/>
        <item x="317"/>
        <item x="327"/>
        <item x="301"/>
        <item x="324"/>
        <item x="80"/>
        <item x="100"/>
        <item x="313"/>
        <item x="206"/>
        <item x="323"/>
        <item x="332"/>
        <item x="316"/>
        <item x="73"/>
        <item x="108"/>
        <item x="93"/>
        <item x="234"/>
        <item x="302"/>
        <item x="298"/>
        <item x="155"/>
        <item x="116"/>
        <item x="335"/>
        <item x="334"/>
        <item x="256"/>
        <item x="230"/>
        <item x="277"/>
        <item x="294"/>
        <item x="329"/>
        <item x="336"/>
        <item x="278"/>
        <item x="295"/>
        <item x="328"/>
        <item x="254"/>
        <item x="128"/>
        <item x="69"/>
        <item x="89"/>
        <item x="174"/>
        <item x="195"/>
        <item x="339"/>
        <item x="338"/>
        <item x="68"/>
        <item x="137"/>
        <item x="88"/>
        <item x="340"/>
        <item x="269"/>
        <item x="286"/>
        <item x="138"/>
        <item x="122"/>
        <item x="103"/>
        <item x="214"/>
        <item x="221"/>
        <item x="170"/>
        <item x="191"/>
        <item x="111"/>
        <item x="21"/>
        <item x="23"/>
        <item x="15"/>
        <item x="307"/>
        <item x="299"/>
        <item x="18"/>
        <item x="325"/>
        <item x="227"/>
        <item x="169"/>
        <item x="190"/>
        <item x="134"/>
        <item x="330"/>
        <item x="288"/>
        <item x="271"/>
        <item x="235"/>
        <item x="99"/>
        <item x="79"/>
        <item x="131"/>
        <item x="320"/>
        <item x="127"/>
        <item x="287"/>
        <item x="270"/>
        <item x="81"/>
        <item x="101"/>
        <item x="133"/>
        <item x="179"/>
        <item x="200"/>
        <item x="12"/>
        <item x="297"/>
        <item x="262"/>
        <item x="161"/>
        <item x="19"/>
        <item x="144"/>
        <item x="154"/>
        <item x="208"/>
        <item x="268"/>
        <item x="285"/>
        <item x="24"/>
        <item x="147"/>
        <item x="107"/>
        <item x="115"/>
        <item x="13"/>
        <item x="308"/>
        <item x="326"/>
        <item x="205"/>
        <item x="16"/>
        <item x="78"/>
        <item x="98"/>
        <item x="207"/>
        <item x="275"/>
        <item x="292"/>
        <item x="130"/>
        <item x="193"/>
        <item x="172"/>
        <item x="309"/>
        <item x="27"/>
        <item x="17"/>
        <item x="40"/>
        <item x="143"/>
        <item x="331"/>
        <item x="153"/>
        <item x="28"/>
        <item x="41"/>
        <item x="204"/>
        <item x="132"/>
        <item x="333"/>
        <item x="321"/>
        <item x="146"/>
        <item x="228"/>
        <item x="20"/>
        <item x="310"/>
        <item x="91"/>
        <item x="142"/>
        <item x="71"/>
        <item x="152"/>
        <item x="337"/>
        <item x="148"/>
        <item x="199"/>
        <item x="178"/>
        <item x="243"/>
        <item x="253"/>
        <item x="211"/>
        <item x="246"/>
        <item x="304"/>
        <item x="305"/>
        <item x="233"/>
        <item x="276"/>
        <item x="293"/>
        <item x="318"/>
        <item x="141"/>
        <item x="151"/>
        <item x="322"/>
        <item x="236"/>
        <item x="136"/>
        <item x="231"/>
        <item x="312"/>
        <item x="232"/>
        <item x="177"/>
        <item x="229"/>
        <item x="198"/>
        <item x="237"/>
        <item x="311"/>
        <item x="139"/>
        <item x="135"/>
        <item x="217"/>
        <item x="222"/>
        <item x="0"/>
        <item x="66"/>
        <item x="86"/>
        <item x="165"/>
        <item x="186"/>
        <item x="140"/>
        <item x="150"/>
        <item x="145"/>
        <item x="32"/>
        <item x="44"/>
        <item x="36"/>
        <item x="119"/>
        <item x="167"/>
        <item x="120"/>
        <item x="188"/>
        <item x="121"/>
        <item x="34"/>
        <item x="30"/>
        <item x="273"/>
        <item x="42"/>
        <item x="290"/>
        <item x="274"/>
        <item x="291"/>
        <item x="3"/>
        <item x="104"/>
        <item x="112"/>
        <item x="241"/>
        <item x="251"/>
        <item x="239"/>
        <item x="249"/>
        <item x="265"/>
        <item x="76"/>
        <item x="282"/>
        <item x="96"/>
        <item x="53"/>
        <item x="67"/>
        <item x="87"/>
        <item x="26"/>
        <item x="39"/>
        <item x="240"/>
        <item x="250"/>
        <item x="4"/>
        <item x="258"/>
        <item x="168"/>
        <item x="189"/>
        <item x="64"/>
        <item x="84"/>
        <item x="63"/>
        <item x="83"/>
        <item x="47"/>
        <item x="164"/>
        <item x="5"/>
        <item x="105"/>
        <item x="113"/>
        <item x="45"/>
        <item x="56"/>
        <item x="185"/>
        <item x="267"/>
        <item x="284"/>
        <item x="259"/>
        <item x="55"/>
        <item x="266"/>
        <item x="283"/>
        <item x="2"/>
        <item x="29"/>
        <item x="163"/>
        <item x="184"/>
        <item x="264"/>
        <item x="281"/>
        <item x="9"/>
        <item x="31"/>
        <item x="43"/>
        <item x="102"/>
        <item x="110"/>
        <item x="242"/>
        <item x="245"/>
        <item x="7"/>
        <item x="252"/>
        <item x="213"/>
        <item x="216"/>
        <item x="238"/>
        <item x="244"/>
        <item x="220"/>
        <item x="212"/>
        <item x="215"/>
        <item x="248"/>
        <item x="176"/>
        <item x="75"/>
        <item x="219"/>
        <item x="95"/>
        <item x="197"/>
        <item x="124"/>
        <item x="261"/>
        <item x="77"/>
        <item x="97"/>
        <item x="260"/>
        <item x="225"/>
        <item x="25"/>
        <item x="38"/>
        <item x="159"/>
        <item x="35"/>
        <item x="22"/>
        <item x="52"/>
        <item x="226"/>
        <item x="166"/>
        <item x="187"/>
        <item x="74"/>
        <item x="94"/>
        <item x="306"/>
        <item x="11"/>
        <item x="33"/>
        <item x="272"/>
        <item x="289"/>
        <item x="125"/>
        <item x="129"/>
        <item x="10"/>
        <item x="8"/>
        <item x="175"/>
        <item x="160"/>
        <item x="263"/>
        <item x="196"/>
        <item x="247"/>
        <item x="280"/>
        <item x="126"/>
        <item x="65"/>
        <item x="85"/>
        <item x="123"/>
        <item x="162"/>
        <item x="149"/>
        <item x="183"/>
        <item x="62"/>
        <item x="82"/>
        <item x="54"/>
        <item x="37"/>
        <item x="118"/>
        <item x="6"/>
        <item t="default"/>
      </items>
    </pivotField>
    <pivotField dataField="1" compact="0" outline="0" multipleItemSelectionAllowed="1" showAll="0">
      <items count="361">
        <item x="3"/>
        <item x="221"/>
        <item x="322"/>
        <item x="276"/>
        <item x="85"/>
        <item x="63"/>
        <item x="220"/>
        <item x="150"/>
        <item x="46"/>
        <item x="50"/>
        <item x="358"/>
        <item x="47"/>
        <item x="151"/>
        <item x="103"/>
        <item x="112"/>
        <item x="235"/>
        <item x="227"/>
        <item x="201"/>
        <item x="239"/>
        <item x="178"/>
        <item x="60"/>
        <item x="82"/>
        <item x="315"/>
        <item x="357"/>
        <item x="298"/>
        <item x="208"/>
        <item x="206"/>
        <item x="275"/>
        <item x="42"/>
        <item x="209"/>
        <item x="359"/>
        <item x="176"/>
        <item x="199"/>
        <item x="165"/>
        <item x="188"/>
        <item x="319"/>
        <item x="39"/>
        <item x="99"/>
        <item x="62"/>
        <item x="84"/>
        <item x="167"/>
        <item x="190"/>
        <item x="108"/>
        <item x="17"/>
        <item x="102"/>
        <item x="111"/>
        <item x="346"/>
        <item x="333"/>
        <item x="341"/>
        <item x="343"/>
        <item x="356"/>
        <item x="342"/>
        <item x="246"/>
        <item x="320"/>
        <item x="71"/>
        <item x="338"/>
        <item x="93"/>
        <item x="168"/>
        <item x="191"/>
        <item x="353"/>
        <item x="352"/>
        <item x="327"/>
        <item x="204"/>
        <item x="314"/>
        <item x="297"/>
        <item x="337"/>
        <item x="64"/>
        <item x="86"/>
        <item x="296"/>
        <item x="313"/>
        <item x="354"/>
        <item x="101"/>
        <item x="110"/>
        <item x="121"/>
        <item x="349"/>
        <item x="348"/>
        <item x="350"/>
        <item x="274"/>
        <item x="164"/>
        <item x="187"/>
        <item x="59"/>
        <item x="81"/>
        <item x="30"/>
        <item x="305"/>
        <item x="288"/>
        <item x="355"/>
        <item x="273"/>
        <item x="26"/>
        <item x="58"/>
        <item x="80"/>
        <item x="163"/>
        <item x="186"/>
        <item x="243"/>
        <item x="117"/>
        <item x="223"/>
        <item x="233"/>
        <item x="96"/>
        <item x="18"/>
        <item x="105"/>
        <item x="152"/>
        <item x="325"/>
        <item x="149"/>
        <item x="21"/>
        <item x="329"/>
        <item x="129"/>
        <item x="122"/>
        <item x="175"/>
        <item x="198"/>
        <item x="321"/>
        <item x="262"/>
        <item x="258"/>
        <item x="271"/>
        <item x="230"/>
        <item x="238"/>
        <item x="200"/>
        <item x="177"/>
        <item x="317"/>
        <item x="306"/>
        <item x="289"/>
        <item x="119"/>
        <item x="128"/>
        <item x="92"/>
        <item x="70"/>
        <item x="23"/>
        <item x="125"/>
        <item x="72"/>
        <item x="94"/>
        <item x="120"/>
        <item x="253"/>
        <item x="281"/>
        <item x="155"/>
        <item x="266"/>
        <item x="287"/>
        <item x="304"/>
        <item x="16"/>
        <item x="345"/>
        <item x="272"/>
        <item x="207"/>
        <item x="6"/>
        <item x="100"/>
        <item x="109"/>
        <item x="307"/>
        <item x="261"/>
        <item x="290"/>
        <item x="330"/>
        <item x="257"/>
        <item x="340"/>
        <item x="203"/>
        <item x="270"/>
        <item x="69"/>
        <item x="91"/>
        <item x="124"/>
        <item x="205"/>
        <item x="294"/>
        <item x="311"/>
        <item x="135"/>
        <item x="145"/>
        <item x="141"/>
        <item x="20"/>
        <item x="326"/>
        <item x="331"/>
        <item x="38"/>
        <item x="41"/>
        <item x="45"/>
        <item x="328"/>
        <item x="40"/>
        <item x="54"/>
        <item x="244"/>
        <item x="37"/>
        <item x="344"/>
        <item x="76"/>
        <item x="44"/>
        <item x="19"/>
        <item x="318"/>
        <item x="335"/>
        <item x="24"/>
        <item x="197"/>
        <item x="174"/>
        <item x="339"/>
        <item x="127"/>
        <item x="254"/>
        <item x="267"/>
        <item x="189"/>
        <item x="166"/>
        <item x="247"/>
        <item x="83"/>
        <item x="61"/>
        <item x="173"/>
        <item x="196"/>
        <item x="316"/>
        <item x="240"/>
        <item x="202"/>
        <item x="334"/>
        <item x="323"/>
        <item x="249"/>
        <item x="324"/>
        <item x="351"/>
        <item x="34"/>
        <item x="237"/>
        <item x="229"/>
        <item x="36"/>
        <item x="295"/>
        <item x="312"/>
        <item x="250"/>
        <item x="245"/>
        <item x="32"/>
        <item x="29"/>
        <item x="347"/>
        <item x="28"/>
        <item x="33"/>
        <item x="35"/>
        <item x="248"/>
        <item x="133"/>
        <item x="132"/>
        <item x="131"/>
        <item x="226"/>
        <item x="234"/>
        <item x="2"/>
        <item x="336"/>
        <item x="332"/>
        <item x="56"/>
        <item x="78"/>
        <item x="171"/>
        <item x="159"/>
        <item x="194"/>
        <item x="182"/>
        <item x="114"/>
        <item x="252"/>
        <item x="265"/>
        <item x="161"/>
        <item x="214"/>
        <item x="211"/>
        <item x="115"/>
        <item x="184"/>
        <item x="218"/>
        <item x="116"/>
        <item x="277"/>
        <item x="1"/>
        <item x="97"/>
        <item x="293"/>
        <item x="310"/>
        <item x="106"/>
        <item x="292"/>
        <item x="309"/>
        <item x="67"/>
        <item x="89"/>
        <item x="212"/>
        <item x="215"/>
        <item x="219"/>
        <item x="57"/>
        <item x="284"/>
        <item x="79"/>
        <item x="301"/>
        <item x="4"/>
        <item x="162"/>
        <item x="185"/>
        <item x="53"/>
        <item x="75"/>
        <item x="5"/>
        <item x="98"/>
        <item x="107"/>
        <item x="255"/>
        <item x="268"/>
        <item x="52"/>
        <item x="210"/>
        <item x="213"/>
        <item x="74"/>
        <item x="217"/>
        <item x="158"/>
        <item x="137"/>
        <item x="140"/>
        <item x="181"/>
        <item x="147"/>
        <item x="49"/>
        <item x="278"/>
        <item x="0"/>
        <item x="285"/>
        <item x="302"/>
        <item x="157"/>
        <item x="25"/>
        <item x="180"/>
        <item x="256"/>
        <item x="269"/>
        <item x="15"/>
        <item x="260"/>
        <item x="95"/>
        <item x="251"/>
        <item x="104"/>
        <item x="264"/>
        <item x="259"/>
        <item x="10"/>
        <item x="283"/>
        <item x="300"/>
        <item x="170"/>
        <item x="66"/>
        <item x="88"/>
        <item x="193"/>
        <item x="7"/>
        <item x="286"/>
        <item x="138"/>
        <item x="303"/>
        <item x="148"/>
        <item x="142"/>
        <item x="68"/>
        <item x="172"/>
        <item x="90"/>
        <item x="195"/>
        <item x="8"/>
        <item x="222"/>
        <item x="228"/>
        <item x="236"/>
        <item x="13"/>
        <item x="279"/>
        <item x="27"/>
        <item x="225"/>
        <item x="65"/>
        <item x="216"/>
        <item x="224"/>
        <item x="232"/>
        <item x="87"/>
        <item x="241"/>
        <item x="231"/>
        <item x="136"/>
        <item x="146"/>
        <item x="130"/>
        <item x="280"/>
        <item x="134"/>
        <item x="144"/>
        <item x="139"/>
        <item x="22"/>
        <item x="126"/>
        <item x="12"/>
        <item x="154"/>
        <item x="123"/>
        <item x="55"/>
        <item x="77"/>
        <item x="14"/>
        <item x="291"/>
        <item x="308"/>
        <item x="11"/>
        <item x="118"/>
        <item x="169"/>
        <item x="9"/>
        <item x="192"/>
        <item x="153"/>
        <item x="282"/>
        <item x="160"/>
        <item x="242"/>
        <item x="183"/>
        <item x="299"/>
        <item x="263"/>
        <item x="51"/>
        <item x="73"/>
        <item x="48"/>
        <item x="43"/>
        <item x="156"/>
        <item x="143"/>
        <item x="179"/>
        <item x="113"/>
        <item x="31"/>
        <item t="default"/>
      </items>
    </pivotField>
    <pivotField dataField="1" compact="0" outline="0" multipleItemSelectionAllowed="1" showAll="0">
      <items count="380">
        <item x="2"/>
        <item x="340"/>
        <item x="339"/>
        <item x="170"/>
        <item x="106"/>
        <item x="84"/>
        <item x="264"/>
        <item x="239"/>
        <item x="262"/>
        <item x="226"/>
        <item x="124"/>
        <item x="133"/>
        <item x="257"/>
        <item x="247"/>
        <item x="221"/>
        <item x="198"/>
        <item x="263"/>
        <item x="305"/>
        <item x="323"/>
        <item x="61"/>
        <item x="376"/>
        <item x="62"/>
        <item x="69"/>
        <item x="230"/>
        <item x="291"/>
        <item x="292"/>
        <item x="228"/>
        <item x="338"/>
        <item x="231"/>
        <item x="246"/>
        <item x="256"/>
        <item x="185"/>
        <item x="208"/>
        <item x="378"/>
        <item x="169"/>
        <item x="168"/>
        <item x="335"/>
        <item x="77"/>
        <item x="120"/>
        <item x="196"/>
        <item x="219"/>
        <item x="187"/>
        <item x="210"/>
        <item x="83"/>
        <item x="105"/>
        <item x="23"/>
        <item x="273"/>
        <item x="129"/>
        <item x="331"/>
        <item x="313"/>
        <item x="365"/>
        <item x="361"/>
        <item x="167"/>
        <item x="276"/>
        <item x="92"/>
        <item x="114"/>
        <item x="352"/>
        <item x="360"/>
        <item x="371"/>
        <item x="375"/>
        <item x="123"/>
        <item x="132"/>
        <item x="377"/>
        <item x="85"/>
        <item x="107"/>
        <item x="373"/>
        <item x="188"/>
        <item x="211"/>
        <item x="347"/>
        <item x="21"/>
        <item x="311"/>
        <item x="329"/>
        <item x="356"/>
        <item x="122"/>
        <item x="39"/>
        <item x="131"/>
        <item x="367"/>
        <item x="336"/>
        <item x="32"/>
        <item x="369"/>
        <item x="312"/>
        <item x="330"/>
        <item x="81"/>
        <item x="20"/>
        <item x="103"/>
        <item x="184"/>
        <item x="207"/>
        <item x="79"/>
        <item x="101"/>
        <item x="102"/>
        <item x="80"/>
        <item x="275"/>
        <item x="302"/>
        <item x="320"/>
        <item x="138"/>
        <item x="242"/>
        <item x="254"/>
        <item x="224"/>
        <item x="147"/>
        <item x="183"/>
        <item x="350"/>
        <item x="206"/>
        <item x="19"/>
        <item x="227"/>
        <item x="271"/>
        <item x="65"/>
        <item x="117"/>
        <item x="126"/>
        <item x="195"/>
        <item x="49"/>
        <item x="218"/>
        <item x="374"/>
        <item x="29"/>
        <item x="220"/>
        <item x="197"/>
        <item x="251"/>
        <item x="261"/>
        <item x="270"/>
        <item x="303"/>
        <item x="321"/>
        <item x="337"/>
        <item x="362"/>
        <item x="349"/>
        <item x="146"/>
        <item x="63"/>
        <item x="143"/>
        <item x="345"/>
        <item x="372"/>
        <item x="93"/>
        <item x="115"/>
        <item x="70"/>
        <item x="333"/>
        <item x="140"/>
        <item x="60"/>
        <item x="233"/>
        <item x="68"/>
        <item x="364"/>
        <item x="26"/>
        <item x="18"/>
        <item x="175"/>
        <item x="357"/>
        <item x="301"/>
        <item x="319"/>
        <item x="368"/>
        <item x="322"/>
        <item x="304"/>
        <item x="141"/>
        <item x="7"/>
        <item x="113"/>
        <item x="121"/>
        <item x="91"/>
        <item x="130"/>
        <item x="159"/>
        <item x="156"/>
        <item x="166"/>
        <item x="46"/>
        <item x="229"/>
        <item x="90"/>
        <item x="112"/>
        <item x="25"/>
        <item x="235"/>
        <item x="56"/>
        <item x="236"/>
        <item x="359"/>
        <item x="238"/>
        <item x="346"/>
        <item x="225"/>
        <item x="363"/>
        <item x="265"/>
        <item x="285"/>
        <item x="223"/>
        <item x="142"/>
        <item x="272"/>
        <item x="283"/>
        <item x="290"/>
        <item x="348"/>
        <item x="274"/>
        <item x="22"/>
        <item x="104"/>
        <item x="334"/>
        <item x="82"/>
        <item x="354"/>
        <item x="358"/>
        <item x="145"/>
        <item x="194"/>
        <item x="217"/>
        <item x="150"/>
        <item x="209"/>
        <item x="186"/>
        <item x="154"/>
        <item x="232"/>
        <item x="164"/>
        <item x="193"/>
        <item x="216"/>
        <item x="370"/>
        <item x="332"/>
        <item x="30"/>
        <item x="10"/>
        <item x="222"/>
        <item x="38"/>
        <item x="310"/>
        <item x="328"/>
        <item x="153"/>
        <item x="260"/>
        <item x="250"/>
        <item x="163"/>
        <item x="37"/>
        <item x="149"/>
        <item x="277"/>
        <item x="234"/>
        <item x="281"/>
        <item x="279"/>
        <item x="353"/>
        <item x="42"/>
        <item x="366"/>
        <item x="44"/>
        <item x="43"/>
        <item x="36"/>
        <item x="41"/>
        <item x="152"/>
        <item x="148"/>
        <item x="35"/>
        <item x="162"/>
        <item x="278"/>
        <item x="245"/>
        <item x="255"/>
        <item x="282"/>
        <item x="289"/>
        <item x="286"/>
        <item x="1"/>
        <item x="171"/>
        <item x="295"/>
        <item x="341"/>
        <item x="343"/>
        <item x="172"/>
        <item x="309"/>
        <item x="327"/>
        <item x="179"/>
        <item x="202"/>
        <item x="351"/>
        <item x="355"/>
        <item x="47"/>
        <item x="57"/>
        <item x="52"/>
        <item x="76"/>
        <item x="99"/>
        <item x="135"/>
        <item x="191"/>
        <item x="214"/>
        <item x="181"/>
        <item x="136"/>
        <item x="204"/>
        <item x="137"/>
        <item x="342"/>
        <item x="344"/>
        <item x="155"/>
        <item x="165"/>
        <item x="158"/>
        <item x="4"/>
        <item x="118"/>
        <item x="127"/>
        <item x="307"/>
        <item x="325"/>
        <item x="284"/>
        <item x="280"/>
        <item x="151"/>
        <item x="288"/>
        <item x="157"/>
        <item x="161"/>
        <item x="88"/>
        <item x="110"/>
        <item x="249"/>
        <item x="259"/>
        <item x="78"/>
        <item x="100"/>
        <item x="240"/>
        <item x="3"/>
        <item x="308"/>
        <item x="326"/>
        <item x="182"/>
        <item x="205"/>
        <item x="31"/>
        <item x="298"/>
        <item x="316"/>
        <item x="48"/>
        <item x="58"/>
        <item x="6"/>
        <item x="119"/>
        <item x="128"/>
        <item x="74"/>
        <item x="97"/>
        <item x="50"/>
        <item x="59"/>
        <item x="72"/>
        <item x="95"/>
        <item x="53"/>
        <item x="73"/>
        <item x="67"/>
        <item x="96"/>
        <item x="5"/>
        <item x="178"/>
        <item x="201"/>
        <item x="299"/>
        <item x="317"/>
        <item x="45"/>
        <item x="64"/>
        <item x="55"/>
        <item x="0"/>
        <item x="51"/>
        <item x="177"/>
        <item x="200"/>
        <item x="116"/>
        <item x="125"/>
        <item x="12"/>
        <item x="190"/>
        <item x="213"/>
        <item x="9"/>
        <item x="297"/>
        <item x="315"/>
        <item x="300"/>
        <item x="318"/>
        <item x="89"/>
        <item x="192"/>
        <item x="111"/>
        <item x="215"/>
        <item x="34"/>
        <item x="241"/>
        <item x="248"/>
        <item x="258"/>
        <item x="8"/>
        <item x="13"/>
        <item x="244"/>
        <item x="293"/>
        <item x="253"/>
        <item x="14"/>
        <item x="237"/>
        <item x="243"/>
        <item x="87"/>
        <item x="109"/>
        <item x="252"/>
        <item x="28"/>
        <item x="86"/>
        <item x="108"/>
        <item x="294"/>
        <item x="268"/>
        <item x="17"/>
        <item x="33"/>
        <item x="144"/>
        <item x="174"/>
        <item x="75"/>
        <item x="98"/>
        <item x="306"/>
        <item x="27"/>
        <item x="324"/>
        <item x="139"/>
        <item x="24"/>
        <item x="16"/>
        <item x="189"/>
        <item x="173"/>
        <item x="269"/>
        <item x="212"/>
        <item x="180"/>
        <item x="203"/>
        <item x="15"/>
        <item x="267"/>
        <item x="296"/>
        <item x="314"/>
        <item x="287"/>
        <item x="11"/>
        <item x="266"/>
        <item x="71"/>
        <item x="94"/>
        <item x="66"/>
        <item x="176"/>
        <item x="160"/>
        <item x="199"/>
        <item x="54"/>
        <item x="134"/>
        <item x="40"/>
        <item t="default"/>
      </items>
    </pivotField>
    <pivotField dataField="1" compact="0" outline="0" multipleItemSelectionAllowed="1" showAll="0">
      <items count="455">
        <item x="3"/>
        <item x="69"/>
        <item x="76"/>
        <item x="396"/>
        <item x="189"/>
        <item x="114"/>
        <item x="92"/>
        <item x="336"/>
        <item x="292"/>
        <item x="340"/>
        <item x="395"/>
        <item x="339"/>
        <item x="338"/>
        <item x="71"/>
        <item x="78"/>
        <item x="190"/>
        <item x="262"/>
        <item x="283"/>
        <item x="271"/>
        <item x="291"/>
        <item x="132"/>
        <item x="141"/>
        <item x="333"/>
        <item x="289"/>
        <item x="426"/>
        <item x="356"/>
        <item x="377"/>
        <item x="243"/>
        <item x="220"/>
        <item x="290"/>
        <item x="252"/>
        <item x="387"/>
        <item x="366"/>
        <item x="250"/>
        <item x="378"/>
        <item x="357"/>
        <item x="282"/>
        <item x="270"/>
        <item x="394"/>
        <item x="438"/>
        <item x="410"/>
        <item x="405"/>
        <item x="253"/>
        <item x="451"/>
        <item x="300"/>
        <item x="453"/>
        <item x="337"/>
        <item x="91"/>
        <item x="113"/>
        <item x="28"/>
        <item x="85"/>
        <item x="209"/>
        <item x="232"/>
        <item x="128"/>
        <item x="418"/>
        <item x="334"/>
        <item x="386"/>
        <item x="365"/>
        <item x="417"/>
        <item x="137"/>
        <item x="440"/>
        <item x="218"/>
        <item x="241"/>
        <item x="192"/>
        <item x="207"/>
        <item x="230"/>
        <item x="435"/>
        <item x="191"/>
        <item x="335"/>
        <item x="248"/>
        <item x="93"/>
        <item x="115"/>
        <item x="301"/>
        <item x="100"/>
        <item x="122"/>
        <item x="154"/>
        <item x="448"/>
        <item x="163"/>
        <item x="26"/>
        <item x="434"/>
        <item x="210"/>
        <item x="233"/>
        <item x="45"/>
        <item x="131"/>
        <item x="140"/>
        <item x="452"/>
        <item x="430"/>
        <item x="38"/>
        <item x="398"/>
        <item x="130"/>
        <item x="402"/>
        <item x="391"/>
        <item x="139"/>
        <item x="152"/>
        <item x="392"/>
        <item x="444"/>
        <item x="110"/>
        <item x="88"/>
        <item x="188"/>
        <item x="305"/>
        <item x="299"/>
        <item x="416"/>
        <item x="419"/>
        <item x="332"/>
        <item x="414"/>
        <item x="25"/>
        <item x="206"/>
        <item x="229"/>
        <item x="422"/>
        <item x="306"/>
        <item x="146"/>
        <item x="111"/>
        <item x="89"/>
        <item x="446"/>
        <item x="265"/>
        <item x="280"/>
        <item x="276"/>
        <item x="288"/>
        <item x="364"/>
        <item x="385"/>
        <item x="44"/>
        <item x="363"/>
        <item x="384"/>
        <item x="246"/>
        <item x="153"/>
        <item x="249"/>
        <item x="415"/>
        <item x="254"/>
        <item x="125"/>
        <item x="24"/>
        <item x="160"/>
        <item x="205"/>
        <item x="228"/>
        <item x="134"/>
        <item x="242"/>
        <item x="219"/>
        <item x="297"/>
        <item x="101"/>
        <item x="123"/>
        <item x="255"/>
        <item x="353"/>
        <item x="374"/>
        <item x="217"/>
        <item x="240"/>
        <item x="447"/>
        <item x="157"/>
        <item x="35"/>
        <item x="87"/>
        <item x="393"/>
        <item x="109"/>
        <item x="442"/>
        <item x="439"/>
        <item x="23"/>
        <item x="354"/>
        <item x="375"/>
        <item x="389"/>
        <item x="6"/>
        <item x="376"/>
        <item x="355"/>
        <item x="352"/>
        <item x="373"/>
        <item x="57"/>
        <item x="67"/>
        <item x="60"/>
        <item x="32"/>
        <item x="164"/>
        <item x="312"/>
        <item x="436"/>
        <item x="326"/>
        <item x="121"/>
        <item x="99"/>
        <item x="272"/>
        <item x="284"/>
        <item x="150"/>
        <item x="197"/>
        <item x="31"/>
        <item x="22"/>
        <item x="61"/>
        <item x="413"/>
        <item x="55"/>
        <item x="65"/>
        <item x="443"/>
        <item x="151"/>
        <item x="27"/>
        <item x="129"/>
        <item x="138"/>
        <item x="159"/>
        <item x="70"/>
        <item x="68"/>
        <item x="437"/>
        <item x="251"/>
        <item x="268"/>
        <item x="433"/>
        <item x="279"/>
        <item x="407"/>
        <item x="412"/>
        <item x="77"/>
        <item x="156"/>
        <item x="75"/>
        <item x="257"/>
        <item x="298"/>
        <item x="245"/>
        <item x="425"/>
        <item x="351"/>
        <item x="30"/>
        <item x="424"/>
        <item x="112"/>
        <item x="431"/>
        <item x="90"/>
        <item x="372"/>
        <item x="421"/>
        <item x="302"/>
        <item x="247"/>
        <item x="98"/>
        <item x="120"/>
        <item x="158"/>
        <item x="450"/>
        <item x="9"/>
        <item x="428"/>
        <item x="231"/>
        <item x="208"/>
        <item x="216"/>
        <item x="239"/>
        <item x="390"/>
        <item x="432"/>
        <item x="318"/>
        <item x="445"/>
        <item x="420"/>
        <item x="411"/>
        <item x="406"/>
        <item x="323"/>
        <item x="256"/>
        <item x="449"/>
        <item x="215"/>
        <item x="238"/>
        <item x="362"/>
        <item x="383"/>
        <item x="36"/>
        <item x="43"/>
        <item x="315"/>
        <item x="329"/>
        <item x="281"/>
        <item x="269"/>
        <item x="175"/>
        <item x="187"/>
        <item x="10"/>
        <item x="179"/>
        <item x="388"/>
        <item x="49"/>
        <item x="51"/>
        <item x="287"/>
        <item x="275"/>
        <item x="50"/>
        <item x="244"/>
        <item x="166"/>
        <item x="47"/>
        <item x="42"/>
        <item x="40"/>
        <item x="310"/>
        <item x="168"/>
        <item x="441"/>
        <item x="41"/>
        <item x="48"/>
        <item x="309"/>
        <item x="316"/>
        <item x="308"/>
        <item x="165"/>
        <item x="307"/>
        <item x="330"/>
        <item x="162"/>
        <item x="304"/>
        <item x="320"/>
        <item x="167"/>
        <item x="2"/>
        <item x="194"/>
        <item x="345"/>
        <item x="399"/>
        <item x="403"/>
        <item x="172"/>
        <item x="184"/>
        <item x="361"/>
        <item x="382"/>
        <item x="171"/>
        <item x="397"/>
        <item x="183"/>
        <item x="401"/>
        <item x="427"/>
        <item x="84"/>
        <item x="107"/>
        <item x="429"/>
        <item x="143"/>
        <item x="173"/>
        <item x="177"/>
        <item x="170"/>
        <item x="185"/>
        <item x="182"/>
        <item x="342"/>
        <item x="203"/>
        <item x="144"/>
        <item x="226"/>
        <item x="145"/>
        <item x="174"/>
        <item x="186"/>
        <item x="178"/>
        <item x="404"/>
        <item x="409"/>
        <item x="423"/>
        <item x="322"/>
        <item x="317"/>
        <item x="331"/>
        <item x="1"/>
        <item x="54"/>
        <item x="213"/>
        <item x="236"/>
        <item x="126"/>
        <item x="314"/>
        <item x="135"/>
        <item x="201"/>
        <item x="274"/>
        <item x="328"/>
        <item x="224"/>
        <item x="286"/>
        <item x="86"/>
        <item x="108"/>
        <item x="96"/>
        <item x="118"/>
        <item x="313"/>
        <item x="327"/>
        <item x="5"/>
        <item x="321"/>
        <item x="400"/>
        <item x="193"/>
        <item x="408"/>
        <item x="204"/>
        <item x="227"/>
        <item x="37"/>
        <item x="4"/>
        <item x="169"/>
        <item x="181"/>
        <item x="176"/>
        <item x="127"/>
        <item x="136"/>
        <item x="81"/>
        <item x="341"/>
        <item x="104"/>
        <item x="258"/>
        <item x="360"/>
        <item x="259"/>
        <item x="0"/>
        <item x="381"/>
        <item x="261"/>
        <item x="359"/>
        <item x="380"/>
        <item x="74"/>
        <item x="53"/>
        <item x="64"/>
        <item x="147"/>
        <item x="311"/>
        <item x="82"/>
        <item x="200"/>
        <item x="105"/>
        <item x="325"/>
        <item x="223"/>
        <item x="319"/>
        <item x="348"/>
        <item x="369"/>
        <item x="21"/>
        <item x="56"/>
        <item x="124"/>
        <item x="66"/>
        <item x="133"/>
        <item x="59"/>
        <item x="52"/>
        <item x="72"/>
        <item x="63"/>
        <item x="263"/>
        <item x="58"/>
        <item x="349"/>
        <item x="13"/>
        <item x="370"/>
        <item x="199"/>
        <item x="222"/>
        <item x="350"/>
        <item x="371"/>
        <item x="347"/>
        <item x="368"/>
        <item x="97"/>
        <item x="214"/>
        <item x="119"/>
        <item x="237"/>
        <item x="20"/>
        <item x="264"/>
        <item x="212"/>
        <item x="235"/>
        <item x="80"/>
        <item x="103"/>
        <item x="12"/>
        <item x="7"/>
        <item x="267"/>
        <item x="278"/>
        <item x="16"/>
        <item x="95"/>
        <item x="117"/>
        <item x="8"/>
        <item x="14"/>
        <item x="273"/>
        <item x="285"/>
        <item x="34"/>
        <item x="344"/>
        <item x="303"/>
        <item x="343"/>
        <item x="294"/>
        <item x="260"/>
        <item x="266"/>
        <item x="277"/>
        <item x="18"/>
        <item x="83"/>
        <item x="39"/>
        <item x="106"/>
        <item x="196"/>
        <item x="161"/>
        <item x="94"/>
        <item x="116"/>
        <item x="358"/>
        <item x="379"/>
        <item x="33"/>
        <item x="148"/>
        <item x="202"/>
        <item x="225"/>
        <item x="295"/>
        <item x="211"/>
        <item x="234"/>
        <item x="29"/>
        <item x="17"/>
        <item x="195"/>
        <item x="155"/>
        <item x="19"/>
        <item x="15"/>
        <item x="149"/>
        <item x="296"/>
        <item x="346"/>
        <item x="11"/>
        <item x="367"/>
        <item x="324"/>
        <item x="293"/>
        <item x="79"/>
        <item x="102"/>
        <item x="73"/>
        <item x="198"/>
        <item x="180"/>
        <item x="221"/>
        <item x="62"/>
        <item x="142"/>
        <item x="46"/>
        <item t="default"/>
      </items>
    </pivotField>
    <pivotField dataField="1" compact="0" outline="0" multipleItemSelectionAllowed="1" showAll="0">
      <items count="491">
        <item x="2"/>
        <item x="368"/>
        <item x="430"/>
        <item x="119"/>
        <item x="97"/>
        <item x="326"/>
        <item x="207"/>
        <item x="285"/>
        <item x="137"/>
        <item x="146"/>
        <item x="387"/>
        <item x="410"/>
        <item x="208"/>
        <item x="257"/>
        <item x="234"/>
        <item x="73"/>
        <item x="83"/>
        <item x="312"/>
        <item x="296"/>
        <item x="420"/>
        <item x="398"/>
        <item x="324"/>
        <item x="325"/>
        <item x="298"/>
        <item x="314"/>
        <item x="411"/>
        <item x="266"/>
        <item x="388"/>
        <item x="153"/>
        <item x="323"/>
        <item x="264"/>
        <item x="322"/>
        <item x="306"/>
        <item x="474"/>
        <item x="332"/>
        <item x="267"/>
        <item x="487"/>
        <item x="27"/>
        <item x="419"/>
        <item x="397"/>
        <item x="489"/>
        <item x="426"/>
        <item x="369"/>
        <item x="90"/>
        <item x="468"/>
        <item x="96"/>
        <item x="118"/>
        <item x="476"/>
        <item x="72"/>
        <item x="232"/>
        <item x="255"/>
        <item x="342"/>
        <item x="82"/>
        <item x="333"/>
        <item x="471"/>
        <item x="98"/>
        <item x="120"/>
        <item x="428"/>
        <item x="223"/>
        <item x="246"/>
        <item x="170"/>
        <item x="44"/>
        <item x="69"/>
        <item x="71"/>
        <item x="458"/>
        <item x="81"/>
        <item x="221"/>
        <item x="244"/>
        <item x="224"/>
        <item x="247"/>
        <item x="484"/>
        <item x="79"/>
        <item x="105"/>
        <item x="127"/>
        <item x="470"/>
        <item x="370"/>
        <item x="262"/>
        <item x="488"/>
        <item x="429"/>
        <item x="36"/>
        <item x="161"/>
        <item x="157"/>
        <item x="180"/>
        <item x="136"/>
        <item x="145"/>
        <item x="465"/>
        <item x="169"/>
        <item x="26"/>
        <item x="424"/>
        <item x="206"/>
        <item x="133"/>
        <item x="425"/>
        <item x="480"/>
        <item x="367"/>
        <item x="449"/>
        <item x="439"/>
        <item x="142"/>
        <item x="205"/>
        <item x="268"/>
        <item x="305"/>
        <item x="321"/>
        <item x="150"/>
        <item x="25"/>
        <item x="179"/>
        <item x="93"/>
        <item x="115"/>
        <item x="220"/>
        <item x="243"/>
        <item x="116"/>
        <item x="94"/>
        <item x="70"/>
        <item x="459"/>
        <item x="331"/>
        <item x="80"/>
        <item x="149"/>
        <item x="135"/>
        <item x="152"/>
        <item x="168"/>
        <item x="482"/>
        <item x="144"/>
        <item x="24"/>
        <item x="395"/>
        <item x="417"/>
        <item x="396"/>
        <item x="418"/>
        <item x="175"/>
        <item x="162"/>
        <item x="366"/>
        <item x="263"/>
        <item x="181"/>
        <item x="256"/>
        <item x="233"/>
        <item x="106"/>
        <item x="128"/>
        <item x="338"/>
        <item x="384"/>
        <item x="407"/>
        <item x="33"/>
        <item x="329"/>
        <item x="315"/>
        <item x="299"/>
        <item x="68"/>
        <item x="219"/>
        <item x="242"/>
        <item x="78"/>
        <item x="231"/>
        <item x="7"/>
        <item x="254"/>
        <item x="483"/>
        <item x="444"/>
        <item x="454"/>
        <item x="270"/>
        <item x="427"/>
        <item x="478"/>
        <item x="300"/>
        <item x="316"/>
        <item x="192"/>
        <item x="130"/>
        <item x="30"/>
        <item x="204"/>
        <item x="385"/>
        <item x="408"/>
        <item x="334"/>
        <item x="383"/>
        <item x="406"/>
        <item x="475"/>
        <item x="139"/>
        <item x="23"/>
        <item x="196"/>
        <item x="260"/>
        <item x="172"/>
        <item x="92"/>
        <item x="114"/>
        <item x="472"/>
        <item x="126"/>
        <item x="104"/>
        <item x="167"/>
        <item x="335"/>
        <item x="211"/>
        <item x="273"/>
        <item x="281"/>
        <item x="457"/>
        <item x="479"/>
        <item x="409"/>
        <item x="386"/>
        <item x="22"/>
        <item x="134"/>
        <item x="143"/>
        <item x="422"/>
        <item x="473"/>
        <item x="265"/>
        <item x="293"/>
        <item x="446"/>
        <item x="456"/>
        <item x="469"/>
        <item x="309"/>
        <item x="274"/>
        <item x="171"/>
        <item x="282"/>
        <item x="117"/>
        <item x="95"/>
        <item x="6"/>
        <item x="330"/>
        <item x="259"/>
        <item x="455"/>
        <item x="445"/>
        <item x="381"/>
        <item x="174"/>
        <item x="466"/>
        <item x="404"/>
        <item x="29"/>
        <item x="269"/>
        <item x="261"/>
        <item x="191"/>
        <item x="432"/>
        <item x="336"/>
        <item x="195"/>
        <item x="203"/>
        <item x="103"/>
        <item x="125"/>
        <item x="436"/>
        <item x="486"/>
        <item x="245"/>
        <item x="222"/>
        <item x="349"/>
        <item x="43"/>
        <item x="361"/>
        <item x="463"/>
        <item x="303"/>
        <item x="319"/>
        <item x="467"/>
        <item x="297"/>
        <item x="313"/>
        <item x="230"/>
        <item x="253"/>
        <item x="393"/>
        <item x="54"/>
        <item x="65"/>
        <item x="481"/>
        <item x="10"/>
        <item x="485"/>
        <item x="229"/>
        <item x="252"/>
        <item x="271"/>
        <item x="60"/>
        <item x="337"/>
        <item x="394"/>
        <item x="416"/>
        <item x="148"/>
        <item x="382"/>
        <item x="287"/>
        <item x="405"/>
        <item x="188"/>
        <item x="48"/>
        <item x="34"/>
        <item x="423"/>
        <item x="200"/>
        <item x="42"/>
        <item x="341"/>
        <item x="460"/>
        <item x="344"/>
        <item x="290"/>
        <item x="345"/>
        <item x="49"/>
        <item x="41"/>
        <item x="46"/>
        <item x="304"/>
        <item x="320"/>
        <item x="47"/>
        <item x="40"/>
        <item x="343"/>
        <item x="440"/>
        <item x="450"/>
        <item x="477"/>
        <item x="433"/>
        <item x="340"/>
        <item x="50"/>
        <item x="178"/>
        <item x="356"/>
        <item x="437"/>
        <item x="185"/>
        <item x="183"/>
        <item x="156"/>
        <item x="160"/>
        <item x="184"/>
        <item x="421"/>
        <item x="346"/>
        <item x="182"/>
        <item x="177"/>
        <item x="348"/>
        <item x="360"/>
        <item x="258"/>
        <item x="441"/>
        <item x="5"/>
        <item x="451"/>
        <item x="357"/>
        <item x="59"/>
        <item x="56"/>
        <item x="67"/>
        <item x="353"/>
        <item x="365"/>
        <item x="375"/>
        <item x="189"/>
        <item x="201"/>
        <item x="392"/>
        <item x="415"/>
        <item x="350"/>
        <item x="53"/>
        <item x="362"/>
        <item x="64"/>
        <item x="431"/>
        <item x="435"/>
        <item x="462"/>
        <item x="464"/>
        <item x="443"/>
        <item x="151"/>
        <item x="453"/>
        <item x="155"/>
        <item x="187"/>
        <item x="159"/>
        <item x="199"/>
        <item x="154"/>
        <item x="158"/>
        <item x="442"/>
        <item x="452"/>
        <item x="461"/>
        <item x="3"/>
        <item x="89"/>
        <item x="112"/>
        <item x="74"/>
        <item x="75"/>
        <item x="302"/>
        <item x="131"/>
        <item x="52"/>
        <item x="318"/>
        <item x="63"/>
        <item x="227"/>
        <item x="250"/>
        <item x="140"/>
        <item x="372"/>
        <item x="91"/>
        <item x="113"/>
        <item x="55"/>
        <item x="217"/>
        <item x="190"/>
        <item x="66"/>
        <item x="240"/>
        <item x="202"/>
        <item x="58"/>
        <item x="194"/>
        <item x="1"/>
        <item x="215"/>
        <item x="218"/>
        <item x="238"/>
        <item x="241"/>
        <item x="101"/>
        <item x="123"/>
        <item x="186"/>
        <item x="198"/>
        <item x="193"/>
        <item x="4"/>
        <item x="438"/>
        <item x="275"/>
        <item x="286"/>
        <item x="448"/>
        <item x="283"/>
        <item x="294"/>
        <item x="132"/>
        <item x="141"/>
        <item x="310"/>
        <item x="35"/>
        <item x="276"/>
        <item x="278"/>
        <item x="284"/>
        <item x="351"/>
        <item x="51"/>
        <item x="363"/>
        <item x="434"/>
        <item x="62"/>
        <item x="447"/>
        <item x="57"/>
        <item x="371"/>
        <item x="272"/>
        <item x="277"/>
        <item x="280"/>
        <item x="295"/>
        <item x="0"/>
        <item x="311"/>
        <item x="352"/>
        <item x="364"/>
        <item x="355"/>
        <item x="39"/>
        <item x="390"/>
        <item x="391"/>
        <item x="413"/>
        <item x="86"/>
        <item x="414"/>
        <item x="109"/>
        <item x="87"/>
        <item x="214"/>
        <item x="110"/>
        <item x="237"/>
        <item x="14"/>
        <item x="378"/>
        <item x="129"/>
        <item x="347"/>
        <item x="354"/>
        <item x="401"/>
        <item x="359"/>
        <item x="138"/>
        <item x="77"/>
        <item x="13"/>
        <item x="102"/>
        <item x="228"/>
        <item x="124"/>
        <item x="251"/>
        <item x="38"/>
        <item x="289"/>
        <item x="379"/>
        <item x="377"/>
        <item x="402"/>
        <item x="400"/>
        <item x="213"/>
        <item x="236"/>
        <item x="17"/>
        <item x="226"/>
        <item x="249"/>
        <item x="21"/>
        <item x="288"/>
        <item x="37"/>
        <item x="292"/>
        <item x="308"/>
        <item x="85"/>
        <item x="108"/>
        <item x="380"/>
        <item x="403"/>
        <item x="12"/>
        <item x="100"/>
        <item x="122"/>
        <item x="163"/>
        <item x="9"/>
        <item x="8"/>
        <item x="15"/>
        <item x="374"/>
        <item x="327"/>
        <item x="301"/>
        <item x="88"/>
        <item x="32"/>
        <item x="111"/>
        <item x="317"/>
        <item x="210"/>
        <item x="339"/>
        <item x="19"/>
        <item x="373"/>
        <item x="291"/>
        <item x="279"/>
        <item x="307"/>
        <item x="99"/>
        <item x="121"/>
        <item x="176"/>
        <item x="216"/>
        <item x="239"/>
        <item x="389"/>
        <item x="173"/>
        <item x="412"/>
        <item x="31"/>
        <item x="166"/>
        <item x="225"/>
        <item x="248"/>
        <item x="28"/>
        <item x="209"/>
        <item x="18"/>
        <item x="20"/>
        <item x="165"/>
        <item x="16"/>
        <item x="164"/>
        <item x="11"/>
        <item x="376"/>
        <item x="358"/>
        <item x="399"/>
        <item x="328"/>
        <item x="76"/>
        <item x="84"/>
        <item x="107"/>
        <item x="212"/>
        <item x="197"/>
        <item x="235"/>
        <item x="61"/>
        <item x="147"/>
        <item x="45"/>
        <item t="default"/>
      </items>
    </pivotField>
    <pivotField dataField="1" compact="0" outline="0" multipleItemSelectionAllowed="1" showAll="0">
      <items count="503">
        <item x="1"/>
        <item x="62"/>
        <item x="65"/>
        <item x="426"/>
        <item x="101"/>
        <item x="79"/>
        <item x="149"/>
        <item x="324"/>
        <item x="363"/>
        <item x="364"/>
        <item x="207"/>
        <item x="361"/>
        <item x="209"/>
        <item x="366"/>
        <item x="210"/>
        <item x="383"/>
        <item x="406"/>
        <item x="119"/>
        <item x="128"/>
        <item x="473"/>
        <item x="261"/>
        <item x="238"/>
        <item x="416"/>
        <item x="394"/>
        <item x="310"/>
        <item x="293"/>
        <item x="322"/>
        <item x="323"/>
        <item x="407"/>
        <item x="384"/>
        <item x="295"/>
        <item x="312"/>
        <item x="270"/>
        <item x="321"/>
        <item x="268"/>
        <item x="486"/>
        <item x="320"/>
        <item x="472"/>
        <item x="303"/>
        <item x="332"/>
        <item x="415"/>
        <item x="365"/>
        <item x="29"/>
        <item x="393"/>
        <item x="501"/>
        <item x="422"/>
        <item x="271"/>
        <item x="471"/>
        <item x="166"/>
        <item x="157"/>
        <item x="72"/>
        <item x="362"/>
        <item x="499"/>
        <item x="480"/>
        <item x="208"/>
        <item x="78"/>
        <item x="100"/>
        <item x="333"/>
        <item x="496"/>
        <item x="179"/>
        <item x="463"/>
        <item x="456"/>
        <item x="227"/>
        <item x="250"/>
        <item x="80"/>
        <item x="102"/>
        <item x="150"/>
        <item x="206"/>
        <item x="148"/>
        <item x="186"/>
        <item x="228"/>
        <item x="251"/>
        <item x="483"/>
        <item x="424"/>
        <item x="87"/>
        <item x="109"/>
        <item x="500"/>
        <item x="425"/>
        <item x="236"/>
        <item x="259"/>
        <item x="178"/>
        <item x="266"/>
        <item x="225"/>
        <item x="248"/>
        <item x="445"/>
        <item x="433"/>
        <item x="118"/>
        <item x="127"/>
        <item x="27"/>
        <item x="7"/>
        <item x="420"/>
        <item x="115"/>
        <item x="492"/>
        <item x="421"/>
        <item x="457"/>
        <item x="124"/>
        <item x="40"/>
        <item x="272"/>
        <item x="302"/>
        <item x="319"/>
        <item x="26"/>
        <item x="331"/>
        <item x="276"/>
        <item x="75"/>
        <item x="97"/>
        <item x="177"/>
        <item x="98"/>
        <item x="76"/>
        <item x="477"/>
        <item x="154"/>
        <item x="117"/>
        <item x="163"/>
        <item x="224"/>
        <item x="247"/>
        <item x="28"/>
        <item x="25"/>
        <item x="126"/>
        <item x="495"/>
        <item x="392"/>
        <item x="414"/>
        <item x="454"/>
        <item x="339"/>
        <item x="170"/>
        <item x="267"/>
        <item x="260"/>
        <item x="237"/>
        <item x="277"/>
        <item x="487"/>
        <item x="88"/>
        <item x="110"/>
        <item x="37"/>
        <item x="176"/>
        <item x="391"/>
        <item x="413"/>
        <item x="380"/>
        <item x="403"/>
        <item x="313"/>
        <item x="296"/>
        <item x="223"/>
        <item x="246"/>
        <item x="444"/>
        <item x="432"/>
        <item x="235"/>
        <item x="258"/>
        <item x="131"/>
        <item x="484"/>
        <item x="59"/>
        <item x="58"/>
        <item x="61"/>
        <item x="329"/>
        <item x="494"/>
        <item x="137"/>
        <item x="140"/>
        <item x="381"/>
        <item x="404"/>
        <item x="146"/>
        <item x="274"/>
        <item x="34"/>
        <item x="297"/>
        <item x="314"/>
        <item x="466"/>
        <item x="112"/>
        <item x="24"/>
        <item x="328"/>
        <item x="469"/>
        <item x="121"/>
        <item x="275"/>
        <item x="423"/>
        <item x="74"/>
        <item x="96"/>
        <item x="338"/>
        <item x="485"/>
        <item x="379"/>
        <item x="402"/>
        <item x="455"/>
        <item x="9"/>
        <item x="108"/>
        <item x="488"/>
        <item x="182"/>
        <item x="86"/>
        <item x="175"/>
        <item x="264"/>
        <item x="440"/>
        <item x="452"/>
        <item x="215"/>
        <item x="405"/>
        <item x="382"/>
        <item x="288"/>
        <item x="334"/>
        <item x="305"/>
        <item x="491"/>
        <item x="164"/>
        <item x="468"/>
        <item x="155"/>
        <item x="33"/>
        <item x="451"/>
        <item x="439"/>
        <item x="133"/>
        <item x="116"/>
        <item x="125"/>
        <item x="465"/>
        <item x="23"/>
        <item x="330"/>
        <item x="190"/>
        <item x="181"/>
        <item x="269"/>
        <item x="13"/>
        <item x="201"/>
        <item x="290"/>
        <item x="197"/>
        <item x="481"/>
        <item x="307"/>
        <item x="450"/>
        <item x="438"/>
        <item x="99"/>
        <item x="352"/>
        <item x="77"/>
        <item x="459"/>
        <item x="350"/>
        <item x="418"/>
        <item x="354"/>
        <item x="360"/>
        <item x="130"/>
        <item x="335"/>
        <item x="263"/>
        <item x="349"/>
        <item x="377"/>
        <item x="359"/>
        <item x="478"/>
        <item x="57"/>
        <item x="400"/>
        <item x="273"/>
        <item x="32"/>
        <item x="8"/>
        <item x="490"/>
        <item x="265"/>
        <item x="249"/>
        <item x="226"/>
        <item x="430"/>
        <item x="85"/>
        <item x="442"/>
        <item x="107"/>
        <item x="160"/>
        <item x="169"/>
        <item x="49"/>
        <item x="498"/>
        <item x="475"/>
        <item x="168"/>
        <item x="159"/>
        <item x="464"/>
        <item x="300"/>
        <item x="317"/>
        <item x="479"/>
        <item x="234"/>
        <item x="257"/>
        <item x="294"/>
        <item x="311"/>
        <item x="467"/>
        <item x="389"/>
        <item x="462"/>
        <item x="337"/>
        <item x="54"/>
        <item x="493"/>
        <item x="482"/>
        <item x="367"/>
        <item x="132"/>
        <item x="233"/>
        <item x="46"/>
        <item x="256"/>
        <item x="390"/>
        <item x="412"/>
        <item x="47"/>
        <item x="458"/>
        <item x="156"/>
        <item x="165"/>
        <item x="497"/>
        <item x="53"/>
        <item x="378"/>
        <item x="38"/>
        <item x="401"/>
        <item x="419"/>
        <item x="55"/>
        <item x="434"/>
        <item x="446"/>
        <item x="193"/>
        <item x="51"/>
        <item x="204"/>
        <item x="282"/>
        <item x="44"/>
        <item x="196"/>
        <item x="48"/>
        <item x="348"/>
        <item x="358"/>
        <item x="286"/>
        <item x="56"/>
        <item x="280"/>
        <item x="281"/>
        <item x="301"/>
        <item x="318"/>
        <item x="461"/>
        <item x="136"/>
        <item x="212"/>
        <item x="279"/>
        <item x="191"/>
        <item x="145"/>
        <item x="278"/>
        <item x="202"/>
        <item x="460"/>
        <item x="185"/>
        <item x="45"/>
        <item x="188"/>
        <item x="52"/>
        <item x="341"/>
        <item x="417"/>
        <item x="344"/>
        <item x="343"/>
        <item x="345"/>
        <item x="342"/>
        <item x="340"/>
        <item x="187"/>
        <item x="184"/>
        <item x="3"/>
        <item x="262"/>
        <item x="427"/>
        <item x="429"/>
        <item x="371"/>
        <item x="192"/>
        <item x="203"/>
        <item x="489"/>
        <item x="388"/>
        <item x="411"/>
        <item x="135"/>
        <item x="144"/>
        <item x="194"/>
        <item x="198"/>
        <item x="205"/>
        <item x="211"/>
        <item x="353"/>
        <item x="347"/>
        <item x="357"/>
        <item x="437"/>
        <item x="151"/>
        <item x="449"/>
        <item x="368"/>
        <item x="436"/>
        <item x="448"/>
        <item x="138"/>
        <item x="147"/>
        <item x="141"/>
        <item x="4"/>
        <item x="474"/>
        <item x="71"/>
        <item x="158"/>
        <item x="94"/>
        <item x="167"/>
        <item x="435"/>
        <item x="476"/>
        <item x="447"/>
        <item x="134"/>
        <item x="143"/>
        <item x="139"/>
        <item x="351"/>
        <item x="346"/>
        <item x="189"/>
        <item x="356"/>
        <item x="200"/>
        <item x="195"/>
        <item x="470"/>
        <item x="299"/>
        <item x="113"/>
        <item x="153"/>
        <item x="316"/>
        <item x="162"/>
        <item x="122"/>
        <item x="73"/>
        <item x="95"/>
        <item x="221"/>
        <item x="244"/>
        <item x="5"/>
        <item x="222"/>
        <item x="245"/>
        <item x="83"/>
        <item x="105"/>
        <item x="142"/>
        <item x="231"/>
        <item x="254"/>
        <item x="152"/>
        <item x="12"/>
        <item x="431"/>
        <item x="161"/>
        <item x="443"/>
        <item x="291"/>
        <item x="114"/>
        <item x="123"/>
        <item x="308"/>
        <item x="219"/>
        <item x="39"/>
        <item x="242"/>
        <item x="292"/>
        <item x="2"/>
        <item x="309"/>
        <item x="428"/>
        <item x="441"/>
        <item x="43"/>
        <item x="68"/>
        <item x="91"/>
        <item x="69"/>
        <item x="387"/>
        <item x="92"/>
        <item x="410"/>
        <item x="0"/>
        <item x="111"/>
        <item x="218"/>
        <item x="120"/>
        <item x="241"/>
        <item x="386"/>
        <item x="64"/>
        <item x="409"/>
        <item x="374"/>
        <item x="16"/>
        <item x="397"/>
        <item x="84"/>
        <item x="232"/>
        <item x="106"/>
        <item x="255"/>
        <item x="42"/>
        <item x="285"/>
        <item x="375"/>
        <item x="398"/>
        <item x="11"/>
        <item x="217"/>
        <item x="230"/>
        <item x="240"/>
        <item x="253"/>
        <item x="6"/>
        <item x="373"/>
        <item x="396"/>
        <item x="284"/>
        <item x="19"/>
        <item x="289"/>
        <item x="306"/>
        <item x="67"/>
        <item x="90"/>
        <item x="376"/>
        <item x="399"/>
        <item x="15"/>
        <item x="82"/>
        <item x="104"/>
        <item x="31"/>
        <item x="18"/>
        <item x="171"/>
        <item x="10"/>
        <item x="336"/>
        <item x="298"/>
        <item x="70"/>
        <item x="36"/>
        <item x="93"/>
        <item x="315"/>
        <item x="370"/>
        <item x="453"/>
        <item x="214"/>
        <item x="41"/>
        <item x="369"/>
        <item x="287"/>
        <item x="283"/>
        <item x="304"/>
        <item x="21"/>
        <item x="81"/>
        <item x="103"/>
        <item x="220"/>
        <item x="243"/>
        <item x="385"/>
        <item x="408"/>
        <item x="183"/>
        <item x="35"/>
        <item x="229"/>
        <item x="252"/>
        <item x="174"/>
        <item x="30"/>
        <item x="213"/>
        <item x="327"/>
        <item x="22"/>
        <item x="180"/>
        <item x="173"/>
        <item x="20"/>
        <item x="172"/>
        <item x="326"/>
        <item x="17"/>
        <item x="372"/>
        <item x="355"/>
        <item x="395"/>
        <item x="325"/>
        <item x="14"/>
        <item x="63"/>
        <item x="66"/>
        <item x="89"/>
        <item x="216"/>
        <item x="199"/>
        <item x="239"/>
        <item x="60"/>
        <item x="129"/>
        <item x="50"/>
        <item t="default"/>
      </items>
    </pivotField>
    <pivotField dataField="1" compact="0" outline="0" multipleItemSelectionAllowed="1" showAll="0">
      <items count="499">
        <item x="4"/>
        <item x="236"/>
        <item x="426"/>
        <item x="133"/>
        <item x="111"/>
        <item x="195"/>
        <item x="342"/>
        <item x="235"/>
        <item x="383"/>
        <item x="406"/>
        <item x="151"/>
        <item x="160"/>
        <item x="301"/>
        <item x="285"/>
        <item x="262"/>
        <item x="416"/>
        <item x="394"/>
        <item x="328"/>
        <item x="311"/>
        <item x="407"/>
        <item x="384"/>
        <item x="341"/>
        <item x="313"/>
        <item x="330"/>
        <item x="294"/>
        <item x="339"/>
        <item x="482"/>
        <item x="292"/>
        <item x="349"/>
        <item x="338"/>
        <item x="321"/>
        <item x="40"/>
        <item x="340"/>
        <item x="415"/>
        <item x="368"/>
        <item x="393"/>
        <item x="497"/>
        <item x="422"/>
        <item x="295"/>
        <item x="188"/>
        <item x="177"/>
        <item x="104"/>
        <item x="91"/>
        <item x="110"/>
        <item x="97"/>
        <item x="132"/>
        <item x="495"/>
        <item x="476"/>
        <item x="90"/>
        <item x="96"/>
        <item x="350"/>
        <item x="492"/>
        <item x="460"/>
        <item x="207"/>
        <item x="449"/>
        <item x="435"/>
        <item x="112"/>
        <item x="134"/>
        <item x="219"/>
        <item x="251"/>
        <item x="274"/>
        <item x="196"/>
        <item x="193"/>
        <item x="252"/>
        <item x="275"/>
        <item x="479"/>
        <item x="424"/>
        <item x="13"/>
        <item x="206"/>
        <item x="496"/>
        <item x="260"/>
        <item x="283"/>
        <item x="425"/>
        <item x="38"/>
        <item x="119"/>
        <item x="141"/>
        <item x="290"/>
        <item x="249"/>
        <item x="272"/>
        <item x="150"/>
        <item x="159"/>
        <item x="466"/>
        <item x="57"/>
        <item x="58"/>
        <item x="488"/>
        <item x="421"/>
        <item x="39"/>
        <item x="320"/>
        <item x="337"/>
        <item x="448"/>
        <item x="434"/>
        <item x="348"/>
        <item x="50"/>
        <item x="205"/>
        <item x="420"/>
        <item x="37"/>
        <item x="298"/>
        <item x="130"/>
        <item x="108"/>
        <item x="147"/>
        <item x="297"/>
        <item x="473"/>
        <item x="174"/>
        <item x="300"/>
        <item x="248"/>
        <item x="271"/>
        <item x="149"/>
        <item x="185"/>
        <item x="10"/>
        <item x="491"/>
        <item x="156"/>
        <item x="158"/>
        <item x="392"/>
        <item x="414"/>
        <item x="36"/>
        <item x="355"/>
        <item x="194"/>
        <item x="95"/>
        <item x="89"/>
        <item x="120"/>
        <item x="142"/>
        <item x="291"/>
        <item x="284"/>
        <item x="261"/>
        <item x="59"/>
        <item x="483"/>
        <item x="107"/>
        <item x="129"/>
        <item x="204"/>
        <item x="467"/>
        <item x="443"/>
        <item x="457"/>
        <item x="47"/>
        <item x="469"/>
        <item x="380"/>
        <item x="403"/>
        <item x="480"/>
        <item x="456"/>
        <item x="442"/>
        <item x="331"/>
        <item x="314"/>
        <item x="226"/>
        <item x="163"/>
        <item x="233"/>
        <item x="259"/>
        <item x="282"/>
        <item x="247"/>
        <item x="270"/>
        <item x="391"/>
        <item x="413"/>
        <item x="229"/>
        <item x="490"/>
        <item x="346"/>
        <item x="11"/>
        <item x="44"/>
        <item x="315"/>
        <item x="332"/>
        <item x="214"/>
        <item x="345"/>
        <item x="144"/>
        <item x="459"/>
        <item x="381"/>
        <item x="404"/>
        <item x="153"/>
        <item x="106"/>
        <item x="88"/>
        <item x="128"/>
        <item x="94"/>
        <item x="197"/>
        <item x="423"/>
        <item x="379"/>
        <item x="402"/>
        <item x="230"/>
        <item x="227"/>
        <item x="234"/>
        <item x="211"/>
        <item x="484"/>
        <item x="203"/>
        <item x="35"/>
        <item x="354"/>
        <item x="17"/>
        <item x="481"/>
        <item x="405"/>
        <item x="382"/>
        <item x="288"/>
        <item x="239"/>
        <item x="296"/>
        <item x="140"/>
        <item x="118"/>
        <item x="306"/>
        <item x="20"/>
        <item x="323"/>
        <item x="202"/>
        <item x="487"/>
        <item x="186"/>
        <item x="175"/>
        <item x="34"/>
        <item x="164"/>
        <item x="148"/>
        <item x="157"/>
        <item x="210"/>
        <item x="461"/>
        <item x="43"/>
        <item x="293"/>
        <item x="308"/>
        <item x="131"/>
        <item x="109"/>
        <item x="477"/>
        <item x="347"/>
        <item x="325"/>
        <item x="69"/>
        <item x="82"/>
        <item x="21"/>
        <item x="213"/>
        <item x="418"/>
        <item x="209"/>
        <item x="162"/>
        <item x="436"/>
        <item x="450"/>
        <item x="287"/>
        <item x="42"/>
        <item x="437"/>
        <item x="377"/>
        <item x="451"/>
        <item x="351"/>
        <item x="474"/>
        <item x="12"/>
        <item x="400"/>
        <item x="71"/>
        <item x="67"/>
        <item x="463"/>
        <item x="84"/>
        <item x="486"/>
        <item x="117"/>
        <item x="139"/>
        <item x="225"/>
        <item x="273"/>
        <item x="232"/>
        <item x="250"/>
        <item x="228"/>
        <item x="289"/>
        <item x="432"/>
        <item x="446"/>
        <item x="181"/>
        <item x="192"/>
        <item x="54"/>
        <item x="494"/>
        <item x="471"/>
        <item x="191"/>
        <item x="180"/>
        <item x="318"/>
        <item x="72"/>
        <item x="335"/>
        <item x="312"/>
        <item x="329"/>
        <item x="258"/>
        <item x="281"/>
        <item x="427"/>
        <item x="353"/>
        <item x="389"/>
        <item x="18"/>
        <item x="478"/>
        <item x="65"/>
        <item x="489"/>
        <item x="390"/>
        <item x="412"/>
        <item x="257"/>
        <item x="280"/>
        <item x="455"/>
        <item x="441"/>
        <item x="475"/>
        <item x="462"/>
        <item x="176"/>
        <item x="187"/>
        <item x="493"/>
        <item x="165"/>
        <item x="48"/>
        <item x="378"/>
        <item x="401"/>
        <item x="75"/>
        <item x="87"/>
        <item x="419"/>
        <item x="166"/>
        <item x="79"/>
        <item x="61"/>
        <item x="64"/>
        <item x="51"/>
        <item x="56"/>
        <item x="63"/>
        <item x="218"/>
        <item x="53"/>
        <item x="224"/>
        <item x="358"/>
        <item x="304"/>
        <item x="55"/>
        <item x="217"/>
        <item x="66"/>
        <item x="361"/>
        <item x="319"/>
        <item x="336"/>
        <item x="52"/>
        <item x="465"/>
        <item x="62"/>
        <item x="220"/>
        <item x="222"/>
        <item x="360"/>
        <item x="216"/>
        <item x="356"/>
        <item x="73"/>
        <item x="85"/>
        <item x="357"/>
        <item x="464"/>
        <item x="363"/>
        <item x="223"/>
        <item x="221"/>
        <item x="359"/>
        <item x="362"/>
        <item x="417"/>
        <item x="2"/>
        <item x="286"/>
        <item x="77"/>
        <item x="431"/>
        <item x="445"/>
        <item x="371"/>
        <item x="364"/>
        <item x="367"/>
        <item x="365"/>
        <item x="388"/>
        <item x="411"/>
        <item x="172"/>
        <item x="183"/>
        <item x="485"/>
        <item x="440"/>
        <item x="170"/>
        <item x="454"/>
        <item x="439"/>
        <item x="453"/>
        <item x="179"/>
        <item x="190"/>
        <item x="1"/>
        <item x="470"/>
        <item x="103"/>
        <item x="178"/>
        <item x="126"/>
        <item x="189"/>
        <item x="472"/>
        <item x="169"/>
        <item x="74"/>
        <item x="86"/>
        <item x="78"/>
        <item x="317"/>
        <item x="173"/>
        <item x="334"/>
        <item x="184"/>
        <item x="468"/>
        <item x="145"/>
        <item x="105"/>
        <item x="70"/>
        <item x="83"/>
        <item x="127"/>
        <item x="154"/>
        <item x="245"/>
        <item x="268"/>
        <item x="5"/>
        <item x="246"/>
        <item x="269"/>
        <item x="168"/>
        <item x="255"/>
        <item x="428"/>
        <item x="278"/>
        <item x="171"/>
        <item x="3"/>
        <item x="430"/>
        <item x="115"/>
        <item x="433"/>
        <item x="68"/>
        <item x="182"/>
        <item x="137"/>
        <item x="81"/>
        <item x="447"/>
        <item x="146"/>
        <item x="76"/>
        <item x="155"/>
        <item x="309"/>
        <item x="243"/>
        <item x="326"/>
        <item x="266"/>
        <item x="49"/>
        <item x="310"/>
        <item x="8"/>
        <item x="327"/>
        <item x="7"/>
        <item x="438"/>
        <item x="452"/>
        <item x="387"/>
        <item x="410"/>
        <item x="101"/>
        <item x="124"/>
        <item x="161"/>
        <item x="242"/>
        <item x="265"/>
        <item x="143"/>
        <item x="152"/>
        <item x="93"/>
        <item x="374"/>
        <item x="6"/>
        <item x="397"/>
        <item x="116"/>
        <item x="256"/>
        <item x="138"/>
        <item x="386"/>
        <item x="279"/>
        <item x="100"/>
        <item x="409"/>
        <item x="123"/>
        <item x="0"/>
        <item x="303"/>
        <item x="429"/>
        <item x="444"/>
        <item x="16"/>
        <item x="375"/>
        <item x="254"/>
        <item x="398"/>
        <item x="241"/>
        <item x="277"/>
        <item x="264"/>
        <item x="33"/>
        <item x="373"/>
        <item x="396"/>
        <item x="302"/>
        <item x="24"/>
        <item x="307"/>
        <item x="324"/>
        <item x="376"/>
        <item x="99"/>
        <item x="399"/>
        <item x="19"/>
        <item x="122"/>
        <item x="9"/>
        <item x="23"/>
        <item x="29"/>
        <item x="114"/>
        <item x="136"/>
        <item x="28"/>
        <item x="15"/>
        <item x="14"/>
        <item x="316"/>
        <item x="333"/>
        <item x="102"/>
        <item x="125"/>
        <item x="370"/>
        <item x="26"/>
        <item x="238"/>
        <item x="25"/>
        <item x="458"/>
        <item x="299"/>
        <item x="305"/>
        <item x="322"/>
        <item x="46"/>
        <item x="369"/>
        <item x="113"/>
        <item x="135"/>
        <item x="244"/>
        <item x="267"/>
        <item x="385"/>
        <item x="408"/>
        <item x="31"/>
        <item x="215"/>
        <item x="253"/>
        <item x="276"/>
        <item x="212"/>
        <item x="352"/>
        <item x="237"/>
        <item x="45"/>
        <item x="200"/>
        <item x="41"/>
        <item x="208"/>
        <item x="32"/>
        <item x="201"/>
        <item x="199"/>
        <item x="372"/>
        <item x="366"/>
        <item x="395"/>
        <item x="344"/>
        <item x="198"/>
        <item x="30"/>
        <item x="343"/>
        <item x="27"/>
        <item x="92"/>
        <item x="98"/>
        <item x="240"/>
        <item x="121"/>
        <item x="231"/>
        <item x="263"/>
        <item x="22"/>
        <item x="80"/>
        <item x="167"/>
        <item x="60"/>
        <item t="default"/>
      </items>
    </pivotField>
    <pivotField dataField="1" compact="0" outline="0" multipleItemSelectionAllowed="1" showAll="0">
      <items count="501">
        <item x="2"/>
        <item x="431"/>
        <item x="112"/>
        <item x="90"/>
        <item x="223"/>
        <item x="177"/>
        <item x="330"/>
        <item x="220"/>
        <item x="221"/>
        <item x="388"/>
        <item x="411"/>
        <item x="130"/>
        <item x="139"/>
        <item x="274"/>
        <item x="251"/>
        <item x="421"/>
        <item x="399"/>
        <item x="316"/>
        <item x="299"/>
        <item x="412"/>
        <item x="389"/>
        <item x="329"/>
        <item x="301"/>
        <item x="318"/>
        <item x="327"/>
        <item x="483"/>
        <item x="281"/>
        <item x="338"/>
        <item x="283"/>
        <item x="326"/>
        <item x="309"/>
        <item x="37"/>
        <item x="328"/>
        <item x="420"/>
        <item x="398"/>
        <item x="222"/>
        <item x="499"/>
        <item x="427"/>
        <item x="284"/>
        <item x="170"/>
        <item x="159"/>
        <item x="83"/>
        <item x="89"/>
        <item x="111"/>
        <item x="219"/>
        <item x="497"/>
        <item x="477"/>
        <item x="339"/>
        <item x="189"/>
        <item x="372"/>
        <item x="198"/>
        <item x="493"/>
        <item x="464"/>
        <item x="453"/>
        <item x="438"/>
        <item x="91"/>
        <item x="113"/>
        <item x="240"/>
        <item x="263"/>
        <item x="178"/>
        <item x="241"/>
        <item x="264"/>
        <item x="175"/>
        <item x="480"/>
        <item x="429"/>
        <item x="10"/>
        <item x="498"/>
        <item x="98"/>
        <item x="120"/>
        <item x="430"/>
        <item x="249"/>
        <item x="272"/>
        <item x="373"/>
        <item x="279"/>
        <item x="129"/>
        <item x="138"/>
        <item x="188"/>
        <item x="55"/>
        <item x="36"/>
        <item x="489"/>
        <item x="426"/>
        <item x="48"/>
        <item x="308"/>
        <item x="325"/>
        <item x="452"/>
        <item x="437"/>
        <item x="238"/>
        <item x="261"/>
        <item x="337"/>
        <item x="237"/>
        <item x="260"/>
        <item x="187"/>
        <item x="126"/>
        <item x="474"/>
        <item x="156"/>
        <item x="397"/>
        <item x="419"/>
        <item x="128"/>
        <item x="167"/>
        <item x="109"/>
        <item x="87"/>
        <item x="35"/>
        <item x="492"/>
        <item x="135"/>
        <item x="346"/>
        <item x="137"/>
        <item x="17"/>
        <item x="273"/>
        <item x="250"/>
        <item x="99"/>
        <item x="121"/>
        <item x="207"/>
        <item x="176"/>
        <item x="86"/>
        <item x="108"/>
        <item x="280"/>
        <item x="34"/>
        <item x="484"/>
        <item x="425"/>
        <item x="471"/>
        <item x="446"/>
        <item x="461"/>
        <item x="385"/>
        <item x="408"/>
        <item x="495"/>
        <item x="481"/>
        <item x="193"/>
        <item x="460"/>
        <item x="445"/>
        <item x="319"/>
        <item x="186"/>
        <item x="302"/>
        <item x="236"/>
        <item x="259"/>
        <item x="142"/>
        <item x="491"/>
        <item x="335"/>
        <item x="7"/>
        <item x="45"/>
        <item x="303"/>
        <item x="320"/>
        <item x="123"/>
        <item x="386"/>
        <item x="409"/>
        <item x="85"/>
        <item x="107"/>
        <item x="248"/>
        <item x="271"/>
        <item x="463"/>
        <item x="185"/>
        <item x="396"/>
        <item x="418"/>
        <item x="132"/>
        <item x="141"/>
        <item x="33"/>
        <item x="41"/>
        <item x="345"/>
        <item x="485"/>
        <item x="384"/>
        <item x="407"/>
        <item x="410"/>
        <item x="387"/>
        <item x="8"/>
        <item x="341"/>
        <item x="482"/>
        <item x="206"/>
        <item x="212"/>
        <item x="228"/>
        <item x="285"/>
        <item x="217"/>
        <item x="184"/>
        <item x="277"/>
        <item x="294"/>
        <item x="311"/>
        <item x="32"/>
        <item x="342"/>
        <item x="488"/>
        <item x="168"/>
        <item x="157"/>
        <item x="119"/>
        <item x="428"/>
        <item x="97"/>
        <item x="140"/>
        <item x="127"/>
        <item x="136"/>
        <item x="40"/>
        <item x="336"/>
        <item x="9"/>
        <item x="191"/>
        <item x="282"/>
        <item x="296"/>
        <item x="478"/>
        <item x="313"/>
        <item x="110"/>
        <item x="149"/>
        <item x="88"/>
        <item x="18"/>
        <item x="39"/>
        <item x="64"/>
        <item x="190"/>
        <item x="357"/>
        <item x="204"/>
        <item x="368"/>
        <item x="439"/>
        <item x="454"/>
        <item x="215"/>
        <item x="210"/>
        <item x="276"/>
        <item x="440"/>
        <item x="382"/>
        <item x="455"/>
        <item x="356"/>
        <item x="475"/>
        <item x="15"/>
        <item x="405"/>
        <item x="367"/>
        <item x="262"/>
        <item x="239"/>
        <item x="96"/>
        <item x="118"/>
        <item x="192"/>
        <item x="466"/>
        <item x="146"/>
        <item x="487"/>
        <item x="19"/>
        <item x="423"/>
        <item x="434"/>
        <item x="449"/>
        <item x="163"/>
        <item x="174"/>
        <item x="278"/>
        <item x="54"/>
        <item x="496"/>
        <item x="472"/>
        <item x="173"/>
        <item x="162"/>
        <item x="306"/>
        <item x="323"/>
        <item x="247"/>
        <item x="270"/>
        <item x="358"/>
        <item x="300"/>
        <item x="317"/>
        <item x="369"/>
        <item x="148"/>
        <item x="394"/>
        <item x="286"/>
        <item x="395"/>
        <item x="53"/>
        <item x="417"/>
        <item x="479"/>
        <item x="344"/>
        <item x="144"/>
        <item x="490"/>
        <item x="246"/>
        <item x="269"/>
        <item x="60"/>
        <item x="459"/>
        <item x="444"/>
        <item x="46"/>
        <item x="476"/>
        <item x="465"/>
        <item x="158"/>
        <item x="169"/>
        <item x="494"/>
        <item x="145"/>
        <item x="383"/>
        <item x="406"/>
        <item x="424"/>
        <item x="467"/>
        <item x="59"/>
        <item x="57"/>
        <item x="52"/>
        <item x="61"/>
        <item x="50"/>
        <item x="202"/>
        <item x="197"/>
        <item x="62"/>
        <item x="51"/>
        <item x="353"/>
        <item x="63"/>
        <item x="196"/>
        <item x="292"/>
        <item x="58"/>
        <item x="200"/>
        <item x="349"/>
        <item x="307"/>
        <item x="324"/>
        <item x="468"/>
        <item x="352"/>
        <item x="199"/>
        <item x="201"/>
        <item x="350"/>
        <item x="195"/>
        <item x="66"/>
        <item x="347"/>
        <item x="362"/>
        <item x="288"/>
        <item x="71"/>
        <item x="287"/>
        <item x="348"/>
        <item x="351"/>
        <item x="359"/>
        <item x="370"/>
        <item x="1"/>
        <item x="422"/>
        <item x="73"/>
        <item x="76"/>
        <item x="275"/>
        <item x="433"/>
        <item x="448"/>
        <item x="225"/>
        <item x="67"/>
        <item x="376"/>
        <item x="72"/>
        <item x="393"/>
        <item x="416"/>
        <item x="154"/>
        <item x="165"/>
        <item x="486"/>
        <item x="443"/>
        <item x="152"/>
        <item x="458"/>
        <item x="442"/>
        <item x="457"/>
        <item x="161"/>
        <item x="172"/>
        <item x="355"/>
        <item x="0"/>
        <item x="470"/>
        <item x="366"/>
        <item x="82"/>
        <item x="65"/>
        <item x="160"/>
        <item x="105"/>
        <item x="70"/>
        <item x="171"/>
        <item x="473"/>
        <item x="151"/>
        <item x="224"/>
        <item x="360"/>
        <item x="371"/>
        <item x="363"/>
        <item x="305"/>
        <item x="155"/>
        <item x="322"/>
        <item x="205"/>
        <item x="166"/>
        <item x="216"/>
        <item x="469"/>
        <item x="124"/>
        <item x="84"/>
        <item x="208"/>
        <item x="106"/>
        <item x="211"/>
        <item x="218"/>
        <item x="133"/>
        <item x="234"/>
        <item x="4"/>
        <item x="257"/>
        <item x="68"/>
        <item x="235"/>
        <item x="258"/>
        <item x="361"/>
        <item x="354"/>
        <item x="365"/>
        <item x="203"/>
        <item x="209"/>
        <item x="214"/>
        <item x="47"/>
        <item x="150"/>
        <item x="435"/>
        <item x="153"/>
        <item x="5"/>
        <item x="450"/>
        <item x="94"/>
        <item x="436"/>
        <item x="164"/>
        <item x="116"/>
        <item x="451"/>
        <item x="244"/>
        <item x="267"/>
        <item x="297"/>
        <item x="314"/>
        <item x="298"/>
        <item x="6"/>
        <item x="315"/>
        <item x="125"/>
        <item x="134"/>
        <item x="14"/>
        <item x="441"/>
        <item x="456"/>
        <item x="392"/>
        <item x="415"/>
        <item x="232"/>
        <item x="31"/>
        <item x="255"/>
        <item x="231"/>
        <item x="254"/>
        <item x="75"/>
        <item x="80"/>
        <item x="103"/>
        <item x="43"/>
        <item x="379"/>
        <item x="122"/>
        <item x="402"/>
        <item x="95"/>
        <item x="131"/>
        <item x="245"/>
        <item x="117"/>
        <item x="268"/>
        <item x="79"/>
        <item x="102"/>
        <item x="143"/>
        <item x="291"/>
        <item x="432"/>
        <item x="447"/>
        <item x="27"/>
        <item x="380"/>
        <item x="30"/>
        <item x="230"/>
        <item x="403"/>
        <item x="391"/>
        <item x="253"/>
        <item x="414"/>
        <item x="290"/>
        <item x="13"/>
        <item x="295"/>
        <item x="312"/>
        <item x="78"/>
        <item x="378"/>
        <item x="16"/>
        <item x="101"/>
        <item x="401"/>
        <item x="381"/>
        <item x="243"/>
        <item x="404"/>
        <item x="266"/>
        <item x="3"/>
        <item x="22"/>
        <item x="21"/>
        <item x="179"/>
        <item x="25"/>
        <item x="93"/>
        <item x="115"/>
        <item x="12"/>
        <item x="304"/>
        <item x="321"/>
        <item x="181"/>
        <item x="81"/>
        <item x="375"/>
        <item x="104"/>
        <item x="23"/>
        <item x="227"/>
        <item x="11"/>
        <item x="289"/>
        <item x="293"/>
        <item x="310"/>
        <item x="44"/>
        <item x="462"/>
        <item x="92"/>
        <item x="114"/>
        <item x="233"/>
        <item x="331"/>
        <item x="256"/>
        <item x="374"/>
        <item x="390"/>
        <item x="413"/>
        <item x="28"/>
        <item x="49"/>
        <item x="242"/>
        <item x="265"/>
        <item x="194"/>
        <item x="343"/>
        <item x="226"/>
        <item x="42"/>
        <item x="38"/>
        <item x="334"/>
        <item x="182"/>
        <item x="29"/>
        <item x="340"/>
        <item x="183"/>
        <item x="377"/>
        <item x="364"/>
        <item x="400"/>
        <item x="180"/>
        <item x="26"/>
        <item x="333"/>
        <item x="24"/>
        <item x="332"/>
        <item x="77"/>
        <item x="74"/>
        <item x="100"/>
        <item x="20"/>
        <item x="229"/>
        <item x="213"/>
        <item x="252"/>
        <item x="69"/>
        <item x="147"/>
        <item x="56"/>
        <item t="default"/>
      </items>
    </pivotField>
  </pivotFields>
  <rowFields count="1">
    <field x="-2"/>
  </rowFields>
  <row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rowItems>
  <colFields count="1">
    <field x="4"/>
  </colFields>
  <colItems count="8">
    <i>
      <x v="8"/>
    </i>
    <i>
      <x v="9"/>
    </i>
    <i>
      <x v="11"/>
    </i>
    <i>
      <x v="12"/>
    </i>
    <i>
      <x v="19"/>
    </i>
    <i>
      <x v="26"/>
    </i>
    <i>
      <x v="32"/>
    </i>
    <i t="grand">
      <x/>
    </i>
  </colItems>
  <pageFields count="4">
    <pageField fld="0"/>
    <pageField fld="1"/>
    <pageField fld="2"/>
    <pageField fld="3"/>
  </pageFields>
  <dataFields count="12">
    <dataField name="2025年1月" fld="5" baseField="0" baseItem="0"/>
    <dataField name="2025年2月" fld="6" baseField="0" baseItem="0"/>
    <dataField name="2025年3月" fld="7" baseField="0" baseItem="0"/>
    <dataField name="2025年4月" fld="8" baseField="0" baseItem="0"/>
    <dataField name="2025年5月" fld="9" baseField="0" baseItem="0"/>
    <dataField name="2025年6月" fld="10" baseField="0" baseItem="0"/>
    <dataField name="2025年7月" fld="11" baseField="0" baseItem="0"/>
    <dataField name="2025年8月" fld="12" baseField="0" baseItem="0"/>
    <dataField name="2025年9月" fld="13" baseField="0" baseItem="0"/>
    <dataField name="2025年10月" fld="14" baseField="0" baseItem="0"/>
    <dataField name="2025年11月" fld="15" baseField="0" baseItem="0"/>
    <dataField name="2025年12月" fld="16" baseField="0" baseItem="0"/>
  </dataFields>
  <pivotTableStyleInfo showRowHeaders="1" showColHeaders="1" showLastColumn="1"/>
</pivotTableDefinition>
</file>

<file path=xl/pivotTables/pivotTable6.xml><?xml version="1.0" encoding="utf-8"?>
<pivotTableDefinition xmlns="http://schemas.openxmlformats.org/spreadsheetml/2006/main" name="2025统计 6" cacheId="0" dataOnRows="1" autoFormatId="1" applyNumberFormats="0" applyBorderFormats="0" applyFontFormats="0" applyPatternFormats="0" applyAlignmentFormats="0" applyWidthHeightFormats="1" dataCaption="" updatedVersion="5" compact="0" compactData="0" showDrill="1">
  <location ref="U41:AA54" firstHeaderRow="1" firstDataRow="2" firstDataCol="1" rowPageCount="4" colPageCount="1"/>
  <pivotFields count="17">
    <pivotField axis="axisPage" compact="0" outline="0" multipleItemSelectionAllowed="1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Page" compact="0" outline="0" multipleItemSelectionAllowed="1" showAll="0">
      <items count="4">
        <item h="1" x="0"/>
        <item x="1"/>
        <item h="1" x="2"/>
        <item t="default"/>
      </items>
    </pivotField>
    <pivotField axis="axisPage" compact="0" outline="0" multipleItemSelectionAllowed="1" showAll="0">
      <items count="11">
        <item h="1" x="0"/>
        <item h="1" x="1"/>
        <item h="1" x="2"/>
        <item h="1" x="3"/>
        <item h="1" x="4"/>
        <item h="1" x="5"/>
        <item h="1" x="6"/>
        <item h="1" x="7"/>
        <item x="8"/>
        <item h="1" x="9"/>
        <item t="default"/>
      </items>
    </pivotField>
    <pivotField axis="axisPage" compact="0" outline="0" multipleItemSelectionAllowed="1" showAll="0">
      <items count="18">
        <item h="1" x="0"/>
        <item h="1" x="1"/>
        <item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t="default"/>
      </items>
    </pivotField>
    <pivotField axis="axisCol" compact="0" outline="0" multipleItemSelectionAllowed="1" showAll="0">
      <items count="43">
        <item x="22"/>
        <item x="25"/>
        <item x="28"/>
        <item x="13"/>
        <item x="19"/>
        <item x="34"/>
        <item x="18"/>
        <item x="41"/>
        <item x="4"/>
        <item x="21"/>
        <item x="3"/>
        <item x="1"/>
        <item x="8"/>
        <item x="9"/>
        <item x="16"/>
        <item x="39"/>
        <item x="17"/>
        <item x="40"/>
        <item x="5"/>
        <item x="10"/>
        <item x="32"/>
        <item x="30"/>
        <item x="31"/>
        <item x="24"/>
        <item x="27"/>
        <item x="6"/>
        <item x="0"/>
        <item x="15"/>
        <item x="11"/>
        <item x="12"/>
        <item x="33"/>
        <item x="7"/>
        <item x="23"/>
        <item x="26"/>
        <item x="29"/>
        <item x="14"/>
        <item x="20"/>
        <item x="35"/>
        <item x="38"/>
        <item x="36"/>
        <item x="37"/>
        <item x="2"/>
        <item t="default"/>
      </items>
    </pivotField>
    <pivotField dataField="1" compact="0" outline="0" multipleItemSelectionAllowed="1" showAll="0">
      <items count="114">
        <item x="1"/>
        <item x="96"/>
        <item x="56"/>
        <item x="112"/>
        <item x="29"/>
        <item x="25"/>
        <item x="58"/>
        <item x="59"/>
        <item x="77"/>
        <item x="97"/>
        <item x="55"/>
        <item x="110"/>
        <item x="109"/>
        <item x="104"/>
        <item x="111"/>
        <item x="14"/>
        <item x="64"/>
        <item x="70"/>
        <item x="98"/>
        <item x="65"/>
        <item x="71"/>
        <item x="88"/>
        <item x="84"/>
        <item x="94"/>
        <item x="95"/>
        <item x="27"/>
        <item x="31"/>
        <item x="72"/>
        <item x="66"/>
        <item x="34"/>
        <item x="35"/>
        <item x="68"/>
        <item x="62"/>
        <item x="7"/>
        <item x="57"/>
        <item x="28"/>
        <item x="32"/>
        <item x="54"/>
        <item x="8"/>
        <item x="102"/>
        <item x="107"/>
        <item x="40"/>
        <item x="50"/>
        <item x="41"/>
        <item x="51"/>
        <item x="105"/>
        <item x="100"/>
        <item x="6"/>
        <item x="30"/>
        <item x="26"/>
        <item x="101"/>
        <item x="106"/>
        <item x="36"/>
        <item x="108"/>
        <item x="103"/>
        <item x="63"/>
        <item x="69"/>
        <item x="9"/>
        <item x="12"/>
        <item x="78"/>
        <item x="45"/>
        <item x="42"/>
        <item x="52"/>
        <item x="67"/>
        <item x="73"/>
        <item x="3"/>
        <item x="38"/>
        <item x="48"/>
        <item x="82"/>
        <item x="92"/>
        <item x="86"/>
        <item x="16"/>
        <item x="21"/>
        <item x="80"/>
        <item x="90"/>
        <item x="61"/>
        <item x="81"/>
        <item x="91"/>
        <item x="83"/>
        <item x="93"/>
        <item x="87"/>
        <item x="2"/>
        <item x="23"/>
        <item x="24"/>
        <item x="17"/>
        <item x="22"/>
        <item x="5"/>
        <item x="79"/>
        <item x="99"/>
        <item x="89"/>
        <item x="85"/>
        <item x="39"/>
        <item x="49"/>
        <item x="60"/>
        <item x="4"/>
        <item x="43"/>
        <item x="53"/>
        <item x="15"/>
        <item x="20"/>
        <item x="46"/>
        <item x="33"/>
        <item x="37"/>
        <item x="47"/>
        <item x="44"/>
        <item x="0"/>
        <item x="75"/>
        <item x="74"/>
        <item x="76"/>
        <item x="13"/>
        <item x="19"/>
        <item x="18"/>
        <item x="10"/>
        <item x="11"/>
        <item t="default"/>
      </items>
    </pivotField>
    <pivotField dataField="1" compact="0" outline="0" multipleItemSelectionAllowed="1" showAll="0">
      <items count="162">
        <item x="1"/>
        <item x="152"/>
        <item x="98"/>
        <item x="160"/>
        <item x="100"/>
        <item x="25"/>
        <item x="101"/>
        <item x="105"/>
        <item x="147"/>
        <item x="135"/>
        <item x="150"/>
        <item x="97"/>
        <item x="157"/>
        <item x="155"/>
        <item x="119"/>
        <item x="149"/>
        <item x="153"/>
        <item x="51"/>
        <item x="39"/>
        <item x="45"/>
        <item x="33"/>
        <item x="156"/>
        <item x="35"/>
        <item x="47"/>
        <item x="154"/>
        <item x="77"/>
        <item x="90"/>
        <item x="151"/>
        <item x="118"/>
        <item x="78"/>
        <item x="91"/>
        <item x="131"/>
        <item x="143"/>
        <item x="61"/>
        <item x="36"/>
        <item x="48"/>
        <item x="94"/>
        <item x="81"/>
        <item x="9"/>
        <item x="145"/>
        <item x="133"/>
        <item x="148"/>
        <item x="62"/>
        <item x="88"/>
        <item x="75"/>
        <item x="11"/>
        <item x="107"/>
        <item x="146"/>
        <item x="134"/>
        <item x="99"/>
        <item x="96"/>
        <item x="140"/>
        <item x="128"/>
        <item x="8"/>
        <item x="24"/>
        <item x="27"/>
        <item x="121"/>
        <item x="158"/>
        <item x="112"/>
        <item x="73"/>
        <item x="117"/>
        <item x="86"/>
        <item x="74"/>
        <item x="87"/>
        <item x="123"/>
        <item x="38"/>
        <item x="50"/>
        <item x="40"/>
        <item x="52"/>
        <item x="10"/>
        <item x="132"/>
        <item x="144"/>
        <item x="63"/>
        <item x="159"/>
        <item x="76"/>
        <item x="89"/>
        <item x="64"/>
        <item x="127"/>
        <item x="139"/>
        <item x="108"/>
        <item x="46"/>
        <item x="34"/>
        <item x="66"/>
        <item x="19"/>
        <item x="16"/>
        <item x="14"/>
        <item x="79"/>
        <item x="92"/>
        <item x="65"/>
        <item x="82"/>
        <item x="95"/>
        <item x="12"/>
        <item x="29"/>
        <item x="109"/>
        <item x="0"/>
        <item x="71"/>
        <item x="84"/>
        <item x="129"/>
        <item x="141"/>
        <item x="31"/>
        <item x="43"/>
        <item x="69"/>
        <item x="59"/>
        <item x="58"/>
        <item x="60"/>
        <item x="130"/>
        <item x="142"/>
        <item x="2"/>
        <item x="54"/>
        <item x="126"/>
        <item x="138"/>
        <item x="56"/>
        <item x="53"/>
        <item x="55"/>
        <item x="32"/>
        <item x="44"/>
        <item x="111"/>
        <item x="116"/>
        <item x="120"/>
        <item x="5"/>
        <item x="110"/>
        <item x="72"/>
        <item x="113"/>
        <item x="115"/>
        <item x="85"/>
        <item x="68"/>
        <item x="3"/>
        <item x="125"/>
        <item x="137"/>
        <item x="80"/>
        <item x="93"/>
        <item x="6"/>
        <item x="70"/>
        <item x="83"/>
        <item x="67"/>
        <item x="122"/>
        <item x="7"/>
        <item x="124"/>
        <item x="136"/>
        <item x="114"/>
        <item x="4"/>
        <item x="102"/>
        <item x="103"/>
        <item x="104"/>
        <item x="106"/>
        <item x="37"/>
        <item x="49"/>
        <item x="17"/>
        <item x="23"/>
        <item x="20"/>
        <item x="15"/>
        <item x="22"/>
        <item x="18"/>
        <item x="30"/>
        <item x="42"/>
        <item x="28"/>
        <item x="41"/>
        <item x="26"/>
        <item x="21"/>
        <item x="57"/>
        <item x="13"/>
        <item t="default"/>
      </items>
    </pivotField>
    <pivotField dataField="1" compact="0" outline="0" multipleItemSelectionAllowed="1" showAll="0">
      <items count="209">
        <item x="3"/>
        <item x="172"/>
        <item x="117"/>
        <item x="26"/>
        <item x="29"/>
        <item x="189"/>
        <item x="207"/>
        <item x="156"/>
        <item x="142"/>
        <item x="119"/>
        <item x="50"/>
        <item x="35"/>
        <item x="165"/>
        <item x="151"/>
        <item x="62"/>
        <item x="66"/>
        <item x="120"/>
        <item x="135"/>
        <item x="124"/>
        <item x="169"/>
        <item x="196"/>
        <item x="84"/>
        <item x="190"/>
        <item x="188"/>
        <item x="179"/>
        <item x="206"/>
        <item x="198"/>
        <item x="51"/>
        <item x="36"/>
        <item x="171"/>
        <item x="167"/>
        <item x="116"/>
        <item x="59"/>
        <item x="44"/>
        <item x="204"/>
        <item x="130"/>
        <item x="38"/>
        <item x="53"/>
        <item x="186"/>
        <item x="95"/>
        <item x="109"/>
        <item x="170"/>
        <item x="197"/>
        <item x="168"/>
        <item x="147"/>
        <item x="161"/>
        <item x="191"/>
        <item x="183"/>
        <item x="125"/>
        <item x="199"/>
        <item x="176"/>
        <item x="193"/>
        <item x="112"/>
        <item x="98"/>
        <item x="163"/>
        <item x="149"/>
        <item x="12"/>
        <item x="73"/>
        <item x="100"/>
        <item x="114"/>
        <item x="39"/>
        <item x="54"/>
        <item x="205"/>
        <item x="75"/>
        <item x="180"/>
        <item x="106"/>
        <item x="92"/>
        <item x="166"/>
        <item x="23"/>
        <item x="16"/>
        <item x="22"/>
        <item x="25"/>
        <item x="94"/>
        <item x="108"/>
        <item x="164"/>
        <item x="150"/>
        <item x="5"/>
        <item x="157"/>
        <item x="143"/>
        <item x="200"/>
        <item x="13"/>
        <item x="118"/>
        <item x="115"/>
        <item x="74"/>
        <item x="64"/>
        <item x="68"/>
        <item x="181"/>
        <item x="177"/>
        <item x="15"/>
        <item x="14"/>
        <item x="185"/>
        <item x="182"/>
        <item x="192"/>
        <item x="91"/>
        <item x="105"/>
        <item x="43"/>
        <item x="58"/>
        <item x="45"/>
        <item x="60"/>
        <item x="202"/>
        <item x="194"/>
        <item x="18"/>
        <item x="107"/>
        <item x="93"/>
        <item x="78"/>
        <item x="184"/>
        <item x="21"/>
        <item x="201"/>
        <item x="178"/>
        <item x="79"/>
        <item x="148"/>
        <item x="162"/>
        <item x="187"/>
        <item x="17"/>
        <item x="195"/>
        <item x="20"/>
        <item x="173"/>
        <item x="99"/>
        <item x="113"/>
        <item x="174"/>
        <item x="52"/>
        <item x="37"/>
        <item x="141"/>
        <item x="155"/>
        <item x="203"/>
        <item x="6"/>
        <item x="127"/>
        <item x="96"/>
        <item x="110"/>
        <item x="31"/>
        <item x="81"/>
        <item x="80"/>
        <item x="126"/>
        <item x="83"/>
        <item x="28"/>
        <item x="41"/>
        <item x="56"/>
        <item x="1"/>
        <item x="88"/>
        <item x="102"/>
        <item x="145"/>
        <item x="159"/>
        <item x="33"/>
        <item x="48"/>
        <item x="90"/>
        <item x="104"/>
        <item x="70"/>
        <item x="129"/>
        <item x="134"/>
        <item x="131"/>
        <item x="128"/>
        <item x="71"/>
        <item x="133"/>
        <item x="72"/>
        <item x="146"/>
        <item x="160"/>
        <item x="4"/>
        <item x="63"/>
        <item x="140"/>
        <item x="154"/>
        <item x="67"/>
        <item x="137"/>
        <item x="86"/>
        <item x="61"/>
        <item x="65"/>
        <item x="34"/>
        <item x="49"/>
        <item x="2"/>
        <item x="89"/>
        <item x="103"/>
        <item x="85"/>
        <item x="0"/>
        <item x="97"/>
        <item x="111"/>
        <item x="144"/>
        <item x="158"/>
        <item x="9"/>
        <item x="139"/>
        <item x="153"/>
        <item x="136"/>
        <item x="87"/>
        <item x="7"/>
        <item x="101"/>
        <item x="82"/>
        <item x="11"/>
        <item x="121"/>
        <item x="122"/>
        <item x="123"/>
        <item x="138"/>
        <item x="175"/>
        <item x="152"/>
        <item x="132"/>
        <item x="40"/>
        <item x="55"/>
        <item x="42"/>
        <item x="57"/>
        <item x="10"/>
        <item x="77"/>
        <item x="8"/>
        <item x="76"/>
        <item x="32"/>
        <item x="47"/>
        <item x="30"/>
        <item x="46"/>
        <item x="27"/>
        <item x="24"/>
        <item x="69"/>
        <item x="19"/>
        <item t="default"/>
      </items>
    </pivotField>
    <pivotField dataField="1" compact="0" outline="0" multipleItemSelectionAllowed="1" showAll="0">
      <items count="296">
        <item x="3"/>
        <item x="262"/>
        <item x="50"/>
        <item x="292"/>
        <item x="144"/>
        <item x="245"/>
        <item x="230"/>
        <item x="57"/>
        <item x="270"/>
        <item x="184"/>
        <item x="166"/>
        <item x="98"/>
        <item x="103"/>
        <item x="222"/>
        <item x="204"/>
        <item x="293"/>
        <item x="190"/>
        <item x="141"/>
        <item x="203"/>
        <item x="199"/>
        <item x="187"/>
        <item x="259"/>
        <item x="274"/>
        <item x="191"/>
        <item x="294"/>
        <item x="49"/>
        <item x="56"/>
        <item x="47"/>
        <item x="165"/>
        <item x="183"/>
        <item x="285"/>
        <item x="278"/>
        <item x="54"/>
        <item x="255"/>
        <item x="240"/>
        <item x="74"/>
        <item x="64"/>
        <item x="82"/>
        <item x="92"/>
        <item x="291"/>
        <item x="156"/>
        <item x="174"/>
        <item x="289"/>
        <item x="227"/>
        <item x="67"/>
        <item x="85"/>
        <item x="261"/>
        <item x="257"/>
        <item x="158"/>
        <item x="176"/>
        <item x="142"/>
        <item x="113"/>
        <item x="267"/>
        <item x="48"/>
        <item x="268"/>
        <item x="260"/>
        <item x="55"/>
        <item x="275"/>
        <item x="91"/>
        <item x="73"/>
        <item x="18"/>
        <item x="139"/>
        <item x="258"/>
        <item x="95"/>
        <item x="207"/>
        <item x="100"/>
        <item x="284"/>
        <item x="282"/>
        <item x="159"/>
        <item x="286"/>
        <item x="177"/>
        <item x="238"/>
        <item x="21"/>
        <item x="253"/>
        <item x="279"/>
        <item x="117"/>
        <item x="155"/>
        <item x="173"/>
        <item x="68"/>
        <item x="86"/>
        <item x="112"/>
        <item x="288"/>
        <item x="83"/>
        <item x="65"/>
        <item x="290"/>
        <item x="108"/>
        <item x="192"/>
        <item x="194"/>
        <item x="17"/>
        <item x="276"/>
        <item x="209"/>
        <item x="239"/>
        <item x="254"/>
        <item x="256"/>
        <item x="111"/>
        <item x="247"/>
        <item x="232"/>
        <item x="231"/>
        <item x="246"/>
        <item x="271"/>
        <item x="154"/>
        <item x="172"/>
        <item x="265"/>
        <item x="115"/>
        <item x="280"/>
        <item x="7"/>
        <item x="206"/>
        <item x="118"/>
        <item x="164"/>
        <item x="182"/>
        <item x="216"/>
        <item x="127"/>
        <item x="211"/>
        <item x="116"/>
        <item x="143"/>
        <item x="140"/>
        <item x="189"/>
        <item x="10"/>
        <item x="97"/>
        <item x="102"/>
        <item x="277"/>
        <item x="186"/>
        <item x="266"/>
        <item x="188"/>
        <item x="236"/>
        <item x="251"/>
        <item x="27"/>
        <item x="185"/>
        <item x="93"/>
        <item x="75"/>
        <item x="16"/>
        <item x="175"/>
        <item x="157"/>
        <item x="208"/>
        <item x="72"/>
        <item x="90"/>
        <item x="114"/>
        <item x="283"/>
        <item x="272"/>
        <item x="6"/>
        <item x="281"/>
        <item x="20"/>
        <item x="229"/>
        <item x="244"/>
        <item x="24"/>
        <item x="84"/>
        <item x="66"/>
        <item x="181"/>
        <item x="163"/>
        <item x="237"/>
        <item x="252"/>
        <item x="9"/>
        <item x="287"/>
        <item x="30"/>
        <item x="269"/>
        <item x="263"/>
        <item x="31"/>
        <item x="273"/>
        <item x="264"/>
        <item x="33"/>
        <item x="23"/>
        <item x="43"/>
        <item x="213"/>
        <item x="39"/>
        <item x="212"/>
        <item x="28"/>
        <item x="25"/>
        <item x="29"/>
        <item x="119"/>
        <item x="162"/>
        <item x="180"/>
        <item x="36"/>
        <item x="40"/>
        <item x="59"/>
        <item x="77"/>
        <item x="46"/>
        <item x="198"/>
        <item x="202"/>
        <item x="2"/>
        <item x="38"/>
        <item x="234"/>
        <item x="249"/>
        <item x="35"/>
        <item x="45"/>
        <item x="123"/>
        <item x="135"/>
        <item x="62"/>
        <item x="80"/>
        <item x="152"/>
        <item x="170"/>
        <item x="105"/>
        <item x="153"/>
        <item x="106"/>
        <item x="171"/>
        <item x="218"/>
        <item x="107"/>
        <item x="215"/>
        <item x="51"/>
        <item x="70"/>
        <item x="221"/>
        <item x="88"/>
        <item x="235"/>
        <item x="250"/>
        <item x="4"/>
        <item x="217"/>
        <item x="214"/>
        <item x="96"/>
        <item x="220"/>
        <item x="228"/>
        <item x="53"/>
        <item x="243"/>
        <item x="101"/>
        <item x="34"/>
        <item x="44"/>
        <item x="94"/>
        <item x="99"/>
        <item x="124"/>
        <item x="136"/>
        <item x="63"/>
        <item x="81"/>
        <item x="37"/>
        <item x="32"/>
        <item x="42"/>
        <item x="60"/>
        <item x="1"/>
        <item x="78"/>
        <item x="126"/>
        <item x="138"/>
        <item x="130"/>
        <item x="151"/>
        <item x="169"/>
        <item x="224"/>
        <item x="145"/>
        <item x="5"/>
        <item x="121"/>
        <item x="133"/>
        <item x="0"/>
        <item x="150"/>
        <item x="168"/>
        <item x="226"/>
        <item x="242"/>
        <item x="223"/>
        <item x="12"/>
        <item x="233"/>
        <item x="248"/>
        <item x="8"/>
        <item x="161"/>
        <item x="195"/>
        <item x="197"/>
        <item x="179"/>
        <item x="201"/>
        <item x="193"/>
        <item x="196"/>
        <item x="200"/>
        <item x="147"/>
        <item x="22"/>
        <item x="71"/>
        <item x="89"/>
        <item x="19"/>
        <item x="69"/>
        <item x="87"/>
        <item x="225"/>
        <item x="210"/>
        <item x="219"/>
        <item x="241"/>
        <item x="205"/>
        <item x="122"/>
        <item x="134"/>
        <item x="15"/>
        <item x="14"/>
        <item x="61"/>
        <item x="79"/>
        <item x="110"/>
        <item x="13"/>
        <item x="146"/>
        <item x="129"/>
        <item x="11"/>
        <item x="125"/>
        <item x="137"/>
        <item x="160"/>
        <item x="178"/>
        <item x="148"/>
        <item x="109"/>
        <item x="128"/>
        <item x="120"/>
        <item x="132"/>
        <item x="58"/>
        <item x="52"/>
        <item x="76"/>
        <item x="41"/>
        <item x="149"/>
        <item x="131"/>
        <item x="167"/>
        <item x="104"/>
        <item x="26"/>
        <item t="default"/>
      </items>
    </pivotField>
    <pivotField dataField="1" compact="0" outline="0" multipleItemSelectionAllowed="1" showAll="0">
      <items count="346">
        <item x="1"/>
        <item x="303"/>
        <item x="342"/>
        <item x="319"/>
        <item x="51"/>
        <item x="61"/>
        <item x="157"/>
        <item x="202"/>
        <item x="257"/>
        <item x="181"/>
        <item x="49"/>
        <item x="59"/>
        <item x="224"/>
        <item x="70"/>
        <item x="90"/>
        <item x="343"/>
        <item x="209"/>
        <item x="223"/>
        <item x="158"/>
        <item x="218"/>
        <item x="296"/>
        <item x="279"/>
        <item x="203"/>
        <item x="182"/>
        <item x="315"/>
        <item x="210"/>
        <item x="255"/>
        <item x="344"/>
        <item x="180"/>
        <item x="201"/>
        <item x="300"/>
        <item x="50"/>
        <item x="60"/>
        <item x="48"/>
        <item x="106"/>
        <item x="58"/>
        <item x="72"/>
        <item x="92"/>
        <item x="114"/>
        <item x="109"/>
        <item x="117"/>
        <item x="171"/>
        <item x="192"/>
        <item x="46"/>
        <item x="341"/>
        <item x="57"/>
        <item x="314"/>
        <item x="14"/>
        <item x="173"/>
        <item x="194"/>
        <item x="156"/>
        <item x="317"/>
        <item x="327"/>
        <item x="301"/>
        <item x="324"/>
        <item x="80"/>
        <item x="100"/>
        <item x="313"/>
        <item x="206"/>
        <item x="323"/>
        <item x="332"/>
        <item x="316"/>
        <item x="73"/>
        <item x="108"/>
        <item x="93"/>
        <item x="234"/>
        <item x="302"/>
        <item x="298"/>
        <item x="155"/>
        <item x="116"/>
        <item x="335"/>
        <item x="334"/>
        <item x="256"/>
        <item x="230"/>
        <item x="277"/>
        <item x="294"/>
        <item x="329"/>
        <item x="336"/>
        <item x="278"/>
        <item x="295"/>
        <item x="328"/>
        <item x="254"/>
        <item x="128"/>
        <item x="69"/>
        <item x="89"/>
        <item x="174"/>
        <item x="195"/>
        <item x="339"/>
        <item x="338"/>
        <item x="68"/>
        <item x="137"/>
        <item x="88"/>
        <item x="340"/>
        <item x="269"/>
        <item x="286"/>
        <item x="138"/>
        <item x="122"/>
        <item x="103"/>
        <item x="214"/>
        <item x="221"/>
        <item x="170"/>
        <item x="191"/>
        <item x="111"/>
        <item x="21"/>
        <item x="23"/>
        <item x="15"/>
        <item x="307"/>
        <item x="299"/>
        <item x="18"/>
        <item x="325"/>
        <item x="227"/>
        <item x="169"/>
        <item x="190"/>
        <item x="134"/>
        <item x="330"/>
        <item x="288"/>
        <item x="271"/>
        <item x="235"/>
        <item x="99"/>
        <item x="79"/>
        <item x="131"/>
        <item x="320"/>
        <item x="127"/>
        <item x="287"/>
        <item x="270"/>
        <item x="81"/>
        <item x="101"/>
        <item x="133"/>
        <item x="179"/>
        <item x="200"/>
        <item x="12"/>
        <item x="297"/>
        <item x="262"/>
        <item x="161"/>
        <item x="19"/>
        <item x="144"/>
        <item x="154"/>
        <item x="208"/>
        <item x="268"/>
        <item x="285"/>
        <item x="24"/>
        <item x="147"/>
        <item x="107"/>
        <item x="115"/>
        <item x="13"/>
        <item x="308"/>
        <item x="326"/>
        <item x="205"/>
        <item x="16"/>
        <item x="78"/>
        <item x="98"/>
        <item x="207"/>
        <item x="275"/>
        <item x="292"/>
        <item x="130"/>
        <item x="193"/>
        <item x="172"/>
        <item x="309"/>
        <item x="27"/>
        <item x="17"/>
        <item x="40"/>
        <item x="143"/>
        <item x="331"/>
        <item x="153"/>
        <item x="28"/>
        <item x="41"/>
        <item x="204"/>
        <item x="132"/>
        <item x="333"/>
        <item x="321"/>
        <item x="146"/>
        <item x="228"/>
        <item x="20"/>
        <item x="310"/>
        <item x="91"/>
        <item x="142"/>
        <item x="71"/>
        <item x="152"/>
        <item x="337"/>
        <item x="148"/>
        <item x="199"/>
        <item x="178"/>
        <item x="243"/>
        <item x="253"/>
        <item x="211"/>
        <item x="246"/>
        <item x="304"/>
        <item x="305"/>
        <item x="233"/>
        <item x="276"/>
        <item x="293"/>
        <item x="318"/>
        <item x="141"/>
        <item x="151"/>
        <item x="322"/>
        <item x="236"/>
        <item x="136"/>
        <item x="231"/>
        <item x="312"/>
        <item x="232"/>
        <item x="177"/>
        <item x="229"/>
        <item x="198"/>
        <item x="237"/>
        <item x="311"/>
        <item x="139"/>
        <item x="135"/>
        <item x="217"/>
        <item x="222"/>
        <item x="0"/>
        <item x="66"/>
        <item x="86"/>
        <item x="165"/>
        <item x="186"/>
        <item x="140"/>
        <item x="150"/>
        <item x="145"/>
        <item x="32"/>
        <item x="44"/>
        <item x="36"/>
        <item x="119"/>
        <item x="167"/>
        <item x="120"/>
        <item x="188"/>
        <item x="121"/>
        <item x="34"/>
        <item x="30"/>
        <item x="273"/>
        <item x="42"/>
        <item x="290"/>
        <item x="274"/>
        <item x="291"/>
        <item x="3"/>
        <item x="104"/>
        <item x="112"/>
        <item x="241"/>
        <item x="251"/>
        <item x="239"/>
        <item x="249"/>
        <item x="265"/>
        <item x="76"/>
        <item x="282"/>
        <item x="96"/>
        <item x="53"/>
        <item x="67"/>
        <item x="87"/>
        <item x="26"/>
        <item x="39"/>
        <item x="240"/>
        <item x="250"/>
        <item x="4"/>
        <item x="258"/>
        <item x="168"/>
        <item x="189"/>
        <item x="64"/>
        <item x="84"/>
        <item x="63"/>
        <item x="83"/>
        <item x="47"/>
        <item x="164"/>
        <item x="5"/>
        <item x="105"/>
        <item x="113"/>
        <item x="45"/>
        <item x="56"/>
        <item x="185"/>
        <item x="267"/>
        <item x="284"/>
        <item x="259"/>
        <item x="55"/>
        <item x="266"/>
        <item x="283"/>
        <item x="2"/>
        <item x="29"/>
        <item x="163"/>
        <item x="184"/>
        <item x="264"/>
        <item x="281"/>
        <item x="9"/>
        <item x="31"/>
        <item x="43"/>
        <item x="102"/>
        <item x="110"/>
        <item x="242"/>
        <item x="245"/>
        <item x="7"/>
        <item x="252"/>
        <item x="213"/>
        <item x="216"/>
        <item x="238"/>
        <item x="244"/>
        <item x="220"/>
        <item x="212"/>
        <item x="215"/>
        <item x="248"/>
        <item x="176"/>
        <item x="75"/>
        <item x="219"/>
        <item x="95"/>
        <item x="197"/>
        <item x="124"/>
        <item x="261"/>
        <item x="77"/>
        <item x="97"/>
        <item x="260"/>
        <item x="225"/>
        <item x="25"/>
        <item x="38"/>
        <item x="159"/>
        <item x="35"/>
        <item x="22"/>
        <item x="52"/>
        <item x="226"/>
        <item x="166"/>
        <item x="187"/>
        <item x="74"/>
        <item x="94"/>
        <item x="306"/>
        <item x="11"/>
        <item x="33"/>
        <item x="272"/>
        <item x="289"/>
        <item x="125"/>
        <item x="129"/>
        <item x="10"/>
        <item x="8"/>
        <item x="175"/>
        <item x="160"/>
        <item x="263"/>
        <item x="196"/>
        <item x="247"/>
        <item x="280"/>
        <item x="126"/>
        <item x="65"/>
        <item x="85"/>
        <item x="123"/>
        <item x="162"/>
        <item x="149"/>
        <item x="183"/>
        <item x="62"/>
        <item x="82"/>
        <item x="54"/>
        <item x="37"/>
        <item x="118"/>
        <item x="6"/>
        <item t="default"/>
      </items>
    </pivotField>
    <pivotField dataField="1" compact="0" outline="0" multipleItemSelectionAllowed="1" showAll="0">
      <items count="361">
        <item x="3"/>
        <item x="221"/>
        <item x="322"/>
        <item x="276"/>
        <item x="85"/>
        <item x="63"/>
        <item x="220"/>
        <item x="150"/>
        <item x="46"/>
        <item x="50"/>
        <item x="358"/>
        <item x="47"/>
        <item x="151"/>
        <item x="103"/>
        <item x="112"/>
        <item x="235"/>
        <item x="227"/>
        <item x="201"/>
        <item x="239"/>
        <item x="178"/>
        <item x="60"/>
        <item x="82"/>
        <item x="315"/>
        <item x="357"/>
        <item x="298"/>
        <item x="208"/>
        <item x="206"/>
        <item x="275"/>
        <item x="42"/>
        <item x="209"/>
        <item x="359"/>
        <item x="176"/>
        <item x="199"/>
        <item x="165"/>
        <item x="188"/>
        <item x="319"/>
        <item x="39"/>
        <item x="99"/>
        <item x="62"/>
        <item x="84"/>
        <item x="167"/>
        <item x="190"/>
        <item x="108"/>
        <item x="17"/>
        <item x="102"/>
        <item x="111"/>
        <item x="346"/>
        <item x="333"/>
        <item x="341"/>
        <item x="343"/>
        <item x="356"/>
        <item x="342"/>
        <item x="246"/>
        <item x="320"/>
        <item x="71"/>
        <item x="338"/>
        <item x="93"/>
        <item x="168"/>
        <item x="191"/>
        <item x="353"/>
        <item x="352"/>
        <item x="327"/>
        <item x="204"/>
        <item x="314"/>
        <item x="297"/>
        <item x="337"/>
        <item x="64"/>
        <item x="86"/>
        <item x="296"/>
        <item x="313"/>
        <item x="354"/>
        <item x="101"/>
        <item x="110"/>
        <item x="121"/>
        <item x="349"/>
        <item x="348"/>
        <item x="350"/>
        <item x="274"/>
        <item x="164"/>
        <item x="187"/>
        <item x="59"/>
        <item x="81"/>
        <item x="30"/>
        <item x="305"/>
        <item x="288"/>
        <item x="355"/>
        <item x="273"/>
        <item x="26"/>
        <item x="58"/>
        <item x="80"/>
        <item x="163"/>
        <item x="186"/>
        <item x="243"/>
        <item x="117"/>
        <item x="223"/>
        <item x="233"/>
        <item x="96"/>
        <item x="18"/>
        <item x="105"/>
        <item x="152"/>
        <item x="325"/>
        <item x="149"/>
        <item x="21"/>
        <item x="329"/>
        <item x="129"/>
        <item x="122"/>
        <item x="175"/>
        <item x="198"/>
        <item x="321"/>
        <item x="262"/>
        <item x="258"/>
        <item x="271"/>
        <item x="230"/>
        <item x="238"/>
        <item x="200"/>
        <item x="177"/>
        <item x="317"/>
        <item x="306"/>
        <item x="289"/>
        <item x="119"/>
        <item x="128"/>
        <item x="92"/>
        <item x="70"/>
        <item x="23"/>
        <item x="125"/>
        <item x="72"/>
        <item x="94"/>
        <item x="120"/>
        <item x="253"/>
        <item x="281"/>
        <item x="155"/>
        <item x="266"/>
        <item x="287"/>
        <item x="304"/>
        <item x="16"/>
        <item x="345"/>
        <item x="272"/>
        <item x="207"/>
        <item x="6"/>
        <item x="100"/>
        <item x="109"/>
        <item x="307"/>
        <item x="261"/>
        <item x="290"/>
        <item x="330"/>
        <item x="257"/>
        <item x="340"/>
        <item x="203"/>
        <item x="270"/>
        <item x="69"/>
        <item x="91"/>
        <item x="124"/>
        <item x="205"/>
        <item x="294"/>
        <item x="311"/>
        <item x="135"/>
        <item x="145"/>
        <item x="141"/>
        <item x="20"/>
        <item x="326"/>
        <item x="331"/>
        <item x="38"/>
        <item x="41"/>
        <item x="45"/>
        <item x="328"/>
        <item x="40"/>
        <item x="54"/>
        <item x="244"/>
        <item x="37"/>
        <item x="344"/>
        <item x="76"/>
        <item x="44"/>
        <item x="19"/>
        <item x="318"/>
        <item x="335"/>
        <item x="24"/>
        <item x="197"/>
        <item x="174"/>
        <item x="339"/>
        <item x="127"/>
        <item x="254"/>
        <item x="267"/>
        <item x="189"/>
        <item x="166"/>
        <item x="247"/>
        <item x="83"/>
        <item x="61"/>
        <item x="173"/>
        <item x="196"/>
        <item x="316"/>
        <item x="240"/>
        <item x="202"/>
        <item x="334"/>
        <item x="323"/>
        <item x="249"/>
        <item x="324"/>
        <item x="351"/>
        <item x="34"/>
        <item x="237"/>
        <item x="229"/>
        <item x="36"/>
        <item x="295"/>
        <item x="312"/>
        <item x="250"/>
        <item x="245"/>
        <item x="32"/>
        <item x="29"/>
        <item x="347"/>
        <item x="28"/>
        <item x="33"/>
        <item x="35"/>
        <item x="248"/>
        <item x="133"/>
        <item x="132"/>
        <item x="131"/>
        <item x="226"/>
        <item x="234"/>
        <item x="2"/>
        <item x="336"/>
        <item x="332"/>
        <item x="56"/>
        <item x="78"/>
        <item x="171"/>
        <item x="159"/>
        <item x="194"/>
        <item x="182"/>
        <item x="114"/>
        <item x="252"/>
        <item x="265"/>
        <item x="161"/>
        <item x="214"/>
        <item x="211"/>
        <item x="115"/>
        <item x="184"/>
        <item x="218"/>
        <item x="116"/>
        <item x="277"/>
        <item x="1"/>
        <item x="97"/>
        <item x="293"/>
        <item x="310"/>
        <item x="106"/>
        <item x="292"/>
        <item x="309"/>
        <item x="67"/>
        <item x="89"/>
        <item x="212"/>
        <item x="215"/>
        <item x="219"/>
        <item x="57"/>
        <item x="284"/>
        <item x="79"/>
        <item x="301"/>
        <item x="4"/>
        <item x="162"/>
        <item x="185"/>
        <item x="53"/>
        <item x="75"/>
        <item x="5"/>
        <item x="98"/>
        <item x="107"/>
        <item x="255"/>
        <item x="268"/>
        <item x="52"/>
        <item x="210"/>
        <item x="213"/>
        <item x="74"/>
        <item x="217"/>
        <item x="158"/>
        <item x="137"/>
        <item x="140"/>
        <item x="181"/>
        <item x="147"/>
        <item x="49"/>
        <item x="278"/>
        <item x="0"/>
        <item x="285"/>
        <item x="302"/>
        <item x="157"/>
        <item x="25"/>
        <item x="180"/>
        <item x="256"/>
        <item x="269"/>
        <item x="15"/>
        <item x="260"/>
        <item x="95"/>
        <item x="251"/>
        <item x="104"/>
        <item x="264"/>
        <item x="259"/>
        <item x="10"/>
        <item x="283"/>
        <item x="300"/>
        <item x="170"/>
        <item x="66"/>
        <item x="88"/>
        <item x="193"/>
        <item x="7"/>
        <item x="286"/>
        <item x="138"/>
        <item x="303"/>
        <item x="148"/>
        <item x="142"/>
        <item x="68"/>
        <item x="172"/>
        <item x="90"/>
        <item x="195"/>
        <item x="8"/>
        <item x="222"/>
        <item x="228"/>
        <item x="236"/>
        <item x="13"/>
        <item x="279"/>
        <item x="27"/>
        <item x="225"/>
        <item x="65"/>
        <item x="216"/>
        <item x="224"/>
        <item x="232"/>
        <item x="87"/>
        <item x="241"/>
        <item x="231"/>
        <item x="136"/>
        <item x="146"/>
        <item x="130"/>
        <item x="280"/>
        <item x="134"/>
        <item x="144"/>
        <item x="139"/>
        <item x="22"/>
        <item x="126"/>
        <item x="12"/>
        <item x="154"/>
        <item x="123"/>
        <item x="55"/>
        <item x="77"/>
        <item x="14"/>
        <item x="291"/>
        <item x="308"/>
        <item x="11"/>
        <item x="118"/>
        <item x="169"/>
        <item x="9"/>
        <item x="192"/>
        <item x="153"/>
        <item x="282"/>
        <item x="160"/>
        <item x="242"/>
        <item x="183"/>
        <item x="299"/>
        <item x="263"/>
        <item x="51"/>
        <item x="73"/>
        <item x="48"/>
        <item x="43"/>
        <item x="156"/>
        <item x="143"/>
        <item x="179"/>
        <item x="113"/>
        <item x="31"/>
        <item t="default"/>
      </items>
    </pivotField>
    <pivotField dataField="1" compact="0" outline="0" multipleItemSelectionAllowed="1" showAll="0">
      <items count="380">
        <item x="2"/>
        <item x="340"/>
        <item x="339"/>
        <item x="170"/>
        <item x="106"/>
        <item x="84"/>
        <item x="264"/>
        <item x="239"/>
        <item x="262"/>
        <item x="226"/>
        <item x="124"/>
        <item x="133"/>
        <item x="257"/>
        <item x="247"/>
        <item x="221"/>
        <item x="198"/>
        <item x="263"/>
        <item x="305"/>
        <item x="323"/>
        <item x="61"/>
        <item x="376"/>
        <item x="62"/>
        <item x="69"/>
        <item x="230"/>
        <item x="291"/>
        <item x="292"/>
        <item x="228"/>
        <item x="338"/>
        <item x="231"/>
        <item x="246"/>
        <item x="256"/>
        <item x="185"/>
        <item x="208"/>
        <item x="378"/>
        <item x="169"/>
        <item x="168"/>
        <item x="335"/>
        <item x="77"/>
        <item x="120"/>
        <item x="196"/>
        <item x="219"/>
        <item x="187"/>
        <item x="210"/>
        <item x="83"/>
        <item x="105"/>
        <item x="23"/>
        <item x="273"/>
        <item x="129"/>
        <item x="331"/>
        <item x="313"/>
        <item x="365"/>
        <item x="361"/>
        <item x="167"/>
        <item x="276"/>
        <item x="92"/>
        <item x="114"/>
        <item x="352"/>
        <item x="360"/>
        <item x="371"/>
        <item x="375"/>
        <item x="123"/>
        <item x="132"/>
        <item x="377"/>
        <item x="85"/>
        <item x="107"/>
        <item x="373"/>
        <item x="188"/>
        <item x="211"/>
        <item x="347"/>
        <item x="21"/>
        <item x="311"/>
        <item x="329"/>
        <item x="356"/>
        <item x="122"/>
        <item x="39"/>
        <item x="131"/>
        <item x="367"/>
        <item x="336"/>
        <item x="32"/>
        <item x="369"/>
        <item x="312"/>
        <item x="330"/>
        <item x="81"/>
        <item x="20"/>
        <item x="103"/>
        <item x="184"/>
        <item x="207"/>
        <item x="79"/>
        <item x="101"/>
        <item x="102"/>
        <item x="80"/>
        <item x="275"/>
        <item x="302"/>
        <item x="320"/>
        <item x="138"/>
        <item x="242"/>
        <item x="254"/>
        <item x="224"/>
        <item x="147"/>
        <item x="183"/>
        <item x="350"/>
        <item x="206"/>
        <item x="19"/>
        <item x="227"/>
        <item x="271"/>
        <item x="65"/>
        <item x="117"/>
        <item x="126"/>
        <item x="195"/>
        <item x="49"/>
        <item x="218"/>
        <item x="374"/>
        <item x="29"/>
        <item x="220"/>
        <item x="197"/>
        <item x="251"/>
        <item x="261"/>
        <item x="270"/>
        <item x="303"/>
        <item x="321"/>
        <item x="337"/>
        <item x="362"/>
        <item x="349"/>
        <item x="146"/>
        <item x="63"/>
        <item x="143"/>
        <item x="345"/>
        <item x="372"/>
        <item x="93"/>
        <item x="115"/>
        <item x="70"/>
        <item x="333"/>
        <item x="140"/>
        <item x="60"/>
        <item x="233"/>
        <item x="68"/>
        <item x="364"/>
        <item x="26"/>
        <item x="18"/>
        <item x="175"/>
        <item x="357"/>
        <item x="301"/>
        <item x="319"/>
        <item x="368"/>
        <item x="322"/>
        <item x="304"/>
        <item x="141"/>
        <item x="7"/>
        <item x="113"/>
        <item x="121"/>
        <item x="91"/>
        <item x="130"/>
        <item x="159"/>
        <item x="156"/>
        <item x="166"/>
        <item x="46"/>
        <item x="229"/>
        <item x="90"/>
        <item x="112"/>
        <item x="25"/>
        <item x="235"/>
        <item x="56"/>
        <item x="236"/>
        <item x="359"/>
        <item x="238"/>
        <item x="346"/>
        <item x="225"/>
        <item x="363"/>
        <item x="265"/>
        <item x="285"/>
        <item x="223"/>
        <item x="142"/>
        <item x="272"/>
        <item x="283"/>
        <item x="290"/>
        <item x="348"/>
        <item x="274"/>
        <item x="22"/>
        <item x="104"/>
        <item x="334"/>
        <item x="82"/>
        <item x="354"/>
        <item x="358"/>
        <item x="145"/>
        <item x="194"/>
        <item x="217"/>
        <item x="150"/>
        <item x="209"/>
        <item x="186"/>
        <item x="154"/>
        <item x="232"/>
        <item x="164"/>
        <item x="193"/>
        <item x="216"/>
        <item x="370"/>
        <item x="332"/>
        <item x="30"/>
        <item x="10"/>
        <item x="222"/>
        <item x="38"/>
        <item x="310"/>
        <item x="328"/>
        <item x="153"/>
        <item x="260"/>
        <item x="250"/>
        <item x="163"/>
        <item x="37"/>
        <item x="149"/>
        <item x="277"/>
        <item x="234"/>
        <item x="281"/>
        <item x="279"/>
        <item x="353"/>
        <item x="42"/>
        <item x="366"/>
        <item x="44"/>
        <item x="43"/>
        <item x="36"/>
        <item x="41"/>
        <item x="152"/>
        <item x="148"/>
        <item x="35"/>
        <item x="162"/>
        <item x="278"/>
        <item x="245"/>
        <item x="255"/>
        <item x="282"/>
        <item x="289"/>
        <item x="286"/>
        <item x="1"/>
        <item x="171"/>
        <item x="295"/>
        <item x="341"/>
        <item x="343"/>
        <item x="172"/>
        <item x="309"/>
        <item x="327"/>
        <item x="179"/>
        <item x="202"/>
        <item x="351"/>
        <item x="355"/>
        <item x="47"/>
        <item x="57"/>
        <item x="52"/>
        <item x="76"/>
        <item x="99"/>
        <item x="135"/>
        <item x="191"/>
        <item x="214"/>
        <item x="181"/>
        <item x="136"/>
        <item x="204"/>
        <item x="137"/>
        <item x="342"/>
        <item x="344"/>
        <item x="155"/>
        <item x="165"/>
        <item x="158"/>
        <item x="4"/>
        <item x="118"/>
        <item x="127"/>
        <item x="307"/>
        <item x="325"/>
        <item x="284"/>
        <item x="280"/>
        <item x="151"/>
        <item x="288"/>
        <item x="157"/>
        <item x="161"/>
        <item x="88"/>
        <item x="110"/>
        <item x="249"/>
        <item x="259"/>
        <item x="78"/>
        <item x="100"/>
        <item x="240"/>
        <item x="3"/>
        <item x="308"/>
        <item x="326"/>
        <item x="182"/>
        <item x="205"/>
        <item x="31"/>
        <item x="298"/>
        <item x="316"/>
        <item x="48"/>
        <item x="58"/>
        <item x="6"/>
        <item x="119"/>
        <item x="128"/>
        <item x="74"/>
        <item x="97"/>
        <item x="50"/>
        <item x="59"/>
        <item x="72"/>
        <item x="95"/>
        <item x="53"/>
        <item x="73"/>
        <item x="67"/>
        <item x="96"/>
        <item x="5"/>
        <item x="178"/>
        <item x="201"/>
        <item x="299"/>
        <item x="317"/>
        <item x="45"/>
        <item x="64"/>
        <item x="55"/>
        <item x="0"/>
        <item x="51"/>
        <item x="177"/>
        <item x="200"/>
        <item x="116"/>
        <item x="125"/>
        <item x="12"/>
        <item x="190"/>
        <item x="213"/>
        <item x="9"/>
        <item x="297"/>
        <item x="315"/>
        <item x="300"/>
        <item x="318"/>
        <item x="89"/>
        <item x="192"/>
        <item x="111"/>
        <item x="215"/>
        <item x="34"/>
        <item x="241"/>
        <item x="248"/>
        <item x="258"/>
        <item x="8"/>
        <item x="13"/>
        <item x="244"/>
        <item x="293"/>
        <item x="253"/>
        <item x="14"/>
        <item x="237"/>
        <item x="243"/>
        <item x="87"/>
        <item x="109"/>
        <item x="252"/>
        <item x="28"/>
        <item x="86"/>
        <item x="108"/>
        <item x="294"/>
        <item x="268"/>
        <item x="17"/>
        <item x="33"/>
        <item x="144"/>
        <item x="174"/>
        <item x="75"/>
        <item x="98"/>
        <item x="306"/>
        <item x="27"/>
        <item x="324"/>
        <item x="139"/>
        <item x="24"/>
        <item x="16"/>
        <item x="189"/>
        <item x="173"/>
        <item x="269"/>
        <item x="212"/>
        <item x="180"/>
        <item x="203"/>
        <item x="15"/>
        <item x="267"/>
        <item x="296"/>
        <item x="314"/>
        <item x="287"/>
        <item x="11"/>
        <item x="266"/>
        <item x="71"/>
        <item x="94"/>
        <item x="66"/>
        <item x="176"/>
        <item x="160"/>
        <item x="199"/>
        <item x="54"/>
        <item x="134"/>
        <item x="40"/>
        <item t="default"/>
      </items>
    </pivotField>
    <pivotField dataField="1" compact="0" outline="0" multipleItemSelectionAllowed="1" showAll="0">
      <items count="455">
        <item x="3"/>
        <item x="69"/>
        <item x="76"/>
        <item x="396"/>
        <item x="189"/>
        <item x="114"/>
        <item x="92"/>
        <item x="336"/>
        <item x="292"/>
        <item x="340"/>
        <item x="395"/>
        <item x="339"/>
        <item x="338"/>
        <item x="71"/>
        <item x="78"/>
        <item x="190"/>
        <item x="262"/>
        <item x="283"/>
        <item x="271"/>
        <item x="291"/>
        <item x="132"/>
        <item x="141"/>
        <item x="333"/>
        <item x="289"/>
        <item x="426"/>
        <item x="356"/>
        <item x="377"/>
        <item x="243"/>
        <item x="220"/>
        <item x="290"/>
        <item x="252"/>
        <item x="387"/>
        <item x="366"/>
        <item x="250"/>
        <item x="378"/>
        <item x="357"/>
        <item x="282"/>
        <item x="270"/>
        <item x="394"/>
        <item x="438"/>
        <item x="410"/>
        <item x="405"/>
        <item x="253"/>
        <item x="451"/>
        <item x="300"/>
        <item x="453"/>
        <item x="337"/>
        <item x="91"/>
        <item x="113"/>
        <item x="28"/>
        <item x="85"/>
        <item x="209"/>
        <item x="232"/>
        <item x="128"/>
        <item x="418"/>
        <item x="334"/>
        <item x="386"/>
        <item x="365"/>
        <item x="417"/>
        <item x="137"/>
        <item x="440"/>
        <item x="218"/>
        <item x="241"/>
        <item x="192"/>
        <item x="207"/>
        <item x="230"/>
        <item x="435"/>
        <item x="191"/>
        <item x="335"/>
        <item x="248"/>
        <item x="93"/>
        <item x="115"/>
        <item x="301"/>
        <item x="100"/>
        <item x="122"/>
        <item x="154"/>
        <item x="448"/>
        <item x="163"/>
        <item x="26"/>
        <item x="434"/>
        <item x="210"/>
        <item x="233"/>
        <item x="45"/>
        <item x="131"/>
        <item x="140"/>
        <item x="452"/>
        <item x="430"/>
        <item x="38"/>
        <item x="398"/>
        <item x="130"/>
        <item x="402"/>
        <item x="391"/>
        <item x="139"/>
        <item x="152"/>
        <item x="392"/>
        <item x="444"/>
        <item x="110"/>
        <item x="88"/>
        <item x="188"/>
        <item x="305"/>
        <item x="299"/>
        <item x="416"/>
        <item x="419"/>
        <item x="332"/>
        <item x="414"/>
        <item x="25"/>
        <item x="206"/>
        <item x="229"/>
        <item x="422"/>
        <item x="306"/>
        <item x="146"/>
        <item x="111"/>
        <item x="89"/>
        <item x="446"/>
        <item x="265"/>
        <item x="280"/>
        <item x="276"/>
        <item x="288"/>
        <item x="364"/>
        <item x="385"/>
        <item x="44"/>
        <item x="363"/>
        <item x="384"/>
        <item x="246"/>
        <item x="153"/>
        <item x="249"/>
        <item x="415"/>
        <item x="254"/>
        <item x="125"/>
        <item x="24"/>
        <item x="160"/>
        <item x="205"/>
        <item x="228"/>
        <item x="134"/>
        <item x="242"/>
        <item x="219"/>
        <item x="297"/>
        <item x="101"/>
        <item x="123"/>
        <item x="255"/>
        <item x="353"/>
        <item x="374"/>
        <item x="217"/>
        <item x="240"/>
        <item x="447"/>
        <item x="157"/>
        <item x="35"/>
        <item x="87"/>
        <item x="393"/>
        <item x="109"/>
        <item x="442"/>
        <item x="439"/>
        <item x="23"/>
        <item x="354"/>
        <item x="375"/>
        <item x="389"/>
        <item x="6"/>
        <item x="376"/>
        <item x="355"/>
        <item x="352"/>
        <item x="373"/>
        <item x="57"/>
        <item x="67"/>
        <item x="60"/>
        <item x="32"/>
        <item x="164"/>
        <item x="312"/>
        <item x="436"/>
        <item x="326"/>
        <item x="121"/>
        <item x="99"/>
        <item x="272"/>
        <item x="284"/>
        <item x="150"/>
        <item x="197"/>
        <item x="31"/>
        <item x="22"/>
        <item x="61"/>
        <item x="413"/>
        <item x="55"/>
        <item x="65"/>
        <item x="443"/>
        <item x="151"/>
        <item x="27"/>
        <item x="129"/>
        <item x="138"/>
        <item x="159"/>
        <item x="70"/>
        <item x="68"/>
        <item x="437"/>
        <item x="251"/>
        <item x="268"/>
        <item x="433"/>
        <item x="279"/>
        <item x="407"/>
        <item x="412"/>
        <item x="77"/>
        <item x="156"/>
        <item x="75"/>
        <item x="257"/>
        <item x="298"/>
        <item x="245"/>
        <item x="425"/>
        <item x="351"/>
        <item x="30"/>
        <item x="424"/>
        <item x="112"/>
        <item x="431"/>
        <item x="90"/>
        <item x="372"/>
        <item x="421"/>
        <item x="302"/>
        <item x="247"/>
        <item x="98"/>
        <item x="120"/>
        <item x="158"/>
        <item x="450"/>
        <item x="9"/>
        <item x="428"/>
        <item x="231"/>
        <item x="208"/>
        <item x="216"/>
        <item x="239"/>
        <item x="390"/>
        <item x="432"/>
        <item x="318"/>
        <item x="445"/>
        <item x="420"/>
        <item x="411"/>
        <item x="406"/>
        <item x="323"/>
        <item x="256"/>
        <item x="449"/>
        <item x="215"/>
        <item x="238"/>
        <item x="362"/>
        <item x="383"/>
        <item x="36"/>
        <item x="43"/>
        <item x="315"/>
        <item x="329"/>
        <item x="281"/>
        <item x="269"/>
        <item x="175"/>
        <item x="187"/>
        <item x="10"/>
        <item x="179"/>
        <item x="388"/>
        <item x="49"/>
        <item x="51"/>
        <item x="287"/>
        <item x="275"/>
        <item x="50"/>
        <item x="244"/>
        <item x="166"/>
        <item x="47"/>
        <item x="42"/>
        <item x="40"/>
        <item x="310"/>
        <item x="168"/>
        <item x="441"/>
        <item x="41"/>
        <item x="48"/>
        <item x="309"/>
        <item x="316"/>
        <item x="308"/>
        <item x="165"/>
        <item x="307"/>
        <item x="330"/>
        <item x="162"/>
        <item x="304"/>
        <item x="320"/>
        <item x="167"/>
        <item x="2"/>
        <item x="194"/>
        <item x="345"/>
        <item x="399"/>
        <item x="403"/>
        <item x="172"/>
        <item x="184"/>
        <item x="361"/>
        <item x="382"/>
        <item x="171"/>
        <item x="397"/>
        <item x="183"/>
        <item x="401"/>
        <item x="427"/>
        <item x="84"/>
        <item x="107"/>
        <item x="429"/>
        <item x="143"/>
        <item x="173"/>
        <item x="177"/>
        <item x="170"/>
        <item x="185"/>
        <item x="182"/>
        <item x="342"/>
        <item x="203"/>
        <item x="144"/>
        <item x="226"/>
        <item x="145"/>
        <item x="174"/>
        <item x="186"/>
        <item x="178"/>
        <item x="404"/>
        <item x="409"/>
        <item x="423"/>
        <item x="322"/>
        <item x="317"/>
        <item x="331"/>
        <item x="1"/>
        <item x="54"/>
        <item x="213"/>
        <item x="236"/>
        <item x="126"/>
        <item x="314"/>
        <item x="135"/>
        <item x="201"/>
        <item x="274"/>
        <item x="328"/>
        <item x="224"/>
        <item x="286"/>
        <item x="86"/>
        <item x="108"/>
        <item x="96"/>
        <item x="118"/>
        <item x="313"/>
        <item x="327"/>
        <item x="5"/>
        <item x="321"/>
        <item x="400"/>
        <item x="193"/>
        <item x="408"/>
        <item x="204"/>
        <item x="227"/>
        <item x="37"/>
        <item x="4"/>
        <item x="169"/>
        <item x="181"/>
        <item x="176"/>
        <item x="127"/>
        <item x="136"/>
        <item x="81"/>
        <item x="341"/>
        <item x="104"/>
        <item x="258"/>
        <item x="360"/>
        <item x="259"/>
        <item x="0"/>
        <item x="381"/>
        <item x="261"/>
        <item x="359"/>
        <item x="380"/>
        <item x="74"/>
        <item x="53"/>
        <item x="64"/>
        <item x="147"/>
        <item x="311"/>
        <item x="82"/>
        <item x="200"/>
        <item x="105"/>
        <item x="325"/>
        <item x="223"/>
        <item x="319"/>
        <item x="348"/>
        <item x="369"/>
        <item x="21"/>
        <item x="56"/>
        <item x="124"/>
        <item x="66"/>
        <item x="133"/>
        <item x="59"/>
        <item x="52"/>
        <item x="72"/>
        <item x="63"/>
        <item x="263"/>
        <item x="58"/>
        <item x="349"/>
        <item x="13"/>
        <item x="370"/>
        <item x="199"/>
        <item x="222"/>
        <item x="350"/>
        <item x="371"/>
        <item x="347"/>
        <item x="368"/>
        <item x="97"/>
        <item x="214"/>
        <item x="119"/>
        <item x="237"/>
        <item x="20"/>
        <item x="264"/>
        <item x="212"/>
        <item x="235"/>
        <item x="80"/>
        <item x="103"/>
        <item x="12"/>
        <item x="7"/>
        <item x="267"/>
        <item x="278"/>
        <item x="16"/>
        <item x="95"/>
        <item x="117"/>
        <item x="8"/>
        <item x="14"/>
        <item x="273"/>
        <item x="285"/>
        <item x="34"/>
        <item x="344"/>
        <item x="303"/>
        <item x="343"/>
        <item x="294"/>
        <item x="260"/>
        <item x="266"/>
        <item x="277"/>
        <item x="18"/>
        <item x="83"/>
        <item x="39"/>
        <item x="106"/>
        <item x="196"/>
        <item x="161"/>
        <item x="94"/>
        <item x="116"/>
        <item x="358"/>
        <item x="379"/>
        <item x="33"/>
        <item x="148"/>
        <item x="202"/>
        <item x="225"/>
        <item x="295"/>
        <item x="211"/>
        <item x="234"/>
        <item x="29"/>
        <item x="17"/>
        <item x="195"/>
        <item x="155"/>
        <item x="19"/>
        <item x="15"/>
        <item x="149"/>
        <item x="296"/>
        <item x="346"/>
        <item x="11"/>
        <item x="367"/>
        <item x="324"/>
        <item x="293"/>
        <item x="79"/>
        <item x="102"/>
        <item x="73"/>
        <item x="198"/>
        <item x="180"/>
        <item x="221"/>
        <item x="62"/>
        <item x="142"/>
        <item x="46"/>
        <item t="default"/>
      </items>
    </pivotField>
    <pivotField dataField="1" compact="0" outline="0" multipleItemSelectionAllowed="1" showAll="0">
      <items count="491">
        <item x="2"/>
        <item x="368"/>
        <item x="430"/>
        <item x="119"/>
        <item x="97"/>
        <item x="326"/>
        <item x="207"/>
        <item x="285"/>
        <item x="137"/>
        <item x="146"/>
        <item x="387"/>
        <item x="410"/>
        <item x="208"/>
        <item x="257"/>
        <item x="234"/>
        <item x="73"/>
        <item x="83"/>
        <item x="312"/>
        <item x="296"/>
        <item x="420"/>
        <item x="398"/>
        <item x="324"/>
        <item x="325"/>
        <item x="298"/>
        <item x="314"/>
        <item x="411"/>
        <item x="266"/>
        <item x="388"/>
        <item x="153"/>
        <item x="323"/>
        <item x="264"/>
        <item x="322"/>
        <item x="306"/>
        <item x="474"/>
        <item x="332"/>
        <item x="267"/>
        <item x="487"/>
        <item x="27"/>
        <item x="419"/>
        <item x="397"/>
        <item x="489"/>
        <item x="426"/>
        <item x="369"/>
        <item x="90"/>
        <item x="468"/>
        <item x="96"/>
        <item x="118"/>
        <item x="476"/>
        <item x="72"/>
        <item x="232"/>
        <item x="255"/>
        <item x="342"/>
        <item x="82"/>
        <item x="333"/>
        <item x="471"/>
        <item x="98"/>
        <item x="120"/>
        <item x="428"/>
        <item x="223"/>
        <item x="246"/>
        <item x="170"/>
        <item x="44"/>
        <item x="69"/>
        <item x="71"/>
        <item x="458"/>
        <item x="81"/>
        <item x="221"/>
        <item x="244"/>
        <item x="224"/>
        <item x="247"/>
        <item x="484"/>
        <item x="79"/>
        <item x="105"/>
        <item x="127"/>
        <item x="470"/>
        <item x="370"/>
        <item x="262"/>
        <item x="488"/>
        <item x="429"/>
        <item x="36"/>
        <item x="161"/>
        <item x="157"/>
        <item x="180"/>
        <item x="136"/>
        <item x="145"/>
        <item x="465"/>
        <item x="169"/>
        <item x="26"/>
        <item x="424"/>
        <item x="206"/>
        <item x="133"/>
        <item x="425"/>
        <item x="480"/>
        <item x="367"/>
        <item x="449"/>
        <item x="439"/>
        <item x="142"/>
        <item x="205"/>
        <item x="268"/>
        <item x="305"/>
        <item x="321"/>
        <item x="150"/>
        <item x="25"/>
        <item x="179"/>
        <item x="93"/>
        <item x="115"/>
        <item x="220"/>
        <item x="243"/>
        <item x="116"/>
        <item x="94"/>
        <item x="70"/>
        <item x="459"/>
        <item x="331"/>
        <item x="80"/>
        <item x="149"/>
        <item x="135"/>
        <item x="152"/>
        <item x="168"/>
        <item x="482"/>
        <item x="144"/>
        <item x="24"/>
        <item x="395"/>
        <item x="417"/>
        <item x="396"/>
        <item x="418"/>
        <item x="175"/>
        <item x="162"/>
        <item x="366"/>
        <item x="263"/>
        <item x="181"/>
        <item x="256"/>
        <item x="233"/>
        <item x="106"/>
        <item x="128"/>
        <item x="338"/>
        <item x="384"/>
        <item x="407"/>
        <item x="33"/>
        <item x="329"/>
        <item x="315"/>
        <item x="299"/>
        <item x="68"/>
        <item x="219"/>
        <item x="242"/>
        <item x="78"/>
        <item x="231"/>
        <item x="7"/>
        <item x="254"/>
        <item x="483"/>
        <item x="444"/>
        <item x="454"/>
        <item x="270"/>
        <item x="427"/>
        <item x="478"/>
        <item x="300"/>
        <item x="316"/>
        <item x="192"/>
        <item x="130"/>
        <item x="30"/>
        <item x="204"/>
        <item x="385"/>
        <item x="408"/>
        <item x="334"/>
        <item x="383"/>
        <item x="406"/>
        <item x="475"/>
        <item x="139"/>
        <item x="23"/>
        <item x="196"/>
        <item x="260"/>
        <item x="172"/>
        <item x="92"/>
        <item x="114"/>
        <item x="472"/>
        <item x="126"/>
        <item x="104"/>
        <item x="167"/>
        <item x="335"/>
        <item x="211"/>
        <item x="273"/>
        <item x="281"/>
        <item x="457"/>
        <item x="479"/>
        <item x="409"/>
        <item x="386"/>
        <item x="22"/>
        <item x="134"/>
        <item x="143"/>
        <item x="422"/>
        <item x="473"/>
        <item x="265"/>
        <item x="293"/>
        <item x="446"/>
        <item x="456"/>
        <item x="469"/>
        <item x="309"/>
        <item x="274"/>
        <item x="171"/>
        <item x="282"/>
        <item x="117"/>
        <item x="95"/>
        <item x="6"/>
        <item x="330"/>
        <item x="259"/>
        <item x="455"/>
        <item x="445"/>
        <item x="381"/>
        <item x="174"/>
        <item x="466"/>
        <item x="404"/>
        <item x="29"/>
        <item x="269"/>
        <item x="261"/>
        <item x="191"/>
        <item x="432"/>
        <item x="336"/>
        <item x="195"/>
        <item x="203"/>
        <item x="103"/>
        <item x="125"/>
        <item x="436"/>
        <item x="486"/>
        <item x="245"/>
        <item x="222"/>
        <item x="349"/>
        <item x="43"/>
        <item x="361"/>
        <item x="463"/>
        <item x="303"/>
        <item x="319"/>
        <item x="467"/>
        <item x="297"/>
        <item x="313"/>
        <item x="230"/>
        <item x="253"/>
        <item x="393"/>
        <item x="54"/>
        <item x="65"/>
        <item x="481"/>
        <item x="10"/>
        <item x="485"/>
        <item x="229"/>
        <item x="252"/>
        <item x="271"/>
        <item x="60"/>
        <item x="337"/>
        <item x="394"/>
        <item x="416"/>
        <item x="148"/>
        <item x="382"/>
        <item x="287"/>
        <item x="405"/>
        <item x="188"/>
        <item x="48"/>
        <item x="34"/>
        <item x="423"/>
        <item x="200"/>
        <item x="42"/>
        <item x="341"/>
        <item x="460"/>
        <item x="344"/>
        <item x="290"/>
        <item x="345"/>
        <item x="49"/>
        <item x="41"/>
        <item x="46"/>
        <item x="304"/>
        <item x="320"/>
        <item x="47"/>
        <item x="40"/>
        <item x="343"/>
        <item x="440"/>
        <item x="450"/>
        <item x="477"/>
        <item x="433"/>
        <item x="340"/>
        <item x="50"/>
        <item x="178"/>
        <item x="356"/>
        <item x="437"/>
        <item x="185"/>
        <item x="183"/>
        <item x="156"/>
        <item x="160"/>
        <item x="184"/>
        <item x="421"/>
        <item x="346"/>
        <item x="182"/>
        <item x="177"/>
        <item x="348"/>
        <item x="360"/>
        <item x="258"/>
        <item x="441"/>
        <item x="5"/>
        <item x="451"/>
        <item x="357"/>
        <item x="59"/>
        <item x="56"/>
        <item x="67"/>
        <item x="353"/>
        <item x="365"/>
        <item x="375"/>
        <item x="189"/>
        <item x="201"/>
        <item x="392"/>
        <item x="415"/>
        <item x="350"/>
        <item x="53"/>
        <item x="362"/>
        <item x="64"/>
        <item x="431"/>
        <item x="435"/>
        <item x="462"/>
        <item x="464"/>
        <item x="443"/>
        <item x="151"/>
        <item x="453"/>
        <item x="155"/>
        <item x="187"/>
        <item x="159"/>
        <item x="199"/>
        <item x="154"/>
        <item x="158"/>
        <item x="442"/>
        <item x="452"/>
        <item x="461"/>
        <item x="3"/>
        <item x="89"/>
        <item x="112"/>
        <item x="74"/>
        <item x="75"/>
        <item x="302"/>
        <item x="131"/>
        <item x="52"/>
        <item x="318"/>
        <item x="63"/>
        <item x="227"/>
        <item x="250"/>
        <item x="140"/>
        <item x="372"/>
        <item x="91"/>
        <item x="113"/>
        <item x="55"/>
        <item x="217"/>
        <item x="190"/>
        <item x="66"/>
        <item x="240"/>
        <item x="202"/>
        <item x="58"/>
        <item x="194"/>
        <item x="1"/>
        <item x="215"/>
        <item x="218"/>
        <item x="238"/>
        <item x="241"/>
        <item x="101"/>
        <item x="123"/>
        <item x="186"/>
        <item x="198"/>
        <item x="193"/>
        <item x="4"/>
        <item x="438"/>
        <item x="275"/>
        <item x="286"/>
        <item x="448"/>
        <item x="283"/>
        <item x="294"/>
        <item x="132"/>
        <item x="141"/>
        <item x="310"/>
        <item x="35"/>
        <item x="276"/>
        <item x="278"/>
        <item x="284"/>
        <item x="351"/>
        <item x="51"/>
        <item x="363"/>
        <item x="434"/>
        <item x="62"/>
        <item x="447"/>
        <item x="57"/>
        <item x="371"/>
        <item x="272"/>
        <item x="277"/>
        <item x="280"/>
        <item x="295"/>
        <item x="0"/>
        <item x="311"/>
        <item x="352"/>
        <item x="364"/>
        <item x="355"/>
        <item x="39"/>
        <item x="390"/>
        <item x="391"/>
        <item x="413"/>
        <item x="86"/>
        <item x="414"/>
        <item x="109"/>
        <item x="87"/>
        <item x="214"/>
        <item x="110"/>
        <item x="237"/>
        <item x="14"/>
        <item x="378"/>
        <item x="129"/>
        <item x="347"/>
        <item x="354"/>
        <item x="401"/>
        <item x="359"/>
        <item x="138"/>
        <item x="77"/>
        <item x="13"/>
        <item x="102"/>
        <item x="228"/>
        <item x="124"/>
        <item x="251"/>
        <item x="38"/>
        <item x="289"/>
        <item x="379"/>
        <item x="377"/>
        <item x="402"/>
        <item x="400"/>
        <item x="213"/>
        <item x="236"/>
        <item x="17"/>
        <item x="226"/>
        <item x="249"/>
        <item x="21"/>
        <item x="288"/>
        <item x="37"/>
        <item x="292"/>
        <item x="308"/>
        <item x="85"/>
        <item x="108"/>
        <item x="380"/>
        <item x="403"/>
        <item x="12"/>
        <item x="100"/>
        <item x="122"/>
        <item x="163"/>
        <item x="9"/>
        <item x="8"/>
        <item x="15"/>
        <item x="374"/>
        <item x="327"/>
        <item x="301"/>
        <item x="88"/>
        <item x="32"/>
        <item x="111"/>
        <item x="317"/>
        <item x="210"/>
        <item x="339"/>
        <item x="19"/>
        <item x="373"/>
        <item x="291"/>
        <item x="279"/>
        <item x="307"/>
        <item x="99"/>
        <item x="121"/>
        <item x="176"/>
        <item x="216"/>
        <item x="239"/>
        <item x="389"/>
        <item x="173"/>
        <item x="412"/>
        <item x="31"/>
        <item x="166"/>
        <item x="225"/>
        <item x="248"/>
        <item x="28"/>
        <item x="209"/>
        <item x="18"/>
        <item x="20"/>
        <item x="165"/>
        <item x="16"/>
        <item x="164"/>
        <item x="11"/>
        <item x="376"/>
        <item x="358"/>
        <item x="399"/>
        <item x="328"/>
        <item x="76"/>
        <item x="84"/>
        <item x="107"/>
        <item x="212"/>
        <item x="197"/>
        <item x="235"/>
        <item x="61"/>
        <item x="147"/>
        <item x="45"/>
        <item t="default"/>
      </items>
    </pivotField>
    <pivotField dataField="1" compact="0" outline="0" multipleItemSelectionAllowed="1" showAll="0">
      <items count="503">
        <item x="1"/>
        <item x="62"/>
        <item x="65"/>
        <item x="426"/>
        <item x="101"/>
        <item x="79"/>
        <item x="149"/>
        <item x="324"/>
        <item x="363"/>
        <item x="364"/>
        <item x="207"/>
        <item x="361"/>
        <item x="209"/>
        <item x="366"/>
        <item x="210"/>
        <item x="383"/>
        <item x="406"/>
        <item x="119"/>
        <item x="128"/>
        <item x="473"/>
        <item x="261"/>
        <item x="238"/>
        <item x="416"/>
        <item x="394"/>
        <item x="310"/>
        <item x="293"/>
        <item x="322"/>
        <item x="323"/>
        <item x="407"/>
        <item x="384"/>
        <item x="295"/>
        <item x="312"/>
        <item x="270"/>
        <item x="321"/>
        <item x="268"/>
        <item x="486"/>
        <item x="320"/>
        <item x="472"/>
        <item x="303"/>
        <item x="332"/>
        <item x="415"/>
        <item x="365"/>
        <item x="29"/>
        <item x="393"/>
        <item x="501"/>
        <item x="422"/>
        <item x="271"/>
        <item x="471"/>
        <item x="166"/>
        <item x="157"/>
        <item x="72"/>
        <item x="362"/>
        <item x="499"/>
        <item x="480"/>
        <item x="208"/>
        <item x="78"/>
        <item x="100"/>
        <item x="333"/>
        <item x="496"/>
        <item x="179"/>
        <item x="463"/>
        <item x="456"/>
        <item x="227"/>
        <item x="250"/>
        <item x="80"/>
        <item x="102"/>
        <item x="150"/>
        <item x="206"/>
        <item x="148"/>
        <item x="186"/>
        <item x="228"/>
        <item x="251"/>
        <item x="483"/>
        <item x="424"/>
        <item x="87"/>
        <item x="109"/>
        <item x="500"/>
        <item x="425"/>
        <item x="236"/>
        <item x="259"/>
        <item x="178"/>
        <item x="266"/>
        <item x="225"/>
        <item x="248"/>
        <item x="445"/>
        <item x="433"/>
        <item x="118"/>
        <item x="127"/>
        <item x="27"/>
        <item x="7"/>
        <item x="420"/>
        <item x="115"/>
        <item x="492"/>
        <item x="421"/>
        <item x="457"/>
        <item x="124"/>
        <item x="40"/>
        <item x="272"/>
        <item x="302"/>
        <item x="319"/>
        <item x="26"/>
        <item x="331"/>
        <item x="276"/>
        <item x="75"/>
        <item x="97"/>
        <item x="177"/>
        <item x="98"/>
        <item x="76"/>
        <item x="477"/>
        <item x="154"/>
        <item x="117"/>
        <item x="163"/>
        <item x="224"/>
        <item x="247"/>
        <item x="28"/>
        <item x="25"/>
        <item x="126"/>
        <item x="495"/>
        <item x="392"/>
        <item x="414"/>
        <item x="454"/>
        <item x="339"/>
        <item x="170"/>
        <item x="267"/>
        <item x="260"/>
        <item x="237"/>
        <item x="277"/>
        <item x="487"/>
        <item x="88"/>
        <item x="110"/>
        <item x="37"/>
        <item x="176"/>
        <item x="391"/>
        <item x="413"/>
        <item x="380"/>
        <item x="403"/>
        <item x="313"/>
        <item x="296"/>
        <item x="223"/>
        <item x="246"/>
        <item x="444"/>
        <item x="432"/>
        <item x="235"/>
        <item x="258"/>
        <item x="131"/>
        <item x="484"/>
        <item x="59"/>
        <item x="58"/>
        <item x="61"/>
        <item x="329"/>
        <item x="494"/>
        <item x="137"/>
        <item x="140"/>
        <item x="381"/>
        <item x="404"/>
        <item x="146"/>
        <item x="274"/>
        <item x="34"/>
        <item x="297"/>
        <item x="314"/>
        <item x="466"/>
        <item x="112"/>
        <item x="24"/>
        <item x="328"/>
        <item x="469"/>
        <item x="121"/>
        <item x="275"/>
        <item x="423"/>
        <item x="74"/>
        <item x="96"/>
        <item x="338"/>
        <item x="485"/>
        <item x="379"/>
        <item x="402"/>
        <item x="455"/>
        <item x="9"/>
        <item x="108"/>
        <item x="488"/>
        <item x="182"/>
        <item x="86"/>
        <item x="175"/>
        <item x="264"/>
        <item x="440"/>
        <item x="452"/>
        <item x="215"/>
        <item x="405"/>
        <item x="382"/>
        <item x="288"/>
        <item x="334"/>
        <item x="305"/>
        <item x="491"/>
        <item x="164"/>
        <item x="468"/>
        <item x="155"/>
        <item x="33"/>
        <item x="451"/>
        <item x="439"/>
        <item x="133"/>
        <item x="116"/>
        <item x="125"/>
        <item x="465"/>
        <item x="23"/>
        <item x="330"/>
        <item x="190"/>
        <item x="181"/>
        <item x="269"/>
        <item x="13"/>
        <item x="201"/>
        <item x="290"/>
        <item x="197"/>
        <item x="481"/>
        <item x="307"/>
        <item x="450"/>
        <item x="438"/>
        <item x="99"/>
        <item x="352"/>
        <item x="77"/>
        <item x="459"/>
        <item x="350"/>
        <item x="418"/>
        <item x="354"/>
        <item x="360"/>
        <item x="130"/>
        <item x="335"/>
        <item x="263"/>
        <item x="349"/>
        <item x="377"/>
        <item x="359"/>
        <item x="478"/>
        <item x="57"/>
        <item x="400"/>
        <item x="273"/>
        <item x="32"/>
        <item x="8"/>
        <item x="490"/>
        <item x="265"/>
        <item x="249"/>
        <item x="226"/>
        <item x="430"/>
        <item x="85"/>
        <item x="442"/>
        <item x="107"/>
        <item x="160"/>
        <item x="169"/>
        <item x="49"/>
        <item x="498"/>
        <item x="475"/>
        <item x="168"/>
        <item x="159"/>
        <item x="464"/>
        <item x="300"/>
        <item x="317"/>
        <item x="479"/>
        <item x="234"/>
        <item x="257"/>
        <item x="294"/>
        <item x="311"/>
        <item x="467"/>
        <item x="389"/>
        <item x="462"/>
        <item x="337"/>
        <item x="54"/>
        <item x="493"/>
        <item x="482"/>
        <item x="367"/>
        <item x="132"/>
        <item x="233"/>
        <item x="46"/>
        <item x="256"/>
        <item x="390"/>
        <item x="412"/>
        <item x="47"/>
        <item x="458"/>
        <item x="156"/>
        <item x="165"/>
        <item x="497"/>
        <item x="53"/>
        <item x="378"/>
        <item x="38"/>
        <item x="401"/>
        <item x="419"/>
        <item x="55"/>
        <item x="434"/>
        <item x="446"/>
        <item x="193"/>
        <item x="51"/>
        <item x="204"/>
        <item x="282"/>
        <item x="44"/>
        <item x="196"/>
        <item x="48"/>
        <item x="348"/>
        <item x="358"/>
        <item x="286"/>
        <item x="56"/>
        <item x="280"/>
        <item x="281"/>
        <item x="301"/>
        <item x="318"/>
        <item x="461"/>
        <item x="136"/>
        <item x="212"/>
        <item x="279"/>
        <item x="191"/>
        <item x="145"/>
        <item x="278"/>
        <item x="202"/>
        <item x="460"/>
        <item x="185"/>
        <item x="45"/>
        <item x="188"/>
        <item x="52"/>
        <item x="341"/>
        <item x="417"/>
        <item x="344"/>
        <item x="343"/>
        <item x="345"/>
        <item x="342"/>
        <item x="340"/>
        <item x="187"/>
        <item x="184"/>
        <item x="3"/>
        <item x="262"/>
        <item x="427"/>
        <item x="429"/>
        <item x="371"/>
        <item x="192"/>
        <item x="203"/>
        <item x="489"/>
        <item x="388"/>
        <item x="411"/>
        <item x="135"/>
        <item x="144"/>
        <item x="194"/>
        <item x="198"/>
        <item x="205"/>
        <item x="211"/>
        <item x="353"/>
        <item x="347"/>
        <item x="357"/>
        <item x="437"/>
        <item x="151"/>
        <item x="449"/>
        <item x="368"/>
        <item x="436"/>
        <item x="448"/>
        <item x="138"/>
        <item x="147"/>
        <item x="141"/>
        <item x="4"/>
        <item x="474"/>
        <item x="71"/>
        <item x="158"/>
        <item x="94"/>
        <item x="167"/>
        <item x="435"/>
        <item x="476"/>
        <item x="447"/>
        <item x="134"/>
        <item x="143"/>
        <item x="139"/>
        <item x="351"/>
        <item x="346"/>
        <item x="189"/>
        <item x="356"/>
        <item x="200"/>
        <item x="195"/>
        <item x="470"/>
        <item x="299"/>
        <item x="113"/>
        <item x="153"/>
        <item x="316"/>
        <item x="162"/>
        <item x="122"/>
        <item x="73"/>
        <item x="95"/>
        <item x="221"/>
        <item x="244"/>
        <item x="5"/>
        <item x="222"/>
        <item x="245"/>
        <item x="83"/>
        <item x="105"/>
        <item x="142"/>
        <item x="231"/>
        <item x="254"/>
        <item x="152"/>
        <item x="12"/>
        <item x="431"/>
        <item x="161"/>
        <item x="443"/>
        <item x="291"/>
        <item x="114"/>
        <item x="123"/>
        <item x="308"/>
        <item x="219"/>
        <item x="39"/>
        <item x="242"/>
        <item x="292"/>
        <item x="2"/>
        <item x="309"/>
        <item x="428"/>
        <item x="441"/>
        <item x="43"/>
        <item x="68"/>
        <item x="91"/>
        <item x="69"/>
        <item x="387"/>
        <item x="92"/>
        <item x="410"/>
        <item x="0"/>
        <item x="111"/>
        <item x="218"/>
        <item x="120"/>
        <item x="241"/>
        <item x="386"/>
        <item x="64"/>
        <item x="409"/>
        <item x="374"/>
        <item x="16"/>
        <item x="397"/>
        <item x="84"/>
        <item x="232"/>
        <item x="106"/>
        <item x="255"/>
        <item x="42"/>
        <item x="285"/>
        <item x="375"/>
        <item x="398"/>
        <item x="11"/>
        <item x="217"/>
        <item x="230"/>
        <item x="240"/>
        <item x="253"/>
        <item x="6"/>
        <item x="373"/>
        <item x="396"/>
        <item x="284"/>
        <item x="19"/>
        <item x="289"/>
        <item x="306"/>
        <item x="67"/>
        <item x="90"/>
        <item x="376"/>
        <item x="399"/>
        <item x="15"/>
        <item x="82"/>
        <item x="104"/>
        <item x="31"/>
        <item x="18"/>
        <item x="171"/>
        <item x="10"/>
        <item x="336"/>
        <item x="298"/>
        <item x="70"/>
        <item x="36"/>
        <item x="93"/>
        <item x="315"/>
        <item x="370"/>
        <item x="453"/>
        <item x="214"/>
        <item x="41"/>
        <item x="369"/>
        <item x="287"/>
        <item x="283"/>
        <item x="304"/>
        <item x="21"/>
        <item x="81"/>
        <item x="103"/>
        <item x="220"/>
        <item x="243"/>
        <item x="385"/>
        <item x="408"/>
        <item x="183"/>
        <item x="35"/>
        <item x="229"/>
        <item x="252"/>
        <item x="174"/>
        <item x="30"/>
        <item x="213"/>
        <item x="327"/>
        <item x="22"/>
        <item x="180"/>
        <item x="173"/>
        <item x="20"/>
        <item x="172"/>
        <item x="326"/>
        <item x="17"/>
        <item x="372"/>
        <item x="355"/>
        <item x="395"/>
        <item x="325"/>
        <item x="14"/>
        <item x="63"/>
        <item x="66"/>
        <item x="89"/>
        <item x="216"/>
        <item x="199"/>
        <item x="239"/>
        <item x="60"/>
        <item x="129"/>
        <item x="50"/>
        <item t="default"/>
      </items>
    </pivotField>
    <pivotField dataField="1" compact="0" outline="0" multipleItemSelectionAllowed="1" showAll="0">
      <items count="499">
        <item x="4"/>
        <item x="236"/>
        <item x="426"/>
        <item x="133"/>
        <item x="111"/>
        <item x="195"/>
        <item x="342"/>
        <item x="235"/>
        <item x="383"/>
        <item x="406"/>
        <item x="151"/>
        <item x="160"/>
        <item x="301"/>
        <item x="285"/>
        <item x="262"/>
        <item x="416"/>
        <item x="394"/>
        <item x="328"/>
        <item x="311"/>
        <item x="407"/>
        <item x="384"/>
        <item x="341"/>
        <item x="313"/>
        <item x="330"/>
        <item x="294"/>
        <item x="339"/>
        <item x="482"/>
        <item x="292"/>
        <item x="349"/>
        <item x="338"/>
        <item x="321"/>
        <item x="40"/>
        <item x="340"/>
        <item x="415"/>
        <item x="368"/>
        <item x="393"/>
        <item x="497"/>
        <item x="422"/>
        <item x="295"/>
        <item x="188"/>
        <item x="177"/>
        <item x="104"/>
        <item x="91"/>
        <item x="110"/>
        <item x="97"/>
        <item x="132"/>
        <item x="495"/>
        <item x="476"/>
        <item x="90"/>
        <item x="96"/>
        <item x="350"/>
        <item x="492"/>
        <item x="460"/>
        <item x="207"/>
        <item x="449"/>
        <item x="435"/>
        <item x="112"/>
        <item x="134"/>
        <item x="219"/>
        <item x="251"/>
        <item x="274"/>
        <item x="196"/>
        <item x="193"/>
        <item x="252"/>
        <item x="275"/>
        <item x="479"/>
        <item x="424"/>
        <item x="13"/>
        <item x="206"/>
        <item x="496"/>
        <item x="260"/>
        <item x="283"/>
        <item x="425"/>
        <item x="38"/>
        <item x="119"/>
        <item x="141"/>
        <item x="290"/>
        <item x="249"/>
        <item x="272"/>
        <item x="150"/>
        <item x="159"/>
        <item x="466"/>
        <item x="57"/>
        <item x="58"/>
        <item x="488"/>
        <item x="421"/>
        <item x="39"/>
        <item x="320"/>
        <item x="337"/>
        <item x="448"/>
        <item x="434"/>
        <item x="348"/>
        <item x="50"/>
        <item x="205"/>
        <item x="420"/>
        <item x="37"/>
        <item x="298"/>
        <item x="130"/>
        <item x="108"/>
        <item x="147"/>
        <item x="297"/>
        <item x="473"/>
        <item x="174"/>
        <item x="300"/>
        <item x="248"/>
        <item x="271"/>
        <item x="149"/>
        <item x="185"/>
        <item x="10"/>
        <item x="491"/>
        <item x="156"/>
        <item x="158"/>
        <item x="392"/>
        <item x="414"/>
        <item x="36"/>
        <item x="355"/>
        <item x="194"/>
        <item x="95"/>
        <item x="89"/>
        <item x="120"/>
        <item x="142"/>
        <item x="291"/>
        <item x="284"/>
        <item x="261"/>
        <item x="59"/>
        <item x="483"/>
        <item x="107"/>
        <item x="129"/>
        <item x="204"/>
        <item x="467"/>
        <item x="443"/>
        <item x="457"/>
        <item x="47"/>
        <item x="469"/>
        <item x="380"/>
        <item x="403"/>
        <item x="480"/>
        <item x="456"/>
        <item x="442"/>
        <item x="331"/>
        <item x="314"/>
        <item x="226"/>
        <item x="163"/>
        <item x="233"/>
        <item x="259"/>
        <item x="282"/>
        <item x="247"/>
        <item x="270"/>
        <item x="391"/>
        <item x="413"/>
        <item x="229"/>
        <item x="490"/>
        <item x="346"/>
        <item x="11"/>
        <item x="44"/>
        <item x="315"/>
        <item x="332"/>
        <item x="214"/>
        <item x="345"/>
        <item x="144"/>
        <item x="459"/>
        <item x="381"/>
        <item x="404"/>
        <item x="153"/>
        <item x="106"/>
        <item x="88"/>
        <item x="128"/>
        <item x="94"/>
        <item x="197"/>
        <item x="423"/>
        <item x="379"/>
        <item x="402"/>
        <item x="230"/>
        <item x="227"/>
        <item x="234"/>
        <item x="211"/>
        <item x="484"/>
        <item x="203"/>
        <item x="35"/>
        <item x="354"/>
        <item x="17"/>
        <item x="481"/>
        <item x="405"/>
        <item x="382"/>
        <item x="288"/>
        <item x="239"/>
        <item x="296"/>
        <item x="140"/>
        <item x="118"/>
        <item x="306"/>
        <item x="20"/>
        <item x="323"/>
        <item x="202"/>
        <item x="487"/>
        <item x="186"/>
        <item x="175"/>
        <item x="34"/>
        <item x="164"/>
        <item x="148"/>
        <item x="157"/>
        <item x="210"/>
        <item x="461"/>
        <item x="43"/>
        <item x="293"/>
        <item x="308"/>
        <item x="131"/>
        <item x="109"/>
        <item x="477"/>
        <item x="347"/>
        <item x="325"/>
        <item x="69"/>
        <item x="82"/>
        <item x="21"/>
        <item x="213"/>
        <item x="418"/>
        <item x="209"/>
        <item x="162"/>
        <item x="436"/>
        <item x="450"/>
        <item x="287"/>
        <item x="42"/>
        <item x="437"/>
        <item x="377"/>
        <item x="451"/>
        <item x="351"/>
        <item x="474"/>
        <item x="12"/>
        <item x="400"/>
        <item x="71"/>
        <item x="67"/>
        <item x="463"/>
        <item x="84"/>
        <item x="486"/>
        <item x="117"/>
        <item x="139"/>
        <item x="225"/>
        <item x="273"/>
        <item x="232"/>
        <item x="250"/>
        <item x="228"/>
        <item x="289"/>
        <item x="432"/>
        <item x="446"/>
        <item x="181"/>
        <item x="192"/>
        <item x="54"/>
        <item x="494"/>
        <item x="471"/>
        <item x="191"/>
        <item x="180"/>
        <item x="318"/>
        <item x="72"/>
        <item x="335"/>
        <item x="312"/>
        <item x="329"/>
        <item x="258"/>
        <item x="281"/>
        <item x="427"/>
        <item x="353"/>
        <item x="389"/>
        <item x="18"/>
        <item x="478"/>
        <item x="65"/>
        <item x="489"/>
        <item x="390"/>
        <item x="412"/>
        <item x="257"/>
        <item x="280"/>
        <item x="455"/>
        <item x="441"/>
        <item x="475"/>
        <item x="462"/>
        <item x="176"/>
        <item x="187"/>
        <item x="493"/>
        <item x="165"/>
        <item x="48"/>
        <item x="378"/>
        <item x="401"/>
        <item x="75"/>
        <item x="87"/>
        <item x="419"/>
        <item x="166"/>
        <item x="79"/>
        <item x="61"/>
        <item x="64"/>
        <item x="51"/>
        <item x="56"/>
        <item x="63"/>
        <item x="218"/>
        <item x="53"/>
        <item x="224"/>
        <item x="358"/>
        <item x="304"/>
        <item x="55"/>
        <item x="217"/>
        <item x="66"/>
        <item x="361"/>
        <item x="319"/>
        <item x="336"/>
        <item x="52"/>
        <item x="465"/>
        <item x="62"/>
        <item x="220"/>
        <item x="222"/>
        <item x="360"/>
        <item x="216"/>
        <item x="356"/>
        <item x="73"/>
        <item x="85"/>
        <item x="357"/>
        <item x="464"/>
        <item x="363"/>
        <item x="223"/>
        <item x="221"/>
        <item x="359"/>
        <item x="362"/>
        <item x="417"/>
        <item x="2"/>
        <item x="286"/>
        <item x="77"/>
        <item x="431"/>
        <item x="445"/>
        <item x="371"/>
        <item x="364"/>
        <item x="367"/>
        <item x="365"/>
        <item x="388"/>
        <item x="411"/>
        <item x="172"/>
        <item x="183"/>
        <item x="485"/>
        <item x="440"/>
        <item x="170"/>
        <item x="454"/>
        <item x="439"/>
        <item x="453"/>
        <item x="179"/>
        <item x="190"/>
        <item x="1"/>
        <item x="470"/>
        <item x="103"/>
        <item x="178"/>
        <item x="126"/>
        <item x="189"/>
        <item x="472"/>
        <item x="169"/>
        <item x="74"/>
        <item x="86"/>
        <item x="78"/>
        <item x="317"/>
        <item x="173"/>
        <item x="334"/>
        <item x="184"/>
        <item x="468"/>
        <item x="145"/>
        <item x="105"/>
        <item x="70"/>
        <item x="83"/>
        <item x="127"/>
        <item x="154"/>
        <item x="245"/>
        <item x="268"/>
        <item x="5"/>
        <item x="246"/>
        <item x="269"/>
        <item x="168"/>
        <item x="255"/>
        <item x="428"/>
        <item x="278"/>
        <item x="171"/>
        <item x="3"/>
        <item x="430"/>
        <item x="115"/>
        <item x="433"/>
        <item x="68"/>
        <item x="182"/>
        <item x="137"/>
        <item x="81"/>
        <item x="447"/>
        <item x="146"/>
        <item x="76"/>
        <item x="155"/>
        <item x="309"/>
        <item x="243"/>
        <item x="326"/>
        <item x="266"/>
        <item x="49"/>
        <item x="310"/>
        <item x="8"/>
        <item x="327"/>
        <item x="7"/>
        <item x="438"/>
        <item x="452"/>
        <item x="387"/>
        <item x="410"/>
        <item x="101"/>
        <item x="124"/>
        <item x="161"/>
        <item x="242"/>
        <item x="265"/>
        <item x="143"/>
        <item x="152"/>
        <item x="93"/>
        <item x="374"/>
        <item x="6"/>
        <item x="397"/>
        <item x="116"/>
        <item x="256"/>
        <item x="138"/>
        <item x="386"/>
        <item x="279"/>
        <item x="100"/>
        <item x="409"/>
        <item x="123"/>
        <item x="0"/>
        <item x="303"/>
        <item x="429"/>
        <item x="444"/>
        <item x="16"/>
        <item x="375"/>
        <item x="254"/>
        <item x="398"/>
        <item x="241"/>
        <item x="277"/>
        <item x="264"/>
        <item x="33"/>
        <item x="373"/>
        <item x="396"/>
        <item x="302"/>
        <item x="24"/>
        <item x="307"/>
        <item x="324"/>
        <item x="376"/>
        <item x="99"/>
        <item x="399"/>
        <item x="19"/>
        <item x="122"/>
        <item x="9"/>
        <item x="23"/>
        <item x="29"/>
        <item x="114"/>
        <item x="136"/>
        <item x="28"/>
        <item x="15"/>
        <item x="14"/>
        <item x="316"/>
        <item x="333"/>
        <item x="102"/>
        <item x="125"/>
        <item x="370"/>
        <item x="26"/>
        <item x="238"/>
        <item x="25"/>
        <item x="458"/>
        <item x="299"/>
        <item x="305"/>
        <item x="322"/>
        <item x="46"/>
        <item x="369"/>
        <item x="113"/>
        <item x="135"/>
        <item x="244"/>
        <item x="267"/>
        <item x="385"/>
        <item x="408"/>
        <item x="31"/>
        <item x="215"/>
        <item x="253"/>
        <item x="276"/>
        <item x="212"/>
        <item x="352"/>
        <item x="237"/>
        <item x="45"/>
        <item x="200"/>
        <item x="41"/>
        <item x="208"/>
        <item x="32"/>
        <item x="201"/>
        <item x="199"/>
        <item x="372"/>
        <item x="366"/>
        <item x="395"/>
        <item x="344"/>
        <item x="198"/>
        <item x="30"/>
        <item x="343"/>
        <item x="27"/>
        <item x="92"/>
        <item x="98"/>
        <item x="240"/>
        <item x="121"/>
        <item x="231"/>
        <item x="263"/>
        <item x="22"/>
        <item x="80"/>
        <item x="167"/>
        <item x="60"/>
        <item t="default"/>
      </items>
    </pivotField>
    <pivotField dataField="1" compact="0" outline="0" multipleItemSelectionAllowed="1" showAll="0">
      <items count="501">
        <item x="2"/>
        <item x="431"/>
        <item x="112"/>
        <item x="90"/>
        <item x="223"/>
        <item x="177"/>
        <item x="330"/>
        <item x="220"/>
        <item x="221"/>
        <item x="388"/>
        <item x="411"/>
        <item x="130"/>
        <item x="139"/>
        <item x="274"/>
        <item x="251"/>
        <item x="421"/>
        <item x="399"/>
        <item x="316"/>
        <item x="299"/>
        <item x="412"/>
        <item x="389"/>
        <item x="329"/>
        <item x="301"/>
        <item x="318"/>
        <item x="327"/>
        <item x="483"/>
        <item x="281"/>
        <item x="338"/>
        <item x="283"/>
        <item x="326"/>
        <item x="309"/>
        <item x="37"/>
        <item x="328"/>
        <item x="420"/>
        <item x="398"/>
        <item x="222"/>
        <item x="499"/>
        <item x="427"/>
        <item x="284"/>
        <item x="170"/>
        <item x="159"/>
        <item x="83"/>
        <item x="89"/>
        <item x="111"/>
        <item x="219"/>
        <item x="497"/>
        <item x="477"/>
        <item x="339"/>
        <item x="189"/>
        <item x="372"/>
        <item x="198"/>
        <item x="493"/>
        <item x="464"/>
        <item x="453"/>
        <item x="438"/>
        <item x="91"/>
        <item x="113"/>
        <item x="240"/>
        <item x="263"/>
        <item x="178"/>
        <item x="241"/>
        <item x="264"/>
        <item x="175"/>
        <item x="480"/>
        <item x="429"/>
        <item x="10"/>
        <item x="498"/>
        <item x="98"/>
        <item x="120"/>
        <item x="430"/>
        <item x="249"/>
        <item x="272"/>
        <item x="373"/>
        <item x="279"/>
        <item x="129"/>
        <item x="138"/>
        <item x="188"/>
        <item x="55"/>
        <item x="36"/>
        <item x="489"/>
        <item x="426"/>
        <item x="48"/>
        <item x="308"/>
        <item x="325"/>
        <item x="452"/>
        <item x="437"/>
        <item x="238"/>
        <item x="261"/>
        <item x="337"/>
        <item x="237"/>
        <item x="260"/>
        <item x="187"/>
        <item x="126"/>
        <item x="474"/>
        <item x="156"/>
        <item x="397"/>
        <item x="419"/>
        <item x="128"/>
        <item x="167"/>
        <item x="109"/>
        <item x="87"/>
        <item x="35"/>
        <item x="492"/>
        <item x="135"/>
        <item x="346"/>
        <item x="137"/>
        <item x="17"/>
        <item x="273"/>
        <item x="250"/>
        <item x="99"/>
        <item x="121"/>
        <item x="207"/>
        <item x="176"/>
        <item x="86"/>
        <item x="108"/>
        <item x="280"/>
        <item x="34"/>
        <item x="484"/>
        <item x="425"/>
        <item x="471"/>
        <item x="446"/>
        <item x="461"/>
        <item x="385"/>
        <item x="408"/>
        <item x="495"/>
        <item x="481"/>
        <item x="193"/>
        <item x="460"/>
        <item x="445"/>
        <item x="319"/>
        <item x="186"/>
        <item x="302"/>
        <item x="236"/>
        <item x="259"/>
        <item x="142"/>
        <item x="491"/>
        <item x="335"/>
        <item x="7"/>
        <item x="45"/>
        <item x="303"/>
        <item x="320"/>
        <item x="123"/>
        <item x="386"/>
        <item x="409"/>
        <item x="85"/>
        <item x="107"/>
        <item x="248"/>
        <item x="271"/>
        <item x="463"/>
        <item x="185"/>
        <item x="396"/>
        <item x="418"/>
        <item x="132"/>
        <item x="141"/>
        <item x="33"/>
        <item x="41"/>
        <item x="345"/>
        <item x="485"/>
        <item x="384"/>
        <item x="407"/>
        <item x="410"/>
        <item x="387"/>
        <item x="8"/>
        <item x="341"/>
        <item x="482"/>
        <item x="206"/>
        <item x="212"/>
        <item x="228"/>
        <item x="285"/>
        <item x="217"/>
        <item x="184"/>
        <item x="277"/>
        <item x="294"/>
        <item x="311"/>
        <item x="32"/>
        <item x="342"/>
        <item x="488"/>
        <item x="168"/>
        <item x="157"/>
        <item x="119"/>
        <item x="428"/>
        <item x="97"/>
        <item x="140"/>
        <item x="127"/>
        <item x="136"/>
        <item x="40"/>
        <item x="336"/>
        <item x="9"/>
        <item x="191"/>
        <item x="282"/>
        <item x="296"/>
        <item x="478"/>
        <item x="313"/>
        <item x="110"/>
        <item x="149"/>
        <item x="88"/>
        <item x="18"/>
        <item x="39"/>
        <item x="64"/>
        <item x="190"/>
        <item x="357"/>
        <item x="204"/>
        <item x="368"/>
        <item x="439"/>
        <item x="454"/>
        <item x="215"/>
        <item x="210"/>
        <item x="276"/>
        <item x="440"/>
        <item x="382"/>
        <item x="455"/>
        <item x="356"/>
        <item x="475"/>
        <item x="15"/>
        <item x="405"/>
        <item x="367"/>
        <item x="262"/>
        <item x="239"/>
        <item x="96"/>
        <item x="118"/>
        <item x="192"/>
        <item x="466"/>
        <item x="146"/>
        <item x="487"/>
        <item x="19"/>
        <item x="423"/>
        <item x="434"/>
        <item x="449"/>
        <item x="163"/>
        <item x="174"/>
        <item x="278"/>
        <item x="54"/>
        <item x="496"/>
        <item x="472"/>
        <item x="173"/>
        <item x="162"/>
        <item x="306"/>
        <item x="323"/>
        <item x="247"/>
        <item x="270"/>
        <item x="358"/>
        <item x="300"/>
        <item x="317"/>
        <item x="369"/>
        <item x="148"/>
        <item x="394"/>
        <item x="286"/>
        <item x="395"/>
        <item x="53"/>
        <item x="417"/>
        <item x="479"/>
        <item x="344"/>
        <item x="144"/>
        <item x="490"/>
        <item x="246"/>
        <item x="269"/>
        <item x="60"/>
        <item x="459"/>
        <item x="444"/>
        <item x="46"/>
        <item x="476"/>
        <item x="465"/>
        <item x="158"/>
        <item x="169"/>
        <item x="494"/>
        <item x="145"/>
        <item x="383"/>
        <item x="406"/>
        <item x="424"/>
        <item x="467"/>
        <item x="59"/>
        <item x="57"/>
        <item x="52"/>
        <item x="61"/>
        <item x="50"/>
        <item x="202"/>
        <item x="197"/>
        <item x="62"/>
        <item x="51"/>
        <item x="353"/>
        <item x="63"/>
        <item x="196"/>
        <item x="292"/>
        <item x="58"/>
        <item x="200"/>
        <item x="349"/>
        <item x="307"/>
        <item x="324"/>
        <item x="468"/>
        <item x="352"/>
        <item x="199"/>
        <item x="201"/>
        <item x="350"/>
        <item x="195"/>
        <item x="66"/>
        <item x="347"/>
        <item x="362"/>
        <item x="288"/>
        <item x="71"/>
        <item x="287"/>
        <item x="348"/>
        <item x="351"/>
        <item x="359"/>
        <item x="370"/>
        <item x="1"/>
        <item x="422"/>
        <item x="73"/>
        <item x="76"/>
        <item x="275"/>
        <item x="433"/>
        <item x="448"/>
        <item x="225"/>
        <item x="67"/>
        <item x="376"/>
        <item x="72"/>
        <item x="393"/>
        <item x="416"/>
        <item x="154"/>
        <item x="165"/>
        <item x="486"/>
        <item x="443"/>
        <item x="152"/>
        <item x="458"/>
        <item x="442"/>
        <item x="457"/>
        <item x="161"/>
        <item x="172"/>
        <item x="355"/>
        <item x="0"/>
        <item x="470"/>
        <item x="366"/>
        <item x="82"/>
        <item x="65"/>
        <item x="160"/>
        <item x="105"/>
        <item x="70"/>
        <item x="171"/>
        <item x="473"/>
        <item x="151"/>
        <item x="224"/>
        <item x="360"/>
        <item x="371"/>
        <item x="363"/>
        <item x="305"/>
        <item x="155"/>
        <item x="322"/>
        <item x="205"/>
        <item x="166"/>
        <item x="216"/>
        <item x="469"/>
        <item x="124"/>
        <item x="84"/>
        <item x="208"/>
        <item x="106"/>
        <item x="211"/>
        <item x="218"/>
        <item x="133"/>
        <item x="234"/>
        <item x="4"/>
        <item x="257"/>
        <item x="68"/>
        <item x="235"/>
        <item x="258"/>
        <item x="361"/>
        <item x="354"/>
        <item x="365"/>
        <item x="203"/>
        <item x="209"/>
        <item x="214"/>
        <item x="47"/>
        <item x="150"/>
        <item x="435"/>
        <item x="153"/>
        <item x="5"/>
        <item x="450"/>
        <item x="94"/>
        <item x="436"/>
        <item x="164"/>
        <item x="116"/>
        <item x="451"/>
        <item x="244"/>
        <item x="267"/>
        <item x="297"/>
        <item x="314"/>
        <item x="298"/>
        <item x="6"/>
        <item x="315"/>
        <item x="125"/>
        <item x="134"/>
        <item x="14"/>
        <item x="441"/>
        <item x="456"/>
        <item x="392"/>
        <item x="415"/>
        <item x="232"/>
        <item x="31"/>
        <item x="255"/>
        <item x="231"/>
        <item x="254"/>
        <item x="75"/>
        <item x="80"/>
        <item x="103"/>
        <item x="43"/>
        <item x="379"/>
        <item x="122"/>
        <item x="402"/>
        <item x="95"/>
        <item x="131"/>
        <item x="245"/>
        <item x="117"/>
        <item x="268"/>
        <item x="79"/>
        <item x="102"/>
        <item x="143"/>
        <item x="291"/>
        <item x="432"/>
        <item x="447"/>
        <item x="27"/>
        <item x="380"/>
        <item x="30"/>
        <item x="230"/>
        <item x="403"/>
        <item x="391"/>
        <item x="253"/>
        <item x="414"/>
        <item x="290"/>
        <item x="13"/>
        <item x="295"/>
        <item x="312"/>
        <item x="78"/>
        <item x="378"/>
        <item x="16"/>
        <item x="101"/>
        <item x="401"/>
        <item x="381"/>
        <item x="243"/>
        <item x="404"/>
        <item x="266"/>
        <item x="3"/>
        <item x="22"/>
        <item x="21"/>
        <item x="179"/>
        <item x="25"/>
        <item x="93"/>
        <item x="115"/>
        <item x="12"/>
        <item x="304"/>
        <item x="321"/>
        <item x="181"/>
        <item x="81"/>
        <item x="375"/>
        <item x="104"/>
        <item x="23"/>
        <item x="227"/>
        <item x="11"/>
        <item x="289"/>
        <item x="293"/>
        <item x="310"/>
        <item x="44"/>
        <item x="462"/>
        <item x="92"/>
        <item x="114"/>
        <item x="233"/>
        <item x="331"/>
        <item x="256"/>
        <item x="374"/>
        <item x="390"/>
        <item x="413"/>
        <item x="28"/>
        <item x="49"/>
        <item x="242"/>
        <item x="265"/>
        <item x="194"/>
        <item x="343"/>
        <item x="226"/>
        <item x="42"/>
        <item x="38"/>
        <item x="334"/>
        <item x="182"/>
        <item x="29"/>
        <item x="340"/>
        <item x="183"/>
        <item x="377"/>
        <item x="364"/>
        <item x="400"/>
        <item x="180"/>
        <item x="26"/>
        <item x="333"/>
        <item x="24"/>
        <item x="332"/>
        <item x="77"/>
        <item x="74"/>
        <item x="100"/>
        <item x="20"/>
        <item x="229"/>
        <item x="213"/>
        <item x="252"/>
        <item x="69"/>
        <item x="147"/>
        <item x="56"/>
        <item t="default"/>
      </items>
    </pivotField>
  </pivotFields>
  <rowFields count="1">
    <field x="-2"/>
  </rowFields>
  <row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rowItems>
  <colFields count="1">
    <field x="4"/>
  </colFields>
  <colItems count="6">
    <i>
      <x v="12"/>
    </i>
    <i>
      <x v="13"/>
    </i>
    <i>
      <x v="19"/>
    </i>
    <i>
      <x v="28"/>
    </i>
    <i>
      <x v="29"/>
    </i>
    <i t="grand">
      <x/>
    </i>
  </colItems>
  <pageFields count="4">
    <pageField fld="0"/>
    <pageField fld="1"/>
    <pageField fld="2"/>
    <pageField fld="3"/>
  </pageFields>
  <dataFields count="12">
    <dataField name="2025年1月" fld="5" baseField="0" baseItem="0"/>
    <dataField name="2025年2月" fld="6" baseField="0" baseItem="0"/>
    <dataField name="2025年3月" fld="7" baseField="0" baseItem="0"/>
    <dataField name="2025年4月" fld="8" baseField="0" baseItem="0"/>
    <dataField name="2025年5月" fld="9" baseField="0" baseItem="0"/>
    <dataField name="2025年6月" fld="10" baseField="0" baseItem="0"/>
    <dataField name="2025年7月" fld="11" baseField="0" baseItem="0"/>
    <dataField name="2025年8月" fld="12" baseField="0" baseItem="0"/>
    <dataField name="2025年9月" fld="13" baseField="0" baseItem="0"/>
    <dataField name="2025年10月" fld="14" baseField="0" baseItem="0"/>
    <dataField name="2025年11月" fld="15" baseField="0" baseItem="0"/>
    <dataField name="2025年12月" fld="16" baseField="0" baseItem="0"/>
  </dataFields>
  <pivotTableStyleInfo showRowHeaders="1" showColHeaders="1" showLastColumn="1"/>
</pivotTableDefinition>
</file>

<file path=xl/pivotTables/pivotTable7.xml><?xml version="1.0" encoding="utf-8"?>
<pivotTableDefinition xmlns="http://schemas.openxmlformats.org/spreadsheetml/2006/main" name="2024统计" cacheId="1" dataOnRows="1" autoFormatId="1" applyNumberFormats="0" applyBorderFormats="0" applyFontFormats="0" applyPatternFormats="0" applyAlignmentFormats="0" applyWidthHeightFormats="1" dataCaption="" updatedVersion="5" compact="0" compactData="0" showDrill="1">
  <location ref="A7:I20" firstHeaderRow="1" firstDataRow="2" firstDataCol="1" rowPageCount="4" colPageCount="1"/>
  <pivotFields count="17">
    <pivotField axis="axisCol" compact="0" sortType="ascending" outline="0" multipleItemSelectionAllowed="1" showAll="0">
      <items count="8">
        <item x="2"/>
        <item x="3"/>
        <item x="0"/>
        <item x="1"/>
        <item x="4"/>
        <item x="5"/>
        <item x="6"/>
        <item t="default"/>
      </items>
    </pivotField>
    <pivotField axis="axisPage" compact="0" outline="0" multipleItemSelectionAllowed="1" showAll="0">
      <items count="4">
        <item h="1" x="0"/>
        <item x="1"/>
        <item h="1" x="2"/>
        <item t="default"/>
      </items>
    </pivotField>
    <pivotField axis="axisPage" compact="0" outline="0" multipleItemSelectionAllowed="1" showAll="0">
      <items count="9">
        <item h="1" x="0"/>
        <item h="1" x="1"/>
        <item h="1" x="2"/>
        <item h="1" x="3"/>
        <item h="1" x="4"/>
        <item h="1" x="5"/>
        <item h="1" x="6"/>
        <item x="7"/>
        <item t="default"/>
      </items>
    </pivotField>
    <pivotField axis="axisPage" compact="0" outline="0" multipleItemSelectionAllowed="1" showAll="0">
      <items count="18">
        <item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t="default"/>
      </items>
    </pivotField>
    <pivotField axis="axisPage" compact="0" outline="0" multipleItemSelectionAllowed="1" showAll="0">
      <items count="39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t="default"/>
      </items>
    </pivotField>
    <pivotField dataField="1" compact="0" outline="0" multipleItemSelectionAllowed="1" showAll="0">
      <items count="134">
        <item x="5"/>
        <item x="117"/>
        <item x="130"/>
        <item x="125"/>
        <item x="97"/>
        <item x="96"/>
        <item x="95"/>
        <item x="94"/>
        <item x="129"/>
        <item x="93"/>
        <item x="124"/>
        <item x="105"/>
        <item x="127"/>
        <item x="100"/>
        <item x="128"/>
        <item x="92"/>
        <item x="116"/>
        <item x="115"/>
        <item x="70"/>
        <item x="43"/>
        <item x="46"/>
        <item x="53"/>
        <item x="60"/>
        <item x="45"/>
        <item x="126"/>
        <item x="57"/>
        <item x="50"/>
        <item x="51"/>
        <item x="58"/>
        <item x="12"/>
        <item x="83"/>
        <item x="89"/>
        <item x="120"/>
        <item x="15"/>
        <item x="118"/>
        <item x="49"/>
        <item x="56"/>
        <item x="19"/>
        <item x="76"/>
        <item x="44"/>
        <item x="35"/>
        <item x="41"/>
        <item x="55"/>
        <item x="48"/>
        <item x="73"/>
        <item x="71"/>
        <item x="21"/>
        <item x="18"/>
        <item x="103"/>
        <item x="98"/>
        <item x="42"/>
        <item x="20"/>
        <item x="110"/>
        <item x="113"/>
        <item x="25"/>
        <item x="13"/>
        <item x="69"/>
        <item x="47"/>
        <item x="54"/>
        <item x="23"/>
        <item x="106"/>
        <item x="101"/>
        <item x="68"/>
        <item x="16"/>
        <item x="32"/>
        <item x="26"/>
        <item x="33"/>
        <item x="39"/>
        <item x="131"/>
        <item x="22"/>
        <item x="132"/>
        <item x="102"/>
        <item x="107"/>
        <item x="27"/>
        <item x="78"/>
        <item x="77"/>
        <item x="61"/>
        <item x="31"/>
        <item x="99"/>
        <item x="104"/>
        <item x="38"/>
        <item x="17"/>
        <item x="72"/>
        <item x="74"/>
        <item x="79"/>
        <item x="52"/>
        <item x="59"/>
        <item x="119"/>
        <item x="121"/>
        <item x="63"/>
        <item x="66"/>
        <item x="122"/>
        <item x="123"/>
        <item x="30"/>
        <item x="4"/>
        <item x="81"/>
        <item x="87"/>
        <item x="29"/>
        <item x="37"/>
        <item x="84"/>
        <item x="90"/>
        <item x="1"/>
        <item x="111"/>
        <item x="114"/>
        <item x="109"/>
        <item x="112"/>
        <item x="85"/>
        <item x="91"/>
        <item x="64"/>
        <item x="67"/>
        <item x="82"/>
        <item x="88"/>
        <item x="7"/>
        <item x="34"/>
        <item x="40"/>
        <item x="62"/>
        <item x="65"/>
        <item x="3"/>
        <item x="28"/>
        <item x="36"/>
        <item x="80"/>
        <item x="86"/>
        <item x="2"/>
        <item x="11"/>
        <item x="14"/>
        <item x="10"/>
        <item x="6"/>
        <item x="8"/>
        <item x="75"/>
        <item x="9"/>
        <item x="0"/>
        <item x="24"/>
        <item x="108"/>
        <item t="default"/>
      </items>
    </pivotField>
    <pivotField dataField="1" compact="0" outline="0" multipleItemSelectionAllowed="1" showAll="0">
      <items count="202">
        <item x="1"/>
        <item x="200"/>
        <item x="158"/>
        <item x="115"/>
        <item x="183"/>
        <item x="72"/>
        <item x="187"/>
        <item x="145"/>
        <item x="144"/>
        <item x="143"/>
        <item x="198"/>
        <item x="141"/>
        <item x="134"/>
        <item x="122"/>
        <item x="186"/>
        <item x="194"/>
        <item x="49"/>
        <item x="63"/>
        <item x="91"/>
        <item x="68"/>
        <item x="189"/>
        <item x="199"/>
        <item x="67"/>
        <item x="191"/>
        <item x="62"/>
        <item x="48"/>
        <item x="43"/>
        <item x="135"/>
        <item x="58"/>
        <item x="123"/>
        <item x="152"/>
        <item x="106"/>
        <item x="97"/>
        <item x="41"/>
        <item x="56"/>
        <item x="99"/>
        <item x="173"/>
        <item x="162"/>
        <item x="176"/>
        <item x="157"/>
        <item x="174"/>
        <item x="6"/>
        <item x="163"/>
        <item x="165"/>
        <item x="114"/>
        <item x="188"/>
        <item x="156"/>
        <item x="113"/>
        <item x="92"/>
        <item x="119"/>
        <item x="131"/>
        <item x="142"/>
        <item x="55"/>
        <item x="40"/>
        <item x="180"/>
        <item x="169"/>
        <item x="182"/>
        <item x="20"/>
        <item x="195"/>
        <item x="181"/>
        <item x="140"/>
        <item x="196"/>
        <item x="190"/>
        <item x="85"/>
        <item x="77"/>
        <item x="84"/>
        <item x="76"/>
        <item x="146"/>
        <item x="66"/>
        <item x="46"/>
        <item x="60"/>
        <item x="39"/>
        <item x="54"/>
        <item x="11"/>
        <item x="32"/>
        <item x="132"/>
        <item x="120"/>
        <item x="95"/>
        <item x="21"/>
        <item x="98"/>
        <item x="65"/>
        <item x="64"/>
        <item x="149"/>
        <item x="7"/>
        <item x="154"/>
        <item x="160"/>
        <item x="150"/>
        <item x="171"/>
        <item x="108"/>
        <item x="192"/>
        <item x="12"/>
        <item x="90"/>
        <item x="26"/>
        <item x="89"/>
        <item x="167"/>
        <item x="28"/>
        <item x="178"/>
        <item x="24"/>
        <item x="25"/>
        <item x="8"/>
        <item x="107"/>
        <item x="45"/>
        <item x="111"/>
        <item x="38"/>
        <item x="29"/>
        <item x="53"/>
        <item x="57"/>
        <item x="42"/>
        <item x="138"/>
        <item x="126"/>
        <item x="22"/>
        <item x="127"/>
        <item x="139"/>
        <item x="96"/>
        <item x="147"/>
        <item x="23"/>
        <item x="151"/>
        <item x="155"/>
        <item x="30"/>
        <item x="78"/>
        <item x="86"/>
        <item x="121"/>
        <item x="133"/>
        <item x="193"/>
        <item x="100"/>
        <item x="164"/>
        <item x="36"/>
        <item x="175"/>
        <item x="148"/>
        <item x="153"/>
        <item x="52"/>
        <item x="104"/>
        <item x="101"/>
        <item x="14"/>
        <item x="103"/>
        <item x="70"/>
        <item x="109"/>
        <item x="71"/>
        <item x="112"/>
        <item x="80"/>
        <item x="88"/>
        <item x="197"/>
        <item x="102"/>
        <item x="168"/>
        <item x="74"/>
        <item x="179"/>
        <item x="105"/>
        <item x="110"/>
        <item x="82"/>
        <item x="47"/>
        <item x="61"/>
        <item x="184"/>
        <item x="185"/>
        <item x="35"/>
        <item x="2"/>
        <item x="117"/>
        <item x="129"/>
        <item x="34"/>
        <item x="51"/>
        <item x="0"/>
        <item x="161"/>
        <item x="172"/>
        <item x="124"/>
        <item x="136"/>
        <item x="166"/>
        <item x="177"/>
        <item x="125"/>
        <item x="137"/>
        <item x="75"/>
        <item x="83"/>
        <item x="31"/>
        <item x="4"/>
        <item x="159"/>
        <item x="170"/>
        <item x="118"/>
        <item x="37"/>
        <item x="130"/>
        <item x="79"/>
        <item x="87"/>
        <item x="5"/>
        <item x="73"/>
        <item x="81"/>
        <item x="16"/>
        <item x="116"/>
        <item x="128"/>
        <item x="13"/>
        <item x="44"/>
        <item x="59"/>
        <item x="9"/>
        <item x="33"/>
        <item x="50"/>
        <item x="10"/>
        <item x="3"/>
        <item x="19"/>
        <item x="94"/>
        <item x="17"/>
        <item x="93"/>
        <item x="18"/>
        <item x="15"/>
        <item x="27"/>
        <item x="69"/>
        <item t="default"/>
      </items>
    </pivotField>
    <pivotField dataField="1" compact="0" outline="0" multipleItemSelectionAllowed="1" showAll="0">
      <items count="241">
        <item x="1"/>
        <item x="238"/>
        <item x="100"/>
        <item x="219"/>
        <item x="39"/>
        <item x="161"/>
        <item x="160"/>
        <item x="128"/>
        <item x="185"/>
        <item x="237"/>
        <item x="157"/>
        <item x="56"/>
        <item x="72"/>
        <item x="184"/>
        <item x="218"/>
        <item x="223"/>
        <item x="159"/>
        <item x="215"/>
        <item x="102"/>
        <item x="222"/>
        <item x="151"/>
        <item x="138"/>
        <item x="208"/>
        <item x="195"/>
        <item x="77"/>
        <item x="235"/>
        <item x="239"/>
        <item x="50"/>
        <item x="66"/>
        <item x="127"/>
        <item x="150"/>
        <item x="137"/>
        <item x="236"/>
        <item x="183"/>
        <item x="76"/>
        <item x="126"/>
        <item x="149"/>
        <item x="136"/>
        <item x="225"/>
        <item x="109"/>
        <item x="8"/>
        <item x="79"/>
        <item x="182"/>
        <item x="63"/>
        <item x="47"/>
        <item x="164"/>
        <item x="205"/>
        <item x="192"/>
        <item x="193"/>
        <item x="206"/>
        <item x="229"/>
        <item x="22"/>
        <item x="226"/>
        <item x="221"/>
        <item x="108"/>
        <item x="55"/>
        <item x="71"/>
        <item x="111"/>
        <item x="232"/>
        <item x="48"/>
        <item x="220"/>
        <item x="64"/>
        <item x="13"/>
        <item x="46"/>
        <item x="62"/>
        <item x="95"/>
        <item x="86"/>
        <item x="158"/>
        <item x="231"/>
        <item x="228"/>
        <item x="214"/>
        <item x="94"/>
        <item x="85"/>
        <item x="28"/>
        <item x="156"/>
        <item x="75"/>
        <item x="53"/>
        <item x="69"/>
        <item x="9"/>
        <item x="213"/>
        <item x="16"/>
        <item x="194"/>
        <item x="207"/>
        <item x="163"/>
        <item x="73"/>
        <item x="106"/>
        <item x="224"/>
        <item x="14"/>
        <item x="190"/>
        <item x="133"/>
        <item x="38"/>
        <item x="230"/>
        <item x="37"/>
        <item x="227"/>
        <item x="110"/>
        <item x="25"/>
        <item x="134"/>
        <item x="147"/>
        <item x="101"/>
        <item x="116"/>
        <item x="123"/>
        <item x="29"/>
        <item x="211"/>
        <item x="198"/>
        <item x="26"/>
        <item x="99"/>
        <item x="107"/>
        <item x="117"/>
        <item x="155"/>
        <item x="142"/>
        <item x="234"/>
        <item x="30"/>
        <item x="10"/>
        <item x="45"/>
        <item x="61"/>
        <item x="172"/>
        <item x="135"/>
        <item x="148"/>
        <item x="178"/>
        <item x="191"/>
        <item x="204"/>
        <item x="212"/>
        <item x="199"/>
        <item x="15"/>
        <item x="174"/>
        <item x="132"/>
        <item x="180"/>
        <item x="146"/>
        <item x="65"/>
        <item x="49"/>
        <item x="165"/>
        <item x="233"/>
        <item x="141"/>
        <item x="154"/>
        <item x="166"/>
        <item x="167"/>
        <item x="87"/>
        <item x="96"/>
        <item x="24"/>
        <item x="78"/>
        <item x="74"/>
        <item x="168"/>
        <item x="169"/>
        <item x="80"/>
        <item x="83"/>
        <item x="92"/>
        <item x="89"/>
        <item x="98"/>
        <item x="188"/>
        <item x="32"/>
        <item x="202"/>
        <item x="35"/>
        <item x="112"/>
        <item x="70"/>
        <item x="54"/>
        <item x="115"/>
        <item x="173"/>
        <item x="82"/>
        <item x="122"/>
        <item x="179"/>
        <item x="91"/>
        <item x="216"/>
        <item x="217"/>
        <item x="42"/>
        <item x="4"/>
        <item x="119"/>
        <item x="125"/>
        <item x="52"/>
        <item x="68"/>
        <item x="43"/>
        <item x="59"/>
        <item x="41"/>
        <item x="58"/>
        <item x="33"/>
        <item x="36"/>
        <item x="2"/>
        <item x="114"/>
        <item x="189"/>
        <item x="121"/>
        <item x="203"/>
        <item x="118"/>
        <item x="124"/>
        <item x="31"/>
        <item x="34"/>
        <item x="84"/>
        <item x="93"/>
        <item x="6"/>
        <item x="196"/>
        <item x="209"/>
        <item x="130"/>
        <item x="175"/>
        <item x="144"/>
        <item x="171"/>
        <item x="181"/>
        <item x="177"/>
        <item x="88"/>
        <item x="97"/>
        <item x="113"/>
        <item x="120"/>
        <item x="187"/>
        <item x="197"/>
        <item x="201"/>
        <item x="210"/>
        <item x="140"/>
        <item x="153"/>
        <item x="3"/>
        <item x="131"/>
        <item x="145"/>
        <item x="81"/>
        <item x="90"/>
        <item x="170"/>
        <item x="176"/>
        <item x="139"/>
        <item x="5"/>
        <item x="152"/>
        <item x="44"/>
        <item x="60"/>
        <item x="0"/>
        <item x="11"/>
        <item x="186"/>
        <item x="200"/>
        <item x="23"/>
        <item x="51"/>
        <item x="67"/>
        <item x="129"/>
        <item x="143"/>
        <item x="18"/>
        <item x="40"/>
        <item x="57"/>
        <item x="162"/>
        <item x="21"/>
        <item x="12"/>
        <item x="7"/>
        <item x="105"/>
        <item x="104"/>
        <item x="19"/>
        <item x="20"/>
        <item x="17"/>
        <item x="27"/>
        <item x="103"/>
        <item t="default"/>
      </items>
    </pivotField>
    <pivotField dataField="1" compact="0" outline="0" multipleItemSelectionAllowed="1" showAll="0">
      <items count="271">
        <item x="0"/>
        <item x="53"/>
        <item x="207"/>
        <item x="56"/>
        <item x="268"/>
        <item x="141"/>
        <item x="122"/>
        <item x="206"/>
        <item x="249"/>
        <item x="177"/>
        <item x="176"/>
        <item x="208"/>
        <item x="203"/>
        <item x="97"/>
        <item x="180"/>
        <item x="100"/>
        <item x="171"/>
        <item x="157"/>
        <item x="267"/>
        <item x="173"/>
        <item x="244"/>
        <item x="224"/>
        <item x="240"/>
        <item x="55"/>
        <item x="248"/>
        <item x="52"/>
        <item x="266"/>
        <item x="175"/>
        <item x="124"/>
        <item x="205"/>
        <item x="254"/>
        <item x="166"/>
        <item x="152"/>
        <item x="67"/>
        <item x="84"/>
        <item x="264"/>
        <item x="269"/>
        <item x="165"/>
        <item x="151"/>
        <item x="265"/>
        <item x="94"/>
        <item x="131"/>
        <item x="253"/>
        <item x="243"/>
        <item x="22"/>
        <item x="164"/>
        <item x="150"/>
        <item x="73"/>
        <item x="90"/>
        <item x="232"/>
        <item x="216"/>
        <item x="26"/>
        <item x="81"/>
        <item x="64"/>
        <item x="217"/>
        <item x="233"/>
        <item x="258"/>
        <item x="255"/>
        <item x="252"/>
        <item x="72"/>
        <item x="89"/>
        <item x="108"/>
        <item x="7"/>
        <item x="118"/>
        <item x="139"/>
        <item x="63"/>
        <item x="140"/>
        <item x="80"/>
        <item x="23"/>
        <item x="261"/>
        <item x="204"/>
        <item x="234"/>
        <item x="218"/>
        <item x="116"/>
        <item x="106"/>
        <item x="31"/>
        <item x="115"/>
        <item x="105"/>
        <item x="130"/>
        <item x="174"/>
        <item x="260"/>
        <item x="257"/>
        <item x="42"/>
        <item x="47"/>
        <item x="202"/>
        <item x="54"/>
        <item x="134"/>
        <item x="51"/>
        <item x="93"/>
        <item x="172"/>
        <item x="25"/>
        <item x="95"/>
        <item x="8"/>
        <item x="189"/>
        <item x="27"/>
        <item x="65"/>
        <item x="82"/>
        <item x="11"/>
        <item x="128"/>
        <item x="193"/>
        <item x="201"/>
        <item x="219"/>
        <item x="235"/>
        <item x="251"/>
        <item x="37"/>
        <item x="239"/>
        <item x="223"/>
        <item x="215"/>
        <item x="231"/>
        <item x="147"/>
        <item x="242"/>
        <item x="259"/>
        <item x="256"/>
        <item x="148"/>
        <item x="162"/>
        <item x="9"/>
        <item x="123"/>
        <item x="250"/>
        <item x="187"/>
        <item x="196"/>
        <item x="129"/>
        <item x="30"/>
        <item x="12"/>
        <item x="241"/>
        <item x="121"/>
        <item x="170"/>
        <item x="156"/>
        <item x="146"/>
        <item x="263"/>
        <item x="83"/>
        <item x="66"/>
        <item x="38"/>
        <item x="62"/>
        <item x="133"/>
        <item x="149"/>
        <item x="163"/>
        <item x="79"/>
        <item x="24"/>
        <item x="91"/>
        <item x="222"/>
        <item x="238"/>
        <item x="117"/>
        <item x="107"/>
        <item x="155"/>
        <item x="169"/>
        <item x="262"/>
        <item x="181"/>
        <item x="35"/>
        <item x="36"/>
        <item x="34"/>
        <item x="98"/>
        <item x="183"/>
        <item x="28"/>
        <item x="99"/>
        <item x="188"/>
        <item x="197"/>
        <item x="145"/>
        <item x="40"/>
        <item x="96"/>
        <item x="161"/>
        <item x="92"/>
        <item x="45"/>
        <item x="50"/>
        <item x="120"/>
        <item x="110"/>
        <item x="184"/>
        <item x="14"/>
        <item x="32"/>
        <item x="103"/>
        <item x="113"/>
        <item x="88"/>
        <item x="71"/>
        <item x="39"/>
        <item x="178"/>
        <item x="179"/>
        <item x="102"/>
        <item x="136"/>
        <item x="112"/>
        <item x="138"/>
        <item x="135"/>
        <item x="137"/>
        <item x="70"/>
        <item x="87"/>
        <item x="246"/>
        <item x="247"/>
        <item x="2"/>
        <item x="44"/>
        <item x="49"/>
        <item x="59"/>
        <item x="76"/>
        <item x="211"/>
        <item x="227"/>
        <item x="192"/>
        <item x="200"/>
        <item x="186"/>
        <item x="195"/>
        <item x="69"/>
        <item x="86"/>
        <item x="212"/>
        <item x="228"/>
        <item x="58"/>
        <item x="75"/>
        <item x="43"/>
        <item x="48"/>
        <item x="41"/>
        <item x="4"/>
        <item x="46"/>
        <item x="213"/>
        <item x="229"/>
        <item x="104"/>
        <item x="114"/>
        <item x="5"/>
        <item x="60"/>
        <item x="77"/>
        <item x="143"/>
        <item x="159"/>
        <item x="109"/>
        <item x="119"/>
        <item x="154"/>
        <item x="168"/>
        <item x="3"/>
        <item x="144"/>
        <item x="160"/>
        <item x="190"/>
        <item x="198"/>
        <item x="214"/>
        <item x="191"/>
        <item x="230"/>
        <item x="199"/>
        <item x="153"/>
        <item x="101"/>
        <item x="1"/>
        <item x="167"/>
        <item x="221"/>
        <item x="210"/>
        <item x="111"/>
        <item x="237"/>
        <item x="226"/>
        <item x="61"/>
        <item x="78"/>
        <item x="13"/>
        <item x="10"/>
        <item x="185"/>
        <item x="194"/>
        <item x="6"/>
        <item x="220"/>
        <item x="236"/>
        <item x="16"/>
        <item x="142"/>
        <item x="158"/>
        <item x="68"/>
        <item x="85"/>
        <item x="126"/>
        <item x="20"/>
        <item x="57"/>
        <item x="74"/>
        <item x="29"/>
        <item x="17"/>
        <item x="21"/>
        <item x="209"/>
        <item x="132"/>
        <item x="225"/>
        <item x="182"/>
        <item x="127"/>
        <item x="18"/>
        <item x="125"/>
        <item x="19"/>
        <item x="15"/>
        <item x="33"/>
        <item x="245"/>
        <item t="default"/>
      </items>
    </pivotField>
    <pivotField dataField="1" compact="0" outline="0" multipleItemSelectionAllowed="1" showAll="0">
      <items count="336">
        <item x="2"/>
        <item x="171"/>
        <item x="313"/>
        <item x="118"/>
        <item x="209"/>
        <item x="119"/>
        <item x="314"/>
        <item x="155"/>
        <item x="172"/>
        <item x="170"/>
        <item x="117"/>
        <item x="311"/>
        <item x="116"/>
        <item x="214"/>
        <item x="210"/>
        <item x="86"/>
        <item x="69"/>
        <item x="99"/>
        <item x="204"/>
        <item x="189"/>
        <item x="223"/>
        <item x="151"/>
        <item x="154"/>
        <item x="211"/>
        <item x="308"/>
        <item x="249"/>
        <item x="294"/>
        <item x="332"/>
        <item x="302"/>
        <item x="206"/>
        <item x="208"/>
        <item x="248"/>
        <item x="331"/>
        <item x="306"/>
        <item x="198"/>
        <item x="312"/>
        <item x="310"/>
        <item x="183"/>
        <item x="318"/>
        <item x="333"/>
        <item x="153"/>
        <item x="323"/>
        <item x="197"/>
        <item x="182"/>
        <item x="22"/>
        <item x="334"/>
        <item x="246"/>
        <item x="160"/>
        <item x="251"/>
        <item x="329"/>
        <item x="250"/>
        <item x="92"/>
        <item x="75"/>
        <item x="295"/>
        <item x="129"/>
        <item x="144"/>
        <item x="307"/>
        <item x="296"/>
        <item x="270"/>
        <item x="289"/>
        <item x="141"/>
        <item x="309"/>
        <item x="126"/>
        <item x="322"/>
        <item x="330"/>
        <item x="293"/>
        <item x="82"/>
        <item x="65"/>
        <item x="58"/>
        <item x="260"/>
        <item x="279"/>
        <item x="18"/>
        <item x="91"/>
        <item x="74"/>
        <item x="299"/>
        <item x="247"/>
        <item x="280"/>
        <item x="261"/>
        <item x="304"/>
        <item x="305"/>
        <item x="83"/>
        <item x="66"/>
        <item x="319"/>
        <item x="303"/>
        <item x="291"/>
        <item x="317"/>
        <item x="149"/>
        <item x="134"/>
        <item x="226"/>
        <item x="186"/>
        <item x="201"/>
        <item x="101"/>
        <item x="316"/>
        <item x="28"/>
        <item x="165"/>
        <item x="168"/>
        <item x="24"/>
        <item x="269"/>
        <item x="288"/>
        <item x="181"/>
        <item x="196"/>
        <item x="133"/>
        <item x="148"/>
        <item x="326"/>
        <item x="207"/>
        <item x="19"/>
        <item x="278"/>
        <item x="259"/>
        <item x="103"/>
        <item x="205"/>
        <item x="221"/>
        <item x="217"/>
        <item x="262"/>
        <item x="281"/>
        <item x="55"/>
        <item x="97"/>
        <item x="158"/>
        <item x="325"/>
        <item x="324"/>
        <item x="287"/>
        <item x="268"/>
        <item x="143"/>
        <item x="128"/>
        <item x="21"/>
        <item x="142"/>
        <item x="127"/>
        <item x="161"/>
        <item x="321"/>
        <item x="27"/>
        <item x="125"/>
        <item x="140"/>
        <item x="225"/>
        <item x="179"/>
        <item x="194"/>
        <item x="8"/>
        <item x="85"/>
        <item x="68"/>
        <item x="320"/>
        <item x="178"/>
        <item x="147"/>
        <item x="132"/>
        <item x="237"/>
        <item x="224"/>
        <item x="258"/>
        <item x="277"/>
        <item x="243"/>
        <item x="292"/>
        <item x="152"/>
        <item x="227"/>
        <item x="203"/>
        <item x="188"/>
        <item x="159"/>
        <item x="328"/>
        <item x="20"/>
        <item x="180"/>
        <item x="195"/>
        <item x="100"/>
        <item x="315"/>
        <item x="177"/>
        <item x="150"/>
        <item x="162"/>
        <item x="95"/>
        <item x="67"/>
        <item x="228"/>
        <item x="84"/>
        <item x="64"/>
        <item x="81"/>
        <item x="290"/>
        <item x="267"/>
        <item x="286"/>
        <item x="110"/>
        <item x="10"/>
        <item x="115"/>
        <item x="229"/>
        <item x="26"/>
        <item x="187"/>
        <item x="202"/>
        <item x="327"/>
        <item x="102"/>
        <item x="124"/>
        <item x="139"/>
        <item x="9"/>
        <item x="33"/>
        <item x="56"/>
        <item x="57"/>
        <item x="35"/>
        <item x="218"/>
        <item x="222"/>
        <item x="96"/>
        <item x="122"/>
        <item x="137"/>
        <item x="32"/>
        <item x="54"/>
        <item x="30"/>
        <item x="105"/>
        <item x="73"/>
        <item x="90"/>
        <item x="216"/>
        <item x="233"/>
        <item x="220"/>
        <item x="34"/>
        <item x="104"/>
        <item x="29"/>
        <item x="231"/>
        <item x="232"/>
        <item x="36"/>
        <item x="53"/>
        <item x="1"/>
        <item x="156"/>
        <item x="166"/>
        <item x="169"/>
        <item x="44"/>
        <item x="52"/>
        <item x="164"/>
        <item x="167"/>
        <item x="131"/>
        <item x="146"/>
        <item x="98"/>
        <item x="93"/>
        <item x="266"/>
        <item x="94"/>
        <item x="285"/>
        <item x="109"/>
        <item x="38"/>
        <item x="114"/>
        <item x="176"/>
        <item x="46"/>
        <item x="193"/>
        <item x="255"/>
        <item x="274"/>
        <item x="297"/>
        <item x="298"/>
        <item x="3"/>
        <item x="238"/>
        <item x="244"/>
        <item x="72"/>
        <item x="89"/>
        <item x="107"/>
        <item x="256"/>
        <item x="112"/>
        <item x="275"/>
        <item x="235"/>
        <item x="241"/>
        <item x="108"/>
        <item x="123"/>
        <item x="113"/>
        <item x="43"/>
        <item x="138"/>
        <item x="51"/>
        <item x="300"/>
        <item x="236"/>
        <item x="301"/>
        <item x="212"/>
        <item x="242"/>
        <item x="213"/>
        <item x="0"/>
        <item x="121"/>
        <item x="136"/>
        <item x="239"/>
        <item x="245"/>
        <item x="39"/>
        <item x="174"/>
        <item x="47"/>
        <item x="191"/>
        <item x="60"/>
        <item x="77"/>
        <item x="130"/>
        <item x="265"/>
        <item x="145"/>
        <item x="284"/>
        <item x="215"/>
        <item x="219"/>
        <item x="12"/>
        <item x="185"/>
        <item x="254"/>
        <item x="200"/>
        <item x="273"/>
        <item x="71"/>
        <item x="88"/>
        <item x="175"/>
        <item x="192"/>
        <item x="61"/>
        <item x="78"/>
        <item x="257"/>
        <item x="276"/>
        <item x="106"/>
        <item x="5"/>
        <item x="111"/>
        <item x="264"/>
        <item x="283"/>
        <item x="234"/>
        <item x="240"/>
        <item x="7"/>
        <item x="184"/>
        <item x="199"/>
        <item x="6"/>
        <item x="253"/>
        <item x="272"/>
        <item x="4"/>
        <item x="41"/>
        <item x="49"/>
        <item x="17"/>
        <item x="120"/>
        <item x="263"/>
        <item x="135"/>
        <item x="282"/>
        <item x="173"/>
        <item x="190"/>
        <item x="13"/>
        <item x="14"/>
        <item x="63"/>
        <item x="80"/>
        <item x="163"/>
        <item x="40"/>
        <item x="48"/>
        <item x="230"/>
        <item x="62"/>
        <item x="23"/>
        <item x="79"/>
        <item x="25"/>
        <item x="252"/>
        <item x="271"/>
        <item x="15"/>
        <item x="16"/>
        <item x="42"/>
        <item x="50"/>
        <item x="11"/>
        <item x="37"/>
        <item x="45"/>
        <item x="70"/>
        <item x="87"/>
        <item x="59"/>
        <item x="76"/>
        <item x="31"/>
        <item x="157"/>
        <item t="default"/>
      </items>
    </pivotField>
    <pivotField dataField="1" compact="0" outline="0" multipleItemSelectionAllowed="1" showAll="0">
      <items count="330">
        <item x="2"/>
        <item x="139"/>
        <item x="204"/>
        <item x="307"/>
        <item x="167"/>
        <item x="142"/>
        <item x="249"/>
        <item x="143"/>
        <item x="52"/>
        <item x="219"/>
        <item x="82"/>
        <item x="65"/>
        <item x="205"/>
        <item x="95"/>
        <item x="199"/>
        <item x="184"/>
        <item x="218"/>
        <item x="137"/>
        <item x="141"/>
        <item x="206"/>
        <item x="250"/>
        <item x="251"/>
        <item x="53"/>
        <item x="326"/>
        <item x="300"/>
        <item x="306"/>
        <item x="201"/>
        <item x="325"/>
        <item x="193"/>
        <item x="178"/>
        <item x="203"/>
        <item x="311"/>
        <item x="22"/>
        <item x="192"/>
        <item x="140"/>
        <item x="177"/>
        <item x="327"/>
        <item x="149"/>
        <item x="328"/>
        <item x="316"/>
        <item x="166"/>
        <item x="323"/>
        <item x="296"/>
        <item x="165"/>
        <item x="112"/>
        <item x="129"/>
        <item x="261"/>
        <item x="280"/>
        <item x="227"/>
        <item x="297"/>
        <item x="126"/>
        <item x="109"/>
        <item x="88"/>
        <item x="71"/>
        <item x="96"/>
        <item x="324"/>
        <item x="302"/>
        <item x="78"/>
        <item x="61"/>
        <item x="79"/>
        <item x="62"/>
        <item x="294"/>
        <item x="226"/>
        <item x="262"/>
        <item x="281"/>
        <item x="87"/>
        <item x="154"/>
        <item x="70"/>
        <item x="54"/>
        <item x="18"/>
        <item x="301"/>
        <item x="310"/>
        <item x="292"/>
        <item x="270"/>
        <item x="289"/>
        <item x="135"/>
        <item x="118"/>
        <item x="51"/>
        <item x="313"/>
        <item x="181"/>
        <item x="196"/>
        <item x="98"/>
        <item x="263"/>
        <item x="282"/>
        <item x="309"/>
        <item x="279"/>
        <item x="260"/>
        <item x="252"/>
        <item x="19"/>
        <item x="315"/>
        <item x="100"/>
        <item x="295"/>
        <item x="31"/>
        <item x="288"/>
        <item x="269"/>
        <item x="117"/>
        <item x="134"/>
        <item x="25"/>
        <item x="318"/>
        <item x="314"/>
        <item x="248"/>
        <item x="99"/>
        <item x="191"/>
        <item x="176"/>
        <item x="153"/>
        <item x="216"/>
        <item x="211"/>
        <item x="202"/>
        <item x="21"/>
        <item x="200"/>
        <item x="128"/>
        <item x="111"/>
        <item x="26"/>
        <item x="127"/>
        <item x="110"/>
        <item x="225"/>
        <item x="319"/>
        <item x="305"/>
        <item x="151"/>
        <item x="81"/>
        <item x="30"/>
        <item x="64"/>
        <item x="108"/>
        <item x="125"/>
        <item x="290"/>
        <item x="271"/>
        <item x="312"/>
        <item x="304"/>
        <item x="160"/>
        <item x="163"/>
        <item x="6"/>
        <item x="174"/>
        <item x="189"/>
        <item x="173"/>
        <item x="229"/>
        <item x="133"/>
        <item x="116"/>
        <item x="235"/>
        <item x="93"/>
        <item x="243"/>
        <item x="148"/>
        <item x="321"/>
        <item x="268"/>
        <item x="287"/>
        <item x="138"/>
        <item x="224"/>
        <item x="293"/>
        <item x="175"/>
        <item x="190"/>
        <item x="198"/>
        <item x="183"/>
        <item x="152"/>
        <item x="317"/>
        <item x="161"/>
        <item x="164"/>
        <item x="97"/>
        <item x="172"/>
        <item x="136"/>
        <item x="91"/>
        <item x="20"/>
        <item x="60"/>
        <item x="77"/>
        <item x="320"/>
        <item x="228"/>
        <item x="63"/>
        <item x="80"/>
        <item x="7"/>
        <item x="29"/>
        <item x="278"/>
        <item x="259"/>
        <item x="27"/>
        <item x="303"/>
        <item x="182"/>
        <item x="197"/>
        <item x="33"/>
        <item x="322"/>
        <item x="107"/>
        <item x="124"/>
        <item x="42"/>
        <item x="5"/>
        <item x="47"/>
        <item x="291"/>
        <item x="159"/>
        <item x="162"/>
        <item x="308"/>
        <item x="212"/>
        <item x="217"/>
        <item x="104"/>
        <item x="121"/>
        <item x="40"/>
        <item x="69"/>
        <item x="86"/>
        <item x="92"/>
        <item x="238"/>
        <item x="234"/>
        <item x="246"/>
        <item x="37"/>
        <item x="242"/>
        <item x="209"/>
        <item x="214"/>
        <item x="101"/>
        <item x="36"/>
        <item x="38"/>
        <item x="157"/>
        <item x="32"/>
        <item x="158"/>
        <item x="231"/>
        <item x="39"/>
        <item x="34"/>
        <item x="230"/>
        <item x="156"/>
        <item x="155"/>
        <item x="4"/>
        <item x="144"/>
        <item x="236"/>
        <item x="244"/>
        <item x="115"/>
        <item x="132"/>
        <item x="94"/>
        <item x="90"/>
        <item x="45"/>
        <item x="89"/>
        <item x="50"/>
        <item x="114"/>
        <item x="131"/>
        <item x="44"/>
        <item x="49"/>
        <item x="1"/>
        <item x="256"/>
        <item x="171"/>
        <item x="275"/>
        <item x="188"/>
        <item x="237"/>
        <item x="245"/>
        <item x="106"/>
        <item x="105"/>
        <item x="123"/>
        <item x="122"/>
        <item x="298"/>
        <item x="299"/>
        <item x="210"/>
        <item x="215"/>
        <item x="3"/>
        <item x="103"/>
        <item x="120"/>
        <item x="43"/>
        <item x="113"/>
        <item x="48"/>
        <item x="130"/>
        <item x="257"/>
        <item x="276"/>
        <item x="169"/>
        <item x="208"/>
        <item x="186"/>
        <item x="68"/>
        <item x="213"/>
        <item x="85"/>
        <item x="0"/>
        <item x="56"/>
        <item x="41"/>
        <item x="73"/>
        <item x="46"/>
        <item x="266"/>
        <item x="170"/>
        <item x="180"/>
        <item x="285"/>
        <item x="187"/>
        <item x="195"/>
        <item x="57"/>
        <item x="74"/>
        <item x="258"/>
        <item x="67"/>
        <item x="277"/>
        <item x="255"/>
        <item x="84"/>
        <item x="274"/>
        <item x="9"/>
        <item x="265"/>
        <item x="284"/>
        <item x="11"/>
        <item x="179"/>
        <item x="194"/>
        <item x="13"/>
        <item x="16"/>
        <item x="239"/>
        <item x="145"/>
        <item x="247"/>
        <item x="102"/>
        <item x="147"/>
        <item x="233"/>
        <item x="119"/>
        <item x="241"/>
        <item x="267"/>
        <item x="286"/>
        <item x="223"/>
        <item x="168"/>
        <item x="185"/>
        <item x="15"/>
        <item x="264"/>
        <item x="232"/>
        <item x="240"/>
        <item x="283"/>
        <item x="10"/>
        <item x="59"/>
        <item x="76"/>
        <item x="23"/>
        <item x="221"/>
        <item x="12"/>
        <item x="254"/>
        <item x="273"/>
        <item x="150"/>
        <item x="146"/>
        <item x="58"/>
        <item x="75"/>
        <item x="24"/>
        <item x="28"/>
        <item x="14"/>
        <item x="17"/>
        <item x="222"/>
        <item x="8"/>
        <item x="220"/>
        <item x="253"/>
        <item x="272"/>
        <item x="66"/>
        <item x="83"/>
        <item x="55"/>
        <item x="72"/>
        <item x="35"/>
        <item x="207"/>
        <item t="default"/>
      </items>
    </pivotField>
    <pivotField dataField="1" compact="0" outline="0" multipleItemSelectionAllowed="1" showAll="0">
      <items count="344">
        <item x="2"/>
        <item x="175"/>
        <item x="51"/>
        <item x="257"/>
        <item x="145"/>
        <item x="255"/>
        <item x="218"/>
        <item x="148"/>
        <item x="149"/>
        <item x="232"/>
        <item x="80"/>
        <item x="63"/>
        <item x="213"/>
        <item x="233"/>
        <item x="143"/>
        <item x="147"/>
        <item x="214"/>
        <item x="174"/>
        <item x="231"/>
        <item x="52"/>
        <item x="258"/>
        <item x="212"/>
        <item x="50"/>
        <item x="256"/>
        <item x="340"/>
        <item x="314"/>
        <item x="201"/>
        <item x="209"/>
        <item x="186"/>
        <item x="339"/>
        <item x="93"/>
        <item x="21"/>
        <item x="211"/>
        <item x="325"/>
        <item x="200"/>
        <item x="185"/>
        <item x="146"/>
        <item x="341"/>
        <item x="156"/>
        <item x="342"/>
        <item x="330"/>
        <item x="192"/>
        <item x="207"/>
        <item x="114"/>
        <item x="133"/>
        <item x="337"/>
        <item x="302"/>
        <item x="237"/>
        <item x="267"/>
        <item x="286"/>
        <item x="111"/>
        <item x="130"/>
        <item x="303"/>
        <item x="86"/>
        <item x="69"/>
        <item x="94"/>
        <item x="338"/>
        <item x="316"/>
        <item x="77"/>
        <item x="60"/>
        <item x="103"/>
        <item x="162"/>
        <item x="49"/>
        <item x="300"/>
        <item x="121"/>
        <item x="140"/>
        <item x="268"/>
        <item x="287"/>
        <item x="315"/>
        <item x="85"/>
        <item x="68"/>
        <item x="324"/>
        <item x="276"/>
        <item x="295"/>
        <item x="96"/>
        <item x="228"/>
        <item x="222"/>
        <item x="19"/>
        <item x="269"/>
        <item x="288"/>
        <item x="327"/>
        <item x="319"/>
        <item x="76"/>
        <item x="59"/>
        <item x="323"/>
        <item x="120"/>
        <item x="241"/>
        <item x="139"/>
        <item x="298"/>
        <item x="170"/>
        <item x="173"/>
        <item x="329"/>
        <item x="98"/>
        <item x="301"/>
        <item x="285"/>
        <item x="266"/>
        <item x="294"/>
        <item x="275"/>
        <item x="317"/>
        <item x="332"/>
        <item x="199"/>
        <item x="184"/>
        <item x="28"/>
        <item x="328"/>
        <item x="18"/>
        <item x="210"/>
        <item x="113"/>
        <item x="132"/>
        <item x="112"/>
        <item x="131"/>
        <item x="25"/>
        <item x="151"/>
        <item x="24"/>
        <item x="160"/>
        <item x="79"/>
        <item x="62"/>
        <item x="208"/>
        <item x="333"/>
        <item x="154"/>
        <item x="296"/>
        <item x="277"/>
        <item x="119"/>
        <item x="138"/>
        <item x="27"/>
        <item x="236"/>
        <item x="326"/>
        <item x="158"/>
        <item x="5"/>
        <item x="181"/>
        <item x="182"/>
        <item x="197"/>
        <item x="91"/>
        <item x="155"/>
        <item x="206"/>
        <item x="191"/>
        <item x="335"/>
        <item x="144"/>
        <item x="183"/>
        <item x="141"/>
        <item x="198"/>
        <item x="122"/>
        <item x="299"/>
        <item x="274"/>
        <item x="293"/>
        <item x="240"/>
        <item x="159"/>
        <item x="331"/>
        <item x="224"/>
        <item x="230"/>
        <item x="129"/>
        <item x="110"/>
        <item x="248"/>
        <item x="318"/>
        <item x="253"/>
        <item x="20"/>
        <item x="246"/>
        <item x="180"/>
        <item x="251"/>
        <item x="239"/>
        <item x="229"/>
        <item x="223"/>
        <item x="58"/>
        <item x="61"/>
        <item x="169"/>
        <item x="75"/>
        <item x="78"/>
        <item x="334"/>
        <item x="308"/>
        <item x="312"/>
        <item x="172"/>
        <item x="26"/>
        <item x="284"/>
        <item x="265"/>
        <item x="313"/>
        <item x="309"/>
        <item x="142"/>
        <item x="89"/>
        <item x="320"/>
        <item x="190"/>
        <item x="205"/>
        <item x="189"/>
        <item x="204"/>
        <item x="336"/>
        <item x="109"/>
        <item x="242"/>
        <item x="168"/>
        <item x="128"/>
        <item x="171"/>
        <item x="43"/>
        <item x="97"/>
        <item x="48"/>
        <item x="297"/>
        <item x="161"/>
        <item x="41"/>
        <item x="46"/>
        <item x="100"/>
        <item x="322"/>
        <item x="167"/>
        <item x="106"/>
        <item x="125"/>
        <item x="99"/>
        <item x="67"/>
        <item x="84"/>
        <item x="90"/>
        <item x="164"/>
        <item x="166"/>
        <item x="220"/>
        <item x="165"/>
        <item x="226"/>
        <item x="32"/>
        <item x="38"/>
        <item x="37"/>
        <item x="35"/>
        <item x="36"/>
        <item x="163"/>
        <item x="31"/>
        <item x="321"/>
        <item x="33"/>
        <item x="244"/>
        <item x="243"/>
        <item x="3"/>
        <item x="150"/>
        <item x="247"/>
        <item x="252"/>
        <item x="117"/>
        <item x="136"/>
        <item x="92"/>
        <item x="88"/>
        <item x="249"/>
        <item x="254"/>
        <item x="87"/>
        <item x="116"/>
        <item x="135"/>
        <item x="101"/>
        <item x="102"/>
        <item x="1"/>
        <item x="245"/>
        <item x="250"/>
        <item x="262"/>
        <item x="179"/>
        <item x="281"/>
        <item x="196"/>
        <item x="40"/>
        <item x="108"/>
        <item x="216"/>
        <item x="107"/>
        <item x="45"/>
        <item x="42"/>
        <item x="217"/>
        <item x="127"/>
        <item x="126"/>
        <item x="47"/>
        <item x="307"/>
        <item x="311"/>
        <item x="221"/>
        <item x="227"/>
        <item x="4"/>
        <item x="304"/>
        <item x="305"/>
        <item x="39"/>
        <item x="44"/>
        <item x="115"/>
        <item x="134"/>
        <item x="66"/>
        <item x="83"/>
        <item x="0"/>
        <item x="263"/>
        <item x="282"/>
        <item x="177"/>
        <item x="194"/>
        <item x="272"/>
        <item x="188"/>
        <item x="291"/>
        <item x="203"/>
        <item x="55"/>
        <item x="178"/>
        <item x="72"/>
        <item x="195"/>
        <item x="118"/>
        <item x="137"/>
        <item x="264"/>
        <item x="283"/>
        <item x="105"/>
        <item x="14"/>
        <item x="124"/>
        <item x="65"/>
        <item x="82"/>
        <item x="306"/>
        <item x="16"/>
        <item x="310"/>
        <item x="261"/>
        <item x="280"/>
        <item x="271"/>
        <item x="290"/>
        <item x="219"/>
        <item x="225"/>
        <item x="187"/>
        <item x="54"/>
        <item x="202"/>
        <item x="71"/>
        <item x="7"/>
        <item x="11"/>
        <item x="30"/>
        <item x="95"/>
        <item x="273"/>
        <item x="292"/>
        <item x="152"/>
        <item x="176"/>
        <item x="104"/>
        <item x="193"/>
        <item x="234"/>
        <item x="123"/>
        <item x="17"/>
        <item x="57"/>
        <item x="74"/>
        <item x="8"/>
        <item x="270"/>
        <item x="289"/>
        <item x="13"/>
        <item x="29"/>
        <item x="22"/>
        <item x="260"/>
        <item x="279"/>
        <item x="9"/>
        <item x="157"/>
        <item x="56"/>
        <item x="73"/>
        <item x="153"/>
        <item x="23"/>
        <item x="238"/>
        <item x="12"/>
        <item x="10"/>
        <item x="15"/>
        <item x="235"/>
        <item x="6"/>
        <item x="259"/>
        <item x="278"/>
        <item x="64"/>
        <item x="81"/>
        <item x="53"/>
        <item x="70"/>
        <item x="34"/>
        <item x="215"/>
        <item t="default"/>
      </items>
    </pivotField>
    <pivotField dataField="1" compact="0" outline="0" multipleItemSelectionAllowed="1" showAll="0">
      <items count="364">
        <item x="3"/>
        <item x="156"/>
        <item x="257"/>
        <item x="198"/>
        <item x="160"/>
        <item x="278"/>
        <item x="161"/>
        <item x="92"/>
        <item x="75"/>
        <item x="114"/>
        <item x="255"/>
        <item x="197"/>
        <item x="256"/>
        <item x="62"/>
        <item x="154"/>
        <item x="159"/>
        <item x="238"/>
        <item x="195"/>
        <item x="341"/>
        <item x="254"/>
        <item x="324"/>
        <item x="236"/>
        <item x="360"/>
        <item x="336"/>
        <item x="25"/>
        <item x="279"/>
        <item x="359"/>
        <item x="105"/>
        <item x="345"/>
        <item x="277"/>
        <item x="215"/>
        <item x="231"/>
        <item x="235"/>
        <item x="361"/>
        <item x="125"/>
        <item x="144"/>
        <item x="350"/>
        <item x="362"/>
        <item x="157"/>
        <item x="225"/>
        <item x="209"/>
        <item x="357"/>
        <item x="122"/>
        <item x="141"/>
        <item x="323"/>
        <item x="264"/>
        <item x="64"/>
        <item x="168"/>
        <item x="288"/>
        <item x="307"/>
        <item x="174"/>
        <item x="325"/>
        <item x="196"/>
        <item x="339"/>
        <item x="237"/>
        <item x="358"/>
        <item x="98"/>
        <item x="63"/>
        <item x="81"/>
        <item x="158"/>
        <item x="61"/>
        <item x="233"/>
        <item x="89"/>
        <item x="72"/>
        <item x="321"/>
        <item x="108"/>
        <item x="59"/>
        <item x="97"/>
        <item x="80"/>
        <item x="289"/>
        <item x="308"/>
        <item x="337"/>
        <item x="263"/>
        <item x="273"/>
        <item x="276"/>
        <item x="272"/>
        <item x="275"/>
        <item x="344"/>
        <item x="297"/>
        <item x="131"/>
        <item x="316"/>
        <item x="150"/>
        <item x="251"/>
        <item x="244"/>
        <item x="290"/>
        <item x="309"/>
        <item x="347"/>
        <item x="22"/>
        <item x="343"/>
        <item x="224"/>
        <item x="319"/>
        <item x="106"/>
        <item x="208"/>
        <item x="60"/>
        <item x="349"/>
        <item x="34"/>
        <item x="322"/>
        <item x="306"/>
        <item x="287"/>
        <item x="315"/>
        <item x="296"/>
        <item x="262"/>
        <item x="352"/>
        <item x="88"/>
        <item x="71"/>
        <item x="348"/>
        <item x="124"/>
        <item x="143"/>
        <item x="123"/>
        <item x="142"/>
        <item x="24"/>
        <item x="267"/>
        <item x="207"/>
        <item x="223"/>
        <item x="21"/>
        <item x="234"/>
        <item x="132"/>
        <item x="151"/>
        <item x="271"/>
        <item x="165"/>
        <item x="274"/>
        <item x="338"/>
        <item x="130"/>
        <item x="149"/>
        <item x="29"/>
        <item x="91"/>
        <item x="74"/>
        <item x="205"/>
        <item x="221"/>
        <item x="167"/>
        <item x="173"/>
        <item x="28"/>
        <item x="317"/>
        <item x="298"/>
        <item x="261"/>
        <item x="170"/>
        <item x="33"/>
        <item x="232"/>
        <item x="353"/>
        <item x="206"/>
        <item x="222"/>
        <item x="183"/>
        <item x="214"/>
        <item x="230"/>
        <item x="152"/>
        <item x="346"/>
        <item x="190"/>
        <item x="6"/>
        <item x="133"/>
        <item x="166"/>
        <item x="260"/>
        <item x="103"/>
        <item x="269"/>
        <item x="266"/>
        <item x="155"/>
        <item x="355"/>
        <item x="23"/>
        <item x="295"/>
        <item x="314"/>
        <item x="320"/>
        <item x="171"/>
        <item x="50"/>
        <item x="265"/>
        <item x="56"/>
        <item x="246"/>
        <item x="253"/>
        <item x="351"/>
        <item x="340"/>
        <item x="73"/>
        <item x="90"/>
        <item x="186"/>
        <item x="192"/>
        <item x="252"/>
        <item x="245"/>
        <item x="30"/>
        <item x="70"/>
        <item x="87"/>
        <item x="354"/>
        <item x="329"/>
        <item x="334"/>
        <item x="7"/>
        <item x="140"/>
        <item x="121"/>
        <item x="305"/>
        <item x="286"/>
        <item x="335"/>
        <item x="330"/>
        <item x="32"/>
        <item x="153"/>
        <item x="107"/>
        <item x="356"/>
        <item x="212"/>
        <item x="228"/>
        <item x="120"/>
        <item x="268"/>
        <item x="229"/>
        <item x="213"/>
        <item x="139"/>
        <item x="172"/>
        <item x="51"/>
        <item x="101"/>
        <item x="57"/>
        <item x="110"/>
        <item x="188"/>
        <item x="194"/>
        <item x="318"/>
        <item x="109"/>
        <item x="111"/>
        <item x="42"/>
        <item x="342"/>
        <item x="117"/>
        <item x="204"/>
        <item x="220"/>
        <item x="79"/>
        <item x="136"/>
        <item x="96"/>
        <item x="178"/>
        <item x="102"/>
        <item x="46"/>
        <item x="181"/>
        <item x="38"/>
        <item x="241"/>
        <item x="179"/>
        <item x="248"/>
        <item x="177"/>
        <item x="44"/>
        <item x="180"/>
        <item x="176"/>
        <item x="37"/>
        <item x="39"/>
        <item x="45"/>
        <item x="43"/>
        <item x="41"/>
        <item x="1"/>
        <item x="162"/>
        <item x="49"/>
        <item x="55"/>
        <item x="184"/>
        <item x="191"/>
        <item x="104"/>
        <item x="100"/>
        <item x="127"/>
        <item x="146"/>
        <item x="99"/>
        <item x="185"/>
        <item x="112"/>
        <item x="113"/>
        <item x="2"/>
        <item x="203"/>
        <item x="283"/>
        <item x="302"/>
        <item x="119"/>
        <item x="243"/>
        <item x="118"/>
        <item x="250"/>
        <item x="138"/>
        <item x="137"/>
        <item x="327"/>
        <item x="332"/>
        <item x="242"/>
        <item x="48"/>
        <item x="249"/>
        <item x="54"/>
        <item x="5"/>
        <item x="187"/>
        <item x="328"/>
        <item x="193"/>
        <item x="333"/>
        <item x="128"/>
        <item x="147"/>
        <item x="202"/>
        <item x="219"/>
        <item x="126"/>
        <item x="52"/>
        <item x="145"/>
        <item x="58"/>
        <item x="182"/>
        <item x="189"/>
        <item x="4"/>
        <item x="284"/>
        <item x="303"/>
        <item x="200"/>
        <item x="217"/>
        <item x="293"/>
        <item x="312"/>
        <item x="129"/>
        <item x="148"/>
        <item x="285"/>
        <item x="78"/>
        <item x="201"/>
        <item x="304"/>
        <item x="218"/>
        <item x="95"/>
        <item x="0"/>
        <item x="47"/>
        <item x="211"/>
        <item x="53"/>
        <item x="227"/>
        <item x="67"/>
        <item x="84"/>
        <item x="326"/>
        <item x="77"/>
        <item x="10"/>
        <item x="94"/>
        <item x="331"/>
        <item x="282"/>
        <item x="301"/>
        <item x="292"/>
        <item x="311"/>
        <item x="240"/>
        <item x="247"/>
        <item x="116"/>
        <item x="12"/>
        <item x="135"/>
        <item x="9"/>
        <item x="14"/>
        <item x="66"/>
        <item x="210"/>
        <item x="83"/>
        <item x="226"/>
        <item x="163"/>
        <item x="294"/>
        <item x="313"/>
        <item x="18"/>
        <item x="259"/>
        <item x="115"/>
        <item x="69"/>
        <item x="20"/>
        <item x="134"/>
        <item x="86"/>
        <item x="291"/>
        <item x="310"/>
        <item x="11"/>
        <item x="199"/>
        <item x="216"/>
        <item x="17"/>
        <item x="36"/>
        <item x="281"/>
        <item x="35"/>
        <item x="300"/>
        <item x="175"/>
        <item x="26"/>
        <item x="13"/>
        <item x="68"/>
        <item x="85"/>
        <item x="270"/>
        <item x="169"/>
        <item x="164"/>
        <item x="31"/>
        <item x="27"/>
        <item x="16"/>
        <item x="15"/>
        <item x="258"/>
        <item x="19"/>
        <item x="280"/>
        <item x="299"/>
        <item x="8"/>
        <item x="76"/>
        <item x="93"/>
        <item x="65"/>
        <item x="82"/>
        <item x="40"/>
        <item x="239"/>
        <item t="default"/>
      </items>
    </pivotField>
    <pivotField dataField="1" compact="0" outline="0" multipleItemSelectionAllowed="1" showAll="0">
      <items count="375">
        <item x="1"/>
        <item x="194"/>
        <item x="60"/>
        <item x="154"/>
        <item x="256"/>
        <item x="158"/>
        <item x="159"/>
        <item x="274"/>
        <item x="254"/>
        <item x="90"/>
        <item x="73"/>
        <item x="192"/>
        <item x="61"/>
        <item x="62"/>
        <item x="255"/>
        <item x="152"/>
        <item x="157"/>
        <item x="237"/>
        <item x="253"/>
        <item x="350"/>
        <item x="320"/>
        <item x="351"/>
        <item x="58"/>
        <item x="332"/>
        <item x="341"/>
        <item x="360"/>
        <item x="370"/>
        <item x="349"/>
        <item x="223"/>
        <item x="206"/>
        <item x="355"/>
        <item x="59"/>
        <item x="317"/>
        <item x="193"/>
        <item x="57"/>
        <item x="348"/>
        <item x="234"/>
        <item x="103"/>
        <item x="371"/>
        <item x="123"/>
        <item x="142"/>
        <item x="373"/>
        <item x="155"/>
        <item x="165"/>
        <item x="120"/>
        <item x="139"/>
        <item x="263"/>
        <item x="319"/>
        <item x="195"/>
        <item x="283"/>
        <item x="302"/>
        <item x="212"/>
        <item x="229"/>
        <item x="321"/>
        <item x="372"/>
        <item x="22"/>
        <item x="230"/>
        <item x="213"/>
        <item x="235"/>
        <item x="368"/>
        <item x="156"/>
        <item x="344"/>
        <item x="337"/>
        <item x="236"/>
        <item x="222"/>
        <item x="191"/>
        <item x="205"/>
        <item x="96"/>
        <item x="79"/>
        <item x="316"/>
        <item x="108"/>
        <item x="346"/>
        <item x="284"/>
        <item x="303"/>
        <item x="262"/>
        <item x="333"/>
        <item x="95"/>
        <item x="78"/>
        <item x="232"/>
        <item x="369"/>
        <item x="87"/>
        <item x="70"/>
        <item x="129"/>
        <item x="148"/>
        <item x="250"/>
        <item x="243"/>
        <item x="358"/>
        <item x="285"/>
        <item x="304"/>
        <item x="292"/>
        <item x="311"/>
        <item x="342"/>
        <item x="110"/>
        <item x="49"/>
        <item x="48"/>
        <item x="33"/>
        <item x="314"/>
        <item x="104"/>
        <item x="335"/>
        <item x="301"/>
        <item x="282"/>
        <item x="318"/>
        <item x="261"/>
        <item x="353"/>
        <item x="310"/>
        <item x="367"/>
        <item x="291"/>
        <item x="20"/>
        <item x="86"/>
        <item x="69"/>
        <item x="362"/>
        <item x="345"/>
        <item x="122"/>
        <item x="141"/>
        <item x="121"/>
        <item x="140"/>
        <item x="359"/>
        <item x="19"/>
        <item x="334"/>
        <item x="347"/>
        <item x="203"/>
        <item x="220"/>
        <item x="211"/>
        <item x="228"/>
        <item x="130"/>
        <item x="149"/>
        <item x="357"/>
        <item x="164"/>
        <item x="128"/>
        <item x="147"/>
        <item x="89"/>
        <item x="72"/>
        <item x="354"/>
        <item x="343"/>
        <item x="233"/>
        <item x="26"/>
        <item x="260"/>
        <item x="312"/>
        <item x="293"/>
        <item x="51"/>
        <item x="204"/>
        <item x="221"/>
        <item x="166"/>
        <item x="50"/>
        <item x="25"/>
        <item x="55"/>
        <item x="150"/>
        <item x="6"/>
        <item x="131"/>
        <item x="202"/>
        <item x="219"/>
        <item x="167"/>
        <item x="101"/>
        <item x="339"/>
        <item x="266"/>
        <item x="259"/>
        <item x="21"/>
        <item x="365"/>
        <item x="153"/>
        <item x="32"/>
        <item x="290"/>
        <item x="309"/>
        <item x="336"/>
        <item x="231"/>
        <item x="315"/>
        <item x="180"/>
        <item x="27"/>
        <item x="245"/>
        <item x="188"/>
        <item x="252"/>
        <item x="71"/>
        <item x="88"/>
        <item x="265"/>
        <item x="272"/>
        <item x="273"/>
        <item x="366"/>
        <item x="251"/>
        <item x="244"/>
        <item x="361"/>
        <item x="31"/>
        <item x="325"/>
        <item x="330"/>
        <item x="363"/>
        <item x="105"/>
        <item x="138"/>
        <item x="119"/>
        <item x="300"/>
        <item x="281"/>
        <item x="331"/>
        <item x="326"/>
        <item x="340"/>
        <item x="177"/>
        <item x="151"/>
        <item x="185"/>
        <item x="107"/>
        <item x="364"/>
        <item x="356"/>
        <item x="68"/>
        <item x="210"/>
        <item x="227"/>
        <item x="169"/>
        <item x="85"/>
        <item x="118"/>
        <item x="267"/>
        <item x="338"/>
        <item x="137"/>
        <item x="7"/>
        <item x="99"/>
        <item x="109"/>
        <item x="313"/>
        <item x="37"/>
        <item x="112"/>
        <item x="77"/>
        <item x="94"/>
        <item x="115"/>
        <item x="201"/>
        <item x="52"/>
        <item x="218"/>
        <item x="134"/>
        <item x="56"/>
        <item x="172"/>
        <item x="111"/>
        <item x="100"/>
        <item x="39"/>
        <item x="240"/>
        <item x="247"/>
        <item x="270"/>
        <item x="45"/>
        <item x="36"/>
        <item x="40"/>
        <item x="42"/>
        <item x="173"/>
        <item x="43"/>
        <item x="171"/>
        <item x="35"/>
        <item x="271"/>
        <item x="44"/>
        <item x="269"/>
        <item x="174"/>
        <item x="41"/>
        <item x="3"/>
        <item x="181"/>
        <item x="160"/>
        <item x="189"/>
        <item x="47"/>
        <item x="54"/>
        <item x="352"/>
        <item x="46"/>
        <item x="53"/>
        <item x="102"/>
        <item x="209"/>
        <item x="226"/>
        <item x="98"/>
        <item x="125"/>
        <item x="144"/>
        <item x="182"/>
        <item x="190"/>
        <item x="97"/>
        <item x="2"/>
        <item x="200"/>
        <item x="278"/>
        <item x="297"/>
        <item x="117"/>
        <item x="242"/>
        <item x="116"/>
        <item x="249"/>
        <item x="136"/>
        <item x="135"/>
        <item x="323"/>
        <item x="328"/>
        <item x="241"/>
        <item x="248"/>
        <item x="4"/>
        <item x="324"/>
        <item x="329"/>
        <item x="126"/>
        <item x="178"/>
        <item x="145"/>
        <item x="186"/>
        <item x="124"/>
        <item x="143"/>
        <item x="176"/>
        <item x="184"/>
        <item x="5"/>
        <item x="279"/>
        <item x="298"/>
        <item x="179"/>
        <item x="187"/>
        <item x="127"/>
        <item x="146"/>
        <item x="280"/>
        <item x="299"/>
        <item x="288"/>
        <item x="307"/>
        <item x="0"/>
        <item x="198"/>
        <item x="216"/>
        <item x="208"/>
        <item x="225"/>
        <item x="76"/>
        <item x="93"/>
        <item x="322"/>
        <item x="162"/>
        <item x="327"/>
        <item x="277"/>
        <item x="296"/>
        <item x="287"/>
        <item x="75"/>
        <item x="306"/>
        <item x="92"/>
        <item x="239"/>
        <item x="246"/>
        <item x="65"/>
        <item x="199"/>
        <item x="82"/>
        <item x="217"/>
        <item x="114"/>
        <item x="18"/>
        <item x="133"/>
        <item x="175"/>
        <item x="183"/>
        <item x="197"/>
        <item x="215"/>
        <item x="9"/>
        <item x="23"/>
        <item x="64"/>
        <item x="81"/>
        <item x="13"/>
        <item x="289"/>
        <item x="308"/>
        <item x="15"/>
        <item x="12"/>
        <item x="30"/>
        <item x="113"/>
        <item x="67"/>
        <item x="207"/>
        <item x="132"/>
        <item x="84"/>
        <item x="224"/>
        <item x="286"/>
        <item x="305"/>
        <item x="10"/>
        <item x="29"/>
        <item x="16"/>
        <item x="168"/>
        <item x="276"/>
        <item x="295"/>
        <item x="163"/>
        <item x="34"/>
        <item x="11"/>
        <item x="66"/>
        <item x="196"/>
        <item x="83"/>
        <item x="214"/>
        <item x="170"/>
        <item x="268"/>
        <item x="264"/>
        <item x="257"/>
        <item x="28"/>
        <item x="258"/>
        <item x="275"/>
        <item x="24"/>
        <item x="294"/>
        <item x="14"/>
        <item x="161"/>
        <item x="17"/>
        <item x="74"/>
        <item x="91"/>
        <item x="8"/>
        <item x="63"/>
        <item x="80"/>
        <item x="38"/>
        <item x="238"/>
        <item x="106"/>
        <item t="default"/>
      </items>
    </pivotField>
    <pivotField dataField="1" compact="0" outline="0" multipleItemSelectionAllowed="1" showAll="0">
      <items count="381">
        <item x="1"/>
        <item x="287"/>
        <item x="201"/>
        <item x="145"/>
        <item x="265"/>
        <item x="198"/>
        <item x="355"/>
        <item x="150"/>
        <item x="200"/>
        <item x="263"/>
        <item x="196"/>
        <item x="77"/>
        <item x="60"/>
        <item x="264"/>
        <item x="148"/>
        <item x="48"/>
        <item x="262"/>
        <item x="333"/>
        <item x="377"/>
        <item x="246"/>
        <item x="345"/>
        <item x="364"/>
        <item x="231"/>
        <item x="212"/>
        <item x="113"/>
        <item x="133"/>
        <item x="375"/>
        <item x="359"/>
        <item x="110"/>
        <item x="130"/>
        <item x="49"/>
        <item x="330"/>
        <item x="354"/>
        <item x="90"/>
        <item x="165"/>
        <item x="379"/>
        <item x="243"/>
        <item x="146"/>
        <item x="376"/>
        <item x="270"/>
        <item x="286"/>
        <item x="47"/>
        <item x="332"/>
        <item x="239"/>
        <item x="220"/>
        <item x="19"/>
        <item x="334"/>
        <item x="378"/>
        <item x="119"/>
        <item x="139"/>
        <item x="44"/>
        <item x="199"/>
        <item x="164"/>
        <item x="296"/>
        <item x="315"/>
        <item x="147"/>
        <item x="101"/>
        <item x="93"/>
        <item x="245"/>
        <item x="373"/>
        <item x="149"/>
        <item x="269"/>
        <item x="329"/>
        <item x="297"/>
        <item x="316"/>
        <item x="83"/>
        <item x="66"/>
        <item x="143"/>
        <item x="346"/>
        <item x="82"/>
        <item x="65"/>
        <item x="374"/>
        <item x="96"/>
        <item x="112"/>
        <item x="132"/>
        <item x="111"/>
        <item x="131"/>
        <item x="241"/>
        <item x="362"/>
        <item x="74"/>
        <item x="298"/>
        <item x="259"/>
        <item x="57"/>
        <item x="317"/>
        <item x="172"/>
        <item x="252"/>
        <item x="305"/>
        <item x="324"/>
        <item x="29"/>
        <item x="327"/>
        <item x="120"/>
        <item x="140"/>
        <item x="281"/>
        <item x="284"/>
        <item x="91"/>
        <item x="219"/>
        <item x="238"/>
        <item x="230"/>
        <item x="211"/>
        <item x="372"/>
        <item x="314"/>
        <item x="295"/>
        <item x="331"/>
        <item x="323"/>
        <item x="304"/>
        <item x="357"/>
        <item x="244"/>
        <item x="73"/>
        <item x="56"/>
        <item x="209"/>
        <item x="228"/>
        <item x="17"/>
        <item x="363"/>
        <item x="366"/>
        <item x="268"/>
        <item x="141"/>
        <item x="121"/>
        <item x="218"/>
        <item x="237"/>
        <item x="197"/>
        <item x="369"/>
        <item x="161"/>
        <item x="274"/>
        <item x="95"/>
        <item x="162"/>
        <item x="76"/>
        <item x="59"/>
        <item x="171"/>
        <item x="358"/>
        <item x="348"/>
        <item x="167"/>
        <item x="325"/>
        <item x="306"/>
        <item x="361"/>
        <item x="267"/>
        <item x="210"/>
        <item x="22"/>
        <item x="229"/>
        <item x="195"/>
        <item x="128"/>
        <item x="108"/>
        <item x="168"/>
        <item x="208"/>
        <item x="227"/>
        <item x="153"/>
        <item x="266"/>
        <item x="18"/>
        <item x="109"/>
        <item x="273"/>
        <item x="129"/>
        <item x="370"/>
        <item x="163"/>
        <item x="144"/>
        <item x="28"/>
        <item x="272"/>
        <item x="88"/>
        <item x="169"/>
        <item x="23"/>
        <item x="43"/>
        <item x="303"/>
        <item x="46"/>
        <item x="322"/>
        <item x="350"/>
        <item x="58"/>
        <item x="254"/>
        <item x="261"/>
        <item x="75"/>
        <item x="365"/>
        <item x="260"/>
        <item x="253"/>
        <item x="328"/>
        <item x="371"/>
        <item x="27"/>
        <item x="338"/>
        <item x="343"/>
        <item x="42"/>
        <item x="45"/>
        <item x="242"/>
        <item x="313"/>
        <item x="294"/>
        <item x="367"/>
        <item x="3"/>
        <item x="344"/>
        <item x="339"/>
        <item x="118"/>
        <item x="138"/>
        <item x="142"/>
        <item x="217"/>
        <item x="236"/>
        <item x="349"/>
        <item x="98"/>
        <item x="360"/>
        <item x="55"/>
        <item x="170"/>
        <item x="275"/>
        <item x="72"/>
        <item x="107"/>
        <item x="94"/>
        <item x="368"/>
        <item x="127"/>
        <item x="152"/>
        <item x="86"/>
        <item x="240"/>
        <item x="34"/>
        <item x="64"/>
        <item x="81"/>
        <item x="326"/>
        <item x="104"/>
        <item x="207"/>
        <item x="226"/>
        <item x="124"/>
        <item x="175"/>
        <item x="41"/>
        <item x="87"/>
        <item x="249"/>
        <item x="186"/>
        <item x="278"/>
        <item x="256"/>
        <item x="193"/>
        <item x="279"/>
        <item x="180"/>
        <item x="33"/>
        <item x="352"/>
        <item x="277"/>
        <item x="37"/>
        <item x="176"/>
        <item x="36"/>
        <item x="179"/>
        <item x="353"/>
        <item x="177"/>
        <item x="178"/>
        <item x="40"/>
        <item x="174"/>
        <item x="39"/>
        <item x="351"/>
        <item x="32"/>
        <item x="38"/>
        <item x="0"/>
        <item x="151"/>
        <item x="282"/>
        <item x="285"/>
        <item x="280"/>
        <item x="283"/>
        <item x="356"/>
        <item x="89"/>
        <item x="85"/>
        <item x="115"/>
        <item x="135"/>
        <item x="216"/>
        <item x="235"/>
        <item x="182"/>
        <item x="84"/>
        <item x="189"/>
        <item x="2"/>
        <item x="183"/>
        <item x="190"/>
        <item x="185"/>
        <item x="192"/>
        <item x="184"/>
        <item x="191"/>
        <item x="106"/>
        <item x="251"/>
        <item x="105"/>
        <item x="258"/>
        <item x="126"/>
        <item x="125"/>
        <item x="336"/>
        <item x="341"/>
        <item x="250"/>
        <item x="257"/>
        <item x="16"/>
        <item x="337"/>
        <item x="342"/>
        <item x="187"/>
        <item x="194"/>
        <item x="116"/>
        <item x="136"/>
        <item x="291"/>
        <item x="310"/>
        <item x="8"/>
        <item x="292"/>
        <item x="311"/>
        <item x="117"/>
        <item x="137"/>
        <item x="293"/>
        <item x="215"/>
        <item x="312"/>
        <item x="301"/>
        <item x="206"/>
        <item x="234"/>
        <item x="225"/>
        <item x="320"/>
        <item x="26"/>
        <item x="204"/>
        <item x="223"/>
        <item x="335"/>
        <item x="14"/>
        <item x="63"/>
        <item x="340"/>
        <item x="80"/>
        <item x="290"/>
        <item x="309"/>
        <item x="62"/>
        <item x="214"/>
        <item x="300"/>
        <item x="79"/>
        <item x="233"/>
        <item x="248"/>
        <item x="319"/>
        <item x="255"/>
        <item x="181"/>
        <item x="188"/>
        <item x="103"/>
        <item x="97"/>
        <item x="52"/>
        <item x="123"/>
        <item x="69"/>
        <item x="99"/>
        <item x="5"/>
        <item x="100"/>
        <item x="205"/>
        <item x="224"/>
        <item x="6"/>
        <item x="203"/>
        <item x="51"/>
        <item x="222"/>
        <item x="68"/>
        <item x="20"/>
        <item x="302"/>
        <item x="321"/>
        <item x="11"/>
        <item x="114"/>
        <item x="134"/>
        <item x="10"/>
        <item x="158"/>
        <item x="25"/>
        <item x="54"/>
        <item x="71"/>
        <item x="7"/>
        <item x="299"/>
        <item x="318"/>
        <item x="160"/>
        <item x="213"/>
        <item x="232"/>
        <item x="13"/>
        <item x="155"/>
        <item x="289"/>
        <item x="308"/>
        <item x="347"/>
        <item x="31"/>
        <item x="9"/>
        <item x="102"/>
        <item x="30"/>
        <item x="122"/>
        <item x="53"/>
        <item x="156"/>
        <item x="70"/>
        <item x="159"/>
        <item x="276"/>
        <item x="173"/>
        <item x="202"/>
        <item x="221"/>
        <item x="271"/>
        <item x="24"/>
        <item x="288"/>
        <item x="21"/>
        <item x="307"/>
        <item x="12"/>
        <item x="166"/>
        <item x="61"/>
        <item x="15"/>
        <item x="78"/>
        <item x="157"/>
        <item x="4"/>
        <item x="154"/>
        <item x="50"/>
        <item x="67"/>
        <item x="35"/>
        <item x="247"/>
        <item x="92"/>
        <item t="default"/>
      </items>
    </pivotField>
    <pivotField dataField="1" compact="0" outline="0" multipleItemSelectionAllowed="1" showAll="0">
      <items count="404">
        <item x="3"/>
        <item x="253"/>
        <item x="308"/>
        <item x="162"/>
        <item x="282"/>
        <item x="94"/>
        <item x="76"/>
        <item x="167"/>
        <item x="280"/>
        <item x="87"/>
        <item x="69"/>
        <item x="205"/>
        <item x="281"/>
        <item x="165"/>
        <item x="195"/>
        <item x="378"/>
        <item x="207"/>
        <item x="279"/>
        <item x="237"/>
        <item x="218"/>
        <item x="354"/>
        <item x="400"/>
        <item x="387"/>
        <item x="252"/>
        <item x="366"/>
        <item x="129"/>
        <item x="150"/>
        <item x="398"/>
        <item x="307"/>
        <item x="56"/>
        <item x="382"/>
        <item x="126"/>
        <item x="147"/>
        <item x="306"/>
        <item x="351"/>
        <item x="58"/>
        <item x="376"/>
        <item x="370"/>
        <item x="101"/>
        <item x="402"/>
        <item x="287"/>
        <item x="163"/>
        <item x="245"/>
        <item x="226"/>
        <item x="399"/>
        <item x="353"/>
        <item x="206"/>
        <item x="177"/>
        <item x="377"/>
        <item x="249"/>
        <item x="22"/>
        <item x="355"/>
        <item x="204"/>
        <item x="135"/>
        <item x="156"/>
        <item x="374"/>
        <item x="301"/>
        <item x="401"/>
        <item x="105"/>
        <item x="164"/>
        <item x="396"/>
        <item x="336"/>
        <item x="317"/>
        <item x="272"/>
        <item x="261"/>
        <item x="176"/>
        <item x="166"/>
        <item x="375"/>
        <item x="318"/>
        <item x="337"/>
        <item x="350"/>
        <item x="112"/>
        <item x="251"/>
        <item x="92"/>
        <item x="74"/>
        <item x="160"/>
        <item x="93"/>
        <item x="75"/>
        <item x="367"/>
        <item x="286"/>
        <item x="128"/>
        <item x="149"/>
        <item x="110"/>
        <item x="319"/>
        <item x="338"/>
        <item x="225"/>
        <item x="244"/>
        <item x="326"/>
        <item x="345"/>
        <item x="84"/>
        <item x="66"/>
        <item x="148"/>
        <item x="127"/>
        <item x="397"/>
        <item x="247"/>
        <item x="215"/>
        <item x="234"/>
        <item x="115"/>
        <item x="116"/>
        <item x="385"/>
        <item x="348"/>
        <item x="395"/>
        <item x="157"/>
        <item x="136"/>
        <item x="102"/>
        <item x="283"/>
        <item x="344"/>
        <item x="325"/>
        <item x="352"/>
        <item x="372"/>
        <item x="250"/>
        <item x="335"/>
        <item x="316"/>
        <item x="243"/>
        <item x="224"/>
        <item x="386"/>
        <item x="32"/>
        <item x="106"/>
        <item x="389"/>
        <item x="83"/>
        <item x="65"/>
        <item x="57"/>
        <item x="21"/>
        <item x="158"/>
        <item x="137"/>
        <item x="285"/>
        <item x="380"/>
        <item x="369"/>
        <item x="111"/>
        <item x="392"/>
        <item x="174"/>
        <item x="236"/>
        <item x="217"/>
        <item x="109"/>
        <item x="86"/>
        <item x="68"/>
        <item x="184"/>
        <item x="368"/>
        <item x="381"/>
        <item x="216"/>
        <item x="235"/>
        <item x="55"/>
        <item x="346"/>
        <item x="327"/>
        <item x="384"/>
        <item x="180"/>
        <item x="51"/>
        <item x="371"/>
        <item x="26"/>
        <item x="284"/>
        <item x="179"/>
        <item x="145"/>
        <item x="124"/>
        <item x="267"/>
        <item x="278"/>
        <item x="214"/>
        <item x="233"/>
        <item x="5"/>
        <item x="50"/>
        <item x="273"/>
        <item x="262"/>
        <item x="54"/>
        <item x="31"/>
        <item x="125"/>
        <item x="290"/>
        <item x="146"/>
        <item x="300"/>
        <item x="175"/>
        <item x="161"/>
        <item x="197"/>
        <item x="27"/>
        <item x="203"/>
        <item x="291"/>
        <item x="181"/>
        <item x="67"/>
        <item x="85"/>
        <item x="393"/>
        <item x="373"/>
        <item x="324"/>
        <item x="343"/>
        <item x="394"/>
        <item x="299"/>
        <item x="304"/>
        <item x="104"/>
        <item x="388"/>
        <item x="30"/>
        <item x="359"/>
        <item x="364"/>
        <item x="334"/>
        <item x="315"/>
        <item x="349"/>
        <item x="6"/>
        <item x="134"/>
        <item x="155"/>
        <item x="365"/>
        <item x="360"/>
        <item x="263"/>
        <item x="274"/>
        <item x="159"/>
        <item x="248"/>
        <item x="266"/>
        <item x="277"/>
        <item x="99"/>
        <item x="390"/>
        <item x="64"/>
        <item x="82"/>
        <item x="292"/>
        <item x="123"/>
        <item x="108"/>
        <item x="183"/>
        <item x="391"/>
        <item x="144"/>
        <item x="223"/>
        <item x="242"/>
        <item x="7"/>
        <item x="383"/>
        <item x="97"/>
        <item x="39"/>
        <item x="296"/>
        <item x="73"/>
        <item x="91"/>
        <item x="297"/>
        <item x="120"/>
        <item x="141"/>
        <item x="213"/>
        <item x="246"/>
        <item x="113"/>
        <item x="232"/>
        <item x="347"/>
        <item x="302"/>
        <item x="305"/>
        <item x="98"/>
        <item x="258"/>
        <item x="42"/>
        <item x="269"/>
        <item x="114"/>
        <item x="294"/>
        <item x="47"/>
        <item x="38"/>
        <item x="298"/>
        <item x="303"/>
        <item x="187"/>
        <item x="44"/>
        <item x="45"/>
        <item x="189"/>
        <item x="37"/>
        <item x="46"/>
        <item x="43"/>
        <item x="295"/>
        <item x="41"/>
        <item x="188"/>
        <item x="186"/>
        <item x="190"/>
        <item x="2"/>
        <item x="168"/>
        <item x="193"/>
        <item x="200"/>
        <item x="379"/>
        <item x="100"/>
        <item x="49"/>
        <item x="53"/>
        <item x="96"/>
        <item x="255"/>
        <item x="131"/>
        <item x="256"/>
        <item x="152"/>
        <item x="222"/>
        <item x="241"/>
        <item x="1"/>
        <item x="48"/>
        <item x="95"/>
        <item x="52"/>
        <item x="122"/>
        <item x="265"/>
        <item x="276"/>
        <item x="143"/>
        <item x="357"/>
        <item x="192"/>
        <item x="121"/>
        <item x="362"/>
        <item x="259"/>
        <item x="199"/>
        <item x="142"/>
        <item x="270"/>
        <item x="4"/>
        <item x="358"/>
        <item x="363"/>
        <item x="132"/>
        <item x="153"/>
        <item x="312"/>
        <item x="331"/>
        <item x="0"/>
        <item x="313"/>
        <item x="194"/>
        <item x="332"/>
        <item x="201"/>
        <item x="260"/>
        <item x="271"/>
        <item x="133"/>
        <item x="264"/>
        <item x="154"/>
        <item x="275"/>
        <item x="314"/>
        <item x="221"/>
        <item x="333"/>
        <item x="322"/>
        <item x="240"/>
        <item x="341"/>
        <item x="36"/>
        <item x="210"/>
        <item x="229"/>
        <item x="356"/>
        <item x="35"/>
        <item x="361"/>
        <item x="71"/>
        <item x="72"/>
        <item x="89"/>
        <item x="321"/>
        <item x="90"/>
        <item x="340"/>
        <item x="311"/>
        <item x="220"/>
        <item x="330"/>
        <item x="239"/>
        <item x="118"/>
        <item x="19"/>
        <item x="139"/>
        <item x="61"/>
        <item x="79"/>
        <item x="196"/>
        <item x="119"/>
        <item x="202"/>
        <item x="107"/>
        <item x="140"/>
        <item x="257"/>
        <item x="191"/>
        <item x="268"/>
        <item x="198"/>
        <item x="11"/>
        <item x="212"/>
        <item x="231"/>
        <item x="211"/>
        <item x="9"/>
        <item x="230"/>
        <item x="323"/>
        <item x="342"/>
        <item x="14"/>
        <item x="60"/>
        <item x="130"/>
        <item x="78"/>
        <item x="151"/>
        <item x="25"/>
        <item x="209"/>
        <item x="228"/>
        <item x="13"/>
        <item x="29"/>
        <item x="63"/>
        <item x="81"/>
        <item x="10"/>
        <item x="18"/>
        <item x="320"/>
        <item x="339"/>
        <item x="173"/>
        <item x="28"/>
        <item x="310"/>
        <item x="329"/>
        <item x="17"/>
        <item x="34"/>
        <item x="288"/>
        <item x="117"/>
        <item x="23"/>
        <item x="138"/>
        <item x="62"/>
        <item x="12"/>
        <item x="80"/>
        <item x="178"/>
        <item x="219"/>
        <item x="238"/>
        <item x="33"/>
        <item x="170"/>
        <item x="182"/>
        <item x="172"/>
        <item x="293"/>
        <item x="185"/>
        <item x="289"/>
        <item x="208"/>
        <item x="309"/>
        <item x="227"/>
        <item x="328"/>
        <item x="24"/>
        <item x="15"/>
        <item x="16"/>
        <item x="70"/>
        <item x="88"/>
        <item x="20"/>
        <item x="171"/>
        <item x="8"/>
        <item x="169"/>
        <item x="59"/>
        <item x="77"/>
        <item x="40"/>
        <item x="254"/>
        <item x="103"/>
        <item t="default"/>
      </items>
    </pivotField>
    <pivotField dataField="1" compact="0" outline="0" multipleItemSelectionAllowed="1" showAll="0">
      <items count="413">
        <item x="385"/>
        <item x="403"/>
        <item x="1"/>
        <item x="204"/>
        <item x="251"/>
        <item x="165"/>
        <item x="278"/>
        <item x="93"/>
        <item x="74"/>
        <item x="54"/>
        <item x="170"/>
        <item x="314"/>
        <item x="276"/>
        <item x="85"/>
        <item x="65"/>
        <item x="366"/>
        <item x="277"/>
        <item x="168"/>
        <item x="86"/>
        <item x="66"/>
        <item x="311"/>
        <item x="275"/>
        <item x="285"/>
        <item x="24"/>
        <item x="235"/>
        <item x="409"/>
        <item x="216"/>
        <item x="119"/>
        <item x="132"/>
        <item x="153"/>
        <item x="312"/>
        <item x="395"/>
        <item x="313"/>
        <item x="250"/>
        <item x="379"/>
        <item x="386"/>
        <item x="205"/>
        <item x="407"/>
        <item x="129"/>
        <item x="150"/>
        <item x="326"/>
        <item x="346"/>
        <item x="390"/>
        <item x="99"/>
        <item x="362"/>
        <item x="377"/>
        <item x="381"/>
        <item x="243"/>
        <item x="224"/>
        <item x="359"/>
        <item x="411"/>
        <item x="166"/>
        <item x="203"/>
        <item x="408"/>
        <item x="101"/>
        <item x="361"/>
        <item x="310"/>
        <item x="53"/>
        <item x="23"/>
        <item x="247"/>
        <item x="138"/>
        <item x="159"/>
        <item x="52"/>
        <item x="383"/>
        <item x="363"/>
        <item x="181"/>
        <item x="202"/>
        <item x="291"/>
        <item x="284"/>
        <item x="106"/>
        <item x="410"/>
        <item x="180"/>
        <item x="344"/>
        <item x="324"/>
        <item x="167"/>
        <item x="112"/>
        <item x="343"/>
        <item x="283"/>
        <item x="405"/>
        <item x="323"/>
        <item x="268"/>
        <item x="257"/>
        <item x="131"/>
        <item x="152"/>
        <item x="92"/>
        <item x="73"/>
        <item x="109"/>
        <item x="249"/>
        <item x="378"/>
        <item x="193"/>
        <item x="325"/>
        <item x="345"/>
        <item x="333"/>
        <item x="353"/>
        <item x="187"/>
        <item x="169"/>
        <item x="91"/>
        <item x="72"/>
        <item x="160"/>
        <item x="139"/>
        <item x="358"/>
        <item x="163"/>
        <item x="245"/>
        <item x="393"/>
        <item x="342"/>
        <item x="322"/>
        <item x="404"/>
        <item x="213"/>
        <item x="232"/>
        <item x="102"/>
        <item x="406"/>
        <item x="82"/>
        <item x="62"/>
        <item x="356"/>
        <item x="241"/>
        <item x="222"/>
        <item x="360"/>
        <item x="223"/>
        <item x="242"/>
        <item x="161"/>
        <item x="140"/>
        <item x="397"/>
        <item x="394"/>
        <item x="22"/>
        <item x="29"/>
        <item x="81"/>
        <item x="61"/>
        <item x="111"/>
        <item x="248"/>
        <item x="282"/>
        <item x="20"/>
        <item x="352"/>
        <item x="332"/>
        <item x="388"/>
        <item x="51"/>
        <item x="234"/>
        <item x="215"/>
        <item x="178"/>
        <item x="400"/>
        <item x="288"/>
        <item x="84"/>
        <item x="64"/>
        <item x="380"/>
        <item x="107"/>
        <item x="392"/>
        <item x="389"/>
        <item x="281"/>
        <item x="148"/>
        <item x="127"/>
        <item x="354"/>
        <item x="334"/>
        <item x="130"/>
        <item x="151"/>
        <item x="183"/>
        <item x="214"/>
        <item x="233"/>
        <item x="190"/>
        <item x="186"/>
        <item x="197"/>
        <item x="70"/>
        <item x="128"/>
        <item x="149"/>
        <item x="26"/>
        <item x="21"/>
        <item x="212"/>
        <item x="231"/>
        <item x="182"/>
        <item x="280"/>
        <item x="263"/>
        <item x="274"/>
        <item x="25"/>
        <item x="287"/>
        <item x="269"/>
        <item x="258"/>
        <item x="27"/>
        <item x="290"/>
        <item x="370"/>
        <item x="375"/>
        <item x="63"/>
        <item x="83"/>
        <item x="179"/>
        <item x="164"/>
        <item x="331"/>
        <item x="351"/>
        <item x="184"/>
        <item x="299"/>
        <item x="105"/>
        <item x="307"/>
        <item x="286"/>
        <item x="401"/>
        <item x="297"/>
        <item x="305"/>
        <item x="402"/>
        <item x="384"/>
        <item x="296"/>
        <item x="28"/>
        <item x="304"/>
        <item x="396"/>
        <item x="321"/>
        <item x="341"/>
        <item x="114"/>
        <item x="357"/>
        <item x="259"/>
        <item x="270"/>
        <item x="162"/>
        <item x="108"/>
        <item x="289"/>
        <item x="262"/>
        <item x="273"/>
        <item x="382"/>
        <item x="185"/>
        <item x="98"/>
        <item x="137"/>
        <item x="158"/>
        <item x="398"/>
        <item x="60"/>
        <item x="246"/>
        <item x="221"/>
        <item x="80"/>
        <item x="240"/>
        <item x="126"/>
        <item x="399"/>
        <item x="376"/>
        <item x="371"/>
        <item x="147"/>
        <item x="252"/>
        <item x="391"/>
        <item x="194"/>
        <item x="200"/>
        <item x="110"/>
        <item x="96"/>
        <item x="36"/>
        <item x="71"/>
        <item x="90"/>
        <item x="42"/>
        <item x="47"/>
        <item x="123"/>
        <item x="144"/>
        <item x="115"/>
        <item x="254"/>
        <item x="265"/>
        <item x="355"/>
        <item x="244"/>
        <item x="116"/>
        <item x="211"/>
        <item x="113"/>
        <item x="230"/>
        <item x="44"/>
        <item x="37"/>
        <item x="40"/>
        <item x="49"/>
        <item x="39"/>
        <item x="35"/>
        <item x="301"/>
        <item x="0"/>
        <item x="309"/>
        <item x="171"/>
        <item x="191"/>
        <item x="97"/>
        <item x="198"/>
        <item x="298"/>
        <item x="306"/>
        <item x="387"/>
        <item x="192"/>
        <item x="199"/>
        <item x="100"/>
        <item x="45"/>
        <item x="50"/>
        <item x="364"/>
        <item x="134"/>
        <item x="365"/>
        <item x="95"/>
        <item x="155"/>
        <item x="220"/>
        <item x="239"/>
        <item x="3"/>
        <item x="195"/>
        <item x="201"/>
        <item x="295"/>
        <item x="303"/>
        <item x="94"/>
        <item x="300"/>
        <item x="308"/>
        <item x="43"/>
        <item x="125"/>
        <item x="261"/>
        <item x="48"/>
        <item x="272"/>
        <item x="146"/>
        <item x="368"/>
        <item x="373"/>
        <item x="255"/>
        <item x="189"/>
        <item x="266"/>
        <item x="196"/>
        <item x="2"/>
        <item x="135"/>
        <item x="156"/>
        <item x="9"/>
        <item x="117"/>
        <item x="319"/>
        <item x="118"/>
        <item x="339"/>
        <item x="318"/>
        <item x="338"/>
        <item x="41"/>
        <item x="256"/>
        <item x="294"/>
        <item x="46"/>
        <item x="267"/>
        <item x="302"/>
        <item x="136"/>
        <item x="260"/>
        <item x="157"/>
        <item x="271"/>
        <item x="369"/>
        <item x="374"/>
        <item x="103"/>
        <item x="320"/>
        <item x="340"/>
        <item x="329"/>
        <item x="349"/>
        <item x="34"/>
        <item x="69"/>
        <item x="208"/>
        <item x="89"/>
        <item x="227"/>
        <item x="317"/>
        <item x="337"/>
        <item x="218"/>
        <item x="237"/>
        <item x="121"/>
        <item x="124"/>
        <item x="219"/>
        <item x="32"/>
        <item x="142"/>
        <item x="238"/>
        <item x="145"/>
        <item x="367"/>
        <item x="372"/>
        <item x="122"/>
        <item x="18"/>
        <item x="143"/>
        <item x="68"/>
        <item x="88"/>
        <item x="253"/>
        <item x="264"/>
        <item x="8"/>
        <item x="328"/>
        <item x="210"/>
        <item x="348"/>
        <item x="229"/>
        <item x="6"/>
        <item x="57"/>
        <item x="77"/>
        <item x="12"/>
        <item x="330"/>
        <item x="209"/>
        <item x="350"/>
        <item x="228"/>
        <item x="56"/>
        <item x="33"/>
        <item x="76"/>
        <item x="207"/>
        <item x="14"/>
        <item x="226"/>
        <item x="11"/>
        <item x="59"/>
        <item x="79"/>
        <item x="7"/>
        <item x="133"/>
        <item x="154"/>
        <item x="17"/>
        <item x="327"/>
        <item x="347"/>
        <item x="293"/>
        <item x="177"/>
        <item x="16"/>
        <item x="174"/>
        <item x="316"/>
        <item x="336"/>
        <item x="31"/>
        <item x="58"/>
        <item x="10"/>
        <item x="78"/>
        <item x="279"/>
        <item x="217"/>
        <item x="236"/>
        <item x="120"/>
        <item x="30"/>
        <item x="141"/>
        <item x="176"/>
        <item x="292"/>
        <item x="188"/>
        <item x="206"/>
        <item x="225"/>
        <item x="13"/>
        <item x="315"/>
        <item x="335"/>
        <item x="15"/>
        <item x="67"/>
        <item x="87"/>
        <item x="19"/>
        <item x="5"/>
        <item x="175"/>
        <item x="173"/>
        <item x="55"/>
        <item x="75"/>
        <item x="38"/>
        <item x="172"/>
        <item x="4"/>
        <item x="104"/>
        <item t="default"/>
      </items>
    </pivotField>
  </pivotFields>
  <rowFields count="1">
    <field x="-2"/>
  </rowFields>
  <row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rowItems>
  <colFields count="1">
    <field x="0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4">
    <pageField fld="1"/>
    <pageField fld="2"/>
    <pageField fld="3"/>
    <pageField fld="4"/>
  </pageFields>
  <dataFields count="12">
    <dataField name="2024年1月" fld="5" baseField="0" baseItem="0"/>
    <dataField name="2024年2月" fld="6" baseField="0" baseItem="0"/>
    <dataField name="2024年3月" fld="7" baseField="0" baseItem="0"/>
    <dataField name="2024年4月" fld="8" baseField="0" baseItem="0"/>
    <dataField name="2024年5月" fld="9" baseField="0" baseItem="0"/>
    <dataField name="2024年6月" fld="10" baseField="0" baseItem="0"/>
    <dataField name="2024年7月" fld="11" baseField="0" baseItem="0"/>
    <dataField name="2024年8月" fld="12" baseField="0" baseItem="0"/>
    <dataField name="2024年9月" fld="13" baseField="0" baseItem="0"/>
    <dataField name="2024年10月" fld="14" baseField="0" baseItem="0"/>
    <dataField name="2024年11月" fld="15" baseField="0" baseItem="0"/>
    <dataField name="2024年12月" fld="16" baseField="0" baseItem="0"/>
  </dataFields>
  <pivotTableStyleInfo showRowHeaders="1" showColHeaders="1" showLastColumn="1"/>
</pivotTableDefinition>
</file>

<file path=xl/pivotTables/pivotTable8.xml><?xml version="1.0" encoding="utf-8"?>
<pivotTableDefinition xmlns="http://schemas.openxmlformats.org/spreadsheetml/2006/main" name="2024统计 2" cacheId="1" dataOnRows="1" autoFormatId="1" applyNumberFormats="0" applyBorderFormats="0" applyFontFormats="0" applyPatternFormats="0" applyAlignmentFormats="0" applyWidthHeightFormats="1" dataCaption="" updatedVersion="5" compact="0" compactData="0" showDrill="1">
  <location ref="K7:R20" firstHeaderRow="1" firstDataRow="2" firstDataCol="1" rowPageCount="4" colPageCount="1"/>
  <pivotFields count="17">
    <pivotField axis="axisPage" compact="0" outline="0" multipleItemSelectionAllowed="1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Page" compact="0" outline="0" multipleItemSelectionAllowed="1" showAll="0">
      <items count="4">
        <item h="1" x="0"/>
        <item h="1" x="1"/>
        <item x="2"/>
        <item t="default"/>
      </items>
    </pivotField>
    <pivotField axis="axisPage" compact="0" outline="0" multipleItemSelectionAllowed="1" showAll="0">
      <items count="9">
        <item h="1" x="0"/>
        <item x="1"/>
        <item h="1" x="2"/>
        <item h="1" x="3"/>
        <item h="1" x="4"/>
        <item h="1" x="5"/>
        <item h="1" x="6"/>
        <item h="1" x="7"/>
        <item t="default"/>
      </items>
    </pivotField>
    <pivotField axis="axisPage" compact="0" outline="0" multipleItemSelectionAllowed="1" showAll="0">
      <items count="18">
        <item h="1" x="0"/>
        <item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t="default"/>
      </items>
    </pivotField>
    <pivotField axis="axisCol" compact="0" sortType="ascending" outline="0" multipleItemSelectionAllowed="1" showAll="0">
      <items count="39">
        <item h="1" x="21"/>
        <item h="1" x="24"/>
        <item h="1" x="27"/>
        <item h="1" x="12"/>
        <item h="1" x="18"/>
        <item h="1" x="33"/>
        <item h="1" x="17"/>
        <item x="4"/>
        <item h="1" x="20"/>
        <item x="3"/>
        <item x="1"/>
        <item h="1" x="8"/>
        <item h="1" x="7"/>
        <item h="1" x="15"/>
        <item h="1" x="16"/>
        <item x="5"/>
        <item h="1" x="9"/>
        <item h="1" x="31"/>
        <item h="1" x="29"/>
        <item h="1" x="30"/>
        <item h="1" x="23"/>
        <item h="1" x="26"/>
        <item h="1" x="0"/>
        <item h="1" x="14"/>
        <item h="1" x="11"/>
        <item h="1" x="10"/>
        <item h="1" x="32"/>
        <item x="6"/>
        <item h="1" x="22"/>
        <item h="1" x="25"/>
        <item h="1" x="28"/>
        <item h="1" x="13"/>
        <item h="1" x="19"/>
        <item h="1" x="34"/>
        <item h="1" x="37"/>
        <item h="1" x="35"/>
        <item h="1" x="36"/>
        <item x="2"/>
        <item t="default"/>
      </items>
    </pivotField>
    <pivotField dataField="1" compact="0" outline="0" multipleItemSelectionAllowed="1" showAll="0">
      <items count="134">
        <item x="5"/>
        <item x="117"/>
        <item x="130"/>
        <item x="125"/>
        <item x="97"/>
        <item x="96"/>
        <item x="95"/>
        <item x="94"/>
        <item x="129"/>
        <item x="93"/>
        <item x="124"/>
        <item x="105"/>
        <item x="127"/>
        <item x="100"/>
        <item x="128"/>
        <item x="92"/>
        <item x="116"/>
        <item x="115"/>
        <item x="70"/>
        <item x="43"/>
        <item x="46"/>
        <item x="53"/>
        <item x="60"/>
        <item x="45"/>
        <item x="126"/>
        <item x="57"/>
        <item x="50"/>
        <item x="51"/>
        <item x="58"/>
        <item x="12"/>
        <item x="83"/>
        <item x="89"/>
        <item x="120"/>
        <item x="15"/>
        <item x="118"/>
        <item x="49"/>
        <item x="56"/>
        <item x="19"/>
        <item x="76"/>
        <item x="44"/>
        <item x="35"/>
        <item x="41"/>
        <item x="55"/>
        <item x="48"/>
        <item x="73"/>
        <item x="71"/>
        <item x="21"/>
        <item x="18"/>
        <item x="103"/>
        <item x="98"/>
        <item x="42"/>
        <item x="20"/>
        <item x="110"/>
        <item x="113"/>
        <item x="25"/>
        <item x="13"/>
        <item x="69"/>
        <item x="47"/>
        <item x="54"/>
        <item x="23"/>
        <item x="106"/>
        <item x="101"/>
        <item x="68"/>
        <item x="16"/>
        <item x="32"/>
        <item x="26"/>
        <item x="33"/>
        <item x="39"/>
        <item x="131"/>
        <item x="22"/>
        <item x="132"/>
        <item x="102"/>
        <item x="107"/>
        <item x="27"/>
        <item x="78"/>
        <item x="77"/>
        <item x="61"/>
        <item x="31"/>
        <item x="99"/>
        <item x="104"/>
        <item x="38"/>
        <item x="17"/>
        <item x="72"/>
        <item x="74"/>
        <item x="79"/>
        <item x="52"/>
        <item x="59"/>
        <item x="119"/>
        <item x="121"/>
        <item x="63"/>
        <item x="66"/>
        <item x="122"/>
        <item x="123"/>
        <item x="30"/>
        <item x="4"/>
        <item x="81"/>
        <item x="87"/>
        <item x="29"/>
        <item x="37"/>
        <item x="84"/>
        <item x="90"/>
        <item x="1"/>
        <item x="111"/>
        <item x="114"/>
        <item x="109"/>
        <item x="112"/>
        <item x="85"/>
        <item x="91"/>
        <item x="64"/>
        <item x="67"/>
        <item x="82"/>
        <item x="88"/>
        <item x="7"/>
        <item x="34"/>
        <item x="40"/>
        <item x="62"/>
        <item x="65"/>
        <item x="3"/>
        <item x="28"/>
        <item x="36"/>
        <item x="80"/>
        <item x="86"/>
        <item x="2"/>
        <item x="11"/>
        <item x="14"/>
        <item x="10"/>
        <item x="6"/>
        <item x="8"/>
        <item x="75"/>
        <item x="9"/>
        <item x="0"/>
        <item x="24"/>
        <item x="108"/>
        <item t="default"/>
      </items>
    </pivotField>
    <pivotField dataField="1" compact="0" outline="0" multipleItemSelectionAllowed="1" showAll="0">
      <items count="202">
        <item x="1"/>
        <item x="200"/>
        <item x="158"/>
        <item x="115"/>
        <item x="183"/>
        <item x="72"/>
        <item x="187"/>
        <item x="145"/>
        <item x="144"/>
        <item x="143"/>
        <item x="198"/>
        <item x="141"/>
        <item x="134"/>
        <item x="122"/>
        <item x="186"/>
        <item x="194"/>
        <item x="49"/>
        <item x="63"/>
        <item x="91"/>
        <item x="68"/>
        <item x="189"/>
        <item x="199"/>
        <item x="67"/>
        <item x="191"/>
        <item x="62"/>
        <item x="48"/>
        <item x="43"/>
        <item x="135"/>
        <item x="58"/>
        <item x="123"/>
        <item x="152"/>
        <item x="106"/>
        <item x="97"/>
        <item x="41"/>
        <item x="56"/>
        <item x="99"/>
        <item x="173"/>
        <item x="162"/>
        <item x="176"/>
        <item x="157"/>
        <item x="174"/>
        <item x="6"/>
        <item x="163"/>
        <item x="165"/>
        <item x="114"/>
        <item x="188"/>
        <item x="156"/>
        <item x="113"/>
        <item x="92"/>
        <item x="119"/>
        <item x="131"/>
        <item x="142"/>
        <item x="55"/>
        <item x="40"/>
        <item x="180"/>
        <item x="169"/>
        <item x="182"/>
        <item x="20"/>
        <item x="195"/>
        <item x="181"/>
        <item x="140"/>
        <item x="196"/>
        <item x="190"/>
        <item x="85"/>
        <item x="77"/>
        <item x="84"/>
        <item x="76"/>
        <item x="146"/>
        <item x="66"/>
        <item x="46"/>
        <item x="60"/>
        <item x="39"/>
        <item x="54"/>
        <item x="11"/>
        <item x="32"/>
        <item x="132"/>
        <item x="120"/>
        <item x="95"/>
        <item x="21"/>
        <item x="98"/>
        <item x="65"/>
        <item x="64"/>
        <item x="149"/>
        <item x="7"/>
        <item x="154"/>
        <item x="160"/>
        <item x="150"/>
        <item x="171"/>
        <item x="108"/>
        <item x="192"/>
        <item x="12"/>
        <item x="90"/>
        <item x="26"/>
        <item x="89"/>
        <item x="167"/>
        <item x="28"/>
        <item x="178"/>
        <item x="24"/>
        <item x="25"/>
        <item x="8"/>
        <item x="107"/>
        <item x="45"/>
        <item x="111"/>
        <item x="38"/>
        <item x="29"/>
        <item x="53"/>
        <item x="57"/>
        <item x="42"/>
        <item x="138"/>
        <item x="126"/>
        <item x="22"/>
        <item x="127"/>
        <item x="139"/>
        <item x="96"/>
        <item x="147"/>
        <item x="23"/>
        <item x="151"/>
        <item x="155"/>
        <item x="30"/>
        <item x="78"/>
        <item x="86"/>
        <item x="121"/>
        <item x="133"/>
        <item x="193"/>
        <item x="100"/>
        <item x="164"/>
        <item x="36"/>
        <item x="175"/>
        <item x="148"/>
        <item x="153"/>
        <item x="52"/>
        <item x="104"/>
        <item x="101"/>
        <item x="14"/>
        <item x="103"/>
        <item x="70"/>
        <item x="109"/>
        <item x="71"/>
        <item x="112"/>
        <item x="80"/>
        <item x="88"/>
        <item x="197"/>
        <item x="102"/>
        <item x="168"/>
        <item x="74"/>
        <item x="179"/>
        <item x="105"/>
        <item x="110"/>
        <item x="82"/>
        <item x="47"/>
        <item x="61"/>
        <item x="184"/>
        <item x="185"/>
        <item x="35"/>
        <item x="2"/>
        <item x="117"/>
        <item x="129"/>
        <item x="34"/>
        <item x="51"/>
        <item x="0"/>
        <item x="161"/>
        <item x="172"/>
        <item x="124"/>
        <item x="136"/>
        <item x="166"/>
        <item x="177"/>
        <item x="125"/>
        <item x="137"/>
        <item x="75"/>
        <item x="83"/>
        <item x="31"/>
        <item x="4"/>
        <item x="159"/>
        <item x="170"/>
        <item x="118"/>
        <item x="37"/>
        <item x="130"/>
        <item x="79"/>
        <item x="87"/>
        <item x="5"/>
        <item x="73"/>
        <item x="81"/>
        <item x="16"/>
        <item x="116"/>
        <item x="128"/>
        <item x="13"/>
        <item x="44"/>
        <item x="59"/>
        <item x="9"/>
        <item x="33"/>
        <item x="50"/>
        <item x="10"/>
        <item x="3"/>
        <item x="19"/>
        <item x="94"/>
        <item x="17"/>
        <item x="93"/>
        <item x="18"/>
        <item x="15"/>
        <item x="27"/>
        <item x="69"/>
        <item t="default"/>
      </items>
    </pivotField>
    <pivotField dataField="1" compact="0" outline="0" multipleItemSelectionAllowed="1" showAll="0">
      <items count="241">
        <item x="1"/>
        <item x="238"/>
        <item x="100"/>
        <item x="219"/>
        <item x="39"/>
        <item x="161"/>
        <item x="160"/>
        <item x="128"/>
        <item x="185"/>
        <item x="237"/>
        <item x="157"/>
        <item x="56"/>
        <item x="72"/>
        <item x="184"/>
        <item x="218"/>
        <item x="223"/>
        <item x="159"/>
        <item x="215"/>
        <item x="102"/>
        <item x="222"/>
        <item x="151"/>
        <item x="138"/>
        <item x="208"/>
        <item x="195"/>
        <item x="77"/>
        <item x="235"/>
        <item x="239"/>
        <item x="50"/>
        <item x="66"/>
        <item x="127"/>
        <item x="150"/>
        <item x="137"/>
        <item x="236"/>
        <item x="183"/>
        <item x="76"/>
        <item x="126"/>
        <item x="149"/>
        <item x="136"/>
        <item x="225"/>
        <item x="109"/>
        <item x="8"/>
        <item x="79"/>
        <item x="182"/>
        <item x="63"/>
        <item x="47"/>
        <item x="164"/>
        <item x="205"/>
        <item x="192"/>
        <item x="193"/>
        <item x="206"/>
        <item x="229"/>
        <item x="22"/>
        <item x="226"/>
        <item x="221"/>
        <item x="108"/>
        <item x="55"/>
        <item x="71"/>
        <item x="111"/>
        <item x="232"/>
        <item x="48"/>
        <item x="220"/>
        <item x="64"/>
        <item x="13"/>
        <item x="46"/>
        <item x="62"/>
        <item x="95"/>
        <item x="86"/>
        <item x="158"/>
        <item x="231"/>
        <item x="228"/>
        <item x="214"/>
        <item x="94"/>
        <item x="85"/>
        <item x="28"/>
        <item x="156"/>
        <item x="75"/>
        <item x="53"/>
        <item x="69"/>
        <item x="9"/>
        <item x="213"/>
        <item x="16"/>
        <item x="194"/>
        <item x="207"/>
        <item x="163"/>
        <item x="73"/>
        <item x="106"/>
        <item x="224"/>
        <item x="14"/>
        <item x="190"/>
        <item x="133"/>
        <item x="38"/>
        <item x="230"/>
        <item x="37"/>
        <item x="227"/>
        <item x="110"/>
        <item x="25"/>
        <item x="134"/>
        <item x="147"/>
        <item x="101"/>
        <item x="116"/>
        <item x="123"/>
        <item x="29"/>
        <item x="211"/>
        <item x="198"/>
        <item x="26"/>
        <item x="99"/>
        <item x="107"/>
        <item x="117"/>
        <item x="155"/>
        <item x="142"/>
        <item x="234"/>
        <item x="30"/>
        <item x="10"/>
        <item x="45"/>
        <item x="61"/>
        <item x="172"/>
        <item x="135"/>
        <item x="148"/>
        <item x="178"/>
        <item x="191"/>
        <item x="204"/>
        <item x="212"/>
        <item x="199"/>
        <item x="15"/>
        <item x="174"/>
        <item x="132"/>
        <item x="180"/>
        <item x="146"/>
        <item x="65"/>
        <item x="49"/>
        <item x="165"/>
        <item x="233"/>
        <item x="141"/>
        <item x="154"/>
        <item x="166"/>
        <item x="167"/>
        <item x="87"/>
        <item x="96"/>
        <item x="24"/>
        <item x="78"/>
        <item x="74"/>
        <item x="168"/>
        <item x="169"/>
        <item x="80"/>
        <item x="83"/>
        <item x="92"/>
        <item x="89"/>
        <item x="98"/>
        <item x="188"/>
        <item x="32"/>
        <item x="202"/>
        <item x="35"/>
        <item x="112"/>
        <item x="70"/>
        <item x="54"/>
        <item x="115"/>
        <item x="173"/>
        <item x="82"/>
        <item x="122"/>
        <item x="179"/>
        <item x="91"/>
        <item x="216"/>
        <item x="217"/>
        <item x="42"/>
        <item x="4"/>
        <item x="119"/>
        <item x="125"/>
        <item x="52"/>
        <item x="68"/>
        <item x="43"/>
        <item x="59"/>
        <item x="41"/>
        <item x="58"/>
        <item x="33"/>
        <item x="36"/>
        <item x="2"/>
        <item x="114"/>
        <item x="189"/>
        <item x="121"/>
        <item x="203"/>
        <item x="118"/>
        <item x="124"/>
        <item x="31"/>
        <item x="34"/>
        <item x="84"/>
        <item x="93"/>
        <item x="6"/>
        <item x="196"/>
        <item x="209"/>
        <item x="130"/>
        <item x="175"/>
        <item x="144"/>
        <item x="171"/>
        <item x="181"/>
        <item x="177"/>
        <item x="88"/>
        <item x="97"/>
        <item x="113"/>
        <item x="120"/>
        <item x="187"/>
        <item x="197"/>
        <item x="201"/>
        <item x="210"/>
        <item x="140"/>
        <item x="153"/>
        <item x="3"/>
        <item x="131"/>
        <item x="145"/>
        <item x="81"/>
        <item x="90"/>
        <item x="170"/>
        <item x="176"/>
        <item x="139"/>
        <item x="5"/>
        <item x="152"/>
        <item x="44"/>
        <item x="60"/>
        <item x="0"/>
        <item x="11"/>
        <item x="186"/>
        <item x="200"/>
        <item x="23"/>
        <item x="51"/>
        <item x="67"/>
        <item x="129"/>
        <item x="143"/>
        <item x="18"/>
        <item x="40"/>
        <item x="57"/>
        <item x="162"/>
        <item x="21"/>
        <item x="12"/>
        <item x="7"/>
        <item x="105"/>
        <item x="104"/>
        <item x="19"/>
        <item x="20"/>
        <item x="17"/>
        <item x="27"/>
        <item x="103"/>
        <item t="default"/>
      </items>
    </pivotField>
    <pivotField dataField="1" compact="0" outline="0" multipleItemSelectionAllowed="1" showAll="0">
      <items count="271">
        <item x="0"/>
        <item x="53"/>
        <item x="207"/>
        <item x="56"/>
        <item x="268"/>
        <item x="141"/>
        <item x="122"/>
        <item x="206"/>
        <item x="249"/>
        <item x="177"/>
        <item x="176"/>
        <item x="208"/>
        <item x="203"/>
        <item x="97"/>
        <item x="180"/>
        <item x="100"/>
        <item x="171"/>
        <item x="157"/>
        <item x="267"/>
        <item x="173"/>
        <item x="244"/>
        <item x="224"/>
        <item x="240"/>
        <item x="55"/>
        <item x="248"/>
        <item x="52"/>
        <item x="266"/>
        <item x="175"/>
        <item x="124"/>
        <item x="205"/>
        <item x="254"/>
        <item x="166"/>
        <item x="152"/>
        <item x="67"/>
        <item x="84"/>
        <item x="264"/>
        <item x="269"/>
        <item x="165"/>
        <item x="151"/>
        <item x="265"/>
        <item x="94"/>
        <item x="131"/>
        <item x="253"/>
        <item x="243"/>
        <item x="22"/>
        <item x="164"/>
        <item x="150"/>
        <item x="73"/>
        <item x="90"/>
        <item x="232"/>
        <item x="216"/>
        <item x="26"/>
        <item x="81"/>
        <item x="64"/>
        <item x="217"/>
        <item x="233"/>
        <item x="258"/>
        <item x="255"/>
        <item x="252"/>
        <item x="72"/>
        <item x="89"/>
        <item x="108"/>
        <item x="7"/>
        <item x="118"/>
        <item x="139"/>
        <item x="63"/>
        <item x="140"/>
        <item x="80"/>
        <item x="23"/>
        <item x="261"/>
        <item x="204"/>
        <item x="234"/>
        <item x="218"/>
        <item x="116"/>
        <item x="106"/>
        <item x="31"/>
        <item x="115"/>
        <item x="105"/>
        <item x="130"/>
        <item x="174"/>
        <item x="260"/>
        <item x="257"/>
        <item x="42"/>
        <item x="47"/>
        <item x="202"/>
        <item x="54"/>
        <item x="134"/>
        <item x="51"/>
        <item x="93"/>
        <item x="172"/>
        <item x="25"/>
        <item x="95"/>
        <item x="8"/>
        <item x="189"/>
        <item x="27"/>
        <item x="65"/>
        <item x="82"/>
        <item x="11"/>
        <item x="128"/>
        <item x="193"/>
        <item x="201"/>
        <item x="219"/>
        <item x="235"/>
        <item x="251"/>
        <item x="37"/>
        <item x="239"/>
        <item x="223"/>
        <item x="215"/>
        <item x="231"/>
        <item x="147"/>
        <item x="242"/>
        <item x="259"/>
        <item x="256"/>
        <item x="148"/>
        <item x="162"/>
        <item x="9"/>
        <item x="123"/>
        <item x="250"/>
        <item x="187"/>
        <item x="196"/>
        <item x="129"/>
        <item x="30"/>
        <item x="12"/>
        <item x="241"/>
        <item x="121"/>
        <item x="170"/>
        <item x="156"/>
        <item x="146"/>
        <item x="263"/>
        <item x="83"/>
        <item x="66"/>
        <item x="38"/>
        <item x="62"/>
        <item x="133"/>
        <item x="149"/>
        <item x="163"/>
        <item x="79"/>
        <item x="24"/>
        <item x="91"/>
        <item x="222"/>
        <item x="238"/>
        <item x="117"/>
        <item x="107"/>
        <item x="155"/>
        <item x="169"/>
        <item x="262"/>
        <item x="181"/>
        <item x="35"/>
        <item x="36"/>
        <item x="34"/>
        <item x="98"/>
        <item x="183"/>
        <item x="28"/>
        <item x="99"/>
        <item x="188"/>
        <item x="197"/>
        <item x="145"/>
        <item x="40"/>
        <item x="96"/>
        <item x="161"/>
        <item x="92"/>
        <item x="45"/>
        <item x="50"/>
        <item x="120"/>
        <item x="110"/>
        <item x="184"/>
        <item x="14"/>
        <item x="32"/>
        <item x="103"/>
        <item x="113"/>
        <item x="88"/>
        <item x="71"/>
        <item x="39"/>
        <item x="178"/>
        <item x="179"/>
        <item x="102"/>
        <item x="136"/>
        <item x="112"/>
        <item x="138"/>
        <item x="135"/>
        <item x="137"/>
        <item x="70"/>
        <item x="87"/>
        <item x="246"/>
        <item x="247"/>
        <item x="2"/>
        <item x="44"/>
        <item x="49"/>
        <item x="59"/>
        <item x="76"/>
        <item x="211"/>
        <item x="227"/>
        <item x="192"/>
        <item x="200"/>
        <item x="186"/>
        <item x="195"/>
        <item x="69"/>
        <item x="86"/>
        <item x="212"/>
        <item x="228"/>
        <item x="58"/>
        <item x="75"/>
        <item x="43"/>
        <item x="48"/>
        <item x="41"/>
        <item x="4"/>
        <item x="46"/>
        <item x="213"/>
        <item x="229"/>
        <item x="104"/>
        <item x="114"/>
        <item x="5"/>
        <item x="60"/>
        <item x="77"/>
        <item x="143"/>
        <item x="159"/>
        <item x="109"/>
        <item x="119"/>
        <item x="154"/>
        <item x="168"/>
        <item x="3"/>
        <item x="144"/>
        <item x="160"/>
        <item x="190"/>
        <item x="198"/>
        <item x="214"/>
        <item x="191"/>
        <item x="230"/>
        <item x="199"/>
        <item x="153"/>
        <item x="101"/>
        <item x="1"/>
        <item x="167"/>
        <item x="221"/>
        <item x="210"/>
        <item x="111"/>
        <item x="237"/>
        <item x="226"/>
        <item x="61"/>
        <item x="78"/>
        <item x="13"/>
        <item x="10"/>
        <item x="185"/>
        <item x="194"/>
        <item x="6"/>
        <item x="220"/>
        <item x="236"/>
        <item x="16"/>
        <item x="142"/>
        <item x="158"/>
        <item x="68"/>
        <item x="85"/>
        <item x="126"/>
        <item x="20"/>
        <item x="57"/>
        <item x="74"/>
        <item x="29"/>
        <item x="17"/>
        <item x="21"/>
        <item x="209"/>
        <item x="132"/>
        <item x="225"/>
        <item x="182"/>
        <item x="127"/>
        <item x="18"/>
        <item x="125"/>
        <item x="19"/>
        <item x="15"/>
        <item x="33"/>
        <item x="245"/>
        <item t="default"/>
      </items>
    </pivotField>
    <pivotField dataField="1" compact="0" outline="0" multipleItemSelectionAllowed="1" showAll="0">
      <items count="336">
        <item x="2"/>
        <item x="171"/>
        <item x="313"/>
        <item x="118"/>
        <item x="209"/>
        <item x="119"/>
        <item x="314"/>
        <item x="155"/>
        <item x="172"/>
        <item x="170"/>
        <item x="117"/>
        <item x="311"/>
        <item x="116"/>
        <item x="214"/>
        <item x="210"/>
        <item x="86"/>
        <item x="69"/>
        <item x="99"/>
        <item x="204"/>
        <item x="189"/>
        <item x="223"/>
        <item x="151"/>
        <item x="154"/>
        <item x="211"/>
        <item x="308"/>
        <item x="249"/>
        <item x="294"/>
        <item x="332"/>
        <item x="302"/>
        <item x="206"/>
        <item x="208"/>
        <item x="248"/>
        <item x="331"/>
        <item x="306"/>
        <item x="198"/>
        <item x="312"/>
        <item x="310"/>
        <item x="183"/>
        <item x="318"/>
        <item x="333"/>
        <item x="153"/>
        <item x="323"/>
        <item x="197"/>
        <item x="182"/>
        <item x="22"/>
        <item x="334"/>
        <item x="246"/>
        <item x="160"/>
        <item x="251"/>
        <item x="329"/>
        <item x="250"/>
        <item x="92"/>
        <item x="75"/>
        <item x="295"/>
        <item x="129"/>
        <item x="144"/>
        <item x="307"/>
        <item x="296"/>
        <item x="270"/>
        <item x="289"/>
        <item x="141"/>
        <item x="309"/>
        <item x="126"/>
        <item x="322"/>
        <item x="330"/>
        <item x="293"/>
        <item x="82"/>
        <item x="65"/>
        <item x="58"/>
        <item x="260"/>
        <item x="279"/>
        <item x="18"/>
        <item x="91"/>
        <item x="74"/>
        <item x="299"/>
        <item x="247"/>
        <item x="280"/>
        <item x="261"/>
        <item x="304"/>
        <item x="305"/>
        <item x="83"/>
        <item x="66"/>
        <item x="319"/>
        <item x="303"/>
        <item x="291"/>
        <item x="317"/>
        <item x="149"/>
        <item x="134"/>
        <item x="226"/>
        <item x="186"/>
        <item x="201"/>
        <item x="101"/>
        <item x="316"/>
        <item x="28"/>
        <item x="165"/>
        <item x="168"/>
        <item x="24"/>
        <item x="269"/>
        <item x="288"/>
        <item x="181"/>
        <item x="196"/>
        <item x="133"/>
        <item x="148"/>
        <item x="326"/>
        <item x="207"/>
        <item x="19"/>
        <item x="278"/>
        <item x="259"/>
        <item x="103"/>
        <item x="205"/>
        <item x="221"/>
        <item x="217"/>
        <item x="262"/>
        <item x="281"/>
        <item x="55"/>
        <item x="97"/>
        <item x="158"/>
        <item x="325"/>
        <item x="324"/>
        <item x="287"/>
        <item x="268"/>
        <item x="143"/>
        <item x="128"/>
        <item x="21"/>
        <item x="142"/>
        <item x="127"/>
        <item x="161"/>
        <item x="321"/>
        <item x="27"/>
        <item x="125"/>
        <item x="140"/>
        <item x="225"/>
        <item x="179"/>
        <item x="194"/>
        <item x="8"/>
        <item x="85"/>
        <item x="68"/>
        <item x="320"/>
        <item x="178"/>
        <item x="147"/>
        <item x="132"/>
        <item x="237"/>
        <item x="224"/>
        <item x="258"/>
        <item x="277"/>
        <item x="243"/>
        <item x="292"/>
        <item x="152"/>
        <item x="227"/>
        <item x="203"/>
        <item x="188"/>
        <item x="159"/>
        <item x="328"/>
        <item x="20"/>
        <item x="180"/>
        <item x="195"/>
        <item x="100"/>
        <item x="315"/>
        <item x="177"/>
        <item x="150"/>
        <item x="162"/>
        <item x="95"/>
        <item x="67"/>
        <item x="228"/>
        <item x="84"/>
        <item x="64"/>
        <item x="81"/>
        <item x="290"/>
        <item x="267"/>
        <item x="286"/>
        <item x="110"/>
        <item x="10"/>
        <item x="115"/>
        <item x="229"/>
        <item x="26"/>
        <item x="187"/>
        <item x="202"/>
        <item x="327"/>
        <item x="102"/>
        <item x="124"/>
        <item x="139"/>
        <item x="9"/>
        <item x="33"/>
        <item x="56"/>
        <item x="57"/>
        <item x="35"/>
        <item x="218"/>
        <item x="222"/>
        <item x="96"/>
        <item x="122"/>
        <item x="137"/>
        <item x="32"/>
        <item x="54"/>
        <item x="30"/>
        <item x="105"/>
        <item x="73"/>
        <item x="90"/>
        <item x="216"/>
        <item x="233"/>
        <item x="220"/>
        <item x="34"/>
        <item x="104"/>
        <item x="29"/>
        <item x="231"/>
        <item x="232"/>
        <item x="36"/>
        <item x="53"/>
        <item x="1"/>
        <item x="156"/>
        <item x="166"/>
        <item x="169"/>
        <item x="44"/>
        <item x="52"/>
        <item x="164"/>
        <item x="167"/>
        <item x="131"/>
        <item x="146"/>
        <item x="98"/>
        <item x="93"/>
        <item x="266"/>
        <item x="94"/>
        <item x="285"/>
        <item x="109"/>
        <item x="38"/>
        <item x="114"/>
        <item x="176"/>
        <item x="46"/>
        <item x="193"/>
        <item x="255"/>
        <item x="274"/>
        <item x="297"/>
        <item x="298"/>
        <item x="3"/>
        <item x="238"/>
        <item x="244"/>
        <item x="72"/>
        <item x="89"/>
        <item x="107"/>
        <item x="256"/>
        <item x="112"/>
        <item x="275"/>
        <item x="235"/>
        <item x="241"/>
        <item x="108"/>
        <item x="123"/>
        <item x="113"/>
        <item x="43"/>
        <item x="138"/>
        <item x="51"/>
        <item x="300"/>
        <item x="236"/>
        <item x="301"/>
        <item x="212"/>
        <item x="242"/>
        <item x="213"/>
        <item x="0"/>
        <item x="121"/>
        <item x="136"/>
        <item x="239"/>
        <item x="245"/>
        <item x="39"/>
        <item x="174"/>
        <item x="47"/>
        <item x="191"/>
        <item x="60"/>
        <item x="77"/>
        <item x="130"/>
        <item x="265"/>
        <item x="145"/>
        <item x="284"/>
        <item x="215"/>
        <item x="219"/>
        <item x="12"/>
        <item x="185"/>
        <item x="254"/>
        <item x="200"/>
        <item x="273"/>
        <item x="71"/>
        <item x="88"/>
        <item x="175"/>
        <item x="192"/>
        <item x="61"/>
        <item x="78"/>
        <item x="257"/>
        <item x="276"/>
        <item x="106"/>
        <item x="5"/>
        <item x="111"/>
        <item x="264"/>
        <item x="283"/>
        <item x="234"/>
        <item x="240"/>
        <item x="7"/>
        <item x="184"/>
        <item x="199"/>
        <item x="6"/>
        <item x="253"/>
        <item x="272"/>
        <item x="4"/>
        <item x="41"/>
        <item x="49"/>
        <item x="17"/>
        <item x="120"/>
        <item x="263"/>
        <item x="135"/>
        <item x="282"/>
        <item x="173"/>
        <item x="190"/>
        <item x="13"/>
        <item x="14"/>
        <item x="63"/>
        <item x="80"/>
        <item x="163"/>
        <item x="40"/>
        <item x="48"/>
        <item x="230"/>
        <item x="62"/>
        <item x="23"/>
        <item x="79"/>
        <item x="25"/>
        <item x="252"/>
        <item x="271"/>
        <item x="15"/>
        <item x="16"/>
        <item x="42"/>
        <item x="50"/>
        <item x="11"/>
        <item x="37"/>
        <item x="45"/>
        <item x="70"/>
        <item x="87"/>
        <item x="59"/>
        <item x="76"/>
        <item x="31"/>
        <item x="157"/>
        <item t="default"/>
      </items>
    </pivotField>
    <pivotField dataField="1" compact="0" outline="0" multipleItemSelectionAllowed="1" showAll="0">
      <items count="330">
        <item x="2"/>
        <item x="139"/>
        <item x="204"/>
        <item x="307"/>
        <item x="167"/>
        <item x="142"/>
        <item x="249"/>
        <item x="143"/>
        <item x="52"/>
        <item x="219"/>
        <item x="82"/>
        <item x="65"/>
        <item x="205"/>
        <item x="95"/>
        <item x="199"/>
        <item x="184"/>
        <item x="218"/>
        <item x="137"/>
        <item x="141"/>
        <item x="206"/>
        <item x="250"/>
        <item x="251"/>
        <item x="53"/>
        <item x="326"/>
        <item x="300"/>
        <item x="306"/>
        <item x="201"/>
        <item x="325"/>
        <item x="193"/>
        <item x="178"/>
        <item x="203"/>
        <item x="311"/>
        <item x="22"/>
        <item x="192"/>
        <item x="140"/>
        <item x="177"/>
        <item x="327"/>
        <item x="149"/>
        <item x="328"/>
        <item x="316"/>
        <item x="166"/>
        <item x="323"/>
        <item x="296"/>
        <item x="165"/>
        <item x="112"/>
        <item x="129"/>
        <item x="261"/>
        <item x="280"/>
        <item x="227"/>
        <item x="297"/>
        <item x="126"/>
        <item x="109"/>
        <item x="88"/>
        <item x="71"/>
        <item x="96"/>
        <item x="324"/>
        <item x="302"/>
        <item x="78"/>
        <item x="61"/>
        <item x="79"/>
        <item x="62"/>
        <item x="294"/>
        <item x="226"/>
        <item x="262"/>
        <item x="281"/>
        <item x="87"/>
        <item x="154"/>
        <item x="70"/>
        <item x="54"/>
        <item x="18"/>
        <item x="301"/>
        <item x="310"/>
        <item x="292"/>
        <item x="270"/>
        <item x="289"/>
        <item x="135"/>
        <item x="118"/>
        <item x="51"/>
        <item x="313"/>
        <item x="181"/>
        <item x="196"/>
        <item x="98"/>
        <item x="263"/>
        <item x="282"/>
        <item x="309"/>
        <item x="279"/>
        <item x="260"/>
        <item x="252"/>
        <item x="19"/>
        <item x="315"/>
        <item x="100"/>
        <item x="295"/>
        <item x="31"/>
        <item x="288"/>
        <item x="269"/>
        <item x="117"/>
        <item x="134"/>
        <item x="25"/>
        <item x="318"/>
        <item x="314"/>
        <item x="248"/>
        <item x="99"/>
        <item x="191"/>
        <item x="176"/>
        <item x="153"/>
        <item x="216"/>
        <item x="211"/>
        <item x="202"/>
        <item x="21"/>
        <item x="200"/>
        <item x="128"/>
        <item x="111"/>
        <item x="26"/>
        <item x="127"/>
        <item x="110"/>
        <item x="225"/>
        <item x="319"/>
        <item x="305"/>
        <item x="151"/>
        <item x="81"/>
        <item x="30"/>
        <item x="64"/>
        <item x="108"/>
        <item x="125"/>
        <item x="290"/>
        <item x="271"/>
        <item x="312"/>
        <item x="304"/>
        <item x="160"/>
        <item x="163"/>
        <item x="6"/>
        <item x="174"/>
        <item x="189"/>
        <item x="173"/>
        <item x="229"/>
        <item x="133"/>
        <item x="116"/>
        <item x="235"/>
        <item x="93"/>
        <item x="243"/>
        <item x="148"/>
        <item x="321"/>
        <item x="268"/>
        <item x="287"/>
        <item x="138"/>
        <item x="224"/>
        <item x="293"/>
        <item x="175"/>
        <item x="190"/>
        <item x="198"/>
        <item x="183"/>
        <item x="152"/>
        <item x="317"/>
        <item x="161"/>
        <item x="164"/>
        <item x="97"/>
        <item x="172"/>
        <item x="136"/>
        <item x="91"/>
        <item x="20"/>
        <item x="60"/>
        <item x="77"/>
        <item x="320"/>
        <item x="228"/>
        <item x="63"/>
        <item x="80"/>
        <item x="7"/>
        <item x="29"/>
        <item x="278"/>
        <item x="259"/>
        <item x="27"/>
        <item x="303"/>
        <item x="182"/>
        <item x="197"/>
        <item x="33"/>
        <item x="322"/>
        <item x="107"/>
        <item x="124"/>
        <item x="42"/>
        <item x="5"/>
        <item x="47"/>
        <item x="291"/>
        <item x="159"/>
        <item x="162"/>
        <item x="308"/>
        <item x="212"/>
        <item x="217"/>
        <item x="104"/>
        <item x="121"/>
        <item x="40"/>
        <item x="69"/>
        <item x="86"/>
        <item x="92"/>
        <item x="238"/>
        <item x="234"/>
        <item x="246"/>
        <item x="37"/>
        <item x="242"/>
        <item x="209"/>
        <item x="214"/>
        <item x="101"/>
        <item x="36"/>
        <item x="38"/>
        <item x="157"/>
        <item x="32"/>
        <item x="158"/>
        <item x="231"/>
        <item x="39"/>
        <item x="34"/>
        <item x="230"/>
        <item x="156"/>
        <item x="155"/>
        <item x="4"/>
        <item x="144"/>
        <item x="236"/>
        <item x="244"/>
        <item x="115"/>
        <item x="132"/>
        <item x="94"/>
        <item x="90"/>
        <item x="45"/>
        <item x="89"/>
        <item x="50"/>
        <item x="114"/>
        <item x="131"/>
        <item x="44"/>
        <item x="49"/>
        <item x="1"/>
        <item x="256"/>
        <item x="171"/>
        <item x="275"/>
        <item x="188"/>
        <item x="237"/>
        <item x="245"/>
        <item x="106"/>
        <item x="105"/>
        <item x="123"/>
        <item x="122"/>
        <item x="298"/>
        <item x="299"/>
        <item x="210"/>
        <item x="215"/>
        <item x="3"/>
        <item x="103"/>
        <item x="120"/>
        <item x="43"/>
        <item x="113"/>
        <item x="48"/>
        <item x="130"/>
        <item x="257"/>
        <item x="276"/>
        <item x="169"/>
        <item x="208"/>
        <item x="186"/>
        <item x="68"/>
        <item x="213"/>
        <item x="85"/>
        <item x="0"/>
        <item x="56"/>
        <item x="41"/>
        <item x="73"/>
        <item x="46"/>
        <item x="266"/>
        <item x="170"/>
        <item x="180"/>
        <item x="285"/>
        <item x="187"/>
        <item x="195"/>
        <item x="57"/>
        <item x="74"/>
        <item x="258"/>
        <item x="67"/>
        <item x="277"/>
        <item x="255"/>
        <item x="84"/>
        <item x="274"/>
        <item x="9"/>
        <item x="265"/>
        <item x="284"/>
        <item x="11"/>
        <item x="179"/>
        <item x="194"/>
        <item x="13"/>
        <item x="16"/>
        <item x="239"/>
        <item x="145"/>
        <item x="247"/>
        <item x="102"/>
        <item x="147"/>
        <item x="233"/>
        <item x="119"/>
        <item x="241"/>
        <item x="267"/>
        <item x="286"/>
        <item x="223"/>
        <item x="168"/>
        <item x="185"/>
        <item x="15"/>
        <item x="264"/>
        <item x="232"/>
        <item x="240"/>
        <item x="283"/>
        <item x="10"/>
        <item x="59"/>
        <item x="76"/>
        <item x="23"/>
        <item x="221"/>
        <item x="12"/>
        <item x="254"/>
        <item x="273"/>
        <item x="150"/>
        <item x="146"/>
        <item x="58"/>
        <item x="75"/>
        <item x="24"/>
        <item x="28"/>
        <item x="14"/>
        <item x="17"/>
        <item x="222"/>
        <item x="8"/>
        <item x="220"/>
        <item x="253"/>
        <item x="272"/>
        <item x="66"/>
        <item x="83"/>
        <item x="55"/>
        <item x="72"/>
        <item x="35"/>
        <item x="207"/>
        <item t="default"/>
      </items>
    </pivotField>
    <pivotField dataField="1" compact="0" outline="0" multipleItemSelectionAllowed="1" showAll="0">
      <items count="344">
        <item x="2"/>
        <item x="175"/>
        <item x="51"/>
        <item x="257"/>
        <item x="145"/>
        <item x="255"/>
        <item x="218"/>
        <item x="148"/>
        <item x="149"/>
        <item x="232"/>
        <item x="80"/>
        <item x="63"/>
        <item x="213"/>
        <item x="233"/>
        <item x="143"/>
        <item x="147"/>
        <item x="214"/>
        <item x="174"/>
        <item x="231"/>
        <item x="52"/>
        <item x="258"/>
        <item x="212"/>
        <item x="50"/>
        <item x="256"/>
        <item x="340"/>
        <item x="314"/>
        <item x="201"/>
        <item x="209"/>
        <item x="186"/>
        <item x="339"/>
        <item x="93"/>
        <item x="21"/>
        <item x="211"/>
        <item x="325"/>
        <item x="200"/>
        <item x="185"/>
        <item x="146"/>
        <item x="341"/>
        <item x="156"/>
        <item x="342"/>
        <item x="330"/>
        <item x="192"/>
        <item x="207"/>
        <item x="114"/>
        <item x="133"/>
        <item x="337"/>
        <item x="302"/>
        <item x="237"/>
        <item x="267"/>
        <item x="286"/>
        <item x="111"/>
        <item x="130"/>
        <item x="303"/>
        <item x="86"/>
        <item x="69"/>
        <item x="94"/>
        <item x="338"/>
        <item x="316"/>
        <item x="77"/>
        <item x="60"/>
        <item x="103"/>
        <item x="162"/>
        <item x="49"/>
        <item x="300"/>
        <item x="121"/>
        <item x="140"/>
        <item x="268"/>
        <item x="287"/>
        <item x="315"/>
        <item x="85"/>
        <item x="68"/>
        <item x="324"/>
        <item x="276"/>
        <item x="295"/>
        <item x="96"/>
        <item x="228"/>
        <item x="222"/>
        <item x="19"/>
        <item x="269"/>
        <item x="288"/>
        <item x="327"/>
        <item x="319"/>
        <item x="76"/>
        <item x="59"/>
        <item x="323"/>
        <item x="120"/>
        <item x="241"/>
        <item x="139"/>
        <item x="298"/>
        <item x="170"/>
        <item x="173"/>
        <item x="329"/>
        <item x="98"/>
        <item x="301"/>
        <item x="285"/>
        <item x="266"/>
        <item x="294"/>
        <item x="275"/>
        <item x="317"/>
        <item x="332"/>
        <item x="199"/>
        <item x="184"/>
        <item x="28"/>
        <item x="328"/>
        <item x="18"/>
        <item x="210"/>
        <item x="113"/>
        <item x="132"/>
        <item x="112"/>
        <item x="131"/>
        <item x="25"/>
        <item x="151"/>
        <item x="24"/>
        <item x="160"/>
        <item x="79"/>
        <item x="62"/>
        <item x="208"/>
        <item x="333"/>
        <item x="154"/>
        <item x="296"/>
        <item x="277"/>
        <item x="119"/>
        <item x="138"/>
        <item x="27"/>
        <item x="236"/>
        <item x="326"/>
        <item x="158"/>
        <item x="5"/>
        <item x="181"/>
        <item x="182"/>
        <item x="197"/>
        <item x="91"/>
        <item x="155"/>
        <item x="206"/>
        <item x="191"/>
        <item x="335"/>
        <item x="144"/>
        <item x="183"/>
        <item x="141"/>
        <item x="198"/>
        <item x="122"/>
        <item x="299"/>
        <item x="274"/>
        <item x="293"/>
        <item x="240"/>
        <item x="159"/>
        <item x="331"/>
        <item x="224"/>
        <item x="230"/>
        <item x="129"/>
        <item x="110"/>
        <item x="248"/>
        <item x="318"/>
        <item x="253"/>
        <item x="20"/>
        <item x="246"/>
        <item x="180"/>
        <item x="251"/>
        <item x="239"/>
        <item x="229"/>
        <item x="223"/>
        <item x="58"/>
        <item x="61"/>
        <item x="169"/>
        <item x="75"/>
        <item x="78"/>
        <item x="334"/>
        <item x="308"/>
        <item x="312"/>
        <item x="172"/>
        <item x="26"/>
        <item x="284"/>
        <item x="265"/>
        <item x="313"/>
        <item x="309"/>
        <item x="142"/>
        <item x="89"/>
        <item x="320"/>
        <item x="190"/>
        <item x="205"/>
        <item x="189"/>
        <item x="204"/>
        <item x="336"/>
        <item x="109"/>
        <item x="242"/>
        <item x="168"/>
        <item x="128"/>
        <item x="171"/>
        <item x="43"/>
        <item x="97"/>
        <item x="48"/>
        <item x="297"/>
        <item x="161"/>
        <item x="41"/>
        <item x="46"/>
        <item x="100"/>
        <item x="322"/>
        <item x="167"/>
        <item x="106"/>
        <item x="125"/>
        <item x="99"/>
        <item x="67"/>
        <item x="84"/>
        <item x="90"/>
        <item x="164"/>
        <item x="166"/>
        <item x="220"/>
        <item x="165"/>
        <item x="226"/>
        <item x="32"/>
        <item x="38"/>
        <item x="37"/>
        <item x="35"/>
        <item x="36"/>
        <item x="163"/>
        <item x="31"/>
        <item x="321"/>
        <item x="33"/>
        <item x="244"/>
        <item x="243"/>
        <item x="3"/>
        <item x="150"/>
        <item x="247"/>
        <item x="252"/>
        <item x="117"/>
        <item x="136"/>
        <item x="92"/>
        <item x="88"/>
        <item x="249"/>
        <item x="254"/>
        <item x="87"/>
        <item x="116"/>
        <item x="135"/>
        <item x="101"/>
        <item x="102"/>
        <item x="1"/>
        <item x="245"/>
        <item x="250"/>
        <item x="262"/>
        <item x="179"/>
        <item x="281"/>
        <item x="196"/>
        <item x="40"/>
        <item x="108"/>
        <item x="216"/>
        <item x="107"/>
        <item x="45"/>
        <item x="42"/>
        <item x="217"/>
        <item x="127"/>
        <item x="126"/>
        <item x="47"/>
        <item x="307"/>
        <item x="311"/>
        <item x="221"/>
        <item x="227"/>
        <item x="4"/>
        <item x="304"/>
        <item x="305"/>
        <item x="39"/>
        <item x="44"/>
        <item x="115"/>
        <item x="134"/>
        <item x="66"/>
        <item x="83"/>
        <item x="0"/>
        <item x="263"/>
        <item x="282"/>
        <item x="177"/>
        <item x="194"/>
        <item x="272"/>
        <item x="188"/>
        <item x="291"/>
        <item x="203"/>
        <item x="55"/>
        <item x="178"/>
        <item x="72"/>
        <item x="195"/>
        <item x="118"/>
        <item x="137"/>
        <item x="264"/>
        <item x="283"/>
        <item x="105"/>
        <item x="14"/>
        <item x="124"/>
        <item x="65"/>
        <item x="82"/>
        <item x="306"/>
        <item x="16"/>
        <item x="310"/>
        <item x="261"/>
        <item x="280"/>
        <item x="271"/>
        <item x="290"/>
        <item x="219"/>
        <item x="225"/>
        <item x="187"/>
        <item x="54"/>
        <item x="202"/>
        <item x="71"/>
        <item x="7"/>
        <item x="11"/>
        <item x="30"/>
        <item x="95"/>
        <item x="273"/>
        <item x="292"/>
        <item x="152"/>
        <item x="176"/>
        <item x="104"/>
        <item x="193"/>
        <item x="234"/>
        <item x="123"/>
        <item x="17"/>
        <item x="57"/>
        <item x="74"/>
        <item x="8"/>
        <item x="270"/>
        <item x="289"/>
        <item x="13"/>
        <item x="29"/>
        <item x="22"/>
        <item x="260"/>
        <item x="279"/>
        <item x="9"/>
        <item x="157"/>
        <item x="56"/>
        <item x="73"/>
        <item x="153"/>
        <item x="23"/>
        <item x="238"/>
        <item x="12"/>
        <item x="10"/>
        <item x="15"/>
        <item x="235"/>
        <item x="6"/>
        <item x="259"/>
        <item x="278"/>
        <item x="64"/>
        <item x="81"/>
        <item x="53"/>
        <item x="70"/>
        <item x="34"/>
        <item x="215"/>
        <item t="default"/>
      </items>
    </pivotField>
    <pivotField dataField="1" compact="0" outline="0" multipleItemSelectionAllowed="1" showAll="0">
      <items count="364">
        <item x="3"/>
        <item x="156"/>
        <item x="257"/>
        <item x="198"/>
        <item x="160"/>
        <item x="278"/>
        <item x="161"/>
        <item x="92"/>
        <item x="75"/>
        <item x="114"/>
        <item x="255"/>
        <item x="197"/>
        <item x="256"/>
        <item x="62"/>
        <item x="154"/>
        <item x="159"/>
        <item x="238"/>
        <item x="195"/>
        <item x="341"/>
        <item x="254"/>
        <item x="324"/>
        <item x="236"/>
        <item x="360"/>
        <item x="336"/>
        <item x="25"/>
        <item x="279"/>
        <item x="359"/>
        <item x="105"/>
        <item x="345"/>
        <item x="277"/>
        <item x="215"/>
        <item x="231"/>
        <item x="235"/>
        <item x="361"/>
        <item x="125"/>
        <item x="144"/>
        <item x="350"/>
        <item x="362"/>
        <item x="157"/>
        <item x="225"/>
        <item x="209"/>
        <item x="357"/>
        <item x="122"/>
        <item x="141"/>
        <item x="323"/>
        <item x="264"/>
        <item x="64"/>
        <item x="168"/>
        <item x="288"/>
        <item x="307"/>
        <item x="174"/>
        <item x="325"/>
        <item x="196"/>
        <item x="339"/>
        <item x="237"/>
        <item x="358"/>
        <item x="98"/>
        <item x="63"/>
        <item x="81"/>
        <item x="158"/>
        <item x="61"/>
        <item x="233"/>
        <item x="89"/>
        <item x="72"/>
        <item x="321"/>
        <item x="108"/>
        <item x="59"/>
        <item x="97"/>
        <item x="80"/>
        <item x="289"/>
        <item x="308"/>
        <item x="337"/>
        <item x="263"/>
        <item x="273"/>
        <item x="276"/>
        <item x="272"/>
        <item x="275"/>
        <item x="344"/>
        <item x="297"/>
        <item x="131"/>
        <item x="316"/>
        <item x="150"/>
        <item x="251"/>
        <item x="244"/>
        <item x="290"/>
        <item x="309"/>
        <item x="347"/>
        <item x="22"/>
        <item x="343"/>
        <item x="224"/>
        <item x="319"/>
        <item x="106"/>
        <item x="208"/>
        <item x="60"/>
        <item x="349"/>
        <item x="34"/>
        <item x="322"/>
        <item x="306"/>
        <item x="287"/>
        <item x="315"/>
        <item x="296"/>
        <item x="262"/>
        <item x="352"/>
        <item x="88"/>
        <item x="71"/>
        <item x="348"/>
        <item x="124"/>
        <item x="143"/>
        <item x="123"/>
        <item x="142"/>
        <item x="24"/>
        <item x="267"/>
        <item x="207"/>
        <item x="223"/>
        <item x="21"/>
        <item x="234"/>
        <item x="132"/>
        <item x="151"/>
        <item x="271"/>
        <item x="165"/>
        <item x="274"/>
        <item x="338"/>
        <item x="130"/>
        <item x="149"/>
        <item x="29"/>
        <item x="91"/>
        <item x="74"/>
        <item x="205"/>
        <item x="221"/>
        <item x="167"/>
        <item x="173"/>
        <item x="28"/>
        <item x="317"/>
        <item x="298"/>
        <item x="261"/>
        <item x="170"/>
        <item x="33"/>
        <item x="232"/>
        <item x="353"/>
        <item x="206"/>
        <item x="222"/>
        <item x="183"/>
        <item x="214"/>
        <item x="230"/>
        <item x="152"/>
        <item x="346"/>
        <item x="190"/>
        <item x="6"/>
        <item x="133"/>
        <item x="166"/>
        <item x="260"/>
        <item x="103"/>
        <item x="269"/>
        <item x="266"/>
        <item x="155"/>
        <item x="355"/>
        <item x="23"/>
        <item x="295"/>
        <item x="314"/>
        <item x="320"/>
        <item x="171"/>
        <item x="50"/>
        <item x="265"/>
        <item x="56"/>
        <item x="246"/>
        <item x="253"/>
        <item x="351"/>
        <item x="340"/>
        <item x="73"/>
        <item x="90"/>
        <item x="186"/>
        <item x="192"/>
        <item x="252"/>
        <item x="245"/>
        <item x="30"/>
        <item x="70"/>
        <item x="87"/>
        <item x="354"/>
        <item x="329"/>
        <item x="334"/>
        <item x="7"/>
        <item x="140"/>
        <item x="121"/>
        <item x="305"/>
        <item x="286"/>
        <item x="335"/>
        <item x="330"/>
        <item x="32"/>
        <item x="153"/>
        <item x="107"/>
        <item x="356"/>
        <item x="212"/>
        <item x="228"/>
        <item x="120"/>
        <item x="268"/>
        <item x="229"/>
        <item x="213"/>
        <item x="139"/>
        <item x="172"/>
        <item x="51"/>
        <item x="101"/>
        <item x="57"/>
        <item x="110"/>
        <item x="188"/>
        <item x="194"/>
        <item x="318"/>
        <item x="109"/>
        <item x="111"/>
        <item x="42"/>
        <item x="342"/>
        <item x="117"/>
        <item x="204"/>
        <item x="220"/>
        <item x="79"/>
        <item x="136"/>
        <item x="96"/>
        <item x="178"/>
        <item x="102"/>
        <item x="46"/>
        <item x="181"/>
        <item x="38"/>
        <item x="241"/>
        <item x="179"/>
        <item x="248"/>
        <item x="177"/>
        <item x="44"/>
        <item x="180"/>
        <item x="176"/>
        <item x="37"/>
        <item x="39"/>
        <item x="45"/>
        <item x="43"/>
        <item x="41"/>
        <item x="1"/>
        <item x="162"/>
        <item x="49"/>
        <item x="55"/>
        <item x="184"/>
        <item x="191"/>
        <item x="104"/>
        <item x="100"/>
        <item x="127"/>
        <item x="146"/>
        <item x="99"/>
        <item x="185"/>
        <item x="112"/>
        <item x="113"/>
        <item x="2"/>
        <item x="203"/>
        <item x="283"/>
        <item x="302"/>
        <item x="119"/>
        <item x="243"/>
        <item x="118"/>
        <item x="250"/>
        <item x="138"/>
        <item x="137"/>
        <item x="327"/>
        <item x="332"/>
        <item x="242"/>
        <item x="48"/>
        <item x="249"/>
        <item x="54"/>
        <item x="5"/>
        <item x="187"/>
        <item x="328"/>
        <item x="193"/>
        <item x="333"/>
        <item x="128"/>
        <item x="147"/>
        <item x="202"/>
        <item x="219"/>
        <item x="126"/>
        <item x="52"/>
        <item x="145"/>
        <item x="58"/>
        <item x="182"/>
        <item x="189"/>
        <item x="4"/>
        <item x="284"/>
        <item x="303"/>
        <item x="200"/>
        <item x="217"/>
        <item x="293"/>
        <item x="312"/>
        <item x="129"/>
        <item x="148"/>
        <item x="285"/>
        <item x="78"/>
        <item x="201"/>
        <item x="304"/>
        <item x="218"/>
        <item x="95"/>
        <item x="0"/>
        <item x="47"/>
        <item x="211"/>
        <item x="53"/>
        <item x="227"/>
        <item x="67"/>
        <item x="84"/>
        <item x="326"/>
        <item x="77"/>
        <item x="10"/>
        <item x="94"/>
        <item x="331"/>
        <item x="282"/>
        <item x="301"/>
        <item x="292"/>
        <item x="311"/>
        <item x="240"/>
        <item x="247"/>
        <item x="116"/>
        <item x="12"/>
        <item x="135"/>
        <item x="9"/>
        <item x="14"/>
        <item x="66"/>
        <item x="210"/>
        <item x="83"/>
        <item x="226"/>
        <item x="163"/>
        <item x="294"/>
        <item x="313"/>
        <item x="18"/>
        <item x="259"/>
        <item x="115"/>
        <item x="69"/>
        <item x="20"/>
        <item x="134"/>
        <item x="86"/>
        <item x="291"/>
        <item x="310"/>
        <item x="11"/>
        <item x="199"/>
        <item x="216"/>
        <item x="17"/>
        <item x="36"/>
        <item x="281"/>
        <item x="35"/>
        <item x="300"/>
        <item x="175"/>
        <item x="26"/>
        <item x="13"/>
        <item x="68"/>
        <item x="85"/>
        <item x="270"/>
        <item x="169"/>
        <item x="164"/>
        <item x="31"/>
        <item x="27"/>
        <item x="16"/>
        <item x="15"/>
        <item x="258"/>
        <item x="19"/>
        <item x="280"/>
        <item x="299"/>
        <item x="8"/>
        <item x="76"/>
        <item x="93"/>
        <item x="65"/>
        <item x="82"/>
        <item x="40"/>
        <item x="239"/>
        <item t="default"/>
      </items>
    </pivotField>
    <pivotField dataField="1" compact="0" outline="0" multipleItemSelectionAllowed="1" showAll="0">
      <items count="375">
        <item x="1"/>
        <item x="194"/>
        <item x="60"/>
        <item x="154"/>
        <item x="256"/>
        <item x="158"/>
        <item x="159"/>
        <item x="274"/>
        <item x="254"/>
        <item x="90"/>
        <item x="73"/>
        <item x="192"/>
        <item x="61"/>
        <item x="62"/>
        <item x="255"/>
        <item x="152"/>
        <item x="157"/>
        <item x="237"/>
        <item x="253"/>
        <item x="350"/>
        <item x="320"/>
        <item x="351"/>
        <item x="58"/>
        <item x="332"/>
        <item x="341"/>
        <item x="360"/>
        <item x="370"/>
        <item x="349"/>
        <item x="223"/>
        <item x="206"/>
        <item x="355"/>
        <item x="59"/>
        <item x="317"/>
        <item x="193"/>
        <item x="57"/>
        <item x="348"/>
        <item x="234"/>
        <item x="103"/>
        <item x="371"/>
        <item x="123"/>
        <item x="142"/>
        <item x="373"/>
        <item x="155"/>
        <item x="165"/>
        <item x="120"/>
        <item x="139"/>
        <item x="263"/>
        <item x="319"/>
        <item x="195"/>
        <item x="283"/>
        <item x="302"/>
        <item x="212"/>
        <item x="229"/>
        <item x="321"/>
        <item x="372"/>
        <item x="22"/>
        <item x="230"/>
        <item x="213"/>
        <item x="235"/>
        <item x="368"/>
        <item x="156"/>
        <item x="344"/>
        <item x="337"/>
        <item x="236"/>
        <item x="222"/>
        <item x="191"/>
        <item x="205"/>
        <item x="96"/>
        <item x="79"/>
        <item x="316"/>
        <item x="108"/>
        <item x="346"/>
        <item x="284"/>
        <item x="303"/>
        <item x="262"/>
        <item x="333"/>
        <item x="95"/>
        <item x="78"/>
        <item x="232"/>
        <item x="369"/>
        <item x="87"/>
        <item x="70"/>
        <item x="129"/>
        <item x="148"/>
        <item x="250"/>
        <item x="243"/>
        <item x="358"/>
        <item x="285"/>
        <item x="304"/>
        <item x="292"/>
        <item x="311"/>
        <item x="342"/>
        <item x="110"/>
        <item x="49"/>
        <item x="48"/>
        <item x="33"/>
        <item x="314"/>
        <item x="104"/>
        <item x="335"/>
        <item x="301"/>
        <item x="282"/>
        <item x="318"/>
        <item x="261"/>
        <item x="353"/>
        <item x="310"/>
        <item x="367"/>
        <item x="291"/>
        <item x="20"/>
        <item x="86"/>
        <item x="69"/>
        <item x="362"/>
        <item x="345"/>
        <item x="122"/>
        <item x="141"/>
        <item x="121"/>
        <item x="140"/>
        <item x="359"/>
        <item x="19"/>
        <item x="334"/>
        <item x="347"/>
        <item x="203"/>
        <item x="220"/>
        <item x="211"/>
        <item x="228"/>
        <item x="130"/>
        <item x="149"/>
        <item x="357"/>
        <item x="164"/>
        <item x="128"/>
        <item x="147"/>
        <item x="89"/>
        <item x="72"/>
        <item x="354"/>
        <item x="343"/>
        <item x="233"/>
        <item x="26"/>
        <item x="260"/>
        <item x="312"/>
        <item x="293"/>
        <item x="51"/>
        <item x="204"/>
        <item x="221"/>
        <item x="166"/>
        <item x="50"/>
        <item x="25"/>
        <item x="55"/>
        <item x="150"/>
        <item x="6"/>
        <item x="131"/>
        <item x="202"/>
        <item x="219"/>
        <item x="167"/>
        <item x="101"/>
        <item x="339"/>
        <item x="266"/>
        <item x="259"/>
        <item x="21"/>
        <item x="365"/>
        <item x="153"/>
        <item x="32"/>
        <item x="290"/>
        <item x="309"/>
        <item x="336"/>
        <item x="231"/>
        <item x="315"/>
        <item x="180"/>
        <item x="27"/>
        <item x="245"/>
        <item x="188"/>
        <item x="252"/>
        <item x="71"/>
        <item x="88"/>
        <item x="265"/>
        <item x="272"/>
        <item x="273"/>
        <item x="366"/>
        <item x="251"/>
        <item x="244"/>
        <item x="361"/>
        <item x="31"/>
        <item x="325"/>
        <item x="330"/>
        <item x="363"/>
        <item x="105"/>
        <item x="138"/>
        <item x="119"/>
        <item x="300"/>
        <item x="281"/>
        <item x="331"/>
        <item x="326"/>
        <item x="340"/>
        <item x="177"/>
        <item x="151"/>
        <item x="185"/>
        <item x="107"/>
        <item x="364"/>
        <item x="356"/>
        <item x="68"/>
        <item x="210"/>
        <item x="227"/>
        <item x="169"/>
        <item x="85"/>
        <item x="118"/>
        <item x="267"/>
        <item x="338"/>
        <item x="137"/>
        <item x="7"/>
        <item x="99"/>
        <item x="109"/>
        <item x="313"/>
        <item x="37"/>
        <item x="112"/>
        <item x="77"/>
        <item x="94"/>
        <item x="115"/>
        <item x="201"/>
        <item x="52"/>
        <item x="218"/>
        <item x="134"/>
        <item x="56"/>
        <item x="172"/>
        <item x="111"/>
        <item x="100"/>
        <item x="39"/>
        <item x="240"/>
        <item x="247"/>
        <item x="270"/>
        <item x="45"/>
        <item x="36"/>
        <item x="40"/>
        <item x="42"/>
        <item x="173"/>
        <item x="43"/>
        <item x="171"/>
        <item x="35"/>
        <item x="271"/>
        <item x="44"/>
        <item x="269"/>
        <item x="174"/>
        <item x="41"/>
        <item x="3"/>
        <item x="181"/>
        <item x="160"/>
        <item x="189"/>
        <item x="47"/>
        <item x="54"/>
        <item x="352"/>
        <item x="46"/>
        <item x="53"/>
        <item x="102"/>
        <item x="209"/>
        <item x="226"/>
        <item x="98"/>
        <item x="125"/>
        <item x="144"/>
        <item x="182"/>
        <item x="190"/>
        <item x="97"/>
        <item x="2"/>
        <item x="200"/>
        <item x="278"/>
        <item x="297"/>
        <item x="117"/>
        <item x="242"/>
        <item x="116"/>
        <item x="249"/>
        <item x="136"/>
        <item x="135"/>
        <item x="323"/>
        <item x="328"/>
        <item x="241"/>
        <item x="248"/>
        <item x="4"/>
        <item x="324"/>
        <item x="329"/>
        <item x="126"/>
        <item x="178"/>
        <item x="145"/>
        <item x="186"/>
        <item x="124"/>
        <item x="143"/>
        <item x="176"/>
        <item x="184"/>
        <item x="5"/>
        <item x="279"/>
        <item x="298"/>
        <item x="179"/>
        <item x="187"/>
        <item x="127"/>
        <item x="146"/>
        <item x="280"/>
        <item x="299"/>
        <item x="288"/>
        <item x="307"/>
        <item x="0"/>
        <item x="198"/>
        <item x="216"/>
        <item x="208"/>
        <item x="225"/>
        <item x="76"/>
        <item x="93"/>
        <item x="322"/>
        <item x="162"/>
        <item x="327"/>
        <item x="277"/>
        <item x="296"/>
        <item x="287"/>
        <item x="75"/>
        <item x="306"/>
        <item x="92"/>
        <item x="239"/>
        <item x="246"/>
        <item x="65"/>
        <item x="199"/>
        <item x="82"/>
        <item x="217"/>
        <item x="114"/>
        <item x="18"/>
        <item x="133"/>
        <item x="175"/>
        <item x="183"/>
        <item x="197"/>
        <item x="215"/>
        <item x="9"/>
        <item x="23"/>
        <item x="64"/>
        <item x="81"/>
        <item x="13"/>
        <item x="289"/>
        <item x="308"/>
        <item x="15"/>
        <item x="12"/>
        <item x="30"/>
        <item x="113"/>
        <item x="67"/>
        <item x="207"/>
        <item x="132"/>
        <item x="84"/>
        <item x="224"/>
        <item x="286"/>
        <item x="305"/>
        <item x="10"/>
        <item x="29"/>
        <item x="16"/>
        <item x="168"/>
        <item x="276"/>
        <item x="295"/>
        <item x="163"/>
        <item x="34"/>
        <item x="11"/>
        <item x="66"/>
        <item x="196"/>
        <item x="83"/>
        <item x="214"/>
        <item x="170"/>
        <item x="268"/>
        <item x="264"/>
        <item x="257"/>
        <item x="28"/>
        <item x="258"/>
        <item x="275"/>
        <item x="24"/>
        <item x="294"/>
        <item x="14"/>
        <item x="161"/>
        <item x="17"/>
        <item x="74"/>
        <item x="91"/>
        <item x="8"/>
        <item x="63"/>
        <item x="80"/>
        <item x="38"/>
        <item x="238"/>
        <item x="106"/>
        <item t="default"/>
      </items>
    </pivotField>
    <pivotField dataField="1" compact="0" outline="0" multipleItemSelectionAllowed="1" showAll="0">
      <items count="381">
        <item x="1"/>
        <item x="287"/>
        <item x="201"/>
        <item x="145"/>
        <item x="265"/>
        <item x="198"/>
        <item x="355"/>
        <item x="150"/>
        <item x="200"/>
        <item x="263"/>
        <item x="196"/>
        <item x="77"/>
        <item x="60"/>
        <item x="264"/>
        <item x="148"/>
        <item x="48"/>
        <item x="262"/>
        <item x="333"/>
        <item x="377"/>
        <item x="246"/>
        <item x="345"/>
        <item x="364"/>
        <item x="231"/>
        <item x="212"/>
        <item x="113"/>
        <item x="133"/>
        <item x="375"/>
        <item x="359"/>
        <item x="110"/>
        <item x="130"/>
        <item x="49"/>
        <item x="330"/>
        <item x="354"/>
        <item x="90"/>
        <item x="165"/>
        <item x="379"/>
        <item x="243"/>
        <item x="146"/>
        <item x="376"/>
        <item x="270"/>
        <item x="286"/>
        <item x="47"/>
        <item x="332"/>
        <item x="239"/>
        <item x="220"/>
        <item x="19"/>
        <item x="334"/>
        <item x="378"/>
        <item x="119"/>
        <item x="139"/>
        <item x="44"/>
        <item x="199"/>
        <item x="164"/>
        <item x="296"/>
        <item x="315"/>
        <item x="147"/>
        <item x="101"/>
        <item x="93"/>
        <item x="245"/>
        <item x="373"/>
        <item x="149"/>
        <item x="269"/>
        <item x="329"/>
        <item x="297"/>
        <item x="316"/>
        <item x="83"/>
        <item x="66"/>
        <item x="143"/>
        <item x="346"/>
        <item x="82"/>
        <item x="65"/>
        <item x="374"/>
        <item x="96"/>
        <item x="112"/>
        <item x="132"/>
        <item x="111"/>
        <item x="131"/>
        <item x="241"/>
        <item x="362"/>
        <item x="74"/>
        <item x="298"/>
        <item x="259"/>
        <item x="57"/>
        <item x="317"/>
        <item x="172"/>
        <item x="252"/>
        <item x="305"/>
        <item x="324"/>
        <item x="29"/>
        <item x="327"/>
        <item x="120"/>
        <item x="140"/>
        <item x="281"/>
        <item x="284"/>
        <item x="91"/>
        <item x="219"/>
        <item x="238"/>
        <item x="230"/>
        <item x="211"/>
        <item x="372"/>
        <item x="314"/>
        <item x="295"/>
        <item x="331"/>
        <item x="323"/>
        <item x="304"/>
        <item x="357"/>
        <item x="244"/>
        <item x="73"/>
        <item x="56"/>
        <item x="209"/>
        <item x="228"/>
        <item x="17"/>
        <item x="363"/>
        <item x="366"/>
        <item x="268"/>
        <item x="141"/>
        <item x="121"/>
        <item x="218"/>
        <item x="237"/>
        <item x="197"/>
        <item x="369"/>
        <item x="161"/>
        <item x="274"/>
        <item x="95"/>
        <item x="162"/>
        <item x="76"/>
        <item x="59"/>
        <item x="171"/>
        <item x="358"/>
        <item x="348"/>
        <item x="167"/>
        <item x="325"/>
        <item x="306"/>
        <item x="361"/>
        <item x="267"/>
        <item x="210"/>
        <item x="22"/>
        <item x="229"/>
        <item x="195"/>
        <item x="128"/>
        <item x="108"/>
        <item x="168"/>
        <item x="208"/>
        <item x="227"/>
        <item x="153"/>
        <item x="266"/>
        <item x="18"/>
        <item x="109"/>
        <item x="273"/>
        <item x="129"/>
        <item x="370"/>
        <item x="163"/>
        <item x="144"/>
        <item x="28"/>
        <item x="272"/>
        <item x="88"/>
        <item x="169"/>
        <item x="23"/>
        <item x="43"/>
        <item x="303"/>
        <item x="46"/>
        <item x="322"/>
        <item x="350"/>
        <item x="58"/>
        <item x="254"/>
        <item x="261"/>
        <item x="75"/>
        <item x="365"/>
        <item x="260"/>
        <item x="253"/>
        <item x="328"/>
        <item x="371"/>
        <item x="27"/>
        <item x="338"/>
        <item x="343"/>
        <item x="42"/>
        <item x="45"/>
        <item x="242"/>
        <item x="313"/>
        <item x="294"/>
        <item x="367"/>
        <item x="3"/>
        <item x="344"/>
        <item x="339"/>
        <item x="118"/>
        <item x="138"/>
        <item x="142"/>
        <item x="217"/>
        <item x="236"/>
        <item x="349"/>
        <item x="98"/>
        <item x="360"/>
        <item x="55"/>
        <item x="170"/>
        <item x="275"/>
        <item x="72"/>
        <item x="107"/>
        <item x="94"/>
        <item x="368"/>
        <item x="127"/>
        <item x="152"/>
        <item x="86"/>
        <item x="240"/>
        <item x="34"/>
        <item x="64"/>
        <item x="81"/>
        <item x="326"/>
        <item x="104"/>
        <item x="207"/>
        <item x="226"/>
        <item x="124"/>
        <item x="175"/>
        <item x="41"/>
        <item x="87"/>
        <item x="249"/>
        <item x="186"/>
        <item x="278"/>
        <item x="256"/>
        <item x="193"/>
        <item x="279"/>
        <item x="180"/>
        <item x="33"/>
        <item x="352"/>
        <item x="277"/>
        <item x="37"/>
        <item x="176"/>
        <item x="36"/>
        <item x="179"/>
        <item x="353"/>
        <item x="177"/>
        <item x="178"/>
        <item x="40"/>
        <item x="174"/>
        <item x="39"/>
        <item x="351"/>
        <item x="32"/>
        <item x="38"/>
        <item x="0"/>
        <item x="151"/>
        <item x="282"/>
        <item x="285"/>
        <item x="280"/>
        <item x="283"/>
        <item x="356"/>
        <item x="89"/>
        <item x="85"/>
        <item x="115"/>
        <item x="135"/>
        <item x="216"/>
        <item x="235"/>
        <item x="182"/>
        <item x="84"/>
        <item x="189"/>
        <item x="2"/>
        <item x="183"/>
        <item x="190"/>
        <item x="185"/>
        <item x="192"/>
        <item x="184"/>
        <item x="191"/>
        <item x="106"/>
        <item x="251"/>
        <item x="105"/>
        <item x="258"/>
        <item x="126"/>
        <item x="125"/>
        <item x="336"/>
        <item x="341"/>
        <item x="250"/>
        <item x="257"/>
        <item x="16"/>
        <item x="337"/>
        <item x="342"/>
        <item x="187"/>
        <item x="194"/>
        <item x="116"/>
        <item x="136"/>
        <item x="291"/>
        <item x="310"/>
        <item x="8"/>
        <item x="292"/>
        <item x="311"/>
        <item x="117"/>
        <item x="137"/>
        <item x="293"/>
        <item x="215"/>
        <item x="312"/>
        <item x="301"/>
        <item x="206"/>
        <item x="234"/>
        <item x="225"/>
        <item x="320"/>
        <item x="26"/>
        <item x="204"/>
        <item x="223"/>
        <item x="335"/>
        <item x="14"/>
        <item x="63"/>
        <item x="340"/>
        <item x="80"/>
        <item x="290"/>
        <item x="309"/>
        <item x="62"/>
        <item x="214"/>
        <item x="300"/>
        <item x="79"/>
        <item x="233"/>
        <item x="248"/>
        <item x="319"/>
        <item x="255"/>
        <item x="181"/>
        <item x="188"/>
        <item x="103"/>
        <item x="97"/>
        <item x="52"/>
        <item x="123"/>
        <item x="69"/>
        <item x="99"/>
        <item x="5"/>
        <item x="100"/>
        <item x="205"/>
        <item x="224"/>
        <item x="6"/>
        <item x="203"/>
        <item x="51"/>
        <item x="222"/>
        <item x="68"/>
        <item x="20"/>
        <item x="302"/>
        <item x="321"/>
        <item x="11"/>
        <item x="114"/>
        <item x="134"/>
        <item x="10"/>
        <item x="158"/>
        <item x="25"/>
        <item x="54"/>
        <item x="71"/>
        <item x="7"/>
        <item x="299"/>
        <item x="318"/>
        <item x="160"/>
        <item x="213"/>
        <item x="232"/>
        <item x="13"/>
        <item x="155"/>
        <item x="289"/>
        <item x="308"/>
        <item x="347"/>
        <item x="31"/>
        <item x="9"/>
        <item x="102"/>
        <item x="30"/>
        <item x="122"/>
        <item x="53"/>
        <item x="156"/>
        <item x="70"/>
        <item x="159"/>
        <item x="276"/>
        <item x="173"/>
        <item x="202"/>
        <item x="221"/>
        <item x="271"/>
        <item x="24"/>
        <item x="288"/>
        <item x="21"/>
        <item x="307"/>
        <item x="12"/>
        <item x="166"/>
        <item x="61"/>
        <item x="15"/>
        <item x="78"/>
        <item x="157"/>
        <item x="4"/>
        <item x="154"/>
        <item x="50"/>
        <item x="67"/>
        <item x="35"/>
        <item x="247"/>
        <item x="92"/>
        <item t="default"/>
      </items>
    </pivotField>
    <pivotField dataField="1" compact="0" outline="0" multipleItemSelectionAllowed="1" showAll="0">
      <items count="404">
        <item x="3"/>
        <item x="253"/>
        <item x="308"/>
        <item x="162"/>
        <item x="282"/>
        <item x="94"/>
        <item x="76"/>
        <item x="167"/>
        <item x="280"/>
        <item x="87"/>
        <item x="69"/>
        <item x="205"/>
        <item x="281"/>
        <item x="165"/>
        <item x="195"/>
        <item x="378"/>
        <item x="207"/>
        <item x="279"/>
        <item x="237"/>
        <item x="218"/>
        <item x="354"/>
        <item x="400"/>
        <item x="387"/>
        <item x="252"/>
        <item x="366"/>
        <item x="129"/>
        <item x="150"/>
        <item x="398"/>
        <item x="307"/>
        <item x="56"/>
        <item x="382"/>
        <item x="126"/>
        <item x="147"/>
        <item x="306"/>
        <item x="351"/>
        <item x="58"/>
        <item x="376"/>
        <item x="370"/>
        <item x="101"/>
        <item x="402"/>
        <item x="287"/>
        <item x="163"/>
        <item x="245"/>
        <item x="226"/>
        <item x="399"/>
        <item x="353"/>
        <item x="206"/>
        <item x="177"/>
        <item x="377"/>
        <item x="249"/>
        <item x="22"/>
        <item x="355"/>
        <item x="204"/>
        <item x="135"/>
        <item x="156"/>
        <item x="374"/>
        <item x="301"/>
        <item x="401"/>
        <item x="105"/>
        <item x="164"/>
        <item x="396"/>
        <item x="336"/>
        <item x="317"/>
        <item x="272"/>
        <item x="261"/>
        <item x="176"/>
        <item x="166"/>
        <item x="375"/>
        <item x="318"/>
        <item x="337"/>
        <item x="350"/>
        <item x="112"/>
        <item x="251"/>
        <item x="92"/>
        <item x="74"/>
        <item x="160"/>
        <item x="93"/>
        <item x="75"/>
        <item x="367"/>
        <item x="286"/>
        <item x="128"/>
        <item x="149"/>
        <item x="110"/>
        <item x="319"/>
        <item x="338"/>
        <item x="225"/>
        <item x="244"/>
        <item x="326"/>
        <item x="345"/>
        <item x="84"/>
        <item x="66"/>
        <item x="148"/>
        <item x="127"/>
        <item x="397"/>
        <item x="247"/>
        <item x="215"/>
        <item x="234"/>
        <item x="115"/>
        <item x="116"/>
        <item x="385"/>
        <item x="348"/>
        <item x="395"/>
        <item x="157"/>
        <item x="136"/>
        <item x="102"/>
        <item x="283"/>
        <item x="344"/>
        <item x="325"/>
        <item x="352"/>
        <item x="372"/>
        <item x="250"/>
        <item x="335"/>
        <item x="316"/>
        <item x="243"/>
        <item x="224"/>
        <item x="386"/>
        <item x="32"/>
        <item x="106"/>
        <item x="389"/>
        <item x="83"/>
        <item x="65"/>
        <item x="57"/>
        <item x="21"/>
        <item x="158"/>
        <item x="137"/>
        <item x="285"/>
        <item x="380"/>
        <item x="369"/>
        <item x="111"/>
        <item x="392"/>
        <item x="174"/>
        <item x="236"/>
        <item x="217"/>
        <item x="109"/>
        <item x="86"/>
        <item x="68"/>
        <item x="184"/>
        <item x="368"/>
        <item x="381"/>
        <item x="216"/>
        <item x="235"/>
        <item x="55"/>
        <item x="346"/>
        <item x="327"/>
        <item x="384"/>
        <item x="180"/>
        <item x="51"/>
        <item x="371"/>
        <item x="26"/>
        <item x="284"/>
        <item x="179"/>
        <item x="145"/>
        <item x="124"/>
        <item x="267"/>
        <item x="278"/>
        <item x="214"/>
        <item x="233"/>
        <item x="5"/>
        <item x="50"/>
        <item x="273"/>
        <item x="262"/>
        <item x="54"/>
        <item x="31"/>
        <item x="125"/>
        <item x="290"/>
        <item x="146"/>
        <item x="300"/>
        <item x="175"/>
        <item x="161"/>
        <item x="197"/>
        <item x="27"/>
        <item x="203"/>
        <item x="291"/>
        <item x="181"/>
        <item x="67"/>
        <item x="85"/>
        <item x="393"/>
        <item x="373"/>
        <item x="324"/>
        <item x="343"/>
        <item x="394"/>
        <item x="299"/>
        <item x="304"/>
        <item x="104"/>
        <item x="388"/>
        <item x="30"/>
        <item x="359"/>
        <item x="364"/>
        <item x="334"/>
        <item x="315"/>
        <item x="349"/>
        <item x="6"/>
        <item x="134"/>
        <item x="155"/>
        <item x="365"/>
        <item x="360"/>
        <item x="263"/>
        <item x="274"/>
        <item x="159"/>
        <item x="248"/>
        <item x="266"/>
        <item x="277"/>
        <item x="99"/>
        <item x="390"/>
        <item x="64"/>
        <item x="82"/>
        <item x="292"/>
        <item x="123"/>
        <item x="108"/>
        <item x="183"/>
        <item x="391"/>
        <item x="144"/>
        <item x="223"/>
        <item x="242"/>
        <item x="7"/>
        <item x="383"/>
        <item x="97"/>
        <item x="39"/>
        <item x="296"/>
        <item x="73"/>
        <item x="91"/>
        <item x="297"/>
        <item x="120"/>
        <item x="141"/>
        <item x="213"/>
        <item x="246"/>
        <item x="113"/>
        <item x="232"/>
        <item x="347"/>
        <item x="302"/>
        <item x="305"/>
        <item x="98"/>
        <item x="258"/>
        <item x="42"/>
        <item x="269"/>
        <item x="114"/>
        <item x="294"/>
        <item x="47"/>
        <item x="38"/>
        <item x="298"/>
        <item x="303"/>
        <item x="187"/>
        <item x="44"/>
        <item x="45"/>
        <item x="189"/>
        <item x="37"/>
        <item x="46"/>
        <item x="43"/>
        <item x="295"/>
        <item x="41"/>
        <item x="188"/>
        <item x="186"/>
        <item x="190"/>
        <item x="2"/>
        <item x="168"/>
        <item x="193"/>
        <item x="200"/>
        <item x="379"/>
        <item x="100"/>
        <item x="49"/>
        <item x="53"/>
        <item x="96"/>
        <item x="255"/>
        <item x="131"/>
        <item x="256"/>
        <item x="152"/>
        <item x="222"/>
        <item x="241"/>
        <item x="1"/>
        <item x="48"/>
        <item x="95"/>
        <item x="52"/>
        <item x="122"/>
        <item x="265"/>
        <item x="276"/>
        <item x="143"/>
        <item x="357"/>
        <item x="192"/>
        <item x="121"/>
        <item x="362"/>
        <item x="259"/>
        <item x="199"/>
        <item x="142"/>
        <item x="270"/>
        <item x="4"/>
        <item x="358"/>
        <item x="363"/>
        <item x="132"/>
        <item x="153"/>
        <item x="312"/>
        <item x="331"/>
        <item x="0"/>
        <item x="313"/>
        <item x="194"/>
        <item x="332"/>
        <item x="201"/>
        <item x="260"/>
        <item x="271"/>
        <item x="133"/>
        <item x="264"/>
        <item x="154"/>
        <item x="275"/>
        <item x="314"/>
        <item x="221"/>
        <item x="333"/>
        <item x="322"/>
        <item x="240"/>
        <item x="341"/>
        <item x="36"/>
        <item x="210"/>
        <item x="229"/>
        <item x="356"/>
        <item x="35"/>
        <item x="361"/>
        <item x="71"/>
        <item x="72"/>
        <item x="89"/>
        <item x="321"/>
        <item x="90"/>
        <item x="340"/>
        <item x="311"/>
        <item x="220"/>
        <item x="330"/>
        <item x="239"/>
        <item x="118"/>
        <item x="19"/>
        <item x="139"/>
        <item x="61"/>
        <item x="79"/>
        <item x="196"/>
        <item x="119"/>
        <item x="202"/>
        <item x="107"/>
        <item x="140"/>
        <item x="257"/>
        <item x="191"/>
        <item x="268"/>
        <item x="198"/>
        <item x="11"/>
        <item x="212"/>
        <item x="231"/>
        <item x="211"/>
        <item x="9"/>
        <item x="230"/>
        <item x="323"/>
        <item x="342"/>
        <item x="14"/>
        <item x="60"/>
        <item x="130"/>
        <item x="78"/>
        <item x="151"/>
        <item x="25"/>
        <item x="209"/>
        <item x="228"/>
        <item x="13"/>
        <item x="29"/>
        <item x="63"/>
        <item x="81"/>
        <item x="10"/>
        <item x="18"/>
        <item x="320"/>
        <item x="339"/>
        <item x="173"/>
        <item x="28"/>
        <item x="310"/>
        <item x="329"/>
        <item x="17"/>
        <item x="34"/>
        <item x="288"/>
        <item x="117"/>
        <item x="23"/>
        <item x="138"/>
        <item x="62"/>
        <item x="12"/>
        <item x="80"/>
        <item x="178"/>
        <item x="219"/>
        <item x="238"/>
        <item x="33"/>
        <item x="170"/>
        <item x="182"/>
        <item x="172"/>
        <item x="293"/>
        <item x="185"/>
        <item x="289"/>
        <item x="208"/>
        <item x="309"/>
        <item x="227"/>
        <item x="328"/>
        <item x="24"/>
        <item x="15"/>
        <item x="16"/>
        <item x="70"/>
        <item x="88"/>
        <item x="20"/>
        <item x="171"/>
        <item x="8"/>
        <item x="169"/>
        <item x="59"/>
        <item x="77"/>
        <item x="40"/>
        <item x="254"/>
        <item x="103"/>
        <item t="default"/>
      </items>
    </pivotField>
    <pivotField dataField="1" compact="0" outline="0" multipleItemSelectionAllowed="1" showAll="0">
      <items count="413">
        <item x="385"/>
        <item x="403"/>
        <item x="1"/>
        <item x="204"/>
        <item x="251"/>
        <item x="165"/>
        <item x="278"/>
        <item x="93"/>
        <item x="74"/>
        <item x="54"/>
        <item x="170"/>
        <item x="314"/>
        <item x="276"/>
        <item x="85"/>
        <item x="65"/>
        <item x="366"/>
        <item x="277"/>
        <item x="168"/>
        <item x="86"/>
        <item x="66"/>
        <item x="311"/>
        <item x="275"/>
        <item x="285"/>
        <item x="24"/>
        <item x="235"/>
        <item x="409"/>
        <item x="216"/>
        <item x="119"/>
        <item x="132"/>
        <item x="153"/>
        <item x="312"/>
        <item x="395"/>
        <item x="313"/>
        <item x="250"/>
        <item x="379"/>
        <item x="386"/>
        <item x="205"/>
        <item x="407"/>
        <item x="129"/>
        <item x="150"/>
        <item x="326"/>
        <item x="346"/>
        <item x="390"/>
        <item x="99"/>
        <item x="362"/>
        <item x="377"/>
        <item x="381"/>
        <item x="243"/>
        <item x="224"/>
        <item x="359"/>
        <item x="411"/>
        <item x="166"/>
        <item x="203"/>
        <item x="408"/>
        <item x="101"/>
        <item x="361"/>
        <item x="310"/>
        <item x="53"/>
        <item x="23"/>
        <item x="247"/>
        <item x="138"/>
        <item x="159"/>
        <item x="52"/>
        <item x="383"/>
        <item x="363"/>
        <item x="181"/>
        <item x="202"/>
        <item x="291"/>
        <item x="284"/>
        <item x="106"/>
        <item x="410"/>
        <item x="180"/>
        <item x="344"/>
        <item x="324"/>
        <item x="167"/>
        <item x="112"/>
        <item x="343"/>
        <item x="283"/>
        <item x="405"/>
        <item x="323"/>
        <item x="268"/>
        <item x="257"/>
        <item x="131"/>
        <item x="152"/>
        <item x="92"/>
        <item x="73"/>
        <item x="109"/>
        <item x="249"/>
        <item x="378"/>
        <item x="193"/>
        <item x="325"/>
        <item x="345"/>
        <item x="333"/>
        <item x="353"/>
        <item x="187"/>
        <item x="169"/>
        <item x="91"/>
        <item x="72"/>
        <item x="160"/>
        <item x="139"/>
        <item x="358"/>
        <item x="163"/>
        <item x="245"/>
        <item x="393"/>
        <item x="342"/>
        <item x="322"/>
        <item x="404"/>
        <item x="213"/>
        <item x="232"/>
        <item x="102"/>
        <item x="406"/>
        <item x="82"/>
        <item x="62"/>
        <item x="356"/>
        <item x="241"/>
        <item x="222"/>
        <item x="360"/>
        <item x="223"/>
        <item x="242"/>
        <item x="161"/>
        <item x="140"/>
        <item x="397"/>
        <item x="394"/>
        <item x="22"/>
        <item x="29"/>
        <item x="81"/>
        <item x="61"/>
        <item x="111"/>
        <item x="248"/>
        <item x="282"/>
        <item x="20"/>
        <item x="352"/>
        <item x="332"/>
        <item x="388"/>
        <item x="51"/>
        <item x="234"/>
        <item x="215"/>
        <item x="178"/>
        <item x="400"/>
        <item x="288"/>
        <item x="84"/>
        <item x="64"/>
        <item x="380"/>
        <item x="107"/>
        <item x="392"/>
        <item x="389"/>
        <item x="281"/>
        <item x="148"/>
        <item x="127"/>
        <item x="354"/>
        <item x="334"/>
        <item x="130"/>
        <item x="151"/>
        <item x="183"/>
        <item x="214"/>
        <item x="233"/>
        <item x="190"/>
        <item x="186"/>
        <item x="197"/>
        <item x="70"/>
        <item x="128"/>
        <item x="149"/>
        <item x="26"/>
        <item x="21"/>
        <item x="212"/>
        <item x="231"/>
        <item x="182"/>
        <item x="280"/>
        <item x="263"/>
        <item x="274"/>
        <item x="25"/>
        <item x="287"/>
        <item x="269"/>
        <item x="258"/>
        <item x="27"/>
        <item x="290"/>
        <item x="370"/>
        <item x="375"/>
        <item x="63"/>
        <item x="83"/>
        <item x="179"/>
        <item x="164"/>
        <item x="331"/>
        <item x="351"/>
        <item x="184"/>
        <item x="299"/>
        <item x="105"/>
        <item x="307"/>
        <item x="286"/>
        <item x="401"/>
        <item x="297"/>
        <item x="305"/>
        <item x="402"/>
        <item x="384"/>
        <item x="296"/>
        <item x="28"/>
        <item x="304"/>
        <item x="396"/>
        <item x="321"/>
        <item x="341"/>
        <item x="114"/>
        <item x="357"/>
        <item x="259"/>
        <item x="270"/>
        <item x="162"/>
        <item x="108"/>
        <item x="289"/>
        <item x="262"/>
        <item x="273"/>
        <item x="382"/>
        <item x="185"/>
        <item x="98"/>
        <item x="137"/>
        <item x="158"/>
        <item x="398"/>
        <item x="60"/>
        <item x="246"/>
        <item x="221"/>
        <item x="80"/>
        <item x="240"/>
        <item x="126"/>
        <item x="399"/>
        <item x="376"/>
        <item x="371"/>
        <item x="147"/>
        <item x="252"/>
        <item x="391"/>
        <item x="194"/>
        <item x="200"/>
        <item x="110"/>
        <item x="96"/>
        <item x="36"/>
        <item x="71"/>
        <item x="90"/>
        <item x="42"/>
        <item x="47"/>
        <item x="123"/>
        <item x="144"/>
        <item x="115"/>
        <item x="254"/>
        <item x="265"/>
        <item x="355"/>
        <item x="244"/>
        <item x="116"/>
        <item x="211"/>
        <item x="113"/>
        <item x="230"/>
        <item x="44"/>
        <item x="37"/>
        <item x="40"/>
        <item x="49"/>
        <item x="39"/>
        <item x="35"/>
        <item x="301"/>
        <item x="0"/>
        <item x="309"/>
        <item x="171"/>
        <item x="191"/>
        <item x="97"/>
        <item x="198"/>
        <item x="298"/>
        <item x="306"/>
        <item x="387"/>
        <item x="192"/>
        <item x="199"/>
        <item x="100"/>
        <item x="45"/>
        <item x="50"/>
        <item x="364"/>
        <item x="134"/>
        <item x="365"/>
        <item x="95"/>
        <item x="155"/>
        <item x="220"/>
        <item x="239"/>
        <item x="3"/>
        <item x="195"/>
        <item x="201"/>
        <item x="295"/>
        <item x="303"/>
        <item x="94"/>
        <item x="300"/>
        <item x="308"/>
        <item x="43"/>
        <item x="125"/>
        <item x="261"/>
        <item x="48"/>
        <item x="272"/>
        <item x="146"/>
        <item x="368"/>
        <item x="373"/>
        <item x="255"/>
        <item x="189"/>
        <item x="266"/>
        <item x="196"/>
        <item x="2"/>
        <item x="135"/>
        <item x="156"/>
        <item x="9"/>
        <item x="117"/>
        <item x="319"/>
        <item x="118"/>
        <item x="339"/>
        <item x="318"/>
        <item x="338"/>
        <item x="41"/>
        <item x="256"/>
        <item x="294"/>
        <item x="46"/>
        <item x="267"/>
        <item x="302"/>
        <item x="136"/>
        <item x="260"/>
        <item x="157"/>
        <item x="271"/>
        <item x="369"/>
        <item x="374"/>
        <item x="103"/>
        <item x="320"/>
        <item x="340"/>
        <item x="329"/>
        <item x="349"/>
        <item x="34"/>
        <item x="69"/>
        <item x="208"/>
        <item x="89"/>
        <item x="227"/>
        <item x="317"/>
        <item x="337"/>
        <item x="218"/>
        <item x="237"/>
        <item x="121"/>
        <item x="124"/>
        <item x="219"/>
        <item x="32"/>
        <item x="142"/>
        <item x="238"/>
        <item x="145"/>
        <item x="367"/>
        <item x="372"/>
        <item x="122"/>
        <item x="18"/>
        <item x="143"/>
        <item x="68"/>
        <item x="88"/>
        <item x="253"/>
        <item x="264"/>
        <item x="8"/>
        <item x="328"/>
        <item x="210"/>
        <item x="348"/>
        <item x="229"/>
        <item x="6"/>
        <item x="57"/>
        <item x="77"/>
        <item x="12"/>
        <item x="330"/>
        <item x="209"/>
        <item x="350"/>
        <item x="228"/>
        <item x="56"/>
        <item x="33"/>
        <item x="76"/>
        <item x="207"/>
        <item x="14"/>
        <item x="226"/>
        <item x="11"/>
        <item x="59"/>
        <item x="79"/>
        <item x="7"/>
        <item x="133"/>
        <item x="154"/>
        <item x="17"/>
        <item x="327"/>
        <item x="347"/>
        <item x="293"/>
        <item x="177"/>
        <item x="16"/>
        <item x="174"/>
        <item x="316"/>
        <item x="336"/>
        <item x="31"/>
        <item x="58"/>
        <item x="10"/>
        <item x="78"/>
        <item x="279"/>
        <item x="217"/>
        <item x="236"/>
        <item x="120"/>
        <item x="30"/>
        <item x="141"/>
        <item x="176"/>
        <item x="292"/>
        <item x="188"/>
        <item x="206"/>
        <item x="225"/>
        <item x="13"/>
        <item x="315"/>
        <item x="335"/>
        <item x="15"/>
        <item x="67"/>
        <item x="87"/>
        <item x="19"/>
        <item x="5"/>
        <item x="175"/>
        <item x="173"/>
        <item x="55"/>
        <item x="75"/>
        <item x="38"/>
        <item x="172"/>
        <item x="4"/>
        <item x="104"/>
        <item t="default"/>
      </items>
    </pivotField>
  </pivotFields>
  <rowFields count="1">
    <field x="-2"/>
  </rowFields>
  <row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rowItems>
  <colFields count="1">
    <field x="4"/>
  </colFields>
  <colItems count="7">
    <i>
      <x v="7"/>
    </i>
    <i>
      <x v="9"/>
    </i>
    <i>
      <x v="10"/>
    </i>
    <i>
      <x v="15"/>
    </i>
    <i>
      <x v="27"/>
    </i>
    <i>
      <x v="37"/>
    </i>
    <i t="grand">
      <x/>
    </i>
  </colItems>
  <pageFields count="4">
    <pageField fld="0"/>
    <pageField fld="1"/>
    <pageField fld="2"/>
    <pageField fld="3"/>
  </pageFields>
  <dataFields count="12">
    <dataField name="2024年1月" fld="5" baseField="0" baseItem="0"/>
    <dataField name="2024年2月" fld="6" baseField="0" baseItem="0"/>
    <dataField name="2024年3月" fld="7" baseField="0" baseItem="0"/>
    <dataField name="2024年4月" fld="8" baseField="0" baseItem="0"/>
    <dataField name="2024年5月" fld="9" baseField="0" baseItem="0"/>
    <dataField name="2024年6月" fld="10" baseField="0" baseItem="0"/>
    <dataField name="2024年7月" fld="11" baseField="0" baseItem="0"/>
    <dataField name="2024年8月" fld="12" baseField="0" baseItem="0"/>
    <dataField name="2024年9月" fld="13" baseField="0" baseItem="0"/>
    <dataField name="2024年10月" fld="14" baseField="0" baseItem="0"/>
    <dataField name="2024年11月" fld="15" baseField="0" baseItem="0"/>
    <dataField name="2024年12月" fld="16" baseField="0" baseItem="0"/>
  </dataFields>
  <pivotTableStyleInfo showRowHeaders="1" showColHeaders="1" showLastColumn="1"/>
</pivotTableDefinition>
</file>

<file path=xl/pivotTables/pivotTable9.xml><?xml version="1.0" encoding="utf-8"?>
<pivotTableDefinition xmlns="http://schemas.openxmlformats.org/spreadsheetml/2006/main" name="2024统计 3" cacheId="1" dataOnRows="1" autoFormatId="1" applyNumberFormats="0" applyBorderFormats="0" applyFontFormats="0" applyPatternFormats="0" applyAlignmentFormats="0" applyWidthHeightFormats="1" dataCaption="" updatedVersion="5" compact="0" compactData="0" showDrill="1">
  <location ref="T7:Z20" firstHeaderRow="1" firstDataRow="2" firstDataCol="1" rowPageCount="4" colPageCount="1"/>
  <pivotFields count="17">
    <pivotField axis="axisPage" compact="0" outline="0" multipleItemSelectionAllowed="1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Page" compact="0" outline="0" multipleItemSelectionAllowed="1" showAll="0">
      <items count="4">
        <item h="1" x="0"/>
        <item x="1"/>
        <item h="1" x="2"/>
        <item t="default"/>
      </items>
    </pivotField>
    <pivotField axis="axisPage" compact="0" outline="0" multipleItemSelectionAllowed="1" showAll="0">
      <items count="9">
        <item h="1" x="0"/>
        <item h="1" x="1"/>
        <item h="1" x="2"/>
        <item h="1" x="3"/>
        <item h="1" x="4"/>
        <item h="1" x="5"/>
        <item x="6"/>
        <item h="1" x="7"/>
        <item t="default"/>
      </items>
    </pivotField>
    <pivotField axis="axisPage" compact="0" outline="0" multipleItemSelectionAllowed="1" showAll="0">
      <items count="18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x="14"/>
        <item h="1" x="15"/>
        <item h="1" x="16"/>
        <item t="default"/>
      </items>
    </pivotField>
    <pivotField axis="axisCol" compact="0" sortType="ascending" outline="0" multipleItemSelectionAllowed="1" showAll="0">
      <items count="39">
        <item h="1" x="21"/>
        <item h="1" x="24"/>
        <item h="1" x="27"/>
        <item h="1" x="12"/>
        <item h="1" x="18"/>
        <item h="1" x="33"/>
        <item h="1" x="17"/>
        <item h="1" x="4"/>
        <item h="1" x="20"/>
        <item h="1" x="3"/>
        <item h="1" x="1"/>
        <item x="8"/>
        <item x="7"/>
        <item h="1" x="15"/>
        <item h="1" x="16"/>
        <item h="1" x="5"/>
        <item x="9"/>
        <item h="1" x="31"/>
        <item h="1" x="29"/>
        <item h="1" x="30"/>
        <item h="1" x="23"/>
        <item h="1" x="26"/>
        <item h="1" x="0"/>
        <item h="1" x="14"/>
        <item x="11"/>
        <item x="10"/>
        <item h="1" x="32"/>
        <item h="1" x="6"/>
        <item h="1" x="22"/>
        <item h="1" x="25"/>
        <item h="1" x="28"/>
        <item h="1" x="13"/>
        <item h="1" x="19"/>
        <item h="1" x="34"/>
        <item h="1" x="37"/>
        <item h="1" x="35"/>
        <item h="1" x="36"/>
        <item h="1" x="2"/>
        <item t="default"/>
      </items>
    </pivotField>
    <pivotField dataField="1" compact="0" outline="0" multipleItemSelectionAllowed="1" showAll="0">
      <items count="134">
        <item x="5"/>
        <item x="117"/>
        <item x="130"/>
        <item x="125"/>
        <item x="97"/>
        <item x="96"/>
        <item x="95"/>
        <item x="94"/>
        <item x="129"/>
        <item x="93"/>
        <item x="124"/>
        <item x="105"/>
        <item x="127"/>
        <item x="100"/>
        <item x="128"/>
        <item x="92"/>
        <item x="116"/>
        <item x="115"/>
        <item x="70"/>
        <item x="43"/>
        <item x="46"/>
        <item x="53"/>
        <item x="60"/>
        <item x="45"/>
        <item x="126"/>
        <item x="57"/>
        <item x="50"/>
        <item x="51"/>
        <item x="58"/>
        <item x="12"/>
        <item x="83"/>
        <item x="89"/>
        <item x="120"/>
        <item x="15"/>
        <item x="118"/>
        <item x="49"/>
        <item x="56"/>
        <item x="19"/>
        <item x="76"/>
        <item x="44"/>
        <item x="35"/>
        <item x="41"/>
        <item x="55"/>
        <item x="48"/>
        <item x="73"/>
        <item x="71"/>
        <item x="21"/>
        <item x="18"/>
        <item x="103"/>
        <item x="98"/>
        <item x="42"/>
        <item x="20"/>
        <item x="110"/>
        <item x="113"/>
        <item x="25"/>
        <item x="13"/>
        <item x="69"/>
        <item x="47"/>
        <item x="54"/>
        <item x="23"/>
        <item x="106"/>
        <item x="101"/>
        <item x="68"/>
        <item x="16"/>
        <item x="32"/>
        <item x="26"/>
        <item x="33"/>
        <item x="39"/>
        <item x="131"/>
        <item x="22"/>
        <item x="132"/>
        <item x="102"/>
        <item x="107"/>
        <item x="27"/>
        <item x="78"/>
        <item x="77"/>
        <item x="61"/>
        <item x="31"/>
        <item x="99"/>
        <item x="104"/>
        <item x="38"/>
        <item x="17"/>
        <item x="72"/>
        <item x="74"/>
        <item x="79"/>
        <item x="52"/>
        <item x="59"/>
        <item x="119"/>
        <item x="121"/>
        <item x="63"/>
        <item x="66"/>
        <item x="122"/>
        <item x="123"/>
        <item x="30"/>
        <item x="4"/>
        <item x="81"/>
        <item x="87"/>
        <item x="29"/>
        <item x="37"/>
        <item x="84"/>
        <item x="90"/>
        <item x="1"/>
        <item x="111"/>
        <item x="114"/>
        <item x="109"/>
        <item x="112"/>
        <item x="85"/>
        <item x="91"/>
        <item x="64"/>
        <item x="67"/>
        <item x="82"/>
        <item x="88"/>
        <item x="7"/>
        <item x="34"/>
        <item x="40"/>
        <item x="62"/>
        <item x="65"/>
        <item x="3"/>
        <item x="28"/>
        <item x="36"/>
        <item x="80"/>
        <item x="86"/>
        <item x="2"/>
        <item x="11"/>
        <item x="14"/>
        <item x="10"/>
        <item x="6"/>
        <item x="8"/>
        <item x="75"/>
        <item x="9"/>
        <item x="0"/>
        <item x="24"/>
        <item x="108"/>
        <item t="default"/>
      </items>
    </pivotField>
    <pivotField dataField="1" compact="0" outline="0" multipleItemSelectionAllowed="1" showAll="0">
      <items count="202">
        <item x="1"/>
        <item x="200"/>
        <item x="158"/>
        <item x="115"/>
        <item x="183"/>
        <item x="72"/>
        <item x="187"/>
        <item x="145"/>
        <item x="144"/>
        <item x="143"/>
        <item x="198"/>
        <item x="141"/>
        <item x="134"/>
        <item x="122"/>
        <item x="186"/>
        <item x="194"/>
        <item x="49"/>
        <item x="63"/>
        <item x="91"/>
        <item x="68"/>
        <item x="189"/>
        <item x="199"/>
        <item x="67"/>
        <item x="191"/>
        <item x="62"/>
        <item x="48"/>
        <item x="43"/>
        <item x="135"/>
        <item x="58"/>
        <item x="123"/>
        <item x="152"/>
        <item x="106"/>
        <item x="97"/>
        <item x="41"/>
        <item x="56"/>
        <item x="99"/>
        <item x="173"/>
        <item x="162"/>
        <item x="176"/>
        <item x="157"/>
        <item x="174"/>
        <item x="6"/>
        <item x="163"/>
        <item x="165"/>
        <item x="114"/>
        <item x="188"/>
        <item x="156"/>
        <item x="113"/>
        <item x="92"/>
        <item x="119"/>
        <item x="131"/>
        <item x="142"/>
        <item x="55"/>
        <item x="40"/>
        <item x="180"/>
        <item x="169"/>
        <item x="182"/>
        <item x="20"/>
        <item x="195"/>
        <item x="181"/>
        <item x="140"/>
        <item x="196"/>
        <item x="190"/>
        <item x="85"/>
        <item x="77"/>
        <item x="84"/>
        <item x="76"/>
        <item x="146"/>
        <item x="66"/>
        <item x="46"/>
        <item x="60"/>
        <item x="39"/>
        <item x="54"/>
        <item x="11"/>
        <item x="32"/>
        <item x="132"/>
        <item x="120"/>
        <item x="95"/>
        <item x="21"/>
        <item x="98"/>
        <item x="65"/>
        <item x="64"/>
        <item x="149"/>
        <item x="7"/>
        <item x="154"/>
        <item x="160"/>
        <item x="150"/>
        <item x="171"/>
        <item x="108"/>
        <item x="192"/>
        <item x="12"/>
        <item x="90"/>
        <item x="26"/>
        <item x="89"/>
        <item x="167"/>
        <item x="28"/>
        <item x="178"/>
        <item x="24"/>
        <item x="25"/>
        <item x="8"/>
        <item x="107"/>
        <item x="45"/>
        <item x="111"/>
        <item x="38"/>
        <item x="29"/>
        <item x="53"/>
        <item x="57"/>
        <item x="42"/>
        <item x="138"/>
        <item x="126"/>
        <item x="22"/>
        <item x="127"/>
        <item x="139"/>
        <item x="96"/>
        <item x="147"/>
        <item x="23"/>
        <item x="151"/>
        <item x="155"/>
        <item x="30"/>
        <item x="78"/>
        <item x="86"/>
        <item x="121"/>
        <item x="133"/>
        <item x="193"/>
        <item x="100"/>
        <item x="164"/>
        <item x="36"/>
        <item x="175"/>
        <item x="148"/>
        <item x="153"/>
        <item x="52"/>
        <item x="104"/>
        <item x="101"/>
        <item x="14"/>
        <item x="103"/>
        <item x="70"/>
        <item x="109"/>
        <item x="71"/>
        <item x="112"/>
        <item x="80"/>
        <item x="88"/>
        <item x="197"/>
        <item x="102"/>
        <item x="168"/>
        <item x="74"/>
        <item x="179"/>
        <item x="105"/>
        <item x="110"/>
        <item x="82"/>
        <item x="47"/>
        <item x="61"/>
        <item x="184"/>
        <item x="185"/>
        <item x="35"/>
        <item x="2"/>
        <item x="117"/>
        <item x="129"/>
        <item x="34"/>
        <item x="51"/>
        <item x="0"/>
        <item x="161"/>
        <item x="172"/>
        <item x="124"/>
        <item x="136"/>
        <item x="166"/>
        <item x="177"/>
        <item x="125"/>
        <item x="137"/>
        <item x="75"/>
        <item x="83"/>
        <item x="31"/>
        <item x="4"/>
        <item x="159"/>
        <item x="170"/>
        <item x="118"/>
        <item x="37"/>
        <item x="130"/>
        <item x="79"/>
        <item x="87"/>
        <item x="5"/>
        <item x="73"/>
        <item x="81"/>
        <item x="16"/>
        <item x="116"/>
        <item x="128"/>
        <item x="13"/>
        <item x="44"/>
        <item x="59"/>
        <item x="9"/>
        <item x="33"/>
        <item x="50"/>
        <item x="10"/>
        <item x="3"/>
        <item x="19"/>
        <item x="94"/>
        <item x="17"/>
        <item x="93"/>
        <item x="18"/>
        <item x="15"/>
        <item x="27"/>
        <item x="69"/>
        <item t="default"/>
      </items>
    </pivotField>
    <pivotField dataField="1" compact="0" outline="0" multipleItemSelectionAllowed="1" showAll="0">
      <items count="241">
        <item x="1"/>
        <item x="238"/>
        <item x="100"/>
        <item x="219"/>
        <item x="39"/>
        <item x="161"/>
        <item x="160"/>
        <item x="128"/>
        <item x="185"/>
        <item x="237"/>
        <item x="157"/>
        <item x="56"/>
        <item x="72"/>
        <item x="184"/>
        <item x="218"/>
        <item x="223"/>
        <item x="159"/>
        <item x="215"/>
        <item x="102"/>
        <item x="222"/>
        <item x="151"/>
        <item x="138"/>
        <item x="208"/>
        <item x="195"/>
        <item x="77"/>
        <item x="235"/>
        <item x="239"/>
        <item x="50"/>
        <item x="66"/>
        <item x="127"/>
        <item x="150"/>
        <item x="137"/>
        <item x="236"/>
        <item x="183"/>
        <item x="76"/>
        <item x="126"/>
        <item x="149"/>
        <item x="136"/>
        <item x="225"/>
        <item x="109"/>
        <item x="8"/>
        <item x="79"/>
        <item x="182"/>
        <item x="63"/>
        <item x="47"/>
        <item x="164"/>
        <item x="205"/>
        <item x="192"/>
        <item x="193"/>
        <item x="206"/>
        <item x="229"/>
        <item x="22"/>
        <item x="226"/>
        <item x="221"/>
        <item x="108"/>
        <item x="55"/>
        <item x="71"/>
        <item x="111"/>
        <item x="232"/>
        <item x="48"/>
        <item x="220"/>
        <item x="64"/>
        <item x="13"/>
        <item x="46"/>
        <item x="62"/>
        <item x="95"/>
        <item x="86"/>
        <item x="158"/>
        <item x="231"/>
        <item x="228"/>
        <item x="214"/>
        <item x="94"/>
        <item x="85"/>
        <item x="28"/>
        <item x="156"/>
        <item x="75"/>
        <item x="53"/>
        <item x="69"/>
        <item x="9"/>
        <item x="213"/>
        <item x="16"/>
        <item x="194"/>
        <item x="207"/>
        <item x="163"/>
        <item x="73"/>
        <item x="106"/>
        <item x="224"/>
        <item x="14"/>
        <item x="190"/>
        <item x="133"/>
        <item x="38"/>
        <item x="230"/>
        <item x="37"/>
        <item x="227"/>
        <item x="110"/>
        <item x="25"/>
        <item x="134"/>
        <item x="147"/>
        <item x="101"/>
        <item x="116"/>
        <item x="123"/>
        <item x="29"/>
        <item x="211"/>
        <item x="198"/>
        <item x="26"/>
        <item x="99"/>
        <item x="107"/>
        <item x="117"/>
        <item x="155"/>
        <item x="142"/>
        <item x="234"/>
        <item x="30"/>
        <item x="10"/>
        <item x="45"/>
        <item x="61"/>
        <item x="172"/>
        <item x="135"/>
        <item x="148"/>
        <item x="178"/>
        <item x="191"/>
        <item x="204"/>
        <item x="212"/>
        <item x="199"/>
        <item x="15"/>
        <item x="174"/>
        <item x="132"/>
        <item x="180"/>
        <item x="146"/>
        <item x="65"/>
        <item x="49"/>
        <item x="165"/>
        <item x="233"/>
        <item x="141"/>
        <item x="154"/>
        <item x="166"/>
        <item x="167"/>
        <item x="87"/>
        <item x="96"/>
        <item x="24"/>
        <item x="78"/>
        <item x="74"/>
        <item x="168"/>
        <item x="169"/>
        <item x="80"/>
        <item x="83"/>
        <item x="92"/>
        <item x="89"/>
        <item x="98"/>
        <item x="188"/>
        <item x="32"/>
        <item x="202"/>
        <item x="35"/>
        <item x="112"/>
        <item x="70"/>
        <item x="54"/>
        <item x="115"/>
        <item x="173"/>
        <item x="82"/>
        <item x="122"/>
        <item x="179"/>
        <item x="91"/>
        <item x="216"/>
        <item x="217"/>
        <item x="42"/>
        <item x="4"/>
        <item x="119"/>
        <item x="125"/>
        <item x="52"/>
        <item x="68"/>
        <item x="43"/>
        <item x="59"/>
        <item x="41"/>
        <item x="58"/>
        <item x="33"/>
        <item x="36"/>
        <item x="2"/>
        <item x="114"/>
        <item x="189"/>
        <item x="121"/>
        <item x="203"/>
        <item x="118"/>
        <item x="124"/>
        <item x="31"/>
        <item x="34"/>
        <item x="84"/>
        <item x="93"/>
        <item x="6"/>
        <item x="196"/>
        <item x="209"/>
        <item x="130"/>
        <item x="175"/>
        <item x="144"/>
        <item x="171"/>
        <item x="181"/>
        <item x="177"/>
        <item x="88"/>
        <item x="97"/>
        <item x="113"/>
        <item x="120"/>
        <item x="187"/>
        <item x="197"/>
        <item x="201"/>
        <item x="210"/>
        <item x="140"/>
        <item x="153"/>
        <item x="3"/>
        <item x="131"/>
        <item x="145"/>
        <item x="81"/>
        <item x="90"/>
        <item x="170"/>
        <item x="176"/>
        <item x="139"/>
        <item x="5"/>
        <item x="152"/>
        <item x="44"/>
        <item x="60"/>
        <item x="0"/>
        <item x="11"/>
        <item x="186"/>
        <item x="200"/>
        <item x="23"/>
        <item x="51"/>
        <item x="67"/>
        <item x="129"/>
        <item x="143"/>
        <item x="18"/>
        <item x="40"/>
        <item x="57"/>
        <item x="162"/>
        <item x="21"/>
        <item x="12"/>
        <item x="7"/>
        <item x="105"/>
        <item x="104"/>
        <item x="19"/>
        <item x="20"/>
        <item x="17"/>
        <item x="27"/>
        <item x="103"/>
        <item t="default"/>
      </items>
    </pivotField>
    <pivotField dataField="1" compact="0" outline="0" multipleItemSelectionAllowed="1" showAll="0">
      <items count="271">
        <item x="0"/>
        <item x="53"/>
        <item x="207"/>
        <item x="56"/>
        <item x="268"/>
        <item x="141"/>
        <item x="122"/>
        <item x="206"/>
        <item x="249"/>
        <item x="177"/>
        <item x="176"/>
        <item x="208"/>
        <item x="203"/>
        <item x="97"/>
        <item x="180"/>
        <item x="100"/>
        <item x="171"/>
        <item x="157"/>
        <item x="267"/>
        <item x="173"/>
        <item x="244"/>
        <item x="224"/>
        <item x="240"/>
        <item x="55"/>
        <item x="248"/>
        <item x="52"/>
        <item x="266"/>
        <item x="175"/>
        <item x="124"/>
        <item x="205"/>
        <item x="254"/>
        <item x="166"/>
        <item x="152"/>
        <item x="67"/>
        <item x="84"/>
        <item x="264"/>
        <item x="269"/>
        <item x="165"/>
        <item x="151"/>
        <item x="265"/>
        <item x="94"/>
        <item x="131"/>
        <item x="253"/>
        <item x="243"/>
        <item x="22"/>
        <item x="164"/>
        <item x="150"/>
        <item x="73"/>
        <item x="90"/>
        <item x="232"/>
        <item x="216"/>
        <item x="26"/>
        <item x="81"/>
        <item x="64"/>
        <item x="217"/>
        <item x="233"/>
        <item x="258"/>
        <item x="255"/>
        <item x="252"/>
        <item x="72"/>
        <item x="89"/>
        <item x="108"/>
        <item x="7"/>
        <item x="118"/>
        <item x="139"/>
        <item x="63"/>
        <item x="140"/>
        <item x="80"/>
        <item x="23"/>
        <item x="261"/>
        <item x="204"/>
        <item x="234"/>
        <item x="218"/>
        <item x="116"/>
        <item x="106"/>
        <item x="31"/>
        <item x="115"/>
        <item x="105"/>
        <item x="130"/>
        <item x="174"/>
        <item x="260"/>
        <item x="257"/>
        <item x="42"/>
        <item x="47"/>
        <item x="202"/>
        <item x="54"/>
        <item x="134"/>
        <item x="51"/>
        <item x="93"/>
        <item x="172"/>
        <item x="25"/>
        <item x="95"/>
        <item x="8"/>
        <item x="189"/>
        <item x="27"/>
        <item x="65"/>
        <item x="82"/>
        <item x="11"/>
        <item x="128"/>
        <item x="193"/>
        <item x="201"/>
        <item x="219"/>
        <item x="235"/>
        <item x="251"/>
        <item x="37"/>
        <item x="239"/>
        <item x="223"/>
        <item x="215"/>
        <item x="231"/>
        <item x="147"/>
        <item x="242"/>
        <item x="259"/>
        <item x="256"/>
        <item x="148"/>
        <item x="162"/>
        <item x="9"/>
        <item x="123"/>
        <item x="250"/>
        <item x="187"/>
        <item x="196"/>
        <item x="129"/>
        <item x="30"/>
        <item x="12"/>
        <item x="241"/>
        <item x="121"/>
        <item x="170"/>
        <item x="156"/>
        <item x="146"/>
        <item x="263"/>
        <item x="83"/>
        <item x="66"/>
        <item x="38"/>
        <item x="62"/>
        <item x="133"/>
        <item x="149"/>
        <item x="163"/>
        <item x="79"/>
        <item x="24"/>
        <item x="91"/>
        <item x="222"/>
        <item x="238"/>
        <item x="117"/>
        <item x="107"/>
        <item x="155"/>
        <item x="169"/>
        <item x="262"/>
        <item x="181"/>
        <item x="35"/>
        <item x="36"/>
        <item x="34"/>
        <item x="98"/>
        <item x="183"/>
        <item x="28"/>
        <item x="99"/>
        <item x="188"/>
        <item x="197"/>
        <item x="145"/>
        <item x="40"/>
        <item x="96"/>
        <item x="161"/>
        <item x="92"/>
        <item x="45"/>
        <item x="50"/>
        <item x="120"/>
        <item x="110"/>
        <item x="184"/>
        <item x="14"/>
        <item x="32"/>
        <item x="103"/>
        <item x="113"/>
        <item x="88"/>
        <item x="71"/>
        <item x="39"/>
        <item x="178"/>
        <item x="179"/>
        <item x="102"/>
        <item x="136"/>
        <item x="112"/>
        <item x="138"/>
        <item x="135"/>
        <item x="137"/>
        <item x="70"/>
        <item x="87"/>
        <item x="246"/>
        <item x="247"/>
        <item x="2"/>
        <item x="44"/>
        <item x="49"/>
        <item x="59"/>
        <item x="76"/>
        <item x="211"/>
        <item x="227"/>
        <item x="192"/>
        <item x="200"/>
        <item x="186"/>
        <item x="195"/>
        <item x="69"/>
        <item x="86"/>
        <item x="212"/>
        <item x="228"/>
        <item x="58"/>
        <item x="75"/>
        <item x="43"/>
        <item x="48"/>
        <item x="41"/>
        <item x="4"/>
        <item x="46"/>
        <item x="213"/>
        <item x="229"/>
        <item x="104"/>
        <item x="114"/>
        <item x="5"/>
        <item x="60"/>
        <item x="77"/>
        <item x="143"/>
        <item x="159"/>
        <item x="109"/>
        <item x="119"/>
        <item x="154"/>
        <item x="168"/>
        <item x="3"/>
        <item x="144"/>
        <item x="160"/>
        <item x="190"/>
        <item x="198"/>
        <item x="214"/>
        <item x="191"/>
        <item x="230"/>
        <item x="199"/>
        <item x="153"/>
        <item x="101"/>
        <item x="1"/>
        <item x="167"/>
        <item x="221"/>
        <item x="210"/>
        <item x="111"/>
        <item x="237"/>
        <item x="226"/>
        <item x="61"/>
        <item x="78"/>
        <item x="13"/>
        <item x="10"/>
        <item x="185"/>
        <item x="194"/>
        <item x="6"/>
        <item x="220"/>
        <item x="236"/>
        <item x="16"/>
        <item x="142"/>
        <item x="158"/>
        <item x="68"/>
        <item x="85"/>
        <item x="126"/>
        <item x="20"/>
        <item x="57"/>
        <item x="74"/>
        <item x="29"/>
        <item x="17"/>
        <item x="21"/>
        <item x="209"/>
        <item x="132"/>
        <item x="225"/>
        <item x="182"/>
        <item x="127"/>
        <item x="18"/>
        <item x="125"/>
        <item x="19"/>
        <item x="15"/>
        <item x="33"/>
        <item x="245"/>
        <item t="default"/>
      </items>
    </pivotField>
    <pivotField dataField="1" compact="0" outline="0" multipleItemSelectionAllowed="1" showAll="0">
      <items count="336">
        <item x="2"/>
        <item x="171"/>
        <item x="313"/>
        <item x="118"/>
        <item x="209"/>
        <item x="119"/>
        <item x="314"/>
        <item x="155"/>
        <item x="172"/>
        <item x="170"/>
        <item x="117"/>
        <item x="311"/>
        <item x="116"/>
        <item x="214"/>
        <item x="210"/>
        <item x="86"/>
        <item x="69"/>
        <item x="99"/>
        <item x="204"/>
        <item x="189"/>
        <item x="223"/>
        <item x="151"/>
        <item x="154"/>
        <item x="211"/>
        <item x="308"/>
        <item x="249"/>
        <item x="294"/>
        <item x="332"/>
        <item x="302"/>
        <item x="206"/>
        <item x="208"/>
        <item x="248"/>
        <item x="331"/>
        <item x="306"/>
        <item x="198"/>
        <item x="312"/>
        <item x="310"/>
        <item x="183"/>
        <item x="318"/>
        <item x="333"/>
        <item x="153"/>
        <item x="323"/>
        <item x="197"/>
        <item x="182"/>
        <item x="22"/>
        <item x="334"/>
        <item x="246"/>
        <item x="160"/>
        <item x="251"/>
        <item x="329"/>
        <item x="250"/>
        <item x="92"/>
        <item x="75"/>
        <item x="295"/>
        <item x="129"/>
        <item x="144"/>
        <item x="307"/>
        <item x="296"/>
        <item x="270"/>
        <item x="289"/>
        <item x="141"/>
        <item x="309"/>
        <item x="126"/>
        <item x="322"/>
        <item x="330"/>
        <item x="293"/>
        <item x="82"/>
        <item x="65"/>
        <item x="58"/>
        <item x="260"/>
        <item x="279"/>
        <item x="18"/>
        <item x="91"/>
        <item x="74"/>
        <item x="299"/>
        <item x="247"/>
        <item x="280"/>
        <item x="261"/>
        <item x="304"/>
        <item x="305"/>
        <item x="83"/>
        <item x="66"/>
        <item x="319"/>
        <item x="303"/>
        <item x="291"/>
        <item x="317"/>
        <item x="149"/>
        <item x="134"/>
        <item x="226"/>
        <item x="186"/>
        <item x="201"/>
        <item x="101"/>
        <item x="316"/>
        <item x="28"/>
        <item x="165"/>
        <item x="168"/>
        <item x="24"/>
        <item x="269"/>
        <item x="288"/>
        <item x="181"/>
        <item x="196"/>
        <item x="133"/>
        <item x="148"/>
        <item x="326"/>
        <item x="207"/>
        <item x="19"/>
        <item x="278"/>
        <item x="259"/>
        <item x="103"/>
        <item x="205"/>
        <item x="221"/>
        <item x="217"/>
        <item x="262"/>
        <item x="281"/>
        <item x="55"/>
        <item x="97"/>
        <item x="158"/>
        <item x="325"/>
        <item x="324"/>
        <item x="287"/>
        <item x="268"/>
        <item x="143"/>
        <item x="128"/>
        <item x="21"/>
        <item x="142"/>
        <item x="127"/>
        <item x="161"/>
        <item x="321"/>
        <item x="27"/>
        <item x="125"/>
        <item x="140"/>
        <item x="225"/>
        <item x="179"/>
        <item x="194"/>
        <item x="8"/>
        <item x="85"/>
        <item x="68"/>
        <item x="320"/>
        <item x="178"/>
        <item x="147"/>
        <item x="132"/>
        <item x="237"/>
        <item x="224"/>
        <item x="258"/>
        <item x="277"/>
        <item x="243"/>
        <item x="292"/>
        <item x="152"/>
        <item x="227"/>
        <item x="203"/>
        <item x="188"/>
        <item x="159"/>
        <item x="328"/>
        <item x="20"/>
        <item x="180"/>
        <item x="195"/>
        <item x="100"/>
        <item x="315"/>
        <item x="177"/>
        <item x="150"/>
        <item x="162"/>
        <item x="95"/>
        <item x="67"/>
        <item x="228"/>
        <item x="84"/>
        <item x="64"/>
        <item x="81"/>
        <item x="290"/>
        <item x="267"/>
        <item x="286"/>
        <item x="110"/>
        <item x="10"/>
        <item x="115"/>
        <item x="229"/>
        <item x="26"/>
        <item x="187"/>
        <item x="202"/>
        <item x="327"/>
        <item x="102"/>
        <item x="124"/>
        <item x="139"/>
        <item x="9"/>
        <item x="33"/>
        <item x="56"/>
        <item x="57"/>
        <item x="35"/>
        <item x="218"/>
        <item x="222"/>
        <item x="96"/>
        <item x="122"/>
        <item x="137"/>
        <item x="32"/>
        <item x="54"/>
        <item x="30"/>
        <item x="105"/>
        <item x="73"/>
        <item x="90"/>
        <item x="216"/>
        <item x="233"/>
        <item x="220"/>
        <item x="34"/>
        <item x="104"/>
        <item x="29"/>
        <item x="231"/>
        <item x="232"/>
        <item x="36"/>
        <item x="53"/>
        <item x="1"/>
        <item x="156"/>
        <item x="166"/>
        <item x="169"/>
        <item x="44"/>
        <item x="52"/>
        <item x="164"/>
        <item x="167"/>
        <item x="131"/>
        <item x="146"/>
        <item x="98"/>
        <item x="93"/>
        <item x="266"/>
        <item x="94"/>
        <item x="285"/>
        <item x="109"/>
        <item x="38"/>
        <item x="114"/>
        <item x="176"/>
        <item x="46"/>
        <item x="193"/>
        <item x="255"/>
        <item x="274"/>
        <item x="297"/>
        <item x="298"/>
        <item x="3"/>
        <item x="238"/>
        <item x="244"/>
        <item x="72"/>
        <item x="89"/>
        <item x="107"/>
        <item x="256"/>
        <item x="112"/>
        <item x="275"/>
        <item x="235"/>
        <item x="241"/>
        <item x="108"/>
        <item x="123"/>
        <item x="113"/>
        <item x="43"/>
        <item x="138"/>
        <item x="51"/>
        <item x="300"/>
        <item x="236"/>
        <item x="301"/>
        <item x="212"/>
        <item x="242"/>
        <item x="213"/>
        <item x="0"/>
        <item x="121"/>
        <item x="136"/>
        <item x="239"/>
        <item x="245"/>
        <item x="39"/>
        <item x="174"/>
        <item x="47"/>
        <item x="191"/>
        <item x="60"/>
        <item x="77"/>
        <item x="130"/>
        <item x="265"/>
        <item x="145"/>
        <item x="284"/>
        <item x="215"/>
        <item x="219"/>
        <item x="12"/>
        <item x="185"/>
        <item x="254"/>
        <item x="200"/>
        <item x="273"/>
        <item x="71"/>
        <item x="88"/>
        <item x="175"/>
        <item x="192"/>
        <item x="61"/>
        <item x="78"/>
        <item x="257"/>
        <item x="276"/>
        <item x="106"/>
        <item x="5"/>
        <item x="111"/>
        <item x="264"/>
        <item x="283"/>
        <item x="234"/>
        <item x="240"/>
        <item x="7"/>
        <item x="184"/>
        <item x="199"/>
        <item x="6"/>
        <item x="253"/>
        <item x="272"/>
        <item x="4"/>
        <item x="41"/>
        <item x="49"/>
        <item x="17"/>
        <item x="120"/>
        <item x="263"/>
        <item x="135"/>
        <item x="282"/>
        <item x="173"/>
        <item x="190"/>
        <item x="13"/>
        <item x="14"/>
        <item x="63"/>
        <item x="80"/>
        <item x="163"/>
        <item x="40"/>
        <item x="48"/>
        <item x="230"/>
        <item x="62"/>
        <item x="23"/>
        <item x="79"/>
        <item x="25"/>
        <item x="252"/>
        <item x="271"/>
        <item x="15"/>
        <item x="16"/>
        <item x="42"/>
        <item x="50"/>
        <item x="11"/>
        <item x="37"/>
        <item x="45"/>
        <item x="70"/>
        <item x="87"/>
        <item x="59"/>
        <item x="76"/>
        <item x="31"/>
        <item x="157"/>
        <item t="default"/>
      </items>
    </pivotField>
    <pivotField dataField="1" compact="0" outline="0" multipleItemSelectionAllowed="1" showAll="0">
      <items count="330">
        <item x="2"/>
        <item x="139"/>
        <item x="204"/>
        <item x="307"/>
        <item x="167"/>
        <item x="142"/>
        <item x="249"/>
        <item x="143"/>
        <item x="52"/>
        <item x="219"/>
        <item x="82"/>
        <item x="65"/>
        <item x="205"/>
        <item x="95"/>
        <item x="199"/>
        <item x="184"/>
        <item x="218"/>
        <item x="137"/>
        <item x="141"/>
        <item x="206"/>
        <item x="250"/>
        <item x="251"/>
        <item x="53"/>
        <item x="326"/>
        <item x="300"/>
        <item x="306"/>
        <item x="201"/>
        <item x="325"/>
        <item x="193"/>
        <item x="178"/>
        <item x="203"/>
        <item x="311"/>
        <item x="22"/>
        <item x="192"/>
        <item x="140"/>
        <item x="177"/>
        <item x="327"/>
        <item x="149"/>
        <item x="328"/>
        <item x="316"/>
        <item x="166"/>
        <item x="323"/>
        <item x="296"/>
        <item x="165"/>
        <item x="112"/>
        <item x="129"/>
        <item x="261"/>
        <item x="280"/>
        <item x="227"/>
        <item x="297"/>
        <item x="126"/>
        <item x="109"/>
        <item x="88"/>
        <item x="71"/>
        <item x="96"/>
        <item x="324"/>
        <item x="302"/>
        <item x="78"/>
        <item x="61"/>
        <item x="79"/>
        <item x="62"/>
        <item x="294"/>
        <item x="226"/>
        <item x="262"/>
        <item x="281"/>
        <item x="87"/>
        <item x="154"/>
        <item x="70"/>
        <item x="54"/>
        <item x="18"/>
        <item x="301"/>
        <item x="310"/>
        <item x="292"/>
        <item x="270"/>
        <item x="289"/>
        <item x="135"/>
        <item x="118"/>
        <item x="51"/>
        <item x="313"/>
        <item x="181"/>
        <item x="196"/>
        <item x="98"/>
        <item x="263"/>
        <item x="282"/>
        <item x="309"/>
        <item x="279"/>
        <item x="260"/>
        <item x="252"/>
        <item x="19"/>
        <item x="315"/>
        <item x="100"/>
        <item x="295"/>
        <item x="31"/>
        <item x="288"/>
        <item x="269"/>
        <item x="117"/>
        <item x="134"/>
        <item x="25"/>
        <item x="318"/>
        <item x="314"/>
        <item x="248"/>
        <item x="99"/>
        <item x="191"/>
        <item x="176"/>
        <item x="153"/>
        <item x="216"/>
        <item x="211"/>
        <item x="202"/>
        <item x="21"/>
        <item x="200"/>
        <item x="128"/>
        <item x="111"/>
        <item x="26"/>
        <item x="127"/>
        <item x="110"/>
        <item x="225"/>
        <item x="319"/>
        <item x="305"/>
        <item x="151"/>
        <item x="81"/>
        <item x="30"/>
        <item x="64"/>
        <item x="108"/>
        <item x="125"/>
        <item x="290"/>
        <item x="271"/>
        <item x="312"/>
        <item x="304"/>
        <item x="160"/>
        <item x="163"/>
        <item x="6"/>
        <item x="174"/>
        <item x="189"/>
        <item x="173"/>
        <item x="229"/>
        <item x="133"/>
        <item x="116"/>
        <item x="235"/>
        <item x="93"/>
        <item x="243"/>
        <item x="148"/>
        <item x="321"/>
        <item x="268"/>
        <item x="287"/>
        <item x="138"/>
        <item x="224"/>
        <item x="293"/>
        <item x="175"/>
        <item x="190"/>
        <item x="198"/>
        <item x="183"/>
        <item x="152"/>
        <item x="317"/>
        <item x="161"/>
        <item x="164"/>
        <item x="97"/>
        <item x="172"/>
        <item x="136"/>
        <item x="91"/>
        <item x="20"/>
        <item x="60"/>
        <item x="77"/>
        <item x="320"/>
        <item x="228"/>
        <item x="63"/>
        <item x="80"/>
        <item x="7"/>
        <item x="29"/>
        <item x="278"/>
        <item x="259"/>
        <item x="27"/>
        <item x="303"/>
        <item x="182"/>
        <item x="197"/>
        <item x="33"/>
        <item x="322"/>
        <item x="107"/>
        <item x="124"/>
        <item x="42"/>
        <item x="5"/>
        <item x="47"/>
        <item x="291"/>
        <item x="159"/>
        <item x="162"/>
        <item x="308"/>
        <item x="212"/>
        <item x="217"/>
        <item x="104"/>
        <item x="121"/>
        <item x="40"/>
        <item x="69"/>
        <item x="86"/>
        <item x="92"/>
        <item x="238"/>
        <item x="234"/>
        <item x="246"/>
        <item x="37"/>
        <item x="242"/>
        <item x="209"/>
        <item x="214"/>
        <item x="101"/>
        <item x="36"/>
        <item x="38"/>
        <item x="157"/>
        <item x="32"/>
        <item x="158"/>
        <item x="231"/>
        <item x="39"/>
        <item x="34"/>
        <item x="230"/>
        <item x="156"/>
        <item x="155"/>
        <item x="4"/>
        <item x="144"/>
        <item x="236"/>
        <item x="244"/>
        <item x="115"/>
        <item x="132"/>
        <item x="94"/>
        <item x="90"/>
        <item x="45"/>
        <item x="89"/>
        <item x="50"/>
        <item x="114"/>
        <item x="131"/>
        <item x="44"/>
        <item x="49"/>
        <item x="1"/>
        <item x="256"/>
        <item x="171"/>
        <item x="275"/>
        <item x="188"/>
        <item x="237"/>
        <item x="245"/>
        <item x="106"/>
        <item x="105"/>
        <item x="123"/>
        <item x="122"/>
        <item x="298"/>
        <item x="299"/>
        <item x="210"/>
        <item x="215"/>
        <item x="3"/>
        <item x="103"/>
        <item x="120"/>
        <item x="43"/>
        <item x="113"/>
        <item x="48"/>
        <item x="130"/>
        <item x="257"/>
        <item x="276"/>
        <item x="169"/>
        <item x="208"/>
        <item x="186"/>
        <item x="68"/>
        <item x="213"/>
        <item x="85"/>
        <item x="0"/>
        <item x="56"/>
        <item x="41"/>
        <item x="73"/>
        <item x="46"/>
        <item x="266"/>
        <item x="170"/>
        <item x="180"/>
        <item x="285"/>
        <item x="187"/>
        <item x="195"/>
        <item x="57"/>
        <item x="74"/>
        <item x="258"/>
        <item x="67"/>
        <item x="277"/>
        <item x="255"/>
        <item x="84"/>
        <item x="274"/>
        <item x="9"/>
        <item x="265"/>
        <item x="284"/>
        <item x="11"/>
        <item x="179"/>
        <item x="194"/>
        <item x="13"/>
        <item x="16"/>
        <item x="239"/>
        <item x="145"/>
        <item x="247"/>
        <item x="102"/>
        <item x="147"/>
        <item x="233"/>
        <item x="119"/>
        <item x="241"/>
        <item x="267"/>
        <item x="286"/>
        <item x="223"/>
        <item x="168"/>
        <item x="185"/>
        <item x="15"/>
        <item x="264"/>
        <item x="232"/>
        <item x="240"/>
        <item x="283"/>
        <item x="10"/>
        <item x="59"/>
        <item x="76"/>
        <item x="23"/>
        <item x="221"/>
        <item x="12"/>
        <item x="254"/>
        <item x="273"/>
        <item x="150"/>
        <item x="146"/>
        <item x="58"/>
        <item x="75"/>
        <item x="24"/>
        <item x="28"/>
        <item x="14"/>
        <item x="17"/>
        <item x="222"/>
        <item x="8"/>
        <item x="220"/>
        <item x="253"/>
        <item x="272"/>
        <item x="66"/>
        <item x="83"/>
        <item x="55"/>
        <item x="72"/>
        <item x="35"/>
        <item x="207"/>
        <item t="default"/>
      </items>
    </pivotField>
    <pivotField dataField="1" compact="0" outline="0" multipleItemSelectionAllowed="1" showAll="0">
      <items count="344">
        <item x="2"/>
        <item x="175"/>
        <item x="51"/>
        <item x="257"/>
        <item x="145"/>
        <item x="255"/>
        <item x="218"/>
        <item x="148"/>
        <item x="149"/>
        <item x="232"/>
        <item x="80"/>
        <item x="63"/>
        <item x="213"/>
        <item x="233"/>
        <item x="143"/>
        <item x="147"/>
        <item x="214"/>
        <item x="174"/>
        <item x="231"/>
        <item x="52"/>
        <item x="258"/>
        <item x="212"/>
        <item x="50"/>
        <item x="256"/>
        <item x="340"/>
        <item x="314"/>
        <item x="201"/>
        <item x="209"/>
        <item x="186"/>
        <item x="339"/>
        <item x="93"/>
        <item x="21"/>
        <item x="211"/>
        <item x="325"/>
        <item x="200"/>
        <item x="185"/>
        <item x="146"/>
        <item x="341"/>
        <item x="156"/>
        <item x="342"/>
        <item x="330"/>
        <item x="192"/>
        <item x="207"/>
        <item x="114"/>
        <item x="133"/>
        <item x="337"/>
        <item x="302"/>
        <item x="237"/>
        <item x="267"/>
        <item x="286"/>
        <item x="111"/>
        <item x="130"/>
        <item x="303"/>
        <item x="86"/>
        <item x="69"/>
        <item x="94"/>
        <item x="338"/>
        <item x="316"/>
        <item x="77"/>
        <item x="60"/>
        <item x="103"/>
        <item x="162"/>
        <item x="49"/>
        <item x="300"/>
        <item x="121"/>
        <item x="140"/>
        <item x="268"/>
        <item x="287"/>
        <item x="315"/>
        <item x="85"/>
        <item x="68"/>
        <item x="324"/>
        <item x="276"/>
        <item x="295"/>
        <item x="96"/>
        <item x="228"/>
        <item x="222"/>
        <item x="19"/>
        <item x="269"/>
        <item x="288"/>
        <item x="327"/>
        <item x="319"/>
        <item x="76"/>
        <item x="59"/>
        <item x="323"/>
        <item x="120"/>
        <item x="241"/>
        <item x="139"/>
        <item x="298"/>
        <item x="170"/>
        <item x="173"/>
        <item x="329"/>
        <item x="98"/>
        <item x="301"/>
        <item x="285"/>
        <item x="266"/>
        <item x="294"/>
        <item x="275"/>
        <item x="317"/>
        <item x="332"/>
        <item x="199"/>
        <item x="184"/>
        <item x="28"/>
        <item x="328"/>
        <item x="18"/>
        <item x="210"/>
        <item x="113"/>
        <item x="132"/>
        <item x="112"/>
        <item x="131"/>
        <item x="25"/>
        <item x="151"/>
        <item x="24"/>
        <item x="160"/>
        <item x="79"/>
        <item x="62"/>
        <item x="208"/>
        <item x="333"/>
        <item x="154"/>
        <item x="296"/>
        <item x="277"/>
        <item x="119"/>
        <item x="138"/>
        <item x="27"/>
        <item x="236"/>
        <item x="326"/>
        <item x="158"/>
        <item x="5"/>
        <item x="181"/>
        <item x="182"/>
        <item x="197"/>
        <item x="91"/>
        <item x="155"/>
        <item x="206"/>
        <item x="191"/>
        <item x="335"/>
        <item x="144"/>
        <item x="183"/>
        <item x="141"/>
        <item x="198"/>
        <item x="122"/>
        <item x="299"/>
        <item x="274"/>
        <item x="293"/>
        <item x="240"/>
        <item x="159"/>
        <item x="331"/>
        <item x="224"/>
        <item x="230"/>
        <item x="129"/>
        <item x="110"/>
        <item x="248"/>
        <item x="318"/>
        <item x="253"/>
        <item x="20"/>
        <item x="246"/>
        <item x="180"/>
        <item x="251"/>
        <item x="239"/>
        <item x="229"/>
        <item x="223"/>
        <item x="58"/>
        <item x="61"/>
        <item x="169"/>
        <item x="75"/>
        <item x="78"/>
        <item x="334"/>
        <item x="308"/>
        <item x="312"/>
        <item x="172"/>
        <item x="26"/>
        <item x="284"/>
        <item x="265"/>
        <item x="313"/>
        <item x="309"/>
        <item x="142"/>
        <item x="89"/>
        <item x="320"/>
        <item x="190"/>
        <item x="205"/>
        <item x="189"/>
        <item x="204"/>
        <item x="336"/>
        <item x="109"/>
        <item x="242"/>
        <item x="168"/>
        <item x="128"/>
        <item x="171"/>
        <item x="43"/>
        <item x="97"/>
        <item x="48"/>
        <item x="297"/>
        <item x="161"/>
        <item x="41"/>
        <item x="46"/>
        <item x="100"/>
        <item x="322"/>
        <item x="167"/>
        <item x="106"/>
        <item x="125"/>
        <item x="99"/>
        <item x="67"/>
        <item x="84"/>
        <item x="90"/>
        <item x="164"/>
        <item x="166"/>
        <item x="220"/>
        <item x="165"/>
        <item x="226"/>
        <item x="32"/>
        <item x="38"/>
        <item x="37"/>
        <item x="35"/>
        <item x="36"/>
        <item x="163"/>
        <item x="31"/>
        <item x="321"/>
        <item x="33"/>
        <item x="244"/>
        <item x="243"/>
        <item x="3"/>
        <item x="150"/>
        <item x="247"/>
        <item x="252"/>
        <item x="117"/>
        <item x="136"/>
        <item x="92"/>
        <item x="88"/>
        <item x="249"/>
        <item x="254"/>
        <item x="87"/>
        <item x="116"/>
        <item x="135"/>
        <item x="101"/>
        <item x="102"/>
        <item x="1"/>
        <item x="245"/>
        <item x="250"/>
        <item x="262"/>
        <item x="179"/>
        <item x="281"/>
        <item x="196"/>
        <item x="40"/>
        <item x="108"/>
        <item x="216"/>
        <item x="107"/>
        <item x="45"/>
        <item x="42"/>
        <item x="217"/>
        <item x="127"/>
        <item x="126"/>
        <item x="47"/>
        <item x="307"/>
        <item x="311"/>
        <item x="221"/>
        <item x="227"/>
        <item x="4"/>
        <item x="304"/>
        <item x="305"/>
        <item x="39"/>
        <item x="44"/>
        <item x="115"/>
        <item x="134"/>
        <item x="66"/>
        <item x="83"/>
        <item x="0"/>
        <item x="263"/>
        <item x="282"/>
        <item x="177"/>
        <item x="194"/>
        <item x="272"/>
        <item x="188"/>
        <item x="291"/>
        <item x="203"/>
        <item x="55"/>
        <item x="178"/>
        <item x="72"/>
        <item x="195"/>
        <item x="118"/>
        <item x="137"/>
        <item x="264"/>
        <item x="283"/>
        <item x="105"/>
        <item x="14"/>
        <item x="124"/>
        <item x="65"/>
        <item x="82"/>
        <item x="306"/>
        <item x="16"/>
        <item x="310"/>
        <item x="261"/>
        <item x="280"/>
        <item x="271"/>
        <item x="290"/>
        <item x="219"/>
        <item x="225"/>
        <item x="187"/>
        <item x="54"/>
        <item x="202"/>
        <item x="71"/>
        <item x="7"/>
        <item x="11"/>
        <item x="30"/>
        <item x="95"/>
        <item x="273"/>
        <item x="292"/>
        <item x="152"/>
        <item x="176"/>
        <item x="104"/>
        <item x="193"/>
        <item x="234"/>
        <item x="123"/>
        <item x="17"/>
        <item x="57"/>
        <item x="74"/>
        <item x="8"/>
        <item x="270"/>
        <item x="289"/>
        <item x="13"/>
        <item x="29"/>
        <item x="22"/>
        <item x="260"/>
        <item x="279"/>
        <item x="9"/>
        <item x="157"/>
        <item x="56"/>
        <item x="73"/>
        <item x="153"/>
        <item x="23"/>
        <item x="238"/>
        <item x="12"/>
        <item x="10"/>
        <item x="15"/>
        <item x="235"/>
        <item x="6"/>
        <item x="259"/>
        <item x="278"/>
        <item x="64"/>
        <item x="81"/>
        <item x="53"/>
        <item x="70"/>
        <item x="34"/>
        <item x="215"/>
        <item t="default"/>
      </items>
    </pivotField>
    <pivotField dataField="1" compact="0" outline="0" multipleItemSelectionAllowed="1" showAll="0">
      <items count="364">
        <item x="3"/>
        <item x="156"/>
        <item x="257"/>
        <item x="198"/>
        <item x="160"/>
        <item x="278"/>
        <item x="161"/>
        <item x="92"/>
        <item x="75"/>
        <item x="114"/>
        <item x="255"/>
        <item x="197"/>
        <item x="256"/>
        <item x="62"/>
        <item x="154"/>
        <item x="159"/>
        <item x="238"/>
        <item x="195"/>
        <item x="341"/>
        <item x="254"/>
        <item x="324"/>
        <item x="236"/>
        <item x="360"/>
        <item x="336"/>
        <item x="25"/>
        <item x="279"/>
        <item x="359"/>
        <item x="105"/>
        <item x="345"/>
        <item x="277"/>
        <item x="215"/>
        <item x="231"/>
        <item x="235"/>
        <item x="361"/>
        <item x="125"/>
        <item x="144"/>
        <item x="350"/>
        <item x="362"/>
        <item x="157"/>
        <item x="225"/>
        <item x="209"/>
        <item x="357"/>
        <item x="122"/>
        <item x="141"/>
        <item x="323"/>
        <item x="264"/>
        <item x="64"/>
        <item x="168"/>
        <item x="288"/>
        <item x="307"/>
        <item x="174"/>
        <item x="325"/>
        <item x="196"/>
        <item x="339"/>
        <item x="237"/>
        <item x="358"/>
        <item x="98"/>
        <item x="63"/>
        <item x="81"/>
        <item x="158"/>
        <item x="61"/>
        <item x="233"/>
        <item x="89"/>
        <item x="72"/>
        <item x="321"/>
        <item x="108"/>
        <item x="59"/>
        <item x="97"/>
        <item x="80"/>
        <item x="289"/>
        <item x="308"/>
        <item x="337"/>
        <item x="263"/>
        <item x="273"/>
        <item x="276"/>
        <item x="272"/>
        <item x="275"/>
        <item x="344"/>
        <item x="297"/>
        <item x="131"/>
        <item x="316"/>
        <item x="150"/>
        <item x="251"/>
        <item x="244"/>
        <item x="290"/>
        <item x="309"/>
        <item x="347"/>
        <item x="22"/>
        <item x="343"/>
        <item x="224"/>
        <item x="319"/>
        <item x="106"/>
        <item x="208"/>
        <item x="60"/>
        <item x="349"/>
        <item x="34"/>
        <item x="322"/>
        <item x="306"/>
        <item x="287"/>
        <item x="315"/>
        <item x="296"/>
        <item x="262"/>
        <item x="352"/>
        <item x="88"/>
        <item x="71"/>
        <item x="348"/>
        <item x="124"/>
        <item x="143"/>
        <item x="123"/>
        <item x="142"/>
        <item x="24"/>
        <item x="267"/>
        <item x="207"/>
        <item x="223"/>
        <item x="21"/>
        <item x="234"/>
        <item x="132"/>
        <item x="151"/>
        <item x="271"/>
        <item x="165"/>
        <item x="274"/>
        <item x="338"/>
        <item x="130"/>
        <item x="149"/>
        <item x="29"/>
        <item x="91"/>
        <item x="74"/>
        <item x="205"/>
        <item x="221"/>
        <item x="167"/>
        <item x="173"/>
        <item x="28"/>
        <item x="317"/>
        <item x="298"/>
        <item x="261"/>
        <item x="170"/>
        <item x="33"/>
        <item x="232"/>
        <item x="353"/>
        <item x="206"/>
        <item x="222"/>
        <item x="183"/>
        <item x="214"/>
        <item x="230"/>
        <item x="152"/>
        <item x="346"/>
        <item x="190"/>
        <item x="6"/>
        <item x="133"/>
        <item x="166"/>
        <item x="260"/>
        <item x="103"/>
        <item x="269"/>
        <item x="266"/>
        <item x="155"/>
        <item x="355"/>
        <item x="23"/>
        <item x="295"/>
        <item x="314"/>
        <item x="320"/>
        <item x="171"/>
        <item x="50"/>
        <item x="265"/>
        <item x="56"/>
        <item x="246"/>
        <item x="253"/>
        <item x="351"/>
        <item x="340"/>
        <item x="73"/>
        <item x="90"/>
        <item x="186"/>
        <item x="192"/>
        <item x="252"/>
        <item x="245"/>
        <item x="30"/>
        <item x="70"/>
        <item x="87"/>
        <item x="354"/>
        <item x="329"/>
        <item x="334"/>
        <item x="7"/>
        <item x="140"/>
        <item x="121"/>
        <item x="305"/>
        <item x="286"/>
        <item x="335"/>
        <item x="330"/>
        <item x="32"/>
        <item x="153"/>
        <item x="107"/>
        <item x="356"/>
        <item x="212"/>
        <item x="228"/>
        <item x="120"/>
        <item x="268"/>
        <item x="229"/>
        <item x="213"/>
        <item x="139"/>
        <item x="172"/>
        <item x="51"/>
        <item x="101"/>
        <item x="57"/>
        <item x="110"/>
        <item x="188"/>
        <item x="194"/>
        <item x="318"/>
        <item x="109"/>
        <item x="111"/>
        <item x="42"/>
        <item x="342"/>
        <item x="117"/>
        <item x="204"/>
        <item x="220"/>
        <item x="79"/>
        <item x="136"/>
        <item x="96"/>
        <item x="178"/>
        <item x="102"/>
        <item x="46"/>
        <item x="181"/>
        <item x="38"/>
        <item x="241"/>
        <item x="179"/>
        <item x="248"/>
        <item x="177"/>
        <item x="44"/>
        <item x="180"/>
        <item x="176"/>
        <item x="37"/>
        <item x="39"/>
        <item x="45"/>
        <item x="43"/>
        <item x="41"/>
        <item x="1"/>
        <item x="162"/>
        <item x="49"/>
        <item x="55"/>
        <item x="184"/>
        <item x="191"/>
        <item x="104"/>
        <item x="100"/>
        <item x="127"/>
        <item x="146"/>
        <item x="99"/>
        <item x="185"/>
        <item x="112"/>
        <item x="113"/>
        <item x="2"/>
        <item x="203"/>
        <item x="283"/>
        <item x="302"/>
        <item x="119"/>
        <item x="243"/>
        <item x="118"/>
        <item x="250"/>
        <item x="138"/>
        <item x="137"/>
        <item x="327"/>
        <item x="332"/>
        <item x="242"/>
        <item x="48"/>
        <item x="249"/>
        <item x="54"/>
        <item x="5"/>
        <item x="187"/>
        <item x="328"/>
        <item x="193"/>
        <item x="333"/>
        <item x="128"/>
        <item x="147"/>
        <item x="202"/>
        <item x="219"/>
        <item x="126"/>
        <item x="52"/>
        <item x="145"/>
        <item x="58"/>
        <item x="182"/>
        <item x="189"/>
        <item x="4"/>
        <item x="284"/>
        <item x="303"/>
        <item x="200"/>
        <item x="217"/>
        <item x="293"/>
        <item x="312"/>
        <item x="129"/>
        <item x="148"/>
        <item x="285"/>
        <item x="78"/>
        <item x="201"/>
        <item x="304"/>
        <item x="218"/>
        <item x="95"/>
        <item x="0"/>
        <item x="47"/>
        <item x="211"/>
        <item x="53"/>
        <item x="227"/>
        <item x="67"/>
        <item x="84"/>
        <item x="326"/>
        <item x="77"/>
        <item x="10"/>
        <item x="94"/>
        <item x="331"/>
        <item x="282"/>
        <item x="301"/>
        <item x="292"/>
        <item x="311"/>
        <item x="240"/>
        <item x="247"/>
        <item x="116"/>
        <item x="12"/>
        <item x="135"/>
        <item x="9"/>
        <item x="14"/>
        <item x="66"/>
        <item x="210"/>
        <item x="83"/>
        <item x="226"/>
        <item x="163"/>
        <item x="294"/>
        <item x="313"/>
        <item x="18"/>
        <item x="259"/>
        <item x="115"/>
        <item x="69"/>
        <item x="20"/>
        <item x="134"/>
        <item x="86"/>
        <item x="291"/>
        <item x="310"/>
        <item x="11"/>
        <item x="199"/>
        <item x="216"/>
        <item x="17"/>
        <item x="36"/>
        <item x="281"/>
        <item x="35"/>
        <item x="300"/>
        <item x="175"/>
        <item x="26"/>
        <item x="13"/>
        <item x="68"/>
        <item x="85"/>
        <item x="270"/>
        <item x="169"/>
        <item x="164"/>
        <item x="31"/>
        <item x="27"/>
        <item x="16"/>
        <item x="15"/>
        <item x="258"/>
        <item x="19"/>
        <item x="280"/>
        <item x="299"/>
        <item x="8"/>
        <item x="76"/>
        <item x="93"/>
        <item x="65"/>
        <item x="82"/>
        <item x="40"/>
        <item x="239"/>
        <item t="default"/>
      </items>
    </pivotField>
    <pivotField dataField="1" compact="0" outline="0" multipleItemSelectionAllowed="1" showAll="0">
      <items count="375">
        <item x="1"/>
        <item x="194"/>
        <item x="60"/>
        <item x="154"/>
        <item x="256"/>
        <item x="158"/>
        <item x="159"/>
        <item x="274"/>
        <item x="254"/>
        <item x="90"/>
        <item x="73"/>
        <item x="192"/>
        <item x="61"/>
        <item x="62"/>
        <item x="255"/>
        <item x="152"/>
        <item x="157"/>
        <item x="237"/>
        <item x="253"/>
        <item x="350"/>
        <item x="320"/>
        <item x="351"/>
        <item x="58"/>
        <item x="332"/>
        <item x="341"/>
        <item x="360"/>
        <item x="370"/>
        <item x="349"/>
        <item x="223"/>
        <item x="206"/>
        <item x="355"/>
        <item x="59"/>
        <item x="317"/>
        <item x="193"/>
        <item x="57"/>
        <item x="348"/>
        <item x="234"/>
        <item x="103"/>
        <item x="371"/>
        <item x="123"/>
        <item x="142"/>
        <item x="373"/>
        <item x="155"/>
        <item x="165"/>
        <item x="120"/>
        <item x="139"/>
        <item x="263"/>
        <item x="319"/>
        <item x="195"/>
        <item x="283"/>
        <item x="302"/>
        <item x="212"/>
        <item x="229"/>
        <item x="321"/>
        <item x="372"/>
        <item x="22"/>
        <item x="230"/>
        <item x="213"/>
        <item x="235"/>
        <item x="368"/>
        <item x="156"/>
        <item x="344"/>
        <item x="337"/>
        <item x="236"/>
        <item x="222"/>
        <item x="191"/>
        <item x="205"/>
        <item x="96"/>
        <item x="79"/>
        <item x="316"/>
        <item x="108"/>
        <item x="346"/>
        <item x="284"/>
        <item x="303"/>
        <item x="262"/>
        <item x="333"/>
        <item x="95"/>
        <item x="78"/>
        <item x="232"/>
        <item x="369"/>
        <item x="87"/>
        <item x="70"/>
        <item x="129"/>
        <item x="148"/>
        <item x="250"/>
        <item x="243"/>
        <item x="358"/>
        <item x="285"/>
        <item x="304"/>
        <item x="292"/>
        <item x="311"/>
        <item x="342"/>
        <item x="110"/>
        <item x="49"/>
        <item x="48"/>
        <item x="33"/>
        <item x="314"/>
        <item x="104"/>
        <item x="335"/>
        <item x="301"/>
        <item x="282"/>
        <item x="318"/>
        <item x="261"/>
        <item x="353"/>
        <item x="310"/>
        <item x="367"/>
        <item x="291"/>
        <item x="20"/>
        <item x="86"/>
        <item x="69"/>
        <item x="362"/>
        <item x="345"/>
        <item x="122"/>
        <item x="141"/>
        <item x="121"/>
        <item x="140"/>
        <item x="359"/>
        <item x="19"/>
        <item x="334"/>
        <item x="347"/>
        <item x="203"/>
        <item x="220"/>
        <item x="211"/>
        <item x="228"/>
        <item x="130"/>
        <item x="149"/>
        <item x="357"/>
        <item x="164"/>
        <item x="128"/>
        <item x="147"/>
        <item x="89"/>
        <item x="72"/>
        <item x="354"/>
        <item x="343"/>
        <item x="233"/>
        <item x="26"/>
        <item x="260"/>
        <item x="312"/>
        <item x="293"/>
        <item x="51"/>
        <item x="204"/>
        <item x="221"/>
        <item x="166"/>
        <item x="50"/>
        <item x="25"/>
        <item x="55"/>
        <item x="150"/>
        <item x="6"/>
        <item x="131"/>
        <item x="202"/>
        <item x="219"/>
        <item x="167"/>
        <item x="101"/>
        <item x="339"/>
        <item x="266"/>
        <item x="259"/>
        <item x="21"/>
        <item x="365"/>
        <item x="153"/>
        <item x="32"/>
        <item x="290"/>
        <item x="309"/>
        <item x="336"/>
        <item x="231"/>
        <item x="315"/>
        <item x="180"/>
        <item x="27"/>
        <item x="245"/>
        <item x="188"/>
        <item x="252"/>
        <item x="71"/>
        <item x="88"/>
        <item x="265"/>
        <item x="272"/>
        <item x="273"/>
        <item x="366"/>
        <item x="251"/>
        <item x="244"/>
        <item x="361"/>
        <item x="31"/>
        <item x="325"/>
        <item x="330"/>
        <item x="363"/>
        <item x="105"/>
        <item x="138"/>
        <item x="119"/>
        <item x="300"/>
        <item x="281"/>
        <item x="331"/>
        <item x="326"/>
        <item x="340"/>
        <item x="177"/>
        <item x="151"/>
        <item x="185"/>
        <item x="107"/>
        <item x="364"/>
        <item x="356"/>
        <item x="68"/>
        <item x="210"/>
        <item x="227"/>
        <item x="169"/>
        <item x="85"/>
        <item x="118"/>
        <item x="267"/>
        <item x="338"/>
        <item x="137"/>
        <item x="7"/>
        <item x="99"/>
        <item x="109"/>
        <item x="313"/>
        <item x="37"/>
        <item x="112"/>
        <item x="77"/>
        <item x="94"/>
        <item x="115"/>
        <item x="201"/>
        <item x="52"/>
        <item x="218"/>
        <item x="134"/>
        <item x="56"/>
        <item x="172"/>
        <item x="111"/>
        <item x="100"/>
        <item x="39"/>
        <item x="240"/>
        <item x="247"/>
        <item x="270"/>
        <item x="45"/>
        <item x="36"/>
        <item x="40"/>
        <item x="42"/>
        <item x="173"/>
        <item x="43"/>
        <item x="171"/>
        <item x="35"/>
        <item x="271"/>
        <item x="44"/>
        <item x="269"/>
        <item x="174"/>
        <item x="41"/>
        <item x="3"/>
        <item x="181"/>
        <item x="160"/>
        <item x="189"/>
        <item x="47"/>
        <item x="54"/>
        <item x="352"/>
        <item x="46"/>
        <item x="53"/>
        <item x="102"/>
        <item x="209"/>
        <item x="226"/>
        <item x="98"/>
        <item x="125"/>
        <item x="144"/>
        <item x="182"/>
        <item x="190"/>
        <item x="97"/>
        <item x="2"/>
        <item x="200"/>
        <item x="278"/>
        <item x="297"/>
        <item x="117"/>
        <item x="242"/>
        <item x="116"/>
        <item x="249"/>
        <item x="136"/>
        <item x="135"/>
        <item x="323"/>
        <item x="328"/>
        <item x="241"/>
        <item x="248"/>
        <item x="4"/>
        <item x="324"/>
        <item x="329"/>
        <item x="126"/>
        <item x="178"/>
        <item x="145"/>
        <item x="186"/>
        <item x="124"/>
        <item x="143"/>
        <item x="176"/>
        <item x="184"/>
        <item x="5"/>
        <item x="279"/>
        <item x="298"/>
        <item x="179"/>
        <item x="187"/>
        <item x="127"/>
        <item x="146"/>
        <item x="280"/>
        <item x="299"/>
        <item x="288"/>
        <item x="307"/>
        <item x="0"/>
        <item x="198"/>
        <item x="216"/>
        <item x="208"/>
        <item x="225"/>
        <item x="76"/>
        <item x="93"/>
        <item x="322"/>
        <item x="162"/>
        <item x="327"/>
        <item x="277"/>
        <item x="296"/>
        <item x="287"/>
        <item x="75"/>
        <item x="306"/>
        <item x="92"/>
        <item x="239"/>
        <item x="246"/>
        <item x="65"/>
        <item x="199"/>
        <item x="82"/>
        <item x="217"/>
        <item x="114"/>
        <item x="18"/>
        <item x="133"/>
        <item x="175"/>
        <item x="183"/>
        <item x="197"/>
        <item x="215"/>
        <item x="9"/>
        <item x="23"/>
        <item x="64"/>
        <item x="81"/>
        <item x="13"/>
        <item x="289"/>
        <item x="308"/>
        <item x="15"/>
        <item x="12"/>
        <item x="30"/>
        <item x="113"/>
        <item x="67"/>
        <item x="207"/>
        <item x="132"/>
        <item x="84"/>
        <item x="224"/>
        <item x="286"/>
        <item x="305"/>
        <item x="10"/>
        <item x="29"/>
        <item x="16"/>
        <item x="168"/>
        <item x="276"/>
        <item x="295"/>
        <item x="163"/>
        <item x="34"/>
        <item x="11"/>
        <item x="66"/>
        <item x="196"/>
        <item x="83"/>
        <item x="214"/>
        <item x="170"/>
        <item x="268"/>
        <item x="264"/>
        <item x="257"/>
        <item x="28"/>
        <item x="258"/>
        <item x="275"/>
        <item x="24"/>
        <item x="294"/>
        <item x="14"/>
        <item x="161"/>
        <item x="17"/>
        <item x="74"/>
        <item x="91"/>
        <item x="8"/>
        <item x="63"/>
        <item x="80"/>
        <item x="38"/>
        <item x="238"/>
        <item x="106"/>
        <item t="default"/>
      </items>
    </pivotField>
    <pivotField dataField="1" compact="0" outline="0" multipleItemSelectionAllowed="1" showAll="0">
      <items count="381">
        <item x="1"/>
        <item x="287"/>
        <item x="201"/>
        <item x="145"/>
        <item x="265"/>
        <item x="198"/>
        <item x="355"/>
        <item x="150"/>
        <item x="200"/>
        <item x="263"/>
        <item x="196"/>
        <item x="77"/>
        <item x="60"/>
        <item x="264"/>
        <item x="148"/>
        <item x="48"/>
        <item x="262"/>
        <item x="333"/>
        <item x="377"/>
        <item x="246"/>
        <item x="345"/>
        <item x="364"/>
        <item x="231"/>
        <item x="212"/>
        <item x="113"/>
        <item x="133"/>
        <item x="375"/>
        <item x="359"/>
        <item x="110"/>
        <item x="130"/>
        <item x="49"/>
        <item x="330"/>
        <item x="354"/>
        <item x="90"/>
        <item x="165"/>
        <item x="379"/>
        <item x="243"/>
        <item x="146"/>
        <item x="376"/>
        <item x="270"/>
        <item x="286"/>
        <item x="47"/>
        <item x="332"/>
        <item x="239"/>
        <item x="220"/>
        <item x="19"/>
        <item x="334"/>
        <item x="378"/>
        <item x="119"/>
        <item x="139"/>
        <item x="44"/>
        <item x="199"/>
        <item x="164"/>
        <item x="296"/>
        <item x="315"/>
        <item x="147"/>
        <item x="101"/>
        <item x="93"/>
        <item x="245"/>
        <item x="373"/>
        <item x="149"/>
        <item x="269"/>
        <item x="329"/>
        <item x="297"/>
        <item x="316"/>
        <item x="83"/>
        <item x="66"/>
        <item x="143"/>
        <item x="346"/>
        <item x="82"/>
        <item x="65"/>
        <item x="374"/>
        <item x="96"/>
        <item x="112"/>
        <item x="132"/>
        <item x="111"/>
        <item x="131"/>
        <item x="241"/>
        <item x="362"/>
        <item x="74"/>
        <item x="298"/>
        <item x="259"/>
        <item x="57"/>
        <item x="317"/>
        <item x="172"/>
        <item x="252"/>
        <item x="305"/>
        <item x="324"/>
        <item x="29"/>
        <item x="327"/>
        <item x="120"/>
        <item x="140"/>
        <item x="281"/>
        <item x="284"/>
        <item x="91"/>
        <item x="219"/>
        <item x="238"/>
        <item x="230"/>
        <item x="211"/>
        <item x="372"/>
        <item x="314"/>
        <item x="295"/>
        <item x="331"/>
        <item x="323"/>
        <item x="304"/>
        <item x="357"/>
        <item x="244"/>
        <item x="73"/>
        <item x="56"/>
        <item x="209"/>
        <item x="228"/>
        <item x="17"/>
        <item x="363"/>
        <item x="366"/>
        <item x="268"/>
        <item x="141"/>
        <item x="121"/>
        <item x="218"/>
        <item x="237"/>
        <item x="197"/>
        <item x="369"/>
        <item x="161"/>
        <item x="274"/>
        <item x="95"/>
        <item x="162"/>
        <item x="76"/>
        <item x="59"/>
        <item x="171"/>
        <item x="358"/>
        <item x="348"/>
        <item x="167"/>
        <item x="325"/>
        <item x="306"/>
        <item x="361"/>
        <item x="267"/>
        <item x="210"/>
        <item x="22"/>
        <item x="229"/>
        <item x="195"/>
        <item x="128"/>
        <item x="108"/>
        <item x="168"/>
        <item x="208"/>
        <item x="227"/>
        <item x="153"/>
        <item x="266"/>
        <item x="18"/>
        <item x="109"/>
        <item x="273"/>
        <item x="129"/>
        <item x="370"/>
        <item x="163"/>
        <item x="144"/>
        <item x="28"/>
        <item x="272"/>
        <item x="88"/>
        <item x="169"/>
        <item x="23"/>
        <item x="43"/>
        <item x="303"/>
        <item x="46"/>
        <item x="322"/>
        <item x="350"/>
        <item x="58"/>
        <item x="254"/>
        <item x="261"/>
        <item x="75"/>
        <item x="365"/>
        <item x="260"/>
        <item x="253"/>
        <item x="328"/>
        <item x="371"/>
        <item x="27"/>
        <item x="338"/>
        <item x="343"/>
        <item x="42"/>
        <item x="45"/>
        <item x="242"/>
        <item x="313"/>
        <item x="294"/>
        <item x="367"/>
        <item x="3"/>
        <item x="344"/>
        <item x="339"/>
        <item x="118"/>
        <item x="138"/>
        <item x="142"/>
        <item x="217"/>
        <item x="236"/>
        <item x="349"/>
        <item x="98"/>
        <item x="360"/>
        <item x="55"/>
        <item x="170"/>
        <item x="275"/>
        <item x="72"/>
        <item x="107"/>
        <item x="94"/>
        <item x="368"/>
        <item x="127"/>
        <item x="152"/>
        <item x="86"/>
        <item x="240"/>
        <item x="34"/>
        <item x="64"/>
        <item x="81"/>
        <item x="326"/>
        <item x="104"/>
        <item x="207"/>
        <item x="226"/>
        <item x="124"/>
        <item x="175"/>
        <item x="41"/>
        <item x="87"/>
        <item x="249"/>
        <item x="186"/>
        <item x="278"/>
        <item x="256"/>
        <item x="193"/>
        <item x="279"/>
        <item x="180"/>
        <item x="33"/>
        <item x="352"/>
        <item x="277"/>
        <item x="37"/>
        <item x="176"/>
        <item x="36"/>
        <item x="179"/>
        <item x="353"/>
        <item x="177"/>
        <item x="178"/>
        <item x="40"/>
        <item x="174"/>
        <item x="39"/>
        <item x="351"/>
        <item x="32"/>
        <item x="38"/>
        <item x="0"/>
        <item x="151"/>
        <item x="282"/>
        <item x="285"/>
        <item x="280"/>
        <item x="283"/>
        <item x="356"/>
        <item x="89"/>
        <item x="85"/>
        <item x="115"/>
        <item x="135"/>
        <item x="216"/>
        <item x="235"/>
        <item x="182"/>
        <item x="84"/>
        <item x="189"/>
        <item x="2"/>
        <item x="183"/>
        <item x="190"/>
        <item x="185"/>
        <item x="192"/>
        <item x="184"/>
        <item x="191"/>
        <item x="106"/>
        <item x="251"/>
        <item x="105"/>
        <item x="258"/>
        <item x="126"/>
        <item x="125"/>
        <item x="336"/>
        <item x="341"/>
        <item x="250"/>
        <item x="257"/>
        <item x="16"/>
        <item x="337"/>
        <item x="342"/>
        <item x="187"/>
        <item x="194"/>
        <item x="116"/>
        <item x="136"/>
        <item x="291"/>
        <item x="310"/>
        <item x="8"/>
        <item x="292"/>
        <item x="311"/>
        <item x="117"/>
        <item x="137"/>
        <item x="293"/>
        <item x="215"/>
        <item x="312"/>
        <item x="301"/>
        <item x="206"/>
        <item x="234"/>
        <item x="225"/>
        <item x="320"/>
        <item x="26"/>
        <item x="204"/>
        <item x="223"/>
        <item x="335"/>
        <item x="14"/>
        <item x="63"/>
        <item x="340"/>
        <item x="80"/>
        <item x="290"/>
        <item x="309"/>
        <item x="62"/>
        <item x="214"/>
        <item x="300"/>
        <item x="79"/>
        <item x="233"/>
        <item x="248"/>
        <item x="319"/>
        <item x="255"/>
        <item x="181"/>
        <item x="188"/>
        <item x="103"/>
        <item x="97"/>
        <item x="52"/>
        <item x="123"/>
        <item x="69"/>
        <item x="99"/>
        <item x="5"/>
        <item x="100"/>
        <item x="205"/>
        <item x="224"/>
        <item x="6"/>
        <item x="203"/>
        <item x="51"/>
        <item x="222"/>
        <item x="68"/>
        <item x="20"/>
        <item x="302"/>
        <item x="321"/>
        <item x="11"/>
        <item x="114"/>
        <item x="134"/>
        <item x="10"/>
        <item x="158"/>
        <item x="25"/>
        <item x="54"/>
        <item x="71"/>
        <item x="7"/>
        <item x="299"/>
        <item x="318"/>
        <item x="160"/>
        <item x="213"/>
        <item x="232"/>
        <item x="13"/>
        <item x="155"/>
        <item x="289"/>
        <item x="308"/>
        <item x="347"/>
        <item x="31"/>
        <item x="9"/>
        <item x="102"/>
        <item x="30"/>
        <item x="122"/>
        <item x="53"/>
        <item x="156"/>
        <item x="70"/>
        <item x="159"/>
        <item x="276"/>
        <item x="173"/>
        <item x="202"/>
        <item x="221"/>
        <item x="271"/>
        <item x="24"/>
        <item x="288"/>
        <item x="21"/>
        <item x="307"/>
        <item x="12"/>
        <item x="166"/>
        <item x="61"/>
        <item x="15"/>
        <item x="78"/>
        <item x="157"/>
        <item x="4"/>
        <item x="154"/>
        <item x="50"/>
        <item x="67"/>
        <item x="35"/>
        <item x="247"/>
        <item x="92"/>
        <item t="default"/>
      </items>
    </pivotField>
    <pivotField dataField="1" compact="0" outline="0" multipleItemSelectionAllowed="1" showAll="0">
      <items count="404">
        <item x="3"/>
        <item x="253"/>
        <item x="308"/>
        <item x="162"/>
        <item x="282"/>
        <item x="94"/>
        <item x="76"/>
        <item x="167"/>
        <item x="280"/>
        <item x="87"/>
        <item x="69"/>
        <item x="205"/>
        <item x="281"/>
        <item x="165"/>
        <item x="195"/>
        <item x="378"/>
        <item x="207"/>
        <item x="279"/>
        <item x="237"/>
        <item x="218"/>
        <item x="354"/>
        <item x="400"/>
        <item x="387"/>
        <item x="252"/>
        <item x="366"/>
        <item x="129"/>
        <item x="150"/>
        <item x="398"/>
        <item x="307"/>
        <item x="56"/>
        <item x="382"/>
        <item x="126"/>
        <item x="147"/>
        <item x="306"/>
        <item x="351"/>
        <item x="58"/>
        <item x="376"/>
        <item x="370"/>
        <item x="101"/>
        <item x="402"/>
        <item x="287"/>
        <item x="163"/>
        <item x="245"/>
        <item x="226"/>
        <item x="399"/>
        <item x="353"/>
        <item x="206"/>
        <item x="177"/>
        <item x="377"/>
        <item x="249"/>
        <item x="22"/>
        <item x="355"/>
        <item x="204"/>
        <item x="135"/>
        <item x="156"/>
        <item x="374"/>
        <item x="301"/>
        <item x="401"/>
        <item x="105"/>
        <item x="164"/>
        <item x="396"/>
        <item x="336"/>
        <item x="317"/>
        <item x="272"/>
        <item x="261"/>
        <item x="176"/>
        <item x="166"/>
        <item x="375"/>
        <item x="318"/>
        <item x="337"/>
        <item x="350"/>
        <item x="112"/>
        <item x="251"/>
        <item x="92"/>
        <item x="74"/>
        <item x="160"/>
        <item x="93"/>
        <item x="75"/>
        <item x="367"/>
        <item x="286"/>
        <item x="128"/>
        <item x="149"/>
        <item x="110"/>
        <item x="319"/>
        <item x="338"/>
        <item x="225"/>
        <item x="244"/>
        <item x="326"/>
        <item x="345"/>
        <item x="84"/>
        <item x="66"/>
        <item x="148"/>
        <item x="127"/>
        <item x="397"/>
        <item x="247"/>
        <item x="215"/>
        <item x="234"/>
        <item x="115"/>
        <item x="116"/>
        <item x="385"/>
        <item x="348"/>
        <item x="395"/>
        <item x="157"/>
        <item x="136"/>
        <item x="102"/>
        <item x="283"/>
        <item x="344"/>
        <item x="325"/>
        <item x="352"/>
        <item x="372"/>
        <item x="250"/>
        <item x="335"/>
        <item x="316"/>
        <item x="243"/>
        <item x="224"/>
        <item x="386"/>
        <item x="32"/>
        <item x="106"/>
        <item x="389"/>
        <item x="83"/>
        <item x="65"/>
        <item x="57"/>
        <item x="21"/>
        <item x="158"/>
        <item x="137"/>
        <item x="285"/>
        <item x="380"/>
        <item x="369"/>
        <item x="111"/>
        <item x="392"/>
        <item x="174"/>
        <item x="236"/>
        <item x="217"/>
        <item x="109"/>
        <item x="86"/>
        <item x="68"/>
        <item x="184"/>
        <item x="368"/>
        <item x="381"/>
        <item x="216"/>
        <item x="235"/>
        <item x="55"/>
        <item x="346"/>
        <item x="327"/>
        <item x="384"/>
        <item x="180"/>
        <item x="51"/>
        <item x="371"/>
        <item x="26"/>
        <item x="284"/>
        <item x="179"/>
        <item x="145"/>
        <item x="124"/>
        <item x="267"/>
        <item x="278"/>
        <item x="214"/>
        <item x="233"/>
        <item x="5"/>
        <item x="50"/>
        <item x="273"/>
        <item x="262"/>
        <item x="54"/>
        <item x="31"/>
        <item x="125"/>
        <item x="290"/>
        <item x="146"/>
        <item x="300"/>
        <item x="175"/>
        <item x="161"/>
        <item x="197"/>
        <item x="27"/>
        <item x="203"/>
        <item x="291"/>
        <item x="181"/>
        <item x="67"/>
        <item x="85"/>
        <item x="393"/>
        <item x="373"/>
        <item x="324"/>
        <item x="343"/>
        <item x="394"/>
        <item x="299"/>
        <item x="304"/>
        <item x="104"/>
        <item x="388"/>
        <item x="30"/>
        <item x="359"/>
        <item x="364"/>
        <item x="334"/>
        <item x="315"/>
        <item x="349"/>
        <item x="6"/>
        <item x="134"/>
        <item x="155"/>
        <item x="365"/>
        <item x="360"/>
        <item x="263"/>
        <item x="274"/>
        <item x="159"/>
        <item x="248"/>
        <item x="266"/>
        <item x="277"/>
        <item x="99"/>
        <item x="390"/>
        <item x="64"/>
        <item x="82"/>
        <item x="292"/>
        <item x="123"/>
        <item x="108"/>
        <item x="183"/>
        <item x="391"/>
        <item x="144"/>
        <item x="223"/>
        <item x="242"/>
        <item x="7"/>
        <item x="383"/>
        <item x="97"/>
        <item x="39"/>
        <item x="296"/>
        <item x="73"/>
        <item x="91"/>
        <item x="297"/>
        <item x="120"/>
        <item x="141"/>
        <item x="213"/>
        <item x="246"/>
        <item x="113"/>
        <item x="232"/>
        <item x="347"/>
        <item x="302"/>
        <item x="305"/>
        <item x="98"/>
        <item x="258"/>
        <item x="42"/>
        <item x="269"/>
        <item x="114"/>
        <item x="294"/>
        <item x="47"/>
        <item x="38"/>
        <item x="298"/>
        <item x="303"/>
        <item x="187"/>
        <item x="44"/>
        <item x="45"/>
        <item x="189"/>
        <item x="37"/>
        <item x="46"/>
        <item x="43"/>
        <item x="295"/>
        <item x="41"/>
        <item x="188"/>
        <item x="186"/>
        <item x="190"/>
        <item x="2"/>
        <item x="168"/>
        <item x="193"/>
        <item x="200"/>
        <item x="379"/>
        <item x="100"/>
        <item x="49"/>
        <item x="53"/>
        <item x="96"/>
        <item x="255"/>
        <item x="131"/>
        <item x="256"/>
        <item x="152"/>
        <item x="222"/>
        <item x="241"/>
        <item x="1"/>
        <item x="48"/>
        <item x="95"/>
        <item x="52"/>
        <item x="122"/>
        <item x="265"/>
        <item x="276"/>
        <item x="143"/>
        <item x="357"/>
        <item x="192"/>
        <item x="121"/>
        <item x="362"/>
        <item x="259"/>
        <item x="199"/>
        <item x="142"/>
        <item x="270"/>
        <item x="4"/>
        <item x="358"/>
        <item x="363"/>
        <item x="132"/>
        <item x="153"/>
        <item x="312"/>
        <item x="331"/>
        <item x="0"/>
        <item x="313"/>
        <item x="194"/>
        <item x="332"/>
        <item x="201"/>
        <item x="260"/>
        <item x="271"/>
        <item x="133"/>
        <item x="264"/>
        <item x="154"/>
        <item x="275"/>
        <item x="314"/>
        <item x="221"/>
        <item x="333"/>
        <item x="322"/>
        <item x="240"/>
        <item x="341"/>
        <item x="36"/>
        <item x="210"/>
        <item x="229"/>
        <item x="356"/>
        <item x="35"/>
        <item x="361"/>
        <item x="71"/>
        <item x="72"/>
        <item x="89"/>
        <item x="321"/>
        <item x="90"/>
        <item x="340"/>
        <item x="311"/>
        <item x="220"/>
        <item x="330"/>
        <item x="239"/>
        <item x="118"/>
        <item x="19"/>
        <item x="139"/>
        <item x="61"/>
        <item x="79"/>
        <item x="196"/>
        <item x="119"/>
        <item x="202"/>
        <item x="107"/>
        <item x="140"/>
        <item x="257"/>
        <item x="191"/>
        <item x="268"/>
        <item x="198"/>
        <item x="11"/>
        <item x="212"/>
        <item x="231"/>
        <item x="211"/>
        <item x="9"/>
        <item x="230"/>
        <item x="323"/>
        <item x="342"/>
        <item x="14"/>
        <item x="60"/>
        <item x="130"/>
        <item x="78"/>
        <item x="151"/>
        <item x="25"/>
        <item x="209"/>
        <item x="228"/>
        <item x="13"/>
        <item x="29"/>
        <item x="63"/>
        <item x="81"/>
        <item x="10"/>
        <item x="18"/>
        <item x="320"/>
        <item x="339"/>
        <item x="173"/>
        <item x="28"/>
        <item x="310"/>
        <item x="329"/>
        <item x="17"/>
        <item x="34"/>
        <item x="288"/>
        <item x="117"/>
        <item x="23"/>
        <item x="138"/>
        <item x="62"/>
        <item x="12"/>
        <item x="80"/>
        <item x="178"/>
        <item x="219"/>
        <item x="238"/>
        <item x="33"/>
        <item x="170"/>
        <item x="182"/>
        <item x="172"/>
        <item x="293"/>
        <item x="185"/>
        <item x="289"/>
        <item x="208"/>
        <item x="309"/>
        <item x="227"/>
        <item x="328"/>
        <item x="24"/>
        <item x="15"/>
        <item x="16"/>
        <item x="70"/>
        <item x="88"/>
        <item x="20"/>
        <item x="171"/>
        <item x="8"/>
        <item x="169"/>
        <item x="59"/>
        <item x="77"/>
        <item x="40"/>
        <item x="254"/>
        <item x="103"/>
        <item t="default"/>
      </items>
    </pivotField>
    <pivotField dataField="1" compact="0" outline="0" multipleItemSelectionAllowed="1" showAll="0">
      <items count="413">
        <item x="385"/>
        <item x="403"/>
        <item x="1"/>
        <item x="204"/>
        <item x="251"/>
        <item x="165"/>
        <item x="278"/>
        <item x="93"/>
        <item x="74"/>
        <item x="54"/>
        <item x="170"/>
        <item x="314"/>
        <item x="276"/>
        <item x="85"/>
        <item x="65"/>
        <item x="366"/>
        <item x="277"/>
        <item x="168"/>
        <item x="86"/>
        <item x="66"/>
        <item x="311"/>
        <item x="275"/>
        <item x="285"/>
        <item x="24"/>
        <item x="235"/>
        <item x="409"/>
        <item x="216"/>
        <item x="119"/>
        <item x="132"/>
        <item x="153"/>
        <item x="312"/>
        <item x="395"/>
        <item x="313"/>
        <item x="250"/>
        <item x="379"/>
        <item x="386"/>
        <item x="205"/>
        <item x="407"/>
        <item x="129"/>
        <item x="150"/>
        <item x="326"/>
        <item x="346"/>
        <item x="390"/>
        <item x="99"/>
        <item x="362"/>
        <item x="377"/>
        <item x="381"/>
        <item x="243"/>
        <item x="224"/>
        <item x="359"/>
        <item x="411"/>
        <item x="166"/>
        <item x="203"/>
        <item x="408"/>
        <item x="101"/>
        <item x="361"/>
        <item x="310"/>
        <item x="53"/>
        <item x="23"/>
        <item x="247"/>
        <item x="138"/>
        <item x="159"/>
        <item x="52"/>
        <item x="383"/>
        <item x="363"/>
        <item x="181"/>
        <item x="202"/>
        <item x="291"/>
        <item x="284"/>
        <item x="106"/>
        <item x="410"/>
        <item x="180"/>
        <item x="344"/>
        <item x="324"/>
        <item x="167"/>
        <item x="112"/>
        <item x="343"/>
        <item x="283"/>
        <item x="405"/>
        <item x="323"/>
        <item x="268"/>
        <item x="257"/>
        <item x="131"/>
        <item x="152"/>
        <item x="92"/>
        <item x="73"/>
        <item x="109"/>
        <item x="249"/>
        <item x="378"/>
        <item x="193"/>
        <item x="325"/>
        <item x="345"/>
        <item x="333"/>
        <item x="353"/>
        <item x="187"/>
        <item x="169"/>
        <item x="91"/>
        <item x="72"/>
        <item x="160"/>
        <item x="139"/>
        <item x="358"/>
        <item x="163"/>
        <item x="245"/>
        <item x="393"/>
        <item x="342"/>
        <item x="322"/>
        <item x="404"/>
        <item x="213"/>
        <item x="232"/>
        <item x="102"/>
        <item x="406"/>
        <item x="82"/>
        <item x="62"/>
        <item x="356"/>
        <item x="241"/>
        <item x="222"/>
        <item x="360"/>
        <item x="223"/>
        <item x="242"/>
        <item x="161"/>
        <item x="140"/>
        <item x="397"/>
        <item x="394"/>
        <item x="22"/>
        <item x="29"/>
        <item x="81"/>
        <item x="61"/>
        <item x="111"/>
        <item x="248"/>
        <item x="282"/>
        <item x="20"/>
        <item x="352"/>
        <item x="332"/>
        <item x="388"/>
        <item x="51"/>
        <item x="234"/>
        <item x="215"/>
        <item x="178"/>
        <item x="400"/>
        <item x="288"/>
        <item x="84"/>
        <item x="64"/>
        <item x="380"/>
        <item x="107"/>
        <item x="392"/>
        <item x="389"/>
        <item x="281"/>
        <item x="148"/>
        <item x="127"/>
        <item x="354"/>
        <item x="334"/>
        <item x="130"/>
        <item x="151"/>
        <item x="183"/>
        <item x="214"/>
        <item x="233"/>
        <item x="190"/>
        <item x="186"/>
        <item x="197"/>
        <item x="70"/>
        <item x="128"/>
        <item x="149"/>
        <item x="26"/>
        <item x="21"/>
        <item x="212"/>
        <item x="231"/>
        <item x="182"/>
        <item x="280"/>
        <item x="263"/>
        <item x="274"/>
        <item x="25"/>
        <item x="287"/>
        <item x="269"/>
        <item x="258"/>
        <item x="27"/>
        <item x="290"/>
        <item x="370"/>
        <item x="375"/>
        <item x="63"/>
        <item x="83"/>
        <item x="179"/>
        <item x="164"/>
        <item x="331"/>
        <item x="351"/>
        <item x="184"/>
        <item x="299"/>
        <item x="105"/>
        <item x="307"/>
        <item x="286"/>
        <item x="401"/>
        <item x="297"/>
        <item x="305"/>
        <item x="402"/>
        <item x="384"/>
        <item x="296"/>
        <item x="28"/>
        <item x="304"/>
        <item x="396"/>
        <item x="321"/>
        <item x="341"/>
        <item x="114"/>
        <item x="357"/>
        <item x="259"/>
        <item x="270"/>
        <item x="162"/>
        <item x="108"/>
        <item x="289"/>
        <item x="262"/>
        <item x="273"/>
        <item x="382"/>
        <item x="185"/>
        <item x="98"/>
        <item x="137"/>
        <item x="158"/>
        <item x="398"/>
        <item x="60"/>
        <item x="246"/>
        <item x="221"/>
        <item x="80"/>
        <item x="240"/>
        <item x="126"/>
        <item x="399"/>
        <item x="376"/>
        <item x="371"/>
        <item x="147"/>
        <item x="252"/>
        <item x="391"/>
        <item x="194"/>
        <item x="200"/>
        <item x="110"/>
        <item x="96"/>
        <item x="36"/>
        <item x="71"/>
        <item x="90"/>
        <item x="42"/>
        <item x="47"/>
        <item x="123"/>
        <item x="144"/>
        <item x="115"/>
        <item x="254"/>
        <item x="265"/>
        <item x="355"/>
        <item x="244"/>
        <item x="116"/>
        <item x="211"/>
        <item x="113"/>
        <item x="230"/>
        <item x="44"/>
        <item x="37"/>
        <item x="40"/>
        <item x="49"/>
        <item x="39"/>
        <item x="35"/>
        <item x="301"/>
        <item x="0"/>
        <item x="309"/>
        <item x="171"/>
        <item x="191"/>
        <item x="97"/>
        <item x="198"/>
        <item x="298"/>
        <item x="306"/>
        <item x="387"/>
        <item x="192"/>
        <item x="199"/>
        <item x="100"/>
        <item x="45"/>
        <item x="50"/>
        <item x="364"/>
        <item x="134"/>
        <item x="365"/>
        <item x="95"/>
        <item x="155"/>
        <item x="220"/>
        <item x="239"/>
        <item x="3"/>
        <item x="195"/>
        <item x="201"/>
        <item x="295"/>
        <item x="303"/>
        <item x="94"/>
        <item x="300"/>
        <item x="308"/>
        <item x="43"/>
        <item x="125"/>
        <item x="261"/>
        <item x="48"/>
        <item x="272"/>
        <item x="146"/>
        <item x="368"/>
        <item x="373"/>
        <item x="255"/>
        <item x="189"/>
        <item x="266"/>
        <item x="196"/>
        <item x="2"/>
        <item x="135"/>
        <item x="156"/>
        <item x="9"/>
        <item x="117"/>
        <item x="319"/>
        <item x="118"/>
        <item x="339"/>
        <item x="318"/>
        <item x="338"/>
        <item x="41"/>
        <item x="256"/>
        <item x="294"/>
        <item x="46"/>
        <item x="267"/>
        <item x="302"/>
        <item x="136"/>
        <item x="260"/>
        <item x="157"/>
        <item x="271"/>
        <item x="369"/>
        <item x="374"/>
        <item x="103"/>
        <item x="320"/>
        <item x="340"/>
        <item x="329"/>
        <item x="349"/>
        <item x="34"/>
        <item x="69"/>
        <item x="208"/>
        <item x="89"/>
        <item x="227"/>
        <item x="317"/>
        <item x="337"/>
        <item x="218"/>
        <item x="237"/>
        <item x="121"/>
        <item x="124"/>
        <item x="219"/>
        <item x="32"/>
        <item x="142"/>
        <item x="238"/>
        <item x="145"/>
        <item x="367"/>
        <item x="372"/>
        <item x="122"/>
        <item x="18"/>
        <item x="143"/>
        <item x="68"/>
        <item x="88"/>
        <item x="253"/>
        <item x="264"/>
        <item x="8"/>
        <item x="328"/>
        <item x="210"/>
        <item x="348"/>
        <item x="229"/>
        <item x="6"/>
        <item x="57"/>
        <item x="77"/>
        <item x="12"/>
        <item x="330"/>
        <item x="209"/>
        <item x="350"/>
        <item x="228"/>
        <item x="56"/>
        <item x="33"/>
        <item x="76"/>
        <item x="207"/>
        <item x="14"/>
        <item x="226"/>
        <item x="11"/>
        <item x="59"/>
        <item x="79"/>
        <item x="7"/>
        <item x="133"/>
        <item x="154"/>
        <item x="17"/>
        <item x="327"/>
        <item x="347"/>
        <item x="293"/>
        <item x="177"/>
        <item x="16"/>
        <item x="174"/>
        <item x="316"/>
        <item x="336"/>
        <item x="31"/>
        <item x="58"/>
        <item x="10"/>
        <item x="78"/>
        <item x="279"/>
        <item x="217"/>
        <item x="236"/>
        <item x="120"/>
        <item x="30"/>
        <item x="141"/>
        <item x="176"/>
        <item x="292"/>
        <item x="188"/>
        <item x="206"/>
        <item x="225"/>
        <item x="13"/>
        <item x="315"/>
        <item x="335"/>
        <item x="15"/>
        <item x="67"/>
        <item x="87"/>
        <item x="19"/>
        <item x="5"/>
        <item x="175"/>
        <item x="173"/>
        <item x="55"/>
        <item x="75"/>
        <item x="38"/>
        <item x="172"/>
        <item x="4"/>
        <item x="104"/>
        <item t="default"/>
      </items>
    </pivotField>
  </pivotFields>
  <rowFields count="1">
    <field x="-2"/>
  </rowFields>
  <row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rowItems>
  <colFields count="1">
    <field x="4"/>
  </colFields>
  <colItems count="6">
    <i>
      <x v="11"/>
    </i>
    <i>
      <x v="12"/>
    </i>
    <i>
      <x v="16"/>
    </i>
    <i>
      <x v="24"/>
    </i>
    <i>
      <x v="25"/>
    </i>
    <i t="grand">
      <x/>
    </i>
  </colItems>
  <pageFields count="4">
    <pageField fld="0"/>
    <pageField fld="1"/>
    <pageField fld="2"/>
    <pageField fld="3"/>
  </pageFields>
  <dataFields count="12">
    <dataField name="2024年1月" fld="5" baseField="0" baseItem="0"/>
    <dataField name="2024年2月" fld="6" baseField="0" baseItem="0"/>
    <dataField name="2024年3月" fld="7" baseField="0" baseItem="0"/>
    <dataField name="2024年4月" fld="8" baseField="0" baseItem="0"/>
    <dataField name="2024年5月" fld="9" baseField="0" baseItem="0"/>
    <dataField name="2024年6月" fld="10" baseField="0" baseItem="0"/>
    <dataField name="2024年7月" fld="11" baseField="0" baseItem="0"/>
    <dataField name="2024年8月" fld="12" baseField="0" baseItem="0"/>
    <dataField name="2024年9月" fld="13" baseField="0" baseItem="0"/>
    <dataField name="2024年10月" fld="14" baseField="0" baseItem="0"/>
    <dataField name="2024年11月" fld="15" baseField="0" baseItem="0"/>
    <dataField name="2024年12月" fld="16" baseField="0" baseItem="0"/>
  </dataFields>
  <pivotTableStyleInfo showRowHeaders="1" showColHeaders="1" showLastColumn="1"/>
</pivotTableDefinition>
</file>

<file path=xl/pivotTables/pivotTable10.xml><?xml version="1.0" encoding="utf-8"?>
<pivotTableDefinition xmlns="http://schemas.openxmlformats.org/spreadsheetml/2006/main" name="2024统计 4" cacheId="1" dataOnRows="1" autoFormatId="1" applyNumberFormats="0" applyBorderFormats="0" applyFontFormats="0" applyPatternFormats="0" applyAlignmentFormats="0" applyWidthHeightFormats="1" dataCaption="" updatedVersion="5" compact="0" compactData="0" showDrill="1">
  <location ref="A41:I54" firstHeaderRow="1" firstDataRow="2" firstDataCol="1" rowPageCount="4" colPageCount="1"/>
  <pivotFields count="17">
    <pivotField axis="axisCol" compact="0" sortType="ascending" outline="0" multipleItemSelectionAllowed="1" showAll="0">
      <items count="8">
        <item x="2"/>
        <item x="3"/>
        <item x="0"/>
        <item x="1"/>
        <item x="4"/>
        <item x="5"/>
        <item x="6"/>
        <item t="default"/>
      </items>
    </pivotField>
    <pivotField axis="axisPage" compact="0" outline="0" multipleItemSelectionAllowed="1" showAll="0">
      <items count="4">
        <item h="1" x="0"/>
        <item h="1" x="1"/>
        <item x="2"/>
        <item t="default"/>
      </items>
    </pivotField>
    <pivotField axis="axisPage" compact="0" outline="0" multipleItemSelectionAllowed="1" showAll="0">
      <items count="9">
        <item h="1" x="0"/>
        <item x="1"/>
        <item h="1" x="2"/>
        <item h="1" x="3"/>
        <item h="1" x="4"/>
        <item h="1" x="5"/>
        <item h="1" x="6"/>
        <item h="1" x="7"/>
        <item t="default"/>
      </items>
    </pivotField>
    <pivotField axis="axisPage" compact="0" outline="0" multipleItemSelectionAllowed="1" showAll="0">
      <items count="18">
        <item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t="default"/>
      </items>
    </pivotField>
    <pivotField axis="axisPage" compact="0" outline="0" multipleItemSelectionAllowed="1" showAll="0">
      <items count="39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t="default"/>
      </items>
    </pivotField>
    <pivotField dataField="1" compact="0" outline="0" multipleItemSelectionAllowed="1" showAll="0">
      <items count="134">
        <item x="5"/>
        <item x="117"/>
        <item x="130"/>
        <item x="125"/>
        <item x="97"/>
        <item x="96"/>
        <item x="95"/>
        <item x="94"/>
        <item x="129"/>
        <item x="93"/>
        <item x="124"/>
        <item x="105"/>
        <item x="127"/>
        <item x="100"/>
        <item x="128"/>
        <item x="92"/>
        <item x="116"/>
        <item x="115"/>
        <item x="70"/>
        <item x="43"/>
        <item x="46"/>
        <item x="53"/>
        <item x="60"/>
        <item x="45"/>
        <item x="126"/>
        <item x="57"/>
        <item x="50"/>
        <item x="51"/>
        <item x="58"/>
        <item x="12"/>
        <item x="83"/>
        <item x="89"/>
        <item x="120"/>
        <item x="15"/>
        <item x="118"/>
        <item x="49"/>
        <item x="56"/>
        <item x="19"/>
        <item x="76"/>
        <item x="44"/>
        <item x="35"/>
        <item x="41"/>
        <item x="55"/>
        <item x="48"/>
        <item x="73"/>
        <item x="71"/>
        <item x="21"/>
        <item x="18"/>
        <item x="103"/>
        <item x="98"/>
        <item x="42"/>
        <item x="20"/>
        <item x="110"/>
        <item x="113"/>
        <item x="25"/>
        <item x="13"/>
        <item x="69"/>
        <item x="47"/>
        <item x="54"/>
        <item x="23"/>
        <item x="106"/>
        <item x="101"/>
        <item x="68"/>
        <item x="16"/>
        <item x="32"/>
        <item x="26"/>
        <item x="33"/>
        <item x="39"/>
        <item x="131"/>
        <item x="22"/>
        <item x="132"/>
        <item x="102"/>
        <item x="107"/>
        <item x="27"/>
        <item x="78"/>
        <item x="77"/>
        <item x="61"/>
        <item x="31"/>
        <item x="99"/>
        <item x="104"/>
        <item x="38"/>
        <item x="17"/>
        <item x="72"/>
        <item x="74"/>
        <item x="79"/>
        <item x="52"/>
        <item x="59"/>
        <item x="119"/>
        <item x="121"/>
        <item x="63"/>
        <item x="66"/>
        <item x="122"/>
        <item x="123"/>
        <item x="30"/>
        <item x="4"/>
        <item x="81"/>
        <item x="87"/>
        <item x="29"/>
        <item x="37"/>
        <item x="84"/>
        <item x="90"/>
        <item x="1"/>
        <item x="111"/>
        <item x="114"/>
        <item x="109"/>
        <item x="112"/>
        <item x="85"/>
        <item x="91"/>
        <item x="64"/>
        <item x="67"/>
        <item x="82"/>
        <item x="88"/>
        <item x="7"/>
        <item x="34"/>
        <item x="40"/>
        <item x="62"/>
        <item x="65"/>
        <item x="3"/>
        <item x="28"/>
        <item x="36"/>
        <item x="80"/>
        <item x="86"/>
        <item x="2"/>
        <item x="11"/>
        <item x="14"/>
        <item x="10"/>
        <item x="6"/>
        <item x="8"/>
        <item x="75"/>
        <item x="9"/>
        <item x="0"/>
        <item x="24"/>
        <item x="108"/>
        <item t="default"/>
      </items>
    </pivotField>
    <pivotField dataField="1" compact="0" outline="0" multipleItemSelectionAllowed="1" showAll="0">
      <items count="202">
        <item x="1"/>
        <item x="200"/>
        <item x="158"/>
        <item x="115"/>
        <item x="183"/>
        <item x="72"/>
        <item x="187"/>
        <item x="145"/>
        <item x="144"/>
        <item x="143"/>
        <item x="198"/>
        <item x="141"/>
        <item x="134"/>
        <item x="122"/>
        <item x="186"/>
        <item x="194"/>
        <item x="49"/>
        <item x="63"/>
        <item x="91"/>
        <item x="68"/>
        <item x="189"/>
        <item x="199"/>
        <item x="67"/>
        <item x="191"/>
        <item x="62"/>
        <item x="48"/>
        <item x="43"/>
        <item x="135"/>
        <item x="58"/>
        <item x="123"/>
        <item x="152"/>
        <item x="106"/>
        <item x="97"/>
        <item x="41"/>
        <item x="56"/>
        <item x="99"/>
        <item x="173"/>
        <item x="162"/>
        <item x="176"/>
        <item x="157"/>
        <item x="174"/>
        <item x="6"/>
        <item x="163"/>
        <item x="165"/>
        <item x="114"/>
        <item x="188"/>
        <item x="156"/>
        <item x="113"/>
        <item x="92"/>
        <item x="119"/>
        <item x="131"/>
        <item x="142"/>
        <item x="55"/>
        <item x="40"/>
        <item x="180"/>
        <item x="169"/>
        <item x="182"/>
        <item x="20"/>
        <item x="195"/>
        <item x="181"/>
        <item x="140"/>
        <item x="196"/>
        <item x="190"/>
        <item x="85"/>
        <item x="77"/>
        <item x="84"/>
        <item x="76"/>
        <item x="146"/>
        <item x="66"/>
        <item x="46"/>
        <item x="60"/>
        <item x="39"/>
        <item x="54"/>
        <item x="11"/>
        <item x="32"/>
        <item x="132"/>
        <item x="120"/>
        <item x="95"/>
        <item x="21"/>
        <item x="98"/>
        <item x="65"/>
        <item x="64"/>
        <item x="149"/>
        <item x="7"/>
        <item x="154"/>
        <item x="160"/>
        <item x="150"/>
        <item x="171"/>
        <item x="108"/>
        <item x="192"/>
        <item x="12"/>
        <item x="90"/>
        <item x="26"/>
        <item x="89"/>
        <item x="167"/>
        <item x="28"/>
        <item x="178"/>
        <item x="24"/>
        <item x="25"/>
        <item x="8"/>
        <item x="107"/>
        <item x="45"/>
        <item x="111"/>
        <item x="38"/>
        <item x="29"/>
        <item x="53"/>
        <item x="57"/>
        <item x="42"/>
        <item x="138"/>
        <item x="126"/>
        <item x="22"/>
        <item x="127"/>
        <item x="139"/>
        <item x="96"/>
        <item x="147"/>
        <item x="23"/>
        <item x="151"/>
        <item x="155"/>
        <item x="30"/>
        <item x="78"/>
        <item x="86"/>
        <item x="121"/>
        <item x="133"/>
        <item x="193"/>
        <item x="100"/>
        <item x="164"/>
        <item x="36"/>
        <item x="175"/>
        <item x="148"/>
        <item x="153"/>
        <item x="52"/>
        <item x="104"/>
        <item x="101"/>
        <item x="14"/>
        <item x="103"/>
        <item x="70"/>
        <item x="109"/>
        <item x="71"/>
        <item x="112"/>
        <item x="80"/>
        <item x="88"/>
        <item x="197"/>
        <item x="102"/>
        <item x="168"/>
        <item x="74"/>
        <item x="179"/>
        <item x="105"/>
        <item x="110"/>
        <item x="82"/>
        <item x="47"/>
        <item x="61"/>
        <item x="184"/>
        <item x="185"/>
        <item x="35"/>
        <item x="2"/>
        <item x="117"/>
        <item x="129"/>
        <item x="34"/>
        <item x="51"/>
        <item x="0"/>
        <item x="161"/>
        <item x="172"/>
        <item x="124"/>
        <item x="136"/>
        <item x="166"/>
        <item x="177"/>
        <item x="125"/>
        <item x="137"/>
        <item x="75"/>
        <item x="83"/>
        <item x="31"/>
        <item x="4"/>
        <item x="159"/>
        <item x="170"/>
        <item x="118"/>
        <item x="37"/>
        <item x="130"/>
        <item x="79"/>
        <item x="87"/>
        <item x="5"/>
        <item x="73"/>
        <item x="81"/>
        <item x="16"/>
        <item x="116"/>
        <item x="128"/>
        <item x="13"/>
        <item x="44"/>
        <item x="59"/>
        <item x="9"/>
        <item x="33"/>
        <item x="50"/>
        <item x="10"/>
        <item x="3"/>
        <item x="19"/>
        <item x="94"/>
        <item x="17"/>
        <item x="93"/>
        <item x="18"/>
        <item x="15"/>
        <item x="27"/>
        <item x="69"/>
        <item t="default"/>
      </items>
    </pivotField>
    <pivotField dataField="1" compact="0" outline="0" multipleItemSelectionAllowed="1" showAll="0">
      <items count="241">
        <item x="1"/>
        <item x="238"/>
        <item x="100"/>
        <item x="219"/>
        <item x="39"/>
        <item x="161"/>
        <item x="160"/>
        <item x="128"/>
        <item x="185"/>
        <item x="237"/>
        <item x="157"/>
        <item x="56"/>
        <item x="72"/>
        <item x="184"/>
        <item x="218"/>
        <item x="223"/>
        <item x="159"/>
        <item x="215"/>
        <item x="102"/>
        <item x="222"/>
        <item x="151"/>
        <item x="138"/>
        <item x="208"/>
        <item x="195"/>
        <item x="77"/>
        <item x="235"/>
        <item x="239"/>
        <item x="50"/>
        <item x="66"/>
        <item x="127"/>
        <item x="150"/>
        <item x="137"/>
        <item x="236"/>
        <item x="183"/>
        <item x="76"/>
        <item x="126"/>
        <item x="149"/>
        <item x="136"/>
        <item x="225"/>
        <item x="109"/>
        <item x="8"/>
        <item x="79"/>
        <item x="182"/>
        <item x="63"/>
        <item x="47"/>
        <item x="164"/>
        <item x="205"/>
        <item x="192"/>
        <item x="193"/>
        <item x="206"/>
        <item x="229"/>
        <item x="22"/>
        <item x="226"/>
        <item x="221"/>
        <item x="108"/>
        <item x="55"/>
        <item x="71"/>
        <item x="111"/>
        <item x="232"/>
        <item x="48"/>
        <item x="220"/>
        <item x="64"/>
        <item x="13"/>
        <item x="46"/>
        <item x="62"/>
        <item x="95"/>
        <item x="86"/>
        <item x="158"/>
        <item x="231"/>
        <item x="228"/>
        <item x="214"/>
        <item x="94"/>
        <item x="85"/>
        <item x="28"/>
        <item x="156"/>
        <item x="75"/>
        <item x="53"/>
        <item x="69"/>
        <item x="9"/>
        <item x="213"/>
        <item x="16"/>
        <item x="194"/>
        <item x="207"/>
        <item x="163"/>
        <item x="73"/>
        <item x="106"/>
        <item x="224"/>
        <item x="14"/>
        <item x="190"/>
        <item x="133"/>
        <item x="38"/>
        <item x="230"/>
        <item x="37"/>
        <item x="227"/>
        <item x="110"/>
        <item x="25"/>
        <item x="134"/>
        <item x="147"/>
        <item x="101"/>
        <item x="116"/>
        <item x="123"/>
        <item x="29"/>
        <item x="211"/>
        <item x="198"/>
        <item x="26"/>
        <item x="99"/>
        <item x="107"/>
        <item x="117"/>
        <item x="155"/>
        <item x="142"/>
        <item x="234"/>
        <item x="30"/>
        <item x="10"/>
        <item x="45"/>
        <item x="61"/>
        <item x="172"/>
        <item x="135"/>
        <item x="148"/>
        <item x="178"/>
        <item x="191"/>
        <item x="204"/>
        <item x="212"/>
        <item x="199"/>
        <item x="15"/>
        <item x="174"/>
        <item x="132"/>
        <item x="180"/>
        <item x="146"/>
        <item x="65"/>
        <item x="49"/>
        <item x="165"/>
        <item x="233"/>
        <item x="141"/>
        <item x="154"/>
        <item x="166"/>
        <item x="167"/>
        <item x="87"/>
        <item x="96"/>
        <item x="24"/>
        <item x="78"/>
        <item x="74"/>
        <item x="168"/>
        <item x="169"/>
        <item x="80"/>
        <item x="83"/>
        <item x="92"/>
        <item x="89"/>
        <item x="98"/>
        <item x="188"/>
        <item x="32"/>
        <item x="202"/>
        <item x="35"/>
        <item x="112"/>
        <item x="70"/>
        <item x="54"/>
        <item x="115"/>
        <item x="173"/>
        <item x="82"/>
        <item x="122"/>
        <item x="179"/>
        <item x="91"/>
        <item x="216"/>
        <item x="217"/>
        <item x="42"/>
        <item x="4"/>
        <item x="119"/>
        <item x="125"/>
        <item x="52"/>
        <item x="68"/>
        <item x="43"/>
        <item x="59"/>
        <item x="41"/>
        <item x="58"/>
        <item x="33"/>
        <item x="36"/>
        <item x="2"/>
        <item x="114"/>
        <item x="189"/>
        <item x="121"/>
        <item x="203"/>
        <item x="118"/>
        <item x="124"/>
        <item x="31"/>
        <item x="34"/>
        <item x="84"/>
        <item x="93"/>
        <item x="6"/>
        <item x="196"/>
        <item x="209"/>
        <item x="130"/>
        <item x="175"/>
        <item x="144"/>
        <item x="171"/>
        <item x="181"/>
        <item x="177"/>
        <item x="88"/>
        <item x="97"/>
        <item x="113"/>
        <item x="120"/>
        <item x="187"/>
        <item x="197"/>
        <item x="201"/>
        <item x="210"/>
        <item x="140"/>
        <item x="153"/>
        <item x="3"/>
        <item x="131"/>
        <item x="145"/>
        <item x="81"/>
        <item x="90"/>
        <item x="170"/>
        <item x="176"/>
        <item x="139"/>
        <item x="5"/>
        <item x="152"/>
        <item x="44"/>
        <item x="60"/>
        <item x="0"/>
        <item x="11"/>
        <item x="186"/>
        <item x="200"/>
        <item x="23"/>
        <item x="51"/>
        <item x="67"/>
        <item x="129"/>
        <item x="143"/>
        <item x="18"/>
        <item x="40"/>
        <item x="57"/>
        <item x="162"/>
        <item x="21"/>
        <item x="12"/>
        <item x="7"/>
        <item x="105"/>
        <item x="104"/>
        <item x="19"/>
        <item x="20"/>
        <item x="17"/>
        <item x="27"/>
        <item x="103"/>
        <item t="default"/>
      </items>
    </pivotField>
    <pivotField dataField="1" compact="0" outline="0" multipleItemSelectionAllowed="1" showAll="0">
      <items count="271">
        <item x="0"/>
        <item x="53"/>
        <item x="207"/>
        <item x="56"/>
        <item x="268"/>
        <item x="141"/>
        <item x="122"/>
        <item x="206"/>
        <item x="249"/>
        <item x="177"/>
        <item x="176"/>
        <item x="208"/>
        <item x="203"/>
        <item x="97"/>
        <item x="180"/>
        <item x="100"/>
        <item x="171"/>
        <item x="157"/>
        <item x="267"/>
        <item x="173"/>
        <item x="244"/>
        <item x="224"/>
        <item x="240"/>
        <item x="55"/>
        <item x="248"/>
        <item x="52"/>
        <item x="266"/>
        <item x="175"/>
        <item x="124"/>
        <item x="205"/>
        <item x="254"/>
        <item x="166"/>
        <item x="152"/>
        <item x="67"/>
        <item x="84"/>
        <item x="264"/>
        <item x="269"/>
        <item x="165"/>
        <item x="151"/>
        <item x="265"/>
        <item x="94"/>
        <item x="131"/>
        <item x="253"/>
        <item x="243"/>
        <item x="22"/>
        <item x="164"/>
        <item x="150"/>
        <item x="73"/>
        <item x="90"/>
        <item x="232"/>
        <item x="216"/>
        <item x="26"/>
        <item x="81"/>
        <item x="64"/>
        <item x="217"/>
        <item x="233"/>
        <item x="258"/>
        <item x="255"/>
        <item x="252"/>
        <item x="72"/>
        <item x="89"/>
        <item x="108"/>
        <item x="7"/>
        <item x="118"/>
        <item x="139"/>
        <item x="63"/>
        <item x="140"/>
        <item x="80"/>
        <item x="23"/>
        <item x="261"/>
        <item x="204"/>
        <item x="234"/>
        <item x="218"/>
        <item x="116"/>
        <item x="106"/>
        <item x="31"/>
        <item x="115"/>
        <item x="105"/>
        <item x="130"/>
        <item x="174"/>
        <item x="260"/>
        <item x="257"/>
        <item x="42"/>
        <item x="47"/>
        <item x="202"/>
        <item x="54"/>
        <item x="134"/>
        <item x="51"/>
        <item x="93"/>
        <item x="172"/>
        <item x="25"/>
        <item x="95"/>
        <item x="8"/>
        <item x="189"/>
        <item x="27"/>
        <item x="65"/>
        <item x="82"/>
        <item x="11"/>
        <item x="128"/>
        <item x="193"/>
        <item x="201"/>
        <item x="219"/>
        <item x="235"/>
        <item x="251"/>
        <item x="37"/>
        <item x="239"/>
        <item x="223"/>
        <item x="215"/>
        <item x="231"/>
        <item x="147"/>
        <item x="242"/>
        <item x="259"/>
        <item x="256"/>
        <item x="148"/>
        <item x="162"/>
        <item x="9"/>
        <item x="123"/>
        <item x="250"/>
        <item x="187"/>
        <item x="196"/>
        <item x="129"/>
        <item x="30"/>
        <item x="12"/>
        <item x="241"/>
        <item x="121"/>
        <item x="170"/>
        <item x="156"/>
        <item x="146"/>
        <item x="263"/>
        <item x="83"/>
        <item x="66"/>
        <item x="38"/>
        <item x="62"/>
        <item x="133"/>
        <item x="149"/>
        <item x="163"/>
        <item x="79"/>
        <item x="24"/>
        <item x="91"/>
        <item x="222"/>
        <item x="238"/>
        <item x="117"/>
        <item x="107"/>
        <item x="155"/>
        <item x="169"/>
        <item x="262"/>
        <item x="181"/>
        <item x="35"/>
        <item x="36"/>
        <item x="34"/>
        <item x="98"/>
        <item x="183"/>
        <item x="28"/>
        <item x="99"/>
        <item x="188"/>
        <item x="197"/>
        <item x="145"/>
        <item x="40"/>
        <item x="96"/>
        <item x="161"/>
        <item x="92"/>
        <item x="45"/>
        <item x="50"/>
        <item x="120"/>
        <item x="110"/>
        <item x="184"/>
        <item x="14"/>
        <item x="32"/>
        <item x="103"/>
        <item x="113"/>
        <item x="88"/>
        <item x="71"/>
        <item x="39"/>
        <item x="178"/>
        <item x="179"/>
        <item x="102"/>
        <item x="136"/>
        <item x="112"/>
        <item x="138"/>
        <item x="135"/>
        <item x="137"/>
        <item x="70"/>
        <item x="87"/>
        <item x="246"/>
        <item x="247"/>
        <item x="2"/>
        <item x="44"/>
        <item x="49"/>
        <item x="59"/>
        <item x="76"/>
        <item x="211"/>
        <item x="227"/>
        <item x="192"/>
        <item x="200"/>
        <item x="186"/>
        <item x="195"/>
        <item x="69"/>
        <item x="86"/>
        <item x="212"/>
        <item x="228"/>
        <item x="58"/>
        <item x="75"/>
        <item x="43"/>
        <item x="48"/>
        <item x="41"/>
        <item x="4"/>
        <item x="46"/>
        <item x="213"/>
        <item x="229"/>
        <item x="104"/>
        <item x="114"/>
        <item x="5"/>
        <item x="60"/>
        <item x="77"/>
        <item x="143"/>
        <item x="159"/>
        <item x="109"/>
        <item x="119"/>
        <item x="154"/>
        <item x="168"/>
        <item x="3"/>
        <item x="144"/>
        <item x="160"/>
        <item x="190"/>
        <item x="198"/>
        <item x="214"/>
        <item x="191"/>
        <item x="230"/>
        <item x="199"/>
        <item x="153"/>
        <item x="101"/>
        <item x="1"/>
        <item x="167"/>
        <item x="221"/>
        <item x="210"/>
        <item x="111"/>
        <item x="237"/>
        <item x="226"/>
        <item x="61"/>
        <item x="78"/>
        <item x="13"/>
        <item x="10"/>
        <item x="185"/>
        <item x="194"/>
        <item x="6"/>
        <item x="220"/>
        <item x="236"/>
        <item x="16"/>
        <item x="142"/>
        <item x="158"/>
        <item x="68"/>
        <item x="85"/>
        <item x="126"/>
        <item x="20"/>
        <item x="57"/>
        <item x="74"/>
        <item x="29"/>
        <item x="17"/>
        <item x="21"/>
        <item x="209"/>
        <item x="132"/>
        <item x="225"/>
        <item x="182"/>
        <item x="127"/>
        <item x="18"/>
        <item x="125"/>
        <item x="19"/>
        <item x="15"/>
        <item x="33"/>
        <item x="245"/>
        <item t="default"/>
      </items>
    </pivotField>
    <pivotField dataField="1" compact="0" outline="0" multipleItemSelectionAllowed="1" showAll="0">
      <items count="336">
        <item x="2"/>
        <item x="171"/>
        <item x="313"/>
        <item x="118"/>
        <item x="209"/>
        <item x="119"/>
        <item x="314"/>
        <item x="155"/>
        <item x="172"/>
        <item x="170"/>
        <item x="117"/>
        <item x="311"/>
        <item x="116"/>
        <item x="214"/>
        <item x="210"/>
        <item x="86"/>
        <item x="69"/>
        <item x="99"/>
        <item x="204"/>
        <item x="189"/>
        <item x="223"/>
        <item x="151"/>
        <item x="154"/>
        <item x="211"/>
        <item x="308"/>
        <item x="249"/>
        <item x="294"/>
        <item x="332"/>
        <item x="302"/>
        <item x="206"/>
        <item x="208"/>
        <item x="248"/>
        <item x="331"/>
        <item x="306"/>
        <item x="198"/>
        <item x="312"/>
        <item x="310"/>
        <item x="183"/>
        <item x="318"/>
        <item x="333"/>
        <item x="153"/>
        <item x="323"/>
        <item x="197"/>
        <item x="182"/>
        <item x="22"/>
        <item x="334"/>
        <item x="246"/>
        <item x="160"/>
        <item x="251"/>
        <item x="329"/>
        <item x="250"/>
        <item x="92"/>
        <item x="75"/>
        <item x="295"/>
        <item x="129"/>
        <item x="144"/>
        <item x="307"/>
        <item x="296"/>
        <item x="270"/>
        <item x="289"/>
        <item x="141"/>
        <item x="309"/>
        <item x="126"/>
        <item x="322"/>
        <item x="330"/>
        <item x="293"/>
        <item x="82"/>
        <item x="65"/>
        <item x="58"/>
        <item x="260"/>
        <item x="279"/>
        <item x="18"/>
        <item x="91"/>
        <item x="74"/>
        <item x="299"/>
        <item x="247"/>
        <item x="280"/>
        <item x="261"/>
        <item x="304"/>
        <item x="305"/>
        <item x="83"/>
        <item x="66"/>
        <item x="319"/>
        <item x="303"/>
        <item x="291"/>
        <item x="317"/>
        <item x="149"/>
        <item x="134"/>
        <item x="226"/>
        <item x="186"/>
        <item x="201"/>
        <item x="101"/>
        <item x="316"/>
        <item x="28"/>
        <item x="165"/>
        <item x="168"/>
        <item x="24"/>
        <item x="269"/>
        <item x="288"/>
        <item x="181"/>
        <item x="196"/>
        <item x="133"/>
        <item x="148"/>
        <item x="326"/>
        <item x="207"/>
        <item x="19"/>
        <item x="278"/>
        <item x="259"/>
        <item x="103"/>
        <item x="205"/>
        <item x="221"/>
        <item x="217"/>
        <item x="262"/>
        <item x="281"/>
        <item x="55"/>
        <item x="97"/>
        <item x="158"/>
        <item x="325"/>
        <item x="324"/>
        <item x="287"/>
        <item x="268"/>
        <item x="143"/>
        <item x="128"/>
        <item x="21"/>
        <item x="142"/>
        <item x="127"/>
        <item x="161"/>
        <item x="321"/>
        <item x="27"/>
        <item x="125"/>
        <item x="140"/>
        <item x="225"/>
        <item x="179"/>
        <item x="194"/>
        <item x="8"/>
        <item x="85"/>
        <item x="68"/>
        <item x="320"/>
        <item x="178"/>
        <item x="147"/>
        <item x="132"/>
        <item x="237"/>
        <item x="224"/>
        <item x="258"/>
        <item x="277"/>
        <item x="243"/>
        <item x="292"/>
        <item x="152"/>
        <item x="227"/>
        <item x="203"/>
        <item x="188"/>
        <item x="159"/>
        <item x="328"/>
        <item x="20"/>
        <item x="180"/>
        <item x="195"/>
        <item x="100"/>
        <item x="315"/>
        <item x="177"/>
        <item x="150"/>
        <item x="162"/>
        <item x="95"/>
        <item x="67"/>
        <item x="228"/>
        <item x="84"/>
        <item x="64"/>
        <item x="81"/>
        <item x="290"/>
        <item x="267"/>
        <item x="286"/>
        <item x="110"/>
        <item x="10"/>
        <item x="115"/>
        <item x="229"/>
        <item x="26"/>
        <item x="187"/>
        <item x="202"/>
        <item x="327"/>
        <item x="102"/>
        <item x="124"/>
        <item x="139"/>
        <item x="9"/>
        <item x="33"/>
        <item x="56"/>
        <item x="57"/>
        <item x="35"/>
        <item x="218"/>
        <item x="222"/>
        <item x="96"/>
        <item x="122"/>
        <item x="137"/>
        <item x="32"/>
        <item x="54"/>
        <item x="30"/>
        <item x="105"/>
        <item x="73"/>
        <item x="90"/>
        <item x="216"/>
        <item x="233"/>
        <item x="220"/>
        <item x="34"/>
        <item x="104"/>
        <item x="29"/>
        <item x="231"/>
        <item x="232"/>
        <item x="36"/>
        <item x="53"/>
        <item x="1"/>
        <item x="156"/>
        <item x="166"/>
        <item x="169"/>
        <item x="44"/>
        <item x="52"/>
        <item x="164"/>
        <item x="167"/>
        <item x="131"/>
        <item x="146"/>
        <item x="98"/>
        <item x="93"/>
        <item x="266"/>
        <item x="94"/>
        <item x="285"/>
        <item x="109"/>
        <item x="38"/>
        <item x="114"/>
        <item x="176"/>
        <item x="46"/>
        <item x="193"/>
        <item x="255"/>
        <item x="274"/>
        <item x="297"/>
        <item x="298"/>
        <item x="3"/>
        <item x="238"/>
        <item x="244"/>
        <item x="72"/>
        <item x="89"/>
        <item x="107"/>
        <item x="256"/>
        <item x="112"/>
        <item x="275"/>
        <item x="235"/>
        <item x="241"/>
        <item x="108"/>
        <item x="123"/>
        <item x="113"/>
        <item x="43"/>
        <item x="138"/>
        <item x="51"/>
        <item x="300"/>
        <item x="236"/>
        <item x="301"/>
        <item x="212"/>
        <item x="242"/>
        <item x="213"/>
        <item x="0"/>
        <item x="121"/>
        <item x="136"/>
        <item x="239"/>
        <item x="245"/>
        <item x="39"/>
        <item x="174"/>
        <item x="47"/>
        <item x="191"/>
        <item x="60"/>
        <item x="77"/>
        <item x="130"/>
        <item x="265"/>
        <item x="145"/>
        <item x="284"/>
        <item x="215"/>
        <item x="219"/>
        <item x="12"/>
        <item x="185"/>
        <item x="254"/>
        <item x="200"/>
        <item x="273"/>
        <item x="71"/>
        <item x="88"/>
        <item x="175"/>
        <item x="192"/>
        <item x="61"/>
        <item x="78"/>
        <item x="257"/>
        <item x="276"/>
        <item x="106"/>
        <item x="5"/>
        <item x="111"/>
        <item x="264"/>
        <item x="283"/>
        <item x="234"/>
        <item x="240"/>
        <item x="7"/>
        <item x="184"/>
        <item x="199"/>
        <item x="6"/>
        <item x="253"/>
        <item x="272"/>
        <item x="4"/>
        <item x="41"/>
        <item x="49"/>
        <item x="17"/>
        <item x="120"/>
        <item x="263"/>
        <item x="135"/>
        <item x="282"/>
        <item x="173"/>
        <item x="190"/>
        <item x="13"/>
        <item x="14"/>
        <item x="63"/>
        <item x="80"/>
        <item x="163"/>
        <item x="40"/>
        <item x="48"/>
        <item x="230"/>
        <item x="62"/>
        <item x="23"/>
        <item x="79"/>
        <item x="25"/>
        <item x="252"/>
        <item x="271"/>
        <item x="15"/>
        <item x="16"/>
        <item x="42"/>
        <item x="50"/>
        <item x="11"/>
        <item x="37"/>
        <item x="45"/>
        <item x="70"/>
        <item x="87"/>
        <item x="59"/>
        <item x="76"/>
        <item x="31"/>
        <item x="157"/>
        <item t="default"/>
      </items>
    </pivotField>
    <pivotField dataField="1" compact="0" outline="0" multipleItemSelectionAllowed="1" showAll="0">
      <items count="330">
        <item x="2"/>
        <item x="139"/>
        <item x="204"/>
        <item x="307"/>
        <item x="167"/>
        <item x="142"/>
        <item x="249"/>
        <item x="143"/>
        <item x="52"/>
        <item x="219"/>
        <item x="82"/>
        <item x="65"/>
        <item x="205"/>
        <item x="95"/>
        <item x="199"/>
        <item x="184"/>
        <item x="218"/>
        <item x="137"/>
        <item x="141"/>
        <item x="206"/>
        <item x="250"/>
        <item x="251"/>
        <item x="53"/>
        <item x="326"/>
        <item x="300"/>
        <item x="306"/>
        <item x="201"/>
        <item x="325"/>
        <item x="193"/>
        <item x="178"/>
        <item x="203"/>
        <item x="311"/>
        <item x="22"/>
        <item x="192"/>
        <item x="140"/>
        <item x="177"/>
        <item x="327"/>
        <item x="149"/>
        <item x="328"/>
        <item x="316"/>
        <item x="166"/>
        <item x="323"/>
        <item x="296"/>
        <item x="165"/>
        <item x="112"/>
        <item x="129"/>
        <item x="261"/>
        <item x="280"/>
        <item x="227"/>
        <item x="297"/>
        <item x="126"/>
        <item x="109"/>
        <item x="88"/>
        <item x="71"/>
        <item x="96"/>
        <item x="324"/>
        <item x="302"/>
        <item x="78"/>
        <item x="61"/>
        <item x="79"/>
        <item x="62"/>
        <item x="294"/>
        <item x="226"/>
        <item x="262"/>
        <item x="281"/>
        <item x="87"/>
        <item x="154"/>
        <item x="70"/>
        <item x="54"/>
        <item x="18"/>
        <item x="301"/>
        <item x="310"/>
        <item x="292"/>
        <item x="270"/>
        <item x="289"/>
        <item x="135"/>
        <item x="118"/>
        <item x="51"/>
        <item x="313"/>
        <item x="181"/>
        <item x="196"/>
        <item x="98"/>
        <item x="263"/>
        <item x="282"/>
        <item x="309"/>
        <item x="279"/>
        <item x="260"/>
        <item x="252"/>
        <item x="19"/>
        <item x="315"/>
        <item x="100"/>
        <item x="295"/>
        <item x="31"/>
        <item x="288"/>
        <item x="269"/>
        <item x="117"/>
        <item x="134"/>
        <item x="25"/>
        <item x="318"/>
        <item x="314"/>
        <item x="248"/>
        <item x="99"/>
        <item x="191"/>
        <item x="176"/>
        <item x="153"/>
        <item x="216"/>
        <item x="211"/>
        <item x="202"/>
        <item x="21"/>
        <item x="200"/>
        <item x="128"/>
        <item x="111"/>
        <item x="26"/>
        <item x="127"/>
        <item x="110"/>
        <item x="225"/>
        <item x="319"/>
        <item x="305"/>
        <item x="151"/>
        <item x="81"/>
        <item x="30"/>
        <item x="64"/>
        <item x="108"/>
        <item x="125"/>
        <item x="290"/>
        <item x="271"/>
        <item x="312"/>
        <item x="304"/>
        <item x="160"/>
        <item x="163"/>
        <item x="6"/>
        <item x="174"/>
        <item x="189"/>
        <item x="173"/>
        <item x="229"/>
        <item x="133"/>
        <item x="116"/>
        <item x="235"/>
        <item x="93"/>
        <item x="243"/>
        <item x="148"/>
        <item x="321"/>
        <item x="268"/>
        <item x="287"/>
        <item x="138"/>
        <item x="224"/>
        <item x="293"/>
        <item x="175"/>
        <item x="190"/>
        <item x="198"/>
        <item x="183"/>
        <item x="152"/>
        <item x="317"/>
        <item x="161"/>
        <item x="164"/>
        <item x="97"/>
        <item x="172"/>
        <item x="136"/>
        <item x="91"/>
        <item x="20"/>
        <item x="60"/>
        <item x="77"/>
        <item x="320"/>
        <item x="228"/>
        <item x="63"/>
        <item x="80"/>
        <item x="7"/>
        <item x="29"/>
        <item x="278"/>
        <item x="259"/>
        <item x="27"/>
        <item x="303"/>
        <item x="182"/>
        <item x="197"/>
        <item x="33"/>
        <item x="322"/>
        <item x="107"/>
        <item x="124"/>
        <item x="42"/>
        <item x="5"/>
        <item x="47"/>
        <item x="291"/>
        <item x="159"/>
        <item x="162"/>
        <item x="308"/>
        <item x="212"/>
        <item x="217"/>
        <item x="104"/>
        <item x="121"/>
        <item x="40"/>
        <item x="69"/>
        <item x="86"/>
        <item x="92"/>
        <item x="238"/>
        <item x="234"/>
        <item x="246"/>
        <item x="37"/>
        <item x="242"/>
        <item x="209"/>
        <item x="214"/>
        <item x="101"/>
        <item x="36"/>
        <item x="38"/>
        <item x="157"/>
        <item x="32"/>
        <item x="158"/>
        <item x="231"/>
        <item x="39"/>
        <item x="34"/>
        <item x="230"/>
        <item x="156"/>
        <item x="155"/>
        <item x="4"/>
        <item x="144"/>
        <item x="236"/>
        <item x="244"/>
        <item x="115"/>
        <item x="132"/>
        <item x="94"/>
        <item x="90"/>
        <item x="45"/>
        <item x="89"/>
        <item x="50"/>
        <item x="114"/>
        <item x="131"/>
        <item x="44"/>
        <item x="49"/>
        <item x="1"/>
        <item x="256"/>
        <item x="171"/>
        <item x="275"/>
        <item x="188"/>
        <item x="237"/>
        <item x="245"/>
        <item x="106"/>
        <item x="105"/>
        <item x="123"/>
        <item x="122"/>
        <item x="298"/>
        <item x="299"/>
        <item x="210"/>
        <item x="215"/>
        <item x="3"/>
        <item x="103"/>
        <item x="120"/>
        <item x="43"/>
        <item x="113"/>
        <item x="48"/>
        <item x="130"/>
        <item x="257"/>
        <item x="276"/>
        <item x="169"/>
        <item x="208"/>
        <item x="186"/>
        <item x="68"/>
        <item x="213"/>
        <item x="85"/>
        <item x="0"/>
        <item x="56"/>
        <item x="41"/>
        <item x="73"/>
        <item x="46"/>
        <item x="266"/>
        <item x="170"/>
        <item x="180"/>
        <item x="285"/>
        <item x="187"/>
        <item x="195"/>
        <item x="57"/>
        <item x="74"/>
        <item x="258"/>
        <item x="67"/>
        <item x="277"/>
        <item x="255"/>
        <item x="84"/>
        <item x="274"/>
        <item x="9"/>
        <item x="265"/>
        <item x="284"/>
        <item x="11"/>
        <item x="179"/>
        <item x="194"/>
        <item x="13"/>
        <item x="16"/>
        <item x="239"/>
        <item x="145"/>
        <item x="247"/>
        <item x="102"/>
        <item x="147"/>
        <item x="233"/>
        <item x="119"/>
        <item x="241"/>
        <item x="267"/>
        <item x="286"/>
        <item x="223"/>
        <item x="168"/>
        <item x="185"/>
        <item x="15"/>
        <item x="264"/>
        <item x="232"/>
        <item x="240"/>
        <item x="283"/>
        <item x="10"/>
        <item x="59"/>
        <item x="76"/>
        <item x="23"/>
        <item x="221"/>
        <item x="12"/>
        <item x="254"/>
        <item x="273"/>
        <item x="150"/>
        <item x="146"/>
        <item x="58"/>
        <item x="75"/>
        <item x="24"/>
        <item x="28"/>
        <item x="14"/>
        <item x="17"/>
        <item x="222"/>
        <item x="8"/>
        <item x="220"/>
        <item x="253"/>
        <item x="272"/>
        <item x="66"/>
        <item x="83"/>
        <item x="55"/>
        <item x="72"/>
        <item x="35"/>
        <item x="207"/>
        <item t="default"/>
      </items>
    </pivotField>
    <pivotField dataField="1" compact="0" outline="0" multipleItemSelectionAllowed="1" showAll="0">
      <items count="344">
        <item x="2"/>
        <item x="175"/>
        <item x="51"/>
        <item x="257"/>
        <item x="145"/>
        <item x="255"/>
        <item x="218"/>
        <item x="148"/>
        <item x="149"/>
        <item x="232"/>
        <item x="80"/>
        <item x="63"/>
        <item x="213"/>
        <item x="233"/>
        <item x="143"/>
        <item x="147"/>
        <item x="214"/>
        <item x="174"/>
        <item x="231"/>
        <item x="52"/>
        <item x="258"/>
        <item x="212"/>
        <item x="50"/>
        <item x="256"/>
        <item x="340"/>
        <item x="314"/>
        <item x="201"/>
        <item x="209"/>
        <item x="186"/>
        <item x="339"/>
        <item x="93"/>
        <item x="21"/>
        <item x="211"/>
        <item x="325"/>
        <item x="200"/>
        <item x="185"/>
        <item x="146"/>
        <item x="341"/>
        <item x="156"/>
        <item x="342"/>
        <item x="330"/>
        <item x="192"/>
        <item x="207"/>
        <item x="114"/>
        <item x="133"/>
        <item x="337"/>
        <item x="302"/>
        <item x="237"/>
        <item x="267"/>
        <item x="286"/>
        <item x="111"/>
        <item x="130"/>
        <item x="303"/>
        <item x="86"/>
        <item x="69"/>
        <item x="94"/>
        <item x="338"/>
        <item x="316"/>
        <item x="77"/>
        <item x="60"/>
        <item x="103"/>
        <item x="162"/>
        <item x="49"/>
        <item x="300"/>
        <item x="121"/>
        <item x="140"/>
        <item x="268"/>
        <item x="287"/>
        <item x="315"/>
        <item x="85"/>
        <item x="68"/>
        <item x="324"/>
        <item x="276"/>
        <item x="295"/>
        <item x="96"/>
        <item x="228"/>
        <item x="222"/>
        <item x="19"/>
        <item x="269"/>
        <item x="288"/>
        <item x="327"/>
        <item x="319"/>
        <item x="76"/>
        <item x="59"/>
        <item x="323"/>
        <item x="120"/>
        <item x="241"/>
        <item x="139"/>
        <item x="298"/>
        <item x="170"/>
        <item x="173"/>
        <item x="329"/>
        <item x="98"/>
        <item x="301"/>
        <item x="285"/>
        <item x="266"/>
        <item x="294"/>
        <item x="275"/>
        <item x="317"/>
        <item x="332"/>
        <item x="199"/>
        <item x="184"/>
        <item x="28"/>
        <item x="328"/>
        <item x="18"/>
        <item x="210"/>
        <item x="113"/>
        <item x="132"/>
        <item x="112"/>
        <item x="131"/>
        <item x="25"/>
        <item x="151"/>
        <item x="24"/>
        <item x="160"/>
        <item x="79"/>
        <item x="62"/>
        <item x="208"/>
        <item x="333"/>
        <item x="154"/>
        <item x="296"/>
        <item x="277"/>
        <item x="119"/>
        <item x="138"/>
        <item x="27"/>
        <item x="236"/>
        <item x="326"/>
        <item x="158"/>
        <item x="5"/>
        <item x="181"/>
        <item x="182"/>
        <item x="197"/>
        <item x="91"/>
        <item x="155"/>
        <item x="206"/>
        <item x="191"/>
        <item x="335"/>
        <item x="144"/>
        <item x="183"/>
        <item x="141"/>
        <item x="198"/>
        <item x="122"/>
        <item x="299"/>
        <item x="274"/>
        <item x="293"/>
        <item x="240"/>
        <item x="159"/>
        <item x="331"/>
        <item x="224"/>
        <item x="230"/>
        <item x="129"/>
        <item x="110"/>
        <item x="248"/>
        <item x="318"/>
        <item x="253"/>
        <item x="20"/>
        <item x="246"/>
        <item x="180"/>
        <item x="251"/>
        <item x="239"/>
        <item x="229"/>
        <item x="223"/>
        <item x="58"/>
        <item x="61"/>
        <item x="169"/>
        <item x="75"/>
        <item x="78"/>
        <item x="334"/>
        <item x="308"/>
        <item x="312"/>
        <item x="172"/>
        <item x="26"/>
        <item x="284"/>
        <item x="265"/>
        <item x="313"/>
        <item x="309"/>
        <item x="142"/>
        <item x="89"/>
        <item x="320"/>
        <item x="190"/>
        <item x="205"/>
        <item x="189"/>
        <item x="204"/>
        <item x="336"/>
        <item x="109"/>
        <item x="242"/>
        <item x="168"/>
        <item x="128"/>
        <item x="171"/>
        <item x="43"/>
        <item x="97"/>
        <item x="48"/>
        <item x="297"/>
        <item x="161"/>
        <item x="41"/>
        <item x="46"/>
        <item x="100"/>
        <item x="322"/>
        <item x="167"/>
        <item x="106"/>
        <item x="125"/>
        <item x="99"/>
        <item x="67"/>
        <item x="84"/>
        <item x="90"/>
        <item x="164"/>
        <item x="166"/>
        <item x="220"/>
        <item x="165"/>
        <item x="226"/>
        <item x="32"/>
        <item x="38"/>
        <item x="37"/>
        <item x="35"/>
        <item x="36"/>
        <item x="163"/>
        <item x="31"/>
        <item x="321"/>
        <item x="33"/>
        <item x="244"/>
        <item x="243"/>
        <item x="3"/>
        <item x="150"/>
        <item x="247"/>
        <item x="252"/>
        <item x="117"/>
        <item x="136"/>
        <item x="92"/>
        <item x="88"/>
        <item x="249"/>
        <item x="254"/>
        <item x="87"/>
        <item x="116"/>
        <item x="135"/>
        <item x="101"/>
        <item x="102"/>
        <item x="1"/>
        <item x="245"/>
        <item x="250"/>
        <item x="262"/>
        <item x="179"/>
        <item x="281"/>
        <item x="196"/>
        <item x="40"/>
        <item x="108"/>
        <item x="216"/>
        <item x="107"/>
        <item x="45"/>
        <item x="42"/>
        <item x="217"/>
        <item x="127"/>
        <item x="126"/>
        <item x="47"/>
        <item x="307"/>
        <item x="311"/>
        <item x="221"/>
        <item x="227"/>
        <item x="4"/>
        <item x="304"/>
        <item x="305"/>
        <item x="39"/>
        <item x="44"/>
        <item x="115"/>
        <item x="134"/>
        <item x="66"/>
        <item x="83"/>
        <item x="0"/>
        <item x="263"/>
        <item x="282"/>
        <item x="177"/>
        <item x="194"/>
        <item x="272"/>
        <item x="188"/>
        <item x="291"/>
        <item x="203"/>
        <item x="55"/>
        <item x="178"/>
        <item x="72"/>
        <item x="195"/>
        <item x="118"/>
        <item x="137"/>
        <item x="264"/>
        <item x="283"/>
        <item x="105"/>
        <item x="14"/>
        <item x="124"/>
        <item x="65"/>
        <item x="82"/>
        <item x="306"/>
        <item x="16"/>
        <item x="310"/>
        <item x="261"/>
        <item x="280"/>
        <item x="271"/>
        <item x="290"/>
        <item x="219"/>
        <item x="225"/>
        <item x="187"/>
        <item x="54"/>
        <item x="202"/>
        <item x="71"/>
        <item x="7"/>
        <item x="11"/>
        <item x="30"/>
        <item x="95"/>
        <item x="273"/>
        <item x="292"/>
        <item x="152"/>
        <item x="176"/>
        <item x="104"/>
        <item x="193"/>
        <item x="234"/>
        <item x="123"/>
        <item x="17"/>
        <item x="57"/>
        <item x="74"/>
        <item x="8"/>
        <item x="270"/>
        <item x="289"/>
        <item x="13"/>
        <item x="29"/>
        <item x="22"/>
        <item x="260"/>
        <item x="279"/>
        <item x="9"/>
        <item x="157"/>
        <item x="56"/>
        <item x="73"/>
        <item x="153"/>
        <item x="23"/>
        <item x="238"/>
        <item x="12"/>
        <item x="10"/>
        <item x="15"/>
        <item x="235"/>
        <item x="6"/>
        <item x="259"/>
        <item x="278"/>
        <item x="64"/>
        <item x="81"/>
        <item x="53"/>
        <item x="70"/>
        <item x="34"/>
        <item x="215"/>
        <item t="default"/>
      </items>
    </pivotField>
    <pivotField dataField="1" compact="0" outline="0" multipleItemSelectionAllowed="1" showAll="0">
      <items count="364">
        <item x="3"/>
        <item x="156"/>
        <item x="257"/>
        <item x="198"/>
        <item x="160"/>
        <item x="278"/>
        <item x="161"/>
        <item x="92"/>
        <item x="75"/>
        <item x="114"/>
        <item x="255"/>
        <item x="197"/>
        <item x="256"/>
        <item x="62"/>
        <item x="154"/>
        <item x="159"/>
        <item x="238"/>
        <item x="195"/>
        <item x="341"/>
        <item x="254"/>
        <item x="324"/>
        <item x="236"/>
        <item x="360"/>
        <item x="336"/>
        <item x="25"/>
        <item x="279"/>
        <item x="359"/>
        <item x="105"/>
        <item x="345"/>
        <item x="277"/>
        <item x="215"/>
        <item x="231"/>
        <item x="235"/>
        <item x="361"/>
        <item x="125"/>
        <item x="144"/>
        <item x="350"/>
        <item x="362"/>
        <item x="157"/>
        <item x="225"/>
        <item x="209"/>
        <item x="357"/>
        <item x="122"/>
        <item x="141"/>
        <item x="323"/>
        <item x="264"/>
        <item x="64"/>
        <item x="168"/>
        <item x="288"/>
        <item x="307"/>
        <item x="174"/>
        <item x="325"/>
        <item x="196"/>
        <item x="339"/>
        <item x="237"/>
        <item x="358"/>
        <item x="98"/>
        <item x="63"/>
        <item x="81"/>
        <item x="158"/>
        <item x="61"/>
        <item x="233"/>
        <item x="89"/>
        <item x="72"/>
        <item x="321"/>
        <item x="108"/>
        <item x="59"/>
        <item x="97"/>
        <item x="80"/>
        <item x="289"/>
        <item x="308"/>
        <item x="337"/>
        <item x="263"/>
        <item x="273"/>
        <item x="276"/>
        <item x="272"/>
        <item x="275"/>
        <item x="344"/>
        <item x="297"/>
        <item x="131"/>
        <item x="316"/>
        <item x="150"/>
        <item x="251"/>
        <item x="244"/>
        <item x="290"/>
        <item x="309"/>
        <item x="347"/>
        <item x="22"/>
        <item x="343"/>
        <item x="224"/>
        <item x="319"/>
        <item x="106"/>
        <item x="208"/>
        <item x="60"/>
        <item x="349"/>
        <item x="34"/>
        <item x="322"/>
        <item x="306"/>
        <item x="287"/>
        <item x="315"/>
        <item x="296"/>
        <item x="262"/>
        <item x="352"/>
        <item x="88"/>
        <item x="71"/>
        <item x="348"/>
        <item x="124"/>
        <item x="143"/>
        <item x="123"/>
        <item x="142"/>
        <item x="24"/>
        <item x="267"/>
        <item x="207"/>
        <item x="223"/>
        <item x="21"/>
        <item x="234"/>
        <item x="132"/>
        <item x="151"/>
        <item x="271"/>
        <item x="165"/>
        <item x="274"/>
        <item x="338"/>
        <item x="130"/>
        <item x="149"/>
        <item x="29"/>
        <item x="91"/>
        <item x="74"/>
        <item x="205"/>
        <item x="221"/>
        <item x="167"/>
        <item x="173"/>
        <item x="28"/>
        <item x="317"/>
        <item x="298"/>
        <item x="261"/>
        <item x="170"/>
        <item x="33"/>
        <item x="232"/>
        <item x="353"/>
        <item x="206"/>
        <item x="222"/>
        <item x="183"/>
        <item x="214"/>
        <item x="230"/>
        <item x="152"/>
        <item x="346"/>
        <item x="190"/>
        <item x="6"/>
        <item x="133"/>
        <item x="166"/>
        <item x="260"/>
        <item x="103"/>
        <item x="269"/>
        <item x="266"/>
        <item x="155"/>
        <item x="355"/>
        <item x="23"/>
        <item x="295"/>
        <item x="314"/>
        <item x="320"/>
        <item x="171"/>
        <item x="50"/>
        <item x="265"/>
        <item x="56"/>
        <item x="246"/>
        <item x="253"/>
        <item x="351"/>
        <item x="340"/>
        <item x="73"/>
        <item x="90"/>
        <item x="186"/>
        <item x="192"/>
        <item x="252"/>
        <item x="245"/>
        <item x="30"/>
        <item x="70"/>
        <item x="87"/>
        <item x="354"/>
        <item x="329"/>
        <item x="334"/>
        <item x="7"/>
        <item x="140"/>
        <item x="121"/>
        <item x="305"/>
        <item x="286"/>
        <item x="335"/>
        <item x="330"/>
        <item x="32"/>
        <item x="153"/>
        <item x="107"/>
        <item x="356"/>
        <item x="212"/>
        <item x="228"/>
        <item x="120"/>
        <item x="268"/>
        <item x="229"/>
        <item x="213"/>
        <item x="139"/>
        <item x="172"/>
        <item x="51"/>
        <item x="101"/>
        <item x="57"/>
        <item x="110"/>
        <item x="188"/>
        <item x="194"/>
        <item x="318"/>
        <item x="109"/>
        <item x="111"/>
        <item x="42"/>
        <item x="342"/>
        <item x="117"/>
        <item x="204"/>
        <item x="220"/>
        <item x="79"/>
        <item x="136"/>
        <item x="96"/>
        <item x="178"/>
        <item x="102"/>
        <item x="46"/>
        <item x="181"/>
        <item x="38"/>
        <item x="241"/>
        <item x="179"/>
        <item x="248"/>
        <item x="177"/>
        <item x="44"/>
        <item x="180"/>
        <item x="176"/>
        <item x="37"/>
        <item x="39"/>
        <item x="45"/>
        <item x="43"/>
        <item x="41"/>
        <item x="1"/>
        <item x="162"/>
        <item x="49"/>
        <item x="55"/>
        <item x="184"/>
        <item x="191"/>
        <item x="104"/>
        <item x="100"/>
        <item x="127"/>
        <item x="146"/>
        <item x="99"/>
        <item x="185"/>
        <item x="112"/>
        <item x="113"/>
        <item x="2"/>
        <item x="203"/>
        <item x="283"/>
        <item x="302"/>
        <item x="119"/>
        <item x="243"/>
        <item x="118"/>
        <item x="250"/>
        <item x="138"/>
        <item x="137"/>
        <item x="327"/>
        <item x="332"/>
        <item x="242"/>
        <item x="48"/>
        <item x="249"/>
        <item x="54"/>
        <item x="5"/>
        <item x="187"/>
        <item x="328"/>
        <item x="193"/>
        <item x="333"/>
        <item x="128"/>
        <item x="147"/>
        <item x="202"/>
        <item x="219"/>
        <item x="126"/>
        <item x="52"/>
        <item x="145"/>
        <item x="58"/>
        <item x="182"/>
        <item x="189"/>
        <item x="4"/>
        <item x="284"/>
        <item x="303"/>
        <item x="200"/>
        <item x="217"/>
        <item x="293"/>
        <item x="312"/>
        <item x="129"/>
        <item x="148"/>
        <item x="285"/>
        <item x="78"/>
        <item x="201"/>
        <item x="304"/>
        <item x="218"/>
        <item x="95"/>
        <item x="0"/>
        <item x="47"/>
        <item x="211"/>
        <item x="53"/>
        <item x="227"/>
        <item x="67"/>
        <item x="84"/>
        <item x="326"/>
        <item x="77"/>
        <item x="10"/>
        <item x="94"/>
        <item x="331"/>
        <item x="282"/>
        <item x="301"/>
        <item x="292"/>
        <item x="311"/>
        <item x="240"/>
        <item x="247"/>
        <item x="116"/>
        <item x="12"/>
        <item x="135"/>
        <item x="9"/>
        <item x="14"/>
        <item x="66"/>
        <item x="210"/>
        <item x="83"/>
        <item x="226"/>
        <item x="163"/>
        <item x="294"/>
        <item x="313"/>
        <item x="18"/>
        <item x="259"/>
        <item x="115"/>
        <item x="69"/>
        <item x="20"/>
        <item x="134"/>
        <item x="86"/>
        <item x="291"/>
        <item x="310"/>
        <item x="11"/>
        <item x="199"/>
        <item x="216"/>
        <item x="17"/>
        <item x="36"/>
        <item x="281"/>
        <item x="35"/>
        <item x="300"/>
        <item x="175"/>
        <item x="26"/>
        <item x="13"/>
        <item x="68"/>
        <item x="85"/>
        <item x="270"/>
        <item x="169"/>
        <item x="164"/>
        <item x="31"/>
        <item x="27"/>
        <item x="16"/>
        <item x="15"/>
        <item x="258"/>
        <item x="19"/>
        <item x="280"/>
        <item x="299"/>
        <item x="8"/>
        <item x="76"/>
        <item x="93"/>
        <item x="65"/>
        <item x="82"/>
        <item x="40"/>
        <item x="239"/>
        <item t="default"/>
      </items>
    </pivotField>
    <pivotField dataField="1" compact="0" outline="0" multipleItemSelectionAllowed="1" showAll="0">
      <items count="375">
        <item x="1"/>
        <item x="194"/>
        <item x="60"/>
        <item x="154"/>
        <item x="256"/>
        <item x="158"/>
        <item x="159"/>
        <item x="274"/>
        <item x="254"/>
        <item x="90"/>
        <item x="73"/>
        <item x="192"/>
        <item x="61"/>
        <item x="62"/>
        <item x="255"/>
        <item x="152"/>
        <item x="157"/>
        <item x="237"/>
        <item x="253"/>
        <item x="350"/>
        <item x="320"/>
        <item x="351"/>
        <item x="58"/>
        <item x="332"/>
        <item x="341"/>
        <item x="360"/>
        <item x="370"/>
        <item x="349"/>
        <item x="223"/>
        <item x="206"/>
        <item x="355"/>
        <item x="59"/>
        <item x="317"/>
        <item x="193"/>
        <item x="57"/>
        <item x="348"/>
        <item x="234"/>
        <item x="103"/>
        <item x="371"/>
        <item x="123"/>
        <item x="142"/>
        <item x="373"/>
        <item x="155"/>
        <item x="165"/>
        <item x="120"/>
        <item x="139"/>
        <item x="263"/>
        <item x="319"/>
        <item x="195"/>
        <item x="283"/>
        <item x="302"/>
        <item x="212"/>
        <item x="229"/>
        <item x="321"/>
        <item x="372"/>
        <item x="22"/>
        <item x="230"/>
        <item x="213"/>
        <item x="235"/>
        <item x="368"/>
        <item x="156"/>
        <item x="344"/>
        <item x="337"/>
        <item x="236"/>
        <item x="222"/>
        <item x="191"/>
        <item x="205"/>
        <item x="96"/>
        <item x="79"/>
        <item x="316"/>
        <item x="108"/>
        <item x="346"/>
        <item x="284"/>
        <item x="303"/>
        <item x="262"/>
        <item x="333"/>
        <item x="95"/>
        <item x="78"/>
        <item x="232"/>
        <item x="369"/>
        <item x="87"/>
        <item x="70"/>
        <item x="129"/>
        <item x="148"/>
        <item x="250"/>
        <item x="243"/>
        <item x="358"/>
        <item x="285"/>
        <item x="304"/>
        <item x="292"/>
        <item x="311"/>
        <item x="342"/>
        <item x="110"/>
        <item x="49"/>
        <item x="48"/>
        <item x="33"/>
        <item x="314"/>
        <item x="104"/>
        <item x="335"/>
        <item x="301"/>
        <item x="282"/>
        <item x="318"/>
        <item x="261"/>
        <item x="353"/>
        <item x="310"/>
        <item x="367"/>
        <item x="291"/>
        <item x="20"/>
        <item x="86"/>
        <item x="69"/>
        <item x="362"/>
        <item x="345"/>
        <item x="122"/>
        <item x="141"/>
        <item x="121"/>
        <item x="140"/>
        <item x="359"/>
        <item x="19"/>
        <item x="334"/>
        <item x="347"/>
        <item x="203"/>
        <item x="220"/>
        <item x="211"/>
        <item x="228"/>
        <item x="130"/>
        <item x="149"/>
        <item x="357"/>
        <item x="164"/>
        <item x="128"/>
        <item x="147"/>
        <item x="89"/>
        <item x="72"/>
        <item x="354"/>
        <item x="343"/>
        <item x="233"/>
        <item x="26"/>
        <item x="260"/>
        <item x="312"/>
        <item x="293"/>
        <item x="51"/>
        <item x="204"/>
        <item x="221"/>
        <item x="166"/>
        <item x="50"/>
        <item x="25"/>
        <item x="55"/>
        <item x="150"/>
        <item x="6"/>
        <item x="131"/>
        <item x="202"/>
        <item x="219"/>
        <item x="167"/>
        <item x="101"/>
        <item x="339"/>
        <item x="266"/>
        <item x="259"/>
        <item x="21"/>
        <item x="365"/>
        <item x="153"/>
        <item x="32"/>
        <item x="290"/>
        <item x="309"/>
        <item x="336"/>
        <item x="231"/>
        <item x="315"/>
        <item x="180"/>
        <item x="27"/>
        <item x="245"/>
        <item x="188"/>
        <item x="252"/>
        <item x="71"/>
        <item x="88"/>
        <item x="265"/>
        <item x="272"/>
        <item x="273"/>
        <item x="366"/>
        <item x="251"/>
        <item x="244"/>
        <item x="361"/>
        <item x="31"/>
        <item x="325"/>
        <item x="330"/>
        <item x="363"/>
        <item x="105"/>
        <item x="138"/>
        <item x="119"/>
        <item x="300"/>
        <item x="281"/>
        <item x="331"/>
        <item x="326"/>
        <item x="340"/>
        <item x="177"/>
        <item x="151"/>
        <item x="185"/>
        <item x="107"/>
        <item x="364"/>
        <item x="356"/>
        <item x="68"/>
        <item x="210"/>
        <item x="227"/>
        <item x="169"/>
        <item x="85"/>
        <item x="118"/>
        <item x="267"/>
        <item x="338"/>
        <item x="137"/>
        <item x="7"/>
        <item x="99"/>
        <item x="109"/>
        <item x="313"/>
        <item x="37"/>
        <item x="112"/>
        <item x="77"/>
        <item x="94"/>
        <item x="115"/>
        <item x="201"/>
        <item x="52"/>
        <item x="218"/>
        <item x="134"/>
        <item x="56"/>
        <item x="172"/>
        <item x="111"/>
        <item x="100"/>
        <item x="39"/>
        <item x="240"/>
        <item x="247"/>
        <item x="270"/>
        <item x="45"/>
        <item x="36"/>
        <item x="40"/>
        <item x="42"/>
        <item x="173"/>
        <item x="43"/>
        <item x="171"/>
        <item x="35"/>
        <item x="271"/>
        <item x="44"/>
        <item x="269"/>
        <item x="174"/>
        <item x="41"/>
        <item x="3"/>
        <item x="181"/>
        <item x="160"/>
        <item x="189"/>
        <item x="47"/>
        <item x="54"/>
        <item x="352"/>
        <item x="46"/>
        <item x="53"/>
        <item x="102"/>
        <item x="209"/>
        <item x="226"/>
        <item x="98"/>
        <item x="125"/>
        <item x="144"/>
        <item x="182"/>
        <item x="190"/>
        <item x="97"/>
        <item x="2"/>
        <item x="200"/>
        <item x="278"/>
        <item x="297"/>
        <item x="117"/>
        <item x="242"/>
        <item x="116"/>
        <item x="249"/>
        <item x="136"/>
        <item x="135"/>
        <item x="323"/>
        <item x="328"/>
        <item x="241"/>
        <item x="248"/>
        <item x="4"/>
        <item x="324"/>
        <item x="329"/>
        <item x="126"/>
        <item x="178"/>
        <item x="145"/>
        <item x="186"/>
        <item x="124"/>
        <item x="143"/>
        <item x="176"/>
        <item x="184"/>
        <item x="5"/>
        <item x="279"/>
        <item x="298"/>
        <item x="179"/>
        <item x="187"/>
        <item x="127"/>
        <item x="146"/>
        <item x="280"/>
        <item x="299"/>
        <item x="288"/>
        <item x="307"/>
        <item x="0"/>
        <item x="198"/>
        <item x="216"/>
        <item x="208"/>
        <item x="225"/>
        <item x="76"/>
        <item x="93"/>
        <item x="322"/>
        <item x="162"/>
        <item x="327"/>
        <item x="277"/>
        <item x="296"/>
        <item x="287"/>
        <item x="75"/>
        <item x="306"/>
        <item x="92"/>
        <item x="239"/>
        <item x="246"/>
        <item x="65"/>
        <item x="199"/>
        <item x="82"/>
        <item x="217"/>
        <item x="114"/>
        <item x="18"/>
        <item x="133"/>
        <item x="175"/>
        <item x="183"/>
        <item x="197"/>
        <item x="215"/>
        <item x="9"/>
        <item x="23"/>
        <item x="64"/>
        <item x="81"/>
        <item x="13"/>
        <item x="289"/>
        <item x="308"/>
        <item x="15"/>
        <item x="12"/>
        <item x="30"/>
        <item x="113"/>
        <item x="67"/>
        <item x="207"/>
        <item x="132"/>
        <item x="84"/>
        <item x="224"/>
        <item x="286"/>
        <item x="305"/>
        <item x="10"/>
        <item x="29"/>
        <item x="16"/>
        <item x="168"/>
        <item x="276"/>
        <item x="295"/>
        <item x="163"/>
        <item x="34"/>
        <item x="11"/>
        <item x="66"/>
        <item x="196"/>
        <item x="83"/>
        <item x="214"/>
        <item x="170"/>
        <item x="268"/>
        <item x="264"/>
        <item x="257"/>
        <item x="28"/>
        <item x="258"/>
        <item x="275"/>
        <item x="24"/>
        <item x="294"/>
        <item x="14"/>
        <item x="161"/>
        <item x="17"/>
        <item x="74"/>
        <item x="91"/>
        <item x="8"/>
        <item x="63"/>
        <item x="80"/>
        <item x="38"/>
        <item x="238"/>
        <item x="106"/>
        <item t="default"/>
      </items>
    </pivotField>
    <pivotField dataField="1" compact="0" outline="0" multipleItemSelectionAllowed="1" showAll="0">
      <items count="381">
        <item x="1"/>
        <item x="287"/>
        <item x="201"/>
        <item x="145"/>
        <item x="265"/>
        <item x="198"/>
        <item x="355"/>
        <item x="150"/>
        <item x="200"/>
        <item x="263"/>
        <item x="196"/>
        <item x="77"/>
        <item x="60"/>
        <item x="264"/>
        <item x="148"/>
        <item x="48"/>
        <item x="262"/>
        <item x="333"/>
        <item x="377"/>
        <item x="246"/>
        <item x="345"/>
        <item x="364"/>
        <item x="231"/>
        <item x="212"/>
        <item x="113"/>
        <item x="133"/>
        <item x="375"/>
        <item x="359"/>
        <item x="110"/>
        <item x="130"/>
        <item x="49"/>
        <item x="330"/>
        <item x="354"/>
        <item x="90"/>
        <item x="165"/>
        <item x="379"/>
        <item x="243"/>
        <item x="146"/>
        <item x="376"/>
        <item x="270"/>
        <item x="286"/>
        <item x="47"/>
        <item x="332"/>
        <item x="239"/>
        <item x="220"/>
        <item x="19"/>
        <item x="334"/>
        <item x="378"/>
        <item x="119"/>
        <item x="139"/>
        <item x="44"/>
        <item x="199"/>
        <item x="164"/>
        <item x="296"/>
        <item x="315"/>
        <item x="147"/>
        <item x="101"/>
        <item x="93"/>
        <item x="245"/>
        <item x="373"/>
        <item x="149"/>
        <item x="269"/>
        <item x="329"/>
        <item x="297"/>
        <item x="316"/>
        <item x="83"/>
        <item x="66"/>
        <item x="143"/>
        <item x="346"/>
        <item x="82"/>
        <item x="65"/>
        <item x="374"/>
        <item x="96"/>
        <item x="112"/>
        <item x="132"/>
        <item x="111"/>
        <item x="131"/>
        <item x="241"/>
        <item x="362"/>
        <item x="74"/>
        <item x="298"/>
        <item x="259"/>
        <item x="57"/>
        <item x="317"/>
        <item x="172"/>
        <item x="252"/>
        <item x="305"/>
        <item x="324"/>
        <item x="29"/>
        <item x="327"/>
        <item x="120"/>
        <item x="140"/>
        <item x="281"/>
        <item x="284"/>
        <item x="91"/>
        <item x="219"/>
        <item x="238"/>
        <item x="230"/>
        <item x="211"/>
        <item x="372"/>
        <item x="314"/>
        <item x="295"/>
        <item x="331"/>
        <item x="323"/>
        <item x="304"/>
        <item x="357"/>
        <item x="244"/>
        <item x="73"/>
        <item x="56"/>
        <item x="209"/>
        <item x="228"/>
        <item x="17"/>
        <item x="363"/>
        <item x="366"/>
        <item x="268"/>
        <item x="141"/>
        <item x="121"/>
        <item x="218"/>
        <item x="237"/>
        <item x="197"/>
        <item x="369"/>
        <item x="161"/>
        <item x="274"/>
        <item x="95"/>
        <item x="162"/>
        <item x="76"/>
        <item x="59"/>
        <item x="171"/>
        <item x="358"/>
        <item x="348"/>
        <item x="167"/>
        <item x="325"/>
        <item x="306"/>
        <item x="361"/>
        <item x="267"/>
        <item x="210"/>
        <item x="22"/>
        <item x="229"/>
        <item x="195"/>
        <item x="128"/>
        <item x="108"/>
        <item x="168"/>
        <item x="208"/>
        <item x="227"/>
        <item x="153"/>
        <item x="266"/>
        <item x="18"/>
        <item x="109"/>
        <item x="273"/>
        <item x="129"/>
        <item x="370"/>
        <item x="163"/>
        <item x="144"/>
        <item x="28"/>
        <item x="272"/>
        <item x="88"/>
        <item x="169"/>
        <item x="23"/>
        <item x="43"/>
        <item x="303"/>
        <item x="46"/>
        <item x="322"/>
        <item x="350"/>
        <item x="58"/>
        <item x="254"/>
        <item x="261"/>
        <item x="75"/>
        <item x="365"/>
        <item x="260"/>
        <item x="253"/>
        <item x="328"/>
        <item x="371"/>
        <item x="27"/>
        <item x="338"/>
        <item x="343"/>
        <item x="42"/>
        <item x="45"/>
        <item x="242"/>
        <item x="313"/>
        <item x="294"/>
        <item x="367"/>
        <item x="3"/>
        <item x="344"/>
        <item x="339"/>
        <item x="118"/>
        <item x="138"/>
        <item x="142"/>
        <item x="217"/>
        <item x="236"/>
        <item x="349"/>
        <item x="98"/>
        <item x="360"/>
        <item x="55"/>
        <item x="170"/>
        <item x="275"/>
        <item x="72"/>
        <item x="107"/>
        <item x="94"/>
        <item x="368"/>
        <item x="127"/>
        <item x="152"/>
        <item x="86"/>
        <item x="240"/>
        <item x="34"/>
        <item x="64"/>
        <item x="81"/>
        <item x="326"/>
        <item x="104"/>
        <item x="207"/>
        <item x="226"/>
        <item x="124"/>
        <item x="175"/>
        <item x="41"/>
        <item x="87"/>
        <item x="249"/>
        <item x="186"/>
        <item x="278"/>
        <item x="256"/>
        <item x="193"/>
        <item x="279"/>
        <item x="180"/>
        <item x="33"/>
        <item x="352"/>
        <item x="277"/>
        <item x="37"/>
        <item x="176"/>
        <item x="36"/>
        <item x="179"/>
        <item x="353"/>
        <item x="177"/>
        <item x="178"/>
        <item x="40"/>
        <item x="174"/>
        <item x="39"/>
        <item x="351"/>
        <item x="32"/>
        <item x="38"/>
        <item x="0"/>
        <item x="151"/>
        <item x="282"/>
        <item x="285"/>
        <item x="280"/>
        <item x="283"/>
        <item x="356"/>
        <item x="89"/>
        <item x="85"/>
        <item x="115"/>
        <item x="135"/>
        <item x="216"/>
        <item x="235"/>
        <item x="182"/>
        <item x="84"/>
        <item x="189"/>
        <item x="2"/>
        <item x="183"/>
        <item x="190"/>
        <item x="185"/>
        <item x="192"/>
        <item x="184"/>
        <item x="191"/>
        <item x="106"/>
        <item x="251"/>
        <item x="105"/>
        <item x="258"/>
        <item x="126"/>
        <item x="125"/>
        <item x="336"/>
        <item x="341"/>
        <item x="250"/>
        <item x="257"/>
        <item x="16"/>
        <item x="337"/>
        <item x="342"/>
        <item x="187"/>
        <item x="194"/>
        <item x="116"/>
        <item x="136"/>
        <item x="291"/>
        <item x="310"/>
        <item x="8"/>
        <item x="292"/>
        <item x="311"/>
        <item x="117"/>
        <item x="137"/>
        <item x="293"/>
        <item x="215"/>
        <item x="312"/>
        <item x="301"/>
        <item x="206"/>
        <item x="234"/>
        <item x="225"/>
        <item x="320"/>
        <item x="26"/>
        <item x="204"/>
        <item x="223"/>
        <item x="335"/>
        <item x="14"/>
        <item x="63"/>
        <item x="340"/>
        <item x="80"/>
        <item x="290"/>
        <item x="309"/>
        <item x="62"/>
        <item x="214"/>
        <item x="300"/>
        <item x="79"/>
        <item x="233"/>
        <item x="248"/>
        <item x="319"/>
        <item x="255"/>
        <item x="181"/>
        <item x="188"/>
        <item x="103"/>
        <item x="97"/>
        <item x="52"/>
        <item x="123"/>
        <item x="69"/>
        <item x="99"/>
        <item x="5"/>
        <item x="100"/>
        <item x="205"/>
        <item x="224"/>
        <item x="6"/>
        <item x="203"/>
        <item x="51"/>
        <item x="222"/>
        <item x="68"/>
        <item x="20"/>
        <item x="302"/>
        <item x="321"/>
        <item x="11"/>
        <item x="114"/>
        <item x="134"/>
        <item x="10"/>
        <item x="158"/>
        <item x="25"/>
        <item x="54"/>
        <item x="71"/>
        <item x="7"/>
        <item x="299"/>
        <item x="318"/>
        <item x="160"/>
        <item x="213"/>
        <item x="232"/>
        <item x="13"/>
        <item x="155"/>
        <item x="289"/>
        <item x="308"/>
        <item x="347"/>
        <item x="31"/>
        <item x="9"/>
        <item x="102"/>
        <item x="30"/>
        <item x="122"/>
        <item x="53"/>
        <item x="156"/>
        <item x="70"/>
        <item x="159"/>
        <item x="276"/>
        <item x="173"/>
        <item x="202"/>
        <item x="221"/>
        <item x="271"/>
        <item x="24"/>
        <item x="288"/>
        <item x="21"/>
        <item x="307"/>
        <item x="12"/>
        <item x="166"/>
        <item x="61"/>
        <item x="15"/>
        <item x="78"/>
        <item x="157"/>
        <item x="4"/>
        <item x="154"/>
        <item x="50"/>
        <item x="67"/>
        <item x="35"/>
        <item x="247"/>
        <item x="92"/>
        <item t="default"/>
      </items>
    </pivotField>
    <pivotField dataField="1" compact="0" outline="0" multipleItemSelectionAllowed="1" showAll="0">
      <items count="404">
        <item x="3"/>
        <item x="253"/>
        <item x="308"/>
        <item x="162"/>
        <item x="282"/>
        <item x="94"/>
        <item x="76"/>
        <item x="167"/>
        <item x="280"/>
        <item x="87"/>
        <item x="69"/>
        <item x="205"/>
        <item x="281"/>
        <item x="165"/>
        <item x="195"/>
        <item x="378"/>
        <item x="207"/>
        <item x="279"/>
        <item x="237"/>
        <item x="218"/>
        <item x="354"/>
        <item x="400"/>
        <item x="387"/>
        <item x="252"/>
        <item x="366"/>
        <item x="129"/>
        <item x="150"/>
        <item x="398"/>
        <item x="307"/>
        <item x="56"/>
        <item x="382"/>
        <item x="126"/>
        <item x="147"/>
        <item x="306"/>
        <item x="351"/>
        <item x="58"/>
        <item x="376"/>
        <item x="370"/>
        <item x="101"/>
        <item x="402"/>
        <item x="287"/>
        <item x="163"/>
        <item x="245"/>
        <item x="226"/>
        <item x="399"/>
        <item x="353"/>
        <item x="206"/>
        <item x="177"/>
        <item x="377"/>
        <item x="249"/>
        <item x="22"/>
        <item x="355"/>
        <item x="204"/>
        <item x="135"/>
        <item x="156"/>
        <item x="374"/>
        <item x="301"/>
        <item x="401"/>
        <item x="105"/>
        <item x="164"/>
        <item x="396"/>
        <item x="336"/>
        <item x="317"/>
        <item x="272"/>
        <item x="261"/>
        <item x="176"/>
        <item x="166"/>
        <item x="375"/>
        <item x="318"/>
        <item x="337"/>
        <item x="350"/>
        <item x="112"/>
        <item x="251"/>
        <item x="92"/>
        <item x="74"/>
        <item x="160"/>
        <item x="93"/>
        <item x="75"/>
        <item x="367"/>
        <item x="286"/>
        <item x="128"/>
        <item x="149"/>
        <item x="110"/>
        <item x="319"/>
        <item x="338"/>
        <item x="225"/>
        <item x="244"/>
        <item x="326"/>
        <item x="345"/>
        <item x="84"/>
        <item x="66"/>
        <item x="148"/>
        <item x="127"/>
        <item x="397"/>
        <item x="247"/>
        <item x="215"/>
        <item x="234"/>
        <item x="115"/>
        <item x="116"/>
        <item x="385"/>
        <item x="348"/>
        <item x="395"/>
        <item x="157"/>
        <item x="136"/>
        <item x="102"/>
        <item x="283"/>
        <item x="344"/>
        <item x="325"/>
        <item x="352"/>
        <item x="372"/>
        <item x="250"/>
        <item x="335"/>
        <item x="316"/>
        <item x="243"/>
        <item x="224"/>
        <item x="386"/>
        <item x="32"/>
        <item x="106"/>
        <item x="389"/>
        <item x="83"/>
        <item x="65"/>
        <item x="57"/>
        <item x="21"/>
        <item x="158"/>
        <item x="137"/>
        <item x="285"/>
        <item x="380"/>
        <item x="369"/>
        <item x="111"/>
        <item x="392"/>
        <item x="174"/>
        <item x="236"/>
        <item x="217"/>
        <item x="109"/>
        <item x="86"/>
        <item x="68"/>
        <item x="184"/>
        <item x="368"/>
        <item x="381"/>
        <item x="216"/>
        <item x="235"/>
        <item x="55"/>
        <item x="346"/>
        <item x="327"/>
        <item x="384"/>
        <item x="180"/>
        <item x="51"/>
        <item x="371"/>
        <item x="26"/>
        <item x="284"/>
        <item x="179"/>
        <item x="145"/>
        <item x="124"/>
        <item x="267"/>
        <item x="278"/>
        <item x="214"/>
        <item x="233"/>
        <item x="5"/>
        <item x="50"/>
        <item x="273"/>
        <item x="262"/>
        <item x="54"/>
        <item x="31"/>
        <item x="125"/>
        <item x="290"/>
        <item x="146"/>
        <item x="300"/>
        <item x="175"/>
        <item x="161"/>
        <item x="197"/>
        <item x="27"/>
        <item x="203"/>
        <item x="291"/>
        <item x="181"/>
        <item x="67"/>
        <item x="85"/>
        <item x="393"/>
        <item x="373"/>
        <item x="324"/>
        <item x="343"/>
        <item x="394"/>
        <item x="299"/>
        <item x="304"/>
        <item x="104"/>
        <item x="388"/>
        <item x="30"/>
        <item x="359"/>
        <item x="364"/>
        <item x="334"/>
        <item x="315"/>
        <item x="349"/>
        <item x="6"/>
        <item x="134"/>
        <item x="155"/>
        <item x="365"/>
        <item x="360"/>
        <item x="263"/>
        <item x="274"/>
        <item x="159"/>
        <item x="248"/>
        <item x="266"/>
        <item x="277"/>
        <item x="99"/>
        <item x="390"/>
        <item x="64"/>
        <item x="82"/>
        <item x="292"/>
        <item x="123"/>
        <item x="108"/>
        <item x="183"/>
        <item x="391"/>
        <item x="144"/>
        <item x="223"/>
        <item x="242"/>
        <item x="7"/>
        <item x="383"/>
        <item x="97"/>
        <item x="39"/>
        <item x="296"/>
        <item x="73"/>
        <item x="91"/>
        <item x="297"/>
        <item x="120"/>
        <item x="141"/>
        <item x="213"/>
        <item x="246"/>
        <item x="113"/>
        <item x="232"/>
        <item x="347"/>
        <item x="302"/>
        <item x="305"/>
        <item x="98"/>
        <item x="258"/>
        <item x="42"/>
        <item x="269"/>
        <item x="114"/>
        <item x="294"/>
        <item x="47"/>
        <item x="38"/>
        <item x="298"/>
        <item x="303"/>
        <item x="187"/>
        <item x="44"/>
        <item x="45"/>
        <item x="189"/>
        <item x="37"/>
        <item x="46"/>
        <item x="43"/>
        <item x="295"/>
        <item x="41"/>
        <item x="188"/>
        <item x="186"/>
        <item x="190"/>
        <item x="2"/>
        <item x="168"/>
        <item x="193"/>
        <item x="200"/>
        <item x="379"/>
        <item x="100"/>
        <item x="49"/>
        <item x="53"/>
        <item x="96"/>
        <item x="255"/>
        <item x="131"/>
        <item x="256"/>
        <item x="152"/>
        <item x="222"/>
        <item x="241"/>
        <item x="1"/>
        <item x="48"/>
        <item x="95"/>
        <item x="52"/>
        <item x="122"/>
        <item x="265"/>
        <item x="276"/>
        <item x="143"/>
        <item x="357"/>
        <item x="192"/>
        <item x="121"/>
        <item x="362"/>
        <item x="259"/>
        <item x="199"/>
        <item x="142"/>
        <item x="270"/>
        <item x="4"/>
        <item x="358"/>
        <item x="363"/>
        <item x="132"/>
        <item x="153"/>
        <item x="312"/>
        <item x="331"/>
        <item x="0"/>
        <item x="313"/>
        <item x="194"/>
        <item x="332"/>
        <item x="201"/>
        <item x="260"/>
        <item x="271"/>
        <item x="133"/>
        <item x="264"/>
        <item x="154"/>
        <item x="275"/>
        <item x="314"/>
        <item x="221"/>
        <item x="333"/>
        <item x="322"/>
        <item x="240"/>
        <item x="341"/>
        <item x="36"/>
        <item x="210"/>
        <item x="229"/>
        <item x="356"/>
        <item x="35"/>
        <item x="361"/>
        <item x="71"/>
        <item x="72"/>
        <item x="89"/>
        <item x="321"/>
        <item x="90"/>
        <item x="340"/>
        <item x="311"/>
        <item x="220"/>
        <item x="330"/>
        <item x="239"/>
        <item x="118"/>
        <item x="19"/>
        <item x="139"/>
        <item x="61"/>
        <item x="79"/>
        <item x="196"/>
        <item x="119"/>
        <item x="202"/>
        <item x="107"/>
        <item x="140"/>
        <item x="257"/>
        <item x="191"/>
        <item x="268"/>
        <item x="198"/>
        <item x="11"/>
        <item x="212"/>
        <item x="231"/>
        <item x="211"/>
        <item x="9"/>
        <item x="230"/>
        <item x="323"/>
        <item x="342"/>
        <item x="14"/>
        <item x="60"/>
        <item x="130"/>
        <item x="78"/>
        <item x="151"/>
        <item x="25"/>
        <item x="209"/>
        <item x="228"/>
        <item x="13"/>
        <item x="29"/>
        <item x="63"/>
        <item x="81"/>
        <item x="10"/>
        <item x="18"/>
        <item x="320"/>
        <item x="339"/>
        <item x="173"/>
        <item x="28"/>
        <item x="310"/>
        <item x="329"/>
        <item x="17"/>
        <item x="34"/>
        <item x="288"/>
        <item x="117"/>
        <item x="23"/>
        <item x="138"/>
        <item x="62"/>
        <item x="12"/>
        <item x="80"/>
        <item x="178"/>
        <item x="219"/>
        <item x="238"/>
        <item x="33"/>
        <item x="170"/>
        <item x="182"/>
        <item x="172"/>
        <item x="293"/>
        <item x="185"/>
        <item x="289"/>
        <item x="208"/>
        <item x="309"/>
        <item x="227"/>
        <item x="328"/>
        <item x="24"/>
        <item x="15"/>
        <item x="16"/>
        <item x="70"/>
        <item x="88"/>
        <item x="20"/>
        <item x="171"/>
        <item x="8"/>
        <item x="169"/>
        <item x="59"/>
        <item x="77"/>
        <item x="40"/>
        <item x="254"/>
        <item x="103"/>
        <item t="default"/>
      </items>
    </pivotField>
    <pivotField dataField="1" compact="0" outline="0" multipleItemSelectionAllowed="1" showAll="0">
      <items count="413">
        <item x="385"/>
        <item x="403"/>
        <item x="1"/>
        <item x="204"/>
        <item x="251"/>
        <item x="165"/>
        <item x="278"/>
        <item x="93"/>
        <item x="74"/>
        <item x="54"/>
        <item x="170"/>
        <item x="314"/>
        <item x="276"/>
        <item x="85"/>
        <item x="65"/>
        <item x="366"/>
        <item x="277"/>
        <item x="168"/>
        <item x="86"/>
        <item x="66"/>
        <item x="311"/>
        <item x="275"/>
        <item x="285"/>
        <item x="24"/>
        <item x="235"/>
        <item x="409"/>
        <item x="216"/>
        <item x="119"/>
        <item x="132"/>
        <item x="153"/>
        <item x="312"/>
        <item x="395"/>
        <item x="313"/>
        <item x="250"/>
        <item x="379"/>
        <item x="386"/>
        <item x="205"/>
        <item x="407"/>
        <item x="129"/>
        <item x="150"/>
        <item x="326"/>
        <item x="346"/>
        <item x="390"/>
        <item x="99"/>
        <item x="362"/>
        <item x="377"/>
        <item x="381"/>
        <item x="243"/>
        <item x="224"/>
        <item x="359"/>
        <item x="411"/>
        <item x="166"/>
        <item x="203"/>
        <item x="408"/>
        <item x="101"/>
        <item x="361"/>
        <item x="310"/>
        <item x="53"/>
        <item x="23"/>
        <item x="247"/>
        <item x="138"/>
        <item x="159"/>
        <item x="52"/>
        <item x="383"/>
        <item x="363"/>
        <item x="181"/>
        <item x="202"/>
        <item x="291"/>
        <item x="284"/>
        <item x="106"/>
        <item x="410"/>
        <item x="180"/>
        <item x="344"/>
        <item x="324"/>
        <item x="167"/>
        <item x="112"/>
        <item x="343"/>
        <item x="283"/>
        <item x="405"/>
        <item x="323"/>
        <item x="268"/>
        <item x="257"/>
        <item x="131"/>
        <item x="152"/>
        <item x="92"/>
        <item x="73"/>
        <item x="109"/>
        <item x="249"/>
        <item x="378"/>
        <item x="193"/>
        <item x="325"/>
        <item x="345"/>
        <item x="333"/>
        <item x="353"/>
        <item x="187"/>
        <item x="169"/>
        <item x="91"/>
        <item x="72"/>
        <item x="160"/>
        <item x="139"/>
        <item x="358"/>
        <item x="163"/>
        <item x="245"/>
        <item x="393"/>
        <item x="342"/>
        <item x="322"/>
        <item x="404"/>
        <item x="213"/>
        <item x="232"/>
        <item x="102"/>
        <item x="406"/>
        <item x="82"/>
        <item x="62"/>
        <item x="356"/>
        <item x="241"/>
        <item x="222"/>
        <item x="360"/>
        <item x="223"/>
        <item x="242"/>
        <item x="161"/>
        <item x="140"/>
        <item x="397"/>
        <item x="394"/>
        <item x="22"/>
        <item x="29"/>
        <item x="81"/>
        <item x="61"/>
        <item x="111"/>
        <item x="248"/>
        <item x="282"/>
        <item x="20"/>
        <item x="352"/>
        <item x="332"/>
        <item x="388"/>
        <item x="51"/>
        <item x="234"/>
        <item x="215"/>
        <item x="178"/>
        <item x="400"/>
        <item x="288"/>
        <item x="84"/>
        <item x="64"/>
        <item x="380"/>
        <item x="107"/>
        <item x="392"/>
        <item x="389"/>
        <item x="281"/>
        <item x="148"/>
        <item x="127"/>
        <item x="354"/>
        <item x="334"/>
        <item x="130"/>
        <item x="151"/>
        <item x="183"/>
        <item x="214"/>
        <item x="233"/>
        <item x="190"/>
        <item x="186"/>
        <item x="197"/>
        <item x="70"/>
        <item x="128"/>
        <item x="149"/>
        <item x="26"/>
        <item x="21"/>
        <item x="212"/>
        <item x="231"/>
        <item x="182"/>
        <item x="280"/>
        <item x="263"/>
        <item x="274"/>
        <item x="25"/>
        <item x="287"/>
        <item x="269"/>
        <item x="258"/>
        <item x="27"/>
        <item x="290"/>
        <item x="370"/>
        <item x="375"/>
        <item x="63"/>
        <item x="83"/>
        <item x="179"/>
        <item x="164"/>
        <item x="331"/>
        <item x="351"/>
        <item x="184"/>
        <item x="299"/>
        <item x="105"/>
        <item x="307"/>
        <item x="286"/>
        <item x="401"/>
        <item x="297"/>
        <item x="305"/>
        <item x="402"/>
        <item x="384"/>
        <item x="296"/>
        <item x="28"/>
        <item x="304"/>
        <item x="396"/>
        <item x="321"/>
        <item x="341"/>
        <item x="114"/>
        <item x="357"/>
        <item x="259"/>
        <item x="270"/>
        <item x="162"/>
        <item x="108"/>
        <item x="289"/>
        <item x="262"/>
        <item x="273"/>
        <item x="382"/>
        <item x="185"/>
        <item x="98"/>
        <item x="137"/>
        <item x="158"/>
        <item x="398"/>
        <item x="60"/>
        <item x="246"/>
        <item x="221"/>
        <item x="80"/>
        <item x="240"/>
        <item x="126"/>
        <item x="399"/>
        <item x="376"/>
        <item x="371"/>
        <item x="147"/>
        <item x="252"/>
        <item x="391"/>
        <item x="194"/>
        <item x="200"/>
        <item x="110"/>
        <item x="96"/>
        <item x="36"/>
        <item x="71"/>
        <item x="90"/>
        <item x="42"/>
        <item x="47"/>
        <item x="123"/>
        <item x="144"/>
        <item x="115"/>
        <item x="254"/>
        <item x="265"/>
        <item x="355"/>
        <item x="244"/>
        <item x="116"/>
        <item x="211"/>
        <item x="113"/>
        <item x="230"/>
        <item x="44"/>
        <item x="37"/>
        <item x="40"/>
        <item x="49"/>
        <item x="39"/>
        <item x="35"/>
        <item x="301"/>
        <item x="0"/>
        <item x="309"/>
        <item x="171"/>
        <item x="191"/>
        <item x="97"/>
        <item x="198"/>
        <item x="298"/>
        <item x="306"/>
        <item x="387"/>
        <item x="192"/>
        <item x="199"/>
        <item x="100"/>
        <item x="45"/>
        <item x="50"/>
        <item x="364"/>
        <item x="134"/>
        <item x="365"/>
        <item x="95"/>
        <item x="155"/>
        <item x="220"/>
        <item x="239"/>
        <item x="3"/>
        <item x="195"/>
        <item x="201"/>
        <item x="295"/>
        <item x="303"/>
        <item x="94"/>
        <item x="300"/>
        <item x="308"/>
        <item x="43"/>
        <item x="125"/>
        <item x="261"/>
        <item x="48"/>
        <item x="272"/>
        <item x="146"/>
        <item x="368"/>
        <item x="373"/>
        <item x="255"/>
        <item x="189"/>
        <item x="266"/>
        <item x="196"/>
        <item x="2"/>
        <item x="135"/>
        <item x="156"/>
        <item x="9"/>
        <item x="117"/>
        <item x="319"/>
        <item x="118"/>
        <item x="339"/>
        <item x="318"/>
        <item x="338"/>
        <item x="41"/>
        <item x="256"/>
        <item x="294"/>
        <item x="46"/>
        <item x="267"/>
        <item x="302"/>
        <item x="136"/>
        <item x="260"/>
        <item x="157"/>
        <item x="271"/>
        <item x="369"/>
        <item x="374"/>
        <item x="103"/>
        <item x="320"/>
        <item x="340"/>
        <item x="329"/>
        <item x="349"/>
        <item x="34"/>
        <item x="69"/>
        <item x="208"/>
        <item x="89"/>
        <item x="227"/>
        <item x="317"/>
        <item x="337"/>
        <item x="218"/>
        <item x="237"/>
        <item x="121"/>
        <item x="124"/>
        <item x="219"/>
        <item x="32"/>
        <item x="142"/>
        <item x="238"/>
        <item x="145"/>
        <item x="367"/>
        <item x="372"/>
        <item x="122"/>
        <item x="18"/>
        <item x="143"/>
        <item x="68"/>
        <item x="88"/>
        <item x="253"/>
        <item x="264"/>
        <item x="8"/>
        <item x="328"/>
        <item x="210"/>
        <item x="348"/>
        <item x="229"/>
        <item x="6"/>
        <item x="57"/>
        <item x="77"/>
        <item x="12"/>
        <item x="330"/>
        <item x="209"/>
        <item x="350"/>
        <item x="228"/>
        <item x="56"/>
        <item x="33"/>
        <item x="76"/>
        <item x="207"/>
        <item x="14"/>
        <item x="226"/>
        <item x="11"/>
        <item x="59"/>
        <item x="79"/>
        <item x="7"/>
        <item x="133"/>
        <item x="154"/>
        <item x="17"/>
        <item x="327"/>
        <item x="347"/>
        <item x="293"/>
        <item x="177"/>
        <item x="16"/>
        <item x="174"/>
        <item x="316"/>
        <item x="336"/>
        <item x="31"/>
        <item x="58"/>
        <item x="10"/>
        <item x="78"/>
        <item x="279"/>
        <item x="217"/>
        <item x="236"/>
        <item x="120"/>
        <item x="30"/>
        <item x="141"/>
        <item x="176"/>
        <item x="292"/>
        <item x="188"/>
        <item x="206"/>
        <item x="225"/>
        <item x="13"/>
        <item x="315"/>
        <item x="335"/>
        <item x="15"/>
        <item x="67"/>
        <item x="87"/>
        <item x="19"/>
        <item x="5"/>
        <item x="175"/>
        <item x="173"/>
        <item x="55"/>
        <item x="75"/>
        <item x="38"/>
        <item x="172"/>
        <item x="4"/>
        <item x="104"/>
        <item t="default"/>
      </items>
    </pivotField>
  </pivotFields>
  <rowFields count="1">
    <field x="-2"/>
  </rowFields>
  <row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rowItems>
  <colFields count="1">
    <field x="0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4">
    <pageField fld="1"/>
    <pageField fld="2"/>
    <pageField fld="3"/>
    <pageField fld="4"/>
  </pageFields>
  <dataFields count="12">
    <dataField name="2024年1月" fld="5" baseField="0" baseItem="0"/>
    <dataField name="2024年2月" fld="6" baseField="0" baseItem="0"/>
    <dataField name="2024年3月" fld="7" baseField="0" baseItem="0"/>
    <dataField name="2024年4月" fld="8" baseField="0" baseItem="0"/>
    <dataField name="2024年5月" fld="9" baseField="0" baseItem="0"/>
    <dataField name="2024年6月" fld="10" baseField="0" baseItem="0"/>
    <dataField name="2024年7月" fld="11" baseField="0" baseItem="0"/>
    <dataField name="2024年8月" fld="12" baseField="0" baseItem="0"/>
    <dataField name="2024年9月" fld="13" baseField="0" baseItem="0"/>
    <dataField name="2024年10月" fld="14" baseField="0" baseItem="0"/>
    <dataField name="2024年11月" fld="15" baseField="0" baseItem="0"/>
    <dataField name="2024年12月" fld="16" baseField="0" baseItem="0"/>
  </dataFields>
  <pivotTableStyleInfo showRowHeaders="1" showColHeaders="1" showLastColumn="1"/>
</pivotTableDefinition>
</file>

<file path=xl/pivotTables/pivotTable11.xml><?xml version="1.0" encoding="utf-8"?>
<pivotTableDefinition xmlns="http://schemas.openxmlformats.org/spreadsheetml/2006/main" name="2024统计 5" cacheId="1" dataOnRows="1" autoFormatId="1" applyNumberFormats="0" applyBorderFormats="0" applyFontFormats="0" applyPatternFormats="0" applyAlignmentFormats="0" applyWidthHeightFormats="1" dataCaption="" updatedVersion="5" compact="0" compactData="0" showDrill="1">
  <location ref="K41:R54" firstHeaderRow="1" firstDataRow="2" firstDataCol="1" rowPageCount="4" colPageCount="1"/>
  <pivotFields count="17">
    <pivotField axis="axisPage" compact="0" outline="0" multipleItemSelectionAllowed="1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Page" compact="0" outline="0" multipleItemSelectionAllowed="1" showAll="0">
      <items count="4">
        <item h="1" x="0"/>
        <item x="1"/>
        <item h="1" x="2"/>
        <item t="default"/>
      </items>
    </pivotField>
    <pivotField axis="axisPage" compact="0" outline="0" multipleItemSelectionAllowed="1" showAll="0">
      <items count="9">
        <item h="1" x="0"/>
        <item h="1" x="1"/>
        <item x="2"/>
        <item h="1" x="3"/>
        <item h="1" x="4"/>
        <item h="1" x="5"/>
        <item h="1" x="6"/>
        <item h="1" x="7"/>
        <item t="default"/>
      </items>
    </pivotField>
    <pivotField axis="axisPage" compact="0" outline="0" multipleItemSelectionAllowed="1" showAll="0">
      <items count="18">
        <item h="1" x="0"/>
        <item h="1" x="1"/>
        <item h="1" x="2"/>
        <item x="3"/>
        <item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t="default"/>
      </items>
    </pivotField>
    <pivotField axis="axisCol" compact="0" sortType="ascending" outline="0" multipleItemSelectionAllowed="1" showAll="0">
      <items count="39">
        <item x="21"/>
        <item x="24"/>
        <item x="27"/>
        <item x="12"/>
        <item x="18"/>
        <item x="33"/>
        <item x="17"/>
        <item x="4"/>
        <item x="20"/>
        <item x="3"/>
        <item x="1"/>
        <item x="8"/>
        <item x="7"/>
        <item x="15"/>
        <item x="16"/>
        <item x="5"/>
        <item x="9"/>
        <item x="31"/>
        <item x="29"/>
        <item x="30"/>
        <item x="23"/>
        <item x="26"/>
        <item x="0"/>
        <item x="14"/>
        <item x="11"/>
        <item x="10"/>
        <item x="32"/>
        <item x="6"/>
        <item x="22"/>
        <item x="25"/>
        <item x="28"/>
        <item x="13"/>
        <item x="19"/>
        <item x="34"/>
        <item x="37"/>
        <item x="35"/>
        <item x="36"/>
        <item x="2"/>
        <item t="default"/>
      </items>
    </pivotField>
    <pivotField dataField="1" compact="0" outline="0" multipleItemSelectionAllowed="1" showAll="0">
      <items count="134">
        <item x="5"/>
        <item x="117"/>
        <item x="130"/>
        <item x="125"/>
        <item x="97"/>
        <item x="96"/>
        <item x="95"/>
        <item x="94"/>
        <item x="129"/>
        <item x="93"/>
        <item x="124"/>
        <item x="105"/>
        <item x="127"/>
        <item x="100"/>
        <item x="128"/>
        <item x="92"/>
        <item x="116"/>
        <item x="115"/>
        <item x="70"/>
        <item x="43"/>
        <item x="46"/>
        <item x="53"/>
        <item x="60"/>
        <item x="45"/>
        <item x="126"/>
        <item x="57"/>
        <item x="50"/>
        <item x="51"/>
        <item x="58"/>
        <item x="12"/>
        <item x="83"/>
        <item x="89"/>
        <item x="120"/>
        <item x="15"/>
        <item x="118"/>
        <item x="49"/>
        <item x="56"/>
        <item x="19"/>
        <item x="76"/>
        <item x="44"/>
        <item x="35"/>
        <item x="41"/>
        <item x="55"/>
        <item x="48"/>
        <item x="73"/>
        <item x="71"/>
        <item x="21"/>
        <item x="18"/>
        <item x="103"/>
        <item x="98"/>
        <item x="42"/>
        <item x="20"/>
        <item x="110"/>
        <item x="113"/>
        <item x="25"/>
        <item x="13"/>
        <item x="69"/>
        <item x="47"/>
        <item x="54"/>
        <item x="23"/>
        <item x="106"/>
        <item x="101"/>
        <item x="68"/>
        <item x="16"/>
        <item x="32"/>
        <item x="26"/>
        <item x="33"/>
        <item x="39"/>
        <item x="131"/>
        <item x="22"/>
        <item x="132"/>
        <item x="102"/>
        <item x="107"/>
        <item x="27"/>
        <item x="78"/>
        <item x="77"/>
        <item x="61"/>
        <item x="31"/>
        <item x="99"/>
        <item x="104"/>
        <item x="38"/>
        <item x="17"/>
        <item x="72"/>
        <item x="74"/>
        <item x="79"/>
        <item x="52"/>
        <item x="59"/>
        <item x="119"/>
        <item x="121"/>
        <item x="63"/>
        <item x="66"/>
        <item x="122"/>
        <item x="123"/>
        <item x="30"/>
        <item x="4"/>
        <item x="81"/>
        <item x="87"/>
        <item x="29"/>
        <item x="37"/>
        <item x="84"/>
        <item x="90"/>
        <item x="1"/>
        <item x="111"/>
        <item x="114"/>
        <item x="109"/>
        <item x="112"/>
        <item x="85"/>
        <item x="91"/>
        <item x="64"/>
        <item x="67"/>
        <item x="82"/>
        <item x="88"/>
        <item x="7"/>
        <item x="34"/>
        <item x="40"/>
        <item x="62"/>
        <item x="65"/>
        <item x="3"/>
        <item x="28"/>
        <item x="36"/>
        <item x="80"/>
        <item x="86"/>
        <item x="2"/>
        <item x="11"/>
        <item x="14"/>
        <item x="10"/>
        <item x="6"/>
        <item x="8"/>
        <item x="75"/>
        <item x="9"/>
        <item x="0"/>
        <item x="24"/>
        <item x="108"/>
        <item t="default"/>
      </items>
    </pivotField>
    <pivotField dataField="1" compact="0" outline="0" multipleItemSelectionAllowed="1" showAll="0">
      <items count="202">
        <item x="1"/>
        <item x="200"/>
        <item x="158"/>
        <item x="115"/>
        <item x="183"/>
        <item x="72"/>
        <item x="187"/>
        <item x="145"/>
        <item x="144"/>
        <item x="143"/>
        <item x="198"/>
        <item x="141"/>
        <item x="134"/>
        <item x="122"/>
        <item x="186"/>
        <item x="194"/>
        <item x="49"/>
        <item x="63"/>
        <item x="91"/>
        <item x="68"/>
        <item x="189"/>
        <item x="199"/>
        <item x="67"/>
        <item x="191"/>
        <item x="62"/>
        <item x="48"/>
        <item x="43"/>
        <item x="135"/>
        <item x="58"/>
        <item x="123"/>
        <item x="152"/>
        <item x="106"/>
        <item x="97"/>
        <item x="41"/>
        <item x="56"/>
        <item x="99"/>
        <item x="173"/>
        <item x="162"/>
        <item x="176"/>
        <item x="157"/>
        <item x="174"/>
        <item x="6"/>
        <item x="163"/>
        <item x="165"/>
        <item x="114"/>
        <item x="188"/>
        <item x="156"/>
        <item x="113"/>
        <item x="92"/>
        <item x="119"/>
        <item x="131"/>
        <item x="142"/>
        <item x="55"/>
        <item x="40"/>
        <item x="180"/>
        <item x="169"/>
        <item x="182"/>
        <item x="20"/>
        <item x="195"/>
        <item x="181"/>
        <item x="140"/>
        <item x="196"/>
        <item x="190"/>
        <item x="85"/>
        <item x="77"/>
        <item x="84"/>
        <item x="76"/>
        <item x="146"/>
        <item x="66"/>
        <item x="46"/>
        <item x="60"/>
        <item x="39"/>
        <item x="54"/>
        <item x="11"/>
        <item x="32"/>
        <item x="132"/>
        <item x="120"/>
        <item x="95"/>
        <item x="21"/>
        <item x="98"/>
        <item x="65"/>
        <item x="64"/>
        <item x="149"/>
        <item x="7"/>
        <item x="154"/>
        <item x="160"/>
        <item x="150"/>
        <item x="171"/>
        <item x="108"/>
        <item x="192"/>
        <item x="12"/>
        <item x="90"/>
        <item x="26"/>
        <item x="89"/>
        <item x="167"/>
        <item x="28"/>
        <item x="178"/>
        <item x="24"/>
        <item x="25"/>
        <item x="8"/>
        <item x="107"/>
        <item x="45"/>
        <item x="111"/>
        <item x="38"/>
        <item x="29"/>
        <item x="53"/>
        <item x="57"/>
        <item x="42"/>
        <item x="138"/>
        <item x="126"/>
        <item x="22"/>
        <item x="127"/>
        <item x="139"/>
        <item x="96"/>
        <item x="147"/>
        <item x="23"/>
        <item x="151"/>
        <item x="155"/>
        <item x="30"/>
        <item x="78"/>
        <item x="86"/>
        <item x="121"/>
        <item x="133"/>
        <item x="193"/>
        <item x="100"/>
        <item x="164"/>
        <item x="36"/>
        <item x="175"/>
        <item x="148"/>
        <item x="153"/>
        <item x="52"/>
        <item x="104"/>
        <item x="101"/>
        <item x="14"/>
        <item x="103"/>
        <item x="70"/>
        <item x="109"/>
        <item x="71"/>
        <item x="112"/>
        <item x="80"/>
        <item x="88"/>
        <item x="197"/>
        <item x="102"/>
        <item x="168"/>
        <item x="74"/>
        <item x="179"/>
        <item x="105"/>
        <item x="110"/>
        <item x="82"/>
        <item x="47"/>
        <item x="61"/>
        <item x="184"/>
        <item x="185"/>
        <item x="35"/>
        <item x="2"/>
        <item x="117"/>
        <item x="129"/>
        <item x="34"/>
        <item x="51"/>
        <item x="0"/>
        <item x="161"/>
        <item x="172"/>
        <item x="124"/>
        <item x="136"/>
        <item x="166"/>
        <item x="177"/>
        <item x="125"/>
        <item x="137"/>
        <item x="75"/>
        <item x="83"/>
        <item x="31"/>
        <item x="4"/>
        <item x="159"/>
        <item x="170"/>
        <item x="118"/>
        <item x="37"/>
        <item x="130"/>
        <item x="79"/>
        <item x="87"/>
        <item x="5"/>
        <item x="73"/>
        <item x="81"/>
        <item x="16"/>
        <item x="116"/>
        <item x="128"/>
        <item x="13"/>
        <item x="44"/>
        <item x="59"/>
        <item x="9"/>
        <item x="33"/>
        <item x="50"/>
        <item x="10"/>
        <item x="3"/>
        <item x="19"/>
        <item x="94"/>
        <item x="17"/>
        <item x="93"/>
        <item x="18"/>
        <item x="15"/>
        <item x="27"/>
        <item x="69"/>
        <item t="default"/>
      </items>
    </pivotField>
    <pivotField dataField="1" compact="0" outline="0" multipleItemSelectionAllowed="1" showAll="0">
      <items count="241">
        <item x="1"/>
        <item x="238"/>
        <item x="100"/>
        <item x="219"/>
        <item x="39"/>
        <item x="161"/>
        <item x="160"/>
        <item x="128"/>
        <item x="185"/>
        <item x="237"/>
        <item x="157"/>
        <item x="56"/>
        <item x="72"/>
        <item x="184"/>
        <item x="218"/>
        <item x="223"/>
        <item x="159"/>
        <item x="215"/>
        <item x="102"/>
        <item x="222"/>
        <item x="151"/>
        <item x="138"/>
        <item x="208"/>
        <item x="195"/>
        <item x="77"/>
        <item x="235"/>
        <item x="239"/>
        <item x="50"/>
        <item x="66"/>
        <item x="127"/>
        <item x="150"/>
        <item x="137"/>
        <item x="236"/>
        <item x="183"/>
        <item x="76"/>
        <item x="126"/>
        <item x="149"/>
        <item x="136"/>
        <item x="225"/>
        <item x="109"/>
        <item x="8"/>
        <item x="79"/>
        <item x="182"/>
        <item x="63"/>
        <item x="47"/>
        <item x="164"/>
        <item x="205"/>
        <item x="192"/>
        <item x="193"/>
        <item x="206"/>
        <item x="229"/>
        <item x="22"/>
        <item x="226"/>
        <item x="221"/>
        <item x="108"/>
        <item x="55"/>
        <item x="71"/>
        <item x="111"/>
        <item x="232"/>
        <item x="48"/>
        <item x="220"/>
        <item x="64"/>
        <item x="13"/>
        <item x="46"/>
        <item x="62"/>
        <item x="95"/>
        <item x="86"/>
        <item x="158"/>
        <item x="231"/>
        <item x="228"/>
        <item x="214"/>
        <item x="94"/>
        <item x="85"/>
        <item x="28"/>
        <item x="156"/>
        <item x="75"/>
        <item x="53"/>
        <item x="69"/>
        <item x="9"/>
        <item x="213"/>
        <item x="16"/>
        <item x="194"/>
        <item x="207"/>
        <item x="163"/>
        <item x="73"/>
        <item x="106"/>
        <item x="224"/>
        <item x="14"/>
        <item x="190"/>
        <item x="133"/>
        <item x="38"/>
        <item x="230"/>
        <item x="37"/>
        <item x="227"/>
        <item x="110"/>
        <item x="25"/>
        <item x="134"/>
        <item x="147"/>
        <item x="101"/>
        <item x="116"/>
        <item x="123"/>
        <item x="29"/>
        <item x="211"/>
        <item x="198"/>
        <item x="26"/>
        <item x="99"/>
        <item x="107"/>
        <item x="117"/>
        <item x="155"/>
        <item x="142"/>
        <item x="234"/>
        <item x="30"/>
        <item x="10"/>
        <item x="45"/>
        <item x="61"/>
        <item x="172"/>
        <item x="135"/>
        <item x="148"/>
        <item x="178"/>
        <item x="191"/>
        <item x="204"/>
        <item x="212"/>
        <item x="199"/>
        <item x="15"/>
        <item x="174"/>
        <item x="132"/>
        <item x="180"/>
        <item x="146"/>
        <item x="65"/>
        <item x="49"/>
        <item x="165"/>
        <item x="233"/>
        <item x="141"/>
        <item x="154"/>
        <item x="166"/>
        <item x="167"/>
        <item x="87"/>
        <item x="96"/>
        <item x="24"/>
        <item x="78"/>
        <item x="74"/>
        <item x="168"/>
        <item x="169"/>
        <item x="80"/>
        <item x="83"/>
        <item x="92"/>
        <item x="89"/>
        <item x="98"/>
        <item x="188"/>
        <item x="32"/>
        <item x="202"/>
        <item x="35"/>
        <item x="112"/>
        <item x="70"/>
        <item x="54"/>
        <item x="115"/>
        <item x="173"/>
        <item x="82"/>
        <item x="122"/>
        <item x="179"/>
        <item x="91"/>
        <item x="216"/>
        <item x="217"/>
        <item x="42"/>
        <item x="4"/>
        <item x="119"/>
        <item x="125"/>
        <item x="52"/>
        <item x="68"/>
        <item x="43"/>
        <item x="59"/>
        <item x="41"/>
        <item x="58"/>
        <item x="33"/>
        <item x="36"/>
        <item x="2"/>
        <item x="114"/>
        <item x="189"/>
        <item x="121"/>
        <item x="203"/>
        <item x="118"/>
        <item x="124"/>
        <item x="31"/>
        <item x="34"/>
        <item x="84"/>
        <item x="93"/>
        <item x="6"/>
        <item x="196"/>
        <item x="209"/>
        <item x="130"/>
        <item x="175"/>
        <item x="144"/>
        <item x="171"/>
        <item x="181"/>
        <item x="177"/>
        <item x="88"/>
        <item x="97"/>
        <item x="113"/>
        <item x="120"/>
        <item x="187"/>
        <item x="197"/>
        <item x="201"/>
        <item x="210"/>
        <item x="140"/>
        <item x="153"/>
        <item x="3"/>
        <item x="131"/>
        <item x="145"/>
        <item x="81"/>
        <item x="90"/>
        <item x="170"/>
        <item x="176"/>
        <item x="139"/>
        <item x="5"/>
        <item x="152"/>
        <item x="44"/>
        <item x="60"/>
        <item x="0"/>
        <item x="11"/>
        <item x="186"/>
        <item x="200"/>
        <item x="23"/>
        <item x="51"/>
        <item x="67"/>
        <item x="129"/>
        <item x="143"/>
        <item x="18"/>
        <item x="40"/>
        <item x="57"/>
        <item x="162"/>
        <item x="21"/>
        <item x="12"/>
        <item x="7"/>
        <item x="105"/>
        <item x="104"/>
        <item x="19"/>
        <item x="20"/>
        <item x="17"/>
        <item x="27"/>
        <item x="103"/>
        <item t="default"/>
      </items>
    </pivotField>
    <pivotField dataField="1" compact="0" outline="0" multipleItemSelectionAllowed="1" showAll="0">
      <items count="271">
        <item x="0"/>
        <item x="53"/>
        <item x="207"/>
        <item x="56"/>
        <item x="268"/>
        <item x="141"/>
        <item x="122"/>
        <item x="206"/>
        <item x="249"/>
        <item x="177"/>
        <item x="176"/>
        <item x="208"/>
        <item x="203"/>
        <item x="97"/>
        <item x="180"/>
        <item x="100"/>
        <item x="171"/>
        <item x="157"/>
        <item x="267"/>
        <item x="173"/>
        <item x="244"/>
        <item x="224"/>
        <item x="240"/>
        <item x="55"/>
        <item x="248"/>
        <item x="52"/>
        <item x="266"/>
        <item x="175"/>
        <item x="124"/>
        <item x="205"/>
        <item x="254"/>
        <item x="166"/>
        <item x="152"/>
        <item x="67"/>
        <item x="84"/>
        <item x="264"/>
        <item x="269"/>
        <item x="165"/>
        <item x="151"/>
        <item x="265"/>
        <item x="94"/>
        <item x="131"/>
        <item x="253"/>
        <item x="243"/>
        <item x="22"/>
        <item x="164"/>
        <item x="150"/>
        <item x="73"/>
        <item x="90"/>
        <item x="232"/>
        <item x="216"/>
        <item x="26"/>
        <item x="81"/>
        <item x="64"/>
        <item x="217"/>
        <item x="233"/>
        <item x="258"/>
        <item x="255"/>
        <item x="252"/>
        <item x="72"/>
        <item x="89"/>
        <item x="108"/>
        <item x="7"/>
        <item x="118"/>
        <item x="139"/>
        <item x="63"/>
        <item x="140"/>
        <item x="80"/>
        <item x="23"/>
        <item x="261"/>
        <item x="204"/>
        <item x="234"/>
        <item x="218"/>
        <item x="116"/>
        <item x="106"/>
        <item x="31"/>
        <item x="115"/>
        <item x="105"/>
        <item x="130"/>
        <item x="174"/>
        <item x="260"/>
        <item x="257"/>
        <item x="42"/>
        <item x="47"/>
        <item x="202"/>
        <item x="54"/>
        <item x="134"/>
        <item x="51"/>
        <item x="93"/>
        <item x="172"/>
        <item x="25"/>
        <item x="95"/>
        <item x="8"/>
        <item x="189"/>
        <item x="27"/>
        <item x="65"/>
        <item x="82"/>
        <item x="11"/>
        <item x="128"/>
        <item x="193"/>
        <item x="201"/>
        <item x="219"/>
        <item x="235"/>
        <item x="251"/>
        <item x="37"/>
        <item x="239"/>
        <item x="223"/>
        <item x="215"/>
        <item x="231"/>
        <item x="147"/>
        <item x="242"/>
        <item x="259"/>
        <item x="256"/>
        <item x="148"/>
        <item x="162"/>
        <item x="9"/>
        <item x="123"/>
        <item x="250"/>
        <item x="187"/>
        <item x="196"/>
        <item x="129"/>
        <item x="30"/>
        <item x="12"/>
        <item x="241"/>
        <item x="121"/>
        <item x="170"/>
        <item x="156"/>
        <item x="146"/>
        <item x="263"/>
        <item x="83"/>
        <item x="66"/>
        <item x="38"/>
        <item x="62"/>
        <item x="133"/>
        <item x="149"/>
        <item x="163"/>
        <item x="79"/>
        <item x="24"/>
        <item x="91"/>
        <item x="222"/>
        <item x="238"/>
        <item x="117"/>
        <item x="107"/>
        <item x="155"/>
        <item x="169"/>
        <item x="262"/>
        <item x="181"/>
        <item x="35"/>
        <item x="36"/>
        <item x="34"/>
        <item x="98"/>
        <item x="183"/>
        <item x="28"/>
        <item x="99"/>
        <item x="188"/>
        <item x="197"/>
        <item x="145"/>
        <item x="40"/>
        <item x="96"/>
        <item x="161"/>
        <item x="92"/>
        <item x="45"/>
        <item x="50"/>
        <item x="120"/>
        <item x="110"/>
        <item x="184"/>
        <item x="14"/>
        <item x="32"/>
        <item x="103"/>
        <item x="113"/>
        <item x="88"/>
        <item x="71"/>
        <item x="39"/>
        <item x="178"/>
        <item x="179"/>
        <item x="102"/>
        <item x="136"/>
        <item x="112"/>
        <item x="138"/>
        <item x="135"/>
        <item x="137"/>
        <item x="70"/>
        <item x="87"/>
        <item x="246"/>
        <item x="247"/>
        <item x="2"/>
        <item x="44"/>
        <item x="49"/>
        <item x="59"/>
        <item x="76"/>
        <item x="211"/>
        <item x="227"/>
        <item x="192"/>
        <item x="200"/>
        <item x="186"/>
        <item x="195"/>
        <item x="69"/>
        <item x="86"/>
        <item x="212"/>
        <item x="228"/>
        <item x="58"/>
        <item x="75"/>
        <item x="43"/>
        <item x="48"/>
        <item x="41"/>
        <item x="4"/>
        <item x="46"/>
        <item x="213"/>
        <item x="229"/>
        <item x="104"/>
        <item x="114"/>
        <item x="5"/>
        <item x="60"/>
        <item x="77"/>
        <item x="143"/>
        <item x="159"/>
        <item x="109"/>
        <item x="119"/>
        <item x="154"/>
        <item x="168"/>
        <item x="3"/>
        <item x="144"/>
        <item x="160"/>
        <item x="190"/>
        <item x="198"/>
        <item x="214"/>
        <item x="191"/>
        <item x="230"/>
        <item x="199"/>
        <item x="153"/>
        <item x="101"/>
        <item x="1"/>
        <item x="167"/>
        <item x="221"/>
        <item x="210"/>
        <item x="111"/>
        <item x="237"/>
        <item x="226"/>
        <item x="61"/>
        <item x="78"/>
        <item x="13"/>
        <item x="10"/>
        <item x="185"/>
        <item x="194"/>
        <item x="6"/>
        <item x="220"/>
        <item x="236"/>
        <item x="16"/>
        <item x="142"/>
        <item x="158"/>
        <item x="68"/>
        <item x="85"/>
        <item x="126"/>
        <item x="20"/>
        <item x="57"/>
        <item x="74"/>
        <item x="29"/>
        <item x="17"/>
        <item x="21"/>
        <item x="209"/>
        <item x="132"/>
        <item x="225"/>
        <item x="182"/>
        <item x="127"/>
        <item x="18"/>
        <item x="125"/>
        <item x="19"/>
        <item x="15"/>
        <item x="33"/>
        <item x="245"/>
        <item t="default"/>
      </items>
    </pivotField>
    <pivotField dataField="1" compact="0" outline="0" multipleItemSelectionAllowed="1" showAll="0">
      <items count="336">
        <item x="2"/>
        <item x="171"/>
        <item x="313"/>
        <item x="118"/>
        <item x="209"/>
        <item x="119"/>
        <item x="314"/>
        <item x="155"/>
        <item x="172"/>
        <item x="170"/>
        <item x="117"/>
        <item x="311"/>
        <item x="116"/>
        <item x="214"/>
        <item x="210"/>
        <item x="86"/>
        <item x="69"/>
        <item x="99"/>
        <item x="204"/>
        <item x="189"/>
        <item x="223"/>
        <item x="151"/>
        <item x="154"/>
        <item x="211"/>
        <item x="308"/>
        <item x="249"/>
        <item x="294"/>
        <item x="332"/>
        <item x="302"/>
        <item x="206"/>
        <item x="208"/>
        <item x="248"/>
        <item x="331"/>
        <item x="306"/>
        <item x="198"/>
        <item x="312"/>
        <item x="310"/>
        <item x="183"/>
        <item x="318"/>
        <item x="333"/>
        <item x="153"/>
        <item x="323"/>
        <item x="197"/>
        <item x="182"/>
        <item x="22"/>
        <item x="334"/>
        <item x="246"/>
        <item x="160"/>
        <item x="251"/>
        <item x="329"/>
        <item x="250"/>
        <item x="92"/>
        <item x="75"/>
        <item x="295"/>
        <item x="129"/>
        <item x="144"/>
        <item x="307"/>
        <item x="296"/>
        <item x="270"/>
        <item x="289"/>
        <item x="141"/>
        <item x="309"/>
        <item x="126"/>
        <item x="322"/>
        <item x="330"/>
        <item x="293"/>
        <item x="82"/>
        <item x="65"/>
        <item x="58"/>
        <item x="260"/>
        <item x="279"/>
        <item x="18"/>
        <item x="91"/>
        <item x="74"/>
        <item x="299"/>
        <item x="247"/>
        <item x="280"/>
        <item x="261"/>
        <item x="304"/>
        <item x="305"/>
        <item x="83"/>
        <item x="66"/>
        <item x="319"/>
        <item x="303"/>
        <item x="291"/>
        <item x="317"/>
        <item x="149"/>
        <item x="134"/>
        <item x="226"/>
        <item x="186"/>
        <item x="201"/>
        <item x="101"/>
        <item x="316"/>
        <item x="28"/>
        <item x="165"/>
        <item x="168"/>
        <item x="24"/>
        <item x="269"/>
        <item x="288"/>
        <item x="181"/>
        <item x="196"/>
        <item x="133"/>
        <item x="148"/>
        <item x="326"/>
        <item x="207"/>
        <item x="19"/>
        <item x="278"/>
        <item x="259"/>
        <item x="103"/>
        <item x="205"/>
        <item x="221"/>
        <item x="217"/>
        <item x="262"/>
        <item x="281"/>
        <item x="55"/>
        <item x="97"/>
        <item x="158"/>
        <item x="325"/>
        <item x="324"/>
        <item x="287"/>
        <item x="268"/>
        <item x="143"/>
        <item x="128"/>
        <item x="21"/>
        <item x="142"/>
        <item x="127"/>
        <item x="161"/>
        <item x="321"/>
        <item x="27"/>
        <item x="125"/>
        <item x="140"/>
        <item x="225"/>
        <item x="179"/>
        <item x="194"/>
        <item x="8"/>
        <item x="85"/>
        <item x="68"/>
        <item x="320"/>
        <item x="178"/>
        <item x="147"/>
        <item x="132"/>
        <item x="237"/>
        <item x="224"/>
        <item x="258"/>
        <item x="277"/>
        <item x="243"/>
        <item x="292"/>
        <item x="152"/>
        <item x="227"/>
        <item x="203"/>
        <item x="188"/>
        <item x="159"/>
        <item x="328"/>
        <item x="20"/>
        <item x="180"/>
        <item x="195"/>
        <item x="100"/>
        <item x="315"/>
        <item x="177"/>
        <item x="150"/>
        <item x="162"/>
        <item x="95"/>
        <item x="67"/>
        <item x="228"/>
        <item x="84"/>
        <item x="64"/>
        <item x="81"/>
        <item x="290"/>
        <item x="267"/>
        <item x="286"/>
        <item x="110"/>
        <item x="10"/>
        <item x="115"/>
        <item x="229"/>
        <item x="26"/>
        <item x="187"/>
        <item x="202"/>
        <item x="327"/>
        <item x="102"/>
        <item x="124"/>
        <item x="139"/>
        <item x="9"/>
        <item x="33"/>
        <item x="56"/>
        <item x="57"/>
        <item x="35"/>
        <item x="218"/>
        <item x="222"/>
        <item x="96"/>
        <item x="122"/>
        <item x="137"/>
        <item x="32"/>
        <item x="54"/>
        <item x="30"/>
        <item x="105"/>
        <item x="73"/>
        <item x="90"/>
        <item x="216"/>
        <item x="233"/>
        <item x="220"/>
        <item x="34"/>
        <item x="104"/>
        <item x="29"/>
        <item x="231"/>
        <item x="232"/>
        <item x="36"/>
        <item x="53"/>
        <item x="1"/>
        <item x="156"/>
        <item x="166"/>
        <item x="169"/>
        <item x="44"/>
        <item x="52"/>
        <item x="164"/>
        <item x="167"/>
        <item x="131"/>
        <item x="146"/>
        <item x="98"/>
        <item x="93"/>
        <item x="266"/>
        <item x="94"/>
        <item x="285"/>
        <item x="109"/>
        <item x="38"/>
        <item x="114"/>
        <item x="176"/>
        <item x="46"/>
        <item x="193"/>
        <item x="255"/>
        <item x="274"/>
        <item x="297"/>
        <item x="298"/>
        <item x="3"/>
        <item x="238"/>
        <item x="244"/>
        <item x="72"/>
        <item x="89"/>
        <item x="107"/>
        <item x="256"/>
        <item x="112"/>
        <item x="275"/>
        <item x="235"/>
        <item x="241"/>
        <item x="108"/>
        <item x="123"/>
        <item x="113"/>
        <item x="43"/>
        <item x="138"/>
        <item x="51"/>
        <item x="300"/>
        <item x="236"/>
        <item x="301"/>
        <item x="212"/>
        <item x="242"/>
        <item x="213"/>
        <item x="0"/>
        <item x="121"/>
        <item x="136"/>
        <item x="239"/>
        <item x="245"/>
        <item x="39"/>
        <item x="174"/>
        <item x="47"/>
        <item x="191"/>
        <item x="60"/>
        <item x="77"/>
        <item x="130"/>
        <item x="265"/>
        <item x="145"/>
        <item x="284"/>
        <item x="215"/>
        <item x="219"/>
        <item x="12"/>
        <item x="185"/>
        <item x="254"/>
        <item x="200"/>
        <item x="273"/>
        <item x="71"/>
        <item x="88"/>
        <item x="175"/>
        <item x="192"/>
        <item x="61"/>
        <item x="78"/>
        <item x="257"/>
        <item x="276"/>
        <item x="106"/>
        <item x="5"/>
        <item x="111"/>
        <item x="264"/>
        <item x="283"/>
        <item x="234"/>
        <item x="240"/>
        <item x="7"/>
        <item x="184"/>
        <item x="199"/>
        <item x="6"/>
        <item x="253"/>
        <item x="272"/>
        <item x="4"/>
        <item x="41"/>
        <item x="49"/>
        <item x="17"/>
        <item x="120"/>
        <item x="263"/>
        <item x="135"/>
        <item x="282"/>
        <item x="173"/>
        <item x="190"/>
        <item x="13"/>
        <item x="14"/>
        <item x="63"/>
        <item x="80"/>
        <item x="163"/>
        <item x="40"/>
        <item x="48"/>
        <item x="230"/>
        <item x="62"/>
        <item x="23"/>
        <item x="79"/>
        <item x="25"/>
        <item x="252"/>
        <item x="271"/>
        <item x="15"/>
        <item x="16"/>
        <item x="42"/>
        <item x="50"/>
        <item x="11"/>
        <item x="37"/>
        <item x="45"/>
        <item x="70"/>
        <item x="87"/>
        <item x="59"/>
        <item x="76"/>
        <item x="31"/>
        <item x="157"/>
        <item t="default"/>
      </items>
    </pivotField>
    <pivotField dataField="1" compact="0" outline="0" multipleItemSelectionAllowed="1" showAll="0">
      <items count="330">
        <item x="2"/>
        <item x="139"/>
        <item x="204"/>
        <item x="307"/>
        <item x="167"/>
        <item x="142"/>
        <item x="249"/>
        <item x="143"/>
        <item x="52"/>
        <item x="219"/>
        <item x="82"/>
        <item x="65"/>
        <item x="205"/>
        <item x="95"/>
        <item x="199"/>
        <item x="184"/>
        <item x="218"/>
        <item x="137"/>
        <item x="141"/>
        <item x="206"/>
        <item x="250"/>
        <item x="251"/>
        <item x="53"/>
        <item x="326"/>
        <item x="300"/>
        <item x="306"/>
        <item x="201"/>
        <item x="325"/>
        <item x="193"/>
        <item x="178"/>
        <item x="203"/>
        <item x="311"/>
        <item x="22"/>
        <item x="192"/>
        <item x="140"/>
        <item x="177"/>
        <item x="327"/>
        <item x="149"/>
        <item x="328"/>
        <item x="316"/>
        <item x="166"/>
        <item x="323"/>
        <item x="296"/>
        <item x="165"/>
        <item x="112"/>
        <item x="129"/>
        <item x="261"/>
        <item x="280"/>
        <item x="227"/>
        <item x="297"/>
        <item x="126"/>
        <item x="109"/>
        <item x="88"/>
        <item x="71"/>
        <item x="96"/>
        <item x="324"/>
        <item x="302"/>
        <item x="78"/>
        <item x="61"/>
        <item x="79"/>
        <item x="62"/>
        <item x="294"/>
        <item x="226"/>
        <item x="262"/>
        <item x="281"/>
        <item x="87"/>
        <item x="154"/>
        <item x="70"/>
        <item x="54"/>
        <item x="18"/>
        <item x="301"/>
        <item x="310"/>
        <item x="292"/>
        <item x="270"/>
        <item x="289"/>
        <item x="135"/>
        <item x="118"/>
        <item x="51"/>
        <item x="313"/>
        <item x="181"/>
        <item x="196"/>
        <item x="98"/>
        <item x="263"/>
        <item x="282"/>
        <item x="309"/>
        <item x="279"/>
        <item x="260"/>
        <item x="252"/>
        <item x="19"/>
        <item x="315"/>
        <item x="100"/>
        <item x="295"/>
        <item x="31"/>
        <item x="288"/>
        <item x="269"/>
        <item x="117"/>
        <item x="134"/>
        <item x="25"/>
        <item x="318"/>
        <item x="314"/>
        <item x="248"/>
        <item x="99"/>
        <item x="191"/>
        <item x="176"/>
        <item x="153"/>
        <item x="216"/>
        <item x="211"/>
        <item x="202"/>
        <item x="21"/>
        <item x="200"/>
        <item x="128"/>
        <item x="111"/>
        <item x="26"/>
        <item x="127"/>
        <item x="110"/>
        <item x="225"/>
        <item x="319"/>
        <item x="305"/>
        <item x="151"/>
        <item x="81"/>
        <item x="30"/>
        <item x="64"/>
        <item x="108"/>
        <item x="125"/>
        <item x="290"/>
        <item x="271"/>
        <item x="312"/>
        <item x="304"/>
        <item x="160"/>
        <item x="163"/>
        <item x="6"/>
        <item x="174"/>
        <item x="189"/>
        <item x="173"/>
        <item x="229"/>
        <item x="133"/>
        <item x="116"/>
        <item x="235"/>
        <item x="93"/>
        <item x="243"/>
        <item x="148"/>
        <item x="321"/>
        <item x="268"/>
        <item x="287"/>
        <item x="138"/>
        <item x="224"/>
        <item x="293"/>
        <item x="175"/>
        <item x="190"/>
        <item x="198"/>
        <item x="183"/>
        <item x="152"/>
        <item x="317"/>
        <item x="161"/>
        <item x="164"/>
        <item x="97"/>
        <item x="172"/>
        <item x="136"/>
        <item x="91"/>
        <item x="20"/>
        <item x="60"/>
        <item x="77"/>
        <item x="320"/>
        <item x="228"/>
        <item x="63"/>
        <item x="80"/>
        <item x="7"/>
        <item x="29"/>
        <item x="278"/>
        <item x="259"/>
        <item x="27"/>
        <item x="303"/>
        <item x="182"/>
        <item x="197"/>
        <item x="33"/>
        <item x="322"/>
        <item x="107"/>
        <item x="124"/>
        <item x="42"/>
        <item x="5"/>
        <item x="47"/>
        <item x="291"/>
        <item x="159"/>
        <item x="162"/>
        <item x="308"/>
        <item x="212"/>
        <item x="217"/>
        <item x="104"/>
        <item x="121"/>
        <item x="40"/>
        <item x="69"/>
        <item x="86"/>
        <item x="92"/>
        <item x="238"/>
        <item x="234"/>
        <item x="246"/>
        <item x="37"/>
        <item x="242"/>
        <item x="209"/>
        <item x="214"/>
        <item x="101"/>
        <item x="36"/>
        <item x="38"/>
        <item x="157"/>
        <item x="32"/>
        <item x="158"/>
        <item x="231"/>
        <item x="39"/>
        <item x="34"/>
        <item x="230"/>
        <item x="156"/>
        <item x="155"/>
        <item x="4"/>
        <item x="144"/>
        <item x="236"/>
        <item x="244"/>
        <item x="115"/>
        <item x="132"/>
        <item x="94"/>
        <item x="90"/>
        <item x="45"/>
        <item x="89"/>
        <item x="50"/>
        <item x="114"/>
        <item x="131"/>
        <item x="44"/>
        <item x="49"/>
        <item x="1"/>
        <item x="256"/>
        <item x="171"/>
        <item x="275"/>
        <item x="188"/>
        <item x="237"/>
        <item x="245"/>
        <item x="106"/>
        <item x="105"/>
        <item x="123"/>
        <item x="122"/>
        <item x="298"/>
        <item x="299"/>
        <item x="210"/>
        <item x="215"/>
        <item x="3"/>
        <item x="103"/>
        <item x="120"/>
        <item x="43"/>
        <item x="113"/>
        <item x="48"/>
        <item x="130"/>
        <item x="257"/>
        <item x="276"/>
        <item x="169"/>
        <item x="208"/>
        <item x="186"/>
        <item x="68"/>
        <item x="213"/>
        <item x="85"/>
        <item x="0"/>
        <item x="56"/>
        <item x="41"/>
        <item x="73"/>
        <item x="46"/>
        <item x="266"/>
        <item x="170"/>
        <item x="180"/>
        <item x="285"/>
        <item x="187"/>
        <item x="195"/>
        <item x="57"/>
        <item x="74"/>
        <item x="258"/>
        <item x="67"/>
        <item x="277"/>
        <item x="255"/>
        <item x="84"/>
        <item x="274"/>
        <item x="9"/>
        <item x="265"/>
        <item x="284"/>
        <item x="11"/>
        <item x="179"/>
        <item x="194"/>
        <item x="13"/>
        <item x="16"/>
        <item x="239"/>
        <item x="145"/>
        <item x="247"/>
        <item x="102"/>
        <item x="147"/>
        <item x="233"/>
        <item x="119"/>
        <item x="241"/>
        <item x="267"/>
        <item x="286"/>
        <item x="223"/>
        <item x="168"/>
        <item x="185"/>
        <item x="15"/>
        <item x="264"/>
        <item x="232"/>
        <item x="240"/>
        <item x="283"/>
        <item x="10"/>
        <item x="59"/>
        <item x="76"/>
        <item x="23"/>
        <item x="221"/>
        <item x="12"/>
        <item x="254"/>
        <item x="273"/>
        <item x="150"/>
        <item x="146"/>
        <item x="58"/>
        <item x="75"/>
        <item x="24"/>
        <item x="28"/>
        <item x="14"/>
        <item x="17"/>
        <item x="222"/>
        <item x="8"/>
        <item x="220"/>
        <item x="253"/>
        <item x="272"/>
        <item x="66"/>
        <item x="83"/>
        <item x="55"/>
        <item x="72"/>
        <item x="35"/>
        <item x="207"/>
        <item t="default"/>
      </items>
    </pivotField>
    <pivotField dataField="1" compact="0" outline="0" multipleItemSelectionAllowed="1" showAll="0">
      <items count="344">
        <item x="2"/>
        <item x="175"/>
        <item x="51"/>
        <item x="257"/>
        <item x="145"/>
        <item x="255"/>
        <item x="218"/>
        <item x="148"/>
        <item x="149"/>
        <item x="232"/>
        <item x="80"/>
        <item x="63"/>
        <item x="213"/>
        <item x="233"/>
        <item x="143"/>
        <item x="147"/>
        <item x="214"/>
        <item x="174"/>
        <item x="231"/>
        <item x="52"/>
        <item x="258"/>
        <item x="212"/>
        <item x="50"/>
        <item x="256"/>
        <item x="340"/>
        <item x="314"/>
        <item x="201"/>
        <item x="209"/>
        <item x="186"/>
        <item x="339"/>
        <item x="93"/>
        <item x="21"/>
        <item x="211"/>
        <item x="325"/>
        <item x="200"/>
        <item x="185"/>
        <item x="146"/>
        <item x="341"/>
        <item x="156"/>
        <item x="342"/>
        <item x="330"/>
        <item x="192"/>
        <item x="207"/>
        <item x="114"/>
        <item x="133"/>
        <item x="337"/>
        <item x="302"/>
        <item x="237"/>
        <item x="267"/>
        <item x="286"/>
        <item x="111"/>
        <item x="130"/>
        <item x="303"/>
        <item x="86"/>
        <item x="69"/>
        <item x="94"/>
        <item x="338"/>
        <item x="316"/>
        <item x="77"/>
        <item x="60"/>
        <item x="103"/>
        <item x="162"/>
        <item x="49"/>
        <item x="300"/>
        <item x="121"/>
        <item x="140"/>
        <item x="268"/>
        <item x="287"/>
        <item x="315"/>
        <item x="85"/>
        <item x="68"/>
        <item x="324"/>
        <item x="276"/>
        <item x="295"/>
        <item x="96"/>
        <item x="228"/>
        <item x="222"/>
        <item x="19"/>
        <item x="269"/>
        <item x="288"/>
        <item x="327"/>
        <item x="319"/>
        <item x="76"/>
        <item x="59"/>
        <item x="323"/>
        <item x="120"/>
        <item x="241"/>
        <item x="139"/>
        <item x="298"/>
        <item x="170"/>
        <item x="173"/>
        <item x="329"/>
        <item x="98"/>
        <item x="301"/>
        <item x="285"/>
        <item x="266"/>
        <item x="294"/>
        <item x="275"/>
        <item x="317"/>
        <item x="332"/>
        <item x="199"/>
        <item x="184"/>
        <item x="28"/>
        <item x="328"/>
        <item x="18"/>
        <item x="210"/>
        <item x="113"/>
        <item x="132"/>
        <item x="112"/>
        <item x="131"/>
        <item x="25"/>
        <item x="151"/>
        <item x="24"/>
        <item x="160"/>
        <item x="79"/>
        <item x="62"/>
        <item x="208"/>
        <item x="333"/>
        <item x="154"/>
        <item x="296"/>
        <item x="277"/>
        <item x="119"/>
        <item x="138"/>
        <item x="27"/>
        <item x="236"/>
        <item x="326"/>
        <item x="158"/>
        <item x="5"/>
        <item x="181"/>
        <item x="182"/>
        <item x="197"/>
        <item x="91"/>
        <item x="155"/>
        <item x="206"/>
        <item x="191"/>
        <item x="335"/>
        <item x="144"/>
        <item x="183"/>
        <item x="141"/>
        <item x="198"/>
        <item x="122"/>
        <item x="299"/>
        <item x="274"/>
        <item x="293"/>
        <item x="240"/>
        <item x="159"/>
        <item x="331"/>
        <item x="224"/>
        <item x="230"/>
        <item x="129"/>
        <item x="110"/>
        <item x="248"/>
        <item x="318"/>
        <item x="253"/>
        <item x="20"/>
        <item x="246"/>
        <item x="180"/>
        <item x="251"/>
        <item x="239"/>
        <item x="229"/>
        <item x="223"/>
        <item x="58"/>
        <item x="61"/>
        <item x="169"/>
        <item x="75"/>
        <item x="78"/>
        <item x="334"/>
        <item x="308"/>
        <item x="312"/>
        <item x="172"/>
        <item x="26"/>
        <item x="284"/>
        <item x="265"/>
        <item x="313"/>
        <item x="309"/>
        <item x="142"/>
        <item x="89"/>
        <item x="320"/>
        <item x="190"/>
        <item x="205"/>
        <item x="189"/>
        <item x="204"/>
        <item x="336"/>
        <item x="109"/>
        <item x="242"/>
        <item x="168"/>
        <item x="128"/>
        <item x="171"/>
        <item x="43"/>
        <item x="97"/>
        <item x="48"/>
        <item x="297"/>
        <item x="161"/>
        <item x="41"/>
        <item x="46"/>
        <item x="100"/>
        <item x="322"/>
        <item x="167"/>
        <item x="106"/>
        <item x="125"/>
        <item x="99"/>
        <item x="67"/>
        <item x="84"/>
        <item x="90"/>
        <item x="164"/>
        <item x="166"/>
        <item x="220"/>
        <item x="165"/>
        <item x="226"/>
        <item x="32"/>
        <item x="38"/>
        <item x="37"/>
        <item x="35"/>
        <item x="36"/>
        <item x="163"/>
        <item x="31"/>
        <item x="321"/>
        <item x="33"/>
        <item x="244"/>
        <item x="243"/>
        <item x="3"/>
        <item x="150"/>
        <item x="247"/>
        <item x="252"/>
        <item x="117"/>
        <item x="136"/>
        <item x="92"/>
        <item x="88"/>
        <item x="249"/>
        <item x="254"/>
        <item x="87"/>
        <item x="116"/>
        <item x="135"/>
        <item x="101"/>
        <item x="102"/>
        <item x="1"/>
        <item x="245"/>
        <item x="250"/>
        <item x="262"/>
        <item x="179"/>
        <item x="281"/>
        <item x="196"/>
        <item x="40"/>
        <item x="108"/>
        <item x="216"/>
        <item x="107"/>
        <item x="45"/>
        <item x="42"/>
        <item x="217"/>
        <item x="127"/>
        <item x="126"/>
        <item x="47"/>
        <item x="307"/>
        <item x="311"/>
        <item x="221"/>
        <item x="227"/>
        <item x="4"/>
        <item x="304"/>
        <item x="305"/>
        <item x="39"/>
        <item x="44"/>
        <item x="115"/>
        <item x="134"/>
        <item x="66"/>
        <item x="83"/>
        <item x="0"/>
        <item x="263"/>
        <item x="282"/>
        <item x="177"/>
        <item x="194"/>
        <item x="272"/>
        <item x="188"/>
        <item x="291"/>
        <item x="203"/>
        <item x="55"/>
        <item x="178"/>
        <item x="72"/>
        <item x="195"/>
        <item x="118"/>
        <item x="137"/>
        <item x="264"/>
        <item x="283"/>
        <item x="105"/>
        <item x="14"/>
        <item x="124"/>
        <item x="65"/>
        <item x="82"/>
        <item x="306"/>
        <item x="16"/>
        <item x="310"/>
        <item x="261"/>
        <item x="280"/>
        <item x="271"/>
        <item x="290"/>
        <item x="219"/>
        <item x="225"/>
        <item x="187"/>
        <item x="54"/>
        <item x="202"/>
        <item x="71"/>
        <item x="7"/>
        <item x="11"/>
        <item x="30"/>
        <item x="95"/>
        <item x="273"/>
        <item x="292"/>
        <item x="152"/>
        <item x="176"/>
        <item x="104"/>
        <item x="193"/>
        <item x="234"/>
        <item x="123"/>
        <item x="17"/>
        <item x="57"/>
        <item x="74"/>
        <item x="8"/>
        <item x="270"/>
        <item x="289"/>
        <item x="13"/>
        <item x="29"/>
        <item x="22"/>
        <item x="260"/>
        <item x="279"/>
        <item x="9"/>
        <item x="157"/>
        <item x="56"/>
        <item x="73"/>
        <item x="153"/>
        <item x="23"/>
        <item x="238"/>
        <item x="12"/>
        <item x="10"/>
        <item x="15"/>
        <item x="235"/>
        <item x="6"/>
        <item x="259"/>
        <item x="278"/>
        <item x="64"/>
        <item x="81"/>
        <item x="53"/>
        <item x="70"/>
        <item x="34"/>
        <item x="215"/>
        <item t="default"/>
      </items>
    </pivotField>
    <pivotField dataField="1" compact="0" outline="0" multipleItemSelectionAllowed="1" showAll="0">
      <items count="364">
        <item x="3"/>
        <item x="156"/>
        <item x="257"/>
        <item x="198"/>
        <item x="160"/>
        <item x="278"/>
        <item x="161"/>
        <item x="92"/>
        <item x="75"/>
        <item x="114"/>
        <item x="255"/>
        <item x="197"/>
        <item x="256"/>
        <item x="62"/>
        <item x="154"/>
        <item x="159"/>
        <item x="238"/>
        <item x="195"/>
        <item x="341"/>
        <item x="254"/>
        <item x="324"/>
        <item x="236"/>
        <item x="360"/>
        <item x="336"/>
        <item x="25"/>
        <item x="279"/>
        <item x="359"/>
        <item x="105"/>
        <item x="345"/>
        <item x="277"/>
        <item x="215"/>
        <item x="231"/>
        <item x="235"/>
        <item x="361"/>
        <item x="125"/>
        <item x="144"/>
        <item x="350"/>
        <item x="362"/>
        <item x="157"/>
        <item x="225"/>
        <item x="209"/>
        <item x="357"/>
        <item x="122"/>
        <item x="141"/>
        <item x="323"/>
        <item x="264"/>
        <item x="64"/>
        <item x="168"/>
        <item x="288"/>
        <item x="307"/>
        <item x="174"/>
        <item x="325"/>
        <item x="196"/>
        <item x="339"/>
        <item x="237"/>
        <item x="358"/>
        <item x="98"/>
        <item x="63"/>
        <item x="81"/>
        <item x="158"/>
        <item x="61"/>
        <item x="233"/>
        <item x="89"/>
        <item x="72"/>
        <item x="321"/>
        <item x="108"/>
        <item x="59"/>
        <item x="97"/>
        <item x="80"/>
        <item x="289"/>
        <item x="308"/>
        <item x="337"/>
        <item x="263"/>
        <item x="273"/>
        <item x="276"/>
        <item x="272"/>
        <item x="275"/>
        <item x="344"/>
        <item x="297"/>
        <item x="131"/>
        <item x="316"/>
        <item x="150"/>
        <item x="251"/>
        <item x="244"/>
        <item x="290"/>
        <item x="309"/>
        <item x="347"/>
        <item x="22"/>
        <item x="343"/>
        <item x="224"/>
        <item x="319"/>
        <item x="106"/>
        <item x="208"/>
        <item x="60"/>
        <item x="349"/>
        <item x="34"/>
        <item x="322"/>
        <item x="306"/>
        <item x="287"/>
        <item x="315"/>
        <item x="296"/>
        <item x="262"/>
        <item x="352"/>
        <item x="88"/>
        <item x="71"/>
        <item x="348"/>
        <item x="124"/>
        <item x="143"/>
        <item x="123"/>
        <item x="142"/>
        <item x="24"/>
        <item x="267"/>
        <item x="207"/>
        <item x="223"/>
        <item x="21"/>
        <item x="234"/>
        <item x="132"/>
        <item x="151"/>
        <item x="271"/>
        <item x="165"/>
        <item x="274"/>
        <item x="338"/>
        <item x="130"/>
        <item x="149"/>
        <item x="29"/>
        <item x="91"/>
        <item x="74"/>
        <item x="205"/>
        <item x="221"/>
        <item x="167"/>
        <item x="173"/>
        <item x="28"/>
        <item x="317"/>
        <item x="298"/>
        <item x="261"/>
        <item x="170"/>
        <item x="33"/>
        <item x="232"/>
        <item x="353"/>
        <item x="206"/>
        <item x="222"/>
        <item x="183"/>
        <item x="214"/>
        <item x="230"/>
        <item x="152"/>
        <item x="346"/>
        <item x="190"/>
        <item x="6"/>
        <item x="133"/>
        <item x="166"/>
        <item x="260"/>
        <item x="103"/>
        <item x="269"/>
        <item x="266"/>
        <item x="155"/>
        <item x="355"/>
        <item x="23"/>
        <item x="295"/>
        <item x="314"/>
        <item x="320"/>
        <item x="171"/>
        <item x="50"/>
        <item x="265"/>
        <item x="56"/>
        <item x="246"/>
        <item x="253"/>
        <item x="351"/>
        <item x="340"/>
        <item x="73"/>
        <item x="90"/>
        <item x="186"/>
        <item x="192"/>
        <item x="252"/>
        <item x="245"/>
        <item x="30"/>
        <item x="70"/>
        <item x="87"/>
        <item x="354"/>
        <item x="329"/>
        <item x="334"/>
        <item x="7"/>
        <item x="140"/>
        <item x="121"/>
        <item x="305"/>
        <item x="286"/>
        <item x="335"/>
        <item x="330"/>
        <item x="32"/>
        <item x="153"/>
        <item x="107"/>
        <item x="356"/>
        <item x="212"/>
        <item x="228"/>
        <item x="120"/>
        <item x="268"/>
        <item x="229"/>
        <item x="213"/>
        <item x="139"/>
        <item x="172"/>
        <item x="51"/>
        <item x="101"/>
        <item x="57"/>
        <item x="110"/>
        <item x="188"/>
        <item x="194"/>
        <item x="318"/>
        <item x="109"/>
        <item x="111"/>
        <item x="42"/>
        <item x="342"/>
        <item x="117"/>
        <item x="204"/>
        <item x="220"/>
        <item x="79"/>
        <item x="136"/>
        <item x="96"/>
        <item x="178"/>
        <item x="102"/>
        <item x="46"/>
        <item x="181"/>
        <item x="38"/>
        <item x="241"/>
        <item x="179"/>
        <item x="248"/>
        <item x="177"/>
        <item x="44"/>
        <item x="180"/>
        <item x="176"/>
        <item x="37"/>
        <item x="39"/>
        <item x="45"/>
        <item x="43"/>
        <item x="41"/>
        <item x="1"/>
        <item x="162"/>
        <item x="49"/>
        <item x="55"/>
        <item x="184"/>
        <item x="191"/>
        <item x="104"/>
        <item x="100"/>
        <item x="127"/>
        <item x="146"/>
        <item x="99"/>
        <item x="185"/>
        <item x="112"/>
        <item x="113"/>
        <item x="2"/>
        <item x="203"/>
        <item x="283"/>
        <item x="302"/>
        <item x="119"/>
        <item x="243"/>
        <item x="118"/>
        <item x="250"/>
        <item x="138"/>
        <item x="137"/>
        <item x="327"/>
        <item x="332"/>
        <item x="242"/>
        <item x="48"/>
        <item x="249"/>
        <item x="54"/>
        <item x="5"/>
        <item x="187"/>
        <item x="328"/>
        <item x="193"/>
        <item x="333"/>
        <item x="128"/>
        <item x="147"/>
        <item x="202"/>
        <item x="219"/>
        <item x="126"/>
        <item x="52"/>
        <item x="145"/>
        <item x="58"/>
        <item x="182"/>
        <item x="189"/>
        <item x="4"/>
        <item x="284"/>
        <item x="303"/>
        <item x="200"/>
        <item x="217"/>
        <item x="293"/>
        <item x="312"/>
        <item x="129"/>
        <item x="148"/>
        <item x="285"/>
        <item x="78"/>
        <item x="201"/>
        <item x="304"/>
        <item x="218"/>
        <item x="95"/>
        <item x="0"/>
        <item x="47"/>
        <item x="211"/>
        <item x="53"/>
        <item x="227"/>
        <item x="67"/>
        <item x="84"/>
        <item x="326"/>
        <item x="77"/>
        <item x="10"/>
        <item x="94"/>
        <item x="331"/>
        <item x="282"/>
        <item x="301"/>
        <item x="292"/>
        <item x="311"/>
        <item x="240"/>
        <item x="247"/>
        <item x="116"/>
        <item x="12"/>
        <item x="135"/>
        <item x="9"/>
        <item x="14"/>
        <item x="66"/>
        <item x="210"/>
        <item x="83"/>
        <item x="226"/>
        <item x="163"/>
        <item x="294"/>
        <item x="313"/>
        <item x="18"/>
        <item x="259"/>
        <item x="115"/>
        <item x="69"/>
        <item x="20"/>
        <item x="134"/>
        <item x="86"/>
        <item x="291"/>
        <item x="310"/>
        <item x="11"/>
        <item x="199"/>
        <item x="216"/>
        <item x="17"/>
        <item x="36"/>
        <item x="281"/>
        <item x="35"/>
        <item x="300"/>
        <item x="175"/>
        <item x="26"/>
        <item x="13"/>
        <item x="68"/>
        <item x="85"/>
        <item x="270"/>
        <item x="169"/>
        <item x="164"/>
        <item x="31"/>
        <item x="27"/>
        <item x="16"/>
        <item x="15"/>
        <item x="258"/>
        <item x="19"/>
        <item x="280"/>
        <item x="299"/>
        <item x="8"/>
        <item x="76"/>
        <item x="93"/>
        <item x="65"/>
        <item x="82"/>
        <item x="40"/>
        <item x="239"/>
        <item t="default"/>
      </items>
    </pivotField>
    <pivotField dataField="1" compact="0" outline="0" multipleItemSelectionAllowed="1" showAll="0">
      <items count="375">
        <item x="1"/>
        <item x="194"/>
        <item x="60"/>
        <item x="154"/>
        <item x="256"/>
        <item x="158"/>
        <item x="159"/>
        <item x="274"/>
        <item x="254"/>
        <item x="90"/>
        <item x="73"/>
        <item x="192"/>
        <item x="61"/>
        <item x="62"/>
        <item x="255"/>
        <item x="152"/>
        <item x="157"/>
        <item x="237"/>
        <item x="253"/>
        <item x="350"/>
        <item x="320"/>
        <item x="351"/>
        <item x="58"/>
        <item x="332"/>
        <item x="341"/>
        <item x="360"/>
        <item x="370"/>
        <item x="349"/>
        <item x="223"/>
        <item x="206"/>
        <item x="355"/>
        <item x="59"/>
        <item x="317"/>
        <item x="193"/>
        <item x="57"/>
        <item x="348"/>
        <item x="234"/>
        <item x="103"/>
        <item x="371"/>
        <item x="123"/>
        <item x="142"/>
        <item x="373"/>
        <item x="155"/>
        <item x="165"/>
        <item x="120"/>
        <item x="139"/>
        <item x="263"/>
        <item x="319"/>
        <item x="195"/>
        <item x="283"/>
        <item x="302"/>
        <item x="212"/>
        <item x="229"/>
        <item x="321"/>
        <item x="372"/>
        <item x="22"/>
        <item x="230"/>
        <item x="213"/>
        <item x="235"/>
        <item x="368"/>
        <item x="156"/>
        <item x="344"/>
        <item x="337"/>
        <item x="236"/>
        <item x="222"/>
        <item x="191"/>
        <item x="205"/>
        <item x="96"/>
        <item x="79"/>
        <item x="316"/>
        <item x="108"/>
        <item x="346"/>
        <item x="284"/>
        <item x="303"/>
        <item x="262"/>
        <item x="333"/>
        <item x="95"/>
        <item x="78"/>
        <item x="232"/>
        <item x="369"/>
        <item x="87"/>
        <item x="70"/>
        <item x="129"/>
        <item x="148"/>
        <item x="250"/>
        <item x="243"/>
        <item x="358"/>
        <item x="285"/>
        <item x="304"/>
        <item x="292"/>
        <item x="311"/>
        <item x="342"/>
        <item x="110"/>
        <item x="49"/>
        <item x="48"/>
        <item x="33"/>
        <item x="314"/>
        <item x="104"/>
        <item x="335"/>
        <item x="301"/>
        <item x="282"/>
        <item x="318"/>
        <item x="261"/>
        <item x="353"/>
        <item x="310"/>
        <item x="367"/>
        <item x="291"/>
        <item x="20"/>
        <item x="86"/>
        <item x="69"/>
        <item x="362"/>
        <item x="345"/>
        <item x="122"/>
        <item x="141"/>
        <item x="121"/>
        <item x="140"/>
        <item x="359"/>
        <item x="19"/>
        <item x="334"/>
        <item x="347"/>
        <item x="203"/>
        <item x="220"/>
        <item x="211"/>
        <item x="228"/>
        <item x="130"/>
        <item x="149"/>
        <item x="357"/>
        <item x="164"/>
        <item x="128"/>
        <item x="147"/>
        <item x="89"/>
        <item x="72"/>
        <item x="354"/>
        <item x="343"/>
        <item x="233"/>
        <item x="26"/>
        <item x="260"/>
        <item x="312"/>
        <item x="293"/>
        <item x="51"/>
        <item x="204"/>
        <item x="221"/>
        <item x="166"/>
        <item x="50"/>
        <item x="25"/>
        <item x="55"/>
        <item x="150"/>
        <item x="6"/>
        <item x="131"/>
        <item x="202"/>
        <item x="219"/>
        <item x="167"/>
        <item x="101"/>
        <item x="339"/>
        <item x="266"/>
        <item x="259"/>
        <item x="21"/>
        <item x="365"/>
        <item x="153"/>
        <item x="32"/>
        <item x="290"/>
        <item x="309"/>
        <item x="336"/>
        <item x="231"/>
        <item x="315"/>
        <item x="180"/>
        <item x="27"/>
        <item x="245"/>
        <item x="188"/>
        <item x="252"/>
        <item x="71"/>
        <item x="88"/>
        <item x="265"/>
        <item x="272"/>
        <item x="273"/>
        <item x="366"/>
        <item x="251"/>
        <item x="244"/>
        <item x="361"/>
        <item x="31"/>
        <item x="325"/>
        <item x="330"/>
        <item x="363"/>
        <item x="105"/>
        <item x="138"/>
        <item x="119"/>
        <item x="300"/>
        <item x="281"/>
        <item x="331"/>
        <item x="326"/>
        <item x="340"/>
        <item x="177"/>
        <item x="151"/>
        <item x="185"/>
        <item x="107"/>
        <item x="364"/>
        <item x="356"/>
        <item x="68"/>
        <item x="210"/>
        <item x="227"/>
        <item x="169"/>
        <item x="85"/>
        <item x="118"/>
        <item x="267"/>
        <item x="338"/>
        <item x="137"/>
        <item x="7"/>
        <item x="99"/>
        <item x="109"/>
        <item x="313"/>
        <item x="37"/>
        <item x="112"/>
        <item x="77"/>
        <item x="94"/>
        <item x="115"/>
        <item x="201"/>
        <item x="52"/>
        <item x="218"/>
        <item x="134"/>
        <item x="56"/>
        <item x="172"/>
        <item x="111"/>
        <item x="100"/>
        <item x="39"/>
        <item x="240"/>
        <item x="247"/>
        <item x="270"/>
        <item x="45"/>
        <item x="36"/>
        <item x="40"/>
        <item x="42"/>
        <item x="173"/>
        <item x="43"/>
        <item x="171"/>
        <item x="35"/>
        <item x="271"/>
        <item x="44"/>
        <item x="269"/>
        <item x="174"/>
        <item x="41"/>
        <item x="3"/>
        <item x="181"/>
        <item x="160"/>
        <item x="189"/>
        <item x="47"/>
        <item x="54"/>
        <item x="352"/>
        <item x="46"/>
        <item x="53"/>
        <item x="102"/>
        <item x="209"/>
        <item x="226"/>
        <item x="98"/>
        <item x="125"/>
        <item x="144"/>
        <item x="182"/>
        <item x="190"/>
        <item x="97"/>
        <item x="2"/>
        <item x="200"/>
        <item x="278"/>
        <item x="297"/>
        <item x="117"/>
        <item x="242"/>
        <item x="116"/>
        <item x="249"/>
        <item x="136"/>
        <item x="135"/>
        <item x="323"/>
        <item x="328"/>
        <item x="241"/>
        <item x="248"/>
        <item x="4"/>
        <item x="324"/>
        <item x="329"/>
        <item x="126"/>
        <item x="178"/>
        <item x="145"/>
        <item x="186"/>
        <item x="124"/>
        <item x="143"/>
        <item x="176"/>
        <item x="184"/>
        <item x="5"/>
        <item x="279"/>
        <item x="298"/>
        <item x="179"/>
        <item x="187"/>
        <item x="127"/>
        <item x="146"/>
        <item x="280"/>
        <item x="299"/>
        <item x="288"/>
        <item x="307"/>
        <item x="0"/>
        <item x="198"/>
        <item x="216"/>
        <item x="208"/>
        <item x="225"/>
        <item x="76"/>
        <item x="93"/>
        <item x="322"/>
        <item x="162"/>
        <item x="327"/>
        <item x="277"/>
        <item x="296"/>
        <item x="287"/>
        <item x="75"/>
        <item x="306"/>
        <item x="92"/>
        <item x="239"/>
        <item x="246"/>
        <item x="65"/>
        <item x="199"/>
        <item x="82"/>
        <item x="217"/>
        <item x="114"/>
        <item x="18"/>
        <item x="133"/>
        <item x="175"/>
        <item x="183"/>
        <item x="197"/>
        <item x="215"/>
        <item x="9"/>
        <item x="23"/>
        <item x="64"/>
        <item x="81"/>
        <item x="13"/>
        <item x="289"/>
        <item x="308"/>
        <item x="15"/>
        <item x="12"/>
        <item x="30"/>
        <item x="113"/>
        <item x="67"/>
        <item x="207"/>
        <item x="132"/>
        <item x="84"/>
        <item x="224"/>
        <item x="286"/>
        <item x="305"/>
        <item x="10"/>
        <item x="29"/>
        <item x="16"/>
        <item x="168"/>
        <item x="276"/>
        <item x="295"/>
        <item x="163"/>
        <item x="34"/>
        <item x="11"/>
        <item x="66"/>
        <item x="196"/>
        <item x="83"/>
        <item x="214"/>
        <item x="170"/>
        <item x="268"/>
        <item x="264"/>
        <item x="257"/>
        <item x="28"/>
        <item x="258"/>
        <item x="275"/>
        <item x="24"/>
        <item x="294"/>
        <item x="14"/>
        <item x="161"/>
        <item x="17"/>
        <item x="74"/>
        <item x="91"/>
        <item x="8"/>
        <item x="63"/>
        <item x="80"/>
        <item x="38"/>
        <item x="238"/>
        <item x="106"/>
        <item t="default"/>
      </items>
    </pivotField>
    <pivotField dataField="1" compact="0" outline="0" multipleItemSelectionAllowed="1" showAll="0">
      <items count="381">
        <item x="1"/>
        <item x="287"/>
        <item x="201"/>
        <item x="145"/>
        <item x="265"/>
        <item x="198"/>
        <item x="355"/>
        <item x="150"/>
        <item x="200"/>
        <item x="263"/>
        <item x="196"/>
        <item x="77"/>
        <item x="60"/>
        <item x="264"/>
        <item x="148"/>
        <item x="48"/>
        <item x="262"/>
        <item x="333"/>
        <item x="377"/>
        <item x="246"/>
        <item x="345"/>
        <item x="364"/>
        <item x="231"/>
        <item x="212"/>
        <item x="113"/>
        <item x="133"/>
        <item x="375"/>
        <item x="359"/>
        <item x="110"/>
        <item x="130"/>
        <item x="49"/>
        <item x="330"/>
        <item x="354"/>
        <item x="90"/>
        <item x="165"/>
        <item x="379"/>
        <item x="243"/>
        <item x="146"/>
        <item x="376"/>
        <item x="270"/>
        <item x="286"/>
        <item x="47"/>
        <item x="332"/>
        <item x="239"/>
        <item x="220"/>
        <item x="19"/>
        <item x="334"/>
        <item x="378"/>
        <item x="119"/>
        <item x="139"/>
        <item x="44"/>
        <item x="199"/>
        <item x="164"/>
        <item x="296"/>
        <item x="315"/>
        <item x="147"/>
        <item x="101"/>
        <item x="93"/>
        <item x="245"/>
        <item x="373"/>
        <item x="149"/>
        <item x="269"/>
        <item x="329"/>
        <item x="297"/>
        <item x="316"/>
        <item x="83"/>
        <item x="66"/>
        <item x="143"/>
        <item x="346"/>
        <item x="82"/>
        <item x="65"/>
        <item x="374"/>
        <item x="96"/>
        <item x="112"/>
        <item x="132"/>
        <item x="111"/>
        <item x="131"/>
        <item x="241"/>
        <item x="362"/>
        <item x="74"/>
        <item x="298"/>
        <item x="259"/>
        <item x="57"/>
        <item x="317"/>
        <item x="172"/>
        <item x="252"/>
        <item x="305"/>
        <item x="324"/>
        <item x="29"/>
        <item x="327"/>
        <item x="120"/>
        <item x="140"/>
        <item x="281"/>
        <item x="284"/>
        <item x="91"/>
        <item x="219"/>
        <item x="238"/>
        <item x="230"/>
        <item x="211"/>
        <item x="372"/>
        <item x="314"/>
        <item x="295"/>
        <item x="331"/>
        <item x="323"/>
        <item x="304"/>
        <item x="357"/>
        <item x="244"/>
        <item x="73"/>
        <item x="56"/>
        <item x="209"/>
        <item x="228"/>
        <item x="17"/>
        <item x="363"/>
        <item x="366"/>
        <item x="268"/>
        <item x="141"/>
        <item x="121"/>
        <item x="218"/>
        <item x="237"/>
        <item x="197"/>
        <item x="369"/>
        <item x="161"/>
        <item x="274"/>
        <item x="95"/>
        <item x="162"/>
        <item x="76"/>
        <item x="59"/>
        <item x="171"/>
        <item x="358"/>
        <item x="348"/>
        <item x="167"/>
        <item x="325"/>
        <item x="306"/>
        <item x="361"/>
        <item x="267"/>
        <item x="210"/>
        <item x="22"/>
        <item x="229"/>
        <item x="195"/>
        <item x="128"/>
        <item x="108"/>
        <item x="168"/>
        <item x="208"/>
        <item x="227"/>
        <item x="153"/>
        <item x="266"/>
        <item x="18"/>
        <item x="109"/>
        <item x="273"/>
        <item x="129"/>
        <item x="370"/>
        <item x="163"/>
        <item x="144"/>
        <item x="28"/>
        <item x="272"/>
        <item x="88"/>
        <item x="169"/>
        <item x="23"/>
        <item x="43"/>
        <item x="303"/>
        <item x="46"/>
        <item x="322"/>
        <item x="350"/>
        <item x="58"/>
        <item x="254"/>
        <item x="261"/>
        <item x="75"/>
        <item x="365"/>
        <item x="260"/>
        <item x="253"/>
        <item x="328"/>
        <item x="371"/>
        <item x="27"/>
        <item x="338"/>
        <item x="343"/>
        <item x="42"/>
        <item x="45"/>
        <item x="242"/>
        <item x="313"/>
        <item x="294"/>
        <item x="367"/>
        <item x="3"/>
        <item x="344"/>
        <item x="339"/>
        <item x="118"/>
        <item x="138"/>
        <item x="142"/>
        <item x="217"/>
        <item x="236"/>
        <item x="349"/>
        <item x="98"/>
        <item x="360"/>
        <item x="55"/>
        <item x="170"/>
        <item x="275"/>
        <item x="72"/>
        <item x="107"/>
        <item x="94"/>
        <item x="368"/>
        <item x="127"/>
        <item x="152"/>
        <item x="86"/>
        <item x="240"/>
        <item x="34"/>
        <item x="64"/>
        <item x="81"/>
        <item x="326"/>
        <item x="104"/>
        <item x="207"/>
        <item x="226"/>
        <item x="124"/>
        <item x="175"/>
        <item x="41"/>
        <item x="87"/>
        <item x="249"/>
        <item x="186"/>
        <item x="278"/>
        <item x="256"/>
        <item x="193"/>
        <item x="279"/>
        <item x="180"/>
        <item x="33"/>
        <item x="352"/>
        <item x="277"/>
        <item x="37"/>
        <item x="176"/>
        <item x="36"/>
        <item x="179"/>
        <item x="353"/>
        <item x="177"/>
        <item x="178"/>
        <item x="40"/>
        <item x="174"/>
        <item x="39"/>
        <item x="351"/>
        <item x="32"/>
        <item x="38"/>
        <item x="0"/>
        <item x="151"/>
        <item x="282"/>
        <item x="285"/>
        <item x="280"/>
        <item x="283"/>
        <item x="356"/>
        <item x="89"/>
        <item x="85"/>
        <item x="115"/>
        <item x="135"/>
        <item x="216"/>
        <item x="235"/>
        <item x="182"/>
        <item x="84"/>
        <item x="189"/>
        <item x="2"/>
        <item x="183"/>
        <item x="190"/>
        <item x="185"/>
        <item x="192"/>
        <item x="184"/>
        <item x="191"/>
        <item x="106"/>
        <item x="251"/>
        <item x="105"/>
        <item x="258"/>
        <item x="126"/>
        <item x="125"/>
        <item x="336"/>
        <item x="341"/>
        <item x="250"/>
        <item x="257"/>
        <item x="16"/>
        <item x="337"/>
        <item x="342"/>
        <item x="187"/>
        <item x="194"/>
        <item x="116"/>
        <item x="136"/>
        <item x="291"/>
        <item x="310"/>
        <item x="8"/>
        <item x="292"/>
        <item x="311"/>
        <item x="117"/>
        <item x="137"/>
        <item x="293"/>
        <item x="215"/>
        <item x="312"/>
        <item x="301"/>
        <item x="206"/>
        <item x="234"/>
        <item x="225"/>
        <item x="320"/>
        <item x="26"/>
        <item x="204"/>
        <item x="223"/>
        <item x="335"/>
        <item x="14"/>
        <item x="63"/>
        <item x="340"/>
        <item x="80"/>
        <item x="290"/>
        <item x="309"/>
        <item x="62"/>
        <item x="214"/>
        <item x="300"/>
        <item x="79"/>
        <item x="233"/>
        <item x="248"/>
        <item x="319"/>
        <item x="255"/>
        <item x="181"/>
        <item x="188"/>
        <item x="103"/>
        <item x="97"/>
        <item x="52"/>
        <item x="123"/>
        <item x="69"/>
        <item x="99"/>
        <item x="5"/>
        <item x="100"/>
        <item x="205"/>
        <item x="224"/>
        <item x="6"/>
        <item x="203"/>
        <item x="51"/>
        <item x="222"/>
        <item x="68"/>
        <item x="20"/>
        <item x="302"/>
        <item x="321"/>
        <item x="11"/>
        <item x="114"/>
        <item x="134"/>
        <item x="10"/>
        <item x="158"/>
        <item x="25"/>
        <item x="54"/>
        <item x="71"/>
        <item x="7"/>
        <item x="299"/>
        <item x="318"/>
        <item x="160"/>
        <item x="213"/>
        <item x="232"/>
        <item x="13"/>
        <item x="155"/>
        <item x="289"/>
        <item x="308"/>
        <item x="347"/>
        <item x="31"/>
        <item x="9"/>
        <item x="102"/>
        <item x="30"/>
        <item x="122"/>
        <item x="53"/>
        <item x="156"/>
        <item x="70"/>
        <item x="159"/>
        <item x="276"/>
        <item x="173"/>
        <item x="202"/>
        <item x="221"/>
        <item x="271"/>
        <item x="24"/>
        <item x="288"/>
        <item x="21"/>
        <item x="307"/>
        <item x="12"/>
        <item x="166"/>
        <item x="61"/>
        <item x="15"/>
        <item x="78"/>
        <item x="157"/>
        <item x="4"/>
        <item x="154"/>
        <item x="50"/>
        <item x="67"/>
        <item x="35"/>
        <item x="247"/>
        <item x="92"/>
        <item t="default"/>
      </items>
    </pivotField>
    <pivotField dataField="1" compact="0" outline="0" multipleItemSelectionAllowed="1" showAll="0">
      <items count="404">
        <item x="3"/>
        <item x="253"/>
        <item x="308"/>
        <item x="162"/>
        <item x="282"/>
        <item x="94"/>
        <item x="76"/>
        <item x="167"/>
        <item x="280"/>
        <item x="87"/>
        <item x="69"/>
        <item x="205"/>
        <item x="281"/>
        <item x="165"/>
        <item x="195"/>
        <item x="378"/>
        <item x="207"/>
        <item x="279"/>
        <item x="237"/>
        <item x="218"/>
        <item x="354"/>
        <item x="400"/>
        <item x="387"/>
        <item x="252"/>
        <item x="366"/>
        <item x="129"/>
        <item x="150"/>
        <item x="398"/>
        <item x="307"/>
        <item x="56"/>
        <item x="382"/>
        <item x="126"/>
        <item x="147"/>
        <item x="306"/>
        <item x="351"/>
        <item x="58"/>
        <item x="376"/>
        <item x="370"/>
        <item x="101"/>
        <item x="402"/>
        <item x="287"/>
        <item x="163"/>
        <item x="245"/>
        <item x="226"/>
        <item x="399"/>
        <item x="353"/>
        <item x="206"/>
        <item x="177"/>
        <item x="377"/>
        <item x="249"/>
        <item x="22"/>
        <item x="355"/>
        <item x="204"/>
        <item x="135"/>
        <item x="156"/>
        <item x="374"/>
        <item x="301"/>
        <item x="401"/>
        <item x="105"/>
        <item x="164"/>
        <item x="396"/>
        <item x="336"/>
        <item x="317"/>
        <item x="272"/>
        <item x="261"/>
        <item x="176"/>
        <item x="166"/>
        <item x="375"/>
        <item x="318"/>
        <item x="337"/>
        <item x="350"/>
        <item x="112"/>
        <item x="251"/>
        <item x="92"/>
        <item x="74"/>
        <item x="160"/>
        <item x="93"/>
        <item x="75"/>
        <item x="367"/>
        <item x="286"/>
        <item x="128"/>
        <item x="149"/>
        <item x="110"/>
        <item x="319"/>
        <item x="338"/>
        <item x="225"/>
        <item x="244"/>
        <item x="326"/>
        <item x="345"/>
        <item x="84"/>
        <item x="66"/>
        <item x="148"/>
        <item x="127"/>
        <item x="397"/>
        <item x="247"/>
        <item x="215"/>
        <item x="234"/>
        <item x="115"/>
        <item x="116"/>
        <item x="385"/>
        <item x="348"/>
        <item x="395"/>
        <item x="157"/>
        <item x="136"/>
        <item x="102"/>
        <item x="283"/>
        <item x="344"/>
        <item x="325"/>
        <item x="352"/>
        <item x="372"/>
        <item x="250"/>
        <item x="335"/>
        <item x="316"/>
        <item x="243"/>
        <item x="224"/>
        <item x="386"/>
        <item x="32"/>
        <item x="106"/>
        <item x="389"/>
        <item x="83"/>
        <item x="65"/>
        <item x="57"/>
        <item x="21"/>
        <item x="158"/>
        <item x="137"/>
        <item x="285"/>
        <item x="380"/>
        <item x="369"/>
        <item x="111"/>
        <item x="392"/>
        <item x="174"/>
        <item x="236"/>
        <item x="217"/>
        <item x="109"/>
        <item x="86"/>
        <item x="68"/>
        <item x="184"/>
        <item x="368"/>
        <item x="381"/>
        <item x="216"/>
        <item x="235"/>
        <item x="55"/>
        <item x="346"/>
        <item x="327"/>
        <item x="384"/>
        <item x="180"/>
        <item x="51"/>
        <item x="371"/>
        <item x="26"/>
        <item x="284"/>
        <item x="179"/>
        <item x="145"/>
        <item x="124"/>
        <item x="267"/>
        <item x="278"/>
        <item x="214"/>
        <item x="233"/>
        <item x="5"/>
        <item x="50"/>
        <item x="273"/>
        <item x="262"/>
        <item x="54"/>
        <item x="31"/>
        <item x="125"/>
        <item x="290"/>
        <item x="146"/>
        <item x="300"/>
        <item x="175"/>
        <item x="161"/>
        <item x="197"/>
        <item x="27"/>
        <item x="203"/>
        <item x="291"/>
        <item x="181"/>
        <item x="67"/>
        <item x="85"/>
        <item x="393"/>
        <item x="373"/>
        <item x="324"/>
        <item x="343"/>
        <item x="394"/>
        <item x="299"/>
        <item x="304"/>
        <item x="104"/>
        <item x="388"/>
        <item x="30"/>
        <item x="359"/>
        <item x="364"/>
        <item x="334"/>
        <item x="315"/>
        <item x="349"/>
        <item x="6"/>
        <item x="134"/>
        <item x="155"/>
        <item x="365"/>
        <item x="360"/>
        <item x="263"/>
        <item x="274"/>
        <item x="159"/>
        <item x="248"/>
        <item x="266"/>
        <item x="277"/>
        <item x="99"/>
        <item x="390"/>
        <item x="64"/>
        <item x="82"/>
        <item x="292"/>
        <item x="123"/>
        <item x="108"/>
        <item x="183"/>
        <item x="391"/>
        <item x="144"/>
        <item x="223"/>
        <item x="242"/>
        <item x="7"/>
        <item x="383"/>
        <item x="97"/>
        <item x="39"/>
        <item x="296"/>
        <item x="73"/>
        <item x="91"/>
        <item x="297"/>
        <item x="120"/>
        <item x="141"/>
        <item x="213"/>
        <item x="246"/>
        <item x="113"/>
        <item x="232"/>
        <item x="347"/>
        <item x="302"/>
        <item x="305"/>
        <item x="98"/>
        <item x="258"/>
        <item x="42"/>
        <item x="269"/>
        <item x="114"/>
        <item x="294"/>
        <item x="47"/>
        <item x="38"/>
        <item x="298"/>
        <item x="303"/>
        <item x="187"/>
        <item x="44"/>
        <item x="45"/>
        <item x="189"/>
        <item x="37"/>
        <item x="46"/>
        <item x="43"/>
        <item x="295"/>
        <item x="41"/>
        <item x="188"/>
        <item x="186"/>
        <item x="190"/>
        <item x="2"/>
        <item x="168"/>
        <item x="193"/>
        <item x="200"/>
        <item x="379"/>
        <item x="100"/>
        <item x="49"/>
        <item x="53"/>
        <item x="96"/>
        <item x="255"/>
        <item x="131"/>
        <item x="256"/>
        <item x="152"/>
        <item x="222"/>
        <item x="241"/>
        <item x="1"/>
        <item x="48"/>
        <item x="95"/>
        <item x="52"/>
        <item x="122"/>
        <item x="265"/>
        <item x="276"/>
        <item x="143"/>
        <item x="357"/>
        <item x="192"/>
        <item x="121"/>
        <item x="362"/>
        <item x="259"/>
        <item x="199"/>
        <item x="142"/>
        <item x="270"/>
        <item x="4"/>
        <item x="358"/>
        <item x="363"/>
        <item x="132"/>
        <item x="153"/>
        <item x="312"/>
        <item x="331"/>
        <item x="0"/>
        <item x="313"/>
        <item x="194"/>
        <item x="332"/>
        <item x="201"/>
        <item x="260"/>
        <item x="271"/>
        <item x="133"/>
        <item x="264"/>
        <item x="154"/>
        <item x="275"/>
        <item x="314"/>
        <item x="221"/>
        <item x="333"/>
        <item x="322"/>
        <item x="240"/>
        <item x="341"/>
        <item x="36"/>
        <item x="210"/>
        <item x="229"/>
        <item x="356"/>
        <item x="35"/>
        <item x="361"/>
        <item x="71"/>
        <item x="72"/>
        <item x="89"/>
        <item x="321"/>
        <item x="90"/>
        <item x="340"/>
        <item x="311"/>
        <item x="220"/>
        <item x="330"/>
        <item x="239"/>
        <item x="118"/>
        <item x="19"/>
        <item x="139"/>
        <item x="61"/>
        <item x="79"/>
        <item x="196"/>
        <item x="119"/>
        <item x="202"/>
        <item x="107"/>
        <item x="140"/>
        <item x="257"/>
        <item x="191"/>
        <item x="268"/>
        <item x="198"/>
        <item x="11"/>
        <item x="212"/>
        <item x="231"/>
        <item x="211"/>
        <item x="9"/>
        <item x="230"/>
        <item x="323"/>
        <item x="342"/>
        <item x="14"/>
        <item x="60"/>
        <item x="130"/>
        <item x="78"/>
        <item x="151"/>
        <item x="25"/>
        <item x="209"/>
        <item x="228"/>
        <item x="13"/>
        <item x="29"/>
        <item x="63"/>
        <item x="81"/>
        <item x="10"/>
        <item x="18"/>
        <item x="320"/>
        <item x="339"/>
        <item x="173"/>
        <item x="28"/>
        <item x="310"/>
        <item x="329"/>
        <item x="17"/>
        <item x="34"/>
        <item x="288"/>
        <item x="117"/>
        <item x="23"/>
        <item x="138"/>
        <item x="62"/>
        <item x="12"/>
        <item x="80"/>
        <item x="178"/>
        <item x="219"/>
        <item x="238"/>
        <item x="33"/>
        <item x="170"/>
        <item x="182"/>
        <item x="172"/>
        <item x="293"/>
        <item x="185"/>
        <item x="289"/>
        <item x="208"/>
        <item x="309"/>
        <item x="227"/>
        <item x="328"/>
        <item x="24"/>
        <item x="15"/>
        <item x="16"/>
        <item x="70"/>
        <item x="88"/>
        <item x="20"/>
        <item x="171"/>
        <item x="8"/>
        <item x="169"/>
        <item x="59"/>
        <item x="77"/>
        <item x="40"/>
        <item x="254"/>
        <item x="103"/>
        <item t="default"/>
      </items>
    </pivotField>
    <pivotField dataField="1" compact="0" outline="0" multipleItemSelectionAllowed="1" showAll="0">
      <items count="413">
        <item x="385"/>
        <item x="403"/>
        <item x="1"/>
        <item x="204"/>
        <item x="251"/>
        <item x="165"/>
        <item x="278"/>
        <item x="93"/>
        <item x="74"/>
        <item x="54"/>
        <item x="170"/>
        <item x="314"/>
        <item x="276"/>
        <item x="85"/>
        <item x="65"/>
        <item x="366"/>
        <item x="277"/>
        <item x="168"/>
        <item x="86"/>
        <item x="66"/>
        <item x="311"/>
        <item x="275"/>
        <item x="285"/>
        <item x="24"/>
        <item x="235"/>
        <item x="409"/>
        <item x="216"/>
        <item x="119"/>
        <item x="132"/>
        <item x="153"/>
        <item x="312"/>
        <item x="395"/>
        <item x="313"/>
        <item x="250"/>
        <item x="379"/>
        <item x="386"/>
        <item x="205"/>
        <item x="407"/>
        <item x="129"/>
        <item x="150"/>
        <item x="326"/>
        <item x="346"/>
        <item x="390"/>
        <item x="99"/>
        <item x="362"/>
        <item x="377"/>
        <item x="381"/>
        <item x="243"/>
        <item x="224"/>
        <item x="359"/>
        <item x="411"/>
        <item x="166"/>
        <item x="203"/>
        <item x="408"/>
        <item x="101"/>
        <item x="361"/>
        <item x="310"/>
        <item x="53"/>
        <item x="23"/>
        <item x="247"/>
        <item x="138"/>
        <item x="159"/>
        <item x="52"/>
        <item x="383"/>
        <item x="363"/>
        <item x="181"/>
        <item x="202"/>
        <item x="291"/>
        <item x="284"/>
        <item x="106"/>
        <item x="410"/>
        <item x="180"/>
        <item x="344"/>
        <item x="324"/>
        <item x="167"/>
        <item x="112"/>
        <item x="343"/>
        <item x="283"/>
        <item x="405"/>
        <item x="323"/>
        <item x="268"/>
        <item x="257"/>
        <item x="131"/>
        <item x="152"/>
        <item x="92"/>
        <item x="73"/>
        <item x="109"/>
        <item x="249"/>
        <item x="378"/>
        <item x="193"/>
        <item x="325"/>
        <item x="345"/>
        <item x="333"/>
        <item x="353"/>
        <item x="187"/>
        <item x="169"/>
        <item x="91"/>
        <item x="72"/>
        <item x="160"/>
        <item x="139"/>
        <item x="358"/>
        <item x="163"/>
        <item x="245"/>
        <item x="393"/>
        <item x="342"/>
        <item x="322"/>
        <item x="404"/>
        <item x="213"/>
        <item x="232"/>
        <item x="102"/>
        <item x="406"/>
        <item x="82"/>
        <item x="62"/>
        <item x="356"/>
        <item x="241"/>
        <item x="222"/>
        <item x="360"/>
        <item x="223"/>
        <item x="242"/>
        <item x="161"/>
        <item x="140"/>
        <item x="397"/>
        <item x="394"/>
        <item x="22"/>
        <item x="29"/>
        <item x="81"/>
        <item x="61"/>
        <item x="111"/>
        <item x="248"/>
        <item x="282"/>
        <item x="20"/>
        <item x="352"/>
        <item x="332"/>
        <item x="388"/>
        <item x="51"/>
        <item x="234"/>
        <item x="215"/>
        <item x="178"/>
        <item x="400"/>
        <item x="288"/>
        <item x="84"/>
        <item x="64"/>
        <item x="380"/>
        <item x="107"/>
        <item x="392"/>
        <item x="389"/>
        <item x="281"/>
        <item x="148"/>
        <item x="127"/>
        <item x="354"/>
        <item x="334"/>
        <item x="130"/>
        <item x="151"/>
        <item x="183"/>
        <item x="214"/>
        <item x="233"/>
        <item x="190"/>
        <item x="186"/>
        <item x="197"/>
        <item x="70"/>
        <item x="128"/>
        <item x="149"/>
        <item x="26"/>
        <item x="21"/>
        <item x="212"/>
        <item x="231"/>
        <item x="182"/>
        <item x="280"/>
        <item x="263"/>
        <item x="274"/>
        <item x="25"/>
        <item x="287"/>
        <item x="269"/>
        <item x="258"/>
        <item x="27"/>
        <item x="290"/>
        <item x="370"/>
        <item x="375"/>
        <item x="63"/>
        <item x="83"/>
        <item x="179"/>
        <item x="164"/>
        <item x="331"/>
        <item x="351"/>
        <item x="184"/>
        <item x="299"/>
        <item x="105"/>
        <item x="307"/>
        <item x="286"/>
        <item x="401"/>
        <item x="297"/>
        <item x="305"/>
        <item x="402"/>
        <item x="384"/>
        <item x="296"/>
        <item x="28"/>
        <item x="304"/>
        <item x="396"/>
        <item x="321"/>
        <item x="341"/>
        <item x="114"/>
        <item x="357"/>
        <item x="259"/>
        <item x="270"/>
        <item x="162"/>
        <item x="108"/>
        <item x="289"/>
        <item x="262"/>
        <item x="273"/>
        <item x="382"/>
        <item x="185"/>
        <item x="98"/>
        <item x="137"/>
        <item x="158"/>
        <item x="398"/>
        <item x="60"/>
        <item x="246"/>
        <item x="221"/>
        <item x="80"/>
        <item x="240"/>
        <item x="126"/>
        <item x="399"/>
        <item x="376"/>
        <item x="371"/>
        <item x="147"/>
        <item x="252"/>
        <item x="391"/>
        <item x="194"/>
        <item x="200"/>
        <item x="110"/>
        <item x="96"/>
        <item x="36"/>
        <item x="71"/>
        <item x="90"/>
        <item x="42"/>
        <item x="47"/>
        <item x="123"/>
        <item x="144"/>
        <item x="115"/>
        <item x="254"/>
        <item x="265"/>
        <item x="355"/>
        <item x="244"/>
        <item x="116"/>
        <item x="211"/>
        <item x="113"/>
        <item x="230"/>
        <item x="44"/>
        <item x="37"/>
        <item x="40"/>
        <item x="49"/>
        <item x="39"/>
        <item x="35"/>
        <item x="301"/>
        <item x="0"/>
        <item x="309"/>
        <item x="171"/>
        <item x="191"/>
        <item x="97"/>
        <item x="198"/>
        <item x="298"/>
        <item x="306"/>
        <item x="387"/>
        <item x="192"/>
        <item x="199"/>
        <item x="100"/>
        <item x="45"/>
        <item x="50"/>
        <item x="364"/>
        <item x="134"/>
        <item x="365"/>
        <item x="95"/>
        <item x="155"/>
        <item x="220"/>
        <item x="239"/>
        <item x="3"/>
        <item x="195"/>
        <item x="201"/>
        <item x="295"/>
        <item x="303"/>
        <item x="94"/>
        <item x="300"/>
        <item x="308"/>
        <item x="43"/>
        <item x="125"/>
        <item x="261"/>
        <item x="48"/>
        <item x="272"/>
        <item x="146"/>
        <item x="368"/>
        <item x="373"/>
        <item x="255"/>
        <item x="189"/>
        <item x="266"/>
        <item x="196"/>
        <item x="2"/>
        <item x="135"/>
        <item x="156"/>
        <item x="9"/>
        <item x="117"/>
        <item x="319"/>
        <item x="118"/>
        <item x="339"/>
        <item x="318"/>
        <item x="338"/>
        <item x="41"/>
        <item x="256"/>
        <item x="294"/>
        <item x="46"/>
        <item x="267"/>
        <item x="302"/>
        <item x="136"/>
        <item x="260"/>
        <item x="157"/>
        <item x="271"/>
        <item x="369"/>
        <item x="374"/>
        <item x="103"/>
        <item x="320"/>
        <item x="340"/>
        <item x="329"/>
        <item x="349"/>
        <item x="34"/>
        <item x="69"/>
        <item x="208"/>
        <item x="89"/>
        <item x="227"/>
        <item x="317"/>
        <item x="337"/>
        <item x="218"/>
        <item x="237"/>
        <item x="121"/>
        <item x="124"/>
        <item x="219"/>
        <item x="32"/>
        <item x="142"/>
        <item x="238"/>
        <item x="145"/>
        <item x="367"/>
        <item x="372"/>
        <item x="122"/>
        <item x="18"/>
        <item x="143"/>
        <item x="68"/>
        <item x="88"/>
        <item x="253"/>
        <item x="264"/>
        <item x="8"/>
        <item x="328"/>
        <item x="210"/>
        <item x="348"/>
        <item x="229"/>
        <item x="6"/>
        <item x="57"/>
        <item x="77"/>
        <item x="12"/>
        <item x="330"/>
        <item x="209"/>
        <item x="350"/>
        <item x="228"/>
        <item x="56"/>
        <item x="33"/>
        <item x="76"/>
        <item x="207"/>
        <item x="14"/>
        <item x="226"/>
        <item x="11"/>
        <item x="59"/>
        <item x="79"/>
        <item x="7"/>
        <item x="133"/>
        <item x="154"/>
        <item x="17"/>
        <item x="327"/>
        <item x="347"/>
        <item x="293"/>
        <item x="177"/>
        <item x="16"/>
        <item x="174"/>
        <item x="316"/>
        <item x="336"/>
        <item x="31"/>
        <item x="58"/>
        <item x="10"/>
        <item x="78"/>
        <item x="279"/>
        <item x="217"/>
        <item x="236"/>
        <item x="120"/>
        <item x="30"/>
        <item x="141"/>
        <item x="176"/>
        <item x="292"/>
        <item x="188"/>
        <item x="206"/>
        <item x="225"/>
        <item x="13"/>
        <item x="315"/>
        <item x="335"/>
        <item x="15"/>
        <item x="67"/>
        <item x="87"/>
        <item x="19"/>
        <item x="5"/>
        <item x="175"/>
        <item x="173"/>
        <item x="55"/>
        <item x="75"/>
        <item x="38"/>
        <item x="172"/>
        <item x="4"/>
        <item x="104"/>
        <item t="default"/>
      </items>
    </pivotField>
  </pivotFields>
  <rowFields count="1">
    <field x="-2"/>
  </rowFields>
  <row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rowItems>
  <colFields count="1">
    <field x="4"/>
  </colFields>
  <colItems count="7">
    <i>
      <x v="7"/>
    </i>
    <i>
      <x v="9"/>
    </i>
    <i>
      <x v="10"/>
    </i>
    <i>
      <x v="15"/>
    </i>
    <i>
      <x v="27"/>
    </i>
    <i>
      <x v="37"/>
    </i>
    <i t="grand">
      <x/>
    </i>
  </colItems>
  <pageFields count="4">
    <pageField fld="0"/>
    <pageField fld="1"/>
    <pageField fld="2"/>
    <pageField fld="3"/>
  </pageFields>
  <dataFields count="12">
    <dataField name="2024年1月" fld="5" baseField="0" baseItem="0"/>
    <dataField name="2024年2月" fld="6" baseField="0" baseItem="0"/>
    <dataField name="2024年3月" fld="7" baseField="0" baseItem="0"/>
    <dataField name="2024年4月" fld="8" baseField="0" baseItem="0"/>
    <dataField name="2024年5月" fld="9" baseField="0" baseItem="0"/>
    <dataField name="2024年6月" fld="10" baseField="0" baseItem="0"/>
    <dataField name="2024年7月" fld="11" baseField="0" baseItem="0"/>
    <dataField name="2024年8月" fld="12" baseField="0" baseItem="0"/>
    <dataField name="2024年9月" fld="13" baseField="0" baseItem="0"/>
    <dataField name="2024年10月" fld="14" baseField="0" baseItem="0"/>
    <dataField name="2024年11月" fld="15" baseField="0" baseItem="0"/>
    <dataField name="2024年12月" fld="16" baseField="0" baseItem="0"/>
  </dataFields>
  <pivotTableStyleInfo showRowHeaders="1" showColHeaders="1" showLastColumn="1"/>
</pivotTableDefinition>
</file>

<file path=xl/pivotTables/pivotTable12.xml><?xml version="1.0" encoding="utf-8"?>
<pivotTableDefinition xmlns="http://schemas.openxmlformats.org/spreadsheetml/2006/main" name="2024统计 6" cacheId="1" dataOnRows="1" autoFormatId="1" applyNumberFormats="0" applyBorderFormats="0" applyFontFormats="0" applyPatternFormats="0" applyAlignmentFormats="0" applyWidthHeightFormats="1" dataCaption="" updatedVersion="5" compact="0" compactData="0" showDrill="1">
  <location ref="T41:Z54" firstHeaderRow="1" firstDataRow="2" firstDataCol="1" rowPageCount="4" colPageCount="1"/>
  <pivotFields count="17">
    <pivotField axis="axisPage" compact="0" outline="0" multipleItemSelectionAllowed="1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Page" compact="0" outline="0" multipleItemSelectionAllowed="1" showAll="0">
      <items count="4">
        <item h="1" x="0"/>
        <item x="1"/>
        <item h="1" x="2"/>
        <item t="default"/>
      </items>
    </pivotField>
    <pivotField axis="axisPage" compact="0" outline="0" multipleItemSelectionAllowed="1" showAll="0">
      <items count="9">
        <item h="1" x="0"/>
        <item h="1" x="1"/>
        <item h="1" x="2"/>
        <item h="1" x="3"/>
        <item h="1" x="4"/>
        <item h="1" x="5"/>
        <item x="6"/>
        <item h="1" x="7"/>
        <item t="default"/>
      </items>
    </pivotField>
    <pivotField axis="axisPage" compact="0" outline="0" multipleItemSelectionAllowed="1" showAll="0">
      <items count="18">
        <item h="1" x="0"/>
        <item h="1" x="1"/>
        <item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t="default"/>
      </items>
    </pivotField>
    <pivotField axis="axisCol" compact="0" sortType="ascending" outline="0" multipleItemSelectionAllowed="1" showAll="0">
      <items count="39">
        <item x="21"/>
        <item x="24"/>
        <item x="27"/>
        <item x="12"/>
        <item x="18"/>
        <item x="33"/>
        <item x="17"/>
        <item x="4"/>
        <item x="20"/>
        <item x="3"/>
        <item x="1"/>
        <item x="8"/>
        <item x="7"/>
        <item x="15"/>
        <item x="16"/>
        <item x="5"/>
        <item x="9"/>
        <item x="31"/>
        <item x="29"/>
        <item x="30"/>
        <item x="23"/>
        <item x="26"/>
        <item x="0"/>
        <item x="14"/>
        <item x="11"/>
        <item x="10"/>
        <item x="32"/>
        <item x="6"/>
        <item x="22"/>
        <item x="25"/>
        <item x="28"/>
        <item x="13"/>
        <item x="19"/>
        <item x="34"/>
        <item x="37"/>
        <item x="35"/>
        <item x="36"/>
        <item x="2"/>
        <item t="default"/>
      </items>
    </pivotField>
    <pivotField dataField="1" compact="0" outline="0" multipleItemSelectionAllowed="1" showAll="0">
      <items count="134">
        <item x="5"/>
        <item x="117"/>
        <item x="130"/>
        <item x="125"/>
        <item x="97"/>
        <item x="96"/>
        <item x="95"/>
        <item x="94"/>
        <item x="129"/>
        <item x="93"/>
        <item x="124"/>
        <item x="105"/>
        <item x="127"/>
        <item x="100"/>
        <item x="128"/>
        <item x="92"/>
        <item x="116"/>
        <item x="115"/>
        <item x="70"/>
        <item x="43"/>
        <item x="46"/>
        <item x="53"/>
        <item x="60"/>
        <item x="45"/>
        <item x="126"/>
        <item x="57"/>
        <item x="50"/>
        <item x="51"/>
        <item x="58"/>
        <item x="12"/>
        <item x="83"/>
        <item x="89"/>
        <item x="120"/>
        <item x="15"/>
        <item x="118"/>
        <item x="49"/>
        <item x="56"/>
        <item x="19"/>
        <item x="76"/>
        <item x="44"/>
        <item x="35"/>
        <item x="41"/>
        <item x="55"/>
        <item x="48"/>
        <item x="73"/>
        <item x="71"/>
        <item x="21"/>
        <item x="18"/>
        <item x="103"/>
        <item x="98"/>
        <item x="42"/>
        <item x="20"/>
        <item x="110"/>
        <item x="113"/>
        <item x="25"/>
        <item x="13"/>
        <item x="69"/>
        <item x="47"/>
        <item x="54"/>
        <item x="23"/>
        <item x="106"/>
        <item x="101"/>
        <item x="68"/>
        <item x="16"/>
        <item x="32"/>
        <item x="26"/>
        <item x="33"/>
        <item x="39"/>
        <item x="131"/>
        <item x="22"/>
        <item x="132"/>
        <item x="102"/>
        <item x="107"/>
        <item x="27"/>
        <item x="78"/>
        <item x="77"/>
        <item x="61"/>
        <item x="31"/>
        <item x="99"/>
        <item x="104"/>
        <item x="38"/>
        <item x="17"/>
        <item x="72"/>
        <item x="74"/>
        <item x="79"/>
        <item x="52"/>
        <item x="59"/>
        <item x="119"/>
        <item x="121"/>
        <item x="63"/>
        <item x="66"/>
        <item x="122"/>
        <item x="123"/>
        <item x="30"/>
        <item x="4"/>
        <item x="81"/>
        <item x="87"/>
        <item x="29"/>
        <item x="37"/>
        <item x="84"/>
        <item x="90"/>
        <item x="1"/>
        <item x="111"/>
        <item x="114"/>
        <item x="109"/>
        <item x="112"/>
        <item x="85"/>
        <item x="91"/>
        <item x="64"/>
        <item x="67"/>
        <item x="82"/>
        <item x="88"/>
        <item x="7"/>
        <item x="34"/>
        <item x="40"/>
        <item x="62"/>
        <item x="65"/>
        <item x="3"/>
        <item x="28"/>
        <item x="36"/>
        <item x="80"/>
        <item x="86"/>
        <item x="2"/>
        <item x="11"/>
        <item x="14"/>
        <item x="10"/>
        <item x="6"/>
        <item x="8"/>
        <item x="75"/>
        <item x="9"/>
        <item x="0"/>
        <item x="24"/>
        <item x="108"/>
        <item t="default"/>
      </items>
    </pivotField>
    <pivotField dataField="1" compact="0" outline="0" multipleItemSelectionAllowed="1" showAll="0">
      <items count="202">
        <item x="1"/>
        <item x="200"/>
        <item x="158"/>
        <item x="115"/>
        <item x="183"/>
        <item x="72"/>
        <item x="187"/>
        <item x="145"/>
        <item x="144"/>
        <item x="143"/>
        <item x="198"/>
        <item x="141"/>
        <item x="134"/>
        <item x="122"/>
        <item x="186"/>
        <item x="194"/>
        <item x="49"/>
        <item x="63"/>
        <item x="91"/>
        <item x="68"/>
        <item x="189"/>
        <item x="199"/>
        <item x="67"/>
        <item x="191"/>
        <item x="62"/>
        <item x="48"/>
        <item x="43"/>
        <item x="135"/>
        <item x="58"/>
        <item x="123"/>
        <item x="152"/>
        <item x="106"/>
        <item x="97"/>
        <item x="41"/>
        <item x="56"/>
        <item x="99"/>
        <item x="173"/>
        <item x="162"/>
        <item x="176"/>
        <item x="157"/>
        <item x="174"/>
        <item x="6"/>
        <item x="163"/>
        <item x="165"/>
        <item x="114"/>
        <item x="188"/>
        <item x="156"/>
        <item x="113"/>
        <item x="92"/>
        <item x="119"/>
        <item x="131"/>
        <item x="142"/>
        <item x="55"/>
        <item x="40"/>
        <item x="180"/>
        <item x="169"/>
        <item x="182"/>
        <item x="20"/>
        <item x="195"/>
        <item x="181"/>
        <item x="140"/>
        <item x="196"/>
        <item x="190"/>
        <item x="85"/>
        <item x="77"/>
        <item x="84"/>
        <item x="76"/>
        <item x="146"/>
        <item x="66"/>
        <item x="46"/>
        <item x="60"/>
        <item x="39"/>
        <item x="54"/>
        <item x="11"/>
        <item x="32"/>
        <item x="132"/>
        <item x="120"/>
        <item x="95"/>
        <item x="21"/>
        <item x="98"/>
        <item x="65"/>
        <item x="64"/>
        <item x="149"/>
        <item x="7"/>
        <item x="154"/>
        <item x="160"/>
        <item x="150"/>
        <item x="171"/>
        <item x="108"/>
        <item x="192"/>
        <item x="12"/>
        <item x="90"/>
        <item x="26"/>
        <item x="89"/>
        <item x="167"/>
        <item x="28"/>
        <item x="178"/>
        <item x="24"/>
        <item x="25"/>
        <item x="8"/>
        <item x="107"/>
        <item x="45"/>
        <item x="111"/>
        <item x="38"/>
        <item x="29"/>
        <item x="53"/>
        <item x="57"/>
        <item x="42"/>
        <item x="138"/>
        <item x="126"/>
        <item x="22"/>
        <item x="127"/>
        <item x="139"/>
        <item x="96"/>
        <item x="147"/>
        <item x="23"/>
        <item x="151"/>
        <item x="155"/>
        <item x="30"/>
        <item x="78"/>
        <item x="86"/>
        <item x="121"/>
        <item x="133"/>
        <item x="193"/>
        <item x="100"/>
        <item x="164"/>
        <item x="36"/>
        <item x="175"/>
        <item x="148"/>
        <item x="153"/>
        <item x="52"/>
        <item x="104"/>
        <item x="101"/>
        <item x="14"/>
        <item x="103"/>
        <item x="70"/>
        <item x="109"/>
        <item x="71"/>
        <item x="112"/>
        <item x="80"/>
        <item x="88"/>
        <item x="197"/>
        <item x="102"/>
        <item x="168"/>
        <item x="74"/>
        <item x="179"/>
        <item x="105"/>
        <item x="110"/>
        <item x="82"/>
        <item x="47"/>
        <item x="61"/>
        <item x="184"/>
        <item x="185"/>
        <item x="35"/>
        <item x="2"/>
        <item x="117"/>
        <item x="129"/>
        <item x="34"/>
        <item x="51"/>
        <item x="0"/>
        <item x="161"/>
        <item x="172"/>
        <item x="124"/>
        <item x="136"/>
        <item x="166"/>
        <item x="177"/>
        <item x="125"/>
        <item x="137"/>
        <item x="75"/>
        <item x="83"/>
        <item x="31"/>
        <item x="4"/>
        <item x="159"/>
        <item x="170"/>
        <item x="118"/>
        <item x="37"/>
        <item x="130"/>
        <item x="79"/>
        <item x="87"/>
        <item x="5"/>
        <item x="73"/>
        <item x="81"/>
        <item x="16"/>
        <item x="116"/>
        <item x="128"/>
        <item x="13"/>
        <item x="44"/>
        <item x="59"/>
        <item x="9"/>
        <item x="33"/>
        <item x="50"/>
        <item x="10"/>
        <item x="3"/>
        <item x="19"/>
        <item x="94"/>
        <item x="17"/>
        <item x="93"/>
        <item x="18"/>
        <item x="15"/>
        <item x="27"/>
        <item x="69"/>
        <item t="default"/>
      </items>
    </pivotField>
    <pivotField dataField="1" compact="0" outline="0" multipleItemSelectionAllowed="1" showAll="0">
      <items count="241">
        <item x="1"/>
        <item x="238"/>
        <item x="100"/>
        <item x="219"/>
        <item x="39"/>
        <item x="161"/>
        <item x="160"/>
        <item x="128"/>
        <item x="185"/>
        <item x="237"/>
        <item x="157"/>
        <item x="56"/>
        <item x="72"/>
        <item x="184"/>
        <item x="218"/>
        <item x="223"/>
        <item x="159"/>
        <item x="215"/>
        <item x="102"/>
        <item x="222"/>
        <item x="151"/>
        <item x="138"/>
        <item x="208"/>
        <item x="195"/>
        <item x="77"/>
        <item x="235"/>
        <item x="239"/>
        <item x="50"/>
        <item x="66"/>
        <item x="127"/>
        <item x="150"/>
        <item x="137"/>
        <item x="236"/>
        <item x="183"/>
        <item x="76"/>
        <item x="126"/>
        <item x="149"/>
        <item x="136"/>
        <item x="225"/>
        <item x="109"/>
        <item x="8"/>
        <item x="79"/>
        <item x="182"/>
        <item x="63"/>
        <item x="47"/>
        <item x="164"/>
        <item x="205"/>
        <item x="192"/>
        <item x="193"/>
        <item x="206"/>
        <item x="229"/>
        <item x="22"/>
        <item x="226"/>
        <item x="221"/>
        <item x="108"/>
        <item x="55"/>
        <item x="71"/>
        <item x="111"/>
        <item x="232"/>
        <item x="48"/>
        <item x="220"/>
        <item x="64"/>
        <item x="13"/>
        <item x="46"/>
        <item x="62"/>
        <item x="95"/>
        <item x="86"/>
        <item x="158"/>
        <item x="231"/>
        <item x="228"/>
        <item x="214"/>
        <item x="94"/>
        <item x="85"/>
        <item x="28"/>
        <item x="156"/>
        <item x="75"/>
        <item x="53"/>
        <item x="69"/>
        <item x="9"/>
        <item x="213"/>
        <item x="16"/>
        <item x="194"/>
        <item x="207"/>
        <item x="163"/>
        <item x="73"/>
        <item x="106"/>
        <item x="224"/>
        <item x="14"/>
        <item x="190"/>
        <item x="133"/>
        <item x="38"/>
        <item x="230"/>
        <item x="37"/>
        <item x="227"/>
        <item x="110"/>
        <item x="25"/>
        <item x="134"/>
        <item x="147"/>
        <item x="101"/>
        <item x="116"/>
        <item x="123"/>
        <item x="29"/>
        <item x="211"/>
        <item x="198"/>
        <item x="26"/>
        <item x="99"/>
        <item x="107"/>
        <item x="117"/>
        <item x="155"/>
        <item x="142"/>
        <item x="234"/>
        <item x="30"/>
        <item x="10"/>
        <item x="45"/>
        <item x="61"/>
        <item x="172"/>
        <item x="135"/>
        <item x="148"/>
        <item x="178"/>
        <item x="191"/>
        <item x="204"/>
        <item x="212"/>
        <item x="199"/>
        <item x="15"/>
        <item x="174"/>
        <item x="132"/>
        <item x="180"/>
        <item x="146"/>
        <item x="65"/>
        <item x="49"/>
        <item x="165"/>
        <item x="233"/>
        <item x="141"/>
        <item x="154"/>
        <item x="166"/>
        <item x="167"/>
        <item x="87"/>
        <item x="96"/>
        <item x="24"/>
        <item x="78"/>
        <item x="74"/>
        <item x="168"/>
        <item x="169"/>
        <item x="80"/>
        <item x="83"/>
        <item x="92"/>
        <item x="89"/>
        <item x="98"/>
        <item x="188"/>
        <item x="32"/>
        <item x="202"/>
        <item x="35"/>
        <item x="112"/>
        <item x="70"/>
        <item x="54"/>
        <item x="115"/>
        <item x="173"/>
        <item x="82"/>
        <item x="122"/>
        <item x="179"/>
        <item x="91"/>
        <item x="216"/>
        <item x="217"/>
        <item x="42"/>
        <item x="4"/>
        <item x="119"/>
        <item x="125"/>
        <item x="52"/>
        <item x="68"/>
        <item x="43"/>
        <item x="59"/>
        <item x="41"/>
        <item x="58"/>
        <item x="33"/>
        <item x="36"/>
        <item x="2"/>
        <item x="114"/>
        <item x="189"/>
        <item x="121"/>
        <item x="203"/>
        <item x="118"/>
        <item x="124"/>
        <item x="31"/>
        <item x="34"/>
        <item x="84"/>
        <item x="93"/>
        <item x="6"/>
        <item x="196"/>
        <item x="209"/>
        <item x="130"/>
        <item x="175"/>
        <item x="144"/>
        <item x="171"/>
        <item x="181"/>
        <item x="177"/>
        <item x="88"/>
        <item x="97"/>
        <item x="113"/>
        <item x="120"/>
        <item x="187"/>
        <item x="197"/>
        <item x="201"/>
        <item x="210"/>
        <item x="140"/>
        <item x="153"/>
        <item x="3"/>
        <item x="131"/>
        <item x="145"/>
        <item x="81"/>
        <item x="90"/>
        <item x="170"/>
        <item x="176"/>
        <item x="139"/>
        <item x="5"/>
        <item x="152"/>
        <item x="44"/>
        <item x="60"/>
        <item x="0"/>
        <item x="11"/>
        <item x="186"/>
        <item x="200"/>
        <item x="23"/>
        <item x="51"/>
        <item x="67"/>
        <item x="129"/>
        <item x="143"/>
        <item x="18"/>
        <item x="40"/>
        <item x="57"/>
        <item x="162"/>
        <item x="21"/>
        <item x="12"/>
        <item x="7"/>
        <item x="105"/>
        <item x="104"/>
        <item x="19"/>
        <item x="20"/>
        <item x="17"/>
        <item x="27"/>
        <item x="103"/>
        <item t="default"/>
      </items>
    </pivotField>
    <pivotField dataField="1" compact="0" outline="0" multipleItemSelectionAllowed="1" showAll="0">
      <items count="271">
        <item x="0"/>
        <item x="53"/>
        <item x="207"/>
        <item x="56"/>
        <item x="268"/>
        <item x="141"/>
        <item x="122"/>
        <item x="206"/>
        <item x="249"/>
        <item x="177"/>
        <item x="176"/>
        <item x="208"/>
        <item x="203"/>
        <item x="97"/>
        <item x="180"/>
        <item x="100"/>
        <item x="171"/>
        <item x="157"/>
        <item x="267"/>
        <item x="173"/>
        <item x="244"/>
        <item x="224"/>
        <item x="240"/>
        <item x="55"/>
        <item x="248"/>
        <item x="52"/>
        <item x="266"/>
        <item x="175"/>
        <item x="124"/>
        <item x="205"/>
        <item x="254"/>
        <item x="166"/>
        <item x="152"/>
        <item x="67"/>
        <item x="84"/>
        <item x="264"/>
        <item x="269"/>
        <item x="165"/>
        <item x="151"/>
        <item x="265"/>
        <item x="94"/>
        <item x="131"/>
        <item x="253"/>
        <item x="243"/>
        <item x="22"/>
        <item x="164"/>
        <item x="150"/>
        <item x="73"/>
        <item x="90"/>
        <item x="232"/>
        <item x="216"/>
        <item x="26"/>
        <item x="81"/>
        <item x="64"/>
        <item x="217"/>
        <item x="233"/>
        <item x="258"/>
        <item x="255"/>
        <item x="252"/>
        <item x="72"/>
        <item x="89"/>
        <item x="108"/>
        <item x="7"/>
        <item x="118"/>
        <item x="139"/>
        <item x="63"/>
        <item x="140"/>
        <item x="80"/>
        <item x="23"/>
        <item x="261"/>
        <item x="204"/>
        <item x="234"/>
        <item x="218"/>
        <item x="116"/>
        <item x="106"/>
        <item x="31"/>
        <item x="115"/>
        <item x="105"/>
        <item x="130"/>
        <item x="174"/>
        <item x="260"/>
        <item x="257"/>
        <item x="42"/>
        <item x="47"/>
        <item x="202"/>
        <item x="54"/>
        <item x="134"/>
        <item x="51"/>
        <item x="93"/>
        <item x="172"/>
        <item x="25"/>
        <item x="95"/>
        <item x="8"/>
        <item x="189"/>
        <item x="27"/>
        <item x="65"/>
        <item x="82"/>
        <item x="11"/>
        <item x="128"/>
        <item x="193"/>
        <item x="201"/>
        <item x="219"/>
        <item x="235"/>
        <item x="251"/>
        <item x="37"/>
        <item x="239"/>
        <item x="223"/>
        <item x="215"/>
        <item x="231"/>
        <item x="147"/>
        <item x="242"/>
        <item x="259"/>
        <item x="256"/>
        <item x="148"/>
        <item x="162"/>
        <item x="9"/>
        <item x="123"/>
        <item x="250"/>
        <item x="187"/>
        <item x="196"/>
        <item x="129"/>
        <item x="30"/>
        <item x="12"/>
        <item x="241"/>
        <item x="121"/>
        <item x="170"/>
        <item x="156"/>
        <item x="146"/>
        <item x="263"/>
        <item x="83"/>
        <item x="66"/>
        <item x="38"/>
        <item x="62"/>
        <item x="133"/>
        <item x="149"/>
        <item x="163"/>
        <item x="79"/>
        <item x="24"/>
        <item x="91"/>
        <item x="222"/>
        <item x="238"/>
        <item x="117"/>
        <item x="107"/>
        <item x="155"/>
        <item x="169"/>
        <item x="262"/>
        <item x="181"/>
        <item x="35"/>
        <item x="36"/>
        <item x="34"/>
        <item x="98"/>
        <item x="183"/>
        <item x="28"/>
        <item x="99"/>
        <item x="188"/>
        <item x="197"/>
        <item x="145"/>
        <item x="40"/>
        <item x="96"/>
        <item x="161"/>
        <item x="92"/>
        <item x="45"/>
        <item x="50"/>
        <item x="120"/>
        <item x="110"/>
        <item x="184"/>
        <item x="14"/>
        <item x="32"/>
        <item x="103"/>
        <item x="113"/>
        <item x="88"/>
        <item x="71"/>
        <item x="39"/>
        <item x="178"/>
        <item x="179"/>
        <item x="102"/>
        <item x="136"/>
        <item x="112"/>
        <item x="138"/>
        <item x="135"/>
        <item x="137"/>
        <item x="70"/>
        <item x="87"/>
        <item x="246"/>
        <item x="247"/>
        <item x="2"/>
        <item x="44"/>
        <item x="49"/>
        <item x="59"/>
        <item x="76"/>
        <item x="211"/>
        <item x="227"/>
        <item x="192"/>
        <item x="200"/>
        <item x="186"/>
        <item x="195"/>
        <item x="69"/>
        <item x="86"/>
        <item x="212"/>
        <item x="228"/>
        <item x="58"/>
        <item x="75"/>
        <item x="43"/>
        <item x="48"/>
        <item x="41"/>
        <item x="4"/>
        <item x="46"/>
        <item x="213"/>
        <item x="229"/>
        <item x="104"/>
        <item x="114"/>
        <item x="5"/>
        <item x="60"/>
        <item x="77"/>
        <item x="143"/>
        <item x="159"/>
        <item x="109"/>
        <item x="119"/>
        <item x="154"/>
        <item x="168"/>
        <item x="3"/>
        <item x="144"/>
        <item x="160"/>
        <item x="190"/>
        <item x="198"/>
        <item x="214"/>
        <item x="191"/>
        <item x="230"/>
        <item x="199"/>
        <item x="153"/>
        <item x="101"/>
        <item x="1"/>
        <item x="167"/>
        <item x="221"/>
        <item x="210"/>
        <item x="111"/>
        <item x="237"/>
        <item x="226"/>
        <item x="61"/>
        <item x="78"/>
        <item x="13"/>
        <item x="10"/>
        <item x="185"/>
        <item x="194"/>
        <item x="6"/>
        <item x="220"/>
        <item x="236"/>
        <item x="16"/>
        <item x="142"/>
        <item x="158"/>
        <item x="68"/>
        <item x="85"/>
        <item x="126"/>
        <item x="20"/>
        <item x="57"/>
        <item x="74"/>
        <item x="29"/>
        <item x="17"/>
        <item x="21"/>
        <item x="209"/>
        <item x="132"/>
        <item x="225"/>
        <item x="182"/>
        <item x="127"/>
        <item x="18"/>
        <item x="125"/>
        <item x="19"/>
        <item x="15"/>
        <item x="33"/>
        <item x="245"/>
        <item t="default"/>
      </items>
    </pivotField>
    <pivotField dataField="1" compact="0" outline="0" multipleItemSelectionAllowed="1" showAll="0">
      <items count="336">
        <item x="2"/>
        <item x="171"/>
        <item x="313"/>
        <item x="118"/>
        <item x="209"/>
        <item x="119"/>
        <item x="314"/>
        <item x="155"/>
        <item x="172"/>
        <item x="170"/>
        <item x="117"/>
        <item x="311"/>
        <item x="116"/>
        <item x="214"/>
        <item x="210"/>
        <item x="86"/>
        <item x="69"/>
        <item x="99"/>
        <item x="204"/>
        <item x="189"/>
        <item x="223"/>
        <item x="151"/>
        <item x="154"/>
        <item x="211"/>
        <item x="308"/>
        <item x="249"/>
        <item x="294"/>
        <item x="332"/>
        <item x="302"/>
        <item x="206"/>
        <item x="208"/>
        <item x="248"/>
        <item x="331"/>
        <item x="306"/>
        <item x="198"/>
        <item x="312"/>
        <item x="310"/>
        <item x="183"/>
        <item x="318"/>
        <item x="333"/>
        <item x="153"/>
        <item x="323"/>
        <item x="197"/>
        <item x="182"/>
        <item x="22"/>
        <item x="334"/>
        <item x="246"/>
        <item x="160"/>
        <item x="251"/>
        <item x="329"/>
        <item x="250"/>
        <item x="92"/>
        <item x="75"/>
        <item x="295"/>
        <item x="129"/>
        <item x="144"/>
        <item x="307"/>
        <item x="296"/>
        <item x="270"/>
        <item x="289"/>
        <item x="141"/>
        <item x="309"/>
        <item x="126"/>
        <item x="322"/>
        <item x="330"/>
        <item x="293"/>
        <item x="82"/>
        <item x="65"/>
        <item x="58"/>
        <item x="260"/>
        <item x="279"/>
        <item x="18"/>
        <item x="91"/>
        <item x="74"/>
        <item x="299"/>
        <item x="247"/>
        <item x="280"/>
        <item x="261"/>
        <item x="304"/>
        <item x="305"/>
        <item x="83"/>
        <item x="66"/>
        <item x="319"/>
        <item x="303"/>
        <item x="291"/>
        <item x="317"/>
        <item x="149"/>
        <item x="134"/>
        <item x="226"/>
        <item x="186"/>
        <item x="201"/>
        <item x="101"/>
        <item x="316"/>
        <item x="28"/>
        <item x="165"/>
        <item x="168"/>
        <item x="24"/>
        <item x="269"/>
        <item x="288"/>
        <item x="181"/>
        <item x="196"/>
        <item x="133"/>
        <item x="148"/>
        <item x="326"/>
        <item x="207"/>
        <item x="19"/>
        <item x="278"/>
        <item x="259"/>
        <item x="103"/>
        <item x="205"/>
        <item x="221"/>
        <item x="217"/>
        <item x="262"/>
        <item x="281"/>
        <item x="55"/>
        <item x="97"/>
        <item x="158"/>
        <item x="325"/>
        <item x="324"/>
        <item x="287"/>
        <item x="268"/>
        <item x="143"/>
        <item x="128"/>
        <item x="21"/>
        <item x="142"/>
        <item x="127"/>
        <item x="161"/>
        <item x="321"/>
        <item x="27"/>
        <item x="125"/>
        <item x="140"/>
        <item x="225"/>
        <item x="179"/>
        <item x="194"/>
        <item x="8"/>
        <item x="85"/>
        <item x="68"/>
        <item x="320"/>
        <item x="178"/>
        <item x="147"/>
        <item x="132"/>
        <item x="237"/>
        <item x="224"/>
        <item x="258"/>
        <item x="277"/>
        <item x="243"/>
        <item x="292"/>
        <item x="152"/>
        <item x="227"/>
        <item x="203"/>
        <item x="188"/>
        <item x="159"/>
        <item x="328"/>
        <item x="20"/>
        <item x="180"/>
        <item x="195"/>
        <item x="100"/>
        <item x="315"/>
        <item x="177"/>
        <item x="150"/>
        <item x="162"/>
        <item x="95"/>
        <item x="67"/>
        <item x="228"/>
        <item x="84"/>
        <item x="64"/>
        <item x="81"/>
        <item x="290"/>
        <item x="267"/>
        <item x="286"/>
        <item x="110"/>
        <item x="10"/>
        <item x="115"/>
        <item x="229"/>
        <item x="26"/>
        <item x="187"/>
        <item x="202"/>
        <item x="327"/>
        <item x="102"/>
        <item x="124"/>
        <item x="139"/>
        <item x="9"/>
        <item x="33"/>
        <item x="56"/>
        <item x="57"/>
        <item x="35"/>
        <item x="218"/>
        <item x="222"/>
        <item x="96"/>
        <item x="122"/>
        <item x="137"/>
        <item x="32"/>
        <item x="54"/>
        <item x="30"/>
        <item x="105"/>
        <item x="73"/>
        <item x="90"/>
        <item x="216"/>
        <item x="233"/>
        <item x="220"/>
        <item x="34"/>
        <item x="104"/>
        <item x="29"/>
        <item x="231"/>
        <item x="232"/>
        <item x="36"/>
        <item x="53"/>
        <item x="1"/>
        <item x="156"/>
        <item x="166"/>
        <item x="169"/>
        <item x="44"/>
        <item x="52"/>
        <item x="164"/>
        <item x="167"/>
        <item x="131"/>
        <item x="146"/>
        <item x="98"/>
        <item x="93"/>
        <item x="266"/>
        <item x="94"/>
        <item x="285"/>
        <item x="109"/>
        <item x="38"/>
        <item x="114"/>
        <item x="176"/>
        <item x="46"/>
        <item x="193"/>
        <item x="255"/>
        <item x="274"/>
        <item x="297"/>
        <item x="298"/>
        <item x="3"/>
        <item x="238"/>
        <item x="244"/>
        <item x="72"/>
        <item x="89"/>
        <item x="107"/>
        <item x="256"/>
        <item x="112"/>
        <item x="275"/>
        <item x="235"/>
        <item x="241"/>
        <item x="108"/>
        <item x="123"/>
        <item x="113"/>
        <item x="43"/>
        <item x="138"/>
        <item x="51"/>
        <item x="300"/>
        <item x="236"/>
        <item x="301"/>
        <item x="212"/>
        <item x="242"/>
        <item x="213"/>
        <item x="0"/>
        <item x="121"/>
        <item x="136"/>
        <item x="239"/>
        <item x="245"/>
        <item x="39"/>
        <item x="174"/>
        <item x="47"/>
        <item x="191"/>
        <item x="60"/>
        <item x="77"/>
        <item x="130"/>
        <item x="265"/>
        <item x="145"/>
        <item x="284"/>
        <item x="215"/>
        <item x="219"/>
        <item x="12"/>
        <item x="185"/>
        <item x="254"/>
        <item x="200"/>
        <item x="273"/>
        <item x="71"/>
        <item x="88"/>
        <item x="175"/>
        <item x="192"/>
        <item x="61"/>
        <item x="78"/>
        <item x="257"/>
        <item x="276"/>
        <item x="106"/>
        <item x="5"/>
        <item x="111"/>
        <item x="264"/>
        <item x="283"/>
        <item x="234"/>
        <item x="240"/>
        <item x="7"/>
        <item x="184"/>
        <item x="199"/>
        <item x="6"/>
        <item x="253"/>
        <item x="272"/>
        <item x="4"/>
        <item x="41"/>
        <item x="49"/>
        <item x="17"/>
        <item x="120"/>
        <item x="263"/>
        <item x="135"/>
        <item x="282"/>
        <item x="173"/>
        <item x="190"/>
        <item x="13"/>
        <item x="14"/>
        <item x="63"/>
        <item x="80"/>
        <item x="163"/>
        <item x="40"/>
        <item x="48"/>
        <item x="230"/>
        <item x="62"/>
        <item x="23"/>
        <item x="79"/>
        <item x="25"/>
        <item x="252"/>
        <item x="271"/>
        <item x="15"/>
        <item x="16"/>
        <item x="42"/>
        <item x="50"/>
        <item x="11"/>
        <item x="37"/>
        <item x="45"/>
        <item x="70"/>
        <item x="87"/>
        <item x="59"/>
        <item x="76"/>
        <item x="31"/>
        <item x="157"/>
        <item t="default"/>
      </items>
    </pivotField>
    <pivotField dataField="1" compact="0" outline="0" multipleItemSelectionAllowed="1" showAll="0">
      <items count="330">
        <item x="2"/>
        <item x="139"/>
        <item x="204"/>
        <item x="307"/>
        <item x="167"/>
        <item x="142"/>
        <item x="249"/>
        <item x="143"/>
        <item x="52"/>
        <item x="219"/>
        <item x="82"/>
        <item x="65"/>
        <item x="205"/>
        <item x="95"/>
        <item x="199"/>
        <item x="184"/>
        <item x="218"/>
        <item x="137"/>
        <item x="141"/>
        <item x="206"/>
        <item x="250"/>
        <item x="251"/>
        <item x="53"/>
        <item x="326"/>
        <item x="300"/>
        <item x="306"/>
        <item x="201"/>
        <item x="325"/>
        <item x="193"/>
        <item x="178"/>
        <item x="203"/>
        <item x="311"/>
        <item x="22"/>
        <item x="192"/>
        <item x="140"/>
        <item x="177"/>
        <item x="327"/>
        <item x="149"/>
        <item x="328"/>
        <item x="316"/>
        <item x="166"/>
        <item x="323"/>
        <item x="296"/>
        <item x="165"/>
        <item x="112"/>
        <item x="129"/>
        <item x="261"/>
        <item x="280"/>
        <item x="227"/>
        <item x="297"/>
        <item x="126"/>
        <item x="109"/>
        <item x="88"/>
        <item x="71"/>
        <item x="96"/>
        <item x="324"/>
        <item x="302"/>
        <item x="78"/>
        <item x="61"/>
        <item x="79"/>
        <item x="62"/>
        <item x="294"/>
        <item x="226"/>
        <item x="262"/>
        <item x="281"/>
        <item x="87"/>
        <item x="154"/>
        <item x="70"/>
        <item x="54"/>
        <item x="18"/>
        <item x="301"/>
        <item x="310"/>
        <item x="292"/>
        <item x="270"/>
        <item x="289"/>
        <item x="135"/>
        <item x="118"/>
        <item x="51"/>
        <item x="313"/>
        <item x="181"/>
        <item x="196"/>
        <item x="98"/>
        <item x="263"/>
        <item x="282"/>
        <item x="309"/>
        <item x="279"/>
        <item x="260"/>
        <item x="252"/>
        <item x="19"/>
        <item x="315"/>
        <item x="100"/>
        <item x="295"/>
        <item x="31"/>
        <item x="288"/>
        <item x="269"/>
        <item x="117"/>
        <item x="134"/>
        <item x="25"/>
        <item x="318"/>
        <item x="314"/>
        <item x="248"/>
        <item x="99"/>
        <item x="191"/>
        <item x="176"/>
        <item x="153"/>
        <item x="216"/>
        <item x="211"/>
        <item x="202"/>
        <item x="21"/>
        <item x="200"/>
        <item x="128"/>
        <item x="111"/>
        <item x="26"/>
        <item x="127"/>
        <item x="110"/>
        <item x="225"/>
        <item x="319"/>
        <item x="305"/>
        <item x="151"/>
        <item x="81"/>
        <item x="30"/>
        <item x="64"/>
        <item x="108"/>
        <item x="125"/>
        <item x="290"/>
        <item x="271"/>
        <item x="312"/>
        <item x="304"/>
        <item x="160"/>
        <item x="163"/>
        <item x="6"/>
        <item x="174"/>
        <item x="189"/>
        <item x="173"/>
        <item x="229"/>
        <item x="133"/>
        <item x="116"/>
        <item x="235"/>
        <item x="93"/>
        <item x="243"/>
        <item x="148"/>
        <item x="321"/>
        <item x="268"/>
        <item x="287"/>
        <item x="138"/>
        <item x="224"/>
        <item x="293"/>
        <item x="175"/>
        <item x="190"/>
        <item x="198"/>
        <item x="183"/>
        <item x="152"/>
        <item x="317"/>
        <item x="161"/>
        <item x="164"/>
        <item x="97"/>
        <item x="172"/>
        <item x="136"/>
        <item x="91"/>
        <item x="20"/>
        <item x="60"/>
        <item x="77"/>
        <item x="320"/>
        <item x="228"/>
        <item x="63"/>
        <item x="80"/>
        <item x="7"/>
        <item x="29"/>
        <item x="278"/>
        <item x="259"/>
        <item x="27"/>
        <item x="303"/>
        <item x="182"/>
        <item x="197"/>
        <item x="33"/>
        <item x="322"/>
        <item x="107"/>
        <item x="124"/>
        <item x="42"/>
        <item x="5"/>
        <item x="47"/>
        <item x="291"/>
        <item x="159"/>
        <item x="162"/>
        <item x="308"/>
        <item x="212"/>
        <item x="217"/>
        <item x="104"/>
        <item x="121"/>
        <item x="40"/>
        <item x="69"/>
        <item x="86"/>
        <item x="92"/>
        <item x="238"/>
        <item x="234"/>
        <item x="246"/>
        <item x="37"/>
        <item x="242"/>
        <item x="209"/>
        <item x="214"/>
        <item x="101"/>
        <item x="36"/>
        <item x="38"/>
        <item x="157"/>
        <item x="32"/>
        <item x="158"/>
        <item x="231"/>
        <item x="39"/>
        <item x="34"/>
        <item x="230"/>
        <item x="156"/>
        <item x="155"/>
        <item x="4"/>
        <item x="144"/>
        <item x="236"/>
        <item x="244"/>
        <item x="115"/>
        <item x="132"/>
        <item x="94"/>
        <item x="90"/>
        <item x="45"/>
        <item x="89"/>
        <item x="50"/>
        <item x="114"/>
        <item x="131"/>
        <item x="44"/>
        <item x="49"/>
        <item x="1"/>
        <item x="256"/>
        <item x="171"/>
        <item x="275"/>
        <item x="188"/>
        <item x="237"/>
        <item x="245"/>
        <item x="106"/>
        <item x="105"/>
        <item x="123"/>
        <item x="122"/>
        <item x="298"/>
        <item x="299"/>
        <item x="210"/>
        <item x="215"/>
        <item x="3"/>
        <item x="103"/>
        <item x="120"/>
        <item x="43"/>
        <item x="113"/>
        <item x="48"/>
        <item x="130"/>
        <item x="257"/>
        <item x="276"/>
        <item x="169"/>
        <item x="208"/>
        <item x="186"/>
        <item x="68"/>
        <item x="213"/>
        <item x="85"/>
        <item x="0"/>
        <item x="56"/>
        <item x="41"/>
        <item x="73"/>
        <item x="46"/>
        <item x="266"/>
        <item x="170"/>
        <item x="180"/>
        <item x="285"/>
        <item x="187"/>
        <item x="195"/>
        <item x="57"/>
        <item x="74"/>
        <item x="258"/>
        <item x="67"/>
        <item x="277"/>
        <item x="255"/>
        <item x="84"/>
        <item x="274"/>
        <item x="9"/>
        <item x="265"/>
        <item x="284"/>
        <item x="11"/>
        <item x="179"/>
        <item x="194"/>
        <item x="13"/>
        <item x="16"/>
        <item x="239"/>
        <item x="145"/>
        <item x="247"/>
        <item x="102"/>
        <item x="147"/>
        <item x="233"/>
        <item x="119"/>
        <item x="241"/>
        <item x="267"/>
        <item x="286"/>
        <item x="223"/>
        <item x="168"/>
        <item x="185"/>
        <item x="15"/>
        <item x="264"/>
        <item x="232"/>
        <item x="240"/>
        <item x="283"/>
        <item x="10"/>
        <item x="59"/>
        <item x="76"/>
        <item x="23"/>
        <item x="221"/>
        <item x="12"/>
        <item x="254"/>
        <item x="273"/>
        <item x="150"/>
        <item x="146"/>
        <item x="58"/>
        <item x="75"/>
        <item x="24"/>
        <item x="28"/>
        <item x="14"/>
        <item x="17"/>
        <item x="222"/>
        <item x="8"/>
        <item x="220"/>
        <item x="253"/>
        <item x="272"/>
        <item x="66"/>
        <item x="83"/>
        <item x="55"/>
        <item x="72"/>
        <item x="35"/>
        <item x="207"/>
        <item t="default"/>
      </items>
    </pivotField>
    <pivotField dataField="1" compact="0" outline="0" multipleItemSelectionAllowed="1" showAll="0">
      <items count="344">
        <item x="2"/>
        <item x="175"/>
        <item x="51"/>
        <item x="257"/>
        <item x="145"/>
        <item x="255"/>
        <item x="218"/>
        <item x="148"/>
        <item x="149"/>
        <item x="232"/>
        <item x="80"/>
        <item x="63"/>
        <item x="213"/>
        <item x="233"/>
        <item x="143"/>
        <item x="147"/>
        <item x="214"/>
        <item x="174"/>
        <item x="231"/>
        <item x="52"/>
        <item x="258"/>
        <item x="212"/>
        <item x="50"/>
        <item x="256"/>
        <item x="340"/>
        <item x="314"/>
        <item x="201"/>
        <item x="209"/>
        <item x="186"/>
        <item x="339"/>
        <item x="93"/>
        <item x="21"/>
        <item x="211"/>
        <item x="325"/>
        <item x="200"/>
        <item x="185"/>
        <item x="146"/>
        <item x="341"/>
        <item x="156"/>
        <item x="342"/>
        <item x="330"/>
        <item x="192"/>
        <item x="207"/>
        <item x="114"/>
        <item x="133"/>
        <item x="337"/>
        <item x="302"/>
        <item x="237"/>
        <item x="267"/>
        <item x="286"/>
        <item x="111"/>
        <item x="130"/>
        <item x="303"/>
        <item x="86"/>
        <item x="69"/>
        <item x="94"/>
        <item x="338"/>
        <item x="316"/>
        <item x="77"/>
        <item x="60"/>
        <item x="103"/>
        <item x="162"/>
        <item x="49"/>
        <item x="300"/>
        <item x="121"/>
        <item x="140"/>
        <item x="268"/>
        <item x="287"/>
        <item x="315"/>
        <item x="85"/>
        <item x="68"/>
        <item x="324"/>
        <item x="276"/>
        <item x="295"/>
        <item x="96"/>
        <item x="228"/>
        <item x="222"/>
        <item x="19"/>
        <item x="269"/>
        <item x="288"/>
        <item x="327"/>
        <item x="319"/>
        <item x="76"/>
        <item x="59"/>
        <item x="323"/>
        <item x="120"/>
        <item x="241"/>
        <item x="139"/>
        <item x="298"/>
        <item x="170"/>
        <item x="173"/>
        <item x="329"/>
        <item x="98"/>
        <item x="301"/>
        <item x="285"/>
        <item x="266"/>
        <item x="294"/>
        <item x="275"/>
        <item x="317"/>
        <item x="332"/>
        <item x="199"/>
        <item x="184"/>
        <item x="28"/>
        <item x="328"/>
        <item x="18"/>
        <item x="210"/>
        <item x="113"/>
        <item x="132"/>
        <item x="112"/>
        <item x="131"/>
        <item x="25"/>
        <item x="151"/>
        <item x="24"/>
        <item x="160"/>
        <item x="79"/>
        <item x="62"/>
        <item x="208"/>
        <item x="333"/>
        <item x="154"/>
        <item x="296"/>
        <item x="277"/>
        <item x="119"/>
        <item x="138"/>
        <item x="27"/>
        <item x="236"/>
        <item x="326"/>
        <item x="158"/>
        <item x="5"/>
        <item x="181"/>
        <item x="182"/>
        <item x="197"/>
        <item x="91"/>
        <item x="155"/>
        <item x="206"/>
        <item x="191"/>
        <item x="335"/>
        <item x="144"/>
        <item x="183"/>
        <item x="141"/>
        <item x="198"/>
        <item x="122"/>
        <item x="299"/>
        <item x="274"/>
        <item x="293"/>
        <item x="240"/>
        <item x="159"/>
        <item x="331"/>
        <item x="224"/>
        <item x="230"/>
        <item x="129"/>
        <item x="110"/>
        <item x="248"/>
        <item x="318"/>
        <item x="253"/>
        <item x="20"/>
        <item x="246"/>
        <item x="180"/>
        <item x="251"/>
        <item x="239"/>
        <item x="229"/>
        <item x="223"/>
        <item x="58"/>
        <item x="61"/>
        <item x="169"/>
        <item x="75"/>
        <item x="78"/>
        <item x="334"/>
        <item x="308"/>
        <item x="312"/>
        <item x="172"/>
        <item x="26"/>
        <item x="284"/>
        <item x="265"/>
        <item x="313"/>
        <item x="309"/>
        <item x="142"/>
        <item x="89"/>
        <item x="320"/>
        <item x="190"/>
        <item x="205"/>
        <item x="189"/>
        <item x="204"/>
        <item x="336"/>
        <item x="109"/>
        <item x="242"/>
        <item x="168"/>
        <item x="128"/>
        <item x="171"/>
        <item x="43"/>
        <item x="97"/>
        <item x="48"/>
        <item x="297"/>
        <item x="161"/>
        <item x="41"/>
        <item x="46"/>
        <item x="100"/>
        <item x="322"/>
        <item x="167"/>
        <item x="106"/>
        <item x="125"/>
        <item x="99"/>
        <item x="67"/>
        <item x="84"/>
        <item x="90"/>
        <item x="164"/>
        <item x="166"/>
        <item x="220"/>
        <item x="165"/>
        <item x="226"/>
        <item x="32"/>
        <item x="38"/>
        <item x="37"/>
        <item x="35"/>
        <item x="36"/>
        <item x="163"/>
        <item x="31"/>
        <item x="321"/>
        <item x="33"/>
        <item x="244"/>
        <item x="243"/>
        <item x="3"/>
        <item x="150"/>
        <item x="247"/>
        <item x="252"/>
        <item x="117"/>
        <item x="136"/>
        <item x="92"/>
        <item x="88"/>
        <item x="249"/>
        <item x="254"/>
        <item x="87"/>
        <item x="116"/>
        <item x="135"/>
        <item x="101"/>
        <item x="102"/>
        <item x="1"/>
        <item x="245"/>
        <item x="250"/>
        <item x="262"/>
        <item x="179"/>
        <item x="281"/>
        <item x="196"/>
        <item x="40"/>
        <item x="108"/>
        <item x="216"/>
        <item x="107"/>
        <item x="45"/>
        <item x="42"/>
        <item x="217"/>
        <item x="127"/>
        <item x="126"/>
        <item x="47"/>
        <item x="307"/>
        <item x="311"/>
        <item x="221"/>
        <item x="227"/>
        <item x="4"/>
        <item x="304"/>
        <item x="305"/>
        <item x="39"/>
        <item x="44"/>
        <item x="115"/>
        <item x="134"/>
        <item x="66"/>
        <item x="83"/>
        <item x="0"/>
        <item x="263"/>
        <item x="282"/>
        <item x="177"/>
        <item x="194"/>
        <item x="272"/>
        <item x="188"/>
        <item x="291"/>
        <item x="203"/>
        <item x="55"/>
        <item x="178"/>
        <item x="72"/>
        <item x="195"/>
        <item x="118"/>
        <item x="137"/>
        <item x="264"/>
        <item x="283"/>
        <item x="105"/>
        <item x="14"/>
        <item x="124"/>
        <item x="65"/>
        <item x="82"/>
        <item x="306"/>
        <item x="16"/>
        <item x="310"/>
        <item x="261"/>
        <item x="280"/>
        <item x="271"/>
        <item x="290"/>
        <item x="219"/>
        <item x="225"/>
        <item x="187"/>
        <item x="54"/>
        <item x="202"/>
        <item x="71"/>
        <item x="7"/>
        <item x="11"/>
        <item x="30"/>
        <item x="95"/>
        <item x="273"/>
        <item x="292"/>
        <item x="152"/>
        <item x="176"/>
        <item x="104"/>
        <item x="193"/>
        <item x="234"/>
        <item x="123"/>
        <item x="17"/>
        <item x="57"/>
        <item x="74"/>
        <item x="8"/>
        <item x="270"/>
        <item x="289"/>
        <item x="13"/>
        <item x="29"/>
        <item x="22"/>
        <item x="260"/>
        <item x="279"/>
        <item x="9"/>
        <item x="157"/>
        <item x="56"/>
        <item x="73"/>
        <item x="153"/>
        <item x="23"/>
        <item x="238"/>
        <item x="12"/>
        <item x="10"/>
        <item x="15"/>
        <item x="235"/>
        <item x="6"/>
        <item x="259"/>
        <item x="278"/>
        <item x="64"/>
        <item x="81"/>
        <item x="53"/>
        <item x="70"/>
        <item x="34"/>
        <item x="215"/>
        <item t="default"/>
      </items>
    </pivotField>
    <pivotField dataField="1" compact="0" outline="0" multipleItemSelectionAllowed="1" showAll="0">
      <items count="364">
        <item x="3"/>
        <item x="156"/>
        <item x="257"/>
        <item x="198"/>
        <item x="160"/>
        <item x="278"/>
        <item x="161"/>
        <item x="92"/>
        <item x="75"/>
        <item x="114"/>
        <item x="255"/>
        <item x="197"/>
        <item x="256"/>
        <item x="62"/>
        <item x="154"/>
        <item x="159"/>
        <item x="238"/>
        <item x="195"/>
        <item x="341"/>
        <item x="254"/>
        <item x="324"/>
        <item x="236"/>
        <item x="360"/>
        <item x="336"/>
        <item x="25"/>
        <item x="279"/>
        <item x="359"/>
        <item x="105"/>
        <item x="345"/>
        <item x="277"/>
        <item x="215"/>
        <item x="231"/>
        <item x="235"/>
        <item x="361"/>
        <item x="125"/>
        <item x="144"/>
        <item x="350"/>
        <item x="362"/>
        <item x="157"/>
        <item x="225"/>
        <item x="209"/>
        <item x="357"/>
        <item x="122"/>
        <item x="141"/>
        <item x="323"/>
        <item x="264"/>
        <item x="64"/>
        <item x="168"/>
        <item x="288"/>
        <item x="307"/>
        <item x="174"/>
        <item x="325"/>
        <item x="196"/>
        <item x="339"/>
        <item x="237"/>
        <item x="358"/>
        <item x="98"/>
        <item x="63"/>
        <item x="81"/>
        <item x="158"/>
        <item x="61"/>
        <item x="233"/>
        <item x="89"/>
        <item x="72"/>
        <item x="321"/>
        <item x="108"/>
        <item x="59"/>
        <item x="97"/>
        <item x="80"/>
        <item x="289"/>
        <item x="308"/>
        <item x="337"/>
        <item x="263"/>
        <item x="273"/>
        <item x="276"/>
        <item x="272"/>
        <item x="275"/>
        <item x="344"/>
        <item x="297"/>
        <item x="131"/>
        <item x="316"/>
        <item x="150"/>
        <item x="251"/>
        <item x="244"/>
        <item x="290"/>
        <item x="309"/>
        <item x="347"/>
        <item x="22"/>
        <item x="343"/>
        <item x="224"/>
        <item x="319"/>
        <item x="106"/>
        <item x="208"/>
        <item x="60"/>
        <item x="349"/>
        <item x="34"/>
        <item x="322"/>
        <item x="306"/>
        <item x="287"/>
        <item x="315"/>
        <item x="296"/>
        <item x="262"/>
        <item x="352"/>
        <item x="88"/>
        <item x="71"/>
        <item x="348"/>
        <item x="124"/>
        <item x="143"/>
        <item x="123"/>
        <item x="142"/>
        <item x="24"/>
        <item x="267"/>
        <item x="207"/>
        <item x="223"/>
        <item x="21"/>
        <item x="234"/>
        <item x="132"/>
        <item x="151"/>
        <item x="271"/>
        <item x="165"/>
        <item x="274"/>
        <item x="338"/>
        <item x="130"/>
        <item x="149"/>
        <item x="29"/>
        <item x="91"/>
        <item x="74"/>
        <item x="205"/>
        <item x="221"/>
        <item x="167"/>
        <item x="173"/>
        <item x="28"/>
        <item x="317"/>
        <item x="298"/>
        <item x="261"/>
        <item x="170"/>
        <item x="33"/>
        <item x="232"/>
        <item x="353"/>
        <item x="206"/>
        <item x="222"/>
        <item x="183"/>
        <item x="214"/>
        <item x="230"/>
        <item x="152"/>
        <item x="346"/>
        <item x="190"/>
        <item x="6"/>
        <item x="133"/>
        <item x="166"/>
        <item x="260"/>
        <item x="103"/>
        <item x="269"/>
        <item x="266"/>
        <item x="155"/>
        <item x="355"/>
        <item x="23"/>
        <item x="295"/>
        <item x="314"/>
        <item x="320"/>
        <item x="171"/>
        <item x="50"/>
        <item x="265"/>
        <item x="56"/>
        <item x="246"/>
        <item x="253"/>
        <item x="351"/>
        <item x="340"/>
        <item x="73"/>
        <item x="90"/>
        <item x="186"/>
        <item x="192"/>
        <item x="252"/>
        <item x="245"/>
        <item x="30"/>
        <item x="70"/>
        <item x="87"/>
        <item x="354"/>
        <item x="329"/>
        <item x="334"/>
        <item x="7"/>
        <item x="140"/>
        <item x="121"/>
        <item x="305"/>
        <item x="286"/>
        <item x="335"/>
        <item x="330"/>
        <item x="32"/>
        <item x="153"/>
        <item x="107"/>
        <item x="356"/>
        <item x="212"/>
        <item x="228"/>
        <item x="120"/>
        <item x="268"/>
        <item x="229"/>
        <item x="213"/>
        <item x="139"/>
        <item x="172"/>
        <item x="51"/>
        <item x="101"/>
        <item x="57"/>
        <item x="110"/>
        <item x="188"/>
        <item x="194"/>
        <item x="318"/>
        <item x="109"/>
        <item x="111"/>
        <item x="42"/>
        <item x="342"/>
        <item x="117"/>
        <item x="204"/>
        <item x="220"/>
        <item x="79"/>
        <item x="136"/>
        <item x="96"/>
        <item x="178"/>
        <item x="102"/>
        <item x="46"/>
        <item x="181"/>
        <item x="38"/>
        <item x="241"/>
        <item x="179"/>
        <item x="248"/>
        <item x="177"/>
        <item x="44"/>
        <item x="180"/>
        <item x="176"/>
        <item x="37"/>
        <item x="39"/>
        <item x="45"/>
        <item x="43"/>
        <item x="41"/>
        <item x="1"/>
        <item x="162"/>
        <item x="49"/>
        <item x="55"/>
        <item x="184"/>
        <item x="191"/>
        <item x="104"/>
        <item x="100"/>
        <item x="127"/>
        <item x="146"/>
        <item x="99"/>
        <item x="185"/>
        <item x="112"/>
        <item x="113"/>
        <item x="2"/>
        <item x="203"/>
        <item x="283"/>
        <item x="302"/>
        <item x="119"/>
        <item x="243"/>
        <item x="118"/>
        <item x="250"/>
        <item x="138"/>
        <item x="137"/>
        <item x="327"/>
        <item x="332"/>
        <item x="242"/>
        <item x="48"/>
        <item x="249"/>
        <item x="54"/>
        <item x="5"/>
        <item x="187"/>
        <item x="328"/>
        <item x="193"/>
        <item x="333"/>
        <item x="128"/>
        <item x="147"/>
        <item x="202"/>
        <item x="219"/>
        <item x="126"/>
        <item x="52"/>
        <item x="145"/>
        <item x="58"/>
        <item x="182"/>
        <item x="189"/>
        <item x="4"/>
        <item x="284"/>
        <item x="303"/>
        <item x="200"/>
        <item x="217"/>
        <item x="293"/>
        <item x="312"/>
        <item x="129"/>
        <item x="148"/>
        <item x="285"/>
        <item x="78"/>
        <item x="201"/>
        <item x="304"/>
        <item x="218"/>
        <item x="95"/>
        <item x="0"/>
        <item x="47"/>
        <item x="211"/>
        <item x="53"/>
        <item x="227"/>
        <item x="67"/>
        <item x="84"/>
        <item x="326"/>
        <item x="77"/>
        <item x="10"/>
        <item x="94"/>
        <item x="331"/>
        <item x="282"/>
        <item x="301"/>
        <item x="292"/>
        <item x="311"/>
        <item x="240"/>
        <item x="247"/>
        <item x="116"/>
        <item x="12"/>
        <item x="135"/>
        <item x="9"/>
        <item x="14"/>
        <item x="66"/>
        <item x="210"/>
        <item x="83"/>
        <item x="226"/>
        <item x="163"/>
        <item x="294"/>
        <item x="313"/>
        <item x="18"/>
        <item x="259"/>
        <item x="115"/>
        <item x="69"/>
        <item x="20"/>
        <item x="134"/>
        <item x="86"/>
        <item x="291"/>
        <item x="310"/>
        <item x="11"/>
        <item x="199"/>
        <item x="216"/>
        <item x="17"/>
        <item x="36"/>
        <item x="281"/>
        <item x="35"/>
        <item x="300"/>
        <item x="175"/>
        <item x="26"/>
        <item x="13"/>
        <item x="68"/>
        <item x="85"/>
        <item x="270"/>
        <item x="169"/>
        <item x="164"/>
        <item x="31"/>
        <item x="27"/>
        <item x="16"/>
        <item x="15"/>
        <item x="258"/>
        <item x="19"/>
        <item x="280"/>
        <item x="299"/>
        <item x="8"/>
        <item x="76"/>
        <item x="93"/>
        <item x="65"/>
        <item x="82"/>
        <item x="40"/>
        <item x="239"/>
        <item t="default"/>
      </items>
    </pivotField>
    <pivotField dataField="1" compact="0" outline="0" multipleItemSelectionAllowed="1" showAll="0">
      <items count="375">
        <item x="1"/>
        <item x="194"/>
        <item x="60"/>
        <item x="154"/>
        <item x="256"/>
        <item x="158"/>
        <item x="159"/>
        <item x="274"/>
        <item x="254"/>
        <item x="90"/>
        <item x="73"/>
        <item x="192"/>
        <item x="61"/>
        <item x="62"/>
        <item x="255"/>
        <item x="152"/>
        <item x="157"/>
        <item x="237"/>
        <item x="253"/>
        <item x="350"/>
        <item x="320"/>
        <item x="351"/>
        <item x="58"/>
        <item x="332"/>
        <item x="341"/>
        <item x="360"/>
        <item x="370"/>
        <item x="349"/>
        <item x="223"/>
        <item x="206"/>
        <item x="355"/>
        <item x="59"/>
        <item x="317"/>
        <item x="193"/>
        <item x="57"/>
        <item x="348"/>
        <item x="234"/>
        <item x="103"/>
        <item x="371"/>
        <item x="123"/>
        <item x="142"/>
        <item x="373"/>
        <item x="155"/>
        <item x="165"/>
        <item x="120"/>
        <item x="139"/>
        <item x="263"/>
        <item x="319"/>
        <item x="195"/>
        <item x="283"/>
        <item x="302"/>
        <item x="212"/>
        <item x="229"/>
        <item x="321"/>
        <item x="372"/>
        <item x="22"/>
        <item x="230"/>
        <item x="213"/>
        <item x="235"/>
        <item x="368"/>
        <item x="156"/>
        <item x="344"/>
        <item x="337"/>
        <item x="236"/>
        <item x="222"/>
        <item x="191"/>
        <item x="205"/>
        <item x="96"/>
        <item x="79"/>
        <item x="316"/>
        <item x="108"/>
        <item x="346"/>
        <item x="284"/>
        <item x="303"/>
        <item x="262"/>
        <item x="333"/>
        <item x="95"/>
        <item x="78"/>
        <item x="232"/>
        <item x="369"/>
        <item x="87"/>
        <item x="70"/>
        <item x="129"/>
        <item x="148"/>
        <item x="250"/>
        <item x="243"/>
        <item x="358"/>
        <item x="285"/>
        <item x="304"/>
        <item x="292"/>
        <item x="311"/>
        <item x="342"/>
        <item x="110"/>
        <item x="49"/>
        <item x="48"/>
        <item x="33"/>
        <item x="314"/>
        <item x="104"/>
        <item x="335"/>
        <item x="301"/>
        <item x="282"/>
        <item x="318"/>
        <item x="261"/>
        <item x="353"/>
        <item x="310"/>
        <item x="367"/>
        <item x="291"/>
        <item x="20"/>
        <item x="86"/>
        <item x="69"/>
        <item x="362"/>
        <item x="345"/>
        <item x="122"/>
        <item x="141"/>
        <item x="121"/>
        <item x="140"/>
        <item x="359"/>
        <item x="19"/>
        <item x="334"/>
        <item x="347"/>
        <item x="203"/>
        <item x="220"/>
        <item x="211"/>
        <item x="228"/>
        <item x="130"/>
        <item x="149"/>
        <item x="357"/>
        <item x="164"/>
        <item x="128"/>
        <item x="147"/>
        <item x="89"/>
        <item x="72"/>
        <item x="354"/>
        <item x="343"/>
        <item x="233"/>
        <item x="26"/>
        <item x="260"/>
        <item x="312"/>
        <item x="293"/>
        <item x="51"/>
        <item x="204"/>
        <item x="221"/>
        <item x="166"/>
        <item x="50"/>
        <item x="25"/>
        <item x="55"/>
        <item x="150"/>
        <item x="6"/>
        <item x="131"/>
        <item x="202"/>
        <item x="219"/>
        <item x="167"/>
        <item x="101"/>
        <item x="339"/>
        <item x="266"/>
        <item x="259"/>
        <item x="21"/>
        <item x="365"/>
        <item x="153"/>
        <item x="32"/>
        <item x="290"/>
        <item x="309"/>
        <item x="336"/>
        <item x="231"/>
        <item x="315"/>
        <item x="180"/>
        <item x="27"/>
        <item x="245"/>
        <item x="188"/>
        <item x="252"/>
        <item x="71"/>
        <item x="88"/>
        <item x="265"/>
        <item x="272"/>
        <item x="273"/>
        <item x="366"/>
        <item x="251"/>
        <item x="244"/>
        <item x="361"/>
        <item x="31"/>
        <item x="325"/>
        <item x="330"/>
        <item x="363"/>
        <item x="105"/>
        <item x="138"/>
        <item x="119"/>
        <item x="300"/>
        <item x="281"/>
        <item x="331"/>
        <item x="326"/>
        <item x="340"/>
        <item x="177"/>
        <item x="151"/>
        <item x="185"/>
        <item x="107"/>
        <item x="364"/>
        <item x="356"/>
        <item x="68"/>
        <item x="210"/>
        <item x="227"/>
        <item x="169"/>
        <item x="85"/>
        <item x="118"/>
        <item x="267"/>
        <item x="338"/>
        <item x="137"/>
        <item x="7"/>
        <item x="99"/>
        <item x="109"/>
        <item x="313"/>
        <item x="37"/>
        <item x="112"/>
        <item x="77"/>
        <item x="94"/>
        <item x="115"/>
        <item x="201"/>
        <item x="52"/>
        <item x="218"/>
        <item x="134"/>
        <item x="56"/>
        <item x="172"/>
        <item x="111"/>
        <item x="100"/>
        <item x="39"/>
        <item x="240"/>
        <item x="247"/>
        <item x="270"/>
        <item x="45"/>
        <item x="36"/>
        <item x="40"/>
        <item x="42"/>
        <item x="173"/>
        <item x="43"/>
        <item x="171"/>
        <item x="35"/>
        <item x="271"/>
        <item x="44"/>
        <item x="269"/>
        <item x="174"/>
        <item x="41"/>
        <item x="3"/>
        <item x="181"/>
        <item x="160"/>
        <item x="189"/>
        <item x="47"/>
        <item x="54"/>
        <item x="352"/>
        <item x="46"/>
        <item x="53"/>
        <item x="102"/>
        <item x="209"/>
        <item x="226"/>
        <item x="98"/>
        <item x="125"/>
        <item x="144"/>
        <item x="182"/>
        <item x="190"/>
        <item x="97"/>
        <item x="2"/>
        <item x="200"/>
        <item x="278"/>
        <item x="297"/>
        <item x="117"/>
        <item x="242"/>
        <item x="116"/>
        <item x="249"/>
        <item x="136"/>
        <item x="135"/>
        <item x="323"/>
        <item x="328"/>
        <item x="241"/>
        <item x="248"/>
        <item x="4"/>
        <item x="324"/>
        <item x="329"/>
        <item x="126"/>
        <item x="178"/>
        <item x="145"/>
        <item x="186"/>
        <item x="124"/>
        <item x="143"/>
        <item x="176"/>
        <item x="184"/>
        <item x="5"/>
        <item x="279"/>
        <item x="298"/>
        <item x="179"/>
        <item x="187"/>
        <item x="127"/>
        <item x="146"/>
        <item x="280"/>
        <item x="299"/>
        <item x="288"/>
        <item x="307"/>
        <item x="0"/>
        <item x="198"/>
        <item x="216"/>
        <item x="208"/>
        <item x="225"/>
        <item x="76"/>
        <item x="93"/>
        <item x="322"/>
        <item x="162"/>
        <item x="327"/>
        <item x="277"/>
        <item x="296"/>
        <item x="287"/>
        <item x="75"/>
        <item x="306"/>
        <item x="92"/>
        <item x="239"/>
        <item x="246"/>
        <item x="65"/>
        <item x="199"/>
        <item x="82"/>
        <item x="217"/>
        <item x="114"/>
        <item x="18"/>
        <item x="133"/>
        <item x="175"/>
        <item x="183"/>
        <item x="197"/>
        <item x="215"/>
        <item x="9"/>
        <item x="23"/>
        <item x="64"/>
        <item x="81"/>
        <item x="13"/>
        <item x="289"/>
        <item x="308"/>
        <item x="15"/>
        <item x="12"/>
        <item x="30"/>
        <item x="113"/>
        <item x="67"/>
        <item x="207"/>
        <item x="132"/>
        <item x="84"/>
        <item x="224"/>
        <item x="286"/>
        <item x="305"/>
        <item x="10"/>
        <item x="29"/>
        <item x="16"/>
        <item x="168"/>
        <item x="276"/>
        <item x="295"/>
        <item x="163"/>
        <item x="34"/>
        <item x="11"/>
        <item x="66"/>
        <item x="196"/>
        <item x="83"/>
        <item x="214"/>
        <item x="170"/>
        <item x="268"/>
        <item x="264"/>
        <item x="257"/>
        <item x="28"/>
        <item x="258"/>
        <item x="275"/>
        <item x="24"/>
        <item x="294"/>
        <item x="14"/>
        <item x="161"/>
        <item x="17"/>
        <item x="74"/>
        <item x="91"/>
        <item x="8"/>
        <item x="63"/>
        <item x="80"/>
        <item x="38"/>
        <item x="238"/>
        <item x="106"/>
        <item t="default"/>
      </items>
    </pivotField>
    <pivotField dataField="1" compact="0" outline="0" multipleItemSelectionAllowed="1" showAll="0">
      <items count="381">
        <item x="1"/>
        <item x="287"/>
        <item x="201"/>
        <item x="145"/>
        <item x="265"/>
        <item x="198"/>
        <item x="355"/>
        <item x="150"/>
        <item x="200"/>
        <item x="263"/>
        <item x="196"/>
        <item x="77"/>
        <item x="60"/>
        <item x="264"/>
        <item x="148"/>
        <item x="48"/>
        <item x="262"/>
        <item x="333"/>
        <item x="377"/>
        <item x="246"/>
        <item x="345"/>
        <item x="364"/>
        <item x="231"/>
        <item x="212"/>
        <item x="113"/>
        <item x="133"/>
        <item x="375"/>
        <item x="359"/>
        <item x="110"/>
        <item x="130"/>
        <item x="49"/>
        <item x="330"/>
        <item x="354"/>
        <item x="90"/>
        <item x="165"/>
        <item x="379"/>
        <item x="243"/>
        <item x="146"/>
        <item x="376"/>
        <item x="270"/>
        <item x="286"/>
        <item x="47"/>
        <item x="332"/>
        <item x="239"/>
        <item x="220"/>
        <item x="19"/>
        <item x="334"/>
        <item x="378"/>
        <item x="119"/>
        <item x="139"/>
        <item x="44"/>
        <item x="199"/>
        <item x="164"/>
        <item x="296"/>
        <item x="315"/>
        <item x="147"/>
        <item x="101"/>
        <item x="93"/>
        <item x="245"/>
        <item x="373"/>
        <item x="149"/>
        <item x="269"/>
        <item x="329"/>
        <item x="297"/>
        <item x="316"/>
        <item x="83"/>
        <item x="66"/>
        <item x="143"/>
        <item x="346"/>
        <item x="82"/>
        <item x="65"/>
        <item x="374"/>
        <item x="96"/>
        <item x="112"/>
        <item x="132"/>
        <item x="111"/>
        <item x="131"/>
        <item x="241"/>
        <item x="362"/>
        <item x="74"/>
        <item x="298"/>
        <item x="259"/>
        <item x="57"/>
        <item x="317"/>
        <item x="172"/>
        <item x="252"/>
        <item x="305"/>
        <item x="324"/>
        <item x="29"/>
        <item x="327"/>
        <item x="120"/>
        <item x="140"/>
        <item x="281"/>
        <item x="284"/>
        <item x="91"/>
        <item x="219"/>
        <item x="238"/>
        <item x="230"/>
        <item x="211"/>
        <item x="372"/>
        <item x="314"/>
        <item x="295"/>
        <item x="331"/>
        <item x="323"/>
        <item x="304"/>
        <item x="357"/>
        <item x="244"/>
        <item x="73"/>
        <item x="56"/>
        <item x="209"/>
        <item x="228"/>
        <item x="17"/>
        <item x="363"/>
        <item x="366"/>
        <item x="268"/>
        <item x="141"/>
        <item x="121"/>
        <item x="218"/>
        <item x="237"/>
        <item x="197"/>
        <item x="369"/>
        <item x="161"/>
        <item x="274"/>
        <item x="95"/>
        <item x="162"/>
        <item x="76"/>
        <item x="59"/>
        <item x="171"/>
        <item x="358"/>
        <item x="348"/>
        <item x="167"/>
        <item x="325"/>
        <item x="306"/>
        <item x="361"/>
        <item x="267"/>
        <item x="210"/>
        <item x="22"/>
        <item x="229"/>
        <item x="195"/>
        <item x="128"/>
        <item x="108"/>
        <item x="168"/>
        <item x="208"/>
        <item x="227"/>
        <item x="153"/>
        <item x="266"/>
        <item x="18"/>
        <item x="109"/>
        <item x="273"/>
        <item x="129"/>
        <item x="370"/>
        <item x="163"/>
        <item x="144"/>
        <item x="28"/>
        <item x="272"/>
        <item x="88"/>
        <item x="169"/>
        <item x="23"/>
        <item x="43"/>
        <item x="303"/>
        <item x="46"/>
        <item x="322"/>
        <item x="350"/>
        <item x="58"/>
        <item x="254"/>
        <item x="261"/>
        <item x="75"/>
        <item x="365"/>
        <item x="260"/>
        <item x="253"/>
        <item x="328"/>
        <item x="371"/>
        <item x="27"/>
        <item x="338"/>
        <item x="343"/>
        <item x="42"/>
        <item x="45"/>
        <item x="242"/>
        <item x="313"/>
        <item x="294"/>
        <item x="367"/>
        <item x="3"/>
        <item x="344"/>
        <item x="339"/>
        <item x="118"/>
        <item x="138"/>
        <item x="142"/>
        <item x="217"/>
        <item x="236"/>
        <item x="349"/>
        <item x="98"/>
        <item x="360"/>
        <item x="55"/>
        <item x="170"/>
        <item x="275"/>
        <item x="72"/>
        <item x="107"/>
        <item x="94"/>
        <item x="368"/>
        <item x="127"/>
        <item x="152"/>
        <item x="86"/>
        <item x="240"/>
        <item x="34"/>
        <item x="64"/>
        <item x="81"/>
        <item x="326"/>
        <item x="104"/>
        <item x="207"/>
        <item x="226"/>
        <item x="124"/>
        <item x="175"/>
        <item x="41"/>
        <item x="87"/>
        <item x="249"/>
        <item x="186"/>
        <item x="278"/>
        <item x="256"/>
        <item x="193"/>
        <item x="279"/>
        <item x="180"/>
        <item x="33"/>
        <item x="352"/>
        <item x="277"/>
        <item x="37"/>
        <item x="176"/>
        <item x="36"/>
        <item x="179"/>
        <item x="353"/>
        <item x="177"/>
        <item x="178"/>
        <item x="40"/>
        <item x="174"/>
        <item x="39"/>
        <item x="351"/>
        <item x="32"/>
        <item x="38"/>
        <item x="0"/>
        <item x="151"/>
        <item x="282"/>
        <item x="285"/>
        <item x="280"/>
        <item x="283"/>
        <item x="356"/>
        <item x="89"/>
        <item x="85"/>
        <item x="115"/>
        <item x="135"/>
        <item x="216"/>
        <item x="235"/>
        <item x="182"/>
        <item x="84"/>
        <item x="189"/>
        <item x="2"/>
        <item x="183"/>
        <item x="190"/>
        <item x="185"/>
        <item x="192"/>
        <item x="184"/>
        <item x="191"/>
        <item x="106"/>
        <item x="251"/>
        <item x="105"/>
        <item x="258"/>
        <item x="126"/>
        <item x="125"/>
        <item x="336"/>
        <item x="341"/>
        <item x="250"/>
        <item x="257"/>
        <item x="16"/>
        <item x="337"/>
        <item x="342"/>
        <item x="187"/>
        <item x="194"/>
        <item x="116"/>
        <item x="136"/>
        <item x="291"/>
        <item x="310"/>
        <item x="8"/>
        <item x="292"/>
        <item x="311"/>
        <item x="117"/>
        <item x="137"/>
        <item x="293"/>
        <item x="215"/>
        <item x="312"/>
        <item x="301"/>
        <item x="206"/>
        <item x="234"/>
        <item x="225"/>
        <item x="320"/>
        <item x="26"/>
        <item x="204"/>
        <item x="223"/>
        <item x="335"/>
        <item x="14"/>
        <item x="63"/>
        <item x="340"/>
        <item x="80"/>
        <item x="290"/>
        <item x="309"/>
        <item x="62"/>
        <item x="214"/>
        <item x="300"/>
        <item x="79"/>
        <item x="233"/>
        <item x="248"/>
        <item x="319"/>
        <item x="255"/>
        <item x="181"/>
        <item x="188"/>
        <item x="103"/>
        <item x="97"/>
        <item x="52"/>
        <item x="123"/>
        <item x="69"/>
        <item x="99"/>
        <item x="5"/>
        <item x="100"/>
        <item x="205"/>
        <item x="224"/>
        <item x="6"/>
        <item x="203"/>
        <item x="51"/>
        <item x="222"/>
        <item x="68"/>
        <item x="20"/>
        <item x="302"/>
        <item x="321"/>
        <item x="11"/>
        <item x="114"/>
        <item x="134"/>
        <item x="10"/>
        <item x="158"/>
        <item x="25"/>
        <item x="54"/>
        <item x="71"/>
        <item x="7"/>
        <item x="299"/>
        <item x="318"/>
        <item x="160"/>
        <item x="213"/>
        <item x="232"/>
        <item x="13"/>
        <item x="155"/>
        <item x="289"/>
        <item x="308"/>
        <item x="347"/>
        <item x="31"/>
        <item x="9"/>
        <item x="102"/>
        <item x="30"/>
        <item x="122"/>
        <item x="53"/>
        <item x="156"/>
        <item x="70"/>
        <item x="159"/>
        <item x="276"/>
        <item x="173"/>
        <item x="202"/>
        <item x="221"/>
        <item x="271"/>
        <item x="24"/>
        <item x="288"/>
        <item x="21"/>
        <item x="307"/>
        <item x="12"/>
        <item x="166"/>
        <item x="61"/>
        <item x="15"/>
        <item x="78"/>
        <item x="157"/>
        <item x="4"/>
        <item x="154"/>
        <item x="50"/>
        <item x="67"/>
        <item x="35"/>
        <item x="247"/>
        <item x="92"/>
        <item t="default"/>
      </items>
    </pivotField>
    <pivotField dataField="1" compact="0" outline="0" multipleItemSelectionAllowed="1" showAll="0">
      <items count="404">
        <item x="3"/>
        <item x="253"/>
        <item x="308"/>
        <item x="162"/>
        <item x="282"/>
        <item x="94"/>
        <item x="76"/>
        <item x="167"/>
        <item x="280"/>
        <item x="87"/>
        <item x="69"/>
        <item x="205"/>
        <item x="281"/>
        <item x="165"/>
        <item x="195"/>
        <item x="378"/>
        <item x="207"/>
        <item x="279"/>
        <item x="237"/>
        <item x="218"/>
        <item x="354"/>
        <item x="400"/>
        <item x="387"/>
        <item x="252"/>
        <item x="366"/>
        <item x="129"/>
        <item x="150"/>
        <item x="398"/>
        <item x="307"/>
        <item x="56"/>
        <item x="382"/>
        <item x="126"/>
        <item x="147"/>
        <item x="306"/>
        <item x="351"/>
        <item x="58"/>
        <item x="376"/>
        <item x="370"/>
        <item x="101"/>
        <item x="402"/>
        <item x="287"/>
        <item x="163"/>
        <item x="245"/>
        <item x="226"/>
        <item x="399"/>
        <item x="353"/>
        <item x="206"/>
        <item x="177"/>
        <item x="377"/>
        <item x="249"/>
        <item x="22"/>
        <item x="355"/>
        <item x="204"/>
        <item x="135"/>
        <item x="156"/>
        <item x="374"/>
        <item x="301"/>
        <item x="401"/>
        <item x="105"/>
        <item x="164"/>
        <item x="396"/>
        <item x="336"/>
        <item x="317"/>
        <item x="272"/>
        <item x="261"/>
        <item x="176"/>
        <item x="166"/>
        <item x="375"/>
        <item x="318"/>
        <item x="337"/>
        <item x="350"/>
        <item x="112"/>
        <item x="251"/>
        <item x="92"/>
        <item x="74"/>
        <item x="160"/>
        <item x="93"/>
        <item x="75"/>
        <item x="367"/>
        <item x="286"/>
        <item x="128"/>
        <item x="149"/>
        <item x="110"/>
        <item x="319"/>
        <item x="338"/>
        <item x="225"/>
        <item x="244"/>
        <item x="326"/>
        <item x="345"/>
        <item x="84"/>
        <item x="66"/>
        <item x="148"/>
        <item x="127"/>
        <item x="397"/>
        <item x="247"/>
        <item x="215"/>
        <item x="234"/>
        <item x="115"/>
        <item x="116"/>
        <item x="385"/>
        <item x="348"/>
        <item x="395"/>
        <item x="157"/>
        <item x="136"/>
        <item x="102"/>
        <item x="283"/>
        <item x="344"/>
        <item x="325"/>
        <item x="352"/>
        <item x="372"/>
        <item x="250"/>
        <item x="335"/>
        <item x="316"/>
        <item x="243"/>
        <item x="224"/>
        <item x="386"/>
        <item x="32"/>
        <item x="106"/>
        <item x="389"/>
        <item x="83"/>
        <item x="65"/>
        <item x="57"/>
        <item x="21"/>
        <item x="158"/>
        <item x="137"/>
        <item x="285"/>
        <item x="380"/>
        <item x="369"/>
        <item x="111"/>
        <item x="392"/>
        <item x="174"/>
        <item x="236"/>
        <item x="217"/>
        <item x="109"/>
        <item x="86"/>
        <item x="68"/>
        <item x="184"/>
        <item x="368"/>
        <item x="381"/>
        <item x="216"/>
        <item x="235"/>
        <item x="55"/>
        <item x="346"/>
        <item x="327"/>
        <item x="384"/>
        <item x="180"/>
        <item x="51"/>
        <item x="371"/>
        <item x="26"/>
        <item x="284"/>
        <item x="179"/>
        <item x="145"/>
        <item x="124"/>
        <item x="267"/>
        <item x="278"/>
        <item x="214"/>
        <item x="233"/>
        <item x="5"/>
        <item x="50"/>
        <item x="273"/>
        <item x="262"/>
        <item x="54"/>
        <item x="31"/>
        <item x="125"/>
        <item x="290"/>
        <item x="146"/>
        <item x="300"/>
        <item x="175"/>
        <item x="161"/>
        <item x="197"/>
        <item x="27"/>
        <item x="203"/>
        <item x="291"/>
        <item x="181"/>
        <item x="67"/>
        <item x="85"/>
        <item x="393"/>
        <item x="373"/>
        <item x="324"/>
        <item x="343"/>
        <item x="394"/>
        <item x="299"/>
        <item x="304"/>
        <item x="104"/>
        <item x="388"/>
        <item x="30"/>
        <item x="359"/>
        <item x="364"/>
        <item x="334"/>
        <item x="315"/>
        <item x="349"/>
        <item x="6"/>
        <item x="134"/>
        <item x="155"/>
        <item x="365"/>
        <item x="360"/>
        <item x="263"/>
        <item x="274"/>
        <item x="159"/>
        <item x="248"/>
        <item x="266"/>
        <item x="277"/>
        <item x="99"/>
        <item x="390"/>
        <item x="64"/>
        <item x="82"/>
        <item x="292"/>
        <item x="123"/>
        <item x="108"/>
        <item x="183"/>
        <item x="391"/>
        <item x="144"/>
        <item x="223"/>
        <item x="242"/>
        <item x="7"/>
        <item x="383"/>
        <item x="97"/>
        <item x="39"/>
        <item x="296"/>
        <item x="73"/>
        <item x="91"/>
        <item x="297"/>
        <item x="120"/>
        <item x="141"/>
        <item x="213"/>
        <item x="246"/>
        <item x="113"/>
        <item x="232"/>
        <item x="347"/>
        <item x="302"/>
        <item x="305"/>
        <item x="98"/>
        <item x="258"/>
        <item x="42"/>
        <item x="269"/>
        <item x="114"/>
        <item x="294"/>
        <item x="47"/>
        <item x="38"/>
        <item x="298"/>
        <item x="303"/>
        <item x="187"/>
        <item x="44"/>
        <item x="45"/>
        <item x="189"/>
        <item x="37"/>
        <item x="46"/>
        <item x="43"/>
        <item x="295"/>
        <item x="41"/>
        <item x="188"/>
        <item x="186"/>
        <item x="190"/>
        <item x="2"/>
        <item x="168"/>
        <item x="193"/>
        <item x="200"/>
        <item x="379"/>
        <item x="100"/>
        <item x="49"/>
        <item x="53"/>
        <item x="96"/>
        <item x="255"/>
        <item x="131"/>
        <item x="256"/>
        <item x="152"/>
        <item x="222"/>
        <item x="241"/>
        <item x="1"/>
        <item x="48"/>
        <item x="95"/>
        <item x="52"/>
        <item x="122"/>
        <item x="265"/>
        <item x="276"/>
        <item x="143"/>
        <item x="357"/>
        <item x="192"/>
        <item x="121"/>
        <item x="362"/>
        <item x="259"/>
        <item x="199"/>
        <item x="142"/>
        <item x="270"/>
        <item x="4"/>
        <item x="358"/>
        <item x="363"/>
        <item x="132"/>
        <item x="153"/>
        <item x="312"/>
        <item x="331"/>
        <item x="0"/>
        <item x="313"/>
        <item x="194"/>
        <item x="332"/>
        <item x="201"/>
        <item x="260"/>
        <item x="271"/>
        <item x="133"/>
        <item x="264"/>
        <item x="154"/>
        <item x="275"/>
        <item x="314"/>
        <item x="221"/>
        <item x="333"/>
        <item x="322"/>
        <item x="240"/>
        <item x="341"/>
        <item x="36"/>
        <item x="210"/>
        <item x="229"/>
        <item x="356"/>
        <item x="35"/>
        <item x="361"/>
        <item x="71"/>
        <item x="72"/>
        <item x="89"/>
        <item x="321"/>
        <item x="90"/>
        <item x="340"/>
        <item x="311"/>
        <item x="220"/>
        <item x="330"/>
        <item x="239"/>
        <item x="118"/>
        <item x="19"/>
        <item x="139"/>
        <item x="61"/>
        <item x="79"/>
        <item x="196"/>
        <item x="119"/>
        <item x="202"/>
        <item x="107"/>
        <item x="140"/>
        <item x="257"/>
        <item x="191"/>
        <item x="268"/>
        <item x="198"/>
        <item x="11"/>
        <item x="212"/>
        <item x="231"/>
        <item x="211"/>
        <item x="9"/>
        <item x="230"/>
        <item x="323"/>
        <item x="342"/>
        <item x="14"/>
        <item x="60"/>
        <item x="130"/>
        <item x="78"/>
        <item x="151"/>
        <item x="25"/>
        <item x="209"/>
        <item x="228"/>
        <item x="13"/>
        <item x="29"/>
        <item x="63"/>
        <item x="81"/>
        <item x="10"/>
        <item x="18"/>
        <item x="320"/>
        <item x="339"/>
        <item x="173"/>
        <item x="28"/>
        <item x="310"/>
        <item x="329"/>
        <item x="17"/>
        <item x="34"/>
        <item x="288"/>
        <item x="117"/>
        <item x="23"/>
        <item x="138"/>
        <item x="62"/>
        <item x="12"/>
        <item x="80"/>
        <item x="178"/>
        <item x="219"/>
        <item x="238"/>
        <item x="33"/>
        <item x="170"/>
        <item x="182"/>
        <item x="172"/>
        <item x="293"/>
        <item x="185"/>
        <item x="289"/>
        <item x="208"/>
        <item x="309"/>
        <item x="227"/>
        <item x="328"/>
        <item x="24"/>
        <item x="15"/>
        <item x="16"/>
        <item x="70"/>
        <item x="88"/>
        <item x="20"/>
        <item x="171"/>
        <item x="8"/>
        <item x="169"/>
        <item x="59"/>
        <item x="77"/>
        <item x="40"/>
        <item x="254"/>
        <item x="103"/>
        <item t="default"/>
      </items>
    </pivotField>
    <pivotField dataField="1" compact="0" outline="0" multipleItemSelectionAllowed="1" showAll="0">
      <items count="413">
        <item x="385"/>
        <item x="403"/>
        <item x="1"/>
        <item x="204"/>
        <item x="251"/>
        <item x="165"/>
        <item x="278"/>
        <item x="93"/>
        <item x="74"/>
        <item x="54"/>
        <item x="170"/>
        <item x="314"/>
        <item x="276"/>
        <item x="85"/>
        <item x="65"/>
        <item x="366"/>
        <item x="277"/>
        <item x="168"/>
        <item x="86"/>
        <item x="66"/>
        <item x="311"/>
        <item x="275"/>
        <item x="285"/>
        <item x="24"/>
        <item x="235"/>
        <item x="409"/>
        <item x="216"/>
        <item x="119"/>
        <item x="132"/>
        <item x="153"/>
        <item x="312"/>
        <item x="395"/>
        <item x="313"/>
        <item x="250"/>
        <item x="379"/>
        <item x="386"/>
        <item x="205"/>
        <item x="407"/>
        <item x="129"/>
        <item x="150"/>
        <item x="326"/>
        <item x="346"/>
        <item x="390"/>
        <item x="99"/>
        <item x="362"/>
        <item x="377"/>
        <item x="381"/>
        <item x="243"/>
        <item x="224"/>
        <item x="359"/>
        <item x="411"/>
        <item x="166"/>
        <item x="203"/>
        <item x="408"/>
        <item x="101"/>
        <item x="361"/>
        <item x="310"/>
        <item x="53"/>
        <item x="23"/>
        <item x="247"/>
        <item x="138"/>
        <item x="159"/>
        <item x="52"/>
        <item x="383"/>
        <item x="363"/>
        <item x="181"/>
        <item x="202"/>
        <item x="291"/>
        <item x="284"/>
        <item x="106"/>
        <item x="410"/>
        <item x="180"/>
        <item x="344"/>
        <item x="324"/>
        <item x="167"/>
        <item x="112"/>
        <item x="343"/>
        <item x="283"/>
        <item x="405"/>
        <item x="323"/>
        <item x="268"/>
        <item x="257"/>
        <item x="131"/>
        <item x="152"/>
        <item x="92"/>
        <item x="73"/>
        <item x="109"/>
        <item x="249"/>
        <item x="378"/>
        <item x="193"/>
        <item x="325"/>
        <item x="345"/>
        <item x="333"/>
        <item x="353"/>
        <item x="187"/>
        <item x="169"/>
        <item x="91"/>
        <item x="72"/>
        <item x="160"/>
        <item x="139"/>
        <item x="358"/>
        <item x="163"/>
        <item x="245"/>
        <item x="393"/>
        <item x="342"/>
        <item x="322"/>
        <item x="404"/>
        <item x="213"/>
        <item x="232"/>
        <item x="102"/>
        <item x="406"/>
        <item x="82"/>
        <item x="62"/>
        <item x="356"/>
        <item x="241"/>
        <item x="222"/>
        <item x="360"/>
        <item x="223"/>
        <item x="242"/>
        <item x="161"/>
        <item x="140"/>
        <item x="397"/>
        <item x="394"/>
        <item x="22"/>
        <item x="29"/>
        <item x="81"/>
        <item x="61"/>
        <item x="111"/>
        <item x="248"/>
        <item x="282"/>
        <item x="20"/>
        <item x="352"/>
        <item x="332"/>
        <item x="388"/>
        <item x="51"/>
        <item x="234"/>
        <item x="215"/>
        <item x="178"/>
        <item x="400"/>
        <item x="288"/>
        <item x="84"/>
        <item x="64"/>
        <item x="380"/>
        <item x="107"/>
        <item x="392"/>
        <item x="389"/>
        <item x="281"/>
        <item x="148"/>
        <item x="127"/>
        <item x="354"/>
        <item x="334"/>
        <item x="130"/>
        <item x="151"/>
        <item x="183"/>
        <item x="214"/>
        <item x="233"/>
        <item x="190"/>
        <item x="186"/>
        <item x="197"/>
        <item x="70"/>
        <item x="128"/>
        <item x="149"/>
        <item x="26"/>
        <item x="21"/>
        <item x="212"/>
        <item x="231"/>
        <item x="182"/>
        <item x="280"/>
        <item x="263"/>
        <item x="274"/>
        <item x="25"/>
        <item x="287"/>
        <item x="269"/>
        <item x="258"/>
        <item x="27"/>
        <item x="290"/>
        <item x="370"/>
        <item x="375"/>
        <item x="63"/>
        <item x="83"/>
        <item x="179"/>
        <item x="164"/>
        <item x="331"/>
        <item x="351"/>
        <item x="184"/>
        <item x="299"/>
        <item x="105"/>
        <item x="307"/>
        <item x="286"/>
        <item x="401"/>
        <item x="297"/>
        <item x="305"/>
        <item x="402"/>
        <item x="384"/>
        <item x="296"/>
        <item x="28"/>
        <item x="304"/>
        <item x="396"/>
        <item x="321"/>
        <item x="341"/>
        <item x="114"/>
        <item x="357"/>
        <item x="259"/>
        <item x="270"/>
        <item x="162"/>
        <item x="108"/>
        <item x="289"/>
        <item x="262"/>
        <item x="273"/>
        <item x="382"/>
        <item x="185"/>
        <item x="98"/>
        <item x="137"/>
        <item x="158"/>
        <item x="398"/>
        <item x="60"/>
        <item x="246"/>
        <item x="221"/>
        <item x="80"/>
        <item x="240"/>
        <item x="126"/>
        <item x="399"/>
        <item x="376"/>
        <item x="371"/>
        <item x="147"/>
        <item x="252"/>
        <item x="391"/>
        <item x="194"/>
        <item x="200"/>
        <item x="110"/>
        <item x="96"/>
        <item x="36"/>
        <item x="71"/>
        <item x="90"/>
        <item x="42"/>
        <item x="47"/>
        <item x="123"/>
        <item x="144"/>
        <item x="115"/>
        <item x="254"/>
        <item x="265"/>
        <item x="355"/>
        <item x="244"/>
        <item x="116"/>
        <item x="211"/>
        <item x="113"/>
        <item x="230"/>
        <item x="44"/>
        <item x="37"/>
        <item x="40"/>
        <item x="49"/>
        <item x="39"/>
        <item x="35"/>
        <item x="301"/>
        <item x="0"/>
        <item x="309"/>
        <item x="171"/>
        <item x="191"/>
        <item x="97"/>
        <item x="198"/>
        <item x="298"/>
        <item x="306"/>
        <item x="387"/>
        <item x="192"/>
        <item x="199"/>
        <item x="100"/>
        <item x="45"/>
        <item x="50"/>
        <item x="364"/>
        <item x="134"/>
        <item x="365"/>
        <item x="95"/>
        <item x="155"/>
        <item x="220"/>
        <item x="239"/>
        <item x="3"/>
        <item x="195"/>
        <item x="201"/>
        <item x="295"/>
        <item x="303"/>
        <item x="94"/>
        <item x="300"/>
        <item x="308"/>
        <item x="43"/>
        <item x="125"/>
        <item x="261"/>
        <item x="48"/>
        <item x="272"/>
        <item x="146"/>
        <item x="368"/>
        <item x="373"/>
        <item x="255"/>
        <item x="189"/>
        <item x="266"/>
        <item x="196"/>
        <item x="2"/>
        <item x="135"/>
        <item x="156"/>
        <item x="9"/>
        <item x="117"/>
        <item x="319"/>
        <item x="118"/>
        <item x="339"/>
        <item x="318"/>
        <item x="338"/>
        <item x="41"/>
        <item x="256"/>
        <item x="294"/>
        <item x="46"/>
        <item x="267"/>
        <item x="302"/>
        <item x="136"/>
        <item x="260"/>
        <item x="157"/>
        <item x="271"/>
        <item x="369"/>
        <item x="374"/>
        <item x="103"/>
        <item x="320"/>
        <item x="340"/>
        <item x="329"/>
        <item x="349"/>
        <item x="34"/>
        <item x="69"/>
        <item x="208"/>
        <item x="89"/>
        <item x="227"/>
        <item x="317"/>
        <item x="337"/>
        <item x="218"/>
        <item x="237"/>
        <item x="121"/>
        <item x="124"/>
        <item x="219"/>
        <item x="32"/>
        <item x="142"/>
        <item x="238"/>
        <item x="145"/>
        <item x="367"/>
        <item x="372"/>
        <item x="122"/>
        <item x="18"/>
        <item x="143"/>
        <item x="68"/>
        <item x="88"/>
        <item x="253"/>
        <item x="264"/>
        <item x="8"/>
        <item x="328"/>
        <item x="210"/>
        <item x="348"/>
        <item x="229"/>
        <item x="6"/>
        <item x="57"/>
        <item x="77"/>
        <item x="12"/>
        <item x="330"/>
        <item x="209"/>
        <item x="350"/>
        <item x="228"/>
        <item x="56"/>
        <item x="33"/>
        <item x="76"/>
        <item x="207"/>
        <item x="14"/>
        <item x="226"/>
        <item x="11"/>
        <item x="59"/>
        <item x="79"/>
        <item x="7"/>
        <item x="133"/>
        <item x="154"/>
        <item x="17"/>
        <item x="327"/>
        <item x="347"/>
        <item x="293"/>
        <item x="177"/>
        <item x="16"/>
        <item x="174"/>
        <item x="316"/>
        <item x="336"/>
        <item x="31"/>
        <item x="58"/>
        <item x="10"/>
        <item x="78"/>
        <item x="279"/>
        <item x="217"/>
        <item x="236"/>
        <item x="120"/>
        <item x="30"/>
        <item x="141"/>
        <item x="176"/>
        <item x="292"/>
        <item x="188"/>
        <item x="206"/>
        <item x="225"/>
        <item x="13"/>
        <item x="315"/>
        <item x="335"/>
        <item x="15"/>
        <item x="67"/>
        <item x="87"/>
        <item x="19"/>
        <item x="5"/>
        <item x="175"/>
        <item x="173"/>
        <item x="55"/>
        <item x="75"/>
        <item x="38"/>
        <item x="172"/>
        <item x="4"/>
        <item x="104"/>
        <item t="default"/>
      </items>
    </pivotField>
  </pivotFields>
  <rowFields count="1">
    <field x="-2"/>
  </rowFields>
  <row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rowItems>
  <colFields count="1">
    <field x="4"/>
  </colFields>
  <colItems count="6">
    <i>
      <x v="11"/>
    </i>
    <i>
      <x v="12"/>
    </i>
    <i>
      <x v="16"/>
    </i>
    <i>
      <x v="24"/>
    </i>
    <i>
      <x v="25"/>
    </i>
    <i t="grand">
      <x/>
    </i>
  </colItems>
  <pageFields count="4">
    <pageField fld="0"/>
    <pageField fld="1"/>
    <pageField fld="2"/>
    <pageField fld="3"/>
  </pageFields>
  <dataFields count="12">
    <dataField name="2024年1月" fld="5" baseField="0" baseItem="0"/>
    <dataField name="2024年2月" fld="6" baseField="0" baseItem="0"/>
    <dataField name="2024年3月" fld="7" baseField="0" baseItem="0"/>
    <dataField name="2024年4月" fld="8" baseField="0" baseItem="0"/>
    <dataField name="2024年5月" fld="9" baseField="0" baseItem="0"/>
    <dataField name="2024年6月" fld="10" baseField="0" baseItem="0"/>
    <dataField name="2024年7月" fld="11" baseField="0" baseItem="0"/>
    <dataField name="2024年8月" fld="12" baseField="0" baseItem="0"/>
    <dataField name="2024年9月" fld="13" baseField="0" baseItem="0"/>
    <dataField name="2024年10月" fld="14" baseField="0" baseItem="0"/>
    <dataField name="2024年11月" fld="15" baseField="0" baseItem="0"/>
    <dataField name="2024年12月" fld="16" baseField="0" baseItem="0"/>
  </dataFields>
  <pivotTableStyleInfo showRowHeaders="1" showColHeaders="1" showLastColumn="1"/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Cache_Table_2_Col_1" sourceName="设计阶段">
  <extLst>
    <x:ext xmlns:x15="http://schemas.microsoft.com/office/spreadsheetml/2010/11/main" uri="{2F2917AC-EB37-4324-AD4E-5DD8C200BD13}">
      <x15:tableSlicerCache tableId="2" column="1"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Cache_Table_2_Col_2" sourceName="评审阶段">
  <extLst>
    <x:ext xmlns:x15="http://schemas.microsoft.com/office/spreadsheetml/2010/11/main" uri="{2F2917AC-EB37-4324-AD4E-5DD8C200BD13}">
      <x15:tableSlicerCache tableId="2" column="2"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Cache_Table_2_Col_3" sourceName="统计维度">
  <extLst>
    <x:ext xmlns:x15="http://schemas.microsoft.com/office/spreadsheetml/2010/11/main" uri="{2F2917AC-EB37-4324-AD4E-5DD8C200BD13}">
      <x15:tableSlicerCache tableId="2" column="3"/>
    </x:ext>
  </extLst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Cache_Table_2_Col_4" sourceName="单位">
  <extLst>
    <x:ext xmlns:x15="http://schemas.microsoft.com/office/spreadsheetml/2010/11/main" uri="{2F2917AC-EB37-4324-AD4E-5DD8C200BD13}">
      <x15:tableSlicerCache tableId="2" column="4"/>
    </x:ext>
  </extLst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Cache_Table_2_Col_5" sourceName="统计项目">
  <extLst>
    <x:ext xmlns:x15="http://schemas.microsoft.com/office/spreadsheetml/2010/11/main" uri="{2F2917AC-EB37-4324-AD4E-5DD8C200BD13}">
      <x15:tableSlicerCache tableId="2" column="5"/>
    </x:ext>
  </extLst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Cache_Table_4_Col_1" sourceName="设计阶段">
  <extLst>
    <x:ext xmlns:x15="http://schemas.microsoft.com/office/spreadsheetml/2010/11/main" uri="{2F2917AC-EB37-4324-AD4E-5DD8C200BD13}">
      <x15:tableSlicerCache tableId="4" column="1"/>
    </x:ext>
  </extLst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Cache_Table_4_Col_3" sourceName="统计模式">
  <extLst>
    <x:ext xmlns:x15="http://schemas.microsoft.com/office/spreadsheetml/2010/11/main" uri="{2F2917AC-EB37-4324-AD4E-5DD8C200BD13}">
      <x15:tableSlicerCache tableId="4" column="3"/>
    </x:ext>
  </extLst>
</slicerCacheDefinition>
</file>

<file path=xl/slicerCaches/slicerCache8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Cache_Table_6_Col_1" sourceName="设计阶段">
  <extLst>
    <x:ext xmlns:x15="http://schemas.microsoft.com/office/spreadsheetml/2010/11/main" uri="{2F2917AC-EB37-4324-AD4E-5DD8C200BD13}">
      <x15:tableSlicerCache tableId="6" column="1"/>
    </x:ext>
  </extLst>
</slicerCacheDefinition>
</file>

<file path=xl/slicerCaches/slicerCache9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Cache_Table_6_Col_3" sourceName="统计模式">
  <extLst>
    <x:ext xmlns:x15="http://schemas.microsoft.com/office/spreadsheetml/2010/11/main" uri="{2F2917AC-EB37-4324-AD4E-5DD8C200BD13}">
      <x15:tableSlicerCache tableId="6" column="3"/>
    </x:ext>
  </extLst>
</slicerCacheDefinition>
</file>

<file path=xl/slicerCaches/slicerCache10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Cache_Table_8_Col_1" sourceName="设计阶段">
  <extLst>
    <x:ext xmlns:x15="http://schemas.microsoft.com/office/spreadsheetml/2010/11/main" uri="{2F2917AC-EB37-4324-AD4E-5DD8C200BD13}">
      <x15:tableSlicerCache tableId="8" column="1"/>
    </x:ext>
  </extLst>
</slicerCacheDefinition>
</file>

<file path=xl/slicerCaches/slicerCache1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Cache_Table_8_Col_3" sourceName="统计模式">
  <extLst>
    <x:ext xmlns:x15="http://schemas.microsoft.com/office/spreadsheetml/2010/11/main" uri="{2F2917AC-EB37-4324-AD4E-5DD8C200BD13}">
      <x15:tableSlicerCache tableId="8" column="3"/>
    </x:ext>
  </extLst>
</slicerCacheDefinition>
</file>

<file path=xl/slicerCaches/slicerCache1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Cache_Table_9_Col_1" sourceName="设计阶段">
  <extLst>
    <x:ext xmlns:x15="http://schemas.microsoft.com/office/spreadsheetml/2010/11/main" uri="{2F2917AC-EB37-4324-AD4E-5DD8C200BD13}">
      <x15:tableSlicerCache tableId="9" column="1"/>
    </x:ext>
  </extLst>
</slicerCacheDefinition>
</file>

<file path=xl/slicerCaches/slicerCache1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Cache_Table_9_Col_2" sourceName="变动情况">
  <extLst>
    <x:ext xmlns:x15="http://schemas.microsoft.com/office/spreadsheetml/2010/11/main" uri="{2F2917AC-EB37-4324-AD4E-5DD8C200BD13}">
      <x15:tableSlicerCache tableId="9" column="2"/>
    </x:ext>
  </extLst>
</slicerCacheDefinition>
</file>

<file path=xl/slicerCaches/slicerCache1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Cache_Table_9_Col_3" sourceName="统计模式">
  <extLst>
    <x:ext xmlns:x15="http://schemas.microsoft.com/office/spreadsheetml/2010/11/main" uri="{2F2917AC-EB37-4324-AD4E-5DD8C200BD13}">
      <x15:tableSlicerCache tableId="9" column="3"/>
    </x:ext>
  </extLst>
</slicerCacheDefinition>
</file>

<file path=xl/slicerCaches/slicerCache15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Cache_Table_11_Col_1" sourceName="设计阶段">
  <extLst>
    <x:ext xmlns:x15="http://schemas.microsoft.com/office/spreadsheetml/2010/11/main" uri="{2F2917AC-EB37-4324-AD4E-5DD8C200BD13}">
      <x15:tableSlicerCache tableId="11" column="1"/>
    </x:ext>
  </extLst>
</slicerCacheDefinition>
</file>

<file path=xl/slicerCaches/slicerCache16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Cache_Table_11_Col_2" sourceName="评审阶段">
  <extLst>
    <x:ext xmlns:x15="http://schemas.microsoft.com/office/spreadsheetml/2010/11/main" uri="{2F2917AC-EB37-4324-AD4E-5DD8C200BD13}">
      <x15:tableSlicerCache tableId="11" column="2"/>
    </x:ext>
  </extLst>
</slicerCacheDefinition>
</file>

<file path=xl/slicerCaches/slicerCache17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Cache_Table_11_Col_3" sourceName="统计维度">
  <extLst>
    <x:ext xmlns:x15="http://schemas.microsoft.com/office/spreadsheetml/2010/11/main" uri="{2F2917AC-EB37-4324-AD4E-5DD8C200BD13}">
      <x15:tableSlicerCache tableId="11" column="3"/>
    </x:ext>
  </extLst>
</slicerCacheDefinition>
</file>

<file path=xl/slicerCaches/slicerCache18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Cache_Table_11_Col_4" sourceName="单位">
  <extLst>
    <x:ext xmlns:x15="http://schemas.microsoft.com/office/spreadsheetml/2010/11/main" uri="{2F2917AC-EB37-4324-AD4E-5DD8C200BD13}">
      <x15:tableSlicerCache tableId="11" column="4"/>
    </x:ext>
  </extLst>
</slicerCacheDefinition>
</file>

<file path=xl/slicerCaches/slicerCache19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Cache_Table_11_Col_5" sourceName="统计项目">
  <extLst>
    <x:ext xmlns:x15="http://schemas.microsoft.com/office/spreadsheetml/2010/11/main" uri="{2F2917AC-EB37-4324-AD4E-5DD8C200BD13}">
      <x15:tableSlicerCache tableId="11" column="5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设计阶段_5" cache="SlicerCache_Table_2_Col_1" caption="设计阶段" rowHeight="247650"/>
  <slicer name="评审阶段_4" cache="SlicerCache_Table_2_Col_2" caption="评审阶段" rowHeight="247650"/>
  <slicer name="统计维度_3" cache="SlicerCache_Table_2_Col_3" caption="统计维度" rowHeight="247650"/>
  <slicer name="单位_2" cache="SlicerCache_Table_2_Col_4" caption="单位" rowHeight="247650"/>
  <slicer name="统计项目_1" cache="SlicerCache_Table_2_Col_5" caption="统计项目" rowHeight="24765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设计阶段_6" cache="SlicerCache_Table_4_Col_1" caption="设计阶段" rowHeight="247650"/>
  <slicer name="统计模式_7" cache="SlicerCache_Table_4_Col_3" caption="统计模式" rowHeight="247650"/>
  <slicer name="设计阶段_8" cache="SlicerCache_Table_6_Col_1" caption="设计阶段" rowHeight="247650"/>
  <slicer name="统计模式_9" cache="SlicerCache_Table_6_Col_3" caption="统计模式" rowHeight="247650"/>
  <slicer name="设计阶段_10" cache="SlicerCache_Table_8_Col_1" caption="设计阶段" rowHeight="247650"/>
  <slicer name="统计模式_11" cache="SlicerCache_Table_8_Col_3" caption="统计模式" rowHeight="247650"/>
  <slicer name="设计阶段_12" cache="SlicerCache_Table_9_Col_1" caption="设计阶段" rowHeight="247650"/>
  <slicer name="变动情况_13" cache="SlicerCache_Table_9_Col_2" caption="变动情况" rowHeight="247650"/>
  <slicer name="统计模式_14" cache="SlicerCache_Table_9_Col_3" caption="统计模式" rowHeight="247650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设计阶段_19" cache="SlicerCache_Table_11_Col_1" caption="设计阶段" rowHeight="247650"/>
  <slicer name="评审阶段_18" cache="SlicerCache_Table_11_Col_2" caption="评审阶段" rowHeight="247650"/>
  <slicer name="统计维度_17" cache="SlicerCache_Table_11_Col_3" caption="统计维度" rowHeight="247650"/>
  <slicer name="单位_16" cache="SlicerCache_Table_11_Col_4" caption="单位" rowHeight="247650"/>
  <slicer name="统计项目_15" cache="SlicerCache_Table_11_Col_5" caption="统计项目" rowHeight="247650"/>
</slicers>
</file>

<file path=xl/tables/table1.xml><?xml version="1.0" encoding="utf-8"?>
<table xmlns="http://schemas.openxmlformats.org/spreadsheetml/2006/main" id="1" name="Table_1" displayName="Table_1" ref="A2:BZ181">
  <autoFilter xmlns:etc="http://www.wps.cn/officeDocument/2017/etCustomData" ref="A2:BZ181" etc:filterBottomFollowUsedRange="0"/>
  <tableColumns count="78">
    <tableColumn id="1" name="项目名称" dataDxfId="0"/>
    <tableColumn id="2" name="设计单位" dataDxfId="1"/>
    <tableColumn id="3" name="可研评审时间" dataDxfId="2"/>
    <tableColumn id="4" name="可研发文时间" dataDxfId="3"/>
    <tableColumn id="5" name="是否完成可研审查" dataDxfId="4"/>
    <tableColumn id="6" name="可研评审时长" dataDxfId="5"/>
    <tableColumn id="7" name="可研调整评审时间" dataDxfId="6"/>
    <tableColumn id="8" name="可研调整发文时间" dataDxfId="7"/>
    <tableColumn id="9" name="是否完成可研调整审查" dataDxfId="8"/>
    <tableColumn id="10" name="可研成调整评审时长" dataDxfId="9"/>
    <tableColumn id="11" name="初设评审时间" dataDxfId="10"/>
    <tableColumn id="12" name="初设发文时间" dataDxfId="11"/>
    <tableColumn id="13" name="是否完成初设审查" dataDxfId="12"/>
    <tableColumn id="14" name="初设评审时长" dataDxfId="13"/>
    <tableColumn id="15" name="初设调整评审时间" dataDxfId="14"/>
    <tableColumn id="16" name="初设调整发文时间" dataDxfId="15"/>
    <tableColumn id="17" name="是否完成初设调整审查" dataDxfId="16"/>
    <tableColumn id="18" name="初设调整评审时长" dataDxfId="17"/>
    <tableColumn id="19" name="施工图评审时间" dataDxfId="18"/>
    <tableColumn id="20" name="施工图发文时间" dataDxfId="19"/>
    <tableColumn id="21" name="是否完成施工图审查" dataDxfId="20"/>
    <tableColumn id="22" name="施工图预算评审时长" dataDxfId="21"/>
    <tableColumn id="23" name="施工图预算调整评审时间" dataDxfId="22"/>
    <tableColumn id="24" name="施工图预算调整发文时间" dataDxfId="23"/>
    <tableColumn id="25" name="是否完成预算调整审查" dataDxfId="24"/>
    <tableColumn id="26" name="施工图预算调整评审时长" dataDxfId="25"/>
    <tableColumn id="27" name="重大设计变更评审时间" dataDxfId="26"/>
    <tableColumn id="28" name="重大设计变更发文时间" dataDxfId="27"/>
    <tableColumn id="29" name="是否完成重大设计变更审查" dataDxfId="28"/>
    <tableColumn id="30" name="设计变更评审时长" dataDxfId="29"/>
    <tableColumn id="31" name="负责人" dataDxfId="30"/>
    <tableColumn id="32" name="变电" dataDxfId="31"/>
    <tableColumn id="33" name="线路" dataDxfId="32"/>
    <tableColumn id="34" name="可研估算送审动态投资" dataDxfId="33"/>
    <tableColumn id="35" name="可研估算审定动态投资" dataDxfId="34"/>
    <tableColumn id="36" name="可研估算送审静态投资" dataDxfId="35"/>
    <tableColumn id="37" name="可研估算审定静态投资" dataDxfId="36"/>
    <tableColumn id="38" name="可研估算校正（静态）" dataDxfId="37"/>
    <tableColumn id="39" name="审定-送审（动态）可研估算" dataDxfId="38"/>
    <tableColumn id="40" name="审定-送审（静态）可研估算" dataDxfId="39"/>
    <tableColumn id="41" name="估算调整送审动态投资" dataDxfId="40"/>
    <tableColumn id="42" name="估算调整审定动态投资" dataDxfId="41"/>
    <tableColumn id="43" name="估算调整送审静态投资" dataDxfId="42"/>
    <tableColumn id="44" name="估算调整审定静态投资" dataDxfId="43"/>
    <tableColumn id="45" name="可研调整估算校正" dataDxfId="44"/>
    <tableColumn id="46" name="审定-送审（静态）调整估算" dataDxfId="45"/>
    <tableColumn id="47" name="初设概算送审动态投资" dataDxfId="46"/>
    <tableColumn id="48" name="初设概算审定动态投资" dataDxfId="47"/>
    <tableColumn id="49" name="初设概算送审静态投资" dataDxfId="48"/>
    <tableColumn id="50" name="初设概算审定静态投资" dataDxfId="49"/>
    <tableColumn id="51" name="初设概算校正" dataDxfId="50"/>
    <tableColumn id="52" name="审定-送审（静态）初设概算" dataDxfId="51"/>
    <tableColumn id="53" name="概算-估算（动态）" dataDxfId="52"/>
    <tableColumn id="54" name="概算调整送审动态投资" dataDxfId="53"/>
    <tableColumn id="55" name="概算调整审定动态投资" dataDxfId="54"/>
    <tableColumn id="56" name="概算调整送审静态投资" dataDxfId="55"/>
    <tableColumn id="57" name="概算调整审定静态投资" dataDxfId="56"/>
    <tableColumn id="58" name="初设调整概算校正" dataDxfId="57"/>
    <tableColumn id="59" name="审定-送审（静态）概算调整" dataDxfId="58"/>
    <tableColumn id="60" name="施工图预算送审动态投资" dataDxfId="59"/>
    <tableColumn id="61" name="施工图预算审定动态投资" dataDxfId="60"/>
    <tableColumn id="62" name="施工图预算送审静态投资" dataDxfId="61"/>
    <tableColumn id="63" name="施工图预算审定静态投资" dataDxfId="62"/>
    <tableColumn id="64" name="施工图预算校正" dataDxfId="63"/>
    <tableColumn id="65" name="审定-送审（静态）施工图预算" dataDxfId="64"/>
    <tableColumn id="66" name="预算-概算（动态）" dataDxfId="65"/>
    <tableColumn id="67" name="预算调整预算送审动态投资" dataDxfId="66"/>
    <tableColumn id="68" name="预算调整预算审定动态投资" dataDxfId="67"/>
    <tableColumn id="69" name="预算调整预算送审静态投资" dataDxfId="68"/>
    <tableColumn id="70" name="预算调整预算审定静态投资" dataDxfId="69"/>
    <tableColumn id="71" name="施工图调整预算校正" dataDxfId="70"/>
    <tableColumn id="72" name="审定-送审（静态）预算调整" dataDxfId="71"/>
    <tableColumn id="73" name="重大设计变更送审动态投资" dataDxfId="72"/>
    <tableColumn id="74" name="重大设计变更审定动态投资" dataDxfId="73"/>
    <tableColumn id="75" name="重大设计变更送审静态投资" dataDxfId="74"/>
    <tableColumn id="76" name="重大设计变更审定静态投资" dataDxfId="75"/>
    <tableColumn id="77" name="重大设计变更校正" dataDxfId="76"/>
    <tableColumn id="78" name="审定-送审（静态）重大变更" dataDxfId="77"/>
  </tableColumns>
  <tableStyleInfo name="2025数据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A1:Q2196">
  <autoFilter xmlns:etc="http://www.wps.cn/officeDocument/2017/etCustomData" ref="A1:Q2196" etc:filterBottomFollowUsedRange="0"/>
  <tableColumns count="17">
    <tableColumn id="1" name="设计阶段" dataDxfId="79"/>
    <tableColumn id="2" name="评审阶段" dataDxfId="80"/>
    <tableColumn id="3" name="统计维度" dataDxfId="81"/>
    <tableColumn id="4" name="单位" dataDxfId="82"/>
    <tableColumn id="5" name="统计项目" dataDxfId="83"/>
    <tableColumn id="6" name="1月" dataDxfId="84"/>
    <tableColumn id="7" name="2月" dataDxfId="85"/>
    <tableColumn id="8" name="3月" dataDxfId="86"/>
    <tableColumn id="9" name="4月" dataDxfId="87"/>
    <tableColumn id="10" name="5月" dataDxfId="88"/>
    <tableColumn id="11" name="6月" dataDxfId="89"/>
    <tableColumn id="12" name="7月" dataDxfId="90"/>
    <tableColumn id="13" name="8月" dataDxfId="91"/>
    <tableColumn id="14" name="9月" dataDxfId="92"/>
    <tableColumn id="15" name="10月" dataDxfId="93"/>
    <tableColumn id="16" name="11月" dataDxfId="94"/>
    <tableColumn id="17" name="12月" dataDxfId="95"/>
  </tableColumns>
  <tableStyleInfo name="2025整理-style" showFirstColumn="1" showLastColumn="1" showRowStripes="1" showColumnStripes="0"/>
</table>
</file>

<file path=xl/tables/table3.xml><?xml version="1.0" encoding="utf-8"?>
<table xmlns="http://schemas.openxmlformats.org/spreadsheetml/2006/main" id="3" name="Table_3" displayName="Table_3" ref="A2:O36">
  <tableColumns count="15">
    <tableColumn id="1" name="设计阶段" dataDxfId="96"/>
    <tableColumn id="2" name="时间" dataDxfId="97"/>
    <tableColumn id="3" name="统计模式" dataDxfId="98"/>
    <tableColumn id="4" name="1月" dataDxfId="99"/>
    <tableColumn id="5" name="2月" dataDxfId="100"/>
    <tableColumn id="6" name="3月" dataDxfId="101"/>
    <tableColumn id="7" name="4月" dataDxfId="102"/>
    <tableColumn id="8" name="5月" dataDxfId="103"/>
    <tableColumn id="9" name="6月" dataDxfId="104"/>
    <tableColumn id="10" name="7月" dataDxfId="105"/>
    <tableColumn id="11" name="8月" dataDxfId="106"/>
    <tableColumn id="12" name="9月" dataDxfId="107"/>
    <tableColumn id="13" name="10月" dataDxfId="108"/>
    <tableColumn id="14" name="11月" dataDxfId="109"/>
    <tableColumn id="15" name="12月" dataDxfId="110"/>
  </tableColumns>
  <tableStyleInfo name="分析-style" showFirstColumn="1" showLastColumn="1" showRowStripes="1" showColumnStripes="0"/>
</table>
</file>

<file path=xl/tables/table4.xml><?xml version="1.0" encoding="utf-8"?>
<table xmlns="http://schemas.openxmlformats.org/spreadsheetml/2006/main" id="4" name="Table_4" displayName="Table_4" ref="W2:AK34">
  <autoFilter xmlns:etc="http://www.wps.cn/officeDocument/2017/etCustomData" ref="W2:AK34" etc:filterBottomFollowUsedRange="0"/>
  <tableColumns count="15">
    <tableColumn id="1" name="设计阶段" dataDxfId="111"/>
    <tableColumn id="2" name="时间" dataDxfId="112"/>
    <tableColumn id="3" name="统计模式" dataDxfId="113"/>
    <tableColumn id="4" name="1月" dataDxfId="114"/>
    <tableColumn id="5" name="2月" dataDxfId="115"/>
    <tableColumn id="6" name="3月" dataDxfId="116"/>
    <tableColumn id="7" name="4月" dataDxfId="117"/>
    <tableColumn id="8" name="5月" dataDxfId="118"/>
    <tableColumn id="9" name="6月" dataDxfId="119"/>
    <tableColumn id="10" name="7月" dataDxfId="120"/>
    <tableColumn id="11" name="8月" dataDxfId="121"/>
    <tableColumn id="12" name="9月" dataDxfId="122"/>
    <tableColumn id="13" name="10月" dataDxfId="123"/>
    <tableColumn id="14" name="11月" dataDxfId="124"/>
    <tableColumn id="15" name="12月" dataDxfId="125"/>
  </tableColumns>
  <tableStyleInfo name="分析-style 2" showFirstColumn="1" showLastColumn="1" showRowStripes="1" showColumnStripes="0"/>
</table>
</file>

<file path=xl/tables/table5.xml><?xml version="1.0" encoding="utf-8"?>
<table xmlns="http://schemas.openxmlformats.org/spreadsheetml/2006/main" id="5" name="Table_5" displayName="Table_5" ref="A54:O78">
  <tableColumns count="15">
    <tableColumn id="1" name="设计阶段" dataDxfId="126"/>
    <tableColumn id="2" name="时间" dataDxfId="127"/>
    <tableColumn id="3" name="统计模式" dataDxfId="128"/>
    <tableColumn id="4" name="1月" dataDxfId="129"/>
    <tableColumn id="5" name="2月" dataDxfId="130"/>
    <tableColumn id="6" name="3月" dataDxfId="131"/>
    <tableColumn id="7" name="4月" dataDxfId="132"/>
    <tableColumn id="8" name="5月" dataDxfId="133"/>
    <tableColumn id="9" name="6月" dataDxfId="134"/>
    <tableColumn id="10" name="7月" dataDxfId="135"/>
    <tableColumn id="11" name="8月" dataDxfId="136"/>
    <tableColumn id="12" name="9月" dataDxfId="137"/>
    <tableColumn id="13" name="10月" dataDxfId="138"/>
    <tableColumn id="14" name="11月" dataDxfId="139"/>
    <tableColumn id="15" name="12月" dataDxfId="140"/>
  </tableColumns>
  <tableStyleInfo name="分析-style 3" showFirstColumn="1" showLastColumn="1" showRowStripes="1" showColumnStripes="0"/>
</table>
</file>

<file path=xl/tables/table6.xml><?xml version="1.0" encoding="utf-8"?>
<table xmlns="http://schemas.openxmlformats.org/spreadsheetml/2006/main" id="6" name="Table_6" displayName="Table_6" ref="W54:AK70">
  <autoFilter xmlns:etc="http://www.wps.cn/officeDocument/2017/etCustomData" ref="W54:AK70" etc:filterBottomFollowUsedRange="0"/>
  <tableColumns count="15">
    <tableColumn id="1" name="设计阶段" dataDxfId="141"/>
    <tableColumn id="2" name="时间" dataDxfId="142"/>
    <tableColumn id="3" name="统计模式" dataDxfId="143"/>
    <tableColumn id="4" name="1月" dataDxfId="144"/>
    <tableColumn id="5" name="2月" dataDxfId="145"/>
    <tableColumn id="6" name="3月" dataDxfId="146"/>
    <tableColumn id="7" name="4月" dataDxfId="147"/>
    <tableColumn id="8" name="5月" dataDxfId="148"/>
    <tableColumn id="9" name="6月" dataDxfId="149"/>
    <tableColumn id="10" name="7月" dataDxfId="150"/>
    <tableColumn id="11" name="8月" dataDxfId="151"/>
    <tableColumn id="12" name="9月" dataDxfId="152"/>
    <tableColumn id="13" name="10月" dataDxfId="153"/>
    <tableColumn id="14" name="11月" dataDxfId="154"/>
    <tableColumn id="15" name="12月" dataDxfId="155"/>
  </tableColumns>
  <tableStyleInfo name="分析-style 4" showFirstColumn="1" showLastColumn="1" showRowStripes="1" showColumnStripes="0"/>
</table>
</file>

<file path=xl/tables/table7.xml><?xml version="1.0" encoding="utf-8"?>
<table xmlns="http://schemas.openxmlformats.org/spreadsheetml/2006/main" id="7" name="Table_7" displayName="Table_7" ref="A96:O124">
  <tableColumns count="15">
    <tableColumn id="1" name="设计阶段" dataDxfId="156"/>
    <tableColumn id="2" name="时间" dataDxfId="157"/>
    <tableColumn id="3" name="统计模式" dataDxfId="158"/>
    <tableColumn id="4" name="1月" dataDxfId="159"/>
    <tableColumn id="5" name="2月" dataDxfId="160"/>
    <tableColumn id="6" name="3月" dataDxfId="161"/>
    <tableColumn id="7" name="4月" dataDxfId="162"/>
    <tableColumn id="8" name="5月" dataDxfId="163"/>
    <tableColumn id="9" name="6月" dataDxfId="164"/>
    <tableColumn id="10" name="7月" dataDxfId="165"/>
    <tableColumn id="11" name="8月" dataDxfId="166"/>
    <tableColumn id="12" name="9月" dataDxfId="167"/>
    <tableColumn id="13" name="10月" dataDxfId="168"/>
    <tableColumn id="14" name="11月" dataDxfId="169"/>
    <tableColumn id="15" name="12月" dataDxfId="170"/>
  </tableColumns>
  <tableStyleInfo name="分析-style 5" showFirstColumn="1" showLastColumn="1" showRowStripes="1" showColumnStripes="0"/>
</table>
</file>

<file path=xl/tables/table8.xml><?xml version="1.0" encoding="utf-8"?>
<table xmlns="http://schemas.openxmlformats.org/spreadsheetml/2006/main" id="8" name="Table_8" displayName="Table_8" ref="W96:AK124">
  <autoFilter xmlns:etc="http://www.wps.cn/officeDocument/2017/etCustomData" ref="W96:AK124" etc:filterBottomFollowUsedRange="0"/>
  <tableColumns count="15">
    <tableColumn id="1" name="设计阶段" dataDxfId="171"/>
    <tableColumn id="2" name="时间" dataDxfId="172"/>
    <tableColumn id="3" name="统计模式" dataDxfId="173"/>
    <tableColumn id="4" name="1月" dataDxfId="174"/>
    <tableColumn id="5" name="2月" dataDxfId="175"/>
    <tableColumn id="6" name="3月" dataDxfId="176"/>
    <tableColumn id="7" name="4月" dataDxfId="177"/>
    <tableColumn id="8" name="5月" dataDxfId="178"/>
    <tableColumn id="9" name="6月" dataDxfId="179"/>
    <tableColumn id="10" name="7月" dataDxfId="180"/>
    <tableColumn id="11" name="8月" dataDxfId="181"/>
    <tableColumn id="12" name="9月" dataDxfId="182"/>
    <tableColumn id="13" name="10月" dataDxfId="183"/>
    <tableColumn id="14" name="11月" dataDxfId="184"/>
    <tableColumn id="15" name="12月" dataDxfId="185"/>
  </tableColumns>
  <tableStyleInfo name="分析-style 6" showFirstColumn="1" showLastColumn="1" showRowStripes="1" showColumnStripes="0"/>
</table>
</file>

<file path=xl/tables/table9.xml><?xml version="1.0" encoding="utf-8"?>
<table xmlns="http://schemas.openxmlformats.org/spreadsheetml/2006/main" id="9" name="Table_9" displayName="Table_9" ref="A142:O198">
  <autoFilter xmlns:etc="http://www.wps.cn/officeDocument/2017/etCustomData" ref="A142:O198" etc:filterBottomFollowUsedRange="0"/>
  <tableColumns count="15">
    <tableColumn id="1" name="设计阶段" dataDxfId="186"/>
    <tableColumn id="2" name="变动情况" dataDxfId="187"/>
    <tableColumn id="3" name="统计模式" dataDxfId="188"/>
    <tableColumn id="4" name="1月" dataDxfId="189"/>
    <tableColumn id="5" name="2月" dataDxfId="190"/>
    <tableColumn id="6" name="3月" dataDxfId="191"/>
    <tableColumn id="7" name="4月" dataDxfId="192"/>
    <tableColumn id="8" name="5月" dataDxfId="193"/>
    <tableColumn id="9" name="6月" dataDxfId="194"/>
    <tableColumn id="10" name="7月" dataDxfId="195"/>
    <tableColumn id="11" name="8月" dataDxfId="196"/>
    <tableColumn id="12" name="9月" dataDxfId="197"/>
    <tableColumn id="13" name="10月" dataDxfId="198"/>
    <tableColumn id="14" name="11月" dataDxfId="199"/>
    <tableColumn id="15" name="12月" dataDxfId="200"/>
  </tableColumns>
  <tableStyleInfo name="分析-style 7" showFirstColumn="1" showLastColumn="1" showRowStripes="1" showColumnStripes="0"/>
</table>
</file>

<file path=xl/tables/table10.xml><?xml version="1.0" encoding="utf-8"?>
<table xmlns="http://schemas.openxmlformats.org/spreadsheetml/2006/main" id="10" name="Table_10" displayName="Table_10" ref="A15:L23">
  <tableColumns count="12">
    <tableColumn id="1" name="设计阶段" dataDxfId="201"/>
    <tableColumn id="2" name="完成评审" dataDxfId="202"/>
    <tableColumn id="3" name="送审" dataDxfId="203"/>
    <tableColumn id="4" name="审定" dataDxfId="204"/>
    <tableColumn id="5" name="核减" dataDxfId="205"/>
    <tableColumn id="6" name="核减投资" dataDxfId="206"/>
    <tableColumn id="7" name="核减项目投资" dataDxfId="207"/>
    <tableColumn id="8" name="核减率" dataDxfId="208"/>
    <tableColumn id="9" name="核增" dataDxfId="209"/>
    <tableColumn id="10" name="核增投资" dataDxfId="210"/>
    <tableColumn id="11" name="核增项目投资" dataDxfId="211"/>
    <tableColumn id="12" name="核增率" dataDxfId="212"/>
  </tableColumns>
  <tableStyleInfo name="BI-style" showFirstColumn="1" showLastColumn="1" showRowStripes="1" showColumnStripes="0"/>
</table>
</file>

<file path=xl/tables/table11.xml><?xml version="1.0" encoding="utf-8"?>
<table xmlns="http://schemas.openxmlformats.org/spreadsheetml/2006/main" id="11" name="Table_11" displayName="Table_11" ref="A2:Q2116">
  <autoFilter xmlns:etc="http://www.wps.cn/officeDocument/2017/etCustomData" ref="A2:Q2116" etc:filterBottomFollowUsedRange="0"/>
  <tableColumns count="17">
    <tableColumn id="1" name="设计阶段" dataDxfId="213"/>
    <tableColumn id="2" name="评审阶段" dataDxfId="214"/>
    <tableColumn id="3" name="统计维度" dataDxfId="215"/>
    <tableColumn id="4" name="单位" dataDxfId="216"/>
    <tableColumn id="5" name="统计项目" dataDxfId="217"/>
    <tableColumn id="6" name="1月" dataDxfId="218"/>
    <tableColumn id="7" name="2月" dataDxfId="219"/>
    <tableColumn id="8" name="3月" dataDxfId="220"/>
    <tableColumn id="9" name="4月" dataDxfId="221"/>
    <tableColumn id="10" name="5月" dataDxfId="222"/>
    <tableColumn id="11" name="6月" dataDxfId="223"/>
    <tableColumn id="12" name="7月" dataDxfId="224"/>
    <tableColumn id="13" name="8月" dataDxfId="225"/>
    <tableColumn id="14" name="9月" dataDxfId="226"/>
    <tableColumn id="15" name="10月" dataDxfId="227"/>
    <tableColumn id="16" name="11月" dataDxfId="228"/>
    <tableColumn id="17" name="12月" dataDxfId="229"/>
  </tableColumns>
  <tableStyleInfo name="2024整理-style" showFirstColumn="1" showLastColumn="1" showRowStripes="1" showColumnStripes="0"/>
</table>
</file>

<file path=xl/tables/table12.xml><?xml version="1.0" encoding="utf-8"?>
<table xmlns="http://schemas.openxmlformats.org/spreadsheetml/2006/main" id="12" name="Table_12" displayName="Table_12" ref="A2:BZ152">
  <tableColumns count="78">
    <tableColumn id="1" name="项目名称" dataDxfId="230"/>
    <tableColumn id="2" name="设计单位" dataDxfId="231"/>
    <tableColumn id="3" name="可研评审时间" dataDxfId="232"/>
    <tableColumn id="4" name="可研发文时间" dataDxfId="233"/>
    <tableColumn id="5" name="是否完成可研审查" dataDxfId="234"/>
    <tableColumn id="6" name="可研评审时长" dataDxfId="235"/>
    <tableColumn id="7" name="可研调整评审时间" dataDxfId="236"/>
    <tableColumn id="8" name="可研调整发文时间" dataDxfId="237"/>
    <tableColumn id="9" name="是否完成可研调整审查" dataDxfId="238"/>
    <tableColumn id="10" name="可研成调整评审时长" dataDxfId="239"/>
    <tableColumn id="11" name="初设评审时间" dataDxfId="240"/>
    <tableColumn id="12" name="初设发文时间" dataDxfId="241"/>
    <tableColumn id="13" name="是否完成初设审查" dataDxfId="242"/>
    <tableColumn id="14" name="初设评审时长" dataDxfId="243"/>
    <tableColumn id="15" name="初设调整评审时间" dataDxfId="244"/>
    <tableColumn id="16" name="初设调整发文时间" dataDxfId="245"/>
    <tableColumn id="17" name="是否完成初设调整审查" dataDxfId="246"/>
    <tableColumn id="18" name="初设调整评审时长" dataDxfId="247"/>
    <tableColumn id="19" name="施工图评审时间" dataDxfId="248"/>
    <tableColumn id="20" name="施工图发文时间" dataDxfId="249"/>
    <tableColumn id="21" name="是否完成施工图审查" dataDxfId="250"/>
    <tableColumn id="22" name="施工图预算评审时长" dataDxfId="251"/>
    <tableColumn id="23" name="施工图预算调整评审时间" dataDxfId="252"/>
    <tableColumn id="24" name="施工图预算调整发文时间" dataDxfId="253"/>
    <tableColumn id="25" name="是否完成预算调整审查" dataDxfId="254"/>
    <tableColumn id="26" name="施工图预算调整评审时长" dataDxfId="255"/>
    <tableColumn id="27" name="重大设计变更评审时间" dataDxfId="256"/>
    <tableColumn id="28" name="重大设计变更发文时间" dataDxfId="257"/>
    <tableColumn id="29" name="是否完成重大设计变更审查" dataDxfId="258"/>
    <tableColumn id="30" name="设计变更评审时长" dataDxfId="259"/>
    <tableColumn id="31" name="负责人" dataDxfId="260"/>
    <tableColumn id="32" name="变电" dataDxfId="261"/>
    <tableColumn id="33" name="线路" dataDxfId="262"/>
    <tableColumn id="34" name="可研估算送审动态投资" dataDxfId="263"/>
    <tableColumn id="35" name="可研估算审定动态投资" dataDxfId="264"/>
    <tableColumn id="36" name="可研估算送审静态投资" dataDxfId="265"/>
    <tableColumn id="37" name="可研估算审定静态投资" dataDxfId="266"/>
    <tableColumn id="38" name="可研估算校正（静态）" dataDxfId="267"/>
    <tableColumn id="39" name="审定-送审（动态）可研估算" dataDxfId="268"/>
    <tableColumn id="40" name="审定-送审（静态）可研估算" dataDxfId="269"/>
    <tableColumn id="41" name="估算调整送审动态投资" dataDxfId="270"/>
    <tableColumn id="42" name="估算调整审定动态投资" dataDxfId="271"/>
    <tableColumn id="43" name="估算调整送审静态投资" dataDxfId="272"/>
    <tableColumn id="44" name="估算调整审定静态投资" dataDxfId="273"/>
    <tableColumn id="45" name="可研调整估算校正" dataDxfId="274"/>
    <tableColumn id="46" name="审定-送审（静态）调整估算" dataDxfId="275"/>
    <tableColumn id="47" name="初设概算送审动态投资" dataDxfId="276"/>
    <tableColumn id="48" name="初设概算审定动态投资" dataDxfId="277"/>
    <tableColumn id="49" name="初设概算送审静态投资" dataDxfId="278"/>
    <tableColumn id="50" name="初设概算审定静态投资" dataDxfId="279"/>
    <tableColumn id="51" name="初设概算校正" dataDxfId="280"/>
    <tableColumn id="52" name="审定-送审（静态）初设概算" dataDxfId="281"/>
    <tableColumn id="53" name="概算-估算（动态）" dataDxfId="282"/>
    <tableColumn id="54" name="概算调整送审动态投资" dataDxfId="283"/>
    <tableColumn id="55" name="概算调整审定动态投资" dataDxfId="284"/>
    <tableColumn id="56" name="概算调整送审静态投资" dataDxfId="285"/>
    <tableColumn id="57" name="概算调整审定静态投资" dataDxfId="286"/>
    <tableColumn id="58" name="初设调整概算校正" dataDxfId="287"/>
    <tableColumn id="59" name="审定-送审（静态）概算调整" dataDxfId="288"/>
    <tableColumn id="60" name="施工图预算送审动态投资" dataDxfId="289"/>
    <tableColumn id="61" name="施工图预算审定动态投资" dataDxfId="290"/>
    <tableColumn id="62" name="施工图预算送审静态投资" dataDxfId="291"/>
    <tableColumn id="63" name="施工图预算审定静态投资" dataDxfId="292"/>
    <tableColumn id="64" name="施工图预算校正" dataDxfId="293"/>
    <tableColumn id="65" name="审定-送审（静态）施工图预算" dataDxfId="294"/>
    <tableColumn id="66" name="预算-概算（动态）" dataDxfId="295"/>
    <tableColumn id="67" name="预算调整预算送审动态投资" dataDxfId="296"/>
    <tableColumn id="68" name="预算调整预算审定动态投资" dataDxfId="297"/>
    <tableColumn id="69" name="预算调整预算送审静态投资" dataDxfId="298"/>
    <tableColumn id="70" name="预算调整预算审定静态投资" dataDxfId="299"/>
    <tableColumn id="71" name="施工图调整预算校正" dataDxfId="300"/>
    <tableColumn id="72" name="审定-送审（静态）预算调整" dataDxfId="301"/>
    <tableColumn id="73" name="重大设计变更送审动态投资" dataDxfId="302"/>
    <tableColumn id="74" name="重大设计变更审定动态投资" dataDxfId="303"/>
    <tableColumn id="75" name="重大设计变更送审静态投资" dataDxfId="304"/>
    <tableColumn id="76" name="重大设计变更审定静态投资" dataDxfId="305"/>
    <tableColumn id="77" name="重大设计变更校正" dataDxfId="306"/>
    <tableColumn id="78" name="审定-送审（静态）重大变更" dataDxfId="307"/>
  </tableColumns>
  <tableStyleInfo name="2024数据-style" showFirstColumn="1" showLastColumn="1" showRowStripes="1" showColumnStripes="0"/>
</table>
</file>

<file path=xl/tables/table13.xml><?xml version="1.0" encoding="utf-8"?>
<table xmlns="http://schemas.openxmlformats.org/spreadsheetml/2006/main" id="13" name="Table_13" displayName="Table_13" ref="EO2:EO42">
  <tableColumns count="1">
    <tableColumn id="1" name="公众假期" dataDxfId="308"/>
  </tableColumns>
  <tableStyleInfo name="2024数据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7" Type="http://schemas.openxmlformats.org/officeDocument/2006/relationships/drawing" Target="../drawings/drawing2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9" Type="http://schemas.microsoft.com/office/2007/relationships/slicer" Target="../slicers/slicer2.xml"/><Relationship Id="rId8" Type="http://schemas.openxmlformats.org/officeDocument/2006/relationships/table" Target="../tables/table9.xml"/><Relationship Id="rId7" Type="http://schemas.openxmlformats.org/officeDocument/2006/relationships/table" Target="../tables/table8.xml"/><Relationship Id="rId6" Type="http://schemas.openxmlformats.org/officeDocument/2006/relationships/table" Target="../tables/table7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6.xml.rels><?xml version="1.0" encoding="UTF-8" standalone="yes"?>
<Relationships xmlns="http://schemas.openxmlformats.org/package/2006/relationships"><Relationship Id="rId7" Type="http://schemas.openxmlformats.org/officeDocument/2006/relationships/drawing" Target="../drawings/drawing4.xml"/><Relationship Id="rId6" Type="http://schemas.openxmlformats.org/officeDocument/2006/relationships/pivotTable" Target="../pivotTables/pivotTable12.xml"/><Relationship Id="rId5" Type="http://schemas.openxmlformats.org/officeDocument/2006/relationships/pivotTable" Target="../pivotTables/pivotTable11.xml"/><Relationship Id="rId4" Type="http://schemas.openxmlformats.org/officeDocument/2006/relationships/pivotTable" Target="../pivotTables/pivotTable10.xml"/><Relationship Id="rId3" Type="http://schemas.openxmlformats.org/officeDocument/2006/relationships/pivotTable" Target="../pivotTables/pivotTable9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07/relationships/slicer" Target="../slicers/slicer3.xml"/><Relationship Id="rId2" Type="http://schemas.openxmlformats.org/officeDocument/2006/relationships/table" Target="../tables/table11.xml"/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4" Type="http://schemas.openxmlformats.org/officeDocument/2006/relationships/table" Target="../tables/table13.xml"/><Relationship Id="rId3" Type="http://schemas.openxmlformats.org/officeDocument/2006/relationships/table" Target="../tables/table12.xml"/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B1000"/>
  <sheetViews>
    <sheetView zoomScale="110" zoomScaleNormal="110" workbookViewId="0">
      <pane xSplit="1" ySplit="3" topLeftCell="BM183" activePane="bottomRight" state="frozen"/>
      <selection/>
      <selection pane="topRight"/>
      <selection pane="bottomLeft"/>
      <selection pane="bottomRight" activeCell="BM183" sqref="BM183"/>
    </sheetView>
  </sheetViews>
  <sheetFormatPr defaultColWidth="14.4571428571429" defaultRowHeight="15" customHeight="1"/>
  <cols>
    <col min="1" max="1" width="42.7238095238095" customWidth="1"/>
    <col min="2" max="2" width="9.54285714285714" customWidth="1"/>
    <col min="3" max="3" width="10.5238095238095" customWidth="1"/>
    <col min="4" max="6" width="9.54285714285714" customWidth="1" outlineLevel="1"/>
    <col min="7" max="7" width="9.54285714285714" customWidth="1"/>
    <col min="8" max="10" width="9.54285714285714" customWidth="1" outlineLevel="1"/>
    <col min="11" max="11" width="9.54285714285714" customWidth="1"/>
    <col min="12" max="14" width="9.54285714285714" customWidth="1" outlineLevel="1"/>
    <col min="15" max="15" width="9.54285714285714" customWidth="1"/>
    <col min="16" max="18" width="9.54285714285714" customWidth="1" outlineLevel="1"/>
    <col min="19" max="19" width="9.54285714285714" customWidth="1"/>
    <col min="20" max="22" width="9.54285714285714" customWidth="1" outlineLevel="1"/>
    <col min="23" max="23" width="9.54285714285714" customWidth="1"/>
    <col min="24" max="26" width="9.54285714285714" customWidth="1" outlineLevel="1"/>
    <col min="27" max="27" width="9.54285714285714" customWidth="1"/>
    <col min="28" max="30" width="9.54285714285714" customWidth="1" outlineLevel="1"/>
    <col min="31" max="31" width="9.54285714285714" customWidth="1"/>
    <col min="32" max="33" width="9.54285714285714" customWidth="1" outlineLevel="1"/>
    <col min="34" max="52" width="9.54285714285714" customWidth="1"/>
    <col min="53" max="53" width="11.2666666666667" customWidth="1"/>
    <col min="54" max="58" width="9.54285714285714" customWidth="1"/>
    <col min="59" max="63" width="9.62857142857143" customWidth="1"/>
    <col min="64" max="65" width="10.6285714285714" customWidth="1"/>
    <col min="66" max="66" width="10.4571428571429" customWidth="1"/>
    <col min="67" max="78" width="9.54285714285714" customWidth="1"/>
    <col min="79" max="80" width="9" customWidth="1"/>
  </cols>
  <sheetData>
    <row r="1" ht="13.5" customHeight="1" spans="1:77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239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</row>
    <row r="2" ht="13.5" customHeight="1" spans="1:80">
      <c r="A2" s="2" t="s">
        <v>1</v>
      </c>
      <c r="B2" s="2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28" t="s">
        <v>7</v>
      </c>
      <c r="H2" s="28" t="s">
        <v>8</v>
      </c>
      <c r="I2" s="28" t="s">
        <v>9</v>
      </c>
      <c r="J2" s="28" t="s">
        <v>10</v>
      </c>
      <c r="K2" s="36" t="s">
        <v>11</v>
      </c>
      <c r="L2" s="36" t="s">
        <v>12</v>
      </c>
      <c r="M2" s="36" t="s">
        <v>13</v>
      </c>
      <c r="N2" s="36" t="s">
        <v>14</v>
      </c>
      <c r="O2" s="39" t="s">
        <v>15</v>
      </c>
      <c r="P2" s="39" t="s">
        <v>16</v>
      </c>
      <c r="Q2" s="39" t="s">
        <v>17</v>
      </c>
      <c r="R2" s="39" t="s">
        <v>18</v>
      </c>
      <c r="S2" s="42" t="s">
        <v>19</v>
      </c>
      <c r="T2" s="42" t="s">
        <v>20</v>
      </c>
      <c r="U2" s="42" t="s">
        <v>21</v>
      </c>
      <c r="V2" s="42" t="s">
        <v>22</v>
      </c>
      <c r="W2" s="43" t="s">
        <v>23</v>
      </c>
      <c r="X2" s="43" t="s">
        <v>24</v>
      </c>
      <c r="Y2" s="43" t="s">
        <v>25</v>
      </c>
      <c r="Z2" s="43" t="s">
        <v>26</v>
      </c>
      <c r="AA2" s="45" t="s">
        <v>27</v>
      </c>
      <c r="AB2" s="45" t="s">
        <v>28</v>
      </c>
      <c r="AC2" s="45" t="s">
        <v>29</v>
      </c>
      <c r="AD2" s="45" t="s">
        <v>30</v>
      </c>
      <c r="AE2" s="2" t="s">
        <v>31</v>
      </c>
      <c r="AF2" s="2" t="s">
        <v>32</v>
      </c>
      <c r="AG2" s="2" t="s">
        <v>33</v>
      </c>
      <c r="AH2" s="3" t="s">
        <v>34</v>
      </c>
      <c r="AI2" s="3" t="s">
        <v>35</v>
      </c>
      <c r="AJ2" s="3" t="s">
        <v>36</v>
      </c>
      <c r="AK2" s="3" t="s">
        <v>37</v>
      </c>
      <c r="AL2" s="54" t="s">
        <v>38</v>
      </c>
      <c r="AM2" s="2" t="s">
        <v>39</v>
      </c>
      <c r="AN2" s="2" t="s">
        <v>40</v>
      </c>
      <c r="AO2" s="28" t="s">
        <v>41</v>
      </c>
      <c r="AP2" s="28" t="s">
        <v>42</v>
      </c>
      <c r="AQ2" s="28" t="s">
        <v>43</v>
      </c>
      <c r="AR2" s="28" t="s">
        <v>44</v>
      </c>
      <c r="AS2" s="54" t="s">
        <v>45</v>
      </c>
      <c r="AT2" s="2" t="s">
        <v>46</v>
      </c>
      <c r="AU2" s="36" t="s">
        <v>47</v>
      </c>
      <c r="AV2" s="36" t="s">
        <v>48</v>
      </c>
      <c r="AW2" s="36" t="s">
        <v>49</v>
      </c>
      <c r="AX2" s="36" t="s">
        <v>50</v>
      </c>
      <c r="AY2" s="54" t="s">
        <v>51</v>
      </c>
      <c r="AZ2" s="2" t="s">
        <v>52</v>
      </c>
      <c r="BA2" s="62" t="s">
        <v>53</v>
      </c>
      <c r="BB2" s="39" t="s">
        <v>54</v>
      </c>
      <c r="BC2" s="39" t="s">
        <v>55</v>
      </c>
      <c r="BD2" s="39" t="s">
        <v>56</v>
      </c>
      <c r="BE2" s="39" t="s">
        <v>57</v>
      </c>
      <c r="BF2" s="54" t="s">
        <v>58</v>
      </c>
      <c r="BG2" s="2" t="s">
        <v>59</v>
      </c>
      <c r="BH2" s="42" t="s">
        <v>60</v>
      </c>
      <c r="BI2" s="42" t="s">
        <v>61</v>
      </c>
      <c r="BJ2" s="42" t="s">
        <v>62</v>
      </c>
      <c r="BK2" s="42" t="s">
        <v>63</v>
      </c>
      <c r="BL2" s="54" t="s">
        <v>64</v>
      </c>
      <c r="BM2" s="2" t="s">
        <v>65</v>
      </c>
      <c r="BN2" s="62" t="s">
        <v>66</v>
      </c>
      <c r="BO2" s="43" t="s">
        <v>67</v>
      </c>
      <c r="BP2" s="43" t="s">
        <v>68</v>
      </c>
      <c r="BQ2" s="43" t="s">
        <v>69</v>
      </c>
      <c r="BR2" s="43" t="s">
        <v>70</v>
      </c>
      <c r="BS2" s="54" t="s">
        <v>71</v>
      </c>
      <c r="BT2" s="2" t="s">
        <v>72</v>
      </c>
      <c r="BU2" s="45" t="s">
        <v>73</v>
      </c>
      <c r="BV2" s="45" t="s">
        <v>74</v>
      </c>
      <c r="BW2" s="45" t="s">
        <v>75</v>
      </c>
      <c r="BX2" s="45" t="s">
        <v>76</v>
      </c>
      <c r="BY2" s="54" t="s">
        <v>77</v>
      </c>
      <c r="BZ2" s="2" t="s">
        <v>78</v>
      </c>
      <c r="CB2" s="240" t="s">
        <v>79</v>
      </c>
    </row>
    <row r="3" ht="13.5" customHeight="1" spans="1:80">
      <c r="A3" s="25" t="s">
        <v>80</v>
      </c>
      <c r="B3" s="5" t="s">
        <v>81</v>
      </c>
      <c r="C3" s="236">
        <v>46052</v>
      </c>
      <c r="D3" s="7"/>
      <c r="E3" s="32" t="str">
        <f t="shared" ref="E3:E21" si="0">IF(C3&lt;&gt;0,IF(D3&lt;&gt;0,"0","1"),"")</f>
        <v>1</v>
      </c>
      <c r="F3" s="30">
        <f ca="1">IF(E3="0",NETWORKDAYS(C3,D3,$CB$3:$CB$19),NETWORKDAYS(C3,'2025整理'!$S$1,$CB$3:$CB$19))</f>
        <v>-25</v>
      </c>
      <c r="G3" s="6"/>
      <c r="H3" s="7"/>
      <c r="I3" s="38"/>
      <c r="J3" s="30" t="str">
        <f t="shared" ref="J3:J18" si="1">IF(I3="0",NETWORKDAYS(G3,H3,$EO$3:$EO$11),"")</f>
        <v/>
      </c>
      <c r="K3" s="6"/>
      <c r="L3" s="7"/>
      <c r="M3" s="40"/>
      <c r="N3" s="30" t="str">
        <f t="shared" ref="N3:N4" si="2">IF(M3="0",NETWORKDAYS(K3,L3,$EO$3:$EO$11),"")</f>
        <v/>
      </c>
      <c r="O3" s="6"/>
      <c r="P3" s="7"/>
      <c r="Q3" s="38"/>
      <c r="R3" s="30" t="str">
        <f t="shared" ref="R3:R9" si="3">IF(Q3="0",NETWORKDAYS(O3,P3,$EO$3:$EO$10),"")</f>
        <v/>
      </c>
      <c r="S3" s="6"/>
      <c r="T3" s="7"/>
      <c r="U3" s="38"/>
      <c r="V3" s="30" t="str">
        <f t="shared" ref="V3:V8" si="4">IF(U3="0",NETWORKDAYS(S3,T3,$EO$3:$EO$11),"")</f>
        <v/>
      </c>
      <c r="W3" s="6"/>
      <c r="X3" s="7"/>
      <c r="Y3" s="38"/>
      <c r="Z3" s="30" t="str">
        <f t="shared" ref="Z3:Z9" si="5">IF(Y3="0",NETWORKDAYS(W3,X3,$EO$3:$EO$11),"")</f>
        <v/>
      </c>
      <c r="AA3" s="6"/>
      <c r="AB3" s="7"/>
      <c r="AC3" s="40"/>
      <c r="AD3" s="30" t="str">
        <f t="shared" ref="AD3:AD9" si="6">IF(AC3="0",NETWORKDAYS(AA3,AB3,$EO$3:$EO$11),"")</f>
        <v/>
      </c>
      <c r="AE3" s="48" t="s">
        <v>82</v>
      </c>
      <c r="AF3" s="47" t="s">
        <v>82</v>
      </c>
      <c r="AG3" s="50" t="s">
        <v>83</v>
      </c>
      <c r="AH3" s="51"/>
      <c r="AI3" s="52"/>
      <c r="AJ3" s="51"/>
      <c r="AK3" s="52"/>
      <c r="AL3" s="40"/>
      <c r="AM3" s="40"/>
      <c r="AN3" s="40"/>
      <c r="AO3" s="48"/>
      <c r="AP3" s="56"/>
      <c r="AQ3" s="48"/>
      <c r="AR3" s="56"/>
      <c r="AS3" s="40"/>
      <c r="AT3" s="40"/>
      <c r="AU3" s="51"/>
      <c r="AV3" s="52"/>
      <c r="AW3" s="51"/>
      <c r="AX3" s="52"/>
      <c r="AY3" s="40"/>
      <c r="AZ3" s="55"/>
      <c r="BA3" s="63"/>
      <c r="BB3" s="48"/>
      <c r="BC3" s="56"/>
      <c r="BD3" s="48"/>
      <c r="BE3" s="56"/>
      <c r="BF3" s="64"/>
      <c r="BG3" s="48"/>
      <c r="BH3" s="51"/>
      <c r="BI3" s="52"/>
      <c r="BJ3" s="51"/>
      <c r="BK3" s="52"/>
      <c r="BL3" s="40"/>
      <c r="BM3" s="55"/>
      <c r="BN3" s="63"/>
      <c r="BO3" s="48"/>
      <c r="BP3" s="56"/>
      <c r="BQ3" s="48"/>
      <c r="BR3" s="56"/>
      <c r="BS3" s="40"/>
      <c r="BT3" s="40"/>
      <c r="BU3" s="51"/>
      <c r="BV3" s="52"/>
      <c r="BW3" s="51"/>
      <c r="BX3" s="52"/>
      <c r="BY3" s="40"/>
      <c r="BZ3" s="55"/>
      <c r="CB3" s="68">
        <v>45658</v>
      </c>
    </row>
    <row r="4" ht="13.5" customHeight="1" spans="1:80">
      <c r="A4" s="25" t="s">
        <v>84</v>
      </c>
      <c r="B4" s="5" t="s">
        <v>85</v>
      </c>
      <c r="C4" s="236">
        <v>46052</v>
      </c>
      <c r="D4" s="7"/>
      <c r="E4" s="32" t="str">
        <f t="shared" si="0"/>
        <v>1</v>
      </c>
      <c r="F4" s="30">
        <f ca="1">IF(E4="0",NETWORKDAYS(C4,D4,$CB$3:$CB$19),NETWORKDAYS(C4,'2025整理'!$S$1,$CB$3:$CB$19))</f>
        <v>-25</v>
      </c>
      <c r="G4" s="6"/>
      <c r="H4" s="7"/>
      <c r="I4" s="38"/>
      <c r="J4" s="30" t="str">
        <f t="shared" si="1"/>
        <v/>
      </c>
      <c r="K4" s="6"/>
      <c r="L4" s="7"/>
      <c r="M4" s="40"/>
      <c r="N4" s="30" t="str">
        <f t="shared" si="2"/>
        <v/>
      </c>
      <c r="O4" s="6"/>
      <c r="P4" s="7"/>
      <c r="Q4" s="38"/>
      <c r="R4" s="30" t="str">
        <f t="shared" si="3"/>
        <v/>
      </c>
      <c r="S4" s="6"/>
      <c r="T4" s="7"/>
      <c r="U4" s="38"/>
      <c r="V4" s="30" t="str">
        <f t="shared" si="4"/>
        <v/>
      </c>
      <c r="W4" s="6"/>
      <c r="X4" s="7"/>
      <c r="Y4" s="38"/>
      <c r="Z4" s="30" t="str">
        <f t="shared" si="5"/>
        <v/>
      </c>
      <c r="AA4" s="6"/>
      <c r="AB4" s="7"/>
      <c r="AC4" s="40"/>
      <c r="AD4" s="30" t="str">
        <f t="shared" si="6"/>
        <v/>
      </c>
      <c r="AE4" s="48" t="s">
        <v>86</v>
      </c>
      <c r="AF4" s="47" t="s">
        <v>86</v>
      </c>
      <c r="AG4" s="50" t="s">
        <v>87</v>
      </c>
      <c r="AH4" s="51"/>
      <c r="AI4" s="52"/>
      <c r="AJ4" s="51"/>
      <c r="AK4" s="52"/>
      <c r="AL4" s="40"/>
      <c r="AM4" s="40"/>
      <c r="AN4" s="40"/>
      <c r="AO4" s="48"/>
      <c r="AP4" s="56"/>
      <c r="AQ4" s="48"/>
      <c r="AR4" s="56"/>
      <c r="AS4" s="40"/>
      <c r="AT4" s="40"/>
      <c r="AU4" s="51"/>
      <c r="AV4" s="52"/>
      <c r="AW4" s="51"/>
      <c r="AX4" s="52"/>
      <c r="AY4" s="40"/>
      <c r="AZ4" s="55"/>
      <c r="BA4" s="63"/>
      <c r="BB4" s="48"/>
      <c r="BC4" s="56"/>
      <c r="BD4" s="48"/>
      <c r="BE4" s="56"/>
      <c r="BF4" s="64"/>
      <c r="BG4" s="48"/>
      <c r="BH4" s="51"/>
      <c r="BI4" s="52"/>
      <c r="BJ4" s="51"/>
      <c r="BK4" s="52"/>
      <c r="BL4" s="40"/>
      <c r="BM4" s="55"/>
      <c r="BN4" s="63"/>
      <c r="BO4" s="48"/>
      <c r="BP4" s="56"/>
      <c r="BQ4" s="48"/>
      <c r="BR4" s="56"/>
      <c r="BS4" s="40"/>
      <c r="BT4" s="40"/>
      <c r="BU4" s="51"/>
      <c r="BV4" s="52"/>
      <c r="BW4" s="51"/>
      <c r="BX4" s="52"/>
      <c r="BY4" s="40"/>
      <c r="BZ4" s="55"/>
      <c r="CB4" s="68">
        <v>45685</v>
      </c>
    </row>
    <row r="5" ht="13.5" customHeight="1" spans="1:80">
      <c r="A5" s="25" t="s">
        <v>88</v>
      </c>
      <c r="B5" s="5" t="s">
        <v>81</v>
      </c>
      <c r="C5" s="6"/>
      <c r="D5" s="7"/>
      <c r="E5" s="32" t="str">
        <f t="shared" si="0"/>
        <v/>
      </c>
      <c r="F5" s="30"/>
      <c r="G5" s="6"/>
      <c r="H5" s="7"/>
      <c r="I5" s="38"/>
      <c r="J5" s="30" t="str">
        <f t="shared" si="1"/>
        <v/>
      </c>
      <c r="K5" s="6">
        <v>45946</v>
      </c>
      <c r="L5" s="7">
        <v>45958</v>
      </c>
      <c r="M5" s="40" t="str">
        <f>IF(K5&lt;&gt;0,IF(L5&lt;&gt;0,"0","1"),"")</f>
        <v>0</v>
      </c>
      <c r="N5" s="30">
        <f ca="1">IF(M5="0",NETWORKDAYS(K5,L5,$CB$3:$CB$19),NETWORKDAYS(K5,'2025整理'!$S$1,$CB$3:$CB$19))</f>
        <v>9</v>
      </c>
      <c r="O5" s="6"/>
      <c r="P5" s="7"/>
      <c r="Q5" s="38"/>
      <c r="R5" s="30" t="str">
        <f t="shared" si="3"/>
        <v/>
      </c>
      <c r="S5" s="6"/>
      <c r="T5" s="7"/>
      <c r="U5" s="38" t="str">
        <f>IF(S5&lt;&gt;0,IF(T5&lt;&gt;0,"0","1"),"")</f>
        <v/>
      </c>
      <c r="V5" s="30" t="str">
        <f t="shared" si="4"/>
        <v/>
      </c>
      <c r="W5" s="6"/>
      <c r="X5" s="7"/>
      <c r="Y5" s="38"/>
      <c r="Z5" s="30" t="str">
        <f t="shared" si="5"/>
        <v/>
      </c>
      <c r="AA5" s="6"/>
      <c r="AB5" s="7"/>
      <c r="AC5" s="40"/>
      <c r="AD5" s="30" t="str">
        <f t="shared" si="6"/>
        <v/>
      </c>
      <c r="AE5" s="48" t="s">
        <v>86</v>
      </c>
      <c r="AF5" s="49" t="s">
        <v>86</v>
      </c>
      <c r="AG5" s="50" t="s">
        <v>83</v>
      </c>
      <c r="AH5" s="51"/>
      <c r="AI5" s="52">
        <v>4391.23</v>
      </c>
      <c r="AJ5" s="51"/>
      <c r="AK5" s="52">
        <v>4330.65</v>
      </c>
      <c r="AL5" s="40" t="str">
        <f>IF(AND(AK5&lt;&gt;"",AJ5&lt;&gt;""),IF(AK5&gt;AJ5,"核增",IF(AK5&lt;AJ5,"核减","不变")),"")</f>
        <v/>
      </c>
      <c r="AM5" s="40" t="str">
        <f>IF(AND(AI5&lt;&gt;"",AH5&lt;&gt;""),MAX(ABS(AI5),ABS(AH5))-MIN(ABS(AI5),ABS(AH5)),"")</f>
        <v/>
      </c>
      <c r="AN5" s="40" t="str">
        <f>IF(AND(AK5&lt;&gt;"",AJ5&lt;&gt;""),MAX(ABS(AK5),ABS(AJ5))-MIN(ABS(AK5),ABS(AJ5)),"")</f>
        <v/>
      </c>
      <c r="AO5" s="48"/>
      <c r="AP5" s="56"/>
      <c r="AQ5" s="48"/>
      <c r="AR5" s="56"/>
      <c r="AS5" s="40" t="str">
        <f>IF(AND(AR5&lt;&gt;"",AQ5&lt;&gt;""),IF(AR5&gt;AQ5,"核增",IF(AR5&lt;AQ5,"核减","不变")),"")</f>
        <v/>
      </c>
      <c r="AT5" s="40" t="str">
        <f>IF(AND(AR5&lt;&gt;"",AQ5&lt;&gt;""),MAX(ABS(AR5),ABS(AQ5))-MIN(ABS(AR5),ABS(AQ5)),"")</f>
        <v/>
      </c>
      <c r="AU5" s="51">
        <v>4350.28</v>
      </c>
      <c r="AV5" s="52">
        <v>4262.34</v>
      </c>
      <c r="AW5" s="51">
        <v>4296.61</v>
      </c>
      <c r="AX5" s="52">
        <v>4210.08</v>
      </c>
      <c r="AY5" s="40" t="str">
        <f>IF(AND(AX5&lt;&gt;"",AW5&lt;&gt;""),IF(AX5&gt;AW5,"核增",IF(AX5&lt;AW5,"核减","不变")),"")</f>
        <v>核减</v>
      </c>
      <c r="AZ5" s="55">
        <f>IF(AND(AX5&lt;&gt;"",AW5&lt;&gt;""),MAX(ABS(AX5),ABS(AW5))-MIN(ABS(AX5),ABS(AW5)),"")</f>
        <v>86.5299999999997</v>
      </c>
      <c r="BA5" s="63" t="str">
        <f>IF(AND(AV5&lt;&gt;"",AI5&lt;&gt;""),IF(AV5&gt;AI5,"核增",IF(AV5&lt;AI5,"核减","不变")),"")&amp;TEXT(IF(AND(AV5&lt;&gt;"",AI5&lt;&gt;""),MAX(ABS(AV5),ABS(AI5))-MIN(ABS(AV5),ABS(AI5)),""),"0.00")</f>
        <v>核减128.89</v>
      </c>
      <c r="BB5" s="48"/>
      <c r="BC5" s="56"/>
      <c r="BD5" s="48"/>
      <c r="BE5" s="56"/>
      <c r="BF5" s="64" t="str">
        <f>IF(AND(BE5&lt;&gt;"",BD5&lt;&gt;""),IF(BE5&gt;BD5,"核增",IF(BE5&lt;BD5,"核减","不变")),"")</f>
        <v/>
      </c>
      <c r="BG5" s="48"/>
      <c r="BH5" s="51"/>
      <c r="BI5" s="52"/>
      <c r="BJ5" s="51"/>
      <c r="BK5" s="52"/>
      <c r="BL5" s="40" t="str">
        <f>IF(AND(BK5&lt;&gt;"",BJ5&lt;&gt;""),IF(BK5&gt;BJ5,"核增",IF(BK5&lt;BJ5,"核减","不变")),"")</f>
        <v/>
      </c>
      <c r="BM5" s="55" t="str">
        <f>IF(AND(BK5&lt;&gt;"",BJ5&lt;&gt;""),MAX(ABS(BK5),ABS(BJ5))-MIN(ABS(BK5),ABS(BJ5)),"")</f>
        <v/>
      </c>
      <c r="BN5" s="63" t="str">
        <f>IF(AND(BI5&lt;&gt;"",AV5&lt;&gt;""),IF(BI5&gt;AV5,"核增",IF(BI5&lt;AV5,"核减","不变")),"")&amp;TEXT(IF(AND(BI5&lt;&gt;"",AV5&lt;&gt;""),MAX(ABS(BI5),ABS(AV5))-MIN(ABS(BI5),ABS(AV5)),""),"0.00")</f>
        <v/>
      </c>
      <c r="BO5" s="48"/>
      <c r="BP5" s="56"/>
      <c r="BQ5" s="48"/>
      <c r="BR5" s="56"/>
      <c r="BS5" s="40" t="str">
        <f>IF(AND(BR5&lt;&gt;"",BQ5&lt;&gt;""),IF(BR5&gt;BQ5,"核增",IF(BR5&lt;BQ5,"核减","不变")),"")</f>
        <v/>
      </c>
      <c r="BT5" s="40" t="str">
        <f>IF(AND(BR5&lt;&gt;"",BQ5&lt;&gt;""),MAX(ABS(BR5),ABS(BQ5))-MIN(ABS(BR5),ABS(BQ5)),"")</f>
        <v/>
      </c>
      <c r="BU5" s="51"/>
      <c r="BV5" s="52"/>
      <c r="BW5" s="51"/>
      <c r="BX5" s="52"/>
      <c r="BY5" s="40" t="str">
        <f>IF(AND(BX5&lt;&gt;"",BW5&lt;&gt;""),IF(BX5&gt;BW5,"核增",IF(BX5&lt;BW5,"核减","不变")),"")</f>
        <v/>
      </c>
      <c r="BZ5" s="55" t="str">
        <f t="shared" ref="BZ5:BZ6" si="7">IF(AND(BX5&lt;&gt;"",BW5&lt;&gt;""),MAX(ABS(BX5),ABS(BW5))-MIN(ABS(BX5),ABS(BW5)),"")</f>
        <v/>
      </c>
      <c r="CB5" s="68">
        <v>45686</v>
      </c>
    </row>
    <row r="6" ht="13.5" customHeight="1" spans="1:80">
      <c r="A6" s="25" t="s">
        <v>89</v>
      </c>
      <c r="B6" s="5" t="s">
        <v>85</v>
      </c>
      <c r="C6" s="236">
        <v>46052</v>
      </c>
      <c r="D6" s="7"/>
      <c r="E6" s="32" t="str">
        <f t="shared" si="0"/>
        <v>1</v>
      </c>
      <c r="F6" s="30">
        <f ca="1">IF(E6="0",NETWORKDAYS(C6,D6,$CB$3:$CB$19),NETWORKDAYS(C6,'2025整理'!$S$1,$CB$3:$CB$19))</f>
        <v>-25</v>
      </c>
      <c r="G6" s="6"/>
      <c r="H6" s="7"/>
      <c r="I6" s="38"/>
      <c r="J6" s="30" t="str">
        <f t="shared" si="1"/>
        <v/>
      </c>
      <c r="K6" s="6"/>
      <c r="L6" s="7"/>
      <c r="M6" s="40"/>
      <c r="N6" s="30" t="str">
        <f t="shared" ref="N6:N8" si="8">IF(M6="0",NETWORKDAYS(K6,L6,$EO$3:$EO$11),"")</f>
        <v/>
      </c>
      <c r="O6" s="6"/>
      <c r="P6" s="7"/>
      <c r="Q6" s="38"/>
      <c r="R6" s="30" t="str">
        <f t="shared" si="3"/>
        <v/>
      </c>
      <c r="S6" s="6"/>
      <c r="T6" s="7"/>
      <c r="U6" s="38"/>
      <c r="V6" s="30" t="str">
        <f t="shared" si="4"/>
        <v/>
      </c>
      <c r="W6" s="6"/>
      <c r="X6" s="7"/>
      <c r="Y6" s="38"/>
      <c r="Z6" s="30" t="str">
        <f t="shared" si="5"/>
        <v/>
      </c>
      <c r="AA6" s="6"/>
      <c r="AB6" s="7"/>
      <c r="AC6" s="40"/>
      <c r="AD6" s="30" t="str">
        <f t="shared" si="6"/>
        <v/>
      </c>
      <c r="AE6" s="48" t="s">
        <v>90</v>
      </c>
      <c r="AF6" s="47" t="s">
        <v>90</v>
      </c>
      <c r="AG6" s="50" t="s">
        <v>91</v>
      </c>
      <c r="AH6" s="51"/>
      <c r="AI6" s="52"/>
      <c r="AJ6" s="51"/>
      <c r="AK6" s="52"/>
      <c r="AL6" s="40"/>
      <c r="AM6" s="40"/>
      <c r="AN6" s="40"/>
      <c r="AO6" s="48"/>
      <c r="AP6" s="56"/>
      <c r="AQ6" s="48"/>
      <c r="AR6" s="56"/>
      <c r="AS6" s="40"/>
      <c r="AT6" s="40"/>
      <c r="AU6" s="51"/>
      <c r="AV6" s="52"/>
      <c r="AW6" s="51"/>
      <c r="AX6" s="52"/>
      <c r="AY6" s="40"/>
      <c r="AZ6" s="55"/>
      <c r="BA6" s="63"/>
      <c r="BB6" s="48"/>
      <c r="BC6" s="56"/>
      <c r="BD6" s="48"/>
      <c r="BE6" s="56"/>
      <c r="BF6" s="64"/>
      <c r="BG6" s="48"/>
      <c r="BH6" s="51"/>
      <c r="BI6" s="52"/>
      <c r="BJ6" s="51"/>
      <c r="BK6" s="52"/>
      <c r="BL6" s="40"/>
      <c r="BM6" s="55"/>
      <c r="BN6" s="63"/>
      <c r="BO6" s="48"/>
      <c r="BP6" s="56"/>
      <c r="BQ6" s="48"/>
      <c r="BR6" s="56"/>
      <c r="BS6" s="40"/>
      <c r="BT6" s="40"/>
      <c r="BU6" s="51"/>
      <c r="BV6" s="52"/>
      <c r="BW6" s="51"/>
      <c r="BX6" s="52"/>
      <c r="BY6" s="40"/>
      <c r="BZ6" s="55" t="str">
        <f t="shared" si="7"/>
        <v/>
      </c>
      <c r="CB6" s="68">
        <v>45326</v>
      </c>
    </row>
    <row r="7" ht="13.5" customHeight="1" spans="1:80">
      <c r="A7" s="25" t="s">
        <v>92</v>
      </c>
      <c r="B7" s="5" t="s">
        <v>93</v>
      </c>
      <c r="C7" s="236">
        <v>46052</v>
      </c>
      <c r="D7" s="7"/>
      <c r="E7" s="32" t="str">
        <f t="shared" si="0"/>
        <v>1</v>
      </c>
      <c r="F7" s="30">
        <f ca="1">IF(E7="0",NETWORKDAYS(C7,D7,$CB$3:$CB$19),NETWORKDAYS(C7,'2025整理'!$S$1,$CB$3:$CB$19))</f>
        <v>-25</v>
      </c>
      <c r="G7" s="6"/>
      <c r="H7" s="7"/>
      <c r="I7" s="38"/>
      <c r="J7" s="30" t="str">
        <f t="shared" si="1"/>
        <v/>
      </c>
      <c r="K7" s="6"/>
      <c r="L7" s="7"/>
      <c r="M7" s="40"/>
      <c r="N7" s="30" t="str">
        <f t="shared" si="8"/>
        <v/>
      </c>
      <c r="O7" s="6"/>
      <c r="P7" s="7"/>
      <c r="Q7" s="38"/>
      <c r="R7" s="30" t="str">
        <f t="shared" si="3"/>
        <v/>
      </c>
      <c r="S7" s="6"/>
      <c r="T7" s="7"/>
      <c r="U7" s="38"/>
      <c r="V7" s="30" t="str">
        <f t="shared" si="4"/>
        <v/>
      </c>
      <c r="W7" s="6"/>
      <c r="X7" s="7"/>
      <c r="Y7" s="38"/>
      <c r="Z7" s="30" t="str">
        <f t="shared" si="5"/>
        <v/>
      </c>
      <c r="AA7" s="6"/>
      <c r="AB7" s="7"/>
      <c r="AC7" s="40"/>
      <c r="AD7" s="30" t="str">
        <f t="shared" si="6"/>
        <v/>
      </c>
      <c r="AE7" s="48" t="s">
        <v>82</v>
      </c>
      <c r="AF7" s="47" t="s">
        <v>82</v>
      </c>
      <c r="AG7" s="50" t="s">
        <v>91</v>
      </c>
      <c r="AH7" s="51"/>
      <c r="AI7" s="52"/>
      <c r="AJ7" s="51"/>
      <c r="AK7" s="52"/>
      <c r="AL7" s="40"/>
      <c r="AM7" s="40"/>
      <c r="AN7" s="40"/>
      <c r="AO7" s="48"/>
      <c r="AP7" s="56"/>
      <c r="AQ7" s="48"/>
      <c r="AR7" s="56"/>
      <c r="AS7" s="40"/>
      <c r="AT7" s="40"/>
      <c r="AU7" s="51"/>
      <c r="AV7" s="52"/>
      <c r="AW7" s="51"/>
      <c r="AX7" s="52"/>
      <c r="AY7" s="40"/>
      <c r="AZ7" s="55"/>
      <c r="BA7" s="63"/>
      <c r="BB7" s="48"/>
      <c r="BC7" s="56"/>
      <c r="BD7" s="48"/>
      <c r="BE7" s="56"/>
      <c r="BF7" s="64"/>
      <c r="BG7" s="48"/>
      <c r="BH7" s="51"/>
      <c r="BI7" s="52"/>
      <c r="BJ7" s="51"/>
      <c r="BK7" s="52"/>
      <c r="BL7" s="40"/>
      <c r="BM7" s="55"/>
      <c r="BN7" s="63"/>
      <c r="BO7" s="48"/>
      <c r="BP7" s="56"/>
      <c r="BQ7" s="48"/>
      <c r="BR7" s="56"/>
      <c r="BS7" s="40"/>
      <c r="BT7" s="40"/>
      <c r="BU7" s="51"/>
      <c r="BV7" s="52"/>
      <c r="BW7" s="51"/>
      <c r="BX7" s="52"/>
      <c r="BY7" s="40"/>
      <c r="BZ7" s="55"/>
      <c r="CB7" s="68">
        <v>45751</v>
      </c>
    </row>
    <row r="8" ht="13.5" customHeight="1" spans="1:80">
      <c r="A8" s="25" t="s">
        <v>94</v>
      </c>
      <c r="B8" s="5" t="s">
        <v>93</v>
      </c>
      <c r="C8" s="16">
        <v>45860</v>
      </c>
      <c r="D8" s="7">
        <v>45877</v>
      </c>
      <c r="E8" s="32" t="str">
        <f t="shared" si="0"/>
        <v>0</v>
      </c>
      <c r="F8" s="30">
        <f ca="1">IF(E8="0",NETWORKDAYS(C8,D8,$CB$3:$CB$19),NETWORKDAYS(C8,'2025整理'!$S$1,$CB$3:$CB$19))</f>
        <v>14</v>
      </c>
      <c r="G8" s="6"/>
      <c r="H8" s="7"/>
      <c r="I8" s="38"/>
      <c r="J8" s="30" t="str">
        <f t="shared" si="1"/>
        <v/>
      </c>
      <c r="K8" s="6"/>
      <c r="L8" s="7"/>
      <c r="M8" s="40"/>
      <c r="N8" s="30" t="str">
        <f t="shared" si="8"/>
        <v/>
      </c>
      <c r="O8" s="6"/>
      <c r="P8" s="7"/>
      <c r="Q8" s="38"/>
      <c r="R8" s="30" t="str">
        <f t="shared" si="3"/>
        <v/>
      </c>
      <c r="S8" s="6"/>
      <c r="T8" s="7"/>
      <c r="U8" s="38"/>
      <c r="V8" s="30" t="str">
        <f t="shared" si="4"/>
        <v/>
      </c>
      <c r="W8" s="6"/>
      <c r="X8" s="7"/>
      <c r="Y8" s="38"/>
      <c r="Z8" s="30" t="str">
        <f t="shared" si="5"/>
        <v/>
      </c>
      <c r="AA8" s="6"/>
      <c r="AB8" s="7"/>
      <c r="AC8" s="40"/>
      <c r="AD8" s="30" t="str">
        <f t="shared" si="6"/>
        <v/>
      </c>
      <c r="AE8" s="48" t="s">
        <v>86</v>
      </c>
      <c r="AF8" s="47" t="s">
        <v>86</v>
      </c>
      <c r="AG8" s="50" t="s">
        <v>87</v>
      </c>
      <c r="AH8" s="51">
        <v>20862.51</v>
      </c>
      <c r="AI8" s="52">
        <v>20321.91</v>
      </c>
      <c r="AJ8" s="51">
        <v>20546.22</v>
      </c>
      <c r="AK8" s="52">
        <v>20321.91</v>
      </c>
      <c r="AL8" s="40" t="str">
        <f t="shared" ref="AL8:AL9" si="9">IF(AND(AK8&lt;&gt;"",AJ8&lt;&gt;""),IF(AK8&gt;AJ8,"核增",IF(AK8&lt;AJ8,"核减","不变")),"")</f>
        <v>核减</v>
      </c>
      <c r="AM8" s="40">
        <f t="shared" ref="AM8:AM9" si="10">IF(AND(AI8&lt;&gt;"",AH8&lt;&gt;""),MAX(ABS(AI8),ABS(AH8))-MIN(ABS(AI8),ABS(AH8)),"")</f>
        <v>540.599999999999</v>
      </c>
      <c r="AN8" s="40">
        <f t="shared" ref="AN8:AN9" si="11">IF(AND(AK8&lt;&gt;"",AJ8&lt;&gt;""),MAX(ABS(AK8),ABS(AJ8))-MIN(ABS(AK8),ABS(AJ8)),"")</f>
        <v>224.310000000001</v>
      </c>
      <c r="AO8" s="48"/>
      <c r="AP8" s="56"/>
      <c r="AQ8" s="48"/>
      <c r="AR8" s="56"/>
      <c r="AS8" s="40"/>
      <c r="AT8" s="40"/>
      <c r="AU8" s="51"/>
      <c r="AV8" s="52"/>
      <c r="AW8" s="51"/>
      <c r="AX8" s="52"/>
      <c r="AY8" s="40"/>
      <c r="AZ8" s="55"/>
      <c r="BA8" s="63"/>
      <c r="BB8" s="48"/>
      <c r="BC8" s="56"/>
      <c r="BD8" s="48"/>
      <c r="BE8" s="56"/>
      <c r="BF8" s="64"/>
      <c r="BG8" s="48"/>
      <c r="BH8" s="51"/>
      <c r="BI8" s="52"/>
      <c r="BJ8" s="51"/>
      <c r="BK8" s="52"/>
      <c r="BL8" s="40"/>
      <c r="BM8" s="55"/>
      <c r="BN8" s="63"/>
      <c r="BO8" s="48"/>
      <c r="BP8" s="56"/>
      <c r="BQ8" s="48"/>
      <c r="BR8" s="56"/>
      <c r="BS8" s="40"/>
      <c r="BT8" s="40"/>
      <c r="BU8" s="51"/>
      <c r="BV8" s="52"/>
      <c r="BW8" s="51"/>
      <c r="BX8" s="52"/>
      <c r="BY8" s="40"/>
      <c r="BZ8" s="55" t="str">
        <f>IF(AND(BX8&lt;&gt;"",BW8&lt;&gt;""),MAX(ABS(BX8),ABS(BW8))-MIN(ABS(BX8),ABS(BW8)),"")</f>
        <v/>
      </c>
      <c r="CB8" s="68">
        <v>45413</v>
      </c>
    </row>
    <row r="9" ht="13.5" customHeight="1" spans="1:80">
      <c r="A9" s="25" t="s">
        <v>95</v>
      </c>
      <c r="B9" s="5" t="s">
        <v>96</v>
      </c>
      <c r="C9" s="6">
        <v>45630</v>
      </c>
      <c r="D9" s="7">
        <v>45707</v>
      </c>
      <c r="E9" s="32" t="str">
        <f t="shared" si="0"/>
        <v>0</v>
      </c>
      <c r="F9" s="30">
        <f ca="1">IF(E9="0",NETWORKDAYS(C9,D9,$CB$3:$CB$19),NETWORKDAYS(C9,'2025整理'!$S$1,$CB$3:$CB$19))</f>
        <v>53</v>
      </c>
      <c r="G9" s="6"/>
      <c r="H9" s="7"/>
      <c r="I9" s="38"/>
      <c r="J9" s="30" t="str">
        <f t="shared" si="1"/>
        <v/>
      </c>
      <c r="K9" s="6">
        <v>45818</v>
      </c>
      <c r="L9" s="7">
        <v>45833</v>
      </c>
      <c r="M9" s="40" t="str">
        <f>IF(K9&lt;&gt;0,IF(L9&lt;&gt;0,"0","1"),"")</f>
        <v>0</v>
      </c>
      <c r="N9" s="30">
        <f ca="1">IF(M9="0",NETWORKDAYS(K9,L9,$CB$3:$CB$19),NETWORKDAYS(K9,'2025整理'!$S$1,$CB$3:$CB$19))</f>
        <v>12</v>
      </c>
      <c r="O9" s="6"/>
      <c r="P9" s="7"/>
      <c r="Q9" s="38"/>
      <c r="R9" s="30" t="str">
        <f t="shared" si="3"/>
        <v/>
      </c>
      <c r="S9" s="6">
        <v>45947</v>
      </c>
      <c r="T9" s="7"/>
      <c r="U9" s="38" t="str">
        <f>IF(S9&lt;&gt;0,IF(T9&lt;&gt;0,"0","1"),"")</f>
        <v>1</v>
      </c>
      <c r="V9" s="30">
        <f ca="1">IF(U9="0",NETWORKDAYS(S9,T9,$CB$3:$CB$19),NETWORKDAYS(S9,'2025整理'!$S$1,$CB$3:$CB$19))</f>
        <v>52</v>
      </c>
      <c r="W9" s="6"/>
      <c r="X9" s="7"/>
      <c r="Y9" s="38"/>
      <c r="Z9" s="30" t="str">
        <f t="shared" si="5"/>
        <v/>
      </c>
      <c r="AA9" s="6"/>
      <c r="AB9" s="7"/>
      <c r="AC9" s="40"/>
      <c r="AD9" s="30" t="str">
        <f t="shared" si="6"/>
        <v/>
      </c>
      <c r="AE9" s="48" t="s">
        <v>97</v>
      </c>
      <c r="AF9" s="47" t="s">
        <v>90</v>
      </c>
      <c r="AG9" s="50" t="s">
        <v>97</v>
      </c>
      <c r="AH9" s="51">
        <v>90456.44</v>
      </c>
      <c r="AI9" s="52">
        <v>87097.32</v>
      </c>
      <c r="AJ9" s="51">
        <v>89277.88</v>
      </c>
      <c r="AK9" s="52">
        <v>85932</v>
      </c>
      <c r="AL9" s="40" t="str">
        <f t="shared" si="9"/>
        <v>核减</v>
      </c>
      <c r="AM9" s="40">
        <f t="shared" si="10"/>
        <v>3359.12</v>
      </c>
      <c r="AN9" s="40">
        <f t="shared" si="11"/>
        <v>3345.88</v>
      </c>
      <c r="AO9" s="48"/>
      <c r="AP9" s="56"/>
      <c r="AQ9" s="48"/>
      <c r="AR9" s="56"/>
      <c r="AS9" s="40"/>
      <c r="AT9" s="40"/>
      <c r="AU9" s="51">
        <v>86798.67</v>
      </c>
      <c r="AV9" s="52">
        <v>85076.17</v>
      </c>
      <c r="AW9" s="51">
        <v>85651.38</v>
      </c>
      <c r="AX9" s="52">
        <v>84017.04</v>
      </c>
      <c r="AY9" s="40" t="str">
        <f>IF(AND(AX9&lt;&gt;"",AW9&lt;&gt;""),IF(AX9&gt;AW9,"核增",IF(AX9&lt;AW9,"核减","不变")),"")</f>
        <v>核减</v>
      </c>
      <c r="AZ9" s="55">
        <f>IF(AND(AX9&lt;&gt;"",AW9&lt;&gt;""),MAX(ABS(AX9),ABS(AW9))-MIN(ABS(AX9),ABS(AW9)),"")</f>
        <v>1634.34000000001</v>
      </c>
      <c r="BA9" s="63" t="str">
        <f>IF(AND(AV9&lt;&gt;"",AI9&lt;&gt;""),IF(AV9&gt;AI9,"核增",IF(AV9&lt;AI9,"核减","不变")),"")&amp;TEXT(IF(AND(AV9&lt;&gt;"",AI9&lt;&gt;""),MAX(ABS(AV9),ABS(AI9))-MIN(ABS(AV9),ABS(AI9)),""),"0.00")</f>
        <v>核减2021.15</v>
      </c>
      <c r="BB9" s="48"/>
      <c r="BC9" s="56"/>
      <c r="BD9" s="48"/>
      <c r="BE9" s="56"/>
      <c r="BF9" s="64"/>
      <c r="BG9" s="48"/>
      <c r="BH9" s="51"/>
      <c r="BI9" s="52"/>
      <c r="BJ9" s="51"/>
      <c r="BK9" s="52"/>
      <c r="BL9" s="40"/>
      <c r="BM9" s="55"/>
      <c r="BN9" s="63"/>
      <c r="BO9" s="48"/>
      <c r="BP9" s="56"/>
      <c r="BQ9" s="48"/>
      <c r="BR9" s="56"/>
      <c r="BS9" s="40"/>
      <c r="BT9" s="40"/>
      <c r="BU9" s="51"/>
      <c r="BV9" s="52"/>
      <c r="BW9" s="51"/>
      <c r="BX9" s="52"/>
      <c r="BY9" s="40"/>
      <c r="BZ9" s="55"/>
      <c r="CB9" s="68">
        <v>45414</v>
      </c>
    </row>
    <row r="10" ht="13.5" customHeight="1" spans="1:80">
      <c r="A10" s="237" t="s">
        <v>98</v>
      </c>
      <c r="B10" s="5" t="s">
        <v>96</v>
      </c>
      <c r="C10" s="236">
        <v>46052</v>
      </c>
      <c r="D10" s="7"/>
      <c r="E10" s="32" t="str">
        <f t="shared" si="0"/>
        <v>1</v>
      </c>
      <c r="F10" s="30">
        <f ca="1">IF(E10="0",NETWORKDAYS(C10,D10,$CB$3:$CB$19),NETWORKDAYS(C10,'2025整理'!$S$1,$CB$3:$CB$19))</f>
        <v>-25</v>
      </c>
      <c r="G10" s="6"/>
      <c r="H10" s="7"/>
      <c r="I10" s="38"/>
      <c r="J10" s="30" t="str">
        <f t="shared" si="1"/>
        <v/>
      </c>
      <c r="K10" s="6"/>
      <c r="L10" s="7"/>
      <c r="M10" s="40"/>
      <c r="N10" s="30"/>
      <c r="O10" s="6"/>
      <c r="P10" s="7"/>
      <c r="Q10" s="38"/>
      <c r="R10" s="30"/>
      <c r="S10" s="6"/>
      <c r="T10" s="7"/>
      <c r="U10" s="38"/>
      <c r="V10" s="30"/>
      <c r="W10" s="6"/>
      <c r="X10" s="7"/>
      <c r="Y10" s="38"/>
      <c r="Z10" s="30"/>
      <c r="AA10" s="6"/>
      <c r="AB10" s="7"/>
      <c r="AC10" s="40"/>
      <c r="AD10" s="30"/>
      <c r="AE10" s="48" t="s">
        <v>90</v>
      </c>
      <c r="AF10" s="47" t="s">
        <v>90</v>
      </c>
      <c r="AG10" s="50" t="s">
        <v>91</v>
      </c>
      <c r="AH10" s="51"/>
      <c r="AI10" s="52"/>
      <c r="AJ10" s="51"/>
      <c r="AK10" s="52"/>
      <c r="AL10" s="40"/>
      <c r="AM10" s="40"/>
      <c r="AN10" s="40"/>
      <c r="AO10" s="48"/>
      <c r="AP10" s="56"/>
      <c r="AQ10" s="48"/>
      <c r="AR10" s="56"/>
      <c r="AS10" s="40"/>
      <c r="AT10" s="40"/>
      <c r="AU10" s="51"/>
      <c r="AV10" s="52"/>
      <c r="AW10" s="51"/>
      <c r="AX10" s="52"/>
      <c r="AY10" s="40"/>
      <c r="AZ10" s="55"/>
      <c r="BA10" s="63"/>
      <c r="BB10" s="48"/>
      <c r="BC10" s="56"/>
      <c r="BD10" s="48"/>
      <c r="BE10" s="56"/>
      <c r="BF10" s="64"/>
      <c r="BG10" s="48"/>
      <c r="BH10" s="51"/>
      <c r="BI10" s="52"/>
      <c r="BJ10" s="51"/>
      <c r="BK10" s="52"/>
      <c r="BL10" s="40"/>
      <c r="BM10" s="55"/>
      <c r="BN10" s="63"/>
      <c r="BO10" s="48"/>
      <c r="BP10" s="56"/>
      <c r="BQ10" s="48"/>
      <c r="BR10" s="56"/>
      <c r="BS10" s="40"/>
      <c r="BT10" s="40"/>
      <c r="BU10" s="51"/>
      <c r="BV10" s="52"/>
      <c r="BW10" s="51"/>
      <c r="BX10" s="52"/>
      <c r="BY10" s="40"/>
      <c r="BZ10" s="55"/>
      <c r="CB10" s="68">
        <v>45417</v>
      </c>
    </row>
    <row r="11" ht="13.5" customHeight="1" spans="1:80">
      <c r="A11" s="25" t="s">
        <v>99</v>
      </c>
      <c r="B11" s="5" t="s">
        <v>93</v>
      </c>
      <c r="C11" s="6">
        <v>45637</v>
      </c>
      <c r="D11" s="7">
        <v>45684</v>
      </c>
      <c r="E11" s="32" t="str">
        <f t="shared" si="0"/>
        <v>0</v>
      </c>
      <c r="F11" s="30">
        <f>IF(E11="0",NETWORKDAYS(C11,D11,$EO$3:$EO$11),"")</f>
        <v>34</v>
      </c>
      <c r="G11" s="6"/>
      <c r="H11" s="7"/>
      <c r="I11" s="38"/>
      <c r="J11" s="30" t="str">
        <f t="shared" si="1"/>
        <v/>
      </c>
      <c r="K11" s="6">
        <v>45761</v>
      </c>
      <c r="L11" s="7">
        <v>45771</v>
      </c>
      <c r="M11" s="40" t="str">
        <f t="shared" ref="M11:M17" si="12">IF(K11&lt;&gt;0,IF(L11&lt;&gt;0,"0","1"),"")</f>
        <v>0</v>
      </c>
      <c r="N11" s="30">
        <f t="shared" ref="N11:N12" si="13">IF(M11="0",NETWORKDAYS(K11,L11,$EO$3:$EO$11),"")</f>
        <v>9</v>
      </c>
      <c r="O11" s="6"/>
      <c r="P11" s="7"/>
      <c r="Q11" s="38"/>
      <c r="R11" s="30" t="str">
        <f>IF(Q11="0",NETWORKDAYS(O11,P11,$EO$3:$EO$10),"")</f>
        <v/>
      </c>
      <c r="S11" s="6">
        <v>45996</v>
      </c>
      <c r="T11" s="7"/>
      <c r="U11" s="38" t="str">
        <f t="shared" ref="U11:U12" si="14">IF(S11&lt;&gt;0,IF(T11&lt;&gt;0,"0","1"),"")</f>
        <v>1</v>
      </c>
      <c r="V11" s="30">
        <f ca="1">IF(U11="0",NETWORKDAYS(S11,T11,$CB$3:$CB$19),NETWORKDAYS(S11,'2025整理'!$S$1,$CB$3:$CB$19))</f>
        <v>17</v>
      </c>
      <c r="W11" s="6"/>
      <c r="X11" s="7"/>
      <c r="Y11" s="38"/>
      <c r="Z11" s="30" t="str">
        <f>IF(Y11="0",NETWORKDAYS(W11,X11,$EO$3:$EO$11),"")</f>
        <v/>
      </c>
      <c r="AA11" s="6"/>
      <c r="AB11" s="7"/>
      <c r="AC11" s="40"/>
      <c r="AD11" s="30" t="str">
        <f>IF(AC11="0",NETWORKDAYS(AA11,AB11,$EO$3:$EO$11),"")</f>
        <v/>
      </c>
      <c r="AE11" s="48" t="s">
        <v>83</v>
      </c>
      <c r="AF11" s="47" t="s">
        <v>86</v>
      </c>
      <c r="AG11" s="50" t="s">
        <v>83</v>
      </c>
      <c r="AH11" s="51">
        <v>30592.25</v>
      </c>
      <c r="AI11" s="52">
        <v>27459.26</v>
      </c>
      <c r="AJ11" s="51">
        <v>30038.73</v>
      </c>
      <c r="AK11" s="52">
        <v>26963.87</v>
      </c>
      <c r="AL11" s="40" t="str">
        <f t="shared" ref="AL11:AL21" si="15">IF(AND(AK11&lt;&gt;"",AJ11&lt;&gt;""),IF(AK11&gt;AJ11,"核增",IF(AK11&lt;AJ11,"核减","不变")),"")</f>
        <v>核减</v>
      </c>
      <c r="AM11" s="40">
        <f t="shared" ref="AM11:AM21" si="16">IF(AND(AI11&lt;&gt;"",AH11&lt;&gt;""),MAX(ABS(AI11),ABS(AH11))-MIN(ABS(AI11),ABS(AH11)),"")</f>
        <v>3132.99</v>
      </c>
      <c r="AN11" s="40">
        <f t="shared" ref="AN11:AN21" si="17">IF(AND(AK11&lt;&gt;"",AJ11&lt;&gt;""),MAX(ABS(AK11),ABS(AJ11))-MIN(ABS(AK11),ABS(AJ11)),"")</f>
        <v>3074.86</v>
      </c>
      <c r="AO11" s="48"/>
      <c r="AP11" s="56"/>
      <c r="AQ11" s="48"/>
      <c r="AR11" s="56"/>
      <c r="AS11" s="40"/>
      <c r="AT11" s="40"/>
      <c r="AU11" s="51">
        <v>26452.38</v>
      </c>
      <c r="AV11" s="52">
        <v>26587.08</v>
      </c>
      <c r="AW11" s="51">
        <v>26022.32</v>
      </c>
      <c r="AX11" s="52">
        <v>26155.17</v>
      </c>
      <c r="AY11" s="40" t="str">
        <f t="shared" ref="AY11:AY52" si="18">IF(AND(AX11&lt;&gt;"",AW11&lt;&gt;""),IF(AX11&gt;AW11,"核增",IF(AX11&lt;AW11,"核减","不变")),"")</f>
        <v>核增</v>
      </c>
      <c r="AZ11" s="55">
        <f t="shared" ref="AZ11:AZ12" si="19">IF(AND(AX11&lt;&gt;"",AW11&lt;&gt;""),MAX(ABS(AX11),ABS(AW11))-MIN(ABS(AX11),ABS(AW11)),"")</f>
        <v>132.849999999999</v>
      </c>
      <c r="BA11" s="63" t="str">
        <f t="shared" ref="BA11:BA12" si="20">IF(AND(AV11&lt;&gt;"",AI11&lt;&gt;""),IF(AV11&gt;AI11,"核增",IF(AV11&lt;AI11,"核减","不变")),"")&amp;TEXT(IF(AND(AV11&lt;&gt;"",AI11&lt;&gt;""),MAX(ABS(AV11),ABS(AI11))-MIN(ABS(AV11),ABS(AI11)),""),"0.00")</f>
        <v>核减872.18</v>
      </c>
      <c r="BB11" s="48"/>
      <c r="BC11" s="56"/>
      <c r="BD11" s="48"/>
      <c r="BE11" s="56"/>
      <c r="BF11" s="64"/>
      <c r="BG11" s="48"/>
      <c r="BH11" s="51"/>
      <c r="BI11" s="52"/>
      <c r="BJ11" s="51"/>
      <c r="BK11" s="52"/>
      <c r="BL11" s="40"/>
      <c r="BM11" s="55"/>
      <c r="BN11" s="63"/>
      <c r="BO11" s="48"/>
      <c r="BP11" s="56"/>
      <c r="BQ11" s="48"/>
      <c r="BR11" s="56"/>
      <c r="BS11" s="40"/>
      <c r="BT11" s="40"/>
      <c r="BU11" s="51"/>
      <c r="BV11" s="52"/>
      <c r="BW11" s="51"/>
      <c r="BX11" s="52"/>
      <c r="BY11" s="40"/>
      <c r="BZ11" s="63"/>
      <c r="CB11" s="68">
        <v>45445</v>
      </c>
    </row>
    <row r="12" ht="13.5" customHeight="1" spans="1:80">
      <c r="A12" s="25" t="s">
        <v>100</v>
      </c>
      <c r="B12" s="5" t="s">
        <v>93</v>
      </c>
      <c r="C12" s="6">
        <v>45649</v>
      </c>
      <c r="D12" s="7">
        <v>45663</v>
      </c>
      <c r="E12" s="32" t="str">
        <f t="shared" si="0"/>
        <v>0</v>
      </c>
      <c r="F12" s="30">
        <f>IF(E12="0",NETWORKDAYS(C12,D12,$CB$3:$CB$19),"")</f>
        <v>10</v>
      </c>
      <c r="G12" s="6"/>
      <c r="H12" s="7"/>
      <c r="I12" s="38"/>
      <c r="J12" s="30" t="str">
        <f t="shared" si="1"/>
        <v/>
      </c>
      <c r="K12" s="6">
        <v>45673</v>
      </c>
      <c r="L12" s="7">
        <v>45680</v>
      </c>
      <c r="M12" s="40" t="str">
        <f t="shared" si="12"/>
        <v>0</v>
      </c>
      <c r="N12" s="30">
        <f t="shared" si="13"/>
        <v>6</v>
      </c>
      <c r="O12" s="6"/>
      <c r="P12" s="7"/>
      <c r="Q12" s="38"/>
      <c r="R12" s="30"/>
      <c r="S12" s="6">
        <v>45727</v>
      </c>
      <c r="T12" s="7">
        <v>45740</v>
      </c>
      <c r="U12" s="38" t="str">
        <f t="shared" si="14"/>
        <v>0</v>
      </c>
      <c r="V12" s="30">
        <f>IF(U12="0",NETWORKDAYS(S12,T12,$CB$3:$CB$19),"")</f>
        <v>10</v>
      </c>
      <c r="W12" s="6"/>
      <c r="X12" s="7"/>
      <c r="Y12" s="38"/>
      <c r="Z12" s="30"/>
      <c r="AA12" s="6"/>
      <c r="AB12" s="7"/>
      <c r="AC12" s="40"/>
      <c r="AD12" s="30"/>
      <c r="AE12" s="48" t="s">
        <v>82</v>
      </c>
      <c r="AF12" s="47" t="s">
        <v>82</v>
      </c>
      <c r="AG12" s="50" t="s">
        <v>91</v>
      </c>
      <c r="AH12" s="51">
        <v>843</v>
      </c>
      <c r="AI12" s="52">
        <v>645.18</v>
      </c>
      <c r="AJ12" s="51">
        <v>843</v>
      </c>
      <c r="AK12" s="52">
        <v>645.18</v>
      </c>
      <c r="AL12" s="40" t="str">
        <f t="shared" si="15"/>
        <v>核减</v>
      </c>
      <c r="AM12" s="40">
        <f t="shared" si="16"/>
        <v>197.82</v>
      </c>
      <c r="AN12" s="40">
        <f t="shared" si="17"/>
        <v>197.82</v>
      </c>
      <c r="AO12" s="48"/>
      <c r="AP12" s="56"/>
      <c r="AQ12" s="48"/>
      <c r="AR12" s="56"/>
      <c r="AS12" s="40"/>
      <c r="AT12" s="40"/>
      <c r="AU12" s="51">
        <v>628.3</v>
      </c>
      <c r="AV12" s="52">
        <v>620.69</v>
      </c>
      <c r="AW12" s="51">
        <v>628.3</v>
      </c>
      <c r="AX12" s="52">
        <v>620.69</v>
      </c>
      <c r="AY12" s="40" t="str">
        <f t="shared" si="18"/>
        <v>核减</v>
      </c>
      <c r="AZ12" s="55">
        <f t="shared" si="19"/>
        <v>7.6099999999999</v>
      </c>
      <c r="BA12" s="63" t="str">
        <f t="shared" si="20"/>
        <v>核减24.49</v>
      </c>
      <c r="BB12" s="48"/>
      <c r="BC12" s="56"/>
      <c r="BD12" s="48"/>
      <c r="BE12" s="56"/>
      <c r="BF12" s="64"/>
      <c r="BG12" s="48"/>
      <c r="BH12" s="51">
        <v>551.29</v>
      </c>
      <c r="BI12" s="52">
        <v>580.52</v>
      </c>
      <c r="BJ12" s="51">
        <v>551.29</v>
      </c>
      <c r="BK12" s="52">
        <v>580.52</v>
      </c>
      <c r="BL12" s="40" t="str">
        <f>IF(AND(BK12&lt;&gt;"",BJ12&lt;&gt;""),IF(BK12&gt;BJ12,"核增",IF(BK12&lt;BJ12,"核减","不变")),"")</f>
        <v>核增</v>
      </c>
      <c r="BM12" s="55">
        <f>IF(AND(BK12&lt;&gt;"",BJ12&lt;&gt;""),MAX(ABS(BK12),ABS(BJ12))-MIN(ABS(BK12),ABS(BJ12)),"")</f>
        <v>29.23</v>
      </c>
      <c r="BN12" s="63" t="str">
        <f>IF(AND(BI12&lt;&gt;"",AV12&lt;&gt;""),IF(BI12&gt;AV12,"核增",IF(BI12&lt;AV12,"核减","不变")),"")&amp;TEXT(IF(AND(BI12&lt;&gt;"",AV12&lt;&gt;""),MAX(ABS(BI12),ABS(AV12))-MIN(ABS(BI12),ABS(AV12)),""),"0.00")</f>
        <v>核减40.17</v>
      </c>
      <c r="BO12" s="48"/>
      <c r="BP12" s="56"/>
      <c r="BQ12" s="48"/>
      <c r="BR12" s="56"/>
      <c r="BS12" s="40"/>
      <c r="BT12" s="40"/>
      <c r="BU12" s="51"/>
      <c r="BV12" s="52"/>
      <c r="BW12" s="51"/>
      <c r="BX12" s="52"/>
      <c r="BY12" s="40"/>
      <c r="BZ12" s="55"/>
      <c r="CB12" s="68">
        <v>45566</v>
      </c>
    </row>
    <row r="13" ht="13.5" customHeight="1" spans="1:80">
      <c r="A13" s="25" t="s">
        <v>101</v>
      </c>
      <c r="B13" s="5" t="s">
        <v>93</v>
      </c>
      <c r="C13" s="6">
        <v>45825</v>
      </c>
      <c r="D13" s="7">
        <v>45856</v>
      </c>
      <c r="E13" s="32" t="str">
        <f t="shared" si="0"/>
        <v>0</v>
      </c>
      <c r="F13" s="30">
        <f ca="1">IF(E13="0",NETWORKDAYS(C13,D13,$CB$3:$CB$19),NETWORKDAYS(C13,'2025整理'!$S$1,$CB$3:$CB$19))</f>
        <v>24</v>
      </c>
      <c r="G13" s="6"/>
      <c r="H13" s="7"/>
      <c r="I13" s="38"/>
      <c r="J13" s="30" t="str">
        <f t="shared" si="1"/>
        <v/>
      </c>
      <c r="K13" s="6">
        <v>45986</v>
      </c>
      <c r="L13" s="7"/>
      <c r="M13" s="40" t="str">
        <f t="shared" si="12"/>
        <v>1</v>
      </c>
      <c r="N13" s="30">
        <f ca="1">IF(M13="0",NETWORKDAYS(K13,L13,$CB$3:$CB$19),NETWORKDAYS(K13,'2025整理'!$S$1,$CB$3:$CB$19))</f>
        <v>25</v>
      </c>
      <c r="O13" s="6"/>
      <c r="P13" s="7"/>
      <c r="Q13" s="38"/>
      <c r="R13" s="30"/>
      <c r="S13" s="6"/>
      <c r="T13" s="7"/>
      <c r="U13" s="38"/>
      <c r="V13" s="30"/>
      <c r="W13" s="6"/>
      <c r="X13" s="7"/>
      <c r="Y13" s="38"/>
      <c r="Z13" s="30"/>
      <c r="AA13" s="6"/>
      <c r="AB13" s="7"/>
      <c r="AC13" s="40"/>
      <c r="AD13" s="30"/>
      <c r="AE13" s="48" t="s">
        <v>82</v>
      </c>
      <c r="AF13" s="47" t="s">
        <v>82</v>
      </c>
      <c r="AG13" s="50" t="s">
        <v>87</v>
      </c>
      <c r="AH13" s="51">
        <v>14512.85</v>
      </c>
      <c r="AI13" s="52">
        <v>14344.24</v>
      </c>
      <c r="AJ13" s="51">
        <v>14379.14</v>
      </c>
      <c r="AK13" s="52">
        <v>14212.04</v>
      </c>
      <c r="AL13" s="40" t="str">
        <f t="shared" si="15"/>
        <v>核减</v>
      </c>
      <c r="AM13" s="40">
        <f t="shared" si="16"/>
        <v>168.610000000001</v>
      </c>
      <c r="AN13" s="40">
        <f t="shared" si="17"/>
        <v>167.099999999999</v>
      </c>
      <c r="AO13" s="48"/>
      <c r="AP13" s="56"/>
      <c r="AQ13" s="48"/>
      <c r="AR13" s="56"/>
      <c r="AS13" s="40"/>
      <c r="AT13" s="40"/>
      <c r="AU13" s="51"/>
      <c r="AV13" s="52"/>
      <c r="AW13" s="51"/>
      <c r="AX13" s="52"/>
      <c r="AY13" s="40" t="str">
        <f t="shared" si="18"/>
        <v/>
      </c>
      <c r="AZ13" s="55"/>
      <c r="BA13" s="63"/>
      <c r="BB13" s="48"/>
      <c r="BC13" s="56"/>
      <c r="BD13" s="48"/>
      <c r="BE13" s="56"/>
      <c r="BF13" s="64"/>
      <c r="BG13" s="48"/>
      <c r="BH13" s="51"/>
      <c r="BI13" s="52"/>
      <c r="BJ13" s="51"/>
      <c r="BK13" s="52"/>
      <c r="BL13" s="40"/>
      <c r="BM13" s="55"/>
      <c r="BN13" s="63"/>
      <c r="BO13" s="48"/>
      <c r="BP13" s="56"/>
      <c r="BQ13" s="48"/>
      <c r="BR13" s="56"/>
      <c r="BS13" s="40"/>
      <c r="BT13" s="40"/>
      <c r="BU13" s="51"/>
      <c r="BV13" s="52"/>
      <c r="BW13" s="51"/>
      <c r="BX13" s="52"/>
      <c r="BY13" s="40"/>
      <c r="BZ13" s="55"/>
      <c r="CB13" s="68">
        <v>45567</v>
      </c>
    </row>
    <row r="14" ht="13.5" customHeight="1" spans="1:80">
      <c r="A14" s="25" t="s">
        <v>102</v>
      </c>
      <c r="B14" s="5" t="s">
        <v>85</v>
      </c>
      <c r="C14" s="6">
        <v>45701</v>
      </c>
      <c r="D14" s="7">
        <v>45721</v>
      </c>
      <c r="E14" s="32" t="str">
        <f t="shared" si="0"/>
        <v>0</v>
      </c>
      <c r="F14" s="30">
        <f t="shared" ref="F14:F15" si="21">IF(E14="0",NETWORKDAYS(C14,D14,$EO$3:$EO$11),"")</f>
        <v>15</v>
      </c>
      <c r="G14" s="6"/>
      <c r="H14" s="7"/>
      <c r="I14" s="38"/>
      <c r="J14" s="30" t="str">
        <f t="shared" si="1"/>
        <v/>
      </c>
      <c r="K14" s="6">
        <v>45854</v>
      </c>
      <c r="L14" s="7">
        <v>45874</v>
      </c>
      <c r="M14" s="40" t="str">
        <f t="shared" si="12"/>
        <v>0</v>
      </c>
      <c r="N14" s="30">
        <f ca="1">IF(M14="0",NETWORKDAYS(K14,L14,$CB$3:$CB$19),NETWORKDAYS(K14,'2025整理'!$S$1,$CB$3:$CB$19))</f>
        <v>15</v>
      </c>
      <c r="O14" s="6"/>
      <c r="P14" s="7"/>
      <c r="Q14" s="38"/>
      <c r="R14" s="30"/>
      <c r="S14" s="6">
        <v>45923</v>
      </c>
      <c r="T14" s="7">
        <v>45947</v>
      </c>
      <c r="U14" s="38" t="str">
        <f t="shared" ref="U14:U15" si="22">IF(S14&lt;&gt;0,IF(T14&lt;&gt;0,"0","1"),"")</f>
        <v>0</v>
      </c>
      <c r="V14" s="30">
        <f ca="1">IF(U14="0",NETWORKDAYS(S14,T14,$CB$3:$CB$19),NETWORKDAYS(S14,'2025整理'!$S$1,$CB$3:$CB$19))</f>
        <v>19</v>
      </c>
      <c r="W14" s="6"/>
      <c r="X14" s="7"/>
      <c r="Y14" s="38"/>
      <c r="Z14" s="30"/>
      <c r="AA14" s="6"/>
      <c r="AB14" s="7"/>
      <c r="AC14" s="40"/>
      <c r="AD14" s="30"/>
      <c r="AE14" s="48" t="s">
        <v>90</v>
      </c>
      <c r="AF14" s="47" t="s">
        <v>90</v>
      </c>
      <c r="AG14" s="50" t="s">
        <v>87</v>
      </c>
      <c r="AH14" s="51">
        <v>2018.73</v>
      </c>
      <c r="AI14" s="52">
        <v>2041.22</v>
      </c>
      <c r="AJ14" s="51">
        <v>1999.91</v>
      </c>
      <c r="AK14" s="52">
        <v>2022.24</v>
      </c>
      <c r="AL14" s="40" t="str">
        <f t="shared" si="15"/>
        <v>核增</v>
      </c>
      <c r="AM14" s="40">
        <f t="shared" si="16"/>
        <v>22.49</v>
      </c>
      <c r="AN14" s="40">
        <f t="shared" si="17"/>
        <v>22.3299999999999</v>
      </c>
      <c r="AO14" s="48"/>
      <c r="AP14" s="56"/>
      <c r="AQ14" s="48"/>
      <c r="AR14" s="56"/>
      <c r="AS14" s="40"/>
      <c r="AT14" s="40"/>
      <c r="AU14" s="51">
        <v>2019.05</v>
      </c>
      <c r="AV14" s="52">
        <v>2016.71</v>
      </c>
      <c r="AW14" s="51">
        <v>2000.26</v>
      </c>
      <c r="AX14" s="52">
        <v>1999.59</v>
      </c>
      <c r="AY14" s="40" t="str">
        <f t="shared" si="18"/>
        <v>核减</v>
      </c>
      <c r="AZ14" s="55">
        <f t="shared" ref="AZ14:AZ17" si="23">IF(AND(AX14&lt;&gt;"",AW14&lt;&gt;""),MAX(ABS(AX14),ABS(AW14))-MIN(ABS(AX14),ABS(AW14)),"")</f>
        <v>0.670000000000073</v>
      </c>
      <c r="BA14" s="63" t="str">
        <f t="shared" ref="BA14:BA17" si="24">IF(AND(AV14&lt;&gt;"",AI14&lt;&gt;""),IF(AV14&gt;AI14,"核增",IF(AV14&lt;AI14,"核减","不变")),"")&amp;TEXT(IF(AND(AV14&lt;&gt;"",AI14&lt;&gt;""),MAX(ABS(AV14),ABS(AI14))-MIN(ABS(AV14),ABS(AI14)),""),"0.00")</f>
        <v>核减24.51</v>
      </c>
      <c r="BB14" s="48"/>
      <c r="BC14" s="56"/>
      <c r="BD14" s="48"/>
      <c r="BE14" s="56"/>
      <c r="BF14" s="64"/>
      <c r="BG14" s="48"/>
      <c r="BH14" s="51">
        <v>2037.17</v>
      </c>
      <c r="BI14" s="52">
        <v>2013.59</v>
      </c>
      <c r="BJ14" s="51">
        <v>2018.33</v>
      </c>
      <c r="BK14" s="52">
        <v>1995.05</v>
      </c>
      <c r="BL14" s="40" t="str">
        <f t="shared" ref="BL14:BL15" si="25">IF(AND(BK14&lt;&gt;"",BJ14&lt;&gt;""),IF(BK14&gt;BJ14,"核增",IF(BK14&lt;BJ14,"核减","不变")),"")</f>
        <v>核减</v>
      </c>
      <c r="BM14" s="55">
        <f t="shared" ref="BM14:BM15" si="26">IF(AND(BK14&lt;&gt;"",BJ14&lt;&gt;""),MAX(ABS(BK14),ABS(BJ14))-MIN(ABS(BK14),ABS(BJ14)),"")</f>
        <v>23.28</v>
      </c>
      <c r="BN14" s="63" t="str">
        <f t="shared" ref="BN14:BN15" si="27">IF(AND(BI14&lt;&gt;"",AV14&lt;&gt;""),IF(BI14&gt;AV14,"核增",IF(BI14&lt;AV14,"核减","不变")),"")&amp;TEXT(IF(AND(BI14&lt;&gt;"",AV14&lt;&gt;""),MAX(ABS(BI14),ABS(AV14))-MIN(ABS(BI14),ABS(AV14)),""),"0.00")</f>
        <v>核减3.12</v>
      </c>
      <c r="BO14" s="48"/>
      <c r="BP14" s="56"/>
      <c r="BQ14" s="48"/>
      <c r="BR14" s="56"/>
      <c r="BS14" s="40"/>
      <c r="BT14" s="40"/>
      <c r="BU14" s="51"/>
      <c r="BV14" s="52"/>
      <c r="BW14" s="51"/>
      <c r="BX14" s="52"/>
      <c r="BY14" s="40"/>
      <c r="BZ14" s="55"/>
      <c r="CB14" s="68">
        <v>45568</v>
      </c>
    </row>
    <row r="15" ht="13.5" customHeight="1" spans="1:80">
      <c r="A15" s="25" t="s">
        <v>103</v>
      </c>
      <c r="B15" s="5" t="s">
        <v>93</v>
      </c>
      <c r="C15" s="6">
        <v>45659</v>
      </c>
      <c r="D15" s="7">
        <v>45683</v>
      </c>
      <c r="E15" s="32" t="str">
        <f t="shared" si="0"/>
        <v>0</v>
      </c>
      <c r="F15" s="30">
        <f t="shared" si="21"/>
        <v>17</v>
      </c>
      <c r="G15" s="6"/>
      <c r="H15" s="7"/>
      <c r="I15" s="38"/>
      <c r="J15" s="30" t="str">
        <f t="shared" si="1"/>
        <v/>
      </c>
      <c r="K15" s="6">
        <v>45813</v>
      </c>
      <c r="L15" s="7">
        <v>45831</v>
      </c>
      <c r="M15" s="40" t="str">
        <f t="shared" si="12"/>
        <v>0</v>
      </c>
      <c r="N15" s="30">
        <f ca="1">IF(M15="0",NETWORKDAYS(K15,L15,$CB$3:$CB$19),NETWORKDAYS(K15,'2025整理'!$S$1,$CB$3:$CB$19))</f>
        <v>13</v>
      </c>
      <c r="O15" s="6"/>
      <c r="P15" s="7"/>
      <c r="Q15" s="38"/>
      <c r="R15" s="30"/>
      <c r="S15" s="6">
        <v>45876</v>
      </c>
      <c r="T15" s="7">
        <v>45922</v>
      </c>
      <c r="U15" s="38" t="str">
        <f t="shared" si="22"/>
        <v>0</v>
      </c>
      <c r="V15" s="30">
        <f ca="1">IF(U15="0",NETWORKDAYS(S15,T15,$CB$3:$CB$19),NETWORKDAYS(S15,'2025整理'!$S$1,$CB$3:$CB$19))</f>
        <v>33</v>
      </c>
      <c r="W15" s="6"/>
      <c r="X15" s="7"/>
      <c r="Y15" s="38"/>
      <c r="Z15" s="30"/>
      <c r="AA15" s="6"/>
      <c r="AB15" s="7"/>
      <c r="AC15" s="40"/>
      <c r="AD15" s="30"/>
      <c r="AE15" s="48" t="s">
        <v>97</v>
      </c>
      <c r="AF15" s="49" t="s">
        <v>86</v>
      </c>
      <c r="AG15" s="50" t="s">
        <v>97</v>
      </c>
      <c r="AH15" s="51">
        <v>49674.46</v>
      </c>
      <c r="AI15" s="52">
        <v>44792.46</v>
      </c>
      <c r="AJ15" s="51">
        <v>48777.76</v>
      </c>
      <c r="AK15" s="52">
        <v>44304.37</v>
      </c>
      <c r="AL15" s="40" t="str">
        <f t="shared" si="15"/>
        <v>核减</v>
      </c>
      <c r="AM15" s="40">
        <f t="shared" si="16"/>
        <v>4882</v>
      </c>
      <c r="AN15" s="40">
        <f t="shared" si="17"/>
        <v>4473.39</v>
      </c>
      <c r="AO15" s="48"/>
      <c r="AP15" s="56"/>
      <c r="AQ15" s="48"/>
      <c r="AR15" s="56"/>
      <c r="AS15" s="40"/>
      <c r="AT15" s="40"/>
      <c r="AU15" s="51">
        <v>44820.5</v>
      </c>
      <c r="AV15" s="52">
        <v>44748.66</v>
      </c>
      <c r="AW15" s="51">
        <v>44219.65</v>
      </c>
      <c r="AX15" s="52">
        <v>44204.12</v>
      </c>
      <c r="AY15" s="40" t="str">
        <f t="shared" si="18"/>
        <v>核减</v>
      </c>
      <c r="AZ15" s="55">
        <f t="shared" si="23"/>
        <v>15.5299999999988</v>
      </c>
      <c r="BA15" s="63" t="str">
        <f t="shared" si="24"/>
        <v>核减43.80</v>
      </c>
      <c r="BB15" s="48"/>
      <c r="BC15" s="56"/>
      <c r="BD15" s="48"/>
      <c r="BE15" s="56"/>
      <c r="BF15" s="64"/>
      <c r="BG15" s="48"/>
      <c r="BH15" s="51">
        <v>46385.17</v>
      </c>
      <c r="BI15" s="52">
        <v>44734.03</v>
      </c>
      <c r="BJ15" s="51">
        <v>45820.71</v>
      </c>
      <c r="BK15" s="52">
        <v>44204.96</v>
      </c>
      <c r="BL15" s="40" t="str">
        <f t="shared" si="25"/>
        <v>核减</v>
      </c>
      <c r="BM15" s="55">
        <f t="shared" si="26"/>
        <v>1615.75</v>
      </c>
      <c r="BN15" s="63" t="str">
        <f t="shared" si="27"/>
        <v>核减14.63</v>
      </c>
      <c r="BO15" s="48"/>
      <c r="BP15" s="56"/>
      <c r="BQ15" s="48"/>
      <c r="BR15" s="56"/>
      <c r="BS15" s="40"/>
      <c r="BT15" s="40"/>
      <c r="BU15" s="51"/>
      <c r="BV15" s="52"/>
      <c r="BW15" s="51"/>
      <c r="BX15" s="52"/>
      <c r="BY15" s="40"/>
      <c r="BZ15" s="55"/>
      <c r="CB15" s="68">
        <v>45571</v>
      </c>
    </row>
    <row r="16" ht="13.5" customHeight="1" spans="1:78">
      <c r="A16" s="25" t="s">
        <v>104</v>
      </c>
      <c r="B16" s="5" t="s">
        <v>93</v>
      </c>
      <c r="C16" s="6">
        <v>45660</v>
      </c>
      <c r="D16" s="7">
        <v>45673</v>
      </c>
      <c r="E16" s="32" t="str">
        <f t="shared" si="0"/>
        <v>0</v>
      </c>
      <c r="F16" s="30">
        <f>IF(E16="0",NETWORKDAYS(C16,D16,$CB$3:$CB$19),"")</f>
        <v>10</v>
      </c>
      <c r="G16" s="6"/>
      <c r="H16" s="7"/>
      <c r="I16" s="38"/>
      <c r="J16" s="30" t="str">
        <f t="shared" si="1"/>
        <v/>
      </c>
      <c r="K16" s="6">
        <v>45889</v>
      </c>
      <c r="L16" s="7">
        <v>45924</v>
      </c>
      <c r="M16" s="40" t="str">
        <f t="shared" si="12"/>
        <v>0</v>
      </c>
      <c r="N16" s="30">
        <f ca="1">IF(M16="0",NETWORKDAYS(K16,L16,$CB$3:$CB$19),NETWORKDAYS(K16,'2025整理'!$S$1,$CB$3:$CB$19))</f>
        <v>26</v>
      </c>
      <c r="O16" s="6"/>
      <c r="P16" s="7"/>
      <c r="Q16" s="38"/>
      <c r="R16" s="30" t="str">
        <f>IF(Q16="0",NETWORKDAYS(O16,P16,$EO$3:$EO$10),"")</f>
        <v/>
      </c>
      <c r="S16" s="6"/>
      <c r="T16" s="7"/>
      <c r="U16" s="38"/>
      <c r="V16" s="30" t="str">
        <f>IF(U16="0",NETWORKDAYS(S16,T16,$EO$3:$EO$11),"")</f>
        <v/>
      </c>
      <c r="W16" s="6"/>
      <c r="X16" s="7"/>
      <c r="Y16" s="38"/>
      <c r="Z16" s="30" t="str">
        <f>IF(Y16="0",NETWORKDAYS(W16,X16,$EO$3:$EO$11),"")</f>
        <v/>
      </c>
      <c r="AA16" s="6"/>
      <c r="AB16" s="7"/>
      <c r="AC16" s="40"/>
      <c r="AD16" s="30" t="str">
        <f>IF(AC16="0",NETWORKDAYS(AA16,AB16,$EO$3:$EO$11),"")</f>
        <v/>
      </c>
      <c r="AE16" s="48" t="s">
        <v>87</v>
      </c>
      <c r="AF16" s="47" t="s">
        <v>82</v>
      </c>
      <c r="AG16" s="50" t="s">
        <v>87</v>
      </c>
      <c r="AH16" s="51">
        <v>25586.81</v>
      </c>
      <c r="AI16" s="52">
        <v>12884.58</v>
      </c>
      <c r="AJ16" s="51">
        <v>25151.24</v>
      </c>
      <c r="AK16" s="52">
        <v>12667.91</v>
      </c>
      <c r="AL16" s="40" t="str">
        <f t="shared" si="15"/>
        <v>核减</v>
      </c>
      <c r="AM16" s="40">
        <f t="shared" si="16"/>
        <v>12702.23</v>
      </c>
      <c r="AN16" s="40">
        <f t="shared" si="17"/>
        <v>12483.33</v>
      </c>
      <c r="AO16" s="48"/>
      <c r="AP16" s="56"/>
      <c r="AQ16" s="48"/>
      <c r="AR16" s="56"/>
      <c r="AS16" s="40"/>
      <c r="AT16" s="40"/>
      <c r="AU16" s="51">
        <v>12513.22</v>
      </c>
      <c r="AV16" s="75">
        <v>11704</v>
      </c>
      <c r="AW16" s="51">
        <v>12323.6</v>
      </c>
      <c r="AX16" s="52">
        <v>11527.04</v>
      </c>
      <c r="AY16" s="40" t="str">
        <f t="shared" si="18"/>
        <v>核减</v>
      </c>
      <c r="AZ16" s="55">
        <f t="shared" si="23"/>
        <v>796.559999999999</v>
      </c>
      <c r="BA16" s="63" t="str">
        <f t="shared" si="24"/>
        <v>核减1180.58</v>
      </c>
      <c r="BB16" s="48"/>
      <c r="BC16" s="56"/>
      <c r="BD16" s="48"/>
      <c r="BE16" s="56"/>
      <c r="BF16" s="64"/>
      <c r="BG16" s="48"/>
      <c r="BH16" s="51"/>
      <c r="BI16" s="52"/>
      <c r="BJ16" s="51"/>
      <c r="BK16" s="52"/>
      <c r="BL16" s="40"/>
      <c r="BM16" s="55"/>
      <c r="BN16" s="63"/>
      <c r="BO16" s="48"/>
      <c r="BP16" s="56"/>
      <c r="BQ16" s="48"/>
      <c r="BR16" s="56"/>
      <c r="BS16" s="40"/>
      <c r="BT16" s="40"/>
      <c r="BU16" s="51"/>
      <c r="BV16" s="52"/>
      <c r="BW16" s="51"/>
      <c r="BX16" s="52"/>
      <c r="BY16" s="40"/>
      <c r="BZ16" s="55" t="str">
        <f>IF(AND(BX16&lt;&gt;"",BW16&lt;&gt;""),MAX(ABS(BX16),ABS(BW16))-MIN(ABS(BX16),ABS(BW16)),"")</f>
        <v/>
      </c>
    </row>
    <row r="17" ht="13.5" customHeight="1" spans="1:78">
      <c r="A17" s="25" t="s">
        <v>105</v>
      </c>
      <c r="B17" s="5" t="s">
        <v>93</v>
      </c>
      <c r="C17" s="6">
        <v>45757</v>
      </c>
      <c r="D17" s="7">
        <v>45793</v>
      </c>
      <c r="E17" s="32" t="str">
        <f t="shared" si="0"/>
        <v>0</v>
      </c>
      <c r="F17" s="30">
        <f ca="1">IF(E17="0",NETWORKDAYS(C17,D17,$CB$3:$CB$19),NETWORKDAYS(C17,'2025整理'!$S$1,$CB$3:$CB$19))</f>
        <v>27</v>
      </c>
      <c r="G17" s="6"/>
      <c r="H17" s="7"/>
      <c r="I17" s="38"/>
      <c r="J17" s="30" t="str">
        <f t="shared" si="1"/>
        <v/>
      </c>
      <c r="K17" s="6">
        <v>45912</v>
      </c>
      <c r="L17" s="7">
        <v>45930</v>
      </c>
      <c r="M17" s="40" t="str">
        <f t="shared" si="12"/>
        <v>0</v>
      </c>
      <c r="N17" s="30">
        <f ca="1">IF(M17="0",NETWORKDAYS(K17,L17,$CB$3:$CB$19),NETWORKDAYS(K17,'2025整理'!$S$1,$CB$3:$CB$19))</f>
        <v>13</v>
      </c>
      <c r="O17" s="6"/>
      <c r="P17" s="7"/>
      <c r="Q17" s="38"/>
      <c r="R17" s="30"/>
      <c r="S17" s="6"/>
      <c r="T17" s="7"/>
      <c r="U17" s="38"/>
      <c r="V17" s="30"/>
      <c r="W17" s="6"/>
      <c r="X17" s="7"/>
      <c r="Y17" s="38"/>
      <c r="Z17" s="30"/>
      <c r="AA17" s="6"/>
      <c r="AB17" s="7"/>
      <c r="AC17" s="40"/>
      <c r="AD17" s="30"/>
      <c r="AE17" s="48" t="s">
        <v>90</v>
      </c>
      <c r="AF17" s="47" t="s">
        <v>90</v>
      </c>
      <c r="AG17" s="50" t="s">
        <v>87</v>
      </c>
      <c r="AH17" s="51">
        <v>17481.27</v>
      </c>
      <c r="AI17" s="52">
        <v>17611.86</v>
      </c>
      <c r="AJ17" s="51">
        <v>17185.86</v>
      </c>
      <c r="AK17" s="52">
        <v>17310.24</v>
      </c>
      <c r="AL17" s="40" t="str">
        <f t="shared" si="15"/>
        <v>核增</v>
      </c>
      <c r="AM17" s="40">
        <f t="shared" si="16"/>
        <v>130.59</v>
      </c>
      <c r="AN17" s="40">
        <f t="shared" si="17"/>
        <v>124.380000000001</v>
      </c>
      <c r="AO17" s="48"/>
      <c r="AP17" s="56"/>
      <c r="AQ17" s="48"/>
      <c r="AR17" s="56"/>
      <c r="AS17" s="40"/>
      <c r="AT17" s="40"/>
      <c r="AU17" s="51">
        <v>17420.58</v>
      </c>
      <c r="AV17" s="52">
        <v>17262.65</v>
      </c>
      <c r="AW17" s="51">
        <v>17136.31</v>
      </c>
      <c r="AX17" s="52">
        <v>16996.08</v>
      </c>
      <c r="AY17" s="40" t="str">
        <f t="shared" si="18"/>
        <v>核减</v>
      </c>
      <c r="AZ17" s="55">
        <f t="shared" si="23"/>
        <v>140.23</v>
      </c>
      <c r="BA17" s="63" t="str">
        <f t="shared" si="24"/>
        <v>核减349.21</v>
      </c>
      <c r="BB17" s="48"/>
      <c r="BC17" s="56"/>
      <c r="BD17" s="48"/>
      <c r="BE17" s="56"/>
      <c r="BF17" s="64"/>
      <c r="BG17" s="48"/>
      <c r="BH17" s="51"/>
      <c r="BI17" s="52"/>
      <c r="BJ17" s="51"/>
      <c r="BK17" s="52"/>
      <c r="BL17" s="40"/>
      <c r="BM17" s="55"/>
      <c r="BN17" s="63"/>
      <c r="BO17" s="48"/>
      <c r="BP17" s="56"/>
      <c r="BQ17" s="48"/>
      <c r="BR17" s="56"/>
      <c r="BS17" s="40"/>
      <c r="BT17" s="40"/>
      <c r="BU17" s="51"/>
      <c r="BV17" s="52"/>
      <c r="BW17" s="51"/>
      <c r="BX17" s="52"/>
      <c r="BY17" s="40"/>
      <c r="BZ17" s="55"/>
    </row>
    <row r="18" ht="13.5" customHeight="1" spans="1:78">
      <c r="A18" s="25" t="s">
        <v>106</v>
      </c>
      <c r="B18" s="5" t="s">
        <v>85</v>
      </c>
      <c r="C18" s="6">
        <v>45922</v>
      </c>
      <c r="D18" s="7">
        <v>45964</v>
      </c>
      <c r="E18" s="32" t="str">
        <f t="shared" si="0"/>
        <v>0</v>
      </c>
      <c r="F18" s="30">
        <f ca="1">IF(E18="0",NETWORKDAYS(C18,D18,$CB$3:$CB$19),NETWORKDAYS(C18,'2025整理'!$S$1,$CB$3:$CB$19))</f>
        <v>31</v>
      </c>
      <c r="G18" s="6"/>
      <c r="H18" s="7"/>
      <c r="I18" s="38"/>
      <c r="J18" s="30" t="str">
        <f t="shared" si="1"/>
        <v/>
      </c>
      <c r="K18" s="6"/>
      <c r="L18" s="7"/>
      <c r="M18" s="40"/>
      <c r="N18" s="30"/>
      <c r="O18" s="6"/>
      <c r="P18" s="7"/>
      <c r="Q18" s="38"/>
      <c r="R18" s="30"/>
      <c r="S18" s="6"/>
      <c r="T18" s="7"/>
      <c r="U18" s="38"/>
      <c r="V18" s="30"/>
      <c r="W18" s="6"/>
      <c r="X18" s="7"/>
      <c r="Y18" s="38"/>
      <c r="Z18" s="30"/>
      <c r="AA18" s="6"/>
      <c r="AB18" s="7"/>
      <c r="AC18" s="40"/>
      <c r="AD18" s="30"/>
      <c r="AE18" s="48" t="s">
        <v>86</v>
      </c>
      <c r="AF18" s="47" t="s">
        <v>86</v>
      </c>
      <c r="AG18" s="50" t="s">
        <v>87</v>
      </c>
      <c r="AH18" s="51">
        <v>4505.52</v>
      </c>
      <c r="AI18" s="52">
        <v>4500.05</v>
      </c>
      <c r="AJ18" s="51">
        <v>4443.18</v>
      </c>
      <c r="AK18" s="52">
        <v>4437.72</v>
      </c>
      <c r="AL18" s="40" t="str">
        <f t="shared" si="15"/>
        <v>核减</v>
      </c>
      <c r="AM18" s="40">
        <f t="shared" si="16"/>
        <v>5.47000000000025</v>
      </c>
      <c r="AN18" s="40">
        <f t="shared" si="17"/>
        <v>5.46000000000004</v>
      </c>
      <c r="AO18" s="48"/>
      <c r="AP18" s="56"/>
      <c r="AQ18" s="48"/>
      <c r="AR18" s="56"/>
      <c r="AS18" s="40"/>
      <c r="AT18" s="40"/>
      <c r="AU18" s="51"/>
      <c r="AV18" s="52"/>
      <c r="AW18" s="51"/>
      <c r="AX18" s="52"/>
      <c r="AY18" s="40" t="str">
        <f t="shared" si="18"/>
        <v/>
      </c>
      <c r="AZ18" s="55"/>
      <c r="BA18" s="63"/>
      <c r="BB18" s="48"/>
      <c r="BC18" s="56"/>
      <c r="BD18" s="48"/>
      <c r="BE18" s="56"/>
      <c r="BF18" s="64"/>
      <c r="BG18" s="48"/>
      <c r="BH18" s="51"/>
      <c r="BI18" s="52"/>
      <c r="BJ18" s="51"/>
      <c r="BK18" s="52"/>
      <c r="BL18" s="40"/>
      <c r="BM18" s="55"/>
      <c r="BN18" s="63"/>
      <c r="BO18" s="48"/>
      <c r="BP18" s="56"/>
      <c r="BQ18" s="48"/>
      <c r="BR18" s="56"/>
      <c r="BS18" s="40"/>
      <c r="BT18" s="40"/>
      <c r="BU18" s="51"/>
      <c r="BV18" s="52"/>
      <c r="BW18" s="51"/>
      <c r="BX18" s="52"/>
      <c r="BY18" s="40"/>
      <c r="BZ18" s="55"/>
    </row>
    <row r="19" ht="13.5" customHeight="1" spans="1:78">
      <c r="A19" s="77" t="s">
        <v>107</v>
      </c>
      <c r="B19" s="5" t="s">
        <v>85</v>
      </c>
      <c r="C19" s="6">
        <v>45848</v>
      </c>
      <c r="D19" s="238">
        <v>45855</v>
      </c>
      <c r="E19" s="32" t="str">
        <f t="shared" si="0"/>
        <v>0</v>
      </c>
      <c r="F19" s="30">
        <f ca="1">IF(E19="0",NETWORKDAYS(C19,D19,$CB$3:$CB$19),NETWORKDAYS(C19,'2025整理'!$S$1,$CB$3:$CB$19))</f>
        <v>6</v>
      </c>
      <c r="G19" s="6"/>
      <c r="H19" s="7"/>
      <c r="I19" s="38"/>
      <c r="J19" s="30"/>
      <c r="K19" s="6">
        <v>45875</v>
      </c>
      <c r="L19" s="7">
        <v>45888</v>
      </c>
      <c r="M19" s="40" t="str">
        <f t="shared" ref="M19:M31" si="28">IF(K19&lt;&gt;0,IF(L19&lt;&gt;0,"0","1"),"")</f>
        <v>0</v>
      </c>
      <c r="N19" s="30">
        <f ca="1">IF(M19="0",NETWORKDAYS(K19,L19,$CB$3:$CB$19),NETWORKDAYS(K19,'2025整理'!$S$1,$CB$3:$CB$19))</f>
        <v>10</v>
      </c>
      <c r="O19" s="6"/>
      <c r="P19" s="7"/>
      <c r="Q19" s="38"/>
      <c r="R19" s="30"/>
      <c r="S19" s="6">
        <v>45957</v>
      </c>
      <c r="T19" s="7">
        <v>45972</v>
      </c>
      <c r="U19" s="38" t="str">
        <f>IF(S19&lt;&gt;0,IF(T19&lt;&gt;0,"0","1"),"")</f>
        <v>0</v>
      </c>
      <c r="V19" s="30">
        <f ca="1">IF(U19="0",NETWORKDAYS(S19,T19,$CB$3:$CB$19),NETWORKDAYS(S19,'2025整理'!$S$1,$CB$3:$CB$19))</f>
        <v>12</v>
      </c>
      <c r="W19" s="6"/>
      <c r="X19" s="7"/>
      <c r="Y19" s="38"/>
      <c r="Z19" s="30"/>
      <c r="AA19" s="6"/>
      <c r="AB19" s="7"/>
      <c r="AC19" s="40"/>
      <c r="AD19" s="30"/>
      <c r="AE19" s="48" t="s">
        <v>86</v>
      </c>
      <c r="AF19" s="47" t="s">
        <v>86</v>
      </c>
      <c r="AG19" s="50" t="s">
        <v>87</v>
      </c>
      <c r="AH19" s="51">
        <v>13054.92</v>
      </c>
      <c r="AI19" s="52">
        <v>12734.06</v>
      </c>
      <c r="AJ19" s="51">
        <v>12786.64</v>
      </c>
      <c r="AK19" s="52">
        <v>12558.05</v>
      </c>
      <c r="AL19" s="40" t="str">
        <f t="shared" si="15"/>
        <v>核减</v>
      </c>
      <c r="AM19" s="40">
        <f t="shared" si="16"/>
        <v>320.860000000001</v>
      </c>
      <c r="AN19" s="40">
        <f t="shared" si="17"/>
        <v>228.59</v>
      </c>
      <c r="AO19" s="48"/>
      <c r="AP19" s="56"/>
      <c r="AQ19" s="48"/>
      <c r="AR19" s="56"/>
      <c r="AS19" s="40"/>
      <c r="AT19" s="40"/>
      <c r="AU19" s="51">
        <v>12702.3</v>
      </c>
      <c r="AV19" s="52">
        <v>12325.75</v>
      </c>
      <c r="AW19" s="51">
        <v>12546.12</v>
      </c>
      <c r="AX19" s="52">
        <v>12173.3</v>
      </c>
      <c r="AY19" s="40" t="str">
        <f t="shared" si="18"/>
        <v>核减</v>
      </c>
      <c r="AZ19" s="55">
        <f t="shared" ref="AZ19:AZ23" si="29">IF(AND(AX19&lt;&gt;"",AW19&lt;&gt;""),MAX(ABS(AX19),ABS(AW19))-MIN(ABS(AX19),ABS(AW19)),"")</f>
        <v>372.820000000002</v>
      </c>
      <c r="BA19" s="63" t="str">
        <f t="shared" ref="BA19:BA23" si="30">IF(AND(AV19&lt;&gt;"",AI19&lt;&gt;""),IF(AV19&gt;AI19,"核增",IF(AV19&lt;AI19,"核减","不变")),"")&amp;TEXT(IF(AND(AV19&lt;&gt;"",AI19&lt;&gt;""),MAX(ABS(AV19),ABS(AI19))-MIN(ABS(AV19),ABS(AI19)),""),"0.00")</f>
        <v>核减408.31</v>
      </c>
      <c r="BB19" s="48"/>
      <c r="BC19" s="56"/>
      <c r="BD19" s="48"/>
      <c r="BE19" s="56"/>
      <c r="BF19" s="64"/>
      <c r="BG19" s="48"/>
      <c r="BH19" s="51">
        <v>12209.93</v>
      </c>
      <c r="BI19" s="52">
        <v>11920.83</v>
      </c>
      <c r="BJ19" s="51">
        <v>12026.95</v>
      </c>
      <c r="BK19" s="52">
        <v>11742.26</v>
      </c>
      <c r="BL19" s="40" t="str">
        <f>IF(AND(BK19&lt;&gt;"",BJ19&lt;&gt;""),IF(BK19&gt;BJ19,"核增",IF(BK19&lt;BJ19,"核减","不变")),"")</f>
        <v>核减</v>
      </c>
      <c r="BM19" s="55">
        <f>IF(AND(BK19&lt;&gt;"",BJ19&lt;&gt;""),MAX(ABS(BK19),ABS(BJ19))-MIN(ABS(BK19),ABS(BJ19)),"")</f>
        <v>284.690000000001</v>
      </c>
      <c r="BN19" s="63" t="str">
        <f>IF(AND(BI19&lt;&gt;"",AV19&lt;&gt;""),IF(BI19&gt;AV19,"核增",IF(BI19&lt;AV19,"核减","不变")),"")&amp;TEXT(IF(AND(BI19&lt;&gt;"",AV19&lt;&gt;""),MAX(ABS(BI19),ABS(AV19))-MIN(ABS(BI19),ABS(AV19)),""),"0.00")</f>
        <v>核减404.92</v>
      </c>
      <c r="BO19" s="48"/>
      <c r="BP19" s="56"/>
      <c r="BQ19" s="48"/>
      <c r="BR19" s="56"/>
      <c r="BS19" s="40"/>
      <c r="BT19" s="40"/>
      <c r="BU19" s="51"/>
      <c r="BV19" s="52"/>
      <c r="BW19" s="51"/>
      <c r="BX19" s="52"/>
      <c r="BY19" s="40"/>
      <c r="BZ19" s="55"/>
    </row>
    <row r="20" ht="13.5" customHeight="1" spans="1:78">
      <c r="A20" s="25" t="s">
        <v>108</v>
      </c>
      <c r="B20" s="5" t="s">
        <v>93</v>
      </c>
      <c r="C20" s="6">
        <v>45813</v>
      </c>
      <c r="D20" s="7">
        <v>45826</v>
      </c>
      <c r="E20" s="32" t="str">
        <f t="shared" si="0"/>
        <v>0</v>
      </c>
      <c r="F20" s="30">
        <f ca="1">IF(E20="0",NETWORKDAYS(C20,D20,$CB$3:$CB$19),NETWORKDAYS(C20,'2025整理'!$S$1,$CB$3:$CB$19))</f>
        <v>10</v>
      </c>
      <c r="G20" s="6"/>
      <c r="H20" s="7"/>
      <c r="I20" s="38"/>
      <c r="J20" s="30"/>
      <c r="K20" s="6">
        <v>45999</v>
      </c>
      <c r="L20" s="7">
        <v>46008</v>
      </c>
      <c r="M20" s="40" t="str">
        <f t="shared" si="28"/>
        <v>0</v>
      </c>
      <c r="N20" s="30">
        <f ca="1">IF(M20="0",NETWORKDAYS(K20,L20,$CB$3:$CB$19),NETWORKDAYS(K20,'2025整理'!$S$1,$CB$3:$CB$19))</f>
        <v>8</v>
      </c>
      <c r="O20" s="6"/>
      <c r="P20" s="7"/>
      <c r="Q20" s="38"/>
      <c r="R20" s="30"/>
      <c r="S20" s="6"/>
      <c r="T20" s="7"/>
      <c r="U20" s="38"/>
      <c r="V20" s="30"/>
      <c r="W20" s="6"/>
      <c r="X20" s="7"/>
      <c r="Y20" s="38"/>
      <c r="Z20" s="30"/>
      <c r="AA20" s="6"/>
      <c r="AB20" s="7"/>
      <c r="AC20" s="40"/>
      <c r="AD20" s="30"/>
      <c r="AE20" s="48" t="s">
        <v>90</v>
      </c>
      <c r="AF20" s="47" t="s">
        <v>90</v>
      </c>
      <c r="AG20" s="50" t="s">
        <v>87</v>
      </c>
      <c r="AH20" s="51">
        <v>4515.31</v>
      </c>
      <c r="AI20" s="52">
        <v>4484.99</v>
      </c>
      <c r="AJ20" s="51">
        <v>4438.31</v>
      </c>
      <c r="AK20" s="52">
        <v>4408.51</v>
      </c>
      <c r="AL20" s="40" t="str">
        <f t="shared" si="15"/>
        <v>核减</v>
      </c>
      <c r="AM20" s="40">
        <f t="shared" si="16"/>
        <v>30.3200000000006</v>
      </c>
      <c r="AN20" s="40">
        <f t="shared" si="17"/>
        <v>29.8000000000002</v>
      </c>
      <c r="AO20" s="48"/>
      <c r="AP20" s="56"/>
      <c r="AQ20" s="48"/>
      <c r="AR20" s="56"/>
      <c r="AS20" s="40"/>
      <c r="AT20" s="40"/>
      <c r="AU20" s="51">
        <v>4216.65</v>
      </c>
      <c r="AV20" s="52">
        <v>4133.18</v>
      </c>
      <c r="AW20" s="51">
        <v>4144.77</v>
      </c>
      <c r="AX20" s="52">
        <v>4062.73</v>
      </c>
      <c r="AY20" s="40" t="str">
        <f t="shared" si="18"/>
        <v>核减</v>
      </c>
      <c r="AZ20" s="55">
        <f t="shared" si="29"/>
        <v>82.0400000000004</v>
      </c>
      <c r="BA20" s="63" t="str">
        <f t="shared" si="30"/>
        <v>核减351.81</v>
      </c>
      <c r="BB20" s="48"/>
      <c r="BC20" s="56"/>
      <c r="BD20" s="48"/>
      <c r="BE20" s="56"/>
      <c r="BF20" s="64"/>
      <c r="BG20" s="48"/>
      <c r="BH20" s="51"/>
      <c r="BI20" s="52"/>
      <c r="BJ20" s="51"/>
      <c r="BK20" s="52"/>
      <c r="BL20" s="40"/>
      <c r="BM20" s="55"/>
      <c r="BN20" s="63"/>
      <c r="BO20" s="48"/>
      <c r="BP20" s="56"/>
      <c r="BQ20" s="48"/>
      <c r="BR20" s="56"/>
      <c r="BS20" s="40"/>
      <c r="BT20" s="40"/>
      <c r="BU20" s="51"/>
      <c r="BV20" s="52"/>
      <c r="BW20" s="51"/>
      <c r="BX20" s="52"/>
      <c r="BY20" s="40"/>
      <c r="BZ20" s="55"/>
    </row>
    <row r="21" ht="13.5" customHeight="1" spans="1:78">
      <c r="A21" s="237" t="s">
        <v>109</v>
      </c>
      <c r="B21" s="5" t="s">
        <v>93</v>
      </c>
      <c r="C21" s="6">
        <v>45927</v>
      </c>
      <c r="D21" s="7">
        <v>45941</v>
      </c>
      <c r="E21" s="32" t="str">
        <f t="shared" si="0"/>
        <v>0</v>
      </c>
      <c r="F21" s="30">
        <f ca="1">IF(E21="0",NETWORKDAYS(C21,D21,$CB$3:$CB$19),NETWORKDAYS(C21,'2025整理'!$S$1,$CB$3:$CB$19))</f>
        <v>10</v>
      </c>
      <c r="G21" s="6"/>
      <c r="H21" s="7"/>
      <c r="I21" s="38"/>
      <c r="J21" s="30" t="str">
        <f t="shared" ref="J21:J22" si="31">IF(I21="0",NETWORKDAYS(G21,H21,$EO$3:$EO$11),"")</f>
        <v/>
      </c>
      <c r="K21" s="6">
        <v>45968</v>
      </c>
      <c r="L21" s="7">
        <v>45978</v>
      </c>
      <c r="M21" s="40" t="str">
        <f t="shared" si="28"/>
        <v>0</v>
      </c>
      <c r="N21" s="30">
        <f ca="1">IF(M21="0",NETWORKDAYS(K21,L21,$CB$3:$CB$19),NETWORKDAYS(K21,'2025整理'!$S$1,$CB$3:$CB$19))</f>
        <v>7</v>
      </c>
      <c r="O21" s="6"/>
      <c r="P21" s="7"/>
      <c r="Q21" s="38"/>
      <c r="R21" s="30" t="str">
        <f t="shared" ref="R21:R26" si="32">IF(Q21="0",NETWORKDAYS(O21,P21,$EO$3:$EO$10),"")</f>
        <v/>
      </c>
      <c r="S21" s="6"/>
      <c r="T21" s="7"/>
      <c r="U21" s="38"/>
      <c r="V21" s="30" t="str">
        <f>IF(U21="0",NETWORKDAYS(S21,T21,$EO$3:$EO$11),"")</f>
        <v/>
      </c>
      <c r="W21" s="6"/>
      <c r="X21" s="7"/>
      <c r="Y21" s="38"/>
      <c r="Z21" s="30" t="str">
        <f t="shared" ref="Z21:Z26" si="33">IF(Y21="0",NETWORKDAYS(W21,X21,$EO$3:$EO$11),"")</f>
        <v/>
      </c>
      <c r="AA21" s="6"/>
      <c r="AB21" s="7"/>
      <c r="AC21" s="40"/>
      <c r="AD21" s="30" t="str">
        <f t="shared" ref="AD21:AD26" si="34">IF(AC21="0",NETWORKDAYS(AA21,AB21,$EO$3:$EO$11),"")</f>
        <v/>
      </c>
      <c r="AE21" s="48" t="s">
        <v>90</v>
      </c>
      <c r="AF21" s="47" t="s">
        <v>90</v>
      </c>
      <c r="AG21" s="50" t="s">
        <v>83</v>
      </c>
      <c r="AH21" s="51">
        <v>2069.79</v>
      </c>
      <c r="AI21" s="52">
        <v>2072.09</v>
      </c>
      <c r="AJ21" s="51">
        <v>2050.17</v>
      </c>
      <c r="AK21" s="52">
        <v>2052.45</v>
      </c>
      <c r="AL21" s="40" t="str">
        <f t="shared" si="15"/>
        <v>核增</v>
      </c>
      <c r="AM21" s="40">
        <f t="shared" si="16"/>
        <v>2.30000000000018</v>
      </c>
      <c r="AN21" s="40">
        <f t="shared" si="17"/>
        <v>2.27999999999975</v>
      </c>
      <c r="AO21" s="48"/>
      <c r="AP21" s="56"/>
      <c r="AQ21" s="48"/>
      <c r="AR21" s="56"/>
      <c r="AS21" s="40"/>
      <c r="AT21" s="40"/>
      <c r="AU21" s="51">
        <v>2064.33</v>
      </c>
      <c r="AV21" s="52">
        <v>2001.15</v>
      </c>
      <c r="AW21" s="51">
        <v>2044.82</v>
      </c>
      <c r="AX21" s="52">
        <v>1982.17</v>
      </c>
      <c r="AY21" s="40" t="str">
        <f t="shared" si="18"/>
        <v>核减</v>
      </c>
      <c r="AZ21" s="55">
        <f t="shared" si="29"/>
        <v>62.6499999999999</v>
      </c>
      <c r="BA21" s="63" t="str">
        <f t="shared" si="30"/>
        <v>核减70.94</v>
      </c>
      <c r="BB21" s="48"/>
      <c r="BC21" s="56"/>
      <c r="BD21" s="48"/>
      <c r="BE21" s="56"/>
      <c r="BF21" s="64"/>
      <c r="BG21" s="48"/>
      <c r="BH21" s="51"/>
      <c r="BI21" s="52"/>
      <c r="BJ21" s="51"/>
      <c r="BK21" s="52"/>
      <c r="BL21" s="40"/>
      <c r="BM21" s="55"/>
      <c r="BN21" s="63"/>
      <c r="BO21" s="48"/>
      <c r="BP21" s="56"/>
      <c r="BQ21" s="48"/>
      <c r="BR21" s="56"/>
      <c r="BS21" s="40"/>
      <c r="BT21" s="40"/>
      <c r="BU21" s="51"/>
      <c r="BV21" s="52"/>
      <c r="BW21" s="51"/>
      <c r="BX21" s="52"/>
      <c r="BY21" s="40"/>
      <c r="BZ21" s="63" t="str">
        <f>IF(AND(BX21&lt;&gt;"",BW21&lt;&gt;""),MAX(ABS(BX21),ABS(BW21))-MIN(ABS(BX21),ABS(BW21)),"")</f>
        <v/>
      </c>
    </row>
    <row r="22" ht="13.5" customHeight="1" spans="1:78">
      <c r="A22" s="25" t="s">
        <v>110</v>
      </c>
      <c r="B22" s="5" t="s">
        <v>85</v>
      </c>
      <c r="C22" s="6"/>
      <c r="D22" s="7"/>
      <c r="E22" s="32"/>
      <c r="F22" s="30" t="str">
        <f t="shared" ref="F22:F24" si="35">IF(E22="0",NETWORKDAYS(C22,D22,$EO$3:$EO$11),"")</f>
        <v/>
      </c>
      <c r="G22" s="6"/>
      <c r="H22" s="7"/>
      <c r="I22" s="38"/>
      <c r="J22" s="30" t="str">
        <f t="shared" si="31"/>
        <v/>
      </c>
      <c r="K22" s="6">
        <v>45720</v>
      </c>
      <c r="L22" s="7">
        <v>45748</v>
      </c>
      <c r="M22" s="40" t="str">
        <f t="shared" si="28"/>
        <v>0</v>
      </c>
      <c r="N22" s="30">
        <f>IF(M22="0",NETWORKDAYS(K22,L22,$EO$3:$EO$11),"")</f>
        <v>21</v>
      </c>
      <c r="O22" s="6"/>
      <c r="P22" s="7"/>
      <c r="Q22" s="38"/>
      <c r="R22" s="30" t="str">
        <f t="shared" si="32"/>
        <v/>
      </c>
      <c r="S22" s="6">
        <v>45986</v>
      </c>
      <c r="T22" s="7">
        <v>45992</v>
      </c>
      <c r="U22" s="38" t="str">
        <f>IF(S22&lt;&gt;0,IF(T22&lt;&gt;0,"0","1"),"")</f>
        <v>0</v>
      </c>
      <c r="V22" s="30">
        <f ca="1">IF(U22="0",NETWORKDAYS(S22,T22,$CB$3:$CB$19),NETWORKDAYS(S22,'2025整理'!$S$1,$CB$3:$CB$19))</f>
        <v>5</v>
      </c>
      <c r="W22" s="6"/>
      <c r="X22" s="7"/>
      <c r="Y22" s="38"/>
      <c r="Z22" s="30" t="str">
        <f t="shared" si="33"/>
        <v/>
      </c>
      <c r="AA22" s="6"/>
      <c r="AB22" s="7"/>
      <c r="AC22" s="40"/>
      <c r="AD22" s="30" t="str">
        <f t="shared" si="34"/>
        <v/>
      </c>
      <c r="AE22" s="48" t="s">
        <v>90</v>
      </c>
      <c r="AF22" s="47" t="s">
        <v>90</v>
      </c>
      <c r="AG22" s="50" t="s">
        <v>97</v>
      </c>
      <c r="AH22" s="51"/>
      <c r="AI22" s="52">
        <v>18415.79</v>
      </c>
      <c r="AJ22" s="51"/>
      <c r="AK22" s="52">
        <v>18100.64</v>
      </c>
      <c r="AL22" s="40"/>
      <c r="AM22" s="40"/>
      <c r="AN22" s="40"/>
      <c r="AO22" s="48"/>
      <c r="AP22" s="56"/>
      <c r="AQ22" s="48"/>
      <c r="AR22" s="56"/>
      <c r="AS22" s="40"/>
      <c r="AT22" s="40"/>
      <c r="AU22" s="51">
        <v>17998.21</v>
      </c>
      <c r="AV22" s="52">
        <v>17514.06</v>
      </c>
      <c r="AW22" s="51">
        <v>17720.42</v>
      </c>
      <c r="AX22" s="52">
        <v>17243.52</v>
      </c>
      <c r="AY22" s="40" t="str">
        <f t="shared" si="18"/>
        <v>核减</v>
      </c>
      <c r="AZ22" s="55">
        <f t="shared" si="29"/>
        <v>476.899999999998</v>
      </c>
      <c r="BA22" s="63" t="str">
        <f t="shared" si="30"/>
        <v>核减901.73</v>
      </c>
      <c r="BB22" s="48"/>
      <c r="BC22" s="56"/>
      <c r="BD22" s="48"/>
      <c r="BE22" s="56"/>
      <c r="BF22" s="64"/>
      <c r="BG22" s="48"/>
      <c r="BH22" s="51">
        <v>16543.52</v>
      </c>
      <c r="BI22" s="52">
        <v>16488.34</v>
      </c>
      <c r="BJ22" s="51">
        <v>16288.21</v>
      </c>
      <c r="BK22" s="52">
        <v>16260.78</v>
      </c>
      <c r="BL22" s="40" t="str">
        <f>IF(AND(BK22&lt;&gt;"",BJ22&lt;&gt;""),IF(BK22&gt;BJ22,"核增",IF(BK22&lt;BJ22,"核减","不变")),"")</f>
        <v>核减</v>
      </c>
      <c r="BM22" s="55">
        <f>IF(AND(BK22&lt;&gt;"",BJ22&lt;&gt;""),MAX(ABS(BK22),ABS(BJ22))-MIN(ABS(BK22),ABS(BJ22)),"")</f>
        <v>27.4299999999985</v>
      </c>
      <c r="BN22" s="63" t="str">
        <f>IF(AND(BI22&lt;&gt;"",AV22&lt;&gt;""),IF(BI22&gt;AV22,"核增",IF(BI22&lt;AV22,"核减","不变")),"")&amp;TEXT(IF(AND(BI22&lt;&gt;"",AV22&lt;&gt;""),MAX(ABS(BI22),ABS(AV22))-MIN(ABS(BI22),ABS(AV22)),""),"0.00")</f>
        <v>核减1025.72</v>
      </c>
      <c r="BO22" s="48"/>
      <c r="BP22" s="56"/>
      <c r="BQ22" s="48"/>
      <c r="BR22" s="56"/>
      <c r="BS22" s="40"/>
      <c r="BT22" s="40"/>
      <c r="BU22" s="51"/>
      <c r="BV22" s="52"/>
      <c r="BW22" s="51"/>
      <c r="BX22" s="52"/>
      <c r="BY22" s="40"/>
      <c r="BZ22" s="55"/>
    </row>
    <row r="23" ht="13.5" customHeight="1" spans="1:78">
      <c r="A23" s="25" t="s">
        <v>111</v>
      </c>
      <c r="B23" s="5" t="s">
        <v>81</v>
      </c>
      <c r="C23" s="6"/>
      <c r="D23" s="7"/>
      <c r="E23" s="32"/>
      <c r="F23" s="30" t="str">
        <f t="shared" si="35"/>
        <v/>
      </c>
      <c r="G23" s="236"/>
      <c r="H23" s="7"/>
      <c r="I23" s="38" t="str">
        <f>IF(G23&lt;&gt;0,IF(H23&lt;&gt;0,"0","1"),"")</f>
        <v/>
      </c>
      <c r="J23" s="30"/>
      <c r="K23" s="6">
        <v>45908</v>
      </c>
      <c r="L23" s="7">
        <v>45916</v>
      </c>
      <c r="M23" s="40" t="str">
        <f t="shared" si="28"/>
        <v>0</v>
      </c>
      <c r="N23" s="30">
        <f ca="1">IF(M23="0",NETWORKDAYS(K23,L23,$CB$3:$CB$19),NETWORKDAYS(K23,'2025整理'!$S$1,$CB$3:$CB$19))</f>
        <v>7</v>
      </c>
      <c r="O23" s="6"/>
      <c r="P23" s="7"/>
      <c r="Q23" s="38"/>
      <c r="R23" s="30" t="str">
        <f t="shared" si="32"/>
        <v/>
      </c>
      <c r="S23" s="6"/>
      <c r="T23" s="7"/>
      <c r="U23" s="38"/>
      <c r="V23" s="30" t="str">
        <f t="shared" ref="V23:V24" si="36">IF(U23="0",NETWORKDAYS(S23,T23,$EO$3:$EO$11),"")</f>
        <v/>
      </c>
      <c r="W23" s="6"/>
      <c r="X23" s="7"/>
      <c r="Y23" s="38"/>
      <c r="Z23" s="30" t="str">
        <f t="shared" si="33"/>
        <v/>
      </c>
      <c r="AA23" s="6"/>
      <c r="AB23" s="7"/>
      <c r="AC23" s="40"/>
      <c r="AD23" s="30" t="str">
        <f t="shared" si="34"/>
        <v/>
      </c>
      <c r="AE23" s="48" t="s">
        <v>86</v>
      </c>
      <c r="AF23" s="47" t="s">
        <v>86</v>
      </c>
      <c r="AG23" s="50" t="s">
        <v>87</v>
      </c>
      <c r="AH23" s="51"/>
      <c r="AI23" s="52">
        <v>2230.56</v>
      </c>
      <c r="AJ23" s="51"/>
      <c r="AK23" s="52">
        <v>2203.7</v>
      </c>
      <c r="AL23" s="40"/>
      <c r="AM23" s="40"/>
      <c r="AN23" s="40"/>
      <c r="AO23" s="48"/>
      <c r="AP23" s="56"/>
      <c r="AQ23" s="48"/>
      <c r="AR23" s="56"/>
      <c r="AS23" s="40"/>
      <c r="AT23" s="40"/>
      <c r="AU23" s="51">
        <v>2451.64</v>
      </c>
      <c r="AV23" s="52">
        <v>2335.41</v>
      </c>
      <c r="AW23" s="51">
        <v>2425.39</v>
      </c>
      <c r="AX23" s="52">
        <v>2310.62</v>
      </c>
      <c r="AY23" s="40" t="str">
        <f t="shared" si="18"/>
        <v>核减</v>
      </c>
      <c r="AZ23" s="55">
        <f t="shared" si="29"/>
        <v>114.77</v>
      </c>
      <c r="BA23" s="63" t="str">
        <f t="shared" si="30"/>
        <v>核增104.85</v>
      </c>
      <c r="BB23" s="48"/>
      <c r="BC23" s="56"/>
      <c r="BD23" s="48"/>
      <c r="BE23" s="56"/>
      <c r="BF23" s="64"/>
      <c r="BG23" s="48"/>
      <c r="BH23" s="51"/>
      <c r="BI23" s="52"/>
      <c r="BJ23" s="51"/>
      <c r="BK23" s="52"/>
      <c r="BL23" s="40"/>
      <c r="BM23" s="55"/>
      <c r="BN23" s="63"/>
      <c r="BO23" s="48"/>
      <c r="BP23" s="56"/>
      <c r="BQ23" s="48"/>
      <c r="BR23" s="56"/>
      <c r="BS23" s="40"/>
      <c r="BT23" s="40"/>
      <c r="BU23" s="51"/>
      <c r="BV23" s="52"/>
      <c r="BW23" s="51"/>
      <c r="BX23" s="52"/>
      <c r="BY23" s="40"/>
      <c r="BZ23" s="55"/>
    </row>
    <row r="24" ht="13.5" customHeight="1" spans="1:78">
      <c r="A24" s="25" t="s">
        <v>112</v>
      </c>
      <c r="B24" s="5" t="s">
        <v>85</v>
      </c>
      <c r="C24" s="6"/>
      <c r="D24" s="7"/>
      <c r="E24" s="32"/>
      <c r="F24" s="30" t="str">
        <f t="shared" si="35"/>
        <v/>
      </c>
      <c r="G24" s="6"/>
      <c r="H24" s="7"/>
      <c r="I24" s="38"/>
      <c r="J24" s="30" t="str">
        <f t="shared" ref="J24:J30" si="37">IF(I24="0",NETWORKDAYS(G24,H24,$EO$3:$EO$11),"")</f>
        <v/>
      </c>
      <c r="K24" s="236">
        <v>46052</v>
      </c>
      <c r="L24" s="7"/>
      <c r="M24" s="40" t="str">
        <f t="shared" si="28"/>
        <v>1</v>
      </c>
      <c r="N24" s="30">
        <f ca="1">IF(M24="0",NETWORKDAYS(K24,L24,$CB$3:$CB$19),NETWORKDAYS(K24,'2025整理'!$S$1,$CB$3:$CB$19))</f>
        <v>-25</v>
      </c>
      <c r="O24" s="6"/>
      <c r="P24" s="7"/>
      <c r="Q24" s="38"/>
      <c r="R24" s="30" t="str">
        <f t="shared" si="32"/>
        <v/>
      </c>
      <c r="S24" s="6"/>
      <c r="T24" s="7"/>
      <c r="U24" s="38"/>
      <c r="V24" s="30" t="str">
        <f t="shared" si="36"/>
        <v/>
      </c>
      <c r="W24" s="6"/>
      <c r="X24" s="7"/>
      <c r="Y24" s="38"/>
      <c r="Z24" s="30" t="str">
        <f t="shared" si="33"/>
        <v/>
      </c>
      <c r="AA24" s="6"/>
      <c r="AB24" s="7"/>
      <c r="AC24" s="40"/>
      <c r="AD24" s="30" t="str">
        <f t="shared" si="34"/>
        <v/>
      </c>
      <c r="AE24" s="48" t="s">
        <v>90</v>
      </c>
      <c r="AF24" s="47" t="s">
        <v>90</v>
      </c>
      <c r="AG24" s="50" t="s">
        <v>97</v>
      </c>
      <c r="AH24" s="51"/>
      <c r="AI24" s="52">
        <v>51020.04</v>
      </c>
      <c r="AJ24" s="51"/>
      <c r="AK24" s="52">
        <v>50082.96</v>
      </c>
      <c r="AL24" s="40"/>
      <c r="AM24" s="40"/>
      <c r="AN24" s="40"/>
      <c r="AO24" s="48"/>
      <c r="AP24" s="56"/>
      <c r="AQ24" s="48"/>
      <c r="AR24" s="56"/>
      <c r="AS24" s="40"/>
      <c r="AT24" s="40"/>
      <c r="AU24" s="51"/>
      <c r="AV24" s="52"/>
      <c r="AW24" s="51"/>
      <c r="AX24" s="52"/>
      <c r="AY24" s="40" t="str">
        <f t="shared" si="18"/>
        <v/>
      </c>
      <c r="AZ24" s="55"/>
      <c r="BA24" s="63"/>
      <c r="BB24" s="48"/>
      <c r="BC24" s="56"/>
      <c r="BD24" s="48"/>
      <c r="BE24" s="56"/>
      <c r="BF24" s="64"/>
      <c r="BG24" s="48"/>
      <c r="BH24" s="51"/>
      <c r="BI24" s="52"/>
      <c r="BJ24" s="51"/>
      <c r="BK24" s="52"/>
      <c r="BL24" s="40"/>
      <c r="BM24" s="55"/>
      <c r="BN24" s="63"/>
      <c r="BO24" s="48"/>
      <c r="BP24" s="56"/>
      <c r="BQ24" s="48"/>
      <c r="BR24" s="56"/>
      <c r="BS24" s="40"/>
      <c r="BT24" s="40"/>
      <c r="BU24" s="51"/>
      <c r="BV24" s="52"/>
      <c r="BW24" s="51"/>
      <c r="BX24" s="52"/>
      <c r="BY24" s="40"/>
      <c r="BZ24" s="55" t="str">
        <f t="shared" ref="BZ24:BZ25" si="38">IF(AND(BX24&lt;&gt;"",BW24&lt;&gt;""),MAX(ABS(BX24),ABS(BW24))-MIN(ABS(BX24),ABS(BW24)),"")</f>
        <v/>
      </c>
    </row>
    <row r="25" ht="13.5" customHeight="1" spans="1:78">
      <c r="A25" s="25" t="s">
        <v>113</v>
      </c>
      <c r="B25" s="5" t="s">
        <v>85</v>
      </c>
      <c r="C25" s="6"/>
      <c r="D25" s="7"/>
      <c r="E25" s="32"/>
      <c r="F25" s="30"/>
      <c r="G25" s="6"/>
      <c r="H25" s="7"/>
      <c r="I25" s="38"/>
      <c r="J25" s="30" t="str">
        <f t="shared" si="37"/>
        <v/>
      </c>
      <c r="K25" s="6">
        <v>45642</v>
      </c>
      <c r="L25" s="7">
        <v>45683</v>
      </c>
      <c r="M25" s="40" t="str">
        <f t="shared" si="28"/>
        <v>0</v>
      </c>
      <c r="N25" s="30">
        <f>IF(M25="0",NETWORKDAYS(K25,L25,$EO$3:$EO$11),"")</f>
        <v>30</v>
      </c>
      <c r="O25" s="6"/>
      <c r="P25" s="7"/>
      <c r="Q25" s="38"/>
      <c r="R25" s="30" t="str">
        <f t="shared" si="32"/>
        <v/>
      </c>
      <c r="S25" s="6">
        <v>45818</v>
      </c>
      <c r="T25" s="7">
        <v>45877</v>
      </c>
      <c r="U25" s="38" t="str">
        <f t="shared" ref="U25:U30" si="39">IF(S25&lt;&gt;0,IF(T25&lt;&gt;0,"0","1"),"")</f>
        <v>0</v>
      </c>
      <c r="V25" s="30">
        <f t="shared" ref="V25:V28" si="40">IF(U25="0",NETWORKDAYS(S25,T25,$CB$3:$CB$19),"")</f>
        <v>44</v>
      </c>
      <c r="W25" s="6"/>
      <c r="X25" s="7"/>
      <c r="Y25" s="38"/>
      <c r="Z25" s="30" t="str">
        <f t="shared" si="33"/>
        <v/>
      </c>
      <c r="AA25" s="6"/>
      <c r="AB25" s="7"/>
      <c r="AC25" s="40"/>
      <c r="AD25" s="30" t="str">
        <f t="shared" si="34"/>
        <v/>
      </c>
      <c r="AE25" s="48" t="s">
        <v>82</v>
      </c>
      <c r="AF25" s="47" t="s">
        <v>82</v>
      </c>
      <c r="AG25" s="50" t="s">
        <v>97</v>
      </c>
      <c r="AH25" s="51"/>
      <c r="AI25" s="52">
        <v>28224.01</v>
      </c>
      <c r="AJ25" s="51"/>
      <c r="AK25" s="52">
        <v>27738.41</v>
      </c>
      <c r="AL25" s="40" t="str">
        <f t="shared" ref="AL25:AL26" si="41">IF(AND(AK25&lt;&gt;"",AJ25&lt;&gt;""),IF(AK25&gt;AJ25,"核增",IF(AK25&lt;AJ25,"核减","不变")),"")</f>
        <v/>
      </c>
      <c r="AM25" s="40" t="str">
        <f t="shared" ref="AM25:AM26" si="42">IF(AND(AI25&lt;&gt;"",AH25&lt;&gt;""),MAX(ABS(AI25),ABS(AH25))-MIN(ABS(AI25),ABS(AH25)),"")</f>
        <v/>
      </c>
      <c r="AN25" s="40" t="str">
        <f t="shared" ref="AN25:AN26" si="43">IF(AND(AK25&lt;&gt;"",AJ25&lt;&gt;""),MAX(ABS(AK25),ABS(AJ25))-MIN(ABS(AK25),ABS(AJ25)),"")</f>
        <v/>
      </c>
      <c r="AO25" s="48"/>
      <c r="AP25" s="56"/>
      <c r="AQ25" s="48"/>
      <c r="AR25" s="56"/>
      <c r="AS25" s="40"/>
      <c r="AT25" s="40"/>
      <c r="AU25" s="51">
        <v>32110.29</v>
      </c>
      <c r="AV25" s="52">
        <v>28893.64</v>
      </c>
      <c r="AW25" s="51">
        <v>31612.22</v>
      </c>
      <c r="AX25" s="52">
        <v>28445.25</v>
      </c>
      <c r="AY25" s="40" t="str">
        <f t="shared" si="18"/>
        <v>核减</v>
      </c>
      <c r="AZ25" s="55">
        <f t="shared" ref="AZ25:AZ30" si="44">IF(AND(AX25&lt;&gt;"",AW25&lt;&gt;""),MAX(ABS(AX25),ABS(AW25))-MIN(ABS(AX25),ABS(AW25)),"")</f>
        <v>3166.97</v>
      </c>
      <c r="BA25" s="63" t="str">
        <f t="shared" ref="BA25:BA30" si="45">IF(AND(AV25&lt;&gt;"",AI25&lt;&gt;""),IF(AV25&gt;AI25,"核增",IF(AV25&lt;AI25,"核减","不变")),"")&amp;TEXT(IF(AND(AV25&lt;&gt;"",AI25&lt;&gt;""),MAX(ABS(AV25),ABS(AI25))-MIN(ABS(AV25),ABS(AI25)),""),"0.00")</f>
        <v>核增669.63</v>
      </c>
      <c r="BB25" s="48"/>
      <c r="BC25" s="56"/>
      <c r="BD25" s="48"/>
      <c r="BE25" s="56"/>
      <c r="BF25" s="64"/>
      <c r="BG25" s="48"/>
      <c r="BH25" s="51">
        <v>27329.2</v>
      </c>
      <c r="BI25" s="52">
        <v>26725.07</v>
      </c>
      <c r="BJ25" s="51">
        <v>26905.22</v>
      </c>
      <c r="BK25" s="52">
        <v>26310.18</v>
      </c>
      <c r="BL25" s="40" t="str">
        <f t="shared" ref="BL25:BL30" si="46">IF(AND(BK25&lt;&gt;"",BJ25&lt;&gt;""),IF(BK25&gt;BJ25,"核增",IF(BK25&lt;BJ25,"核减","不变")),"")</f>
        <v>核减</v>
      </c>
      <c r="BM25" s="55">
        <f t="shared" ref="BM25:BM30" si="47">IF(AND(BK25&lt;&gt;"",BJ25&lt;&gt;""),MAX(ABS(BK25),ABS(BJ25))-MIN(ABS(BK25),ABS(BJ25)),"")</f>
        <v>595.040000000001</v>
      </c>
      <c r="BN25" s="63" t="str">
        <f t="shared" ref="BN25:BN30" si="48">IF(AND(BI25&lt;&gt;"",AV25&lt;&gt;""),IF(BI25&gt;AV25,"核增",IF(BI25&lt;AV25,"核减","不变")),"")&amp;TEXT(IF(AND(BI25&lt;&gt;"",AV25&lt;&gt;""),MAX(ABS(BI25),ABS(AV25))-MIN(ABS(BI25),ABS(AV25)),""),"0.00")</f>
        <v>核减2168.57</v>
      </c>
      <c r="BO25" s="48"/>
      <c r="BP25" s="56"/>
      <c r="BQ25" s="48"/>
      <c r="BR25" s="56"/>
      <c r="BS25" s="40"/>
      <c r="BT25" s="40"/>
      <c r="BU25" s="51"/>
      <c r="BV25" s="52"/>
      <c r="BW25" s="51"/>
      <c r="BX25" s="52"/>
      <c r="BY25" s="40"/>
      <c r="BZ25" s="55" t="str">
        <f t="shared" si="38"/>
        <v/>
      </c>
    </row>
    <row r="26" ht="13.5" customHeight="1" spans="1:78">
      <c r="A26" s="25" t="s">
        <v>114</v>
      </c>
      <c r="B26" s="5" t="s">
        <v>85</v>
      </c>
      <c r="C26" s="6"/>
      <c r="D26" s="7"/>
      <c r="E26" s="32"/>
      <c r="F26" s="30"/>
      <c r="G26" s="6"/>
      <c r="H26" s="7"/>
      <c r="I26" s="38"/>
      <c r="J26" s="30" t="str">
        <f t="shared" si="37"/>
        <v/>
      </c>
      <c r="K26" s="6">
        <v>45650</v>
      </c>
      <c r="L26" s="7">
        <v>45667</v>
      </c>
      <c r="M26" s="40" t="str">
        <f t="shared" si="28"/>
        <v>0</v>
      </c>
      <c r="N26" s="30">
        <f t="shared" ref="N26:N27" si="49">IF(M26="0",NETWORKDAYS(K26,L26,$CB$3:$CB$19),"")</f>
        <v>13</v>
      </c>
      <c r="O26" s="6"/>
      <c r="P26" s="7"/>
      <c r="Q26" s="38"/>
      <c r="R26" s="30" t="str">
        <f t="shared" si="32"/>
        <v/>
      </c>
      <c r="S26" s="6">
        <v>45806</v>
      </c>
      <c r="T26" s="7">
        <v>45825</v>
      </c>
      <c r="U26" s="38" t="str">
        <f t="shared" si="39"/>
        <v>0</v>
      </c>
      <c r="V26" s="30">
        <f t="shared" si="40"/>
        <v>14</v>
      </c>
      <c r="W26" s="6"/>
      <c r="X26" s="7"/>
      <c r="Y26" s="38"/>
      <c r="Z26" s="30" t="str">
        <f t="shared" si="33"/>
        <v/>
      </c>
      <c r="AA26" s="6"/>
      <c r="AB26" s="7"/>
      <c r="AC26" s="40"/>
      <c r="AD26" s="30" t="str">
        <f t="shared" si="34"/>
        <v/>
      </c>
      <c r="AE26" s="48" t="s">
        <v>86</v>
      </c>
      <c r="AF26" s="47" t="s">
        <v>86</v>
      </c>
      <c r="AG26" s="50" t="s">
        <v>91</v>
      </c>
      <c r="AH26" s="51"/>
      <c r="AI26" s="52">
        <v>4150.12</v>
      </c>
      <c r="AJ26" s="51"/>
      <c r="AK26" s="52">
        <v>4078.88</v>
      </c>
      <c r="AL26" s="40" t="str">
        <f t="shared" si="41"/>
        <v/>
      </c>
      <c r="AM26" s="40" t="str">
        <f t="shared" si="42"/>
        <v/>
      </c>
      <c r="AN26" s="40" t="str">
        <f t="shared" si="43"/>
        <v/>
      </c>
      <c r="AO26" s="48"/>
      <c r="AP26" s="56"/>
      <c r="AQ26" s="48"/>
      <c r="AR26" s="56"/>
      <c r="AS26" s="40"/>
      <c r="AT26" s="40"/>
      <c r="AU26" s="51">
        <v>4138.69</v>
      </c>
      <c r="AV26" s="52">
        <v>4123.48</v>
      </c>
      <c r="AW26" s="51">
        <v>4074.64</v>
      </c>
      <c r="AX26" s="52">
        <v>4059.67</v>
      </c>
      <c r="AY26" s="40" t="str">
        <f t="shared" si="18"/>
        <v>核减</v>
      </c>
      <c r="AZ26" s="55">
        <f t="shared" si="44"/>
        <v>14.9699999999998</v>
      </c>
      <c r="BA26" s="63" t="str">
        <f t="shared" si="45"/>
        <v>核减26.64</v>
      </c>
      <c r="BB26" s="48"/>
      <c r="BC26" s="56"/>
      <c r="BD26" s="48"/>
      <c r="BE26" s="56"/>
      <c r="BF26" s="64"/>
      <c r="BG26" s="48"/>
      <c r="BH26" s="51">
        <v>3543.86</v>
      </c>
      <c r="BI26" s="52">
        <v>3748.44</v>
      </c>
      <c r="BJ26" s="51">
        <v>3483.03</v>
      </c>
      <c r="BK26" s="52">
        <v>3684.1</v>
      </c>
      <c r="BL26" s="40" t="str">
        <f t="shared" si="46"/>
        <v>核增</v>
      </c>
      <c r="BM26" s="55">
        <f t="shared" si="47"/>
        <v>201.07</v>
      </c>
      <c r="BN26" s="63" t="str">
        <f t="shared" si="48"/>
        <v>核减375.04</v>
      </c>
      <c r="BO26" s="48"/>
      <c r="BP26" s="56"/>
      <c r="BQ26" s="48"/>
      <c r="BR26" s="56"/>
      <c r="BS26" s="40"/>
      <c r="BT26" s="40"/>
      <c r="BU26" s="51"/>
      <c r="BV26" s="52"/>
      <c r="BW26" s="51"/>
      <c r="BX26" s="52"/>
      <c r="BY26" s="40"/>
      <c r="BZ26" s="55"/>
    </row>
    <row r="27" ht="13.5" customHeight="1" spans="1:78">
      <c r="A27" s="25" t="s">
        <v>115</v>
      </c>
      <c r="B27" s="5" t="s">
        <v>85</v>
      </c>
      <c r="C27" s="6"/>
      <c r="D27" s="7"/>
      <c r="E27" s="32"/>
      <c r="F27" s="30" t="str">
        <f>IF(E27="0",NETWORKDAYS(C27,D27,$EO$3:$EO$11),"")</f>
        <v/>
      </c>
      <c r="G27" s="6"/>
      <c r="H27" s="7"/>
      <c r="I27" s="38"/>
      <c r="J27" s="30" t="str">
        <f t="shared" si="37"/>
        <v/>
      </c>
      <c r="K27" s="6">
        <v>45651</v>
      </c>
      <c r="L27" s="7">
        <v>45671</v>
      </c>
      <c r="M27" s="40" t="str">
        <f t="shared" si="28"/>
        <v>0</v>
      </c>
      <c r="N27" s="30">
        <f t="shared" si="49"/>
        <v>14</v>
      </c>
      <c r="O27" s="6"/>
      <c r="P27" s="7"/>
      <c r="Q27" s="38"/>
      <c r="R27" s="30"/>
      <c r="S27" s="6">
        <v>45894</v>
      </c>
      <c r="T27" s="7">
        <v>45915</v>
      </c>
      <c r="U27" s="38" t="str">
        <f t="shared" si="39"/>
        <v>0</v>
      </c>
      <c r="V27" s="30">
        <f t="shared" si="40"/>
        <v>16</v>
      </c>
      <c r="W27" s="6"/>
      <c r="X27" s="7"/>
      <c r="Y27" s="38"/>
      <c r="Z27" s="30"/>
      <c r="AA27" s="6"/>
      <c r="AB27" s="7"/>
      <c r="AC27" s="40"/>
      <c r="AD27" s="30"/>
      <c r="AE27" s="48" t="s">
        <v>90</v>
      </c>
      <c r="AF27" s="47" t="s">
        <v>90</v>
      </c>
      <c r="AG27" s="50" t="s">
        <v>97</v>
      </c>
      <c r="AH27" s="51"/>
      <c r="AI27" s="52">
        <v>11651.01</v>
      </c>
      <c r="AJ27" s="51"/>
      <c r="AK27" s="52">
        <v>11451.05</v>
      </c>
      <c r="AL27" s="40"/>
      <c r="AM27" s="40"/>
      <c r="AN27" s="40"/>
      <c r="AO27" s="48"/>
      <c r="AP27" s="56"/>
      <c r="AQ27" s="48"/>
      <c r="AR27" s="56"/>
      <c r="AS27" s="40"/>
      <c r="AT27" s="40"/>
      <c r="AU27" s="51">
        <v>10347.51</v>
      </c>
      <c r="AV27" s="52">
        <v>10503.94</v>
      </c>
      <c r="AW27" s="51">
        <v>10225.43</v>
      </c>
      <c r="AX27" s="52">
        <v>10362.78</v>
      </c>
      <c r="AY27" s="40" t="str">
        <f t="shared" si="18"/>
        <v>核增</v>
      </c>
      <c r="AZ27" s="55">
        <f t="shared" si="44"/>
        <v>137.35</v>
      </c>
      <c r="BA27" s="63" t="str">
        <f t="shared" si="45"/>
        <v>核减1147.07</v>
      </c>
      <c r="BB27" s="48"/>
      <c r="BC27" s="56"/>
      <c r="BD27" s="48"/>
      <c r="BE27" s="56"/>
      <c r="BF27" s="64"/>
      <c r="BG27" s="48"/>
      <c r="BH27" s="51">
        <v>9277.03</v>
      </c>
      <c r="BI27" s="52">
        <v>9608.2</v>
      </c>
      <c r="BJ27" s="51">
        <v>9131.88</v>
      </c>
      <c r="BK27" s="52">
        <v>9459.51</v>
      </c>
      <c r="BL27" s="40" t="str">
        <f t="shared" si="46"/>
        <v>核增</v>
      </c>
      <c r="BM27" s="55">
        <f t="shared" si="47"/>
        <v>327.630000000001</v>
      </c>
      <c r="BN27" s="63" t="str">
        <f t="shared" si="48"/>
        <v>核减895.74</v>
      </c>
      <c r="BO27" s="48"/>
      <c r="BP27" s="56"/>
      <c r="BQ27" s="48"/>
      <c r="BR27" s="56"/>
      <c r="BS27" s="40"/>
      <c r="BT27" s="40"/>
      <c r="BU27" s="51"/>
      <c r="BV27" s="52"/>
      <c r="BW27" s="51"/>
      <c r="BX27" s="52"/>
      <c r="BY27" s="40"/>
      <c r="BZ27" s="55"/>
    </row>
    <row r="28" ht="13.5" customHeight="1" spans="1:78">
      <c r="A28" s="25" t="s">
        <v>116</v>
      </c>
      <c r="B28" s="5" t="s">
        <v>93</v>
      </c>
      <c r="C28" s="6"/>
      <c r="D28" s="7"/>
      <c r="E28" s="32"/>
      <c r="F28" s="30"/>
      <c r="G28" s="6"/>
      <c r="H28" s="7"/>
      <c r="I28" s="38" t="str">
        <f>IF(G28&lt;&gt;0,IF(H28&lt;&gt;0,"0","1"),"")</f>
        <v/>
      </c>
      <c r="J28" s="30" t="str">
        <f t="shared" si="37"/>
        <v/>
      </c>
      <c r="K28" s="6">
        <v>45656</v>
      </c>
      <c r="L28" s="7">
        <v>45683</v>
      </c>
      <c r="M28" s="40" t="str">
        <f t="shared" si="28"/>
        <v>0</v>
      </c>
      <c r="N28" s="30">
        <f t="shared" ref="N28:N30" si="50">IF(M28="0",NETWORKDAYS(K28,L28,$EO$3:$EO$11),"")</f>
        <v>20</v>
      </c>
      <c r="O28" s="6"/>
      <c r="P28" s="7"/>
      <c r="Q28" s="38" t="str">
        <f>IF(O28&lt;&gt;0,IF(P28&lt;&gt;0,"0","1"),"")</f>
        <v/>
      </c>
      <c r="R28" s="30" t="str">
        <f t="shared" ref="R28:R31" si="51">IF(Q28="0",NETWORKDAYS(O28,P28,$EO$3:$EO$10),"")</f>
        <v/>
      </c>
      <c r="S28" s="16">
        <v>45827</v>
      </c>
      <c r="T28" s="238">
        <v>45863</v>
      </c>
      <c r="U28" s="38" t="str">
        <f t="shared" si="39"/>
        <v>0</v>
      </c>
      <c r="V28" s="30">
        <f t="shared" si="40"/>
        <v>27</v>
      </c>
      <c r="W28" s="6"/>
      <c r="X28" s="7"/>
      <c r="Y28" s="38" t="str">
        <f>IF(W28&lt;&gt;0,IF(X28&lt;&gt;0,"0","1"),"")</f>
        <v/>
      </c>
      <c r="Z28" s="30" t="str">
        <f t="shared" ref="Z28:Z31" si="52">IF(Y28="0",NETWORKDAYS(W28,X28,$EO$3:$EO$11),"")</f>
        <v/>
      </c>
      <c r="AA28" s="6"/>
      <c r="AB28" s="7"/>
      <c r="AC28" s="40" t="str">
        <f>IF(AA28&lt;&gt;0,IF(AB28&lt;&gt;0,"0","1"),"")</f>
        <v/>
      </c>
      <c r="AD28" s="30" t="str">
        <f t="shared" ref="AD28:AD31" si="53">IF(AC28="0",NETWORKDAYS(AA28,AB28,$EO$3:$EO$11),"")</f>
        <v/>
      </c>
      <c r="AE28" s="48" t="s">
        <v>87</v>
      </c>
      <c r="AF28" s="47" t="s">
        <v>91</v>
      </c>
      <c r="AG28" s="50" t="s">
        <v>87</v>
      </c>
      <c r="AH28" s="51"/>
      <c r="AI28" s="52">
        <v>4700.57</v>
      </c>
      <c r="AJ28" s="51"/>
      <c r="AK28" s="52">
        <v>4619.88</v>
      </c>
      <c r="AL28" s="40" t="str">
        <f>IF(AND(AK28&lt;&gt;"",AJ28&lt;&gt;""),IF(AK28&gt;AJ28,"核增",IF(AK28&lt;AJ28,"核减","不变")),"")</f>
        <v/>
      </c>
      <c r="AM28" s="40" t="str">
        <f>IF(AND(AI28&lt;&gt;"",AH28&lt;&gt;""),MAX(ABS(AI28),ABS(AH28))-MIN(ABS(AI28),ABS(AH28)),"")</f>
        <v/>
      </c>
      <c r="AN28" s="40" t="str">
        <f>IF(AND(AK28&lt;&gt;"",AJ28&lt;&gt;""),MAX(ABS(AK28),ABS(AJ28))-MIN(ABS(AK28),ABS(AJ28)),"")</f>
        <v/>
      </c>
      <c r="AO28" s="48"/>
      <c r="AP28" s="56"/>
      <c r="AQ28" s="48"/>
      <c r="AR28" s="56"/>
      <c r="AS28" s="40" t="str">
        <f>IF(AND(AR28&lt;&gt;"",AQ28&lt;&gt;""),IF(AR28&gt;AQ28,"核增",IF(AR28&lt;AQ28,"核减","不变")),"")</f>
        <v/>
      </c>
      <c r="AT28" s="40" t="str">
        <f>IF(AND(AR28&lt;&gt;"",AQ28&lt;&gt;""),MAX(ABS(AR28),ABS(AQ28))-MIN(ABS(AR28),ABS(AQ28)),"")</f>
        <v/>
      </c>
      <c r="AU28" s="51">
        <v>4462.28</v>
      </c>
      <c r="AV28" s="52">
        <v>4550.3</v>
      </c>
      <c r="AW28" s="51">
        <v>4393.23</v>
      </c>
      <c r="AX28" s="52">
        <v>4479.88</v>
      </c>
      <c r="AY28" s="40" t="str">
        <f t="shared" si="18"/>
        <v>核增</v>
      </c>
      <c r="AZ28" s="55">
        <f t="shared" si="44"/>
        <v>86.6500000000005</v>
      </c>
      <c r="BA28" s="63" t="str">
        <f t="shared" si="45"/>
        <v>核减150.27</v>
      </c>
      <c r="BB28" s="48"/>
      <c r="BC28" s="56"/>
      <c r="BD28" s="48"/>
      <c r="BE28" s="56"/>
      <c r="BF28" s="64" t="str">
        <f>IF(AND(BE28&lt;&gt;"",BD28&lt;&gt;""),IF(BE28&gt;BD28,"核增",IF(BE28&lt;BD28,"核减","不变")),"")</f>
        <v/>
      </c>
      <c r="BG28" s="48"/>
      <c r="BH28" s="51">
        <v>4109.42</v>
      </c>
      <c r="BI28" s="52">
        <v>4291.37</v>
      </c>
      <c r="BJ28" s="51">
        <v>4045.76</v>
      </c>
      <c r="BK28" s="52">
        <v>4224.96</v>
      </c>
      <c r="BL28" s="40" t="str">
        <f t="shared" si="46"/>
        <v>核增</v>
      </c>
      <c r="BM28" s="55">
        <f t="shared" si="47"/>
        <v>179.2</v>
      </c>
      <c r="BN28" s="63" t="str">
        <f t="shared" si="48"/>
        <v>核减258.93</v>
      </c>
      <c r="BO28" s="48"/>
      <c r="BP28" s="56"/>
      <c r="BQ28" s="48"/>
      <c r="BR28" s="56"/>
      <c r="BS28" s="40" t="str">
        <f>IF(AND(BR28&lt;&gt;"",BQ28&lt;&gt;""),IF(BR28&gt;BQ28,"核增",IF(BR28&lt;BQ28,"核减","不变")),"")</f>
        <v/>
      </c>
      <c r="BT28" s="40" t="str">
        <f>IF(AND(BR28&lt;&gt;"",BQ28&lt;&gt;""),MAX(ABS(BR28),ABS(BQ28))-MIN(ABS(BR28),ABS(BQ28)),"")</f>
        <v/>
      </c>
      <c r="BU28" s="51"/>
      <c r="BV28" s="52"/>
      <c r="BW28" s="51"/>
      <c r="BX28" s="52"/>
      <c r="BY28" s="40" t="str">
        <f>IF(AND(BX28&lt;&gt;"",BW28&lt;&gt;""),IF(BX28&gt;BW28,"核增",IF(BX28&lt;BW28,"核减","不变")),"")</f>
        <v/>
      </c>
      <c r="BZ28" s="55" t="str">
        <f t="shared" ref="BZ28:BZ29" si="54">IF(AND(BX28&lt;&gt;"",BW28&lt;&gt;""),MAX(ABS(BX28),ABS(BW28))-MIN(ABS(BX28),ABS(BW28)),"")</f>
        <v/>
      </c>
    </row>
    <row r="29" ht="13.5" customHeight="1" spans="1:78">
      <c r="A29" s="25" t="s">
        <v>117</v>
      </c>
      <c r="B29" s="5" t="s">
        <v>81</v>
      </c>
      <c r="C29" s="6"/>
      <c r="D29" s="7"/>
      <c r="E29" s="32"/>
      <c r="F29" s="30" t="str">
        <f>IF(E29="0",NETWORKDAYS(C29,D29,$EO$3:$EO$11),"")</f>
        <v/>
      </c>
      <c r="G29" s="6"/>
      <c r="H29" s="7"/>
      <c r="I29" s="38"/>
      <c r="J29" s="30" t="str">
        <f t="shared" si="37"/>
        <v/>
      </c>
      <c r="K29" s="6">
        <v>45712</v>
      </c>
      <c r="L29" s="7">
        <v>45720</v>
      </c>
      <c r="M29" s="40" t="str">
        <f t="shared" si="28"/>
        <v>0</v>
      </c>
      <c r="N29" s="30">
        <f t="shared" si="50"/>
        <v>7</v>
      </c>
      <c r="O29" s="6"/>
      <c r="P29" s="7"/>
      <c r="Q29" s="38"/>
      <c r="R29" s="30" t="str">
        <f t="shared" si="51"/>
        <v/>
      </c>
      <c r="S29" s="6">
        <v>45877</v>
      </c>
      <c r="T29" s="7">
        <v>45888</v>
      </c>
      <c r="U29" s="38" t="str">
        <f t="shared" si="39"/>
        <v>0</v>
      </c>
      <c r="V29" s="30">
        <f ca="1">IF(U29="0",NETWORKDAYS(S29,T29,$CB$3:$CB$19),NETWORKDAYS(S29,'2025整理'!$S$1,$CB$3:$CB$19))</f>
        <v>8</v>
      </c>
      <c r="W29" s="6"/>
      <c r="X29" s="7"/>
      <c r="Y29" s="38"/>
      <c r="Z29" s="30" t="str">
        <f t="shared" si="52"/>
        <v/>
      </c>
      <c r="AA29" s="6"/>
      <c r="AB29" s="7"/>
      <c r="AC29" s="40"/>
      <c r="AD29" s="30" t="str">
        <f t="shared" si="53"/>
        <v/>
      </c>
      <c r="AE29" s="48" t="s">
        <v>86</v>
      </c>
      <c r="AF29" s="47" t="s">
        <v>86</v>
      </c>
      <c r="AG29" s="50" t="s">
        <v>97</v>
      </c>
      <c r="AH29" s="51"/>
      <c r="AI29" s="52">
        <v>9318.27</v>
      </c>
      <c r="AJ29" s="51"/>
      <c r="AK29" s="52">
        <v>9159.17</v>
      </c>
      <c r="AL29" s="40"/>
      <c r="AM29" s="40"/>
      <c r="AN29" s="40"/>
      <c r="AO29" s="48"/>
      <c r="AP29" s="56"/>
      <c r="AQ29" s="48"/>
      <c r="AR29" s="56"/>
      <c r="AS29" s="40"/>
      <c r="AT29" s="40"/>
      <c r="AU29" s="51">
        <v>8789.4</v>
      </c>
      <c r="AV29" s="52">
        <v>9068.62</v>
      </c>
      <c r="AW29" s="51">
        <v>8654.04</v>
      </c>
      <c r="AX29" s="52">
        <v>8928.98</v>
      </c>
      <c r="AY29" s="40" t="str">
        <f t="shared" si="18"/>
        <v>核增</v>
      </c>
      <c r="AZ29" s="55">
        <f t="shared" si="44"/>
        <v>274.939999999999</v>
      </c>
      <c r="BA29" s="63" t="str">
        <f t="shared" si="45"/>
        <v>核减249.65</v>
      </c>
      <c r="BB29" s="48"/>
      <c r="BC29" s="56"/>
      <c r="BD29" s="48"/>
      <c r="BE29" s="56"/>
      <c r="BF29" s="64"/>
      <c r="BG29" s="48"/>
      <c r="BH29" s="51">
        <v>9060.94</v>
      </c>
      <c r="BI29" s="52">
        <v>9051.49</v>
      </c>
      <c r="BJ29" s="51">
        <v>8921.61</v>
      </c>
      <c r="BK29" s="52">
        <v>8912.25</v>
      </c>
      <c r="BL29" s="40" t="str">
        <f t="shared" si="46"/>
        <v>核减</v>
      </c>
      <c r="BM29" s="55">
        <f t="shared" si="47"/>
        <v>9.36000000000058</v>
      </c>
      <c r="BN29" s="63" t="str">
        <f t="shared" si="48"/>
        <v>核减17.13</v>
      </c>
      <c r="BO29" s="48"/>
      <c r="BP29" s="56"/>
      <c r="BQ29" s="48"/>
      <c r="BR29" s="56"/>
      <c r="BS29" s="40"/>
      <c r="BT29" s="40"/>
      <c r="BU29" s="51"/>
      <c r="BV29" s="52"/>
      <c r="BW29" s="51"/>
      <c r="BX29" s="52"/>
      <c r="BY29" s="40"/>
      <c r="BZ29" s="55" t="str">
        <f t="shared" si="54"/>
        <v/>
      </c>
    </row>
    <row r="30" ht="13.5" customHeight="1" spans="1:78">
      <c r="A30" s="25" t="s">
        <v>118</v>
      </c>
      <c r="B30" s="5" t="s">
        <v>93</v>
      </c>
      <c r="C30" s="6"/>
      <c r="D30" s="7"/>
      <c r="E30" s="32"/>
      <c r="F30" s="30"/>
      <c r="G30" s="6"/>
      <c r="H30" s="7"/>
      <c r="I30" s="38"/>
      <c r="J30" s="30" t="str">
        <f t="shared" si="37"/>
        <v/>
      </c>
      <c r="K30" s="16">
        <v>45776</v>
      </c>
      <c r="L30" s="7">
        <v>45777</v>
      </c>
      <c r="M30" s="40" t="str">
        <f t="shared" si="28"/>
        <v>0</v>
      </c>
      <c r="N30" s="30">
        <f t="shared" si="50"/>
        <v>2</v>
      </c>
      <c r="O30" s="6"/>
      <c r="P30" s="7"/>
      <c r="Q30" s="38"/>
      <c r="R30" s="30" t="str">
        <f t="shared" si="51"/>
        <v/>
      </c>
      <c r="S30" s="6">
        <v>46017</v>
      </c>
      <c r="T30" s="7"/>
      <c r="U30" s="38" t="str">
        <f t="shared" si="39"/>
        <v>1</v>
      </c>
      <c r="V30" s="30">
        <f ca="1">IF(U30="0",NETWORKDAYS(S30,T30,$CB$3:$CB$19),NETWORKDAYS(S30,'2025整理'!$S$1,$CB$3:$CB$19))</f>
        <v>2</v>
      </c>
      <c r="W30" s="6"/>
      <c r="X30" s="7"/>
      <c r="Y30" s="38"/>
      <c r="Z30" s="30" t="str">
        <f t="shared" si="52"/>
        <v/>
      </c>
      <c r="AA30" s="6"/>
      <c r="AB30" s="7"/>
      <c r="AC30" s="40"/>
      <c r="AD30" s="30" t="str">
        <f t="shared" si="53"/>
        <v/>
      </c>
      <c r="AE30" s="46" t="s">
        <v>87</v>
      </c>
      <c r="AF30" s="49" t="s">
        <v>90</v>
      </c>
      <c r="AG30" s="50" t="s">
        <v>87</v>
      </c>
      <c r="AH30" s="51"/>
      <c r="AI30" s="52">
        <v>11930.84</v>
      </c>
      <c r="AJ30" s="51"/>
      <c r="AK30" s="52">
        <v>11727.53</v>
      </c>
      <c r="AL30" s="40" t="str">
        <f t="shared" ref="AL30:AL31" si="55">IF(AND(AK30&lt;&gt;"",AJ30&lt;&gt;""),IF(AK30&gt;AJ30,"核增",IF(AK30&lt;AJ30,"核减","不变")),"")</f>
        <v/>
      </c>
      <c r="AM30" s="40" t="str">
        <f t="shared" ref="AM30:AM31" si="56">IF(AND(AI30&lt;&gt;"",AH30&lt;&gt;""),MAX(ABS(AI30),ABS(AH30))-MIN(ABS(AI30),ABS(AH30)),"")</f>
        <v/>
      </c>
      <c r="AN30" s="40" t="str">
        <f t="shared" ref="AN30:AN31" si="57">IF(AND(AK30&lt;&gt;"",AJ30&lt;&gt;""),MAX(ABS(AK30),ABS(AJ30))-MIN(ABS(AK30),ABS(AJ30)),"")</f>
        <v/>
      </c>
      <c r="AO30" s="48"/>
      <c r="AP30" s="56"/>
      <c r="AQ30" s="48"/>
      <c r="AR30" s="56"/>
      <c r="AS30" s="40" t="str">
        <f>IF(AND(AR30&lt;&gt;"",AQ30&lt;&gt;""),IF(AR30&gt;AQ30,"核增",IF(AR30&lt;AQ30,"核减","不变")),"")</f>
        <v/>
      </c>
      <c r="AT30" s="40" t="str">
        <f>IF(AND(AR30&lt;&gt;"",AQ30&lt;&gt;""),MAX(ABS(AR30),ABS(AQ30))-MIN(ABS(AR30),ABS(AQ30)),"")</f>
        <v/>
      </c>
      <c r="AU30" s="51">
        <v>12199.39</v>
      </c>
      <c r="AV30" s="52">
        <v>12454.12</v>
      </c>
      <c r="AW30" s="51">
        <v>12012.58</v>
      </c>
      <c r="AX30" s="52">
        <v>12262.73</v>
      </c>
      <c r="AY30" s="40" t="str">
        <f t="shared" si="18"/>
        <v>核增</v>
      </c>
      <c r="AZ30" s="55">
        <f t="shared" si="44"/>
        <v>250.15</v>
      </c>
      <c r="BA30" s="63" t="str">
        <f t="shared" si="45"/>
        <v>核增523.28</v>
      </c>
      <c r="BB30" s="48"/>
      <c r="BC30" s="56"/>
      <c r="BD30" s="48"/>
      <c r="BE30" s="56"/>
      <c r="BF30" s="64" t="str">
        <f>IF(AND(BE30&lt;&gt;"",BD30&lt;&gt;""),IF(BE30&gt;BD30,"核增",IF(BE30&lt;BD30,"核减","不变")),"")</f>
        <v/>
      </c>
      <c r="BG30" s="48"/>
      <c r="BH30" s="51"/>
      <c r="BI30" s="52"/>
      <c r="BJ30" s="51"/>
      <c r="BK30" s="52"/>
      <c r="BL30" s="40" t="str">
        <f t="shared" si="46"/>
        <v/>
      </c>
      <c r="BM30" s="55" t="str">
        <f t="shared" si="47"/>
        <v/>
      </c>
      <c r="BN30" s="63" t="str">
        <f t="shared" si="48"/>
        <v/>
      </c>
      <c r="BO30" s="48"/>
      <c r="BP30" s="56"/>
      <c r="BQ30" s="48"/>
      <c r="BR30" s="56"/>
      <c r="BS30" s="40" t="str">
        <f>IF(AND(BR30&lt;&gt;"",BQ30&lt;&gt;""),IF(BR30&gt;BQ30,"核增",IF(BR30&lt;BQ30,"核减","不变")),"")</f>
        <v/>
      </c>
      <c r="BT30" s="40" t="str">
        <f>IF(AND(BR30&lt;&gt;"",BQ30&lt;&gt;""),MAX(ABS(BR30),ABS(BQ30))-MIN(ABS(BR30),ABS(BQ30)),"")</f>
        <v/>
      </c>
      <c r="BU30" s="51"/>
      <c r="BV30" s="52"/>
      <c r="BW30" s="51"/>
      <c r="BX30" s="52"/>
      <c r="BY30" s="40" t="str">
        <f>IF(AND(BX30&lt;&gt;"",BW30&lt;&gt;""),IF(BX30&gt;BW30,"核增",IF(BX30&lt;BW30,"核减","不变")),"")</f>
        <v/>
      </c>
      <c r="BZ30" s="55"/>
    </row>
    <row r="31" ht="13.5" customHeight="1" spans="1:78">
      <c r="A31" s="25" t="s">
        <v>119</v>
      </c>
      <c r="B31" s="5" t="s">
        <v>85</v>
      </c>
      <c r="C31" s="6">
        <v>45877</v>
      </c>
      <c r="D31" s="7">
        <v>45916</v>
      </c>
      <c r="E31" s="32" t="str">
        <f>IF(C31&lt;&gt;0,IF(D31&lt;&gt;0,"0","1"),"")</f>
        <v>0</v>
      </c>
      <c r="F31" s="30">
        <f ca="1">IF(E31="0",NETWORKDAYS(C31,D31,$CB$3:$CB$19),NETWORKDAYS(C31,'2025整理'!$S$1,$CB$3:$CB$19))</f>
        <v>28</v>
      </c>
      <c r="G31" s="6"/>
      <c r="H31" s="7"/>
      <c r="I31" s="38" t="str">
        <f>IF(G31&lt;&gt;0,IF(H31&lt;&gt;0,"0","1"),"")</f>
        <v/>
      </c>
      <c r="J31" s="30"/>
      <c r="K31" s="6">
        <v>46009</v>
      </c>
      <c r="L31" s="7"/>
      <c r="M31" s="40" t="str">
        <f t="shared" si="28"/>
        <v>1</v>
      </c>
      <c r="N31" s="30">
        <f ca="1">IF(M31="0",NETWORKDAYS(K31,L31,$CB$3:$CB$19),NETWORKDAYS(K31,'2025整理'!$S$1,$CB$3:$CB$19))</f>
        <v>8</v>
      </c>
      <c r="O31" s="6"/>
      <c r="P31" s="7"/>
      <c r="Q31" s="38"/>
      <c r="R31" s="30" t="str">
        <f t="shared" si="51"/>
        <v/>
      </c>
      <c r="S31" s="6"/>
      <c r="T31" s="7"/>
      <c r="U31" s="38"/>
      <c r="V31" s="30" t="str">
        <f>IF(U31="0",NETWORKDAYS(S31,T31,$EO$3:$EO$11),"")</f>
        <v/>
      </c>
      <c r="W31" s="6"/>
      <c r="X31" s="7"/>
      <c r="Y31" s="38"/>
      <c r="Z31" s="30" t="str">
        <f t="shared" si="52"/>
        <v/>
      </c>
      <c r="AA31" s="6"/>
      <c r="AB31" s="7"/>
      <c r="AC31" s="40"/>
      <c r="AD31" s="30" t="str">
        <f t="shared" si="53"/>
        <v/>
      </c>
      <c r="AE31" s="48" t="s">
        <v>90</v>
      </c>
      <c r="AF31" s="47" t="s">
        <v>90</v>
      </c>
      <c r="AG31" s="50" t="s">
        <v>87</v>
      </c>
      <c r="AH31" s="51">
        <v>10614.23</v>
      </c>
      <c r="AI31" s="52">
        <v>10744.17</v>
      </c>
      <c r="AJ31" s="51">
        <v>10432.73</v>
      </c>
      <c r="AK31" s="52">
        <v>10561.23</v>
      </c>
      <c r="AL31" s="40" t="str">
        <f t="shared" si="55"/>
        <v>核增</v>
      </c>
      <c r="AM31" s="40">
        <f t="shared" si="56"/>
        <v>129.940000000001</v>
      </c>
      <c r="AN31" s="40">
        <f t="shared" si="57"/>
        <v>128.5</v>
      </c>
      <c r="AO31" s="48"/>
      <c r="AP31" s="56"/>
      <c r="AQ31" s="48"/>
      <c r="AR31" s="56"/>
      <c r="AS31" s="40"/>
      <c r="AT31" s="40"/>
      <c r="AU31" s="51"/>
      <c r="AV31" s="52"/>
      <c r="AW31" s="51"/>
      <c r="AX31" s="52"/>
      <c r="AY31" s="40" t="str">
        <f t="shared" si="18"/>
        <v/>
      </c>
      <c r="AZ31" s="55"/>
      <c r="BA31" s="63"/>
      <c r="BB31" s="48"/>
      <c r="BC31" s="56"/>
      <c r="BD31" s="48"/>
      <c r="BE31" s="56"/>
      <c r="BF31" s="64"/>
      <c r="BG31" s="48"/>
      <c r="BH31" s="51"/>
      <c r="BI31" s="52"/>
      <c r="BJ31" s="51"/>
      <c r="BK31" s="52"/>
      <c r="BL31" s="40"/>
      <c r="BM31" s="55"/>
      <c r="BN31" s="63"/>
      <c r="BO31" s="48"/>
      <c r="BP31" s="56"/>
      <c r="BQ31" s="48"/>
      <c r="BR31" s="56"/>
      <c r="BS31" s="40"/>
      <c r="BT31" s="40"/>
      <c r="BU31" s="51"/>
      <c r="BV31" s="52"/>
      <c r="BW31" s="51"/>
      <c r="BX31" s="52"/>
      <c r="BY31" s="40"/>
      <c r="BZ31" s="55"/>
    </row>
    <row r="32" ht="13.5" customHeight="1" spans="1:78">
      <c r="A32" s="25" t="s">
        <v>120</v>
      </c>
      <c r="B32" s="5" t="s">
        <v>85</v>
      </c>
      <c r="C32" s="6"/>
      <c r="D32" s="7"/>
      <c r="E32" s="32"/>
      <c r="F32" s="30" t="str">
        <f t="shared" ref="F32:F34" si="58">IF(E32="0",NETWORKDAYS(C32,D32,$EO$3:$EO$11),"")</f>
        <v/>
      </c>
      <c r="G32" s="6"/>
      <c r="H32" s="7"/>
      <c r="I32" s="38"/>
      <c r="J32" s="30" t="str">
        <f t="shared" ref="J32:J36" si="59">IF(I32="0",NETWORKDAYS(G32,H32,$EO$3:$EO$11),"")</f>
        <v/>
      </c>
      <c r="K32" s="6"/>
      <c r="L32" s="7"/>
      <c r="M32" s="40"/>
      <c r="N32" s="30"/>
      <c r="O32" s="6"/>
      <c r="P32" s="7"/>
      <c r="Q32" s="38"/>
      <c r="R32" s="30"/>
      <c r="S32" s="236">
        <v>46052</v>
      </c>
      <c r="T32" s="7"/>
      <c r="U32" s="38" t="str">
        <f t="shared" ref="U32:U40" si="60">IF(S32&lt;&gt;0,IF(T32&lt;&gt;0,"0","1"),"")</f>
        <v>1</v>
      </c>
      <c r="V32" s="30">
        <f ca="1">IF(U32="0",NETWORKDAYS(S32,T32,$CB$3:$CB$19),NETWORKDAYS(S32,'2025整理'!$S$1,$CB$3:$CB$19))</f>
        <v>-25</v>
      </c>
      <c r="W32" s="6"/>
      <c r="X32" s="7"/>
      <c r="Y32" s="38"/>
      <c r="Z32" s="30"/>
      <c r="AA32" s="6"/>
      <c r="AB32" s="7"/>
      <c r="AC32" s="40"/>
      <c r="AD32" s="30"/>
      <c r="AE32" s="48" t="s">
        <v>90</v>
      </c>
      <c r="AF32" s="47" t="s">
        <v>90</v>
      </c>
      <c r="AG32" s="50" t="s">
        <v>97</v>
      </c>
      <c r="AH32" s="51"/>
      <c r="AI32" s="52"/>
      <c r="AJ32" s="51"/>
      <c r="AK32" s="52"/>
      <c r="AL32" s="40"/>
      <c r="AM32" s="40"/>
      <c r="AN32" s="40"/>
      <c r="AO32" s="48"/>
      <c r="AP32" s="56"/>
      <c r="AQ32" s="48"/>
      <c r="AR32" s="56"/>
      <c r="AS32" s="40"/>
      <c r="AT32" s="40"/>
      <c r="AU32" s="51"/>
      <c r="AV32" s="52"/>
      <c r="AW32" s="51"/>
      <c r="AX32" s="52"/>
      <c r="AY32" s="40" t="str">
        <f t="shared" si="18"/>
        <v/>
      </c>
      <c r="AZ32" s="55"/>
      <c r="BA32" s="63"/>
      <c r="BB32" s="48"/>
      <c r="BC32" s="56"/>
      <c r="BD32" s="48"/>
      <c r="BE32" s="56"/>
      <c r="BF32" s="64"/>
      <c r="BG32" s="48"/>
      <c r="BH32" s="51"/>
      <c r="BI32" s="52"/>
      <c r="BJ32" s="51"/>
      <c r="BK32" s="52"/>
      <c r="BL32" s="40"/>
      <c r="BM32" s="55"/>
      <c r="BN32" s="63"/>
      <c r="BO32" s="48"/>
      <c r="BP32" s="56"/>
      <c r="BQ32" s="48"/>
      <c r="BR32" s="56"/>
      <c r="BS32" s="40"/>
      <c r="BT32" s="40"/>
      <c r="BU32" s="51"/>
      <c r="BV32" s="52"/>
      <c r="BW32" s="51"/>
      <c r="BX32" s="52"/>
      <c r="BY32" s="40"/>
      <c r="BZ32" s="55"/>
    </row>
    <row r="33" ht="13.5" customHeight="1" spans="1:78">
      <c r="A33" s="25" t="s">
        <v>121</v>
      </c>
      <c r="B33" s="5" t="s">
        <v>93</v>
      </c>
      <c r="C33" s="6"/>
      <c r="D33" s="7"/>
      <c r="E33" s="32"/>
      <c r="F33" s="30" t="str">
        <f t="shared" si="58"/>
        <v/>
      </c>
      <c r="G33" s="6"/>
      <c r="H33" s="7"/>
      <c r="I33" s="38"/>
      <c r="J33" s="30" t="str">
        <f t="shared" si="59"/>
        <v/>
      </c>
      <c r="K33" s="6"/>
      <c r="L33" s="7"/>
      <c r="M33" s="40"/>
      <c r="N33" s="30"/>
      <c r="O33" s="6"/>
      <c r="P33" s="7"/>
      <c r="Q33" s="38"/>
      <c r="R33" s="30"/>
      <c r="S33" s="6">
        <v>45818</v>
      </c>
      <c r="T33" s="7">
        <v>45826</v>
      </c>
      <c r="U33" s="38" t="str">
        <f t="shared" si="60"/>
        <v>0</v>
      </c>
      <c r="V33" s="30">
        <f t="shared" ref="V33:V40" si="61">IF(U33="0",NETWORKDAYS(S33,T33,$CB$3:$CB$19),"")</f>
        <v>7</v>
      </c>
      <c r="W33" s="247"/>
      <c r="X33" s="7"/>
      <c r="Y33" s="38"/>
      <c r="Z33" s="30"/>
      <c r="AA33" s="6"/>
      <c r="AB33" s="7"/>
      <c r="AC33" s="40"/>
      <c r="AD33" s="30"/>
      <c r="AE33" s="48" t="s">
        <v>90</v>
      </c>
      <c r="AF33" s="47" t="s">
        <v>90</v>
      </c>
      <c r="AG33" s="50" t="s">
        <v>97</v>
      </c>
      <c r="AH33" s="51"/>
      <c r="AI33" s="52"/>
      <c r="AJ33" s="51"/>
      <c r="AK33" s="52"/>
      <c r="AL33" s="40"/>
      <c r="AM33" s="40"/>
      <c r="AN33" s="40"/>
      <c r="AO33" s="48"/>
      <c r="AP33" s="56"/>
      <c r="AQ33" s="48"/>
      <c r="AR33" s="56"/>
      <c r="AS33" s="40"/>
      <c r="AT33" s="40"/>
      <c r="AU33" s="51"/>
      <c r="AV33" s="52">
        <v>21296.6</v>
      </c>
      <c r="AW33" s="51"/>
      <c r="AX33" s="52">
        <v>20970.45</v>
      </c>
      <c r="AY33" s="40" t="str">
        <f t="shared" si="18"/>
        <v/>
      </c>
      <c r="AZ33" s="55"/>
      <c r="BA33" s="63"/>
      <c r="BB33" s="48"/>
      <c r="BC33" s="56"/>
      <c r="BD33" s="48"/>
      <c r="BE33" s="56"/>
      <c r="BF33" s="64"/>
      <c r="BG33" s="48"/>
      <c r="BH33" s="51">
        <v>19215.53</v>
      </c>
      <c r="BI33" s="52">
        <v>15906.16</v>
      </c>
      <c r="BJ33" s="249">
        <v>18905.26</v>
      </c>
      <c r="BK33" s="250">
        <v>15651.02</v>
      </c>
      <c r="BL33" s="40" t="str">
        <f t="shared" ref="BL33:BL41" si="62">IF(AND(BK33&lt;&gt;"",BJ33&lt;&gt;""),IF(BK33&gt;BJ33,"核增",IF(BK33&lt;BJ33,"核减","不变")),"")</f>
        <v>核减</v>
      </c>
      <c r="BM33" s="55">
        <f t="shared" ref="BM33:BM41" si="63">IF(AND(BK33&lt;&gt;"",BJ33&lt;&gt;""),MAX(ABS(BK33),ABS(BJ33))-MIN(ABS(BK33),ABS(BJ33)),"")</f>
        <v>3254.24</v>
      </c>
      <c r="BN33" s="63" t="str">
        <f t="shared" ref="BN33:BN41" si="64">IF(AND(BI33&lt;&gt;"",AV33&lt;&gt;""),IF(BI33&gt;AV33,"核增",IF(BI33&lt;AV33,"核减","不变")),"")&amp;TEXT(IF(AND(BI33&lt;&gt;"",AV33&lt;&gt;""),MAX(ABS(BI33),ABS(AV33))-MIN(ABS(BI33),ABS(AV33)),""),"0.00")</f>
        <v>核减5390.44</v>
      </c>
      <c r="BO33" s="48"/>
      <c r="BP33" s="56"/>
      <c r="BQ33" s="48"/>
      <c r="BR33" s="56"/>
      <c r="BS33" s="40"/>
      <c r="BT33" s="40"/>
      <c r="BU33" s="51"/>
      <c r="BV33" s="52"/>
      <c r="BW33" s="51"/>
      <c r="BX33" s="52"/>
      <c r="BY33" s="40"/>
      <c r="BZ33" s="55"/>
    </row>
    <row r="34" ht="13.5" customHeight="1" spans="1:78">
      <c r="A34" s="25" t="s">
        <v>122</v>
      </c>
      <c r="B34" s="5" t="s">
        <v>81</v>
      </c>
      <c r="C34" s="6"/>
      <c r="D34" s="7"/>
      <c r="E34" s="32"/>
      <c r="F34" s="30" t="str">
        <f t="shared" si="58"/>
        <v/>
      </c>
      <c r="G34" s="6"/>
      <c r="H34" s="7"/>
      <c r="I34" s="38" t="str">
        <f t="shared" ref="I34:I35" si="65">IF(G34&lt;&gt;0,IF(H34&lt;&gt;0,"0","1"),"")</f>
        <v/>
      </c>
      <c r="J34" s="30" t="str">
        <f t="shared" si="59"/>
        <v/>
      </c>
      <c r="K34" s="6"/>
      <c r="L34" s="7"/>
      <c r="M34" s="40"/>
      <c r="N34" s="30"/>
      <c r="O34" s="6"/>
      <c r="P34" s="7"/>
      <c r="Q34" s="38"/>
      <c r="R34" s="30" t="str">
        <f t="shared" ref="R34:R36" si="66">IF(Q34="0",NETWORKDAYS(O34,P34,$EO$3:$EO$10),"")</f>
        <v/>
      </c>
      <c r="S34" s="6">
        <v>45648</v>
      </c>
      <c r="T34" s="7">
        <v>45667</v>
      </c>
      <c r="U34" s="38" t="str">
        <f t="shared" si="60"/>
        <v>0</v>
      </c>
      <c r="V34" s="30">
        <f t="shared" si="61"/>
        <v>14</v>
      </c>
      <c r="W34" s="247"/>
      <c r="X34" s="7"/>
      <c r="Y34" s="38"/>
      <c r="Z34" s="30" t="str">
        <f>IF(Y34="0",NETWORKDAYS(S34,T34,$EO$3:$EO$11),"")</f>
        <v/>
      </c>
      <c r="AA34" s="6"/>
      <c r="AB34" s="7"/>
      <c r="AC34" s="40"/>
      <c r="AD34" s="30" t="str">
        <f t="shared" ref="AD34:AD36" si="67">IF(AC34="0",NETWORKDAYS(AA34,AB34,$EO$3:$EO$11),"")</f>
        <v/>
      </c>
      <c r="AE34" s="48" t="s">
        <v>90</v>
      </c>
      <c r="AF34" s="47" t="s">
        <v>90</v>
      </c>
      <c r="AG34" s="50" t="s">
        <v>97</v>
      </c>
      <c r="AH34" s="51"/>
      <c r="AI34" s="52">
        <v>12366</v>
      </c>
      <c r="AJ34" s="51"/>
      <c r="AK34" s="52">
        <v>12146</v>
      </c>
      <c r="AL34" s="40"/>
      <c r="AM34" s="40"/>
      <c r="AN34" s="40"/>
      <c r="AO34" s="48"/>
      <c r="AP34" s="56"/>
      <c r="AQ34" s="48"/>
      <c r="AR34" s="56"/>
      <c r="AS34" s="40" t="str">
        <f t="shared" ref="AS34:AS35" si="68">IF(AND(AR34&lt;&gt;"",AQ34&lt;&gt;""),IF(AR34&gt;AQ34,"核增",IF(AR34&lt;AQ34,"核减","不变")),"")</f>
        <v/>
      </c>
      <c r="AT34" s="40" t="str">
        <f t="shared" ref="AT34:AT35" si="69">IF(AND(AR34&lt;&gt;"",AQ34&lt;&gt;""),MAX(ABS(AR34),ABS(AQ34))-MIN(ABS(AR34),ABS(AQ34)),"")</f>
        <v/>
      </c>
      <c r="AU34" s="51"/>
      <c r="AV34" s="52">
        <v>14607.59</v>
      </c>
      <c r="AW34" s="51"/>
      <c r="AX34" s="52">
        <v>14381.67</v>
      </c>
      <c r="AY34" s="40" t="str">
        <f t="shared" si="18"/>
        <v/>
      </c>
      <c r="AZ34" s="55" t="str">
        <f t="shared" ref="AZ34:AZ39" si="70">IF(AND(AX34&lt;&gt;"",AW34&lt;&gt;""),MAX(ABS(AX34),ABS(AW34))-MIN(ABS(AX34),ABS(AW34)),"")</f>
        <v/>
      </c>
      <c r="BA34" s="63"/>
      <c r="BB34" s="48"/>
      <c r="BC34" s="56"/>
      <c r="BD34" s="48"/>
      <c r="BE34" s="56"/>
      <c r="BF34" s="64"/>
      <c r="BG34" s="48"/>
      <c r="BH34" s="51">
        <v>14843.17</v>
      </c>
      <c r="BI34" s="52">
        <v>14194.54</v>
      </c>
      <c r="BJ34" s="51">
        <v>14613.59</v>
      </c>
      <c r="BK34" s="52">
        <v>13975.01</v>
      </c>
      <c r="BL34" s="40" t="str">
        <f t="shared" si="62"/>
        <v>核减</v>
      </c>
      <c r="BM34" s="55">
        <f t="shared" si="63"/>
        <v>638.58</v>
      </c>
      <c r="BN34" s="63" t="str">
        <f t="shared" si="64"/>
        <v>核减413.05</v>
      </c>
      <c r="BO34" s="48"/>
      <c r="BP34" s="56"/>
      <c r="BQ34" s="48"/>
      <c r="BR34" s="56"/>
      <c r="BS34" s="40"/>
      <c r="BT34" s="40"/>
      <c r="BU34" s="51"/>
      <c r="BV34" s="52"/>
      <c r="BW34" s="51"/>
      <c r="BX34" s="52"/>
      <c r="BY34" s="40"/>
      <c r="BZ34" s="55"/>
    </row>
    <row r="35" ht="13.5" customHeight="1" spans="1:78">
      <c r="A35" s="25" t="s">
        <v>123</v>
      </c>
      <c r="B35" s="5" t="s">
        <v>93</v>
      </c>
      <c r="C35" s="6"/>
      <c r="D35" s="7"/>
      <c r="E35" s="32"/>
      <c r="F35" s="30"/>
      <c r="G35" s="6"/>
      <c r="H35" s="7"/>
      <c r="I35" s="38" t="str">
        <f t="shared" si="65"/>
        <v/>
      </c>
      <c r="J35" s="30" t="str">
        <f t="shared" si="59"/>
        <v/>
      </c>
      <c r="K35" s="6"/>
      <c r="L35" s="7"/>
      <c r="M35" s="40"/>
      <c r="N35" s="30"/>
      <c r="O35" s="6"/>
      <c r="P35" s="7"/>
      <c r="Q35" s="38" t="str">
        <f>IF(O35&lt;&gt;0,IF(P35&lt;&gt;0,"0","1"),"")</f>
        <v/>
      </c>
      <c r="R35" s="30" t="str">
        <f t="shared" si="66"/>
        <v/>
      </c>
      <c r="S35" s="243">
        <v>45716</v>
      </c>
      <c r="T35" s="244">
        <v>45719</v>
      </c>
      <c r="U35" s="38" t="str">
        <f t="shared" si="60"/>
        <v>0</v>
      </c>
      <c r="V35" s="30">
        <f t="shared" si="61"/>
        <v>2</v>
      </c>
      <c r="W35" s="247"/>
      <c r="X35" s="7"/>
      <c r="Y35" s="38"/>
      <c r="Z35" s="30"/>
      <c r="AA35" s="6"/>
      <c r="AB35" s="7"/>
      <c r="AC35" s="40" t="str">
        <f>IF(AA35&lt;&gt;0,IF(AB35&lt;&gt;0,"0","1"),"")</f>
        <v/>
      </c>
      <c r="AD35" s="30" t="str">
        <f t="shared" si="67"/>
        <v/>
      </c>
      <c r="AE35" s="48" t="s">
        <v>90</v>
      </c>
      <c r="AF35" s="47" t="s">
        <v>90</v>
      </c>
      <c r="AG35" s="50" t="s">
        <v>97</v>
      </c>
      <c r="AH35" s="51"/>
      <c r="AI35" s="52">
        <v>18165.74</v>
      </c>
      <c r="AJ35" s="51"/>
      <c r="AK35" s="52">
        <v>17854.02</v>
      </c>
      <c r="AL35" s="40" t="str">
        <f>IF(AND(AK35&lt;&gt;"",AJ35&lt;&gt;""),IF(AK35&gt;AJ35,"核增",IF(AK35&lt;AJ35,"核减","不变")),"")</f>
        <v/>
      </c>
      <c r="AM35" s="40" t="str">
        <f>IF(AND(AI35&lt;&gt;"",AH35&lt;&gt;""),MAX(ABS(AI35),ABS(AH35))-MIN(ABS(AI35),ABS(AH35)),"")</f>
        <v/>
      </c>
      <c r="AN35" s="40" t="str">
        <f>IF(AND(AK35&lt;&gt;"",AJ35&lt;&gt;""),MAX(ABS(AK35),ABS(AJ35))-MIN(ABS(AK35),ABS(AJ35)),"")</f>
        <v/>
      </c>
      <c r="AO35" s="48"/>
      <c r="AP35" s="56"/>
      <c r="AQ35" s="48"/>
      <c r="AR35" s="56"/>
      <c r="AS35" s="40" t="str">
        <f t="shared" si="68"/>
        <v/>
      </c>
      <c r="AT35" s="40" t="str">
        <f t="shared" si="69"/>
        <v/>
      </c>
      <c r="AU35" s="51"/>
      <c r="AV35" s="52">
        <v>17618.6</v>
      </c>
      <c r="AW35" s="51"/>
      <c r="AX35" s="52">
        <v>17331.58</v>
      </c>
      <c r="AY35" s="40" t="str">
        <f t="shared" si="18"/>
        <v/>
      </c>
      <c r="AZ35" s="55" t="str">
        <f t="shared" si="70"/>
        <v/>
      </c>
      <c r="BA35" s="63"/>
      <c r="BB35" s="48"/>
      <c r="BC35" s="56"/>
      <c r="BD35" s="48"/>
      <c r="BE35" s="56"/>
      <c r="BF35" s="64" t="str">
        <f>IF(AND(BE35&lt;&gt;"",BD35&lt;&gt;""),IF(BE35&gt;BD35,"核增",IF(BE35&lt;BD35,"核减","不变")),"")</f>
        <v/>
      </c>
      <c r="BG35" s="48"/>
      <c r="BH35" s="51">
        <v>17618.6</v>
      </c>
      <c r="BI35" s="52">
        <v>16407.33</v>
      </c>
      <c r="BJ35" s="51">
        <v>16036.19</v>
      </c>
      <c r="BK35" s="52">
        <v>16153.49</v>
      </c>
      <c r="BL35" s="40" t="str">
        <f t="shared" si="62"/>
        <v>核增</v>
      </c>
      <c r="BM35" s="55">
        <f t="shared" si="63"/>
        <v>117.299999999999</v>
      </c>
      <c r="BN35" s="63" t="str">
        <f t="shared" si="64"/>
        <v>核减1211.27</v>
      </c>
      <c r="BO35" s="48"/>
      <c r="BP35" s="56"/>
      <c r="BQ35" s="48"/>
      <c r="BR35" s="56"/>
      <c r="BS35" s="40" t="str">
        <f>IF(AND(BR35&lt;&gt;"",BQ35&lt;&gt;""),IF(BR35&gt;BQ35,"核增",IF(BR35&lt;BQ35,"核减","不变")),"")</f>
        <v/>
      </c>
      <c r="BT35" s="40" t="str">
        <f>IF(AND(BR35&lt;&gt;"",BQ35&lt;&gt;""),MAX(ABS(BR35),ABS(BQ35))-MIN(ABS(BR35),ABS(BQ35)),"")</f>
        <v/>
      </c>
      <c r="BU35" s="51"/>
      <c r="BV35" s="52"/>
      <c r="BW35" s="51"/>
      <c r="BX35" s="52"/>
      <c r="BY35" s="40" t="str">
        <f>IF(AND(BX35&lt;&gt;"",BW35&lt;&gt;""),IF(BX35&gt;BW35,"核增",IF(BX35&lt;BW35,"核减","不变")),"")</f>
        <v/>
      </c>
      <c r="BZ35" s="55"/>
    </row>
    <row r="36" ht="13.5" customHeight="1" spans="1:78">
      <c r="A36" s="25" t="s">
        <v>124</v>
      </c>
      <c r="B36" s="5" t="s">
        <v>85</v>
      </c>
      <c r="C36" s="6"/>
      <c r="D36" s="7"/>
      <c r="E36" s="32"/>
      <c r="F36" s="30" t="str">
        <f>IF(E36="0",NETWORKDAYS(C36,D36,$EO$3:$EO$11),"")</f>
        <v/>
      </c>
      <c r="G36" s="6"/>
      <c r="H36" s="7"/>
      <c r="I36" s="38"/>
      <c r="J36" s="30" t="str">
        <f t="shared" si="59"/>
        <v/>
      </c>
      <c r="K36" s="6"/>
      <c r="L36" s="7"/>
      <c r="M36" s="40"/>
      <c r="N36" s="30"/>
      <c r="O36" s="6"/>
      <c r="P36" s="7"/>
      <c r="Q36" s="38"/>
      <c r="R36" s="30" t="str">
        <f t="shared" si="66"/>
        <v/>
      </c>
      <c r="S36" s="243">
        <v>45666</v>
      </c>
      <c r="T36" s="244">
        <v>45679</v>
      </c>
      <c r="U36" s="38" t="str">
        <f t="shared" si="60"/>
        <v>0</v>
      </c>
      <c r="V36" s="30">
        <f t="shared" si="61"/>
        <v>10</v>
      </c>
      <c r="W36" s="247"/>
      <c r="X36" s="7"/>
      <c r="Y36" s="38"/>
      <c r="Z36" s="30" t="str">
        <f>IF(Y36="0",NETWORKDAYS(S36,T36,$EO$3:$EO$11),"")</f>
        <v/>
      </c>
      <c r="AA36" s="6"/>
      <c r="AB36" s="7"/>
      <c r="AC36" s="40"/>
      <c r="AD36" s="30" t="str">
        <f t="shared" si="67"/>
        <v/>
      </c>
      <c r="AE36" s="48" t="s">
        <v>86</v>
      </c>
      <c r="AF36" s="47" t="s">
        <v>86</v>
      </c>
      <c r="AG36" s="50" t="s">
        <v>91</v>
      </c>
      <c r="AH36" s="51"/>
      <c r="AI36" s="52">
        <v>3822.38</v>
      </c>
      <c r="AJ36" s="51"/>
      <c r="AK36" s="52">
        <v>3756.77</v>
      </c>
      <c r="AL36" s="40"/>
      <c r="AM36" s="40"/>
      <c r="AN36" s="40"/>
      <c r="AO36" s="48"/>
      <c r="AP36" s="56"/>
      <c r="AQ36" s="48"/>
      <c r="AR36" s="56"/>
      <c r="AS36" s="40"/>
      <c r="AT36" s="40"/>
      <c r="AU36" s="51"/>
      <c r="AV36" s="52">
        <v>3727.74</v>
      </c>
      <c r="AW36" s="51"/>
      <c r="AX36" s="52">
        <v>3670.55</v>
      </c>
      <c r="AY36" s="40" t="str">
        <f t="shared" si="18"/>
        <v/>
      </c>
      <c r="AZ36" s="55" t="str">
        <f t="shared" si="70"/>
        <v/>
      </c>
      <c r="BA36" s="63"/>
      <c r="BB36" s="48"/>
      <c r="BC36" s="56"/>
      <c r="BD36" s="48"/>
      <c r="BE36" s="56"/>
      <c r="BF36" s="64"/>
      <c r="BG36" s="48"/>
      <c r="BH36" s="51">
        <v>3579.83</v>
      </c>
      <c r="BI36" s="52">
        <v>3544.96</v>
      </c>
      <c r="BJ36" s="51">
        <v>3524.93</v>
      </c>
      <c r="BK36" s="52">
        <v>3490.6</v>
      </c>
      <c r="BL36" s="40" t="str">
        <f t="shared" si="62"/>
        <v>核减</v>
      </c>
      <c r="BM36" s="55">
        <f t="shared" si="63"/>
        <v>34.3299999999999</v>
      </c>
      <c r="BN36" s="63" t="str">
        <f t="shared" si="64"/>
        <v>核减182.78</v>
      </c>
      <c r="BO36" s="48"/>
      <c r="BP36" s="56"/>
      <c r="BQ36" s="48"/>
      <c r="BR36" s="56"/>
      <c r="BS36" s="40"/>
      <c r="BT36" s="40"/>
      <c r="BU36" s="51"/>
      <c r="BV36" s="52"/>
      <c r="BW36" s="51"/>
      <c r="BX36" s="52"/>
      <c r="BY36" s="40"/>
      <c r="BZ36" s="55"/>
    </row>
    <row r="37" ht="13.5" customHeight="1" spans="1:78">
      <c r="A37" s="25" t="s">
        <v>125</v>
      </c>
      <c r="B37" s="5" t="s">
        <v>81</v>
      </c>
      <c r="C37" s="6"/>
      <c r="D37" s="7"/>
      <c r="E37" s="32"/>
      <c r="F37" s="30"/>
      <c r="G37" s="12"/>
      <c r="H37" s="31"/>
      <c r="I37" s="38"/>
      <c r="J37" s="30" t="str">
        <f>IF(I37="0",NETWORKDAYS(G37,H37,$EO$3:$EO$42),"")</f>
        <v/>
      </c>
      <c r="K37" s="12"/>
      <c r="L37" s="31"/>
      <c r="M37" s="40"/>
      <c r="N37" s="30" t="str">
        <f>IF(M37="0",NETWORKDAYS(K37,L37,$EO$3:$EO$42),"")</f>
        <v/>
      </c>
      <c r="O37" s="12"/>
      <c r="P37" s="31"/>
      <c r="Q37" s="38"/>
      <c r="R37" s="30"/>
      <c r="S37" s="245">
        <v>45671</v>
      </c>
      <c r="T37" s="246">
        <v>45684</v>
      </c>
      <c r="U37" s="38" t="str">
        <f t="shared" si="60"/>
        <v>0</v>
      </c>
      <c r="V37" s="30">
        <f t="shared" si="61"/>
        <v>10</v>
      </c>
      <c r="W37" s="247"/>
      <c r="X37" s="7"/>
      <c r="Y37" s="38"/>
      <c r="Z37" s="30" t="str">
        <f>IF(Y37="0",NETWORKDAYS(S37,T37,$EO$3:$EO$42),"")</f>
        <v/>
      </c>
      <c r="AA37" s="12"/>
      <c r="AB37" s="31"/>
      <c r="AC37" s="40"/>
      <c r="AD37" s="30" t="str">
        <f>IF(AC37="0",NETWORKDAYS(AA37,AB37,$EO$3:$EO$42),"")</f>
        <v/>
      </c>
      <c r="AE37" s="46" t="s">
        <v>86</v>
      </c>
      <c r="AF37" s="47" t="s">
        <v>86</v>
      </c>
      <c r="AG37" s="53" t="s">
        <v>91</v>
      </c>
      <c r="AH37" s="51"/>
      <c r="AI37" s="52"/>
      <c r="AJ37" s="51"/>
      <c r="AK37" s="52"/>
      <c r="AL37" s="55"/>
      <c r="AM37" s="55"/>
      <c r="AN37" s="55"/>
      <c r="AO37" s="51"/>
      <c r="AP37" s="52"/>
      <c r="AQ37" s="51"/>
      <c r="AR37" s="52"/>
      <c r="AS37" s="55" t="str">
        <f t="shared" ref="AS37:AS38" si="71">IF(AND(AR37&lt;&gt;"",AQ37&lt;&gt;""),IF(AR37&gt;AQ37,"核增",IF(AR37&lt;AQ37,"核减","不变")),"")</f>
        <v/>
      </c>
      <c r="AT37" s="55" t="str">
        <f t="shared" ref="AT37:AT38" si="72">IF(AND(AR37&lt;&gt;"",AQ37&lt;&gt;""),MAX(ABS(AR37),ABS(AQ37))-MIN(ABS(AR37),ABS(AQ37)),"")</f>
        <v/>
      </c>
      <c r="AU37" s="51"/>
      <c r="AV37" s="52">
        <v>4716.95</v>
      </c>
      <c r="AW37" s="51"/>
      <c r="AX37" s="52">
        <v>4643.95</v>
      </c>
      <c r="AY37" s="55" t="str">
        <f t="shared" si="18"/>
        <v/>
      </c>
      <c r="AZ37" s="55" t="str">
        <f t="shared" si="70"/>
        <v/>
      </c>
      <c r="BA37" s="63"/>
      <c r="BB37" s="51"/>
      <c r="BC37" s="52"/>
      <c r="BD37" s="51"/>
      <c r="BE37" s="52"/>
      <c r="BF37" s="64" t="str">
        <f t="shared" ref="BF37:BF38" si="73">IF(AND(BE37&lt;&gt;"",BD37&lt;&gt;""),IF(BE37&gt;BD37,"核增",IF(BE37&lt;BD37,"核减","不变")),"")</f>
        <v/>
      </c>
      <c r="BG37" s="52" t="str">
        <f>IF(AND(BE37&lt;&gt;"",BD37&lt;&gt;""),MAX(ABS(BE37),ABS(BD37))-MIN(ABS(BE37),ABS(BD37)),"")</f>
        <v/>
      </c>
      <c r="BH37" s="51">
        <v>4654.21</v>
      </c>
      <c r="BI37" s="52">
        <v>4490.48</v>
      </c>
      <c r="BJ37" s="51">
        <v>4582.19</v>
      </c>
      <c r="BK37" s="52">
        <v>4420.99</v>
      </c>
      <c r="BL37" s="40" t="str">
        <f t="shared" si="62"/>
        <v>核减</v>
      </c>
      <c r="BM37" s="55">
        <f t="shared" si="63"/>
        <v>161.2</v>
      </c>
      <c r="BN37" s="63" t="str">
        <f t="shared" si="64"/>
        <v>核减226.47</v>
      </c>
      <c r="BO37" s="48"/>
      <c r="BP37" s="56"/>
      <c r="BQ37" s="48"/>
      <c r="BR37" s="56"/>
      <c r="BS37" s="40"/>
      <c r="BT37" s="40"/>
      <c r="BU37" s="51"/>
      <c r="BV37" s="52"/>
      <c r="BW37" s="51"/>
      <c r="BX37" s="52"/>
      <c r="BY37" s="40"/>
      <c r="BZ37" s="55"/>
    </row>
    <row r="38" ht="13.5" customHeight="1" spans="1:78">
      <c r="A38" s="25" t="s">
        <v>126</v>
      </c>
      <c r="B38" s="5" t="s">
        <v>93</v>
      </c>
      <c r="C38" s="6"/>
      <c r="D38" s="7"/>
      <c r="E38" s="32"/>
      <c r="F38" s="30"/>
      <c r="G38" s="6"/>
      <c r="H38" s="7"/>
      <c r="I38" s="38"/>
      <c r="J38" s="30" t="str">
        <f t="shared" ref="J38:J47" si="74">IF(I38="0",NETWORKDAYS(G38,H38,$EO$3:$EO$11),"")</f>
        <v/>
      </c>
      <c r="K38" s="6"/>
      <c r="L38" s="7"/>
      <c r="M38" s="40"/>
      <c r="N38" s="30"/>
      <c r="O38" s="6"/>
      <c r="P38" s="7"/>
      <c r="Q38" s="38"/>
      <c r="R38" s="30" t="str">
        <f t="shared" ref="R38:R49" si="75">IF(Q38="0",NETWORKDAYS(O38,P38,$EO$3:$EO$10),"")</f>
        <v/>
      </c>
      <c r="S38" s="243">
        <v>45705</v>
      </c>
      <c r="T38" s="244">
        <v>45713</v>
      </c>
      <c r="U38" s="38" t="str">
        <f t="shared" si="60"/>
        <v>0</v>
      </c>
      <c r="V38" s="30">
        <f t="shared" si="61"/>
        <v>7</v>
      </c>
      <c r="W38" s="247"/>
      <c r="X38" s="7"/>
      <c r="Y38" s="38"/>
      <c r="Z38" s="30" t="str">
        <f t="shared" ref="Z38:Z39" si="76">IF(Y38="0",NETWORKDAYS(S38,T38,$EO$3:$EO$11),"")</f>
        <v/>
      </c>
      <c r="AA38" s="6"/>
      <c r="AB38" s="7"/>
      <c r="AC38" s="40"/>
      <c r="AD38" s="30" t="str">
        <f t="shared" ref="AD38:AD41" si="77">IF(AC38="0",NETWORKDAYS(AA38,AB38,$EO$3:$EO$11),"")</f>
        <v/>
      </c>
      <c r="AE38" s="48" t="s">
        <v>86</v>
      </c>
      <c r="AF38" s="47" t="s">
        <v>86</v>
      </c>
      <c r="AG38" s="50" t="s">
        <v>97</v>
      </c>
      <c r="AH38" s="51"/>
      <c r="AI38" s="52">
        <v>4559.13</v>
      </c>
      <c r="AJ38" s="51"/>
      <c r="AK38" s="52">
        <v>4492.22</v>
      </c>
      <c r="AL38" s="40" t="str">
        <f>IF(AND(AK38&lt;&gt;"",AJ38&lt;&gt;""),IF(AK38&gt;AJ38,"核增",IF(AK38&lt;AJ38,"核减","不变")),"")</f>
        <v/>
      </c>
      <c r="AM38" s="40" t="str">
        <f>IF(AND(AI38&lt;&gt;"",AH38&lt;&gt;""),MAX(ABS(AI38),ABS(AH38))-MIN(ABS(AI38),ABS(AH38)),"")</f>
        <v/>
      </c>
      <c r="AN38" s="40" t="str">
        <f>IF(AND(AK38&lt;&gt;"",AJ38&lt;&gt;""),MAX(ABS(AK38),ABS(AJ38))-MIN(ABS(AK38),ABS(AJ38)),"")</f>
        <v/>
      </c>
      <c r="AO38" s="48"/>
      <c r="AP38" s="56"/>
      <c r="AQ38" s="48"/>
      <c r="AR38" s="56"/>
      <c r="AS38" s="40" t="str">
        <f t="shared" si="71"/>
        <v/>
      </c>
      <c r="AT38" s="40" t="str">
        <f t="shared" si="72"/>
        <v/>
      </c>
      <c r="AU38" s="51"/>
      <c r="AV38" s="52">
        <v>4516.9</v>
      </c>
      <c r="AW38" s="51"/>
      <c r="AX38" s="52">
        <v>4457.14</v>
      </c>
      <c r="AY38" s="40" t="str">
        <f t="shared" si="18"/>
        <v/>
      </c>
      <c r="AZ38" s="55" t="str">
        <f t="shared" si="70"/>
        <v/>
      </c>
      <c r="BA38" s="63"/>
      <c r="BB38" s="48"/>
      <c r="BC38" s="56"/>
      <c r="BD38" s="48"/>
      <c r="BE38" s="56"/>
      <c r="BF38" s="64" t="str">
        <f t="shared" si="73"/>
        <v/>
      </c>
      <c r="BG38" s="48"/>
      <c r="BH38" s="51">
        <v>3758.78</v>
      </c>
      <c r="BI38" s="52">
        <v>4101.32</v>
      </c>
      <c r="BJ38" s="51">
        <v>3710.08</v>
      </c>
      <c r="BK38" s="52">
        <v>4047.45</v>
      </c>
      <c r="BL38" s="40" t="str">
        <f t="shared" si="62"/>
        <v>核增</v>
      </c>
      <c r="BM38" s="55">
        <f t="shared" si="63"/>
        <v>337.37</v>
      </c>
      <c r="BN38" s="63" t="str">
        <f t="shared" si="64"/>
        <v>核减415.58</v>
      </c>
      <c r="BO38" s="48"/>
      <c r="BP38" s="56"/>
      <c r="BQ38" s="48"/>
      <c r="BR38" s="56"/>
      <c r="BS38" s="40" t="str">
        <f>IF(AND(BR38&lt;&gt;"",BQ38&lt;&gt;""),IF(BR38&gt;BQ38,"核增",IF(BR38&lt;BQ38,"核减","不变")),"")</f>
        <v/>
      </c>
      <c r="BT38" s="40" t="str">
        <f>IF(AND(BR38&lt;&gt;"",BQ38&lt;&gt;""),MAX(ABS(BR38),ABS(BQ38))-MIN(ABS(BR38),ABS(BQ38)),"")</f>
        <v/>
      </c>
      <c r="BU38" s="51"/>
      <c r="BV38" s="52"/>
      <c r="BW38" s="51"/>
      <c r="BX38" s="52"/>
      <c r="BY38" s="40" t="str">
        <f>IF(AND(BX38&lt;&gt;"",BW38&lt;&gt;""),IF(BX38&gt;BW38,"核增",IF(BX38&lt;BW38,"核减","不变")),"")</f>
        <v/>
      </c>
      <c r="BZ38" s="55"/>
    </row>
    <row r="39" ht="13.5" customHeight="1" spans="1:78">
      <c r="A39" s="25" t="s">
        <v>127</v>
      </c>
      <c r="B39" s="5" t="s">
        <v>85</v>
      </c>
      <c r="C39" s="6"/>
      <c r="D39" s="7"/>
      <c r="E39" s="32"/>
      <c r="F39" s="30" t="str">
        <f t="shared" ref="F39:F50" si="78">IF(E39="0",NETWORKDAYS(C39,D39,$EO$3:$EO$11),"")</f>
        <v/>
      </c>
      <c r="G39" s="6"/>
      <c r="H39" s="7"/>
      <c r="I39" s="38"/>
      <c r="J39" s="30" t="str">
        <f t="shared" si="74"/>
        <v/>
      </c>
      <c r="K39" s="6"/>
      <c r="L39" s="7"/>
      <c r="M39" s="40"/>
      <c r="N39" s="30"/>
      <c r="O39" s="6"/>
      <c r="P39" s="7"/>
      <c r="Q39" s="38"/>
      <c r="R39" s="30" t="str">
        <f t="shared" si="75"/>
        <v/>
      </c>
      <c r="S39" s="243">
        <v>45678</v>
      </c>
      <c r="T39" s="244">
        <v>45683</v>
      </c>
      <c r="U39" s="38" t="str">
        <f t="shared" si="60"/>
        <v>0</v>
      </c>
      <c r="V39" s="30">
        <f t="shared" si="61"/>
        <v>4</v>
      </c>
      <c r="W39" s="247"/>
      <c r="X39" s="7"/>
      <c r="Y39" s="38"/>
      <c r="Z39" s="30" t="str">
        <f t="shared" si="76"/>
        <v/>
      </c>
      <c r="AA39" s="6"/>
      <c r="AB39" s="7"/>
      <c r="AC39" s="40"/>
      <c r="AD39" s="30" t="str">
        <f t="shared" si="77"/>
        <v/>
      </c>
      <c r="AE39" s="48" t="s">
        <v>86</v>
      </c>
      <c r="AF39" s="47" t="s">
        <v>86</v>
      </c>
      <c r="AG39" s="50" t="s">
        <v>91</v>
      </c>
      <c r="AH39" s="51"/>
      <c r="AI39" s="52">
        <v>8250.75</v>
      </c>
      <c r="AJ39" s="51"/>
      <c r="AK39" s="52">
        <v>8099.19</v>
      </c>
      <c r="AL39" s="40"/>
      <c r="AM39" s="40"/>
      <c r="AN39" s="40"/>
      <c r="AO39" s="48"/>
      <c r="AP39" s="56"/>
      <c r="AQ39" s="48"/>
      <c r="AR39" s="56"/>
      <c r="AS39" s="40"/>
      <c r="AT39" s="40"/>
      <c r="AU39" s="51"/>
      <c r="AV39" s="52">
        <v>7652.97</v>
      </c>
      <c r="AW39" s="51"/>
      <c r="AX39" s="52">
        <v>7526.22</v>
      </c>
      <c r="AY39" s="40" t="str">
        <f t="shared" si="18"/>
        <v/>
      </c>
      <c r="AZ39" s="55" t="str">
        <f t="shared" si="70"/>
        <v/>
      </c>
      <c r="BA39" s="63"/>
      <c r="BB39" s="48"/>
      <c r="BC39" s="56"/>
      <c r="BD39" s="48"/>
      <c r="BE39" s="56"/>
      <c r="BF39" s="64"/>
      <c r="BG39" s="48"/>
      <c r="BH39" s="51">
        <v>7810.61</v>
      </c>
      <c r="BI39" s="52">
        <v>7617.84</v>
      </c>
      <c r="BJ39" s="51">
        <v>7681.25</v>
      </c>
      <c r="BK39" s="52">
        <v>7491.67</v>
      </c>
      <c r="BL39" s="40" t="str">
        <f t="shared" si="62"/>
        <v>核减</v>
      </c>
      <c r="BM39" s="55">
        <f t="shared" si="63"/>
        <v>189.58</v>
      </c>
      <c r="BN39" s="63" t="str">
        <f t="shared" si="64"/>
        <v>核减35.13</v>
      </c>
      <c r="BO39" s="48"/>
      <c r="BP39" s="56"/>
      <c r="BQ39" s="48"/>
      <c r="BR39" s="56"/>
      <c r="BS39" s="40"/>
      <c r="BT39" s="40"/>
      <c r="BU39" s="51"/>
      <c r="BV39" s="52"/>
      <c r="BW39" s="51"/>
      <c r="BX39" s="52"/>
      <c r="BY39" s="40"/>
      <c r="BZ39" s="55" t="str">
        <f>IF(AND(BX39&lt;&gt;"",BW39&lt;&gt;""),MAX(ABS(BX39),ABS(BW39))-MIN(ABS(BX39),ABS(BW39)),"")</f>
        <v/>
      </c>
    </row>
    <row r="40" ht="13.5" customHeight="1" spans="1:78">
      <c r="A40" s="25" t="s">
        <v>128</v>
      </c>
      <c r="B40" s="5" t="s">
        <v>96</v>
      </c>
      <c r="C40" s="6"/>
      <c r="D40" s="7"/>
      <c r="E40" s="32" t="str">
        <f t="shared" ref="E40:E41" si="79">IF(C40&lt;&gt;0,IF(D40&lt;&gt;0,"0","1"),"")</f>
        <v/>
      </c>
      <c r="F40" s="30" t="str">
        <f t="shared" si="78"/>
        <v/>
      </c>
      <c r="G40" s="6"/>
      <c r="H40" s="7"/>
      <c r="I40" s="38" t="str">
        <f t="shared" ref="I40:I41" si="80">IF(G40&lt;&gt;0,IF(H40&lt;&gt;0,"0","1"),"")</f>
        <v/>
      </c>
      <c r="J40" s="30" t="str">
        <f t="shared" si="74"/>
        <v/>
      </c>
      <c r="K40" s="6"/>
      <c r="L40" s="7"/>
      <c r="M40" s="40"/>
      <c r="N40" s="30" t="str">
        <f t="shared" ref="N40:N50" si="81">IF(M40="0",NETWORKDAYS(K40,L40,$EO$3:$EO$11),"")</f>
        <v/>
      </c>
      <c r="O40" s="6"/>
      <c r="P40" s="7"/>
      <c r="Q40" s="38" t="str">
        <f t="shared" ref="Q40:Q41" si="82">IF(O40&lt;&gt;0,IF(P40&lt;&gt;0,"0","1"),"")</f>
        <v/>
      </c>
      <c r="R40" s="30" t="str">
        <f t="shared" si="75"/>
        <v/>
      </c>
      <c r="S40" s="243">
        <v>45839</v>
      </c>
      <c r="T40" s="244">
        <v>45856</v>
      </c>
      <c r="U40" s="38" t="str">
        <f t="shared" si="60"/>
        <v>0</v>
      </c>
      <c r="V40" s="30">
        <f t="shared" si="61"/>
        <v>14</v>
      </c>
      <c r="W40" s="247"/>
      <c r="X40" s="7"/>
      <c r="Y40" s="38"/>
      <c r="Z40" s="30"/>
      <c r="AA40" s="6"/>
      <c r="AB40" s="7"/>
      <c r="AC40" s="40" t="str">
        <f t="shared" ref="AC40:AC47" si="83">IF(AA40&lt;&gt;0,IF(AB40&lt;&gt;0,"0","1"),"")</f>
        <v/>
      </c>
      <c r="AD40" s="30" t="str">
        <f t="shared" si="77"/>
        <v/>
      </c>
      <c r="AE40" s="48" t="s">
        <v>90</v>
      </c>
      <c r="AF40" s="47" t="s">
        <v>90</v>
      </c>
      <c r="AG40" s="50" t="s">
        <v>91</v>
      </c>
      <c r="AH40" s="51"/>
      <c r="AI40" s="52">
        <v>14502</v>
      </c>
      <c r="AJ40" s="51"/>
      <c r="AK40" s="52">
        <v>14253</v>
      </c>
      <c r="AL40" s="40"/>
      <c r="AM40" s="40"/>
      <c r="AN40" s="40"/>
      <c r="AO40" s="48"/>
      <c r="AP40" s="56">
        <v>19059.14</v>
      </c>
      <c r="AQ40" s="48"/>
      <c r="AR40" s="56">
        <v>18922.56</v>
      </c>
      <c r="AS40" s="40" t="str">
        <f t="shared" ref="AS40:AS41" si="84">IF(AND(AR40&lt;&gt;"",AQ40&lt;&gt;""),IF(AR40&gt;AQ40,"核增",IF(AR40&lt;AQ40,"核减","不变")),"")</f>
        <v/>
      </c>
      <c r="AT40" s="40" t="str">
        <f t="shared" ref="AT40:AT41" si="85">IF(AND(AR40&lt;&gt;"",AQ40&lt;&gt;""),MAX(ABS(AR40),ABS(AQ40))-MIN(ABS(AR40),ABS(AQ40)),"")</f>
        <v/>
      </c>
      <c r="AU40" s="51"/>
      <c r="AV40" s="83">
        <v>8466.43</v>
      </c>
      <c r="AW40" s="51"/>
      <c r="AX40" s="83">
        <v>8466.43</v>
      </c>
      <c r="AY40" s="40" t="str">
        <f t="shared" si="18"/>
        <v/>
      </c>
      <c r="AZ40" s="55"/>
      <c r="BA40" s="63"/>
      <c r="BB40" s="48"/>
      <c r="BC40" s="56">
        <v>18632.46</v>
      </c>
      <c r="BD40" s="48"/>
      <c r="BE40" s="56">
        <v>18586.77</v>
      </c>
      <c r="BF40" s="64" t="str">
        <f t="shared" ref="BF40:BF41" si="86">IF(AND(BE40&lt;&gt;"",BD40&lt;&gt;""),IF(BE40&gt;BD40,"核增",IF(BE40&lt;BD40,"核减","不变")),"")</f>
        <v/>
      </c>
      <c r="BG40" s="48" t="str">
        <f t="shared" ref="BG40:BG41" si="87">IF(AND(BE40&lt;&gt;"",BD40&lt;&gt;""),MAX(ABS(BE40),ABS(BD40))-MIN(ABS(BE40),ABS(BD40)),"")</f>
        <v/>
      </c>
      <c r="BH40" s="51">
        <v>8456.78</v>
      </c>
      <c r="BI40" s="52">
        <v>8456.78</v>
      </c>
      <c r="BJ40" s="51">
        <v>8456.78</v>
      </c>
      <c r="BK40" s="52">
        <v>8456.78</v>
      </c>
      <c r="BL40" s="40" t="str">
        <f t="shared" si="62"/>
        <v>不变</v>
      </c>
      <c r="BM40" s="55">
        <f t="shared" si="63"/>
        <v>0</v>
      </c>
      <c r="BN40" s="63" t="str">
        <f t="shared" si="64"/>
        <v>核减9.65</v>
      </c>
      <c r="BO40" s="48"/>
      <c r="BP40" s="56"/>
      <c r="BQ40" s="48"/>
      <c r="BR40" s="56"/>
      <c r="BS40" s="40"/>
      <c r="BT40" s="40"/>
      <c r="BU40" s="51"/>
      <c r="BV40" s="52"/>
      <c r="BW40" s="51"/>
      <c r="BX40" s="52"/>
      <c r="BY40" s="40"/>
      <c r="BZ40" s="55"/>
    </row>
    <row r="41" ht="13.5" customHeight="1" spans="1:78">
      <c r="A41" s="25" t="s">
        <v>129</v>
      </c>
      <c r="B41" s="5" t="s">
        <v>93</v>
      </c>
      <c r="C41" s="6"/>
      <c r="D41" s="7"/>
      <c r="E41" s="32" t="str">
        <f t="shared" si="79"/>
        <v/>
      </c>
      <c r="F41" s="30" t="str">
        <f t="shared" si="78"/>
        <v/>
      </c>
      <c r="G41" s="6"/>
      <c r="H41" s="7"/>
      <c r="I41" s="38" t="str">
        <f t="shared" si="80"/>
        <v/>
      </c>
      <c r="J41" s="30" t="str">
        <f t="shared" si="74"/>
        <v/>
      </c>
      <c r="K41" s="6"/>
      <c r="L41" s="7"/>
      <c r="M41" s="40" t="str">
        <f>IF(K41&lt;&gt;0,IF(L41&lt;&gt;0,"0","1"),"")</f>
        <v/>
      </c>
      <c r="N41" s="30" t="str">
        <f t="shared" si="81"/>
        <v/>
      </c>
      <c r="O41" s="16">
        <v>45910</v>
      </c>
      <c r="P41" s="7">
        <v>45918</v>
      </c>
      <c r="Q41" s="38" t="str">
        <f t="shared" si="82"/>
        <v>0</v>
      </c>
      <c r="R41" s="30">
        <f t="shared" si="75"/>
        <v>7</v>
      </c>
      <c r="S41" s="6"/>
      <c r="T41" s="7"/>
      <c r="U41" s="38"/>
      <c r="V41" s="30" t="str">
        <f>IF(U41="0",NETWORKDAYS(#REF!,#REF!,$EO$3:$EO$11),"")</f>
        <v/>
      </c>
      <c r="W41" s="6">
        <v>45970</v>
      </c>
      <c r="X41" s="7">
        <v>45985</v>
      </c>
      <c r="Y41" s="38" t="str">
        <f>IF(W41&lt;&gt;0,IF(X41&lt;&gt;0,"0","1"),"")</f>
        <v>0</v>
      </c>
      <c r="Z41" s="30">
        <f>IF(Y41="0",NETWORKDAYS(W41,X41,$EO$3:$EO$11),"")</f>
        <v>11</v>
      </c>
      <c r="AA41" s="6">
        <v>45721</v>
      </c>
      <c r="AB41" s="7">
        <v>45728</v>
      </c>
      <c r="AC41" s="40" t="str">
        <f t="shared" si="83"/>
        <v>0</v>
      </c>
      <c r="AD41" s="30">
        <f t="shared" si="77"/>
        <v>6</v>
      </c>
      <c r="AE41" s="48" t="s">
        <v>97</v>
      </c>
      <c r="AF41" s="47" t="s">
        <v>82</v>
      </c>
      <c r="AG41" s="50" t="s">
        <v>97</v>
      </c>
      <c r="AH41" s="51"/>
      <c r="AI41" s="52">
        <v>34536.61</v>
      </c>
      <c r="AJ41" s="51"/>
      <c r="AK41" s="52">
        <v>33933.16</v>
      </c>
      <c r="AL41" s="40" t="str">
        <f>IF(AND(AK41&lt;&gt;"",AJ41&lt;&gt;""),IF(AK41&gt;AJ41,"核增",IF(AK41&lt;AJ41,"核减","不变")),"")</f>
        <v/>
      </c>
      <c r="AM41" s="40" t="str">
        <f>IF(AND(AI41&lt;&gt;"",AH41&lt;&gt;""),MAX(ABS(AI41),ABS(AH41))-MIN(ABS(AI41),ABS(AH41)),"")</f>
        <v/>
      </c>
      <c r="AN41" s="40" t="str">
        <f>IF(AND(AK41&lt;&gt;"",AJ41&lt;&gt;""),MAX(ABS(AK41),ABS(AJ41))-MIN(ABS(AK41),ABS(AJ41)),"")</f>
        <v/>
      </c>
      <c r="AO41" s="48"/>
      <c r="AP41" s="56">
        <v>41635.86</v>
      </c>
      <c r="AQ41" s="48"/>
      <c r="AR41" s="248">
        <v>40903</v>
      </c>
      <c r="AS41" s="40" t="str">
        <f t="shared" si="84"/>
        <v/>
      </c>
      <c r="AT41" s="40" t="str">
        <f t="shared" si="85"/>
        <v/>
      </c>
      <c r="AU41" s="51"/>
      <c r="AV41" s="52"/>
      <c r="AW41" s="51"/>
      <c r="AX41" s="52"/>
      <c r="AY41" s="40" t="str">
        <f t="shared" si="18"/>
        <v/>
      </c>
      <c r="AZ41" s="55" t="str">
        <f>IF(AND(AX41&lt;&gt;"",AW41&lt;&gt;""),MAX(ABS(AX41),ABS(AW41))-MIN(ABS(AX41),ABS(AW41)),"")</f>
        <v/>
      </c>
      <c r="BA41" s="63" t="str">
        <f>IF(AND(AV41&lt;&gt;"",AI41&lt;&gt;""),IF(AV41&gt;AI41,"核增",IF(AV41&lt;AI41,"核减","不变")),"")&amp;TEXT(IF(AND(AV41&lt;&gt;"",AI41&lt;&gt;""),MAX(ABS(AV41),ABS(AI41))-MIN(ABS(AV41),ABS(AI41)),""),"0.00")</f>
        <v/>
      </c>
      <c r="BB41" s="48">
        <v>41162.25</v>
      </c>
      <c r="BC41" s="56">
        <v>41038.57</v>
      </c>
      <c r="BD41" s="48">
        <v>40443.87</v>
      </c>
      <c r="BE41" s="56">
        <v>40376.41</v>
      </c>
      <c r="BF41" s="64" t="str">
        <f t="shared" si="86"/>
        <v>核减</v>
      </c>
      <c r="BG41" s="48">
        <f t="shared" si="87"/>
        <v>67.4599999999991</v>
      </c>
      <c r="BH41" s="51"/>
      <c r="BI41" s="52"/>
      <c r="BJ41" s="51"/>
      <c r="BK41" s="52"/>
      <c r="BL41" s="40" t="str">
        <f t="shared" si="62"/>
        <v/>
      </c>
      <c r="BM41" s="55" t="str">
        <f t="shared" si="63"/>
        <v/>
      </c>
      <c r="BN41" s="63" t="str">
        <f t="shared" si="64"/>
        <v/>
      </c>
      <c r="BO41" s="48">
        <v>40089.97</v>
      </c>
      <c r="BP41" s="56">
        <v>40089.97</v>
      </c>
      <c r="BQ41" s="48">
        <v>39444.09</v>
      </c>
      <c r="BR41" s="56">
        <v>39444.09</v>
      </c>
      <c r="BS41" s="40" t="str">
        <f>IF(AND(BR41&lt;&gt;"",BQ41&lt;&gt;""),IF(BR41&gt;BQ41,"核增",IF(BR41&lt;BQ41,"核减","不变")),"")</f>
        <v>不变</v>
      </c>
      <c r="BT41" s="40">
        <f>IF(AND(BR41&lt;&gt;"",BQ41&lt;&gt;""),MAX(ABS(BR41),ABS(BQ41))-MIN(ABS(BR41),ABS(BQ41)),"")</f>
        <v>0</v>
      </c>
      <c r="BU41" s="51">
        <v>371.73</v>
      </c>
      <c r="BV41" s="52">
        <v>371.73</v>
      </c>
      <c r="BW41" s="51">
        <v>371.73</v>
      </c>
      <c r="BX41" s="52">
        <v>371.73</v>
      </c>
      <c r="BY41" s="40" t="str">
        <f>IF(AND(BX41&lt;&gt;"",BW41&lt;&gt;""),IF(BX41&gt;BW41,"核增",IF(BX41&lt;BW41,"核减","不变")),"")</f>
        <v>不变</v>
      </c>
      <c r="BZ41" s="55">
        <f t="shared" ref="BZ41:BZ43" si="88">IF(AND(BX41&lt;&gt;"",BW41&lt;&gt;""),MAX(ABS(BX41),ABS(BW41))-MIN(ABS(BX41),ABS(BW41)),"")</f>
        <v>0</v>
      </c>
    </row>
    <row r="42" ht="13.5" customHeight="1" spans="1:78">
      <c r="A42" s="25" t="s">
        <v>130</v>
      </c>
      <c r="B42" s="5" t="s">
        <v>93</v>
      </c>
      <c r="C42" s="6"/>
      <c r="D42" s="7"/>
      <c r="E42" s="32"/>
      <c r="F42" s="30" t="str">
        <f t="shared" si="78"/>
        <v/>
      </c>
      <c r="G42" s="6"/>
      <c r="H42" s="7"/>
      <c r="I42" s="38"/>
      <c r="J42" s="30" t="str">
        <f t="shared" si="74"/>
        <v/>
      </c>
      <c r="K42" s="6"/>
      <c r="L42" s="7"/>
      <c r="M42" s="40"/>
      <c r="N42" s="30" t="str">
        <f t="shared" si="81"/>
        <v/>
      </c>
      <c r="O42" s="6"/>
      <c r="P42" s="7"/>
      <c r="Q42" s="38"/>
      <c r="R42" s="30" t="str">
        <f t="shared" si="75"/>
        <v/>
      </c>
      <c r="S42" s="6"/>
      <c r="T42" s="7"/>
      <c r="U42" s="38"/>
      <c r="V42" s="30" t="str">
        <f>IF(U42="0",NETWORKDAYS(#REF!,#REF!,$EO$3:$EO$11),"")</f>
        <v/>
      </c>
      <c r="W42" s="247"/>
      <c r="X42" s="7"/>
      <c r="Y42" s="38"/>
      <c r="Z42" s="30" t="str">
        <f t="shared" ref="Z42:Z45" si="89">IF(Y42="0",NETWORKDAYS(S42,T42,$EO$3:$EO$11),"")</f>
        <v/>
      </c>
      <c r="AA42" s="236">
        <v>46052</v>
      </c>
      <c r="AB42" s="7"/>
      <c r="AC42" s="40" t="str">
        <f t="shared" si="83"/>
        <v>1</v>
      </c>
      <c r="AD42" s="30">
        <f ca="1">IF(AC42="0",NETWORKDAYS(AA42,AB42,$CB$3:$CB$19),NETWORKDAYS(AA42,'2025整理'!$S$1,$CB$3:$CB$19))</f>
        <v>-25</v>
      </c>
      <c r="AE42" s="48" t="s">
        <v>86</v>
      </c>
      <c r="AF42" s="47" t="s">
        <v>86</v>
      </c>
      <c r="AG42" s="50" t="s">
        <v>91</v>
      </c>
      <c r="AH42" s="51"/>
      <c r="AI42" s="52"/>
      <c r="AJ42" s="51"/>
      <c r="AK42" s="52"/>
      <c r="AL42" s="40"/>
      <c r="AM42" s="40"/>
      <c r="AN42" s="40"/>
      <c r="AO42" s="48"/>
      <c r="AP42" s="56"/>
      <c r="AQ42" s="48"/>
      <c r="AR42" s="56"/>
      <c r="AS42" s="40"/>
      <c r="AT42" s="40"/>
      <c r="AU42" s="51"/>
      <c r="AV42" s="52"/>
      <c r="AW42" s="51"/>
      <c r="AX42" s="52"/>
      <c r="AY42" s="40" t="str">
        <f t="shared" si="18"/>
        <v/>
      </c>
      <c r="AZ42" s="55"/>
      <c r="BA42" s="63"/>
      <c r="BB42" s="48"/>
      <c r="BC42" s="56"/>
      <c r="BD42" s="48"/>
      <c r="BE42" s="56"/>
      <c r="BF42" s="64"/>
      <c r="BG42" s="48"/>
      <c r="BH42" s="51"/>
      <c r="BI42" s="52"/>
      <c r="BJ42" s="51"/>
      <c r="BK42" s="52"/>
      <c r="BL42" s="40"/>
      <c r="BM42" s="55"/>
      <c r="BN42" s="63"/>
      <c r="BO42" s="48"/>
      <c r="BP42" s="56"/>
      <c r="BQ42" s="48"/>
      <c r="BR42" s="56"/>
      <c r="BS42" s="40"/>
      <c r="BT42" s="40"/>
      <c r="BU42" s="51"/>
      <c r="BV42" s="52"/>
      <c r="BW42" s="51"/>
      <c r="BX42" s="52"/>
      <c r="BY42" s="40"/>
      <c r="BZ42" s="55" t="str">
        <f t="shared" si="88"/>
        <v/>
      </c>
    </row>
    <row r="43" ht="13.5" customHeight="1" spans="1:78">
      <c r="A43" s="25" t="s">
        <v>131</v>
      </c>
      <c r="B43" s="5" t="s">
        <v>93</v>
      </c>
      <c r="C43" s="6"/>
      <c r="D43" s="7"/>
      <c r="E43" s="32"/>
      <c r="F43" s="30" t="str">
        <f t="shared" si="78"/>
        <v/>
      </c>
      <c r="G43" s="6"/>
      <c r="H43" s="7"/>
      <c r="I43" s="38"/>
      <c r="J43" s="30" t="str">
        <f t="shared" si="74"/>
        <v/>
      </c>
      <c r="K43" s="6"/>
      <c r="L43" s="7"/>
      <c r="M43" s="40"/>
      <c r="N43" s="30" t="str">
        <f t="shared" si="81"/>
        <v/>
      </c>
      <c r="O43" s="6"/>
      <c r="P43" s="7"/>
      <c r="Q43" s="38"/>
      <c r="R43" s="30" t="str">
        <f t="shared" si="75"/>
        <v/>
      </c>
      <c r="S43" s="6"/>
      <c r="T43" s="7"/>
      <c r="U43" s="38"/>
      <c r="V43" s="30" t="str">
        <f>IF(U43="0",NETWORKDAYS(#REF!,#REF!,$EO$3:$EO$11),"")</f>
        <v/>
      </c>
      <c r="W43" s="247"/>
      <c r="X43" s="7"/>
      <c r="Y43" s="38"/>
      <c r="Z43" s="30" t="str">
        <f t="shared" si="89"/>
        <v/>
      </c>
      <c r="AA43" s="6">
        <v>45701</v>
      </c>
      <c r="AB43" s="7">
        <v>45709</v>
      </c>
      <c r="AC43" s="40" t="str">
        <f t="shared" si="83"/>
        <v>0</v>
      </c>
      <c r="AD43" s="30">
        <f ca="1">IF(AC43="0",NETWORKDAYS(AA43,AB43,$CB$3:$CB$19),NETWORKDAYS(AA43,'2025整理'!$S$1,$CB$3:$CB$19))</f>
        <v>7</v>
      </c>
      <c r="AE43" s="48" t="s">
        <v>82</v>
      </c>
      <c r="AF43" s="47" t="s">
        <v>82</v>
      </c>
      <c r="AG43" s="50" t="s">
        <v>91</v>
      </c>
      <c r="AH43" s="51"/>
      <c r="AI43" s="52"/>
      <c r="AJ43" s="51"/>
      <c r="AK43" s="52"/>
      <c r="AL43" s="40"/>
      <c r="AM43" s="40"/>
      <c r="AN43" s="40"/>
      <c r="AO43" s="48"/>
      <c r="AP43" s="56"/>
      <c r="AQ43" s="48"/>
      <c r="AR43" s="56"/>
      <c r="AS43" s="40"/>
      <c r="AT43" s="40"/>
      <c r="AU43" s="51"/>
      <c r="AV43" s="52"/>
      <c r="AW43" s="51"/>
      <c r="AX43" s="52"/>
      <c r="AY43" s="40" t="str">
        <f t="shared" si="18"/>
        <v/>
      </c>
      <c r="AZ43" s="55"/>
      <c r="BA43" s="63"/>
      <c r="BB43" s="48"/>
      <c r="BC43" s="56"/>
      <c r="BD43" s="48"/>
      <c r="BE43" s="56"/>
      <c r="BF43" s="64"/>
      <c r="BG43" s="48"/>
      <c r="BH43" s="51"/>
      <c r="BI43" s="52"/>
      <c r="BJ43" s="51"/>
      <c r="BK43" s="52"/>
      <c r="BL43" s="40"/>
      <c r="BM43" s="55"/>
      <c r="BN43" s="63"/>
      <c r="BO43" s="48"/>
      <c r="BP43" s="56"/>
      <c r="BQ43" s="48"/>
      <c r="BR43" s="56"/>
      <c r="BS43" s="40"/>
      <c r="BT43" s="40"/>
      <c r="BU43" s="51">
        <v>429.1</v>
      </c>
      <c r="BV43" s="52">
        <v>429.1</v>
      </c>
      <c r="BW43" s="51">
        <v>429.1</v>
      </c>
      <c r="BX43" s="52">
        <v>429.1</v>
      </c>
      <c r="BY43" s="40" t="str">
        <f>IF(AND(BX43&lt;&gt;"",BW43&lt;&gt;""),IF(BX43&gt;BW43,"核增",IF(BX43&lt;BW43,"核减","不变")),"")</f>
        <v>不变</v>
      </c>
      <c r="BZ43" s="55">
        <f t="shared" si="88"/>
        <v>0</v>
      </c>
    </row>
    <row r="44" ht="13.5" customHeight="1" spans="1:78">
      <c r="A44" s="25" t="s">
        <v>132</v>
      </c>
      <c r="B44" s="5" t="s">
        <v>85</v>
      </c>
      <c r="C44" s="6"/>
      <c r="D44" s="7"/>
      <c r="E44" s="32"/>
      <c r="F44" s="30" t="str">
        <f t="shared" si="78"/>
        <v/>
      </c>
      <c r="G44" s="6"/>
      <c r="H44" s="7"/>
      <c r="I44" s="38"/>
      <c r="J44" s="30" t="str">
        <f t="shared" si="74"/>
        <v/>
      </c>
      <c r="K44" s="6"/>
      <c r="L44" s="7"/>
      <c r="M44" s="40"/>
      <c r="N44" s="30" t="str">
        <f t="shared" si="81"/>
        <v/>
      </c>
      <c r="O44" s="6"/>
      <c r="P44" s="7"/>
      <c r="Q44" s="38"/>
      <c r="R44" s="30" t="str">
        <f t="shared" si="75"/>
        <v/>
      </c>
      <c r="S44" s="6"/>
      <c r="T44" s="7"/>
      <c r="U44" s="38"/>
      <c r="V44" s="30" t="str">
        <f>IF(U44="0",NETWORKDAYS(#REF!,#REF!,$EO$3:$EO$11),"")</f>
        <v/>
      </c>
      <c r="W44" s="247"/>
      <c r="X44" s="7"/>
      <c r="Y44" s="38"/>
      <c r="Z44" s="30" t="str">
        <f t="shared" si="89"/>
        <v/>
      </c>
      <c r="AA44" s="236">
        <v>46052</v>
      </c>
      <c r="AB44" s="7"/>
      <c r="AC44" s="40" t="str">
        <f t="shared" si="83"/>
        <v>1</v>
      </c>
      <c r="AD44" s="30">
        <f ca="1">IF(AC44="0",NETWORKDAYS(AA44,AB44,$CB$3:$CB$19),NETWORKDAYS(AA44,'2025整理'!$S$1,$CB$3:$CB$19))</f>
        <v>-25</v>
      </c>
      <c r="AE44" s="48" t="s">
        <v>97</v>
      </c>
      <c r="AF44" s="47" t="s">
        <v>91</v>
      </c>
      <c r="AG44" s="50" t="s">
        <v>97</v>
      </c>
      <c r="AH44" s="51"/>
      <c r="AI44" s="52"/>
      <c r="AJ44" s="51"/>
      <c r="AK44" s="52"/>
      <c r="AL44" s="40"/>
      <c r="AM44" s="40"/>
      <c r="AN44" s="40"/>
      <c r="AO44" s="48"/>
      <c r="AP44" s="56"/>
      <c r="AQ44" s="48"/>
      <c r="AR44" s="56"/>
      <c r="AS44" s="40"/>
      <c r="AT44" s="40"/>
      <c r="AU44" s="51"/>
      <c r="AV44" s="52"/>
      <c r="AW44" s="51"/>
      <c r="AX44" s="52"/>
      <c r="AY44" s="40" t="str">
        <f t="shared" si="18"/>
        <v/>
      </c>
      <c r="AZ44" s="55"/>
      <c r="BA44" s="63"/>
      <c r="BB44" s="48"/>
      <c r="BC44" s="56"/>
      <c r="BD44" s="48"/>
      <c r="BE44" s="56"/>
      <c r="BF44" s="64"/>
      <c r="BG44" s="48"/>
      <c r="BH44" s="51"/>
      <c r="BI44" s="52"/>
      <c r="BJ44" s="51"/>
      <c r="BK44" s="52"/>
      <c r="BL44" s="40"/>
      <c r="BM44" s="55"/>
      <c r="BN44" s="63"/>
      <c r="BO44" s="48"/>
      <c r="BP44" s="56"/>
      <c r="BQ44" s="48"/>
      <c r="BR44" s="56"/>
      <c r="BS44" s="40"/>
      <c r="BT44" s="40"/>
      <c r="BU44" s="51"/>
      <c r="BV44" s="52"/>
      <c r="BW44" s="51"/>
      <c r="BX44" s="52"/>
      <c r="BY44" s="40"/>
      <c r="BZ44" s="55"/>
    </row>
    <row r="45" ht="13.5" customHeight="1" spans="1:78">
      <c r="A45" s="25" t="s">
        <v>133</v>
      </c>
      <c r="B45" s="5" t="s">
        <v>85</v>
      </c>
      <c r="C45" s="6"/>
      <c r="D45" s="7"/>
      <c r="E45" s="32"/>
      <c r="F45" s="30" t="str">
        <f t="shared" si="78"/>
        <v/>
      </c>
      <c r="G45" s="6"/>
      <c r="H45" s="7"/>
      <c r="I45" s="38"/>
      <c r="J45" s="30" t="str">
        <f t="shared" si="74"/>
        <v/>
      </c>
      <c r="K45" s="6"/>
      <c r="L45" s="7"/>
      <c r="M45" s="40"/>
      <c r="N45" s="30" t="str">
        <f t="shared" si="81"/>
        <v/>
      </c>
      <c r="O45" s="6"/>
      <c r="P45" s="7"/>
      <c r="Q45" s="38"/>
      <c r="R45" s="30" t="str">
        <f t="shared" si="75"/>
        <v/>
      </c>
      <c r="S45" s="6"/>
      <c r="T45" s="7"/>
      <c r="U45" s="38"/>
      <c r="V45" s="30" t="str">
        <f>IF(U45="0",NETWORKDAYS(#REF!,#REF!,$EO$3:$EO$11),"")</f>
        <v/>
      </c>
      <c r="W45" s="247"/>
      <c r="X45" s="7"/>
      <c r="Y45" s="38"/>
      <c r="Z45" s="30" t="str">
        <f t="shared" si="89"/>
        <v/>
      </c>
      <c r="AA45" s="6">
        <v>45886</v>
      </c>
      <c r="AB45" s="7">
        <v>45889</v>
      </c>
      <c r="AC45" s="40" t="str">
        <f t="shared" si="83"/>
        <v>0</v>
      </c>
      <c r="AD45" s="30">
        <f ca="1">IF(AC45="0",NETWORKDAYS(AA45,AB45,$CB$3:$CB$19),NETWORKDAYS(AA45,'2025整理'!$S$1,$CB$3:$CB$19))</f>
        <v>3</v>
      </c>
      <c r="AE45" s="48" t="s">
        <v>82</v>
      </c>
      <c r="AF45" s="47" t="s">
        <v>82</v>
      </c>
      <c r="AG45" s="50" t="s">
        <v>87</v>
      </c>
      <c r="AH45" s="51"/>
      <c r="AI45" s="52"/>
      <c r="AJ45" s="51"/>
      <c r="AK45" s="52"/>
      <c r="AL45" s="40"/>
      <c r="AM45" s="40"/>
      <c r="AN45" s="40"/>
      <c r="AO45" s="48"/>
      <c r="AP45" s="56"/>
      <c r="AQ45" s="48"/>
      <c r="AR45" s="56"/>
      <c r="AS45" s="40"/>
      <c r="AT45" s="40"/>
      <c r="AU45" s="51"/>
      <c r="AV45" s="52"/>
      <c r="AW45" s="51"/>
      <c r="AX45" s="52"/>
      <c r="AY45" s="40" t="str">
        <f t="shared" si="18"/>
        <v/>
      </c>
      <c r="AZ45" s="55"/>
      <c r="BA45" s="63"/>
      <c r="BB45" s="48"/>
      <c r="BC45" s="56"/>
      <c r="BD45" s="48"/>
      <c r="BE45" s="56"/>
      <c r="BF45" s="64"/>
      <c r="BG45" s="48"/>
      <c r="BH45" s="51"/>
      <c r="BI45" s="52"/>
      <c r="BJ45" s="51"/>
      <c r="BK45" s="52"/>
      <c r="BL45" s="40"/>
      <c r="BM45" s="55"/>
      <c r="BN45" s="63"/>
      <c r="BO45" s="48"/>
      <c r="BP45" s="56"/>
      <c r="BQ45" s="48"/>
      <c r="BR45" s="56"/>
      <c r="BS45" s="40"/>
      <c r="BT45" s="40"/>
      <c r="BU45" s="51">
        <v>901.01</v>
      </c>
      <c r="BV45" s="52">
        <v>882.3</v>
      </c>
      <c r="BW45" s="51">
        <v>901.01</v>
      </c>
      <c r="BX45" s="52">
        <v>882.3</v>
      </c>
      <c r="BY45" s="40" t="str">
        <f>IF(AND(BX45&lt;&gt;"",BW45&lt;&gt;""),IF(BX45&gt;BW45,"核增",IF(BX45&lt;BW45,"核减","不变")),"")</f>
        <v>核减</v>
      </c>
      <c r="BZ45" s="55">
        <f>IF(AND(BX45&lt;&gt;"",BW45&lt;&gt;""),MAX(ABS(BX45),ABS(BW45))-MIN(ABS(BX45),ABS(BW45)),"")</f>
        <v>18.71</v>
      </c>
    </row>
    <row r="46" ht="13.5" customHeight="1" spans="1:78">
      <c r="A46" s="25" t="s">
        <v>134</v>
      </c>
      <c r="B46" s="5" t="s">
        <v>81</v>
      </c>
      <c r="C46" s="6"/>
      <c r="D46" s="7"/>
      <c r="E46" s="32"/>
      <c r="F46" s="30" t="str">
        <f t="shared" si="78"/>
        <v/>
      </c>
      <c r="G46" s="6"/>
      <c r="H46" s="7"/>
      <c r="I46" s="38"/>
      <c r="J46" s="30" t="str">
        <f t="shared" si="74"/>
        <v/>
      </c>
      <c r="K46" s="6"/>
      <c r="L46" s="7"/>
      <c r="M46" s="40"/>
      <c r="N46" s="30" t="str">
        <f t="shared" si="81"/>
        <v/>
      </c>
      <c r="O46" s="6"/>
      <c r="P46" s="7"/>
      <c r="Q46" s="38"/>
      <c r="R46" s="30" t="str">
        <f t="shared" si="75"/>
        <v/>
      </c>
      <c r="S46" s="6"/>
      <c r="T46" s="7"/>
      <c r="U46" s="38" t="str">
        <f t="shared" ref="U46:U47" si="90">IF(S46&lt;&gt;0,IF(T46&lt;&gt;0,"0","1"),"")</f>
        <v/>
      </c>
      <c r="V46" s="30"/>
      <c r="W46" s="6">
        <v>45869</v>
      </c>
      <c r="X46" s="7">
        <v>45870</v>
      </c>
      <c r="Y46" s="38" t="str">
        <f>IF(W46&lt;&gt;0,IF(X46&lt;&gt;0,"0","1"),"")</f>
        <v>0</v>
      </c>
      <c r="Z46" s="30">
        <f>IF(Y46="0",NETWORKDAYS(W46,X46,$EO$3:$EO$11),"")</f>
        <v>2</v>
      </c>
      <c r="AA46" s="6"/>
      <c r="AB46" s="7"/>
      <c r="AC46" s="40" t="str">
        <f t="shared" si="83"/>
        <v/>
      </c>
      <c r="AD46" s="30" t="str">
        <f>IF(AC46="0",NETWORKDAYS(AA46,AB46,$EO$3:$EO$11),"")</f>
        <v/>
      </c>
      <c r="AE46" s="48" t="s">
        <v>87</v>
      </c>
      <c r="AF46" s="47" t="s">
        <v>91</v>
      </c>
      <c r="AG46" s="50" t="s">
        <v>87</v>
      </c>
      <c r="AH46" s="51"/>
      <c r="AI46" s="52"/>
      <c r="AJ46" s="51"/>
      <c r="AK46" s="52"/>
      <c r="AL46" s="40"/>
      <c r="AM46" s="40"/>
      <c r="AN46" s="40"/>
      <c r="AO46" s="48"/>
      <c r="AP46" s="56"/>
      <c r="AQ46" s="48"/>
      <c r="AR46" s="56"/>
      <c r="AS46" s="40"/>
      <c r="AT46" s="40"/>
      <c r="AU46" s="51"/>
      <c r="AV46" s="52"/>
      <c r="AW46" s="51"/>
      <c r="AX46" s="52"/>
      <c r="AY46" s="40" t="str">
        <f t="shared" si="18"/>
        <v/>
      </c>
      <c r="AZ46" s="55"/>
      <c r="BA46" s="63"/>
      <c r="BB46" s="48"/>
      <c r="BC46" s="56"/>
      <c r="BD46" s="48"/>
      <c r="BE46" s="56"/>
      <c r="BF46" s="64"/>
      <c r="BG46" s="48"/>
      <c r="BH46" s="51"/>
      <c r="BI46" s="52">
        <v>10449.07</v>
      </c>
      <c r="BJ46" s="51"/>
      <c r="BK46" s="52">
        <v>10275.06</v>
      </c>
      <c r="BL46" s="40"/>
      <c r="BM46" s="55"/>
      <c r="BN46" s="63"/>
      <c r="BO46" s="48">
        <v>12067.3</v>
      </c>
      <c r="BP46" s="56">
        <v>12067.3</v>
      </c>
      <c r="BQ46" s="48">
        <v>11865.2</v>
      </c>
      <c r="BR46" s="56">
        <v>11865.2</v>
      </c>
      <c r="BS46" s="40" t="str">
        <f>IF(AND(BR46&lt;&gt;"",BQ46&lt;&gt;""),IF(BR46&gt;BQ46,"核增",IF(BR46&lt;BQ46,"核减","不变")),"")</f>
        <v>不变</v>
      </c>
      <c r="BT46" s="40">
        <f>IF(AND(BR46&lt;&gt;"",BQ46&lt;&gt;""),MAX(ABS(BR46),ABS(BQ46))-MIN(ABS(BR46),ABS(BQ46)),"")</f>
        <v>0</v>
      </c>
      <c r="BU46" s="51"/>
      <c r="BV46" s="52"/>
      <c r="BW46" s="51"/>
      <c r="BX46" s="52"/>
      <c r="BY46" s="40"/>
      <c r="BZ46" s="63"/>
    </row>
    <row r="47" ht="13.5" customHeight="1" spans="1:78">
      <c r="A47" s="25" t="s">
        <v>135</v>
      </c>
      <c r="B47" s="5" t="s">
        <v>93</v>
      </c>
      <c r="C47" s="6"/>
      <c r="D47" s="7"/>
      <c r="E47" s="32"/>
      <c r="F47" s="30" t="str">
        <f t="shared" si="78"/>
        <v/>
      </c>
      <c r="G47" s="6"/>
      <c r="H47" s="7"/>
      <c r="I47" s="38" t="str">
        <f t="shared" ref="I47:I50" si="91">IF(G47&lt;&gt;0,IF(H47&lt;&gt;0,"0","1"),"")</f>
        <v/>
      </c>
      <c r="J47" s="30" t="str">
        <f t="shared" si="74"/>
        <v/>
      </c>
      <c r="K47" s="6"/>
      <c r="L47" s="7"/>
      <c r="M47" s="40" t="str">
        <f>IF(K47&lt;&gt;0,IF(L47&lt;&gt;0,"0","1"),"")</f>
        <v/>
      </c>
      <c r="N47" s="30" t="str">
        <f t="shared" si="81"/>
        <v/>
      </c>
      <c r="O47" s="6">
        <v>45659</v>
      </c>
      <c r="P47" s="7">
        <v>45683</v>
      </c>
      <c r="Q47" s="38" t="str">
        <f>IF(O47&lt;&gt;0,IF(P47&lt;&gt;0,"0","1"),"")</f>
        <v>0</v>
      </c>
      <c r="R47" s="30">
        <f t="shared" si="75"/>
        <v>17</v>
      </c>
      <c r="S47" s="243">
        <v>45765</v>
      </c>
      <c r="T47" s="244">
        <v>45791</v>
      </c>
      <c r="U47" s="38" t="str">
        <f t="shared" si="90"/>
        <v>0</v>
      </c>
      <c r="V47" s="30">
        <f>IF(U47="0",NETWORKDAYS(S47,T47,$CB$3:$CB$19),"")</f>
        <v>19</v>
      </c>
      <c r="W47" s="247"/>
      <c r="X47" s="7"/>
      <c r="Y47" s="38"/>
      <c r="Z47" s="30"/>
      <c r="AA47" s="6">
        <v>45987</v>
      </c>
      <c r="AB47" s="7"/>
      <c r="AC47" s="40" t="str">
        <f t="shared" si="83"/>
        <v>1</v>
      </c>
      <c r="AD47" s="30">
        <f ca="1">IF(AC47="0",NETWORKDAYS(AA47,AB47,$CB$3:$CB$19),NETWORKDAYS(AA47,'2025整理'!$S$1,$CB$3:$CB$19))</f>
        <v>24</v>
      </c>
      <c r="AE47" s="48" t="s">
        <v>82</v>
      </c>
      <c r="AF47" s="48" t="s">
        <v>82</v>
      </c>
      <c r="AG47" s="50" t="s">
        <v>87</v>
      </c>
      <c r="AH47" s="51"/>
      <c r="AI47" s="52"/>
      <c r="AJ47" s="51"/>
      <c r="AK47" s="52"/>
      <c r="AL47" s="40"/>
      <c r="AM47" s="40"/>
      <c r="AN47" s="40"/>
      <c r="AO47" s="48"/>
      <c r="AP47" s="56">
        <v>80099.63</v>
      </c>
      <c r="AQ47" s="48"/>
      <c r="AR47" s="56">
        <v>78704.85</v>
      </c>
      <c r="AS47" s="40" t="str">
        <f>IF(AND(AR47&lt;&gt;"",AQ47&lt;&gt;""),IF(AR47&gt;AQ47,"核增",IF(AR47&lt;AQ47,"核减","不变")),"")</f>
        <v/>
      </c>
      <c r="AT47" s="40" t="str">
        <f>IF(AND(AR47&lt;&gt;"",AQ47&lt;&gt;""),MAX(ABS(AR47),ABS(AQ47))-MIN(ABS(AR47),ABS(AQ47)),"")</f>
        <v/>
      </c>
      <c r="AU47" s="51"/>
      <c r="AV47" s="52">
        <v>25908.26</v>
      </c>
      <c r="AW47" s="51"/>
      <c r="AX47" s="52">
        <v>25490.89</v>
      </c>
      <c r="AY47" s="40" t="str">
        <f t="shared" si="18"/>
        <v/>
      </c>
      <c r="AZ47" s="55" t="str">
        <f>IF(AND(AX47&lt;&gt;"",AW47&lt;&gt;""),MAX(ABS(AX47),ABS(AW47))-MIN(ABS(AX47),ABS(AW47)),"")</f>
        <v/>
      </c>
      <c r="BA47" s="63"/>
      <c r="BB47" s="51">
        <v>76274.64</v>
      </c>
      <c r="BC47" s="52">
        <v>76428.32</v>
      </c>
      <c r="BD47" s="51">
        <v>74992.71</v>
      </c>
      <c r="BE47" s="52">
        <v>75143.64</v>
      </c>
      <c r="BF47" s="64" t="str">
        <f>IF(AND(BE47&lt;&gt;"",BD47&lt;&gt;""),IF(BE47&gt;BD47,"核增",IF(BE47&lt;BD47,"核减","不变")),"")</f>
        <v>核增</v>
      </c>
      <c r="BG47" s="52">
        <f>IF(AND(BE47&lt;&gt;"",BD47&lt;&gt;""),MAX(ABS(BE47),ABS(BD47))-MIN(ABS(BE47),ABS(BD47)),"")</f>
        <v>150.929999999993</v>
      </c>
      <c r="BH47" s="51">
        <v>24093.84</v>
      </c>
      <c r="BI47" s="52">
        <v>24165.44</v>
      </c>
      <c r="BJ47" s="51">
        <v>23705.86</v>
      </c>
      <c r="BK47" s="52">
        <v>23776.86</v>
      </c>
      <c r="BL47" s="40" t="str">
        <f>IF(AND(BK47&lt;&gt;"",BJ47&lt;&gt;""),IF(BK47&gt;BJ47,"核增",IF(BK47&lt;BJ47,"核减","不变")),"")</f>
        <v>核增</v>
      </c>
      <c r="BM47" s="55">
        <f>IF(AND(BK47&lt;&gt;"",BJ47&lt;&gt;""),MAX(ABS(BK47),ABS(BJ47))-MIN(ABS(BK47),ABS(BJ47)),"")</f>
        <v>71</v>
      </c>
      <c r="BN47" s="63" t="str">
        <f>IF(AND(BI47&lt;&gt;"",AV47&lt;&gt;""),IF(BI47&gt;AV47,"核增",IF(BI47&lt;AV47,"核减","不变")),"")&amp;TEXT(IF(AND(BI47&lt;&gt;"",AV47&lt;&gt;""),MAX(ABS(BI47),ABS(AV47))-MIN(ABS(BI47),ABS(AV47)),""),"0.00")</f>
        <v>核减1742.82</v>
      </c>
      <c r="BO47" s="48"/>
      <c r="BP47" s="56"/>
      <c r="BQ47" s="48"/>
      <c r="BR47" s="56"/>
      <c r="BS47" s="40"/>
      <c r="BT47" s="40"/>
      <c r="BU47" s="51"/>
      <c r="BV47" s="52"/>
      <c r="BW47" s="51"/>
      <c r="BX47" s="52"/>
      <c r="BY47" s="40"/>
      <c r="BZ47" s="55" t="str">
        <f t="shared" ref="BZ47:BZ48" si="92">IF(AND(BX47&lt;&gt;"",BW47&lt;&gt;""),MAX(ABS(BX47),ABS(BW47))-MIN(ABS(BX47),ABS(BW47)),"")</f>
        <v/>
      </c>
    </row>
    <row r="48" ht="13.5" customHeight="1" spans="1:78">
      <c r="A48" s="25" t="s">
        <v>136</v>
      </c>
      <c r="B48" s="5" t="s">
        <v>96</v>
      </c>
      <c r="C48" s="6"/>
      <c r="D48" s="7"/>
      <c r="E48" s="32" t="str">
        <f t="shared" ref="E48:E49" si="93">IF(C48&lt;&gt;0,IF(D48&lt;&gt;0,"0","1"),"")</f>
        <v/>
      </c>
      <c r="F48" s="30" t="str">
        <f t="shared" si="78"/>
        <v/>
      </c>
      <c r="G48" s="236">
        <v>46052</v>
      </c>
      <c r="H48" s="7"/>
      <c r="I48" s="38" t="str">
        <f t="shared" si="91"/>
        <v>1</v>
      </c>
      <c r="J48" s="30">
        <f ca="1">IF(I48="0",NETWORKDAYS(G48,H48,$CB$3:$CB$19),NETWORKDAYS(G48,'2025整理'!$S$1,$CB$3:$CB$19))</f>
        <v>-25</v>
      </c>
      <c r="K48" s="6"/>
      <c r="L48" s="7"/>
      <c r="M48" s="40"/>
      <c r="N48" s="30" t="str">
        <f t="shared" si="81"/>
        <v/>
      </c>
      <c r="O48" s="6"/>
      <c r="P48" s="7"/>
      <c r="Q48" s="38"/>
      <c r="R48" s="30" t="str">
        <f t="shared" si="75"/>
        <v/>
      </c>
      <c r="S48" s="6"/>
      <c r="T48" s="7"/>
      <c r="U48" s="38"/>
      <c r="V48" s="30" t="str">
        <f>IF(U48="0",NETWORKDAYS(#REF!,#REF!,$EO$3:$EO$11),"")</f>
        <v/>
      </c>
      <c r="W48" s="247"/>
      <c r="X48" s="7"/>
      <c r="Y48" s="38"/>
      <c r="Z48" s="30" t="str">
        <f t="shared" ref="Z48:Z50" si="94">IF(Y48="0",NETWORKDAYS(S48,T48,$EO$3:$EO$11),"")</f>
        <v/>
      </c>
      <c r="AA48" s="6"/>
      <c r="AB48" s="7"/>
      <c r="AC48" s="40"/>
      <c r="AD48" s="30" t="str">
        <f t="shared" ref="AD48:AD49" si="95">IF(AC48="0",NETWORKDAYS(AA48,AB48,$EO$3:$EO$11),"")</f>
        <v/>
      </c>
      <c r="AE48" s="48" t="s">
        <v>90</v>
      </c>
      <c r="AF48" s="47" t="s">
        <v>90</v>
      </c>
      <c r="AG48" s="50" t="s">
        <v>97</v>
      </c>
      <c r="AH48" s="51"/>
      <c r="AI48" s="52"/>
      <c r="AJ48" s="51"/>
      <c r="AK48" s="52"/>
      <c r="AL48" s="40"/>
      <c r="AM48" s="40"/>
      <c r="AN48" s="40"/>
      <c r="AO48" s="48"/>
      <c r="AP48" s="56"/>
      <c r="AQ48" s="48"/>
      <c r="AR48" s="56"/>
      <c r="AS48" s="40"/>
      <c r="AT48" s="40"/>
      <c r="AU48" s="51"/>
      <c r="AV48" s="52"/>
      <c r="AW48" s="51"/>
      <c r="AX48" s="52"/>
      <c r="AY48" s="40" t="str">
        <f t="shared" si="18"/>
        <v/>
      </c>
      <c r="AZ48" s="55"/>
      <c r="BA48" s="63"/>
      <c r="BB48" s="48"/>
      <c r="BC48" s="56"/>
      <c r="BD48" s="48"/>
      <c r="BE48" s="56"/>
      <c r="BF48" s="64"/>
      <c r="BG48" s="48"/>
      <c r="BH48" s="51"/>
      <c r="BI48" s="52"/>
      <c r="BJ48" s="51"/>
      <c r="BK48" s="52"/>
      <c r="BL48" s="40"/>
      <c r="BM48" s="55"/>
      <c r="BN48" s="63"/>
      <c r="BO48" s="48"/>
      <c r="BP48" s="56"/>
      <c r="BQ48" s="48"/>
      <c r="BR48" s="56"/>
      <c r="BS48" s="40"/>
      <c r="BT48" s="40"/>
      <c r="BU48" s="51"/>
      <c r="BV48" s="52"/>
      <c r="BW48" s="51"/>
      <c r="BX48" s="52"/>
      <c r="BY48" s="40"/>
      <c r="BZ48" s="55" t="str">
        <f t="shared" si="92"/>
        <v/>
      </c>
    </row>
    <row r="49" ht="13.5" customHeight="1" spans="1:78">
      <c r="A49" s="26" t="s">
        <v>137</v>
      </c>
      <c r="B49" s="5" t="s">
        <v>93</v>
      </c>
      <c r="C49" s="6">
        <v>45730</v>
      </c>
      <c r="D49" s="7">
        <v>45756</v>
      </c>
      <c r="E49" s="32" t="str">
        <f t="shared" si="93"/>
        <v>0</v>
      </c>
      <c r="F49" s="30">
        <f t="shared" si="78"/>
        <v>19</v>
      </c>
      <c r="G49" s="241"/>
      <c r="H49" s="7"/>
      <c r="I49" s="38" t="str">
        <f t="shared" si="91"/>
        <v/>
      </c>
      <c r="J49" s="30" t="str">
        <f t="shared" ref="J49:J50" si="96">IF(I49="0",NETWORKDAYS(G49,H49,$EO$3:$EO$11),"")</f>
        <v/>
      </c>
      <c r="K49" s="6">
        <v>45855</v>
      </c>
      <c r="L49" s="7">
        <v>45880</v>
      </c>
      <c r="M49" s="40" t="str">
        <f>IF(K49&lt;&gt;0,IF(L49&lt;&gt;0,"0","1"),"")</f>
        <v>0</v>
      </c>
      <c r="N49" s="30">
        <f t="shared" si="81"/>
        <v>18</v>
      </c>
      <c r="O49" s="6"/>
      <c r="P49" s="7"/>
      <c r="Q49" s="38"/>
      <c r="R49" s="30" t="str">
        <f t="shared" si="75"/>
        <v/>
      </c>
      <c r="S49" s="6">
        <v>46021</v>
      </c>
      <c r="T49" s="7"/>
      <c r="U49" s="38" t="str">
        <f>IF(S49&lt;&gt;0,IF(T49&lt;&gt;0,"0","1"),"")</f>
        <v>1</v>
      </c>
      <c r="V49" s="30">
        <f ca="1">IF(U49="0",NETWORKDAYS(S49,T49,$CB$3:$CB$19),NETWORKDAYS(S49,'2025整理'!$S$1,$CB$3:$CB$19))</f>
        <v>-2</v>
      </c>
      <c r="W49" s="247"/>
      <c r="X49" s="7"/>
      <c r="Y49" s="38"/>
      <c r="Z49" s="30" t="str">
        <f t="shared" si="94"/>
        <v/>
      </c>
      <c r="AA49" s="6"/>
      <c r="AB49" s="7"/>
      <c r="AC49" s="40"/>
      <c r="AD49" s="30" t="str">
        <f t="shared" si="95"/>
        <v/>
      </c>
      <c r="AE49" s="48" t="s">
        <v>82</v>
      </c>
      <c r="AF49" s="47" t="s">
        <v>82</v>
      </c>
      <c r="AG49" s="50" t="s">
        <v>87</v>
      </c>
      <c r="AH49" s="51">
        <v>5566.9</v>
      </c>
      <c r="AI49" s="52">
        <v>5634.37</v>
      </c>
      <c r="AJ49" s="51">
        <v>5489.11</v>
      </c>
      <c r="AK49" s="52">
        <v>5539.93</v>
      </c>
      <c r="AL49" s="40" t="str">
        <f>IF(AND(AK49&lt;&gt;"",AJ49&lt;&gt;""),IF(AK49&gt;AJ49,"核增",IF(AK49&lt;AJ49,"核减","不变")),"")</f>
        <v>核增</v>
      </c>
      <c r="AM49" s="40">
        <f>IF(AND(AI49&lt;&gt;"",AH49&lt;&gt;""),MAX(ABS(AI49),ABS(AH49))-MIN(ABS(AI49),ABS(AH49)),"")</f>
        <v>67.4700000000003</v>
      </c>
      <c r="AN49" s="40">
        <f>IF(AND(AK49&lt;&gt;"",AJ49&lt;&gt;""),MAX(ABS(AK49),ABS(AJ49))-MIN(ABS(AK49),ABS(AJ49)),"")</f>
        <v>50.8200000000006</v>
      </c>
      <c r="AO49" s="48"/>
      <c r="AP49" s="56"/>
      <c r="AQ49" s="48"/>
      <c r="AR49" s="56"/>
      <c r="AS49" s="40"/>
      <c r="AT49" s="40"/>
      <c r="AU49" s="51">
        <v>5552.76</v>
      </c>
      <c r="AV49" s="52">
        <v>5488.68</v>
      </c>
      <c r="AW49" s="51">
        <v>5468.9</v>
      </c>
      <c r="AX49" s="52">
        <v>5405.9</v>
      </c>
      <c r="AY49" s="40" t="str">
        <f t="shared" si="18"/>
        <v>核减</v>
      </c>
      <c r="AZ49" s="55">
        <f>IF(AND(AX49&lt;&gt;"",AW49&lt;&gt;""),MAX(ABS(AX49),ABS(AW49))-MIN(ABS(AX49),ABS(AW49)),"")</f>
        <v>63</v>
      </c>
      <c r="BA49" s="63" t="str">
        <f>IF(AND(AV49&lt;&gt;"",AI49&lt;&gt;""),IF(AV49&gt;AI49,"核增",IF(AV49&lt;AI49,"核减","不变")),"")&amp;TEXT(IF(AND(AV49&lt;&gt;"",AI49&lt;&gt;""),MAX(ABS(AV49),ABS(AI49))-MIN(ABS(AV49),ABS(AI49)),""),"0.00")</f>
        <v>核减145.69</v>
      </c>
      <c r="BB49" s="48"/>
      <c r="BC49" s="56"/>
      <c r="BD49" s="48"/>
      <c r="BE49" s="56"/>
      <c r="BF49" s="64"/>
      <c r="BG49" s="48"/>
      <c r="BH49" s="51"/>
      <c r="BI49" s="52"/>
      <c r="BJ49" s="51"/>
      <c r="BK49" s="52"/>
      <c r="BL49" s="40"/>
      <c r="BM49" s="55"/>
      <c r="BN49" s="63"/>
      <c r="BO49" s="48"/>
      <c r="BP49" s="56"/>
      <c r="BQ49" s="48"/>
      <c r="BR49" s="56"/>
      <c r="BS49" s="40"/>
      <c r="BT49" s="40"/>
      <c r="BU49" s="51"/>
      <c r="BV49" s="52"/>
      <c r="BW49" s="51"/>
      <c r="BX49" s="52"/>
      <c r="BY49" s="40"/>
      <c r="BZ49" s="55"/>
    </row>
    <row r="50" ht="13.5" customHeight="1" spans="1:78">
      <c r="A50" s="25" t="s">
        <v>138</v>
      </c>
      <c r="B50" s="5" t="s">
        <v>93</v>
      </c>
      <c r="C50" s="6"/>
      <c r="D50" s="7"/>
      <c r="E50" s="32"/>
      <c r="F50" s="30" t="str">
        <f t="shared" si="78"/>
        <v/>
      </c>
      <c r="G50" s="6">
        <v>45636</v>
      </c>
      <c r="H50" s="7">
        <v>45696</v>
      </c>
      <c r="I50" s="38" t="str">
        <f t="shared" si="91"/>
        <v>0</v>
      </c>
      <c r="J50" s="30">
        <f t="shared" si="96"/>
        <v>44</v>
      </c>
      <c r="K50" s="6"/>
      <c r="L50" s="7"/>
      <c r="M50" s="40"/>
      <c r="N50" s="30" t="str">
        <f t="shared" si="81"/>
        <v/>
      </c>
      <c r="O50" s="6">
        <v>45791</v>
      </c>
      <c r="P50" s="7">
        <v>45817</v>
      </c>
      <c r="Q50" s="38" t="str">
        <f>IF(O50&lt;&gt;0,IF(P50&lt;&gt;0,"0","1"),"")</f>
        <v>0</v>
      </c>
      <c r="R50" s="30">
        <f ca="1">IF(Q50="0",NETWORKDAYS(O50,P50,$CB$3:$CB$19),NETWORKDAYS(O50,'2025整理'!$S$1,$CB$3:$CB$19))</f>
        <v>19</v>
      </c>
      <c r="S50" s="6"/>
      <c r="T50" s="7"/>
      <c r="U50" s="38"/>
      <c r="V50" s="30" t="str">
        <f>IF(U50="0",NETWORKDAYS(#REF!,#REF!,$EO$3:$EO$11),"")</f>
        <v/>
      </c>
      <c r="W50" s="247"/>
      <c r="X50" s="7"/>
      <c r="Y50" s="38"/>
      <c r="Z50" s="30" t="str">
        <f t="shared" si="94"/>
        <v/>
      </c>
      <c r="AA50" s="6"/>
      <c r="AB50" s="7"/>
      <c r="AC50" s="40" t="str">
        <f>IF(AA50&lt;&gt;0,IF(AB50&lt;&gt;0,"0","1"),"")</f>
        <v/>
      </c>
      <c r="AD50" s="30"/>
      <c r="AE50" s="48" t="s">
        <v>82</v>
      </c>
      <c r="AF50" s="49" t="s">
        <v>82</v>
      </c>
      <c r="AG50" s="50" t="s">
        <v>83</v>
      </c>
      <c r="AH50" s="51"/>
      <c r="AI50" s="52"/>
      <c r="AJ50" s="51"/>
      <c r="AK50" s="52"/>
      <c r="AL50" s="40"/>
      <c r="AM50" s="40"/>
      <c r="AN50" s="40"/>
      <c r="AO50" s="48">
        <v>15695.95</v>
      </c>
      <c r="AP50" s="56">
        <v>17165.69</v>
      </c>
      <c r="AQ50" s="48">
        <v>15426.49</v>
      </c>
      <c r="AR50" s="56">
        <v>16871</v>
      </c>
      <c r="AS50" s="55" t="str">
        <f>IF(AND(AR50&lt;&gt;"",AQ50&lt;&gt;""),IF(AR50&gt;AQ50,"核增",IF(AR50&lt;AQ50,"核减","不变")),"")</f>
        <v>核增</v>
      </c>
      <c r="AT50" s="55">
        <f>IF(AND(AR50&lt;&gt;"",AQ50&lt;&gt;""),MAX(ABS(AR50),ABS(AQ50))-MIN(ABS(AR50),ABS(AQ50)),"")</f>
        <v>1444.51</v>
      </c>
      <c r="AU50" s="51"/>
      <c r="AV50" s="52"/>
      <c r="AW50" s="51"/>
      <c r="AX50" s="52"/>
      <c r="AY50" s="40" t="str">
        <f t="shared" si="18"/>
        <v/>
      </c>
      <c r="AZ50" s="55"/>
      <c r="BA50" s="63"/>
      <c r="BB50" s="48">
        <v>17103.54</v>
      </c>
      <c r="BC50" s="56">
        <v>17105.33</v>
      </c>
      <c r="BD50" s="48">
        <v>16809.92</v>
      </c>
      <c r="BE50" s="56">
        <v>16812.11</v>
      </c>
      <c r="BF50" s="64" t="str">
        <f>IF(AND(BE50&lt;&gt;"",BD50&lt;&gt;""),IF(BE50&gt;BD50,"核增",IF(BE50&lt;BD50,"核减","不变")),"")</f>
        <v>核增</v>
      </c>
      <c r="BG50" s="52">
        <f>IF(AND(BE50&lt;&gt;"",BD50&lt;&gt;""),MAX(ABS(BE50),ABS(BD50))-MIN(ABS(BE50),ABS(BD50)),"")</f>
        <v>2.19000000000233</v>
      </c>
      <c r="BH50" s="51"/>
      <c r="BI50" s="52"/>
      <c r="BJ50" s="51"/>
      <c r="BK50" s="52"/>
      <c r="BL50" s="40"/>
      <c r="BM50" s="55"/>
      <c r="BN50" s="63"/>
      <c r="BO50" s="48"/>
      <c r="BP50" s="56"/>
      <c r="BQ50" s="48"/>
      <c r="BR50" s="56"/>
      <c r="BS50" s="40"/>
      <c r="BT50" s="40"/>
      <c r="BU50" s="51"/>
      <c r="BV50" s="52"/>
      <c r="BW50" s="51"/>
      <c r="BX50" s="52"/>
      <c r="BY50" s="40"/>
      <c r="BZ50" s="55"/>
    </row>
    <row r="51" ht="13.5" customHeight="1" spans="1:78">
      <c r="A51" s="25" t="s">
        <v>139</v>
      </c>
      <c r="B51" s="5" t="s">
        <v>96</v>
      </c>
      <c r="C51" s="6"/>
      <c r="D51" s="7"/>
      <c r="E51" s="32"/>
      <c r="F51" s="30"/>
      <c r="G51" s="6"/>
      <c r="H51" s="7"/>
      <c r="I51" s="38"/>
      <c r="J51" s="30"/>
      <c r="K51" s="6"/>
      <c r="L51" s="7"/>
      <c r="M51" s="40"/>
      <c r="N51" s="30"/>
      <c r="O51" s="6"/>
      <c r="P51" s="7"/>
      <c r="Q51" s="38"/>
      <c r="R51" s="30"/>
      <c r="S51" s="243">
        <v>45666</v>
      </c>
      <c r="T51" s="244">
        <v>45680</v>
      </c>
      <c r="U51" s="38" t="str">
        <f>IF(S51&lt;&gt;0,IF(T51&lt;&gt;0,"0","1"),"")</f>
        <v>0</v>
      </c>
      <c r="V51" s="30">
        <f>IF(U51="0",NETWORKDAYS(S51,T51,$CB$3:$CB$19),"")</f>
        <v>11</v>
      </c>
      <c r="W51" s="247"/>
      <c r="X51" s="7"/>
      <c r="Y51" s="38"/>
      <c r="Z51" s="30"/>
      <c r="AA51" s="6"/>
      <c r="AB51" s="7"/>
      <c r="AC51" s="40"/>
      <c r="AD51" s="30"/>
      <c r="AE51" s="48" t="s">
        <v>86</v>
      </c>
      <c r="AF51" s="47" t="s">
        <v>86</v>
      </c>
      <c r="AG51" s="50" t="s">
        <v>91</v>
      </c>
      <c r="AH51" s="51"/>
      <c r="AI51" s="52"/>
      <c r="AJ51" s="51"/>
      <c r="AK51" s="52"/>
      <c r="AL51" s="40"/>
      <c r="AM51" s="40"/>
      <c r="AN51" s="40"/>
      <c r="AO51" s="48"/>
      <c r="AP51" s="56"/>
      <c r="AQ51" s="48"/>
      <c r="AR51" s="56"/>
      <c r="AS51" s="40"/>
      <c r="AT51" s="40"/>
      <c r="AU51" s="51"/>
      <c r="AV51" s="52">
        <v>964</v>
      </c>
      <c r="AW51" s="51"/>
      <c r="AX51" s="52">
        <v>949</v>
      </c>
      <c r="AY51" s="40" t="str">
        <f t="shared" si="18"/>
        <v/>
      </c>
      <c r="AZ51" s="55"/>
      <c r="BA51" s="63"/>
      <c r="BB51" s="48"/>
      <c r="BC51" s="56"/>
      <c r="BD51" s="48"/>
      <c r="BE51" s="56"/>
      <c r="BF51" s="64"/>
      <c r="BG51" s="48"/>
      <c r="BH51" s="51">
        <v>957</v>
      </c>
      <c r="BI51" s="52">
        <v>961</v>
      </c>
      <c r="BJ51" s="51">
        <v>943</v>
      </c>
      <c r="BK51" s="52">
        <v>947</v>
      </c>
      <c r="BL51" s="40" t="str">
        <f t="shared" ref="BL51:BL52" si="97">IF(AND(BK51&lt;&gt;"",BJ51&lt;&gt;""),IF(BK51&gt;BJ51,"核增",IF(BK51&lt;BJ51,"核减","不变")),"")</f>
        <v>核增</v>
      </c>
      <c r="BM51" s="55">
        <f t="shared" ref="BM51:BM52" si="98">IF(AND(BK51&lt;&gt;"",BJ51&lt;&gt;""),MAX(ABS(BK51),ABS(BJ51))-MIN(ABS(BK51),ABS(BJ51)),"")</f>
        <v>4</v>
      </c>
      <c r="BN51" s="63" t="str">
        <f t="shared" ref="BN51:BN52" si="99">IF(AND(BI51&lt;&gt;"",AV51&lt;&gt;""),IF(BI51&gt;AV51,"核增",IF(BI51&lt;AV51,"核减","不变")),"")&amp;TEXT(IF(AND(BI51&lt;&gt;"",AV51&lt;&gt;""),MAX(ABS(BI51),ABS(AV51))-MIN(ABS(BI51),ABS(AV51)),""),"0.00")</f>
        <v>核减3.00</v>
      </c>
      <c r="BO51" s="48"/>
      <c r="BP51" s="56"/>
      <c r="BQ51" s="48"/>
      <c r="BR51" s="56"/>
      <c r="BS51" s="40"/>
      <c r="BT51" s="40"/>
      <c r="BU51" s="51"/>
      <c r="BV51" s="52"/>
      <c r="BW51" s="51"/>
      <c r="BX51" s="52"/>
      <c r="BY51" s="40"/>
      <c r="BZ51" s="55"/>
    </row>
    <row r="52" ht="13.5" customHeight="1" spans="1:78">
      <c r="A52" s="25" t="s">
        <v>140</v>
      </c>
      <c r="B52" s="5" t="s">
        <v>93</v>
      </c>
      <c r="C52" s="6"/>
      <c r="D52" s="7"/>
      <c r="E52" s="32"/>
      <c r="F52" s="30"/>
      <c r="G52" s="6"/>
      <c r="H52" s="7"/>
      <c r="I52" s="38"/>
      <c r="J52" s="30"/>
      <c r="K52" s="6">
        <v>45672</v>
      </c>
      <c r="L52" s="7">
        <v>45679</v>
      </c>
      <c r="M52" s="40" t="str">
        <f t="shared" ref="M52:M53" si="100">IF(K52&lt;&gt;0,IF(L52&lt;&gt;0,"0","1"),"")</f>
        <v>0</v>
      </c>
      <c r="N52" s="30">
        <f ca="1">IF(M52="0",NETWORKDAYS(K52,L52,$CB$3:$CB$19),NETWORKDAYS(K52,'2025整理'!$S$1,$CB$3:$CB$19))</f>
        <v>6</v>
      </c>
      <c r="O52" s="6"/>
      <c r="P52" s="7"/>
      <c r="Q52" s="38"/>
      <c r="R52" s="30"/>
      <c r="S52" s="6">
        <v>45799</v>
      </c>
      <c r="T52" s="7">
        <v>45826</v>
      </c>
      <c r="U52" s="38" t="s">
        <v>141</v>
      </c>
      <c r="V52" s="30">
        <v>20</v>
      </c>
      <c r="W52" s="247"/>
      <c r="X52" s="7"/>
      <c r="Y52" s="38"/>
      <c r="Z52" s="30"/>
      <c r="AA52" s="6"/>
      <c r="AB52" s="7"/>
      <c r="AC52" s="40"/>
      <c r="AD52" s="30"/>
      <c r="AE52" s="48" t="s">
        <v>82</v>
      </c>
      <c r="AF52" s="47" t="s">
        <v>82</v>
      </c>
      <c r="AG52" s="50" t="s">
        <v>91</v>
      </c>
      <c r="AH52" s="51"/>
      <c r="AI52" s="52">
        <v>3067.29</v>
      </c>
      <c r="AJ52" s="51"/>
      <c r="AK52" s="52">
        <v>3038.86</v>
      </c>
      <c r="AL52" s="40"/>
      <c r="AM52" s="40"/>
      <c r="AN52" s="40"/>
      <c r="AO52" s="48"/>
      <c r="AP52" s="56"/>
      <c r="AQ52" s="48"/>
      <c r="AR52" s="56"/>
      <c r="AS52" s="40"/>
      <c r="AT52" s="40"/>
      <c r="AU52" s="51">
        <v>3065.71</v>
      </c>
      <c r="AV52" s="52">
        <v>3052.52</v>
      </c>
      <c r="AW52" s="51">
        <v>3040.11</v>
      </c>
      <c r="AX52" s="52">
        <v>3027.02</v>
      </c>
      <c r="AY52" s="40" t="str">
        <f t="shared" si="18"/>
        <v>核减</v>
      </c>
      <c r="AZ52" s="55">
        <f>IF(AND(AX52&lt;&gt;"",AW52&lt;&gt;""),MAX(ABS(AX52),ABS(AW52))-MIN(ABS(AX52),ABS(AW52)),"")</f>
        <v>13.0900000000001</v>
      </c>
      <c r="BA52" s="63" t="str">
        <f>IF(AND(AV52&lt;&gt;"",AI52&lt;&gt;""),IF(AV52&gt;AI52,"核增",IF(AV52&lt;AI52,"核减","不变")),"")&amp;TEXT(IF(AND(AV52&lt;&gt;"",AI52&lt;&gt;""),MAX(ABS(AV52),ABS(AI52))-MIN(ABS(AV52),ABS(AI52)),""),"0.00")</f>
        <v>核减14.77</v>
      </c>
      <c r="BB52" s="48"/>
      <c r="BC52" s="56"/>
      <c r="BD52" s="48"/>
      <c r="BE52" s="56"/>
      <c r="BF52" s="64"/>
      <c r="BG52" s="48"/>
      <c r="BH52" s="51">
        <v>2913.21</v>
      </c>
      <c r="BI52" s="52">
        <v>3012.27</v>
      </c>
      <c r="BJ52" s="51">
        <v>2890.49</v>
      </c>
      <c r="BK52" s="52">
        <v>2987.12</v>
      </c>
      <c r="BL52" s="40" t="str">
        <f t="shared" si="97"/>
        <v>核增</v>
      </c>
      <c r="BM52" s="55">
        <f t="shared" si="98"/>
        <v>96.6300000000001</v>
      </c>
      <c r="BN52" s="63" t="str">
        <f t="shared" si="99"/>
        <v>核减40.25</v>
      </c>
      <c r="BO52" s="48"/>
      <c r="BP52" s="56"/>
      <c r="BQ52" s="48"/>
      <c r="BR52" s="56"/>
      <c r="BS52" s="40"/>
      <c r="BT52" s="40"/>
      <c r="BU52" s="51"/>
      <c r="BV52" s="52"/>
      <c r="BW52" s="51"/>
      <c r="BX52" s="52"/>
      <c r="BY52" s="40"/>
      <c r="BZ52" s="55"/>
    </row>
    <row r="53" ht="13.5" customHeight="1" spans="1:78">
      <c r="A53" s="25" t="s">
        <v>142</v>
      </c>
      <c r="B53" s="5" t="s">
        <v>85</v>
      </c>
      <c r="C53" s="6"/>
      <c r="D53" s="7"/>
      <c r="E53" s="32" t="str">
        <f t="shared" ref="E53:E54" si="101">IF(C53&lt;&gt;0,IF(D53&lt;&gt;0,"0","1"),"")</f>
        <v/>
      </c>
      <c r="F53" s="30"/>
      <c r="G53" s="6">
        <v>45895</v>
      </c>
      <c r="H53" s="7">
        <v>45945</v>
      </c>
      <c r="I53" s="38" t="str">
        <f>IF(G53&lt;&gt;0,IF(H53&lt;&gt;0,"0","1"),"")</f>
        <v>0</v>
      </c>
      <c r="J53" s="30">
        <f ca="1">IF(I53="0",NETWORKDAYS(G53,H53,$CB$3:$CB$19),NETWORKDAYS(G53,'2025整理'!$S$1,$CB$3:$CB$19))</f>
        <v>37</v>
      </c>
      <c r="K53" s="6"/>
      <c r="L53" s="7"/>
      <c r="M53" s="40" t="str">
        <f t="shared" si="100"/>
        <v/>
      </c>
      <c r="N53" s="30"/>
      <c r="O53" s="6">
        <v>46014</v>
      </c>
      <c r="P53" s="7"/>
      <c r="Q53" s="40" t="str">
        <f>IF(O53&lt;&gt;0,IF(P53&lt;&gt;0,"0","1"),"")</f>
        <v>1</v>
      </c>
      <c r="R53" s="30">
        <f ca="1">IF(Q53="0",NETWORKDAYS(O53,P53,$CB$3:$CB$19),NETWORKDAYS(O53,'2025整理'!$S$1,$CB$3:$CB$19))</f>
        <v>5</v>
      </c>
      <c r="S53" s="6"/>
      <c r="T53" s="7"/>
      <c r="U53" s="38"/>
      <c r="V53" s="30"/>
      <c r="W53" s="6"/>
      <c r="X53" s="7"/>
      <c r="Y53" s="38"/>
      <c r="Z53" s="30"/>
      <c r="AA53" s="6">
        <v>45657</v>
      </c>
      <c r="AB53" s="7">
        <v>45672</v>
      </c>
      <c r="AC53" s="40" t="str">
        <f>IF(AA53&lt;&gt;0,IF(AB53&lt;&gt;0,"0","1"),"")</f>
        <v>0</v>
      </c>
      <c r="AD53" s="30">
        <f>IF(AC53="0",NETWORKDAYS(AA53,AB53,$CB$3:$CB$19),"")</f>
        <v>11</v>
      </c>
      <c r="AE53" s="48" t="s">
        <v>90</v>
      </c>
      <c r="AF53" s="47" t="s">
        <v>90</v>
      </c>
      <c r="AG53" s="50" t="s">
        <v>83</v>
      </c>
      <c r="AH53" s="51"/>
      <c r="AI53" s="52">
        <v>9905.2</v>
      </c>
      <c r="AJ53" s="51"/>
      <c r="AK53" s="52"/>
      <c r="AL53" s="40"/>
      <c r="AM53" s="40"/>
      <c r="AN53" s="40"/>
      <c r="AO53" s="48">
        <v>11162.29</v>
      </c>
      <c r="AP53" s="56">
        <v>10710.06</v>
      </c>
      <c r="AQ53" s="48">
        <v>10971.04</v>
      </c>
      <c r="AR53" s="56">
        <v>10526.31</v>
      </c>
      <c r="AS53" s="55" t="str">
        <f t="shared" ref="AS53:AS54" si="102">IF(AND(AR53&lt;&gt;"",AQ53&lt;&gt;""),IF(AR53&gt;AQ53,"核增",IF(AR53&lt;AQ53,"核减","不变")),"")</f>
        <v>核减</v>
      </c>
      <c r="AT53" s="55">
        <f t="shared" ref="AT53:AT54" si="103">IF(AND(AR53&lt;&gt;"",AQ53&lt;&gt;""),MAX(ABS(AR53),ABS(AQ53))-MIN(ABS(AR53),ABS(AQ53)),"")</f>
        <v>444.730000000001</v>
      </c>
      <c r="AU53" s="51"/>
      <c r="AV53" s="52"/>
      <c r="AW53" s="51"/>
      <c r="AX53" s="52"/>
      <c r="AY53" s="40"/>
      <c r="AZ53" s="55"/>
      <c r="BA53" s="63"/>
      <c r="BB53" s="48"/>
      <c r="BC53" s="56"/>
      <c r="BD53" s="48"/>
      <c r="BE53" s="56"/>
      <c r="BF53" s="64"/>
      <c r="BG53" s="48"/>
      <c r="BH53" s="51"/>
      <c r="BI53" s="52"/>
      <c r="BJ53" s="51"/>
      <c r="BK53" s="52"/>
      <c r="BL53" s="40"/>
      <c r="BM53" s="55"/>
      <c r="BN53" s="63"/>
      <c r="BO53" s="48"/>
      <c r="BP53" s="56"/>
      <c r="BQ53" s="48"/>
      <c r="BR53" s="56"/>
      <c r="BS53" s="40"/>
      <c r="BT53" s="40"/>
      <c r="BU53" s="51">
        <v>331.49</v>
      </c>
      <c r="BV53" s="52">
        <v>270.36</v>
      </c>
      <c r="BW53" s="51">
        <v>331.49</v>
      </c>
      <c r="BX53" s="52">
        <v>270.36</v>
      </c>
      <c r="BY53" s="40" t="str">
        <f>IF(AND(BX53&lt;&gt;"",BW53&lt;&gt;""),IF(BX53&gt;BW53,"核增",IF(BX53&lt;BW53,"核减","不变")),"")</f>
        <v>核减</v>
      </c>
      <c r="BZ53" s="55">
        <f>IF(AND(BX53&lt;&gt;"",BW53&lt;&gt;""),MAX(ABS(BX53),ABS(BW53))-MIN(ABS(BX53),ABS(BW53)),"")</f>
        <v>61.13</v>
      </c>
    </row>
    <row r="54" ht="13.5" customHeight="1" spans="1:78">
      <c r="A54" s="25" t="s">
        <v>143</v>
      </c>
      <c r="B54" s="5" t="s">
        <v>85</v>
      </c>
      <c r="C54" s="6">
        <v>45767</v>
      </c>
      <c r="D54" s="7">
        <v>45790</v>
      </c>
      <c r="E54" s="32" t="str">
        <f t="shared" si="101"/>
        <v>0</v>
      </c>
      <c r="F54" s="30">
        <f>IF(E54="0",NETWORKDAYS(C54,D54,$CB$3:$CB$19),"")</f>
        <v>17</v>
      </c>
      <c r="G54" s="6"/>
      <c r="H54" s="7"/>
      <c r="I54" s="38"/>
      <c r="J54" s="30"/>
      <c r="K54" s="6"/>
      <c r="L54" s="7"/>
      <c r="M54" s="40"/>
      <c r="N54" s="30"/>
      <c r="O54" s="6"/>
      <c r="P54" s="7"/>
      <c r="Q54" s="38"/>
      <c r="R54" s="30"/>
      <c r="S54" s="6"/>
      <c r="T54" s="7"/>
      <c r="U54" s="38"/>
      <c r="V54" s="30"/>
      <c r="W54" s="6"/>
      <c r="X54" s="7"/>
      <c r="Y54" s="38"/>
      <c r="Z54" s="30"/>
      <c r="AA54" s="6"/>
      <c r="AB54" s="7"/>
      <c r="AC54" s="40"/>
      <c r="AD54" s="30"/>
      <c r="AE54" s="48" t="s">
        <v>97</v>
      </c>
      <c r="AF54" s="47" t="s">
        <v>91</v>
      </c>
      <c r="AG54" s="50" t="s">
        <v>97</v>
      </c>
      <c r="AH54" s="48">
        <v>95352.24</v>
      </c>
      <c r="AI54" s="56">
        <v>55592.87</v>
      </c>
      <c r="AJ54" s="48">
        <v>95352.24</v>
      </c>
      <c r="AK54" s="56">
        <v>55592.87</v>
      </c>
      <c r="AL54" s="40" t="str">
        <f>IF(AND(AK54&lt;&gt;"",AJ54&lt;&gt;""),IF(AK54&gt;AJ54,"核增",IF(AK54&lt;AJ54,"核减","不变")),"")</f>
        <v>核减</v>
      </c>
      <c r="AM54" s="40">
        <f>IF(AND(AI54&lt;&gt;"",AH54&lt;&gt;""),MAX(ABS(AI54),ABS(AH54))-MIN(ABS(AI54),ABS(AH54)),"")</f>
        <v>39759.37</v>
      </c>
      <c r="AN54" s="40">
        <f>IF(AND(AK54&lt;&gt;"",AJ54&lt;&gt;""),MAX(ABS(AK54),ABS(AJ54))-MIN(ABS(AK54),ABS(AJ54)),"")</f>
        <v>39759.37</v>
      </c>
      <c r="AO54" s="48"/>
      <c r="AP54" s="56"/>
      <c r="AQ54" s="48"/>
      <c r="AR54" s="56"/>
      <c r="AS54" s="55" t="str">
        <f t="shared" si="102"/>
        <v/>
      </c>
      <c r="AT54" s="55" t="str">
        <f t="shared" si="103"/>
        <v/>
      </c>
      <c r="AU54" s="51"/>
      <c r="AV54" s="52"/>
      <c r="AW54" s="51"/>
      <c r="AX54" s="52"/>
      <c r="AY54" s="40"/>
      <c r="AZ54" s="55"/>
      <c r="BA54" s="63"/>
      <c r="BB54" s="48"/>
      <c r="BC54" s="56"/>
      <c r="BD54" s="48"/>
      <c r="BE54" s="56"/>
      <c r="BF54" s="64"/>
      <c r="BG54" s="48"/>
      <c r="BH54" s="51"/>
      <c r="BI54" s="52"/>
      <c r="BJ54" s="51"/>
      <c r="BK54" s="52"/>
      <c r="BL54" s="40"/>
      <c r="BM54" s="55"/>
      <c r="BN54" s="63"/>
      <c r="BO54" s="48"/>
      <c r="BP54" s="56"/>
      <c r="BQ54" s="48"/>
      <c r="BR54" s="56"/>
      <c r="BS54" s="40"/>
      <c r="BT54" s="40"/>
      <c r="BU54" s="51"/>
      <c r="BV54" s="52"/>
      <c r="BW54" s="51"/>
      <c r="BX54" s="52"/>
      <c r="BY54" s="40"/>
      <c r="BZ54" s="55"/>
    </row>
    <row r="55" ht="13.5" customHeight="1" spans="1:78">
      <c r="A55" s="25" t="s">
        <v>144</v>
      </c>
      <c r="B55" s="5" t="s">
        <v>93</v>
      </c>
      <c r="C55" s="6"/>
      <c r="D55" s="7"/>
      <c r="E55" s="32"/>
      <c r="F55" s="30"/>
      <c r="G55" s="6"/>
      <c r="H55" s="7"/>
      <c r="I55" s="38"/>
      <c r="J55" s="30"/>
      <c r="K55" s="6"/>
      <c r="L55" s="7"/>
      <c r="M55" s="40"/>
      <c r="N55" s="30"/>
      <c r="O55" s="6"/>
      <c r="P55" s="7"/>
      <c r="Q55" s="38"/>
      <c r="R55" s="30"/>
      <c r="S55" s="6">
        <v>45715</v>
      </c>
      <c r="T55" s="7">
        <v>45715</v>
      </c>
      <c r="U55" s="38" t="str">
        <f>IF(S55&lt;&gt;0,IF(T55&lt;&gt;0,"0","1"),"")</f>
        <v>0</v>
      </c>
      <c r="V55" s="30">
        <f>IF(U55="0",NETWORKDAYS(S55,T55,$EO$3:$EO$11),"")</f>
        <v>1</v>
      </c>
      <c r="W55" s="6"/>
      <c r="X55" s="7"/>
      <c r="Y55" s="38"/>
      <c r="Z55" s="30"/>
      <c r="AA55" s="6">
        <v>45923</v>
      </c>
      <c r="AB55" s="7">
        <v>45941</v>
      </c>
      <c r="AC55" s="40" t="str">
        <f>IF(AA55&lt;&gt;0,IF(AB55&lt;&gt;0,"0","1"),"")</f>
        <v>0</v>
      </c>
      <c r="AD55" s="30">
        <f ca="1">IF(AC55="0",NETWORKDAYS(AA55,AB55,$CB$3:$CB$19),NETWORKDAYS(AA55,'2025整理'!$S$1,$CB$3:$CB$19))</f>
        <v>14</v>
      </c>
      <c r="AE55" s="48" t="s">
        <v>90</v>
      </c>
      <c r="AF55" s="47" t="s">
        <v>90</v>
      </c>
      <c r="AG55" s="50" t="s">
        <v>97</v>
      </c>
      <c r="AH55" s="51"/>
      <c r="AI55" s="52"/>
      <c r="AJ55" s="51"/>
      <c r="AK55" s="52"/>
      <c r="AL55" s="40"/>
      <c r="AM55" s="40"/>
      <c r="AN55" s="40"/>
      <c r="AO55" s="48"/>
      <c r="AP55" s="56"/>
      <c r="AQ55" s="48"/>
      <c r="AR55" s="56"/>
      <c r="AS55" s="40"/>
      <c r="AT55" s="40"/>
      <c r="AU55" s="51"/>
      <c r="AV55" s="52">
        <v>29060.8</v>
      </c>
      <c r="AW55" s="51"/>
      <c r="AX55" s="52">
        <v>28527.49</v>
      </c>
      <c r="AY55" s="40"/>
      <c r="AZ55" s="55"/>
      <c r="BA55" s="63"/>
      <c r="BB55" s="48"/>
      <c r="BC55" s="56"/>
      <c r="BD55" s="48"/>
      <c r="BE55" s="56"/>
      <c r="BF55" s="64"/>
      <c r="BG55" s="48"/>
      <c r="BH55" s="51">
        <v>29742.21</v>
      </c>
      <c r="BI55" s="52">
        <v>28130.43</v>
      </c>
      <c r="BJ55" s="249">
        <v>28464.68</v>
      </c>
      <c r="BK55" s="250">
        <v>27614.09</v>
      </c>
      <c r="BL55" s="40" t="str">
        <f>IF(AND(BK55&lt;&gt;"",BJ55&lt;&gt;""),IF(BK55&gt;BJ55,"核增",IF(BK55&lt;BJ55,"核减","不变")),"")</f>
        <v>核减</v>
      </c>
      <c r="BM55" s="55">
        <f>IF(AND(BK55&lt;&gt;"",BJ55&lt;&gt;""),MAX(ABS(BK55),ABS(BJ55))-MIN(ABS(BK55),ABS(BJ55)),"")</f>
        <v>850.59</v>
      </c>
      <c r="BN55" s="63" t="str">
        <f>IF(AND(BI55&lt;&gt;"",AV55&lt;&gt;""),IF(BI55&gt;AV55,"核增",IF(BI55&lt;AV55,"核减","不变")),"")&amp;TEXT(IF(AND(BI55&lt;&gt;"",AV55&lt;&gt;""),MAX(ABS(BI55),ABS(AV55))-MIN(ABS(BI55),ABS(AV55)),""),"0.00")</f>
        <v>核减930.37</v>
      </c>
      <c r="BO55" s="48"/>
      <c r="BP55" s="56"/>
      <c r="BQ55" s="48"/>
      <c r="BR55" s="56"/>
      <c r="BS55" s="40"/>
      <c r="BT55" s="40"/>
      <c r="BU55" s="51">
        <v>548.83</v>
      </c>
      <c r="BV55" s="52">
        <v>515.78</v>
      </c>
      <c r="BW55" s="51">
        <v>548.83</v>
      </c>
      <c r="BX55" s="52">
        <v>515.78</v>
      </c>
      <c r="BY55" s="40" t="str">
        <f>IF(AND(BX55&lt;&gt;"",BW55&lt;&gt;""),IF(BX55&gt;BW55,"核增",IF(BX55&lt;BW55,"核减","不变")),"")</f>
        <v>核减</v>
      </c>
      <c r="BZ55" s="55">
        <f>IF(AND(BX55&lt;&gt;"",BW55&lt;&gt;""),MAX(ABS(BX55),ABS(BW55))-MIN(ABS(BX55),ABS(BW55)),"")</f>
        <v>33.0500000000001</v>
      </c>
    </row>
    <row r="56" ht="13.5" customHeight="1" spans="1:78">
      <c r="A56" s="25" t="s">
        <v>145</v>
      </c>
      <c r="B56" s="5" t="s">
        <v>81</v>
      </c>
      <c r="C56" s="6"/>
      <c r="D56" s="7"/>
      <c r="E56" s="32" t="str">
        <f>IF(C56&lt;&gt;0,IF(D56&lt;&gt;0,"0","1"),"")</f>
        <v/>
      </c>
      <c r="F56" s="30"/>
      <c r="G56" s="6"/>
      <c r="H56" s="7"/>
      <c r="I56" s="38"/>
      <c r="J56" s="30"/>
      <c r="K56" s="6"/>
      <c r="L56" s="7"/>
      <c r="M56" s="40"/>
      <c r="N56" s="30"/>
      <c r="O56" s="6"/>
      <c r="P56" s="7"/>
      <c r="Q56" s="38"/>
      <c r="R56" s="30"/>
      <c r="S56" s="6"/>
      <c r="T56" s="7"/>
      <c r="U56" s="38"/>
      <c r="V56" s="30"/>
      <c r="W56" s="6"/>
      <c r="X56" s="7"/>
      <c r="Y56" s="38"/>
      <c r="Z56" s="30"/>
      <c r="AA56" s="6"/>
      <c r="AB56" s="7"/>
      <c r="AC56" s="40"/>
      <c r="AD56" s="30"/>
      <c r="AE56" s="48" t="s">
        <v>86</v>
      </c>
      <c r="AF56" s="47" t="s">
        <v>86</v>
      </c>
      <c r="AG56" s="50" t="s">
        <v>83</v>
      </c>
      <c r="AH56" s="51"/>
      <c r="AI56" s="52"/>
      <c r="AJ56" s="51"/>
      <c r="AK56" s="52"/>
      <c r="AL56" s="40"/>
      <c r="AM56" s="40"/>
      <c r="AN56" s="40"/>
      <c r="AO56" s="48"/>
      <c r="AP56" s="56"/>
      <c r="AQ56" s="48"/>
      <c r="AR56" s="56"/>
      <c r="AS56" s="40"/>
      <c r="AT56" s="40"/>
      <c r="AU56" s="51"/>
      <c r="AV56" s="52"/>
      <c r="AW56" s="51"/>
      <c r="AX56" s="52"/>
      <c r="AY56" s="40"/>
      <c r="AZ56" s="55"/>
      <c r="BA56" s="63"/>
      <c r="BB56" s="48"/>
      <c r="BC56" s="56"/>
      <c r="BD56" s="48"/>
      <c r="BE56" s="56"/>
      <c r="BF56" s="64"/>
      <c r="BG56" s="48"/>
      <c r="BH56" s="51"/>
      <c r="BI56" s="52"/>
      <c r="BJ56" s="51"/>
      <c r="BK56" s="52"/>
      <c r="BL56" s="40"/>
      <c r="BM56" s="55"/>
      <c r="BN56" s="63"/>
      <c r="BO56" s="48"/>
      <c r="BP56" s="56"/>
      <c r="BQ56" s="48"/>
      <c r="BR56" s="56"/>
      <c r="BS56" s="40"/>
      <c r="BT56" s="40"/>
      <c r="BU56" s="51"/>
      <c r="BV56" s="52"/>
      <c r="BW56" s="51"/>
      <c r="BX56" s="52"/>
      <c r="BY56" s="40"/>
      <c r="BZ56" s="55"/>
    </row>
    <row r="57" ht="13.5" customHeight="1" spans="1:78">
      <c r="A57" s="25" t="s">
        <v>145</v>
      </c>
      <c r="B57" s="5" t="s">
        <v>93</v>
      </c>
      <c r="C57" s="6"/>
      <c r="D57" s="7"/>
      <c r="E57" s="32"/>
      <c r="F57" s="30"/>
      <c r="G57" s="6"/>
      <c r="H57" s="7"/>
      <c r="I57" s="38"/>
      <c r="J57" s="30"/>
      <c r="K57" s="6"/>
      <c r="L57" s="7"/>
      <c r="M57" s="40"/>
      <c r="N57" s="30"/>
      <c r="O57" s="6"/>
      <c r="P57" s="7"/>
      <c r="Q57" s="38"/>
      <c r="R57" s="30"/>
      <c r="S57" s="6"/>
      <c r="T57" s="7"/>
      <c r="U57" s="38"/>
      <c r="V57" s="30"/>
      <c r="W57" s="6"/>
      <c r="X57" s="7"/>
      <c r="Y57" s="38"/>
      <c r="Z57" s="30"/>
      <c r="AA57" s="6">
        <v>45706</v>
      </c>
      <c r="AB57" s="7">
        <v>45723</v>
      </c>
      <c r="AC57" s="40" t="str">
        <f>IF(AA57&lt;&gt;0,IF(AB57&lt;&gt;0,"0","1"),"")</f>
        <v>0</v>
      </c>
      <c r="AD57" s="30">
        <f>IF(AC57="0",NETWORKDAYS(AA57,AB57,$CB$3:$CB$19),"")</f>
        <v>14</v>
      </c>
      <c r="AE57" s="48" t="s">
        <v>97</v>
      </c>
      <c r="AF57" s="47" t="s">
        <v>91</v>
      </c>
      <c r="AG57" s="50" t="s">
        <v>97</v>
      </c>
      <c r="AH57" s="51"/>
      <c r="AI57" s="52"/>
      <c r="AJ57" s="51"/>
      <c r="AK57" s="52"/>
      <c r="AL57" s="40"/>
      <c r="AM57" s="40"/>
      <c r="AN57" s="40"/>
      <c r="AO57" s="48"/>
      <c r="AP57" s="56"/>
      <c r="AQ57" s="48"/>
      <c r="AR57" s="56"/>
      <c r="AS57" s="40"/>
      <c r="AT57" s="40"/>
      <c r="AU57" s="51"/>
      <c r="AV57" s="52"/>
      <c r="AW57" s="51"/>
      <c r="AX57" s="52"/>
      <c r="AY57" s="40"/>
      <c r="AZ57" s="55"/>
      <c r="BA57" s="63"/>
      <c r="BB57" s="48"/>
      <c r="BC57" s="56"/>
      <c r="BD57" s="48"/>
      <c r="BE57" s="56"/>
      <c r="BF57" s="64"/>
      <c r="BG57" s="48"/>
      <c r="BH57" s="51"/>
      <c r="BI57" s="52"/>
      <c r="BJ57" s="51"/>
      <c r="BK57" s="52"/>
      <c r="BL57" s="40"/>
      <c r="BM57" s="55"/>
      <c r="BN57" s="63"/>
      <c r="BO57" s="48"/>
      <c r="BP57" s="56"/>
      <c r="BQ57" s="48"/>
      <c r="BR57" s="56"/>
      <c r="BS57" s="40"/>
      <c r="BT57" s="40"/>
      <c r="BU57" s="82">
        <f>ABS(-274.06)</f>
        <v>274.06</v>
      </c>
      <c r="BV57" s="83">
        <f>ABS(-301.11)</f>
        <v>301.11</v>
      </c>
      <c r="BW57" s="82">
        <f>ABS(-274.06)</f>
        <v>274.06</v>
      </c>
      <c r="BX57" s="83">
        <f>ABS(-301.11)</f>
        <v>301.11</v>
      </c>
      <c r="BY57" s="253" t="str">
        <f>IF(AND(BX57&lt;&gt;"",BW57&lt;&gt;""),IF(BX57&gt;BW57,"核减",IF(BX57&lt;BW57,"核增","不变")),"")</f>
        <v>核减</v>
      </c>
      <c r="BZ57" s="55">
        <f>IF(AND(BX57&lt;&gt;"",BW57&lt;&gt;""),MAX(ABS(BX57),ABS(BW57))-MIN(ABS(BX57),ABS(BW57)),"")</f>
        <v>27.05</v>
      </c>
    </row>
    <row r="58" ht="13.5" customHeight="1" spans="1:78">
      <c r="A58" s="25" t="s">
        <v>146</v>
      </c>
      <c r="B58" s="5" t="s">
        <v>85</v>
      </c>
      <c r="C58" s="6">
        <v>45677</v>
      </c>
      <c r="D58" s="7">
        <v>45702</v>
      </c>
      <c r="E58" s="32" t="str">
        <f t="shared" ref="E58:E59" si="104">IF(C58&lt;&gt;0,IF(D58&lt;&gt;0,"0","1"),"")</f>
        <v>0</v>
      </c>
      <c r="F58" s="30">
        <f>IF(E58="0",NETWORKDAYS(C58,D58,$CB$3:$CB$19),"")</f>
        <v>18</v>
      </c>
      <c r="G58" s="6"/>
      <c r="H58" s="7"/>
      <c r="I58" s="38"/>
      <c r="J58" s="30"/>
      <c r="K58" s="6">
        <v>45967</v>
      </c>
      <c r="L58" s="7"/>
      <c r="M58" s="40" t="str">
        <f>IF(K58&lt;&gt;0,IF(L58&lt;&gt;0,"0","1"),"")</f>
        <v>1</v>
      </c>
      <c r="N58" s="30">
        <f ca="1">IF(M58="0",NETWORKDAYS(K58,L58,$CB$3:$CB$19),NETWORKDAYS(K58,'2025整理'!$S$1,$CB$3:$CB$19))</f>
        <v>38</v>
      </c>
      <c r="O58" s="6"/>
      <c r="P58" s="7"/>
      <c r="Q58" s="38"/>
      <c r="R58" s="30"/>
      <c r="S58" s="6"/>
      <c r="T58" s="7"/>
      <c r="U58" s="38"/>
      <c r="V58" s="30"/>
      <c r="W58" s="6"/>
      <c r="X58" s="7"/>
      <c r="Y58" s="38"/>
      <c r="Z58" s="30"/>
      <c r="AA58" s="6"/>
      <c r="AB58" s="7"/>
      <c r="AC58" s="40"/>
      <c r="AD58" s="30"/>
      <c r="AE58" s="48" t="s">
        <v>82</v>
      </c>
      <c r="AF58" s="47" t="s">
        <v>82</v>
      </c>
      <c r="AG58" s="50" t="s">
        <v>91</v>
      </c>
      <c r="AH58" s="51">
        <v>7833.27</v>
      </c>
      <c r="AI58" s="52">
        <v>7933.69</v>
      </c>
      <c r="AJ58" s="51">
        <v>7833.27</v>
      </c>
      <c r="AK58" s="52">
        <v>7933.69</v>
      </c>
      <c r="AL58" s="40" t="str">
        <f t="shared" ref="AL58:AL59" si="105">IF(AND(AK58&lt;&gt;"",AJ58&lt;&gt;""),IF(AK58&gt;AJ58,"核增",IF(AK58&lt;AJ58,"核减","不变")),"")</f>
        <v>核增</v>
      </c>
      <c r="AM58" s="40">
        <f t="shared" ref="AM58:AM59" si="106">IF(AND(AI58&lt;&gt;"",AH58&lt;&gt;""),MAX(ABS(AI58),ABS(AH58))-MIN(ABS(AI58),ABS(AH58)),"")</f>
        <v>100.419999999999</v>
      </c>
      <c r="AN58" s="40">
        <f t="shared" ref="AN58:AN59" si="107">IF(AND(AK58&lt;&gt;"",AJ58&lt;&gt;""),MAX(ABS(AK58),ABS(AJ58))-MIN(ABS(AK58),ABS(AJ58)),"")</f>
        <v>100.419999999999</v>
      </c>
      <c r="AO58" s="48"/>
      <c r="AP58" s="56"/>
      <c r="AQ58" s="48"/>
      <c r="AR58" s="56"/>
      <c r="AS58" s="40"/>
      <c r="AT58" s="40"/>
      <c r="AU58" s="51"/>
      <c r="AV58" s="52"/>
      <c r="AW58" s="51"/>
      <c r="AX58" s="52"/>
      <c r="AY58" s="40"/>
      <c r="AZ58" s="55"/>
      <c r="BA58" s="63"/>
      <c r="BB58" s="48"/>
      <c r="BC58" s="56"/>
      <c r="BD58" s="48"/>
      <c r="BE58" s="56"/>
      <c r="BF58" s="64"/>
      <c r="BG58" s="48"/>
      <c r="BH58" s="51"/>
      <c r="BI58" s="52"/>
      <c r="BJ58" s="51"/>
      <c r="BK58" s="52"/>
      <c r="BL58" s="40"/>
      <c r="BM58" s="55"/>
      <c r="BN58" s="63"/>
      <c r="BO58" s="48"/>
      <c r="BP58" s="56"/>
      <c r="BQ58" s="48"/>
      <c r="BR58" s="56"/>
      <c r="BS58" s="40"/>
      <c r="BT58" s="40"/>
      <c r="BU58" s="51"/>
      <c r="BV58" s="52"/>
      <c r="BW58" s="51"/>
      <c r="BX58" s="52"/>
      <c r="BY58" s="40"/>
      <c r="BZ58" s="55"/>
    </row>
    <row r="59" ht="13.5" customHeight="1" spans="1:78">
      <c r="A59" s="25" t="s">
        <v>147</v>
      </c>
      <c r="B59" s="5" t="s">
        <v>93</v>
      </c>
      <c r="C59" s="6">
        <v>45721</v>
      </c>
      <c r="D59" s="7">
        <v>45770</v>
      </c>
      <c r="E59" s="32" t="str">
        <f t="shared" si="104"/>
        <v>0</v>
      </c>
      <c r="F59" s="242">
        <f ca="1">IF(E59="0",NETWORKDAYS(C59,D59,$CB$3:$CB$19),NETWORKDAYS(C59,'2025整理'!$S$1,$CB$3:$CB$19))</f>
        <v>35</v>
      </c>
      <c r="G59" s="6"/>
      <c r="H59" s="7"/>
      <c r="I59" s="38"/>
      <c r="J59" s="30"/>
      <c r="K59" s="6"/>
      <c r="L59" s="7"/>
      <c r="M59" s="40"/>
      <c r="N59" s="30"/>
      <c r="O59" s="6"/>
      <c r="P59" s="7"/>
      <c r="Q59" s="38"/>
      <c r="R59" s="30"/>
      <c r="S59" s="6"/>
      <c r="T59" s="7"/>
      <c r="U59" s="38"/>
      <c r="V59" s="30"/>
      <c r="W59" s="6"/>
      <c r="X59" s="7"/>
      <c r="Y59" s="38"/>
      <c r="Z59" s="30"/>
      <c r="AA59" s="6"/>
      <c r="AB59" s="7"/>
      <c r="AC59" s="40"/>
      <c r="AD59" s="30"/>
      <c r="AE59" s="48" t="s">
        <v>82</v>
      </c>
      <c r="AF59" s="47" t="s">
        <v>82</v>
      </c>
      <c r="AG59" s="50" t="s">
        <v>87</v>
      </c>
      <c r="AH59" s="51">
        <v>5471.33</v>
      </c>
      <c r="AI59" s="52">
        <v>6206.13</v>
      </c>
      <c r="AJ59" s="51">
        <v>5377.42</v>
      </c>
      <c r="AK59" s="52">
        <v>6099.63</v>
      </c>
      <c r="AL59" s="40" t="str">
        <f t="shared" si="105"/>
        <v>核增</v>
      </c>
      <c r="AM59" s="40">
        <f t="shared" si="106"/>
        <v>734.8</v>
      </c>
      <c r="AN59" s="40">
        <f t="shared" si="107"/>
        <v>722.21</v>
      </c>
      <c r="AO59" s="48"/>
      <c r="AP59" s="56"/>
      <c r="AQ59" s="48"/>
      <c r="AR59" s="56"/>
      <c r="AS59" s="40"/>
      <c r="AT59" s="40"/>
      <c r="AU59" s="51"/>
      <c r="AV59" s="52"/>
      <c r="AW59" s="51"/>
      <c r="AX59" s="52"/>
      <c r="AY59" s="40"/>
      <c r="AZ59" s="55"/>
      <c r="BA59" s="63"/>
      <c r="BB59" s="48"/>
      <c r="BC59" s="56"/>
      <c r="BD59" s="48"/>
      <c r="BE59" s="56"/>
      <c r="BF59" s="64"/>
      <c r="BG59" s="48"/>
      <c r="BH59" s="51"/>
      <c r="BI59" s="52"/>
      <c r="BJ59" s="51"/>
      <c r="BK59" s="52"/>
      <c r="BL59" s="40"/>
      <c r="BM59" s="55"/>
      <c r="BN59" s="63"/>
      <c r="BO59" s="48"/>
      <c r="BP59" s="56"/>
      <c r="BQ59" s="48"/>
      <c r="BR59" s="56"/>
      <c r="BS59" s="40"/>
      <c r="BT59" s="40"/>
      <c r="BU59" s="51"/>
      <c r="BV59" s="52"/>
      <c r="BW59" s="51"/>
      <c r="BX59" s="52"/>
      <c r="BY59" s="40"/>
      <c r="BZ59" s="55"/>
    </row>
    <row r="60" ht="13.5" customHeight="1" spans="1:78">
      <c r="A60" s="25" t="s">
        <v>148</v>
      </c>
      <c r="B60" s="5" t="s">
        <v>93</v>
      </c>
      <c r="C60" s="6"/>
      <c r="D60" s="7"/>
      <c r="E60" s="32"/>
      <c r="F60" s="30"/>
      <c r="G60" s="6"/>
      <c r="H60" s="7"/>
      <c r="I60" s="38"/>
      <c r="J60" s="30"/>
      <c r="K60" s="6"/>
      <c r="L60" s="7"/>
      <c r="M60" s="40"/>
      <c r="N60" s="30"/>
      <c r="O60" s="6"/>
      <c r="P60" s="7"/>
      <c r="Q60" s="38"/>
      <c r="R60" s="30"/>
      <c r="S60" s="6"/>
      <c r="T60" s="7"/>
      <c r="U60" s="38"/>
      <c r="V60" s="30"/>
      <c r="W60" s="6"/>
      <c r="X60" s="7"/>
      <c r="Y60" s="38"/>
      <c r="Z60" s="30"/>
      <c r="AA60" s="6">
        <v>45721</v>
      </c>
      <c r="AB60" s="7">
        <v>45737</v>
      </c>
      <c r="AC60" s="40" t="str">
        <f>IF(AA60&lt;&gt;0,IF(AB60&lt;&gt;0,"0","1"),"")</f>
        <v>0</v>
      </c>
      <c r="AD60" s="30">
        <f>IF(AC60="0",NETWORKDAYS(AA60,AB60,$CB$3:$CB$19),"")</f>
        <v>13</v>
      </c>
      <c r="AE60" s="48" t="s">
        <v>149</v>
      </c>
      <c r="AF60" s="47" t="s">
        <v>91</v>
      </c>
      <c r="AG60" s="50" t="s">
        <v>149</v>
      </c>
      <c r="AH60" s="51"/>
      <c r="AI60" s="52"/>
      <c r="AJ60" s="51"/>
      <c r="AK60" s="52"/>
      <c r="AL60" s="40"/>
      <c r="AM60" s="40"/>
      <c r="AN60" s="40"/>
      <c r="AO60" s="48"/>
      <c r="AP60" s="56"/>
      <c r="AQ60" s="48"/>
      <c r="AR60" s="56"/>
      <c r="AS60" s="40"/>
      <c r="AT60" s="40"/>
      <c r="AU60" s="51"/>
      <c r="AV60" s="52"/>
      <c r="AW60" s="51"/>
      <c r="AX60" s="52"/>
      <c r="AY60" s="40"/>
      <c r="AZ60" s="55"/>
      <c r="BA60" s="63"/>
      <c r="BB60" s="48"/>
      <c r="BC60" s="56"/>
      <c r="BD60" s="48"/>
      <c r="BE60" s="56"/>
      <c r="BF60" s="64"/>
      <c r="BG60" s="48"/>
      <c r="BH60" s="51"/>
      <c r="BI60" s="52"/>
      <c r="BJ60" s="51"/>
      <c r="BK60" s="52"/>
      <c r="BL60" s="40"/>
      <c r="BM60" s="55"/>
      <c r="BN60" s="63"/>
      <c r="BO60" s="48"/>
      <c r="BP60" s="56"/>
      <c r="BQ60" s="48"/>
      <c r="BR60" s="56"/>
      <c r="BS60" s="40"/>
      <c r="BT60" s="40"/>
      <c r="BU60" s="82">
        <f t="shared" ref="BU60:BX60" si="108">ABS(-1477.4104)+261.7717</f>
        <v>1739.1821</v>
      </c>
      <c r="BV60" s="83">
        <f t="shared" si="108"/>
        <v>1739.1821</v>
      </c>
      <c r="BW60" s="82">
        <f t="shared" si="108"/>
        <v>1739.1821</v>
      </c>
      <c r="BX60" s="83">
        <f t="shared" si="108"/>
        <v>1739.1821</v>
      </c>
      <c r="BY60" s="40" t="s">
        <v>150</v>
      </c>
      <c r="BZ60" s="55">
        <v>0</v>
      </c>
    </row>
    <row r="61" ht="13.5" customHeight="1" spans="1:78">
      <c r="A61" s="25" t="s">
        <v>151</v>
      </c>
      <c r="B61" s="5" t="s">
        <v>93</v>
      </c>
      <c r="C61" s="6"/>
      <c r="D61" s="7"/>
      <c r="E61" s="32"/>
      <c r="F61" s="30"/>
      <c r="G61" s="6"/>
      <c r="H61" s="7"/>
      <c r="I61" s="38"/>
      <c r="J61" s="30"/>
      <c r="K61" s="6"/>
      <c r="L61" s="7"/>
      <c r="M61" s="40"/>
      <c r="N61" s="30"/>
      <c r="O61" s="6"/>
      <c r="P61" s="7"/>
      <c r="Q61" s="38"/>
      <c r="R61" s="30"/>
      <c r="S61" s="6">
        <v>45804</v>
      </c>
      <c r="T61" s="7">
        <v>45835</v>
      </c>
      <c r="U61" s="38" t="str">
        <f>IF(S61&lt;&gt;0,IF(T61&lt;&gt;0,"0","1"),"")</f>
        <v>0</v>
      </c>
      <c r="V61" s="242">
        <f ca="1">IF(U61="0",NETWORKDAYS(S61,T61,$CB$3:$CB$19),NETWORKDAYS(S61,'2025整理'!$S$1,$CB$3:$CB$19))</f>
        <v>24</v>
      </c>
      <c r="W61" s="6"/>
      <c r="X61" s="7"/>
      <c r="Y61" s="38"/>
      <c r="Z61" s="30"/>
      <c r="AA61" s="6"/>
      <c r="AB61" s="7"/>
      <c r="AC61" s="40"/>
      <c r="AD61" s="30"/>
      <c r="AE61" s="48" t="s">
        <v>97</v>
      </c>
      <c r="AF61" s="47" t="s">
        <v>90</v>
      </c>
      <c r="AG61" s="50" t="s">
        <v>97</v>
      </c>
      <c r="AH61" s="51"/>
      <c r="AI61" s="52"/>
      <c r="AJ61" s="51"/>
      <c r="AK61" s="52"/>
      <c r="AL61" s="40"/>
      <c r="AM61" s="40"/>
      <c r="AN61" s="40"/>
      <c r="AO61" s="48"/>
      <c r="AP61" s="56"/>
      <c r="AQ61" s="48"/>
      <c r="AR61" s="56"/>
      <c r="AS61" s="40"/>
      <c r="AT61" s="40"/>
      <c r="AU61" s="51"/>
      <c r="AV61" s="52">
        <v>42409.15</v>
      </c>
      <c r="AW61" s="51"/>
      <c r="AX61" s="52">
        <v>41706.5</v>
      </c>
      <c r="AY61" s="40"/>
      <c r="AZ61" s="55"/>
      <c r="BA61" s="63"/>
      <c r="BB61" s="48"/>
      <c r="BC61" s="56"/>
      <c r="BD61" s="48"/>
      <c r="BE61" s="56"/>
      <c r="BF61" s="64"/>
      <c r="BG61" s="48"/>
      <c r="BH61" s="51">
        <v>39753.29</v>
      </c>
      <c r="BI61" s="251">
        <v>40748.02</v>
      </c>
      <c r="BJ61" s="252">
        <v>39126.05</v>
      </c>
      <c r="BK61" s="251">
        <v>40106.45</v>
      </c>
      <c r="BL61" s="40" t="str">
        <f>IF(AND(BK61&lt;&gt;"",BJ61&lt;&gt;""),IF(BK61&gt;BJ61,"核增",IF(BK61&lt;BJ61,"核减","不变")),"")</f>
        <v>核增</v>
      </c>
      <c r="BM61" s="55">
        <f>IF(AND(BK61&lt;&gt;"",BJ61&lt;&gt;""),MAX(ABS(BK61),ABS(BJ61))-MIN(ABS(BK61),ABS(BJ61)),"")</f>
        <v>980.399999999994</v>
      </c>
      <c r="BN61" s="63" t="str">
        <f>IF(AND(BI61&lt;&gt;"",AV61&lt;&gt;""),IF(BI61&gt;AV61,"核增",IF(BI61&lt;AV61,"核减","不变")),"")&amp;TEXT(IF(AND(BI61&lt;&gt;"",AV61&lt;&gt;""),MAX(ABS(BI61),ABS(AV61))-MIN(ABS(BI61),ABS(AV61)),""),"0.00")</f>
        <v>核减1661.13</v>
      </c>
      <c r="BO61" s="48"/>
      <c r="BP61" s="56"/>
      <c r="BQ61" s="48"/>
      <c r="BR61" s="56"/>
      <c r="BS61" s="40"/>
      <c r="BT61" s="40"/>
      <c r="BU61" s="51"/>
      <c r="BV61" s="52"/>
      <c r="BW61" s="51"/>
      <c r="BX61" s="52"/>
      <c r="BY61" s="40"/>
      <c r="BZ61" s="55"/>
    </row>
    <row r="62" ht="13.5" customHeight="1" spans="1:78">
      <c r="A62" s="25" t="s">
        <v>152</v>
      </c>
      <c r="B62" s="5" t="s">
        <v>85</v>
      </c>
      <c r="C62" s="6"/>
      <c r="D62" s="7"/>
      <c r="E62" s="32"/>
      <c r="F62" s="30"/>
      <c r="G62" s="6">
        <v>46006</v>
      </c>
      <c r="H62" s="7"/>
      <c r="I62" s="38" t="str">
        <f>IF(G62&lt;&gt;0,IF(H62&lt;&gt;0,"0","1"),"")</f>
        <v>1</v>
      </c>
      <c r="J62" s="30">
        <f ca="1">IF(I62="0",NETWORKDAYS(G62,H62,$CB$3:$CB$19),NETWORKDAYS(G62,'2025整理'!$S$1,$CB$3:$CB$19))</f>
        <v>11</v>
      </c>
      <c r="K62" s="6"/>
      <c r="L62" s="7"/>
      <c r="M62" s="40"/>
      <c r="N62" s="30"/>
      <c r="O62" s="6"/>
      <c r="P62" s="7"/>
      <c r="Q62" s="38"/>
      <c r="R62" s="30"/>
      <c r="S62" s="6"/>
      <c r="T62" s="7"/>
      <c r="U62" s="38"/>
      <c r="V62" s="30"/>
      <c r="W62" s="6"/>
      <c r="X62" s="7"/>
      <c r="Y62" s="38"/>
      <c r="Z62" s="30"/>
      <c r="AA62" s="236">
        <v>46052</v>
      </c>
      <c r="AB62" s="7"/>
      <c r="AC62" s="40" t="str">
        <f>IF(AA62&lt;&gt;0,IF(AB62&lt;&gt;0,"0","1"),"")</f>
        <v>1</v>
      </c>
      <c r="AD62" s="30">
        <f ca="1">IF(AC62="0",NETWORKDAYS(AA62,AB62,$CB$3:$CB$19),NETWORKDAYS(AA62,'2025整理'!$S$1,$CB$3:$CB$19))</f>
        <v>-25</v>
      </c>
      <c r="AE62" s="48" t="s">
        <v>90</v>
      </c>
      <c r="AF62" s="47" t="s">
        <v>90</v>
      </c>
      <c r="AG62" s="50" t="s">
        <v>97</v>
      </c>
      <c r="AH62" s="51"/>
      <c r="AI62" s="52"/>
      <c r="AJ62" s="51"/>
      <c r="AK62" s="52"/>
      <c r="AL62" s="40"/>
      <c r="AM62" s="40"/>
      <c r="AN62" s="40"/>
      <c r="AO62" s="48"/>
      <c r="AP62" s="56"/>
      <c r="AQ62" s="48"/>
      <c r="AR62" s="56"/>
      <c r="AS62" s="40"/>
      <c r="AT62" s="40"/>
      <c r="AU62" s="51"/>
      <c r="AV62" s="52"/>
      <c r="AW62" s="51"/>
      <c r="AX62" s="52"/>
      <c r="AY62" s="40"/>
      <c r="AZ62" s="55"/>
      <c r="BA62" s="63"/>
      <c r="BB62" s="48"/>
      <c r="BC62" s="56"/>
      <c r="BD62" s="48"/>
      <c r="BE62" s="56"/>
      <c r="BF62" s="64"/>
      <c r="BG62" s="48"/>
      <c r="BH62" s="51"/>
      <c r="BI62" s="52"/>
      <c r="BJ62" s="51"/>
      <c r="BK62" s="52"/>
      <c r="BL62" s="40"/>
      <c r="BM62" s="55"/>
      <c r="BN62" s="63"/>
      <c r="BO62" s="48"/>
      <c r="BP62" s="56"/>
      <c r="BQ62" s="48"/>
      <c r="BR62" s="56"/>
      <c r="BS62" s="40"/>
      <c r="BT62" s="40"/>
      <c r="BU62" s="51"/>
      <c r="BV62" s="52"/>
      <c r="BW62" s="51"/>
      <c r="BX62" s="52"/>
      <c r="BY62" s="40"/>
      <c r="BZ62" s="55"/>
    </row>
    <row r="63" ht="13.5" customHeight="1" spans="1:78">
      <c r="A63" s="25" t="s">
        <v>153</v>
      </c>
      <c r="B63" s="5" t="s">
        <v>85</v>
      </c>
      <c r="C63" s="6"/>
      <c r="D63" s="7"/>
      <c r="E63" s="32"/>
      <c r="F63" s="30"/>
      <c r="G63" s="6"/>
      <c r="H63" s="7"/>
      <c r="I63" s="38"/>
      <c r="J63" s="30"/>
      <c r="K63" s="6"/>
      <c r="L63" s="7"/>
      <c r="M63" s="40"/>
      <c r="N63" s="30"/>
      <c r="O63" s="6"/>
      <c r="P63" s="7"/>
      <c r="Q63" s="38"/>
      <c r="R63" s="30"/>
      <c r="S63" s="6"/>
      <c r="T63" s="7"/>
      <c r="U63" s="38"/>
      <c r="V63" s="30"/>
      <c r="W63" s="6">
        <v>45713</v>
      </c>
      <c r="X63" s="7">
        <v>45723</v>
      </c>
      <c r="Y63" s="38" t="str">
        <f>IF(W63&lt;&gt;0,IF(X63&lt;&gt;0,"0","1"),"")</f>
        <v>0</v>
      </c>
      <c r="Z63" s="30">
        <f>IF(Y63="0",NETWORKDAYS(W63,X63,$EO$3:$EO$11),"")</f>
        <v>9</v>
      </c>
      <c r="AA63" s="6"/>
      <c r="AB63" s="7"/>
      <c r="AC63" s="40"/>
      <c r="AD63" s="30"/>
      <c r="AE63" s="48" t="s">
        <v>87</v>
      </c>
      <c r="AF63" s="47" t="s">
        <v>91</v>
      </c>
      <c r="AG63" s="50" t="s">
        <v>87</v>
      </c>
      <c r="AH63" s="51"/>
      <c r="AI63" s="52"/>
      <c r="AJ63" s="51"/>
      <c r="AK63" s="52"/>
      <c r="AL63" s="40"/>
      <c r="AM63" s="40"/>
      <c r="AN63" s="40"/>
      <c r="AO63" s="48"/>
      <c r="AP63" s="56"/>
      <c r="AQ63" s="48"/>
      <c r="AR63" s="56"/>
      <c r="AS63" s="40"/>
      <c r="AT63" s="40"/>
      <c r="AU63" s="51"/>
      <c r="AV63" s="52"/>
      <c r="AW63" s="51"/>
      <c r="AX63" s="52"/>
      <c r="AY63" s="40"/>
      <c r="AZ63" s="55"/>
      <c r="BA63" s="63"/>
      <c r="BB63" s="48"/>
      <c r="BC63" s="56"/>
      <c r="BD63" s="48"/>
      <c r="BE63" s="56"/>
      <c r="BF63" s="64"/>
      <c r="BG63" s="48"/>
      <c r="BH63" s="51"/>
      <c r="BI63" s="52">
        <v>6643</v>
      </c>
      <c r="BJ63" s="51"/>
      <c r="BK63" s="52">
        <v>6760</v>
      </c>
      <c r="BL63" s="40"/>
      <c r="BM63" s="55"/>
      <c r="BN63" s="63"/>
      <c r="BO63" s="48">
        <v>7179</v>
      </c>
      <c r="BP63" s="56">
        <v>7179</v>
      </c>
      <c r="BQ63" s="48">
        <v>7056</v>
      </c>
      <c r="BR63" s="56">
        <v>7056</v>
      </c>
      <c r="BS63" s="40" t="str">
        <f>IF(AND(BR63&lt;&gt;"",BQ63&lt;&gt;""),IF(BR63&gt;BQ63,"核增",IF(BR63&lt;BQ63,"核减","不变")),"")</f>
        <v>不变</v>
      </c>
      <c r="BT63" s="40">
        <f>IF(AND(BR63&lt;&gt;"",BQ63&lt;&gt;""),MAX(ABS(BR63),ABS(BQ63))-MIN(ABS(BR63),ABS(BQ63)),"")</f>
        <v>0</v>
      </c>
      <c r="BU63" s="51"/>
      <c r="BV63" s="52"/>
      <c r="BW63" s="51"/>
      <c r="BX63" s="52"/>
      <c r="BY63" s="253"/>
      <c r="BZ63" s="63"/>
    </row>
    <row r="64" ht="13.5" customHeight="1" spans="1:78">
      <c r="A64" s="25" t="s">
        <v>154</v>
      </c>
      <c r="B64" s="5" t="s">
        <v>96</v>
      </c>
      <c r="C64" s="6"/>
      <c r="D64" s="7"/>
      <c r="E64" s="32"/>
      <c r="F64" s="30"/>
      <c r="G64" s="6"/>
      <c r="H64" s="7"/>
      <c r="I64" s="38"/>
      <c r="J64" s="30"/>
      <c r="K64" s="6"/>
      <c r="L64" s="7"/>
      <c r="M64" s="40"/>
      <c r="N64" s="30"/>
      <c r="O64" s="6"/>
      <c r="P64" s="7"/>
      <c r="Q64" s="38"/>
      <c r="R64" s="30"/>
      <c r="S64" s="6"/>
      <c r="T64" s="7"/>
      <c r="U64" s="38"/>
      <c r="V64" s="30"/>
      <c r="W64" s="6"/>
      <c r="X64" s="7"/>
      <c r="Y64" s="38"/>
      <c r="Z64" s="30"/>
      <c r="AA64" s="6">
        <v>45712</v>
      </c>
      <c r="AB64" s="7">
        <v>45720</v>
      </c>
      <c r="AC64" s="40" t="str">
        <f>IF(AA64&lt;&gt;0,IF(AB64&lt;&gt;0,"0","1"),"")</f>
        <v>0</v>
      </c>
      <c r="AD64" s="30">
        <f>IF(AC64="0",NETWORKDAYS(AA64,AB64,$CB$3:$CB$19),"")</f>
        <v>7</v>
      </c>
      <c r="AE64" s="48" t="s">
        <v>97</v>
      </c>
      <c r="AF64" s="47" t="s">
        <v>91</v>
      </c>
      <c r="AG64" s="50" t="s">
        <v>97</v>
      </c>
      <c r="AH64" s="51"/>
      <c r="AI64" s="52"/>
      <c r="AJ64" s="51"/>
      <c r="AK64" s="52"/>
      <c r="AL64" s="40"/>
      <c r="AM64" s="40"/>
      <c r="AN64" s="40"/>
      <c r="AO64" s="48"/>
      <c r="AP64" s="56"/>
      <c r="AQ64" s="48"/>
      <c r="AR64" s="56"/>
      <c r="AS64" s="40"/>
      <c r="AT64" s="40"/>
      <c r="AU64" s="51"/>
      <c r="AV64" s="52"/>
      <c r="AW64" s="51"/>
      <c r="AX64" s="52"/>
      <c r="AY64" s="40"/>
      <c r="AZ64" s="55"/>
      <c r="BA64" s="63"/>
      <c r="BB64" s="48"/>
      <c r="BC64" s="56"/>
      <c r="BD64" s="48"/>
      <c r="BE64" s="56"/>
      <c r="BF64" s="64"/>
      <c r="BG64" s="48"/>
      <c r="BH64" s="51"/>
      <c r="BI64" s="52"/>
      <c r="BJ64" s="51"/>
      <c r="BK64" s="52"/>
      <c r="BL64" s="40"/>
      <c r="BM64" s="55"/>
      <c r="BN64" s="63"/>
      <c r="BO64" s="48"/>
      <c r="BP64" s="56"/>
      <c r="BQ64" s="48"/>
      <c r="BR64" s="56"/>
      <c r="BS64" s="40"/>
      <c r="BT64" s="40"/>
      <c r="BU64" s="82">
        <f>ABS(-709.19)</f>
        <v>709.19</v>
      </c>
      <c r="BV64" s="83">
        <f>ABS(-1026.54)</f>
        <v>1026.54</v>
      </c>
      <c r="BW64" s="82">
        <f>ABS(-709.19)</f>
        <v>709.19</v>
      </c>
      <c r="BX64" s="83">
        <f>ABS(-1026.54)</f>
        <v>1026.54</v>
      </c>
      <c r="BY64" s="253" t="str">
        <f>IF(AND(BX64&lt;&gt;"",BW64&lt;&gt;""),IF(BX64&gt;BW64,"核减",IF(BX64&lt;BW64,"核增","不变")),"")</f>
        <v>核减</v>
      </c>
      <c r="BZ64" s="55">
        <f>IF(AND(BX64&lt;&gt;"",BW64&lt;&gt;""),MAX(ABS(BX64),ABS(BW64))-MIN(ABS(BX64),ABS(BW64)),"")</f>
        <v>317.35</v>
      </c>
    </row>
    <row r="65" ht="13.5" customHeight="1" spans="1:78">
      <c r="A65" s="25" t="s">
        <v>155</v>
      </c>
      <c r="B65" s="5" t="s">
        <v>93</v>
      </c>
      <c r="C65" s="6"/>
      <c r="D65" s="7"/>
      <c r="E65" s="32"/>
      <c r="F65" s="30"/>
      <c r="G65" s="6"/>
      <c r="H65" s="7"/>
      <c r="I65" s="38"/>
      <c r="J65" s="30"/>
      <c r="K65" s="16">
        <v>45876</v>
      </c>
      <c r="L65" s="7">
        <v>45896</v>
      </c>
      <c r="M65" s="40" t="str">
        <f t="shared" ref="M65:M66" si="109">IF(K65&lt;&gt;0,IF(L65&lt;&gt;0,"0","1"),"")</f>
        <v>0</v>
      </c>
      <c r="N65" s="30">
        <f ca="1">IF(M65="0",NETWORKDAYS(K65,L65,$CB$3:$CB$19),NETWORKDAYS(K65,'2025整理'!$S$1,$CB$3:$CB$19))</f>
        <v>15</v>
      </c>
      <c r="O65" s="6"/>
      <c r="P65" s="7"/>
      <c r="Q65" s="38"/>
      <c r="R65" s="30"/>
      <c r="S65" s="6"/>
      <c r="T65" s="7"/>
      <c r="U65" s="38"/>
      <c r="V65" s="30"/>
      <c r="W65" s="6"/>
      <c r="X65" s="7"/>
      <c r="Y65" s="38"/>
      <c r="Z65" s="30"/>
      <c r="AA65" s="6"/>
      <c r="AB65" s="7"/>
      <c r="AC65" s="40"/>
      <c r="AD65" s="30"/>
      <c r="AE65" s="48" t="s">
        <v>90</v>
      </c>
      <c r="AF65" s="47" t="s">
        <v>90</v>
      </c>
      <c r="AG65" s="50" t="s">
        <v>97</v>
      </c>
      <c r="AH65" s="51"/>
      <c r="AI65" s="52">
        <v>11428.04</v>
      </c>
      <c r="AJ65" s="51"/>
      <c r="AK65" s="52">
        <v>11231.87</v>
      </c>
      <c r="AL65" s="40"/>
      <c r="AM65" s="40"/>
      <c r="AN65" s="40"/>
      <c r="AO65" s="48"/>
      <c r="AP65" s="56"/>
      <c r="AQ65" s="48"/>
      <c r="AR65" s="56"/>
      <c r="AS65" s="40"/>
      <c r="AT65" s="40"/>
      <c r="AU65" s="51">
        <v>10552.04</v>
      </c>
      <c r="AV65" s="52">
        <v>10557.82</v>
      </c>
      <c r="AW65" s="51">
        <v>10389.09</v>
      </c>
      <c r="AX65" s="52">
        <v>10395.5</v>
      </c>
      <c r="AY65" s="40" t="str">
        <f t="shared" ref="AY65:AY66" si="110">IF(AND(AX65&lt;&gt;"",AW65&lt;&gt;""),IF(AX65&gt;AW65,"核增",IF(AX65&lt;AW65,"核减","不变")),"")</f>
        <v>核增</v>
      </c>
      <c r="AZ65" s="55">
        <f t="shared" ref="AZ65:AZ66" si="111">IF(AND(AX65&lt;&gt;"",AW65&lt;&gt;""),MAX(ABS(AX65),ABS(AW65))-MIN(ABS(AX65),ABS(AW65)),"")</f>
        <v>6.40999999999985</v>
      </c>
      <c r="BA65" s="63" t="str">
        <f t="shared" ref="BA65:BA66" si="112">IF(AND(AV65&lt;&gt;"",AI65&lt;&gt;""),IF(AV65&gt;AI65,"核增",IF(AV65&lt;AI65,"核减","不变")),"")&amp;TEXT(IF(AND(AV65&lt;&gt;"",AI65&lt;&gt;""),MAX(ABS(AV65),ABS(AI65))-MIN(ABS(AV65),ABS(AI65)),""),"0.00")</f>
        <v>核减870.22</v>
      </c>
      <c r="BB65" s="48"/>
      <c r="BC65" s="56"/>
      <c r="BD65" s="48"/>
      <c r="BE65" s="56"/>
      <c r="BF65" s="64"/>
      <c r="BG65" s="48"/>
      <c r="BH65" s="51"/>
      <c r="BI65" s="52"/>
      <c r="BJ65" s="51"/>
      <c r="BK65" s="52"/>
      <c r="BL65" s="40"/>
      <c r="BM65" s="55"/>
      <c r="BN65" s="63"/>
      <c r="BO65" s="48"/>
      <c r="BP65" s="56"/>
      <c r="BQ65" s="48"/>
      <c r="BR65" s="56"/>
      <c r="BS65" s="40"/>
      <c r="BT65" s="40"/>
      <c r="BU65" s="51"/>
      <c r="BV65" s="52"/>
      <c r="BW65" s="51"/>
      <c r="BX65" s="52"/>
      <c r="BY65" s="40"/>
      <c r="BZ65" s="55"/>
    </row>
    <row r="66" ht="13.5" customHeight="1" spans="1:78">
      <c r="A66" s="25" t="s">
        <v>156</v>
      </c>
      <c r="B66" s="5" t="s">
        <v>85</v>
      </c>
      <c r="C66" s="6"/>
      <c r="D66" s="7"/>
      <c r="E66" s="32"/>
      <c r="F66" s="30"/>
      <c r="G66" s="6"/>
      <c r="H66" s="7"/>
      <c r="I66" s="38"/>
      <c r="J66" s="30"/>
      <c r="K66" s="6">
        <v>45729</v>
      </c>
      <c r="L66" s="7">
        <v>45765</v>
      </c>
      <c r="M66" s="40" t="str">
        <f t="shared" si="109"/>
        <v>0</v>
      </c>
      <c r="N66" s="30">
        <f>IF(M66="0",NETWORKDAYS(K66,L66,$CB$3:$CB$19),"")</f>
        <v>26</v>
      </c>
      <c r="O66" s="6"/>
      <c r="P66" s="7"/>
      <c r="Q66" s="38"/>
      <c r="R66" s="30"/>
      <c r="S66" s="6">
        <v>45940</v>
      </c>
      <c r="T66" s="7">
        <v>45954</v>
      </c>
      <c r="U66" s="38" t="str">
        <f>IF(S66&lt;&gt;0,IF(T66&lt;&gt;0,"0","1"),"")</f>
        <v>0</v>
      </c>
      <c r="V66" s="30">
        <f ca="1">IF(U66="0",NETWORKDAYS(S66,T66,$CB$3:$CB$19),NETWORKDAYS(S66,'2025整理'!$S$1,$CB$3:$CB$19))</f>
        <v>11</v>
      </c>
      <c r="W66" s="6"/>
      <c r="X66" s="7"/>
      <c r="Y66" s="38"/>
      <c r="Z66" s="30"/>
      <c r="AA66" s="6"/>
      <c r="AB66" s="7"/>
      <c r="AC66" s="40"/>
      <c r="AD66" s="30"/>
      <c r="AE66" s="48" t="s">
        <v>90</v>
      </c>
      <c r="AF66" s="47" t="s">
        <v>90</v>
      </c>
      <c r="AG66" s="50" t="s">
        <v>87</v>
      </c>
      <c r="AH66" s="51"/>
      <c r="AI66" s="52">
        <v>6695.6</v>
      </c>
      <c r="AJ66" s="51"/>
      <c r="AK66" s="52">
        <v>6598.55</v>
      </c>
      <c r="AL66" s="40"/>
      <c r="AM66" s="40"/>
      <c r="AN66" s="40"/>
      <c r="AO66" s="48"/>
      <c r="AP66" s="56"/>
      <c r="AQ66" s="48"/>
      <c r="AR66" s="56"/>
      <c r="AS66" s="55" t="str">
        <f>IF(AND(AR66&lt;&gt;"",AQ66&lt;&gt;""),IF(AR66&gt;AQ66,"核增",IF(AR66&lt;AQ66,"核减","不变")),"")</f>
        <v/>
      </c>
      <c r="AT66" s="55" t="str">
        <f>IF(AND(AR66&lt;&gt;"",AQ66&lt;&gt;""),MAX(ABS(AR66),ABS(AQ66))-MIN(ABS(AR66),ABS(AQ66)),"")</f>
        <v/>
      </c>
      <c r="AU66" s="48">
        <v>6861.92</v>
      </c>
      <c r="AV66" s="56">
        <v>6678.38</v>
      </c>
      <c r="AW66" s="48">
        <v>6766.9</v>
      </c>
      <c r="AX66" s="56">
        <v>6585.69</v>
      </c>
      <c r="AY66" s="40" t="str">
        <f t="shared" si="110"/>
        <v>核减</v>
      </c>
      <c r="AZ66" s="55">
        <f t="shared" si="111"/>
        <v>181.21</v>
      </c>
      <c r="BA66" s="63" t="str">
        <f t="shared" si="112"/>
        <v>核减17.22</v>
      </c>
      <c r="BB66" s="48"/>
      <c r="BC66" s="56"/>
      <c r="BD66" s="48"/>
      <c r="BE66" s="56"/>
      <c r="BF66" s="64"/>
      <c r="BG66" s="48"/>
      <c r="BH66" s="51">
        <v>6499.91</v>
      </c>
      <c r="BI66" s="52">
        <v>6517.19</v>
      </c>
      <c r="BJ66" s="51">
        <v>6412.38</v>
      </c>
      <c r="BK66" s="52">
        <v>6430.59</v>
      </c>
      <c r="BL66" s="40" t="str">
        <f>IF(AND(BK66&lt;&gt;"",BJ66&lt;&gt;""),IF(BK66&gt;BJ66,"核增",IF(BK66&lt;BJ66,"核减","不变")),"")</f>
        <v>核增</v>
      </c>
      <c r="BM66" s="55">
        <f>IF(AND(BK66&lt;&gt;"",BJ66&lt;&gt;""),MAX(ABS(BK66),ABS(BJ66))-MIN(ABS(BK66),ABS(BJ66)),"")</f>
        <v>18.21</v>
      </c>
      <c r="BN66" s="63" t="str">
        <f>IF(AND(BI66&lt;&gt;"",AV66&lt;&gt;""),IF(BI66&gt;AV66,"核增",IF(BI66&lt;AV66,"核减","不变")),"")&amp;TEXT(IF(AND(BI66&lt;&gt;"",AV66&lt;&gt;""),MAX(ABS(BI66),ABS(AV66))-MIN(ABS(BI66),ABS(AV66)),""),"0.00")</f>
        <v>核减161.19</v>
      </c>
      <c r="BO66" s="48"/>
      <c r="BP66" s="56"/>
      <c r="BQ66" s="48"/>
      <c r="BR66" s="56"/>
      <c r="BS66" s="40"/>
      <c r="BT66" s="40"/>
      <c r="BU66" s="51"/>
      <c r="BV66" s="52"/>
      <c r="BW66" s="51"/>
      <c r="BX66" s="52"/>
      <c r="BY66" s="40"/>
      <c r="BZ66" s="55"/>
    </row>
    <row r="67" ht="13.5" customHeight="1" spans="1:78">
      <c r="A67" s="25" t="s">
        <v>157</v>
      </c>
      <c r="B67" s="5" t="s">
        <v>81</v>
      </c>
      <c r="C67" s="6"/>
      <c r="D67" s="7"/>
      <c r="E67" s="32"/>
      <c r="F67" s="30"/>
      <c r="G67" s="6"/>
      <c r="H67" s="7"/>
      <c r="I67" s="38"/>
      <c r="J67" s="30"/>
      <c r="K67" s="6"/>
      <c r="L67" s="7"/>
      <c r="M67" s="40"/>
      <c r="N67" s="30"/>
      <c r="O67" s="6"/>
      <c r="P67" s="7"/>
      <c r="Q67" s="38"/>
      <c r="R67" s="30"/>
      <c r="S67" s="6"/>
      <c r="T67" s="7"/>
      <c r="U67" s="38"/>
      <c r="V67" s="30"/>
      <c r="W67" s="6"/>
      <c r="X67" s="7"/>
      <c r="Y67" s="38"/>
      <c r="Z67" s="30"/>
      <c r="AA67" s="236">
        <v>46052</v>
      </c>
      <c r="AB67" s="7"/>
      <c r="AC67" s="40" t="str">
        <f>IF(AA67&lt;&gt;0,IF(AB67&lt;&gt;0,"0","1"),"")</f>
        <v>1</v>
      </c>
      <c r="AD67" s="30">
        <f ca="1">IF(AC67="0",NETWORKDAYS(AA67,AB67,$CB$3:$CB$19),NETWORKDAYS(AA67,'2025整理'!$S$1,$CB$3:$CB$19))</f>
        <v>-25</v>
      </c>
      <c r="AE67" s="48" t="s">
        <v>82</v>
      </c>
      <c r="AF67" s="47" t="s">
        <v>82</v>
      </c>
      <c r="AG67" s="50" t="s">
        <v>97</v>
      </c>
      <c r="AH67" s="51"/>
      <c r="AI67" s="52"/>
      <c r="AJ67" s="51"/>
      <c r="AK67" s="52"/>
      <c r="AL67" s="40"/>
      <c r="AM67" s="40"/>
      <c r="AN67" s="40"/>
      <c r="AO67" s="48"/>
      <c r="AP67" s="56"/>
      <c r="AQ67" s="48"/>
      <c r="AR67" s="56"/>
      <c r="AS67" s="40"/>
      <c r="AT67" s="40"/>
      <c r="AU67" s="51"/>
      <c r="AV67" s="52"/>
      <c r="AW67" s="51"/>
      <c r="AX67" s="52"/>
      <c r="AY67" s="40"/>
      <c r="AZ67" s="55"/>
      <c r="BA67" s="63"/>
      <c r="BB67" s="48"/>
      <c r="BC67" s="56"/>
      <c r="BD67" s="48"/>
      <c r="BE67" s="56"/>
      <c r="BF67" s="64"/>
      <c r="BG67" s="48"/>
      <c r="BH67" s="51"/>
      <c r="BI67" s="52"/>
      <c r="BJ67" s="51"/>
      <c r="BK67" s="52"/>
      <c r="BL67" s="40"/>
      <c r="BM67" s="55"/>
      <c r="BN67" s="63"/>
      <c r="BO67" s="48"/>
      <c r="BP67" s="56"/>
      <c r="BQ67" s="48"/>
      <c r="BR67" s="56"/>
      <c r="BS67" s="40"/>
      <c r="BT67" s="40"/>
      <c r="BU67" s="51"/>
      <c r="BV67" s="52"/>
      <c r="BW67" s="51"/>
      <c r="BX67" s="52"/>
      <c r="BY67" s="40"/>
      <c r="BZ67" s="55"/>
    </row>
    <row r="68" ht="13.5" customHeight="1" spans="1:78">
      <c r="A68" s="26" t="s">
        <v>158</v>
      </c>
      <c r="B68" s="5" t="s">
        <v>93</v>
      </c>
      <c r="C68" s="6"/>
      <c r="D68" s="7"/>
      <c r="E68" s="32"/>
      <c r="F68" s="30"/>
      <c r="G68" s="6"/>
      <c r="H68" s="7"/>
      <c r="I68" s="38"/>
      <c r="J68" s="30"/>
      <c r="K68" s="6"/>
      <c r="L68" s="7"/>
      <c r="M68" s="40"/>
      <c r="N68" s="30"/>
      <c r="O68" s="6">
        <v>45852</v>
      </c>
      <c r="P68" s="7">
        <v>45856</v>
      </c>
      <c r="Q68" s="38" t="str">
        <f>IF(O68&lt;&gt;0,IF(P68&lt;&gt;0,"0","1"),"")</f>
        <v>0</v>
      </c>
      <c r="R68" s="30">
        <f ca="1">IF(Q68="0",NETWORKDAYS(O68,P68,$CB$3:$CB$19),NETWORKDAYS(O68,'2025整理'!$S$1,$CB$3:$CB$19))</f>
        <v>5</v>
      </c>
      <c r="S68" s="6"/>
      <c r="T68" s="7"/>
      <c r="U68" s="38"/>
      <c r="V68" s="30"/>
      <c r="W68" s="6"/>
      <c r="X68" s="7"/>
      <c r="Y68" s="38"/>
      <c r="Z68" s="30"/>
      <c r="AA68" s="6"/>
      <c r="AB68" s="7"/>
      <c r="AC68" s="40"/>
      <c r="AD68" s="30"/>
      <c r="AE68" s="48" t="s">
        <v>86</v>
      </c>
      <c r="AF68" s="47" t="s">
        <v>86</v>
      </c>
      <c r="AG68" s="50" t="s">
        <v>91</v>
      </c>
      <c r="AH68" s="48"/>
      <c r="AI68" s="56">
        <v>3753.03</v>
      </c>
      <c r="AJ68" s="48"/>
      <c r="AK68" s="56">
        <v>3688.61</v>
      </c>
      <c r="AL68" s="40"/>
      <c r="AM68" s="40"/>
      <c r="AN68" s="40"/>
      <c r="AO68" s="48"/>
      <c r="AP68" s="56"/>
      <c r="AQ68" s="48"/>
      <c r="AR68" s="56"/>
      <c r="AS68" s="40"/>
      <c r="AT68" s="40"/>
      <c r="AU68" s="51"/>
      <c r="AV68" s="52"/>
      <c r="AW68" s="51"/>
      <c r="AX68" s="52"/>
      <c r="AY68" s="40"/>
      <c r="AZ68" s="55"/>
      <c r="BA68" s="63"/>
      <c r="BB68" s="48">
        <v>3741.81</v>
      </c>
      <c r="BC68" s="56">
        <v>3721.32</v>
      </c>
      <c r="BD68" s="48">
        <v>3677.58</v>
      </c>
      <c r="BE68" s="56">
        <v>3657.44</v>
      </c>
      <c r="BF68" s="64" t="str">
        <f>IF(AND(BE68&lt;&gt;"",BD68&lt;&gt;""),IF(BE68&gt;BD68,"核增",IF(BE68&lt;BD68,"核减","不变")),"")</f>
        <v>核减</v>
      </c>
      <c r="BG68" s="52">
        <f>IF(AND(BE68&lt;&gt;"",BD68&lt;&gt;""),MAX(ABS(BE68),ABS(BD68))-MIN(ABS(BE68),ABS(BD68)),"")</f>
        <v>20.1399999999999</v>
      </c>
      <c r="BH68" s="51"/>
      <c r="BI68" s="52"/>
      <c r="BJ68" s="51"/>
      <c r="BK68" s="52"/>
      <c r="BL68" s="40"/>
      <c r="BM68" s="55"/>
      <c r="BN68" s="63"/>
      <c r="BO68" s="48"/>
      <c r="BP68" s="56"/>
      <c r="BQ68" s="48"/>
      <c r="BR68" s="56"/>
      <c r="BS68" s="40"/>
      <c r="BT68" s="40"/>
      <c r="BU68" s="51"/>
      <c r="BV68" s="52"/>
      <c r="BW68" s="51"/>
      <c r="BX68" s="52"/>
      <c r="BY68" s="40"/>
      <c r="BZ68" s="55"/>
    </row>
    <row r="69" ht="13.5" customHeight="1" spans="1:78">
      <c r="A69" s="25" t="s">
        <v>159</v>
      </c>
      <c r="B69" s="5" t="s">
        <v>160</v>
      </c>
      <c r="C69" s="6"/>
      <c r="D69" s="7"/>
      <c r="E69" s="32"/>
      <c r="F69" s="30"/>
      <c r="G69" s="6"/>
      <c r="H69" s="7"/>
      <c r="I69" s="38"/>
      <c r="J69" s="30"/>
      <c r="K69" s="6">
        <v>45744</v>
      </c>
      <c r="L69" s="7">
        <v>45786</v>
      </c>
      <c r="M69" s="40" t="str">
        <f>IF(K69&lt;&gt;0,IF(L69&lt;&gt;0,"0","1"),"")</f>
        <v>0</v>
      </c>
      <c r="N69" s="30">
        <f>IF(M69="0",NETWORKDAYS(K69,L69,$CB$3:$CB$19),"")</f>
        <v>30</v>
      </c>
      <c r="O69" s="6"/>
      <c r="P69" s="7"/>
      <c r="Q69" s="38"/>
      <c r="R69" s="30"/>
      <c r="S69" s="6">
        <v>45862</v>
      </c>
      <c r="T69" s="7">
        <v>45897</v>
      </c>
      <c r="U69" s="38" t="str">
        <f t="shared" ref="U69:U73" si="113">IF(S69&lt;&gt;0,IF(T69&lt;&gt;0,"0","1"),"")</f>
        <v>0</v>
      </c>
      <c r="V69" s="30">
        <f ca="1">IF(U69="0",NETWORKDAYS(S69,T69,$CB$3:$CB$19),NETWORKDAYS(S69,'2025整理'!$S$1,$CB$3:$CB$19))</f>
        <v>26</v>
      </c>
      <c r="W69" s="6"/>
      <c r="X69" s="7"/>
      <c r="Y69" s="38"/>
      <c r="Z69" s="30"/>
      <c r="AA69" s="6"/>
      <c r="AB69" s="7"/>
      <c r="AC69" s="40"/>
      <c r="AD69" s="30"/>
      <c r="AE69" s="48" t="s">
        <v>83</v>
      </c>
      <c r="AF69" s="47" t="s">
        <v>91</v>
      </c>
      <c r="AG69" s="50" t="s">
        <v>83</v>
      </c>
      <c r="AH69" s="51"/>
      <c r="AI69" s="52">
        <v>6370.29</v>
      </c>
      <c r="AJ69" s="51"/>
      <c r="AK69" s="52">
        <v>6240.34</v>
      </c>
      <c r="AL69" s="40"/>
      <c r="AM69" s="40"/>
      <c r="AN69" s="40"/>
      <c r="AO69" s="48"/>
      <c r="AP69" s="56"/>
      <c r="AQ69" s="48"/>
      <c r="AR69" s="56"/>
      <c r="AS69" s="40"/>
      <c r="AT69" s="40"/>
      <c r="AU69" s="51">
        <v>6342.38</v>
      </c>
      <c r="AV69" s="52">
        <v>6201.6</v>
      </c>
      <c r="AW69" s="51">
        <v>6342.38</v>
      </c>
      <c r="AX69" s="52">
        <v>6153.24</v>
      </c>
      <c r="AY69" s="40" t="str">
        <f>IF(AND(AX69&lt;&gt;"",AW69&lt;&gt;""),IF(AX69&gt;AW69,"核增",IF(AX69&lt;AW69,"核减","不变")),"")</f>
        <v>核减</v>
      </c>
      <c r="AZ69" s="55">
        <f>IF(AND(AX69&lt;&gt;"",AW69&lt;&gt;""),MAX(ABS(AX69),ABS(AW69))-MIN(ABS(AX69),ABS(AW69)),"")</f>
        <v>189.14</v>
      </c>
      <c r="BA69" s="63" t="str">
        <f>IF(AND(AV69&lt;&gt;"",AI69&lt;&gt;""),IF(AV69&gt;AI69,"核增",IF(AV69&lt;AI69,"核减","不变")),"")&amp;TEXT(IF(AND(AV69&lt;&gt;"",AI69&lt;&gt;""),MAX(ABS(AV69),ABS(AI69))-MIN(ABS(AV69),ABS(AI69)),""),"0.00")</f>
        <v>核减168.69</v>
      </c>
      <c r="BB69" s="48"/>
      <c r="BC69" s="56"/>
      <c r="BD69" s="48"/>
      <c r="BE69" s="56"/>
      <c r="BF69" s="64"/>
      <c r="BG69" s="48"/>
      <c r="BH69" s="51">
        <v>5995.38</v>
      </c>
      <c r="BI69" s="52">
        <v>5670.57</v>
      </c>
      <c r="BJ69" s="51">
        <v>5995.38</v>
      </c>
      <c r="BK69" s="52">
        <v>5670.57</v>
      </c>
      <c r="BL69" s="40" t="str">
        <f t="shared" ref="BL69:BL70" si="114">IF(AND(BK69&lt;&gt;"",BJ69&lt;&gt;""),IF(BK69&gt;BJ69,"核增",IF(BK69&lt;BJ69,"核减","不变")),"")</f>
        <v>核减</v>
      </c>
      <c r="BM69" s="55">
        <f t="shared" ref="BM69:BM70" si="115">IF(AND(BK69&lt;&gt;"",BJ69&lt;&gt;""),MAX(ABS(BK69),ABS(BJ69))-MIN(ABS(BK69),ABS(BJ69)),"")</f>
        <v>324.81</v>
      </c>
      <c r="BN69" s="63" t="str">
        <f t="shared" ref="BN69:BN70" si="116">IF(AND(BI69&lt;&gt;"",AV69&lt;&gt;""),IF(BI69&gt;AV69,"核增",IF(BI69&lt;AV69,"核减","不变")),"")&amp;TEXT(IF(AND(BI69&lt;&gt;"",AV69&lt;&gt;""),MAX(ABS(BI69),ABS(AV69))-MIN(ABS(BI69),ABS(AV69)),""),"0.00")</f>
        <v>核减531.03</v>
      </c>
      <c r="BO69" s="48"/>
      <c r="BP69" s="56"/>
      <c r="BQ69" s="48"/>
      <c r="BR69" s="56"/>
      <c r="BS69" s="40"/>
      <c r="BT69" s="40"/>
      <c r="BU69" s="51"/>
      <c r="BV69" s="52"/>
      <c r="BW69" s="51"/>
      <c r="BX69" s="52"/>
      <c r="BY69" s="40"/>
      <c r="BZ69" s="55"/>
    </row>
    <row r="70" ht="13.5" customHeight="1" spans="1:78">
      <c r="A70" s="25" t="s">
        <v>161</v>
      </c>
      <c r="B70" s="5" t="s">
        <v>93</v>
      </c>
      <c r="C70" s="6"/>
      <c r="D70" s="7"/>
      <c r="E70" s="32"/>
      <c r="F70" s="30"/>
      <c r="G70" s="6"/>
      <c r="H70" s="7"/>
      <c r="I70" s="38"/>
      <c r="J70" s="30"/>
      <c r="K70" s="6"/>
      <c r="L70" s="7"/>
      <c r="M70" s="40"/>
      <c r="N70" s="30"/>
      <c r="O70" s="6"/>
      <c r="P70" s="7"/>
      <c r="Q70" s="38"/>
      <c r="R70" s="30"/>
      <c r="S70" s="16">
        <v>45795</v>
      </c>
      <c r="T70" s="7">
        <v>45797</v>
      </c>
      <c r="U70" s="38" t="str">
        <f t="shared" si="113"/>
        <v>0</v>
      </c>
      <c r="V70" s="30">
        <f ca="1">IF(U70="0",NETWORKDAYS(S70,T70,$CB$3:$CB$19),NETWORKDAYS(S70,'2025整理'!$S$1,$CB$3:$CB$19))</f>
        <v>2</v>
      </c>
      <c r="W70" s="6"/>
      <c r="X70" s="7"/>
      <c r="Y70" s="38" t="str">
        <f>IF(W70&lt;&gt;0,IF(X70&lt;&gt;0,"0","1"),"")</f>
        <v/>
      </c>
      <c r="Z70" s="30"/>
      <c r="AA70" s="6"/>
      <c r="AB70" s="7"/>
      <c r="AC70" s="40"/>
      <c r="AD70" s="30"/>
      <c r="AE70" s="48" t="s">
        <v>86</v>
      </c>
      <c r="AF70" s="47" t="s">
        <v>86</v>
      </c>
      <c r="AG70" s="50" t="s">
        <v>97</v>
      </c>
      <c r="AH70" s="51"/>
      <c r="AI70" s="52"/>
      <c r="AJ70" s="51"/>
      <c r="AK70" s="52"/>
      <c r="AL70" s="40"/>
      <c r="AM70" s="40"/>
      <c r="AN70" s="40"/>
      <c r="AO70" s="48"/>
      <c r="AP70" s="56"/>
      <c r="AQ70" s="48"/>
      <c r="AR70" s="56"/>
      <c r="AS70" s="40"/>
      <c r="AT70" s="40"/>
      <c r="AU70" s="247"/>
      <c r="AV70" s="254">
        <v>19087.26</v>
      </c>
      <c r="AW70" s="252"/>
      <c r="AX70" s="254">
        <v>18796.43</v>
      </c>
      <c r="AY70" s="255"/>
      <c r="AZ70" s="256"/>
      <c r="BA70" s="256"/>
      <c r="BB70" s="257"/>
      <c r="BC70" s="258"/>
      <c r="BD70" s="257"/>
      <c r="BE70" s="258"/>
      <c r="BF70" s="259"/>
      <c r="BG70" s="257"/>
      <c r="BH70" s="252">
        <v>18529.52</v>
      </c>
      <c r="BI70" s="254">
        <v>18837.94</v>
      </c>
      <c r="BJ70" s="252">
        <v>18336.29</v>
      </c>
      <c r="BK70" s="254">
        <v>18553.22</v>
      </c>
      <c r="BL70" s="40" t="str">
        <f t="shared" si="114"/>
        <v>核增</v>
      </c>
      <c r="BM70" s="55">
        <f t="shared" si="115"/>
        <v>216.93</v>
      </c>
      <c r="BN70" s="63" t="str">
        <f t="shared" si="116"/>
        <v>核减249.32</v>
      </c>
      <c r="BO70" s="48"/>
      <c r="BP70" s="56"/>
      <c r="BQ70" s="48"/>
      <c r="BR70" s="56"/>
      <c r="BS70" s="40"/>
      <c r="BT70" s="40"/>
      <c r="BU70" s="51"/>
      <c r="BV70" s="52"/>
      <c r="BW70" s="51"/>
      <c r="BX70" s="52"/>
      <c r="BY70" s="40"/>
      <c r="BZ70" s="55"/>
    </row>
    <row r="71" ht="13.5" customHeight="1" spans="1:78">
      <c r="A71" s="25" t="s">
        <v>162</v>
      </c>
      <c r="B71" s="5" t="s">
        <v>93</v>
      </c>
      <c r="C71" s="6"/>
      <c r="D71" s="7"/>
      <c r="E71" s="32"/>
      <c r="F71" s="30"/>
      <c r="G71" s="6"/>
      <c r="H71" s="7"/>
      <c r="I71" s="38"/>
      <c r="J71" s="30"/>
      <c r="K71" s="6">
        <v>45742</v>
      </c>
      <c r="L71" s="7">
        <v>45764</v>
      </c>
      <c r="M71" s="40" t="str">
        <f t="shared" ref="M71:M73" si="117">IF(K71&lt;&gt;0,IF(L71&lt;&gt;0,"0","1"),"")</f>
        <v>0</v>
      </c>
      <c r="N71" s="30">
        <f t="shared" ref="N71:N73" si="118">IF(M71="0",NETWORKDAYS(K71,L71,$CB$3:$CB$19),"")</f>
        <v>16</v>
      </c>
      <c r="O71" s="6"/>
      <c r="P71" s="7"/>
      <c r="Q71" s="38"/>
      <c r="R71" s="30"/>
      <c r="S71" s="236">
        <v>46052</v>
      </c>
      <c r="T71" s="7"/>
      <c r="U71" s="38" t="str">
        <f t="shared" si="113"/>
        <v>1</v>
      </c>
      <c r="V71" s="30">
        <f ca="1">IF(U71="0",NETWORKDAYS(S71,T71,$CB$3:$CB$19),NETWORKDAYS(S71,'2025整理'!$S$1,$CB$3:$CB$19))</f>
        <v>-25</v>
      </c>
      <c r="W71" s="6"/>
      <c r="X71" s="7"/>
      <c r="Y71" s="38"/>
      <c r="Z71" s="30"/>
      <c r="AA71" s="6"/>
      <c r="AB71" s="7"/>
      <c r="AC71" s="40"/>
      <c r="AD71" s="30"/>
      <c r="AE71" s="48" t="s">
        <v>90</v>
      </c>
      <c r="AF71" s="47" t="s">
        <v>90</v>
      </c>
      <c r="AG71" s="50" t="s">
        <v>83</v>
      </c>
      <c r="AH71" s="51"/>
      <c r="AI71" s="52">
        <v>15452.35</v>
      </c>
      <c r="AJ71" s="51"/>
      <c r="AK71" s="52">
        <v>15187.51</v>
      </c>
      <c r="AL71" s="40"/>
      <c r="AM71" s="40"/>
      <c r="AN71" s="40"/>
      <c r="AO71" s="48"/>
      <c r="AP71" s="56"/>
      <c r="AQ71" s="48"/>
      <c r="AR71" s="56"/>
      <c r="AS71" s="40"/>
      <c r="AT71" s="40"/>
      <c r="AU71" s="51">
        <v>15177.05</v>
      </c>
      <c r="AV71" s="52">
        <v>14997.06</v>
      </c>
      <c r="AW71" s="51">
        <v>14944.03</v>
      </c>
      <c r="AX71" s="52">
        <v>14766.89</v>
      </c>
      <c r="AY71" s="40" t="str">
        <f t="shared" ref="AY71:AY73" si="119">IF(AND(AX71&lt;&gt;"",AW71&lt;&gt;""),IF(AX71&gt;AW71,"核增",IF(AX71&lt;AW71,"核减","不变")),"")</f>
        <v>核减</v>
      </c>
      <c r="AZ71" s="55">
        <f t="shared" ref="AZ71:AZ73" si="120">IF(AND(AX71&lt;&gt;"",AW71&lt;&gt;""),MAX(ABS(AX71),ABS(AW71))-MIN(ABS(AX71),ABS(AW71)),"")</f>
        <v>177.140000000001</v>
      </c>
      <c r="BA71" s="63" t="str">
        <f t="shared" ref="BA71:BA73" si="121">IF(AND(AV71&lt;&gt;"",AI71&lt;&gt;""),IF(AV71&gt;AI71,"核增",IF(AV71&lt;AI71,"核减","不变")),"")&amp;TEXT(IF(AND(AV71&lt;&gt;"",AI71&lt;&gt;""),MAX(ABS(AV71),ABS(AI71))-MIN(ABS(AV71),ABS(AI71)),""),"0.00")</f>
        <v>核减455.29</v>
      </c>
      <c r="BB71" s="48"/>
      <c r="BC71" s="56"/>
      <c r="BD71" s="48"/>
      <c r="BE71" s="56"/>
      <c r="BF71" s="64"/>
      <c r="BG71" s="48"/>
      <c r="BH71" s="51"/>
      <c r="BI71" s="52"/>
      <c r="BJ71" s="51"/>
      <c r="BK71" s="52"/>
      <c r="BL71" s="40"/>
      <c r="BM71" s="55"/>
      <c r="BN71" s="63"/>
      <c r="BO71" s="48"/>
      <c r="BP71" s="56"/>
      <c r="BQ71" s="48"/>
      <c r="BR71" s="56"/>
      <c r="BS71" s="40"/>
      <c r="BT71" s="40"/>
      <c r="BU71" s="51"/>
      <c r="BV71" s="52"/>
      <c r="BW71" s="51"/>
      <c r="BX71" s="52"/>
      <c r="BY71" s="40"/>
      <c r="BZ71" s="55"/>
    </row>
    <row r="72" ht="13.5" customHeight="1" spans="1:78">
      <c r="A72" s="25" t="s">
        <v>163</v>
      </c>
      <c r="B72" s="5" t="s">
        <v>93</v>
      </c>
      <c r="C72" s="6"/>
      <c r="D72" s="7"/>
      <c r="E72" s="32"/>
      <c r="F72" s="30"/>
      <c r="G72" s="6"/>
      <c r="H72" s="7"/>
      <c r="I72" s="38"/>
      <c r="J72" s="30"/>
      <c r="K72" s="6">
        <v>45756</v>
      </c>
      <c r="L72" s="7">
        <v>45790</v>
      </c>
      <c r="M72" s="40" t="str">
        <f t="shared" si="117"/>
        <v>0</v>
      </c>
      <c r="N72" s="30">
        <f t="shared" si="118"/>
        <v>25</v>
      </c>
      <c r="O72" s="6"/>
      <c r="P72" s="7"/>
      <c r="Q72" s="38"/>
      <c r="R72" s="30"/>
      <c r="S72" s="6">
        <v>45905</v>
      </c>
      <c r="T72" s="7">
        <v>45945</v>
      </c>
      <c r="U72" s="38" t="str">
        <f t="shared" si="113"/>
        <v>0</v>
      </c>
      <c r="V72" s="30">
        <f ca="1">IF(U72="0",NETWORKDAYS(S72,T72,$CB$3:$CB$19),NETWORKDAYS(S72,'2025整理'!$S$1,$CB$3:$CB$19))</f>
        <v>29</v>
      </c>
      <c r="W72" s="6"/>
      <c r="X72" s="7"/>
      <c r="Y72" s="38"/>
      <c r="Z72" s="30"/>
      <c r="AA72" s="6"/>
      <c r="AB72" s="7"/>
      <c r="AC72" s="40"/>
      <c r="AD72" s="30"/>
      <c r="AE72" s="48" t="s">
        <v>82</v>
      </c>
      <c r="AF72" s="47" t="s">
        <v>82</v>
      </c>
      <c r="AG72" s="50" t="s">
        <v>91</v>
      </c>
      <c r="AH72" s="51"/>
      <c r="AI72" s="52">
        <v>5724</v>
      </c>
      <c r="AJ72" s="51"/>
      <c r="AK72" s="52">
        <v>5625</v>
      </c>
      <c r="AL72" s="40"/>
      <c r="AM72" s="40"/>
      <c r="AN72" s="40"/>
      <c r="AO72" s="48"/>
      <c r="AP72" s="56"/>
      <c r="AQ72" s="48"/>
      <c r="AR72" s="56"/>
      <c r="AS72" s="55" t="str">
        <f>IF(AND(AR72&lt;&gt;"",AQ72&lt;&gt;""),IF(AR72&gt;AQ72,"核增",IF(AR72&lt;AQ72,"核减","不变")),"")</f>
        <v/>
      </c>
      <c r="AT72" s="55" t="str">
        <f>IF(AND(AR72&lt;&gt;"",AQ72&lt;&gt;""),MAX(ABS(AR72),ABS(AQ72))-MIN(ABS(AR72),ABS(AQ72)),"")</f>
        <v/>
      </c>
      <c r="AU72" s="48">
        <v>5342.43</v>
      </c>
      <c r="AV72" s="56">
        <v>4695.84</v>
      </c>
      <c r="AW72" s="48">
        <v>5259.75</v>
      </c>
      <c r="AX72" s="56">
        <v>4623.17</v>
      </c>
      <c r="AY72" s="40" t="str">
        <f t="shared" si="119"/>
        <v>核减</v>
      </c>
      <c r="AZ72" s="55">
        <f t="shared" si="120"/>
        <v>636.58</v>
      </c>
      <c r="BA72" s="63" t="str">
        <f t="shared" si="121"/>
        <v>核减1028.16</v>
      </c>
      <c r="BB72" s="48"/>
      <c r="BC72" s="56"/>
      <c r="BD72" s="48"/>
      <c r="BE72" s="56"/>
      <c r="BF72" s="64"/>
      <c r="BG72" s="48"/>
      <c r="BH72" s="51">
        <v>3934.08</v>
      </c>
      <c r="BI72" s="52">
        <v>4230.55</v>
      </c>
      <c r="BJ72" s="51">
        <v>3873.2</v>
      </c>
      <c r="BK72" s="52">
        <v>4165.08</v>
      </c>
      <c r="BL72" s="40" t="str">
        <f t="shared" ref="BL72:BL73" si="122">IF(AND(BK72&lt;&gt;"",BJ72&lt;&gt;""),IF(BK72&gt;BJ72,"核增",IF(BK72&lt;BJ72,"核减","不变")),"")</f>
        <v>核增</v>
      </c>
      <c r="BM72" s="55">
        <f t="shared" ref="BM72:BM73" si="123">IF(AND(BK72&lt;&gt;"",BJ72&lt;&gt;""),MAX(ABS(BK72),ABS(BJ72))-MIN(ABS(BK72),ABS(BJ72)),"")</f>
        <v>291.88</v>
      </c>
      <c r="BN72" s="63" t="str">
        <f t="shared" ref="BN72:BN73" si="124">IF(AND(BI72&lt;&gt;"",AV72&lt;&gt;""),IF(BI72&gt;AV72,"核增",IF(BI72&lt;AV72,"核减","不变")),"")&amp;TEXT(IF(AND(BI72&lt;&gt;"",AV72&lt;&gt;""),MAX(ABS(BI72),ABS(AV72))-MIN(ABS(BI72),ABS(AV72)),""),"0.00")</f>
        <v>核减465.29</v>
      </c>
      <c r="BO72" s="48"/>
      <c r="BP72" s="56"/>
      <c r="BQ72" s="48"/>
      <c r="BR72" s="56"/>
      <c r="BS72" s="40"/>
      <c r="BT72" s="40"/>
      <c r="BU72" s="51"/>
      <c r="BV72" s="52"/>
      <c r="BW72" s="51"/>
      <c r="BX72" s="52"/>
      <c r="BY72" s="40"/>
      <c r="BZ72" s="55"/>
    </row>
    <row r="73" ht="13.5" customHeight="1" spans="1:78">
      <c r="A73" s="25" t="s">
        <v>164</v>
      </c>
      <c r="B73" s="5" t="s">
        <v>85</v>
      </c>
      <c r="C73" s="6"/>
      <c r="D73" s="7"/>
      <c r="E73" s="32"/>
      <c r="F73" s="30"/>
      <c r="G73" s="6"/>
      <c r="H73" s="7"/>
      <c r="I73" s="38"/>
      <c r="J73" s="30"/>
      <c r="K73" s="6">
        <v>45749</v>
      </c>
      <c r="L73" s="7">
        <v>45764</v>
      </c>
      <c r="M73" s="40" t="str">
        <f t="shared" si="117"/>
        <v>0</v>
      </c>
      <c r="N73" s="30">
        <f t="shared" si="118"/>
        <v>11</v>
      </c>
      <c r="O73" s="6"/>
      <c r="P73" s="7"/>
      <c r="Q73" s="38"/>
      <c r="R73" s="30"/>
      <c r="S73" s="6">
        <v>45922</v>
      </c>
      <c r="T73" s="7">
        <v>45941</v>
      </c>
      <c r="U73" s="38" t="str">
        <f t="shared" si="113"/>
        <v>0</v>
      </c>
      <c r="V73" s="30">
        <f ca="1">IF(U73="0",NETWORKDAYS(S73,T73,$CB$3:$CB$19),NETWORKDAYS(S73,'2025整理'!$S$1,$CB$3:$CB$19))</f>
        <v>15</v>
      </c>
      <c r="W73" s="6"/>
      <c r="X73" s="7"/>
      <c r="Y73" s="38"/>
      <c r="Z73" s="30"/>
      <c r="AA73" s="6"/>
      <c r="AB73" s="7"/>
      <c r="AC73" s="40"/>
      <c r="AD73" s="30"/>
      <c r="AE73" s="48" t="s">
        <v>90</v>
      </c>
      <c r="AF73" s="47" t="s">
        <v>90</v>
      </c>
      <c r="AG73" s="50" t="s">
        <v>87</v>
      </c>
      <c r="AH73" s="51"/>
      <c r="AI73" s="52">
        <v>7779.04</v>
      </c>
      <c r="AJ73" s="51"/>
      <c r="AK73" s="52">
        <v>7648.51</v>
      </c>
      <c r="AL73" s="40"/>
      <c r="AM73" s="40"/>
      <c r="AN73" s="40"/>
      <c r="AO73" s="48"/>
      <c r="AP73" s="56"/>
      <c r="AQ73" s="48"/>
      <c r="AR73" s="56"/>
      <c r="AS73" s="40"/>
      <c r="AT73" s="40"/>
      <c r="AU73" s="51">
        <v>7683.31</v>
      </c>
      <c r="AV73" s="52">
        <v>7715.72</v>
      </c>
      <c r="AW73" s="51">
        <v>7567.07</v>
      </c>
      <c r="AX73" s="52">
        <v>7598.97</v>
      </c>
      <c r="AY73" s="40" t="str">
        <f t="shared" si="119"/>
        <v>核增</v>
      </c>
      <c r="AZ73" s="55">
        <f t="shared" si="120"/>
        <v>31.9000000000005</v>
      </c>
      <c r="BA73" s="63" t="str">
        <f t="shared" si="121"/>
        <v>核减63.32</v>
      </c>
      <c r="BB73" s="48"/>
      <c r="BC73" s="56"/>
      <c r="BD73" s="48"/>
      <c r="BE73" s="56"/>
      <c r="BF73" s="64"/>
      <c r="BG73" s="48"/>
      <c r="BH73" s="51">
        <v>7617.55</v>
      </c>
      <c r="BI73" s="52">
        <v>7686.14</v>
      </c>
      <c r="BJ73" s="51">
        <v>7501.62</v>
      </c>
      <c r="BK73" s="52">
        <v>7569.88</v>
      </c>
      <c r="BL73" s="40" t="str">
        <f t="shared" si="122"/>
        <v>核增</v>
      </c>
      <c r="BM73" s="55">
        <f t="shared" si="123"/>
        <v>68.2600000000002</v>
      </c>
      <c r="BN73" s="63" t="str">
        <f t="shared" si="124"/>
        <v>核减29.58</v>
      </c>
      <c r="BO73" s="48"/>
      <c r="BP73" s="56"/>
      <c r="BQ73" s="48"/>
      <c r="BR73" s="56"/>
      <c r="BS73" s="40"/>
      <c r="BT73" s="40"/>
      <c r="BU73" s="51"/>
      <c r="BV73" s="52"/>
      <c r="BW73" s="51"/>
      <c r="BX73" s="52"/>
      <c r="BY73" s="40"/>
      <c r="BZ73" s="55"/>
    </row>
    <row r="74" ht="13.5" customHeight="1" spans="1:78">
      <c r="A74" s="25" t="s">
        <v>165</v>
      </c>
      <c r="B74" s="5" t="s">
        <v>93</v>
      </c>
      <c r="C74" s="6"/>
      <c r="D74" s="7"/>
      <c r="E74" s="32" t="str">
        <f t="shared" ref="E74:E75" si="125">IF(C74&lt;&gt;0,IF(D74&lt;&gt;0,"0","1"),"")</f>
        <v/>
      </c>
      <c r="F74" s="30"/>
      <c r="G74" s="6"/>
      <c r="H74" s="7"/>
      <c r="I74" s="38"/>
      <c r="J74" s="30"/>
      <c r="K74" s="6"/>
      <c r="L74" s="7"/>
      <c r="M74" s="40"/>
      <c r="N74" s="30"/>
      <c r="O74" s="6"/>
      <c r="P74" s="7"/>
      <c r="Q74" s="38"/>
      <c r="R74" s="30"/>
      <c r="S74" s="6"/>
      <c r="T74" s="7"/>
      <c r="U74" s="38"/>
      <c r="V74" s="30"/>
      <c r="W74" s="6"/>
      <c r="X74" s="7"/>
      <c r="Y74" s="38"/>
      <c r="Z74" s="30"/>
      <c r="AA74" s="6"/>
      <c r="AB74" s="7"/>
      <c r="AC74" s="40"/>
      <c r="AD74" s="30"/>
      <c r="AE74" s="48" t="s">
        <v>82</v>
      </c>
      <c r="AF74" s="47" t="s">
        <v>82</v>
      </c>
      <c r="AG74" s="50" t="s">
        <v>91</v>
      </c>
      <c r="AH74" s="51"/>
      <c r="AI74" s="52"/>
      <c r="AJ74" s="51"/>
      <c r="AK74" s="52"/>
      <c r="AL74" s="40"/>
      <c r="AM74" s="40"/>
      <c r="AN74" s="40"/>
      <c r="AO74" s="48"/>
      <c r="AP74" s="56"/>
      <c r="AQ74" s="48"/>
      <c r="AR74" s="56"/>
      <c r="AS74" s="40"/>
      <c r="AT74" s="40"/>
      <c r="AU74" s="51"/>
      <c r="AV74" s="52"/>
      <c r="AW74" s="51"/>
      <c r="AX74" s="52"/>
      <c r="AY74" s="40"/>
      <c r="AZ74" s="55"/>
      <c r="BA74" s="63"/>
      <c r="BB74" s="48"/>
      <c r="BC74" s="56"/>
      <c r="BD74" s="48"/>
      <c r="BE74" s="56"/>
      <c r="BF74" s="64"/>
      <c r="BG74" s="48"/>
      <c r="BH74" s="51"/>
      <c r="BI74" s="52"/>
      <c r="BJ74" s="51"/>
      <c r="BK74" s="52"/>
      <c r="BL74" s="40"/>
      <c r="BM74" s="55"/>
      <c r="BN74" s="63"/>
      <c r="BO74" s="48"/>
      <c r="BP74" s="56"/>
      <c r="BQ74" s="48"/>
      <c r="BR74" s="56"/>
      <c r="BS74" s="40"/>
      <c r="BT74" s="40"/>
      <c r="BU74" s="51"/>
      <c r="BV74" s="52"/>
      <c r="BW74" s="51"/>
      <c r="BX74" s="52"/>
      <c r="BY74" s="40"/>
      <c r="BZ74" s="55"/>
    </row>
    <row r="75" ht="13.5" customHeight="1" spans="1:78">
      <c r="A75" s="4" t="s">
        <v>166</v>
      </c>
      <c r="B75" s="5" t="s">
        <v>81</v>
      </c>
      <c r="C75" s="16">
        <v>46052</v>
      </c>
      <c r="D75" s="7"/>
      <c r="E75" s="32" t="str">
        <f t="shared" si="125"/>
        <v>1</v>
      </c>
      <c r="F75" s="30">
        <f ca="1">IF(E75="0",NETWORKDAYS(C75,D75,$CB$3:$CB$19),NETWORKDAYS(C75,'2025整理'!$S$1,$CB$3:$CB$19))</f>
        <v>-25</v>
      </c>
      <c r="G75" s="6"/>
      <c r="H75" s="7"/>
      <c r="I75" s="38"/>
      <c r="J75" s="30"/>
      <c r="K75" s="6"/>
      <c r="L75" s="7"/>
      <c r="M75" s="40"/>
      <c r="N75" s="30"/>
      <c r="O75" s="6"/>
      <c r="P75" s="7"/>
      <c r="Q75" s="38"/>
      <c r="R75" s="30"/>
      <c r="S75" s="6"/>
      <c r="T75" s="7"/>
      <c r="U75" s="38"/>
      <c r="V75" s="30"/>
      <c r="W75" s="6"/>
      <c r="X75" s="7"/>
      <c r="Y75" s="38"/>
      <c r="Z75" s="30"/>
      <c r="AA75" s="6"/>
      <c r="AB75" s="7"/>
      <c r="AC75" s="40"/>
      <c r="AD75" s="30"/>
      <c r="AE75" s="46" t="s">
        <v>86</v>
      </c>
      <c r="AF75" s="47" t="s">
        <v>86</v>
      </c>
      <c r="AG75" s="50" t="s">
        <v>83</v>
      </c>
      <c r="AH75" s="51"/>
      <c r="AI75" s="52"/>
      <c r="AJ75" s="51"/>
      <c r="AK75" s="52"/>
      <c r="AL75" s="40"/>
      <c r="AM75" s="40"/>
      <c r="AN75" s="40"/>
      <c r="AO75" s="48"/>
      <c r="AP75" s="56"/>
      <c r="AQ75" s="48"/>
      <c r="AR75" s="56"/>
      <c r="AS75" s="40"/>
      <c r="AT75" s="40"/>
      <c r="AU75" s="51"/>
      <c r="AV75" s="52"/>
      <c r="AW75" s="51"/>
      <c r="AX75" s="52"/>
      <c r="AY75" s="40"/>
      <c r="AZ75" s="55"/>
      <c r="BA75" s="63"/>
      <c r="BB75" s="48"/>
      <c r="BC75" s="56"/>
      <c r="BD75" s="48"/>
      <c r="BE75" s="56"/>
      <c r="BF75" s="64"/>
      <c r="BG75" s="48"/>
      <c r="BH75" s="51"/>
      <c r="BI75" s="52"/>
      <c r="BJ75" s="51"/>
      <c r="BK75" s="52"/>
      <c r="BL75" s="40"/>
      <c r="BM75" s="55"/>
      <c r="BN75" s="63"/>
      <c r="BO75" s="48"/>
      <c r="BP75" s="56"/>
      <c r="BQ75" s="48"/>
      <c r="BR75" s="56"/>
      <c r="BS75" s="40"/>
      <c r="BT75" s="40"/>
      <c r="BU75" s="51"/>
      <c r="BV75" s="52"/>
      <c r="BW75" s="51"/>
      <c r="BX75" s="52"/>
      <c r="BY75" s="40"/>
      <c r="BZ75" s="55"/>
    </row>
    <row r="76" ht="13.5" customHeight="1" spans="1:78">
      <c r="A76" s="25" t="s">
        <v>167</v>
      </c>
      <c r="B76" s="5" t="s">
        <v>93</v>
      </c>
      <c r="C76" s="6"/>
      <c r="D76" s="7"/>
      <c r="E76" s="32"/>
      <c r="F76" s="30"/>
      <c r="G76" s="6"/>
      <c r="H76" s="7"/>
      <c r="I76" s="38"/>
      <c r="J76" s="30"/>
      <c r="K76" s="6"/>
      <c r="L76" s="7"/>
      <c r="M76" s="40"/>
      <c r="N76" s="30"/>
      <c r="O76" s="6">
        <v>45854</v>
      </c>
      <c r="P76" s="7">
        <v>45873</v>
      </c>
      <c r="Q76" s="38" t="str">
        <f>IF(O76&lt;&gt;0,IF(P76&lt;&gt;0,"0","1"),"")</f>
        <v>0</v>
      </c>
      <c r="R76" s="30">
        <f ca="1">IF(Q76="0",NETWORKDAYS(O76,P76,$CB$3:$CB$19),NETWORKDAYS(O76,'2025整理'!$S$1,$CB$3:$CB$19))</f>
        <v>14</v>
      </c>
      <c r="S76" s="6"/>
      <c r="T76" s="7"/>
      <c r="U76" s="38"/>
      <c r="V76" s="30"/>
      <c r="W76" s="6"/>
      <c r="X76" s="7"/>
      <c r="Y76" s="38"/>
      <c r="Z76" s="30"/>
      <c r="AA76" s="6">
        <v>45735</v>
      </c>
      <c r="AB76" s="7">
        <v>45740</v>
      </c>
      <c r="AC76" s="40" t="str">
        <f>IF(AA76&lt;&gt;0,IF(AB76&lt;&gt;0,"0","1"),"")</f>
        <v>0</v>
      </c>
      <c r="AD76" s="30">
        <f>IF(AC76="0",NETWORKDAYS(AA76,AB76,$CB$3:$CB$19),"")</f>
        <v>4</v>
      </c>
      <c r="AE76" s="48" t="s">
        <v>149</v>
      </c>
      <c r="AF76" s="49" t="s">
        <v>90</v>
      </c>
      <c r="AG76" s="50" t="s">
        <v>149</v>
      </c>
      <c r="AH76" s="51"/>
      <c r="AI76" s="52">
        <v>50701.89</v>
      </c>
      <c r="AJ76" s="51"/>
      <c r="AK76" s="52">
        <v>49779.8</v>
      </c>
      <c r="AL76" s="40"/>
      <c r="AM76" s="40"/>
      <c r="AN76" s="40"/>
      <c r="AO76" s="48"/>
      <c r="AP76" s="56"/>
      <c r="AQ76" s="48"/>
      <c r="AR76" s="56"/>
      <c r="AS76" s="40"/>
      <c r="AT76" s="40"/>
      <c r="AU76" s="51"/>
      <c r="AV76" s="52"/>
      <c r="AW76" s="51"/>
      <c r="AX76" s="52"/>
      <c r="AY76" s="40"/>
      <c r="AZ76" s="55"/>
      <c r="BA76" s="63"/>
      <c r="BB76" s="48">
        <v>50691.39</v>
      </c>
      <c r="BC76" s="56">
        <v>50619.9</v>
      </c>
      <c r="BD76" s="48">
        <v>49770</v>
      </c>
      <c r="BE76" s="56">
        <v>49699.73</v>
      </c>
      <c r="BF76" s="64" t="str">
        <f>IF(AND(BE76&lt;&gt;"",BD76&lt;&gt;""),IF(BE76&gt;BD76,"核增",IF(BE76&lt;BD76,"核减","不变")),"")</f>
        <v>核减</v>
      </c>
      <c r="BG76" s="52">
        <f>IF(AND(BE76&lt;&gt;"",BD76&lt;&gt;""),MAX(ABS(BE76),ABS(BD76))-MIN(ABS(BE76),ABS(BD76)),"")</f>
        <v>70.2699999999968</v>
      </c>
      <c r="BH76" s="51"/>
      <c r="BI76" s="52"/>
      <c r="BJ76" s="51"/>
      <c r="BK76" s="52"/>
      <c r="BL76" s="40"/>
      <c r="BM76" s="55"/>
      <c r="BN76" s="63"/>
      <c r="BO76" s="48"/>
      <c r="BP76" s="56"/>
      <c r="BQ76" s="48"/>
      <c r="BR76" s="56"/>
      <c r="BS76" s="40"/>
      <c r="BT76" s="40"/>
      <c r="BU76" s="82">
        <f t="shared" ref="BU76:BX76" si="126">ABS(-1950.73)</f>
        <v>1950.73</v>
      </c>
      <c r="BV76" s="83">
        <f t="shared" si="126"/>
        <v>1950.73</v>
      </c>
      <c r="BW76" s="82">
        <f t="shared" si="126"/>
        <v>1950.73</v>
      </c>
      <c r="BX76" s="83">
        <f t="shared" si="126"/>
        <v>1950.73</v>
      </c>
      <c r="BY76" s="40" t="s">
        <v>150</v>
      </c>
      <c r="BZ76" s="55">
        <v>0</v>
      </c>
    </row>
    <row r="77" ht="13.5" customHeight="1" spans="1:78">
      <c r="A77" s="25" t="s">
        <v>168</v>
      </c>
      <c r="B77" s="5" t="s">
        <v>85</v>
      </c>
      <c r="C77" s="6"/>
      <c r="D77" s="7"/>
      <c r="E77" s="32"/>
      <c r="F77" s="30"/>
      <c r="G77" s="6"/>
      <c r="H77" s="7"/>
      <c r="I77" s="38"/>
      <c r="J77" s="30"/>
      <c r="K77" s="6"/>
      <c r="L77" s="7"/>
      <c r="M77" s="40"/>
      <c r="N77" s="30"/>
      <c r="O77" s="6"/>
      <c r="P77" s="7"/>
      <c r="Q77" s="38"/>
      <c r="R77" s="30"/>
      <c r="S77" s="6">
        <v>45985</v>
      </c>
      <c r="T77" s="7">
        <v>46003</v>
      </c>
      <c r="U77" s="38" t="str">
        <f t="shared" ref="U77:U79" si="127">IF(S77&lt;&gt;0,IF(T77&lt;&gt;0,"0","1"),"")</f>
        <v>0</v>
      </c>
      <c r="V77" s="30">
        <f ca="1">IF(U77="0",NETWORKDAYS(S77,T77,$CB$3:$CB$19),NETWORKDAYS(S77,'2025整理'!$S$1,$CB$3:$CB$19))</f>
        <v>15</v>
      </c>
      <c r="W77" s="6"/>
      <c r="X77" s="7"/>
      <c r="Y77" s="38"/>
      <c r="Z77" s="30"/>
      <c r="AA77" s="6"/>
      <c r="AB77" s="7"/>
      <c r="AC77" s="40"/>
      <c r="AD77" s="30"/>
      <c r="AE77" s="48" t="s">
        <v>86</v>
      </c>
      <c r="AF77" s="47" t="s">
        <v>86</v>
      </c>
      <c r="AG77" s="50" t="s">
        <v>91</v>
      </c>
      <c r="AH77" s="51"/>
      <c r="AI77" s="52"/>
      <c r="AJ77" s="51"/>
      <c r="AK77" s="52"/>
      <c r="AL77" s="40"/>
      <c r="AM77" s="40"/>
      <c r="AN77" s="40"/>
      <c r="AO77" s="48"/>
      <c r="AP77" s="56"/>
      <c r="AQ77" s="48"/>
      <c r="AR77" s="56"/>
      <c r="AS77" s="40"/>
      <c r="AT77" s="40"/>
      <c r="AU77" s="51"/>
      <c r="AV77" s="52">
        <v>4207.14</v>
      </c>
      <c r="AW77" s="51"/>
      <c r="AX77" s="52">
        <v>4134.92</v>
      </c>
      <c r="AY77" s="40"/>
      <c r="AZ77" s="55"/>
      <c r="BA77" s="63"/>
      <c r="BB77" s="48"/>
      <c r="BC77" s="56"/>
      <c r="BD77" s="48"/>
      <c r="BE77" s="56"/>
      <c r="BF77" s="64"/>
      <c r="BG77" s="48"/>
      <c r="BH77" s="51">
        <v>4302.46</v>
      </c>
      <c r="BI77" s="52">
        <v>4122.87</v>
      </c>
      <c r="BJ77" s="51">
        <v>4235.88</v>
      </c>
      <c r="BK77" s="52">
        <v>4059.07</v>
      </c>
      <c r="BL77" s="40" t="str">
        <f>IF(AND(BK77&lt;&gt;"",BJ77&lt;&gt;""),IF(BK77&gt;BJ77,"核增",IF(BK77&lt;BJ77,"核减","不变")),"")</f>
        <v>核减</v>
      </c>
      <c r="BM77" s="55">
        <f>IF(AND(BK77&lt;&gt;"",BJ77&lt;&gt;""),MAX(ABS(BK77),ABS(BJ77))-MIN(ABS(BK77),ABS(BJ77)),"")</f>
        <v>176.81</v>
      </c>
      <c r="BN77" s="63" t="str">
        <f>IF(AND(BI77&lt;&gt;"",AV77&lt;&gt;""),IF(BI77&gt;AV77,"核增",IF(BI77&lt;AV77,"核减","不变")),"")&amp;TEXT(IF(AND(BI77&lt;&gt;"",AV77&lt;&gt;""),MAX(ABS(BI77),ABS(AV77))-MIN(ABS(BI77),ABS(AV77)),""),"0.00")</f>
        <v>核减84.27</v>
      </c>
      <c r="BO77" s="48"/>
      <c r="BP77" s="56"/>
      <c r="BQ77" s="48"/>
      <c r="BR77" s="56"/>
      <c r="BS77" s="40"/>
      <c r="BT77" s="40"/>
      <c r="BU77" s="51"/>
      <c r="BV77" s="52"/>
      <c r="BW77" s="51"/>
      <c r="BX77" s="52"/>
      <c r="BY77" s="40"/>
      <c r="BZ77" s="55"/>
    </row>
    <row r="78" ht="13.5" customHeight="1" spans="1:78">
      <c r="A78" s="25" t="s">
        <v>169</v>
      </c>
      <c r="B78" s="5" t="s">
        <v>93</v>
      </c>
      <c r="C78" s="6"/>
      <c r="D78" s="7"/>
      <c r="E78" s="32"/>
      <c r="F78" s="30"/>
      <c r="G78" s="6"/>
      <c r="H78" s="7"/>
      <c r="I78" s="38"/>
      <c r="J78" s="30"/>
      <c r="K78" s="6">
        <v>45737</v>
      </c>
      <c r="L78" s="7">
        <v>45777</v>
      </c>
      <c r="M78" s="40" t="str">
        <f>IF(K78&lt;&gt;0,IF(L78&lt;&gt;0,"0","1"),"")</f>
        <v>0</v>
      </c>
      <c r="N78" s="30">
        <f>IF(M78="0",NETWORKDAYS(K78,L78,$CB$3:$CB$19),"")</f>
        <v>28</v>
      </c>
      <c r="O78" s="6"/>
      <c r="P78" s="7"/>
      <c r="Q78" s="38"/>
      <c r="R78" s="30"/>
      <c r="S78" s="6"/>
      <c r="T78" s="7"/>
      <c r="U78" s="38" t="str">
        <f t="shared" si="127"/>
        <v/>
      </c>
      <c r="V78" s="30"/>
      <c r="W78" s="6"/>
      <c r="X78" s="7"/>
      <c r="Y78" s="38"/>
      <c r="Z78" s="30"/>
      <c r="AA78" s="6"/>
      <c r="AB78" s="7"/>
      <c r="AC78" s="40"/>
      <c r="AD78" s="30"/>
      <c r="AE78" s="48" t="s">
        <v>97</v>
      </c>
      <c r="AF78" s="47" t="s">
        <v>86</v>
      </c>
      <c r="AG78" s="50" t="s">
        <v>97</v>
      </c>
      <c r="AH78" s="51"/>
      <c r="AI78" s="52">
        <f>143636.51-8374.97</f>
        <v>135261.54</v>
      </c>
      <c r="AJ78" s="51"/>
      <c r="AK78" s="52">
        <f>139001.27-8374.97</f>
        <v>130626.3</v>
      </c>
      <c r="AL78" s="40"/>
      <c r="AM78" s="40"/>
      <c r="AN78" s="40"/>
      <c r="AO78" s="48"/>
      <c r="AP78" s="56"/>
      <c r="AQ78" s="48"/>
      <c r="AR78" s="56"/>
      <c r="AS78" s="40"/>
      <c r="AT78" s="40"/>
      <c r="AU78" s="51">
        <v>106204.96</v>
      </c>
      <c r="AV78" s="52">
        <v>109058.54</v>
      </c>
      <c r="AW78" s="51">
        <v>104885.28</v>
      </c>
      <c r="AX78" s="52">
        <v>107707.91</v>
      </c>
      <c r="AY78" s="40" t="str">
        <f>IF(AND(AX78&lt;&gt;"",AW78&lt;&gt;""),IF(AX78&gt;AW78,"核增",IF(AX78&lt;AW78,"核减","不变")),"")</f>
        <v>核增</v>
      </c>
      <c r="AZ78" s="55">
        <f>IF(AND(AX78&lt;&gt;"",AW78&lt;&gt;""),MAX(ABS(AX78),ABS(AW78))-MIN(ABS(AX78),ABS(AW78)),"")</f>
        <v>2822.63</v>
      </c>
      <c r="BA78" s="63" t="str">
        <f>IF(AND(AV78&lt;&gt;"",AI78&lt;&gt;""),IF(AV78&gt;AI78,"核增",IF(AV78&lt;AI78,"核减","不变")),"")&amp;TEXT(IF(AND(AV78&lt;&gt;"",AI78&lt;&gt;""),MAX(ABS(AV78),ABS(AI78))-MIN(ABS(AV78),ABS(AI78)),""),"0.00")</f>
        <v>核减26203.00</v>
      </c>
      <c r="BB78" s="48"/>
      <c r="BC78" s="56"/>
      <c r="BD78" s="48"/>
      <c r="BE78" s="56"/>
      <c r="BF78" s="64"/>
      <c r="BG78" s="48"/>
      <c r="BH78" s="51"/>
      <c r="BI78" s="52"/>
      <c r="BJ78" s="51"/>
      <c r="BK78" s="52"/>
      <c r="BL78" s="40"/>
      <c r="BM78" s="55"/>
      <c r="BN78" s="63"/>
      <c r="BO78" s="48"/>
      <c r="BP78" s="56"/>
      <c r="BQ78" s="48"/>
      <c r="BR78" s="56"/>
      <c r="BS78" s="40"/>
      <c r="BT78" s="40"/>
      <c r="BU78" s="51"/>
      <c r="BV78" s="52"/>
      <c r="BW78" s="51"/>
      <c r="BX78" s="52"/>
      <c r="BY78" s="40"/>
      <c r="BZ78" s="55"/>
    </row>
    <row r="79" ht="13.5" customHeight="1" spans="1:78">
      <c r="A79" s="25" t="s">
        <v>170</v>
      </c>
      <c r="B79" s="5" t="s">
        <v>93</v>
      </c>
      <c r="C79" s="6"/>
      <c r="D79" s="7"/>
      <c r="E79" s="32"/>
      <c r="F79" s="30"/>
      <c r="G79" s="6"/>
      <c r="H79" s="7"/>
      <c r="I79" s="38"/>
      <c r="J79" s="30"/>
      <c r="K79" s="6"/>
      <c r="L79" s="7"/>
      <c r="M79" s="40"/>
      <c r="N79" s="30"/>
      <c r="O79" s="6"/>
      <c r="P79" s="7"/>
      <c r="Q79" s="38"/>
      <c r="R79" s="30"/>
      <c r="S79" s="6">
        <v>45903</v>
      </c>
      <c r="T79" s="7">
        <v>45930</v>
      </c>
      <c r="U79" s="38" t="str">
        <f t="shared" si="127"/>
        <v>0</v>
      </c>
      <c r="V79" s="30">
        <f ca="1">IF(U79="0",NETWORKDAYS(S79,T79,$CB$3:$CB$19),NETWORKDAYS(S79,'2025整理'!$S$1,$CB$3:$CB$19))</f>
        <v>20</v>
      </c>
      <c r="W79" s="6"/>
      <c r="X79" s="7"/>
      <c r="Y79" s="38"/>
      <c r="Z79" s="30"/>
      <c r="AA79" s="6"/>
      <c r="AB79" s="7"/>
      <c r="AC79" s="40"/>
      <c r="AD79" s="30"/>
      <c r="AE79" s="46" t="s">
        <v>86</v>
      </c>
      <c r="AF79" s="49" t="s">
        <v>86</v>
      </c>
      <c r="AG79" s="50" t="s">
        <v>97</v>
      </c>
      <c r="AH79" s="51"/>
      <c r="AI79" s="52">
        <v>8348.29</v>
      </c>
      <c r="AJ79" s="51"/>
      <c r="AK79" s="52">
        <v>8197.6</v>
      </c>
      <c r="AL79" s="40"/>
      <c r="AM79" s="40"/>
      <c r="AN79" s="40"/>
      <c r="AO79" s="48"/>
      <c r="AP79" s="56"/>
      <c r="AQ79" s="48"/>
      <c r="AR79" s="56"/>
      <c r="AS79" s="40"/>
      <c r="AT79" s="40"/>
      <c r="AU79" s="51"/>
      <c r="AV79" s="52">
        <v>8160.46</v>
      </c>
      <c r="AW79" s="51"/>
      <c r="AX79" s="52">
        <v>8022.52</v>
      </c>
      <c r="AY79" s="40"/>
      <c r="AZ79" s="55"/>
      <c r="BA79" s="63"/>
      <c r="BB79" s="48"/>
      <c r="BC79" s="56"/>
      <c r="BD79" s="48"/>
      <c r="BE79" s="56"/>
      <c r="BF79" s="64"/>
      <c r="BG79" s="48"/>
      <c r="BH79" s="51">
        <v>7457.72</v>
      </c>
      <c r="BI79" s="52">
        <v>7461.07</v>
      </c>
      <c r="BJ79" s="51">
        <v>7330.44</v>
      </c>
      <c r="BK79" s="52">
        <v>7333.97</v>
      </c>
      <c r="BL79" s="40" t="str">
        <f t="shared" ref="BL79:BL80" si="128">IF(AND(BK79&lt;&gt;"",BJ79&lt;&gt;""),IF(BK79&gt;BJ79,"核增",IF(BK79&lt;BJ79,"核减","不变")),"")</f>
        <v>核增</v>
      </c>
      <c r="BM79" s="55">
        <f t="shared" ref="BM79:BM80" si="129">IF(AND(BK79&lt;&gt;"",BJ79&lt;&gt;""),MAX(ABS(BK79),ABS(BJ79))-MIN(ABS(BK79),ABS(BJ79)),"")</f>
        <v>3.53000000000065</v>
      </c>
      <c r="BN79" s="63" t="str">
        <f t="shared" ref="BN79:BN80" si="130">IF(AND(BI79&lt;&gt;"",AV79&lt;&gt;""),IF(BI79&gt;AV79,"核增",IF(BI79&lt;AV79,"核减","不变")),"")&amp;TEXT(IF(AND(BI79&lt;&gt;"",AV79&lt;&gt;""),MAX(ABS(BI79),ABS(AV79))-MIN(ABS(BI79),ABS(AV79)),""),"0.00")</f>
        <v>核减699.39</v>
      </c>
      <c r="BO79" s="48"/>
      <c r="BP79" s="56"/>
      <c r="BQ79" s="48"/>
      <c r="BR79" s="56"/>
      <c r="BS79" s="40"/>
      <c r="BT79" s="40"/>
      <c r="BU79" s="51"/>
      <c r="BV79" s="52"/>
      <c r="BW79" s="51"/>
      <c r="BX79" s="52"/>
      <c r="BY79" s="40"/>
      <c r="BZ79" s="55"/>
    </row>
    <row r="80" ht="13.5" customHeight="1" spans="1:78">
      <c r="A80" s="25" t="s">
        <v>171</v>
      </c>
      <c r="B80" s="5" t="s">
        <v>85</v>
      </c>
      <c r="C80" s="6">
        <v>45735</v>
      </c>
      <c r="D80" s="7">
        <v>45750</v>
      </c>
      <c r="E80" s="32" t="str">
        <f>IF(C80&lt;&gt;0,IF(D80&lt;&gt;0,"0","1"),"")</f>
        <v>0</v>
      </c>
      <c r="F80" s="30">
        <f>IF(E80="0",NETWORKDAYS(C80,D80,$CB$3:$CB$19),"")</f>
        <v>12</v>
      </c>
      <c r="G80" s="6"/>
      <c r="H80" s="7"/>
      <c r="I80" s="38"/>
      <c r="J80" s="30"/>
      <c r="K80" s="6">
        <v>45925</v>
      </c>
      <c r="L80" s="7">
        <v>45945</v>
      </c>
      <c r="M80" s="40" t="str">
        <f>IF(K80&lt;&gt;0,IF(L80&lt;&gt;0,"0","1"),"")</f>
        <v>0</v>
      </c>
      <c r="N80" s="30">
        <f ca="1">IF(M80="0",NETWORKDAYS(K80,L80,$CB$3:$CB$19),NETWORKDAYS(K80,'2025整理'!$S$1,$CB$3:$CB$19))</f>
        <v>15</v>
      </c>
      <c r="O80" s="6"/>
      <c r="P80" s="7"/>
      <c r="Q80" s="38"/>
      <c r="R80" s="30"/>
      <c r="S80" s="6"/>
      <c r="T80" s="7"/>
      <c r="U80" s="38"/>
      <c r="V80" s="30"/>
      <c r="W80" s="6"/>
      <c r="X80" s="7"/>
      <c r="Y80" s="38"/>
      <c r="Z80" s="30"/>
      <c r="AA80" s="6"/>
      <c r="AB80" s="7"/>
      <c r="AC80" s="40"/>
      <c r="AD80" s="30"/>
      <c r="AE80" s="48" t="s">
        <v>90</v>
      </c>
      <c r="AF80" s="47" t="s">
        <v>90</v>
      </c>
      <c r="AG80" s="50" t="s">
        <v>97</v>
      </c>
      <c r="AH80" s="51">
        <v>3887.21</v>
      </c>
      <c r="AI80" s="52">
        <v>3725.41</v>
      </c>
      <c r="AJ80" s="51">
        <v>3834.59</v>
      </c>
      <c r="AK80" s="52">
        <v>3675.47</v>
      </c>
      <c r="AL80" s="40" t="str">
        <f>IF(AND(AK80&lt;&gt;"",AJ80&lt;&gt;""),IF(AK80&gt;AJ80,"核增",IF(AK80&lt;AJ80,"核减","不变")),"")</f>
        <v>核减</v>
      </c>
      <c r="AM80" s="40">
        <f>IF(AND(AI80&lt;&gt;"",AH80&lt;&gt;""),MAX(ABS(AI80),ABS(AH80))-MIN(ABS(AI80),ABS(AH80)),"")</f>
        <v>161.8</v>
      </c>
      <c r="AN80" s="40">
        <f>IF(AND(AK80&lt;&gt;"",AJ80&lt;&gt;""),MAX(ABS(AK80),ABS(AJ80))-MIN(ABS(AK80),ABS(AJ80)),"")</f>
        <v>159.12</v>
      </c>
      <c r="AO80" s="48"/>
      <c r="AP80" s="56"/>
      <c r="AQ80" s="48"/>
      <c r="AR80" s="56"/>
      <c r="AS80" s="40"/>
      <c r="AT80" s="40"/>
      <c r="AU80" s="51">
        <v>3722.94</v>
      </c>
      <c r="AV80" s="52">
        <v>3638.45</v>
      </c>
      <c r="AW80" s="51">
        <v>3674.08</v>
      </c>
      <c r="AX80" s="52">
        <v>3591</v>
      </c>
      <c r="AY80" s="40" t="str">
        <f>IF(AND(AX80&lt;&gt;"",AW80&lt;&gt;""),IF(AX80&gt;AW80,"核增",IF(AX80&lt;AW80,"核减","不变")),"")</f>
        <v>核减</v>
      </c>
      <c r="AZ80" s="55">
        <f>IF(AND(AX80&lt;&gt;"",AW80&lt;&gt;""),MAX(ABS(AX80),ABS(AW80))-MIN(ABS(AX80),ABS(AW80)),"")</f>
        <v>83.0799999999999</v>
      </c>
      <c r="BA80" s="63" t="str">
        <f>IF(AND(AV80&lt;&gt;"",AI80&lt;&gt;""),IF(AV80&gt;AI80,"核增",IF(AV80&lt;AI80,"核减","不变")),"")&amp;TEXT(IF(AND(AV80&lt;&gt;"",AI80&lt;&gt;""),MAX(ABS(AV80),ABS(AI80))-MIN(ABS(AV80),ABS(AI80)),""),"0.00")</f>
        <v>核减86.96</v>
      </c>
      <c r="BB80" s="48"/>
      <c r="BC80" s="56"/>
      <c r="BD80" s="48"/>
      <c r="BE80" s="56"/>
      <c r="BF80" s="64"/>
      <c r="BG80" s="48"/>
      <c r="BH80" s="260"/>
      <c r="BI80" s="261"/>
      <c r="BJ80" s="260"/>
      <c r="BK80" s="261"/>
      <c r="BL80" s="40" t="str">
        <f t="shared" si="128"/>
        <v/>
      </c>
      <c r="BM80" s="55" t="str">
        <f t="shared" si="129"/>
        <v/>
      </c>
      <c r="BN80" s="63" t="str">
        <f t="shared" si="130"/>
        <v/>
      </c>
      <c r="BO80" s="48"/>
      <c r="BP80" s="56"/>
      <c r="BQ80" s="48"/>
      <c r="BR80" s="56"/>
      <c r="BS80" s="40"/>
      <c r="BT80" s="40"/>
      <c r="BU80" s="51"/>
      <c r="BV80" s="52"/>
      <c r="BW80" s="51"/>
      <c r="BX80" s="52"/>
      <c r="BY80" s="40"/>
      <c r="BZ80" s="55"/>
    </row>
    <row r="81" ht="13.5" customHeight="1" spans="1:78">
      <c r="A81" s="25" t="s">
        <v>172</v>
      </c>
      <c r="B81" s="5" t="s">
        <v>81</v>
      </c>
      <c r="C81" s="6"/>
      <c r="D81" s="7"/>
      <c r="E81" s="32"/>
      <c r="F81" s="30"/>
      <c r="G81" s="6"/>
      <c r="H81" s="7"/>
      <c r="I81" s="38"/>
      <c r="J81" s="30"/>
      <c r="K81" s="6"/>
      <c r="L81" s="7"/>
      <c r="M81" s="40"/>
      <c r="N81" s="30"/>
      <c r="O81" s="6"/>
      <c r="P81" s="7"/>
      <c r="Q81" s="38"/>
      <c r="R81" s="30"/>
      <c r="S81" s="6"/>
      <c r="T81" s="7"/>
      <c r="U81" s="38"/>
      <c r="V81" s="30"/>
      <c r="W81" s="6"/>
      <c r="X81" s="7"/>
      <c r="Y81" s="38"/>
      <c r="Z81" s="30"/>
      <c r="AA81" s="6">
        <v>45728</v>
      </c>
      <c r="AB81" s="7">
        <v>45730</v>
      </c>
      <c r="AC81" s="40" t="str">
        <f t="shared" ref="AC81:AC82" si="131">IF(AA81&lt;&gt;0,IF(AB81&lt;&gt;0,"0","1"),"")</f>
        <v>0</v>
      </c>
      <c r="AD81" s="30">
        <f>IF(AC81="0",NETWORKDAYS(AA81,AB81,$CB$3:$CB$19),"")</f>
        <v>3</v>
      </c>
      <c r="AE81" s="48" t="s">
        <v>82</v>
      </c>
      <c r="AF81" s="47" t="s">
        <v>82</v>
      </c>
      <c r="AG81" s="50" t="s">
        <v>87</v>
      </c>
      <c r="AH81" s="51"/>
      <c r="AI81" s="52"/>
      <c r="AJ81" s="51"/>
      <c r="AK81" s="52"/>
      <c r="AL81" s="40"/>
      <c r="AM81" s="40"/>
      <c r="AN81" s="40"/>
      <c r="AO81" s="48"/>
      <c r="AP81" s="56"/>
      <c r="AQ81" s="48"/>
      <c r="AR81" s="56"/>
      <c r="AS81" s="40"/>
      <c r="AT81" s="40"/>
      <c r="AU81" s="51"/>
      <c r="AV81" s="52"/>
      <c r="AW81" s="51"/>
      <c r="AX81" s="52"/>
      <c r="AY81" s="40"/>
      <c r="AZ81" s="55"/>
      <c r="BA81" s="63"/>
      <c r="BB81" s="48"/>
      <c r="BC81" s="56"/>
      <c r="BD81" s="48"/>
      <c r="BE81" s="56"/>
      <c r="BF81" s="64"/>
      <c r="BG81" s="48"/>
      <c r="BH81" s="51"/>
      <c r="BI81" s="52"/>
      <c r="BJ81" s="51"/>
      <c r="BK81" s="52"/>
      <c r="BL81" s="40"/>
      <c r="BM81" s="55"/>
      <c r="BN81" s="63"/>
      <c r="BO81" s="48"/>
      <c r="BP81" s="56"/>
      <c r="BQ81" s="48"/>
      <c r="BR81" s="56"/>
      <c r="BS81" s="40"/>
      <c r="BT81" s="40"/>
      <c r="BU81" s="82">
        <f t="shared" ref="BU81:BX81" si="132">ABS(-373.66)</f>
        <v>373.66</v>
      </c>
      <c r="BV81" s="83">
        <f t="shared" si="132"/>
        <v>373.66</v>
      </c>
      <c r="BW81" s="82">
        <f t="shared" si="132"/>
        <v>373.66</v>
      </c>
      <c r="BX81" s="83">
        <f t="shared" si="132"/>
        <v>373.66</v>
      </c>
      <c r="BY81" s="40" t="s">
        <v>150</v>
      </c>
      <c r="BZ81" s="55">
        <v>0</v>
      </c>
    </row>
    <row r="82" ht="13.5" customHeight="1" spans="1:78">
      <c r="A82" s="25" t="s">
        <v>173</v>
      </c>
      <c r="B82" s="5" t="s">
        <v>81</v>
      </c>
      <c r="C82" s="6"/>
      <c r="D82" s="7"/>
      <c r="E82" s="32"/>
      <c r="F82" s="30"/>
      <c r="G82" s="6"/>
      <c r="H82" s="7"/>
      <c r="I82" s="38"/>
      <c r="J82" s="30"/>
      <c r="K82" s="6"/>
      <c r="L82" s="7"/>
      <c r="M82" s="40"/>
      <c r="N82" s="30"/>
      <c r="O82" s="6"/>
      <c r="P82" s="7"/>
      <c r="Q82" s="38"/>
      <c r="R82" s="30"/>
      <c r="S82" s="6"/>
      <c r="T82" s="7"/>
      <c r="U82" s="38"/>
      <c r="V82" s="30"/>
      <c r="W82" s="6"/>
      <c r="X82" s="7"/>
      <c r="Y82" s="38"/>
      <c r="Z82" s="30"/>
      <c r="AA82" s="16">
        <v>45790</v>
      </c>
      <c r="AB82" s="7">
        <v>45799</v>
      </c>
      <c r="AC82" s="40" t="str">
        <f t="shared" si="131"/>
        <v>0</v>
      </c>
      <c r="AD82" s="30">
        <f ca="1">IF(AC82="0",NETWORKDAYS(AA82,AB82,$CB$3:$CB$19),NETWORKDAYS(AA82,'2025整理'!$S$1,$CB$3:$CB$19))</f>
        <v>8</v>
      </c>
      <c r="AE82" s="48" t="s">
        <v>90</v>
      </c>
      <c r="AF82" s="47" t="s">
        <v>90</v>
      </c>
      <c r="AG82" s="50" t="s">
        <v>87</v>
      </c>
      <c r="AH82" s="51"/>
      <c r="AI82" s="52"/>
      <c r="AJ82" s="51"/>
      <c r="AK82" s="52"/>
      <c r="AL82" s="40"/>
      <c r="AM82" s="40"/>
      <c r="AN82" s="40"/>
      <c r="AO82" s="48"/>
      <c r="AP82" s="56"/>
      <c r="AQ82" s="48"/>
      <c r="AR82" s="56"/>
      <c r="AS82" s="40"/>
      <c r="AT82" s="40"/>
      <c r="AU82" s="51"/>
      <c r="AV82" s="52"/>
      <c r="AW82" s="51"/>
      <c r="AX82" s="52"/>
      <c r="AY82" s="40"/>
      <c r="AZ82" s="55"/>
      <c r="BA82" s="63"/>
      <c r="BB82" s="48"/>
      <c r="BC82" s="56"/>
      <c r="BD82" s="48"/>
      <c r="BE82" s="56"/>
      <c r="BF82" s="64"/>
      <c r="BG82" s="48"/>
      <c r="BH82" s="51"/>
      <c r="BI82" s="52"/>
      <c r="BJ82" s="51"/>
      <c r="BK82" s="52"/>
      <c r="BL82" s="40" t="str">
        <f t="shared" ref="BL82:BL83" si="133">IF(AND(BK82&lt;&gt;"",BJ82&lt;&gt;""),IF(BK82&gt;BJ82,"核增",IF(BK82&lt;BJ82,"核减","不变")),"")</f>
        <v/>
      </c>
      <c r="BM82" s="55" t="str">
        <f t="shared" ref="BM82:BM83" si="134">IF(AND(BK82&lt;&gt;"",BJ82&lt;&gt;""),MAX(ABS(BK82),ABS(BJ82))-MIN(ABS(BK82),ABS(BJ82)),"")</f>
        <v/>
      </c>
      <c r="BN82" s="63" t="str">
        <f t="shared" ref="BN82:BN83" si="135">IF(AND(BI82&lt;&gt;"",AV82&lt;&gt;""),IF(BI82&gt;AV82,"核增",IF(BI82&lt;AV82,"核减","不变")),"")&amp;TEXT(IF(AND(BI82&lt;&gt;"",AV82&lt;&gt;""),MAX(ABS(BI82),ABS(AV82))-MIN(ABS(BI82),ABS(AV82)),""),"0.00")</f>
        <v/>
      </c>
      <c r="BO82" s="48"/>
      <c r="BP82" s="56"/>
      <c r="BQ82" s="48"/>
      <c r="BR82" s="56"/>
      <c r="BS82" s="40"/>
      <c r="BT82" s="40"/>
      <c r="BU82" s="51">
        <v>642.07</v>
      </c>
      <c r="BV82" s="52">
        <v>585.34</v>
      </c>
      <c r="BW82" s="51">
        <v>642.07</v>
      </c>
      <c r="BX82" s="52">
        <v>585.34</v>
      </c>
      <c r="BY82" s="40" t="str">
        <f>IF(AND(BX82&lt;&gt;"",BW82&lt;&gt;""),IF(BX82&gt;BW82,"核增",IF(BX82&lt;BW82,"核减","不变")),"")</f>
        <v>核减</v>
      </c>
      <c r="BZ82" s="55">
        <f>IF(AND(BX82&lt;&gt;"",BW82&lt;&gt;""),MAX(ABS(BX82),ABS(BW82))-MIN(ABS(BX82),ABS(BW82)),"")</f>
        <v>56.73</v>
      </c>
    </row>
    <row r="83" ht="13.5" customHeight="1" spans="1:78">
      <c r="A83" s="25" t="s">
        <v>174</v>
      </c>
      <c r="B83" s="5" t="s">
        <v>81</v>
      </c>
      <c r="C83" s="6"/>
      <c r="D83" s="7"/>
      <c r="E83" s="32"/>
      <c r="F83" s="30"/>
      <c r="G83" s="6"/>
      <c r="H83" s="7"/>
      <c r="I83" s="38"/>
      <c r="J83" s="30"/>
      <c r="K83" s="6"/>
      <c r="L83" s="7"/>
      <c r="M83" s="40"/>
      <c r="N83" s="30"/>
      <c r="O83" s="6"/>
      <c r="P83" s="7"/>
      <c r="Q83" s="38"/>
      <c r="R83" s="30"/>
      <c r="S83" s="16">
        <v>45817</v>
      </c>
      <c r="T83" s="7">
        <v>45831</v>
      </c>
      <c r="U83" s="38" t="str">
        <f t="shared" ref="U83:U86" si="136">IF(S83&lt;&gt;0,IF(T83&lt;&gt;0,"0","1"),"")</f>
        <v>0</v>
      </c>
      <c r="V83" s="30">
        <f ca="1">IF(U83="0",NETWORKDAYS(S83,T83,$CB$3:$CB$19),NETWORKDAYS(S83,'2025整理'!$S$1,$CB$3:$CB$19))</f>
        <v>11</v>
      </c>
      <c r="W83" s="6"/>
      <c r="X83" s="7"/>
      <c r="Y83" s="38" t="str">
        <f>IF(W83&lt;&gt;0,IF(X83&lt;&gt;0,"0","1"),"")</f>
        <v/>
      </c>
      <c r="Z83" s="30"/>
      <c r="AA83" s="241"/>
      <c r="AB83" s="7"/>
      <c r="AC83" s="40"/>
      <c r="AD83" s="30"/>
      <c r="AE83" s="48" t="s">
        <v>86</v>
      </c>
      <c r="AF83" s="47" t="s">
        <v>86</v>
      </c>
      <c r="AG83" s="50" t="s">
        <v>83</v>
      </c>
      <c r="AH83" s="51"/>
      <c r="AI83" s="52"/>
      <c r="AJ83" s="51"/>
      <c r="AK83" s="52"/>
      <c r="AL83" s="40"/>
      <c r="AM83" s="40"/>
      <c r="AN83" s="40"/>
      <c r="AO83" s="48"/>
      <c r="AP83" s="56"/>
      <c r="AQ83" s="48"/>
      <c r="AR83" s="56"/>
      <c r="AS83" s="40"/>
      <c r="AT83" s="40"/>
      <c r="AU83" s="51"/>
      <c r="AV83" s="52">
        <v>1927.96</v>
      </c>
      <c r="AW83" s="51"/>
      <c r="AX83" s="52">
        <v>1912.12</v>
      </c>
      <c r="AY83" s="40"/>
      <c r="AZ83" s="55"/>
      <c r="BA83" s="63"/>
      <c r="BB83" s="48"/>
      <c r="BC83" s="56"/>
      <c r="BD83" s="48"/>
      <c r="BE83" s="56"/>
      <c r="BF83" s="64"/>
      <c r="BG83" s="48"/>
      <c r="BH83" s="51">
        <v>2020.44</v>
      </c>
      <c r="BI83" s="52">
        <v>2025.36</v>
      </c>
      <c r="BJ83" s="51">
        <v>2003.93</v>
      </c>
      <c r="BK83" s="52">
        <v>2008.76</v>
      </c>
      <c r="BL83" s="40" t="str">
        <f t="shared" si="133"/>
        <v>核增</v>
      </c>
      <c r="BM83" s="55">
        <f t="shared" si="134"/>
        <v>4.82999999999993</v>
      </c>
      <c r="BN83" s="63" t="str">
        <f t="shared" si="135"/>
        <v>核增97.40</v>
      </c>
      <c r="BO83" s="48"/>
      <c r="BP83" s="56"/>
      <c r="BQ83" s="48"/>
      <c r="BR83" s="56"/>
      <c r="BS83" s="40"/>
      <c r="BT83" s="40"/>
      <c r="BU83" s="51"/>
      <c r="BV83" s="52"/>
      <c r="BW83" s="51"/>
      <c r="BX83" s="52"/>
      <c r="BY83" s="40"/>
      <c r="BZ83" s="55"/>
    </row>
    <row r="84" ht="13.5" customHeight="1" spans="1:78">
      <c r="A84" s="25" t="s">
        <v>175</v>
      </c>
      <c r="B84" s="5" t="s">
        <v>81</v>
      </c>
      <c r="C84" s="6">
        <v>45747</v>
      </c>
      <c r="D84" s="7">
        <v>45776</v>
      </c>
      <c r="E84" s="32" t="str">
        <f t="shared" ref="E84:E85" si="137">IF(C84&lt;&gt;0,IF(D84&lt;&gt;0,"0","1"),"")</f>
        <v>0</v>
      </c>
      <c r="F84" s="30">
        <f t="shared" ref="F84:F85" si="138">IF(E84="0",NETWORKDAYS(C84,D84,$CB$3:$CB$19),"")</f>
        <v>21</v>
      </c>
      <c r="G84" s="6"/>
      <c r="H84" s="7"/>
      <c r="I84" s="38"/>
      <c r="J84" s="30"/>
      <c r="K84" s="6">
        <v>45920</v>
      </c>
      <c r="L84" s="7">
        <v>45952</v>
      </c>
      <c r="M84" s="40" t="str">
        <f t="shared" ref="M84:M85" si="139">IF(K84&lt;&gt;0,IF(L84&lt;&gt;0,"0","1"),"")</f>
        <v>0</v>
      </c>
      <c r="N84" s="30">
        <f ca="1">IF(M84="0",NETWORKDAYS(K84,L84,$CB$3:$CB$19),NETWORKDAYS(K84,'2025整理'!$S$1,$CB$3:$CB$19))</f>
        <v>23</v>
      </c>
      <c r="O84" s="6"/>
      <c r="P84" s="7"/>
      <c r="Q84" s="38"/>
      <c r="R84" s="30"/>
      <c r="S84" s="6"/>
      <c r="T84" s="7"/>
      <c r="U84" s="38" t="str">
        <f t="shared" si="136"/>
        <v/>
      </c>
      <c r="V84" s="30"/>
      <c r="W84" s="6"/>
      <c r="X84" s="7"/>
      <c r="Y84" s="38"/>
      <c r="Z84" s="30"/>
      <c r="AA84" s="241"/>
      <c r="AB84" s="7"/>
      <c r="AC84" s="40"/>
      <c r="AD84" s="30"/>
      <c r="AE84" s="48" t="s">
        <v>82</v>
      </c>
      <c r="AF84" s="47" t="s">
        <v>82</v>
      </c>
      <c r="AG84" s="50" t="s">
        <v>87</v>
      </c>
      <c r="AH84" s="51">
        <v>9668.71</v>
      </c>
      <c r="AI84" s="52">
        <v>9601.34</v>
      </c>
      <c r="AJ84" s="51">
        <v>9445.04</v>
      </c>
      <c r="AK84" s="52">
        <v>9438.86</v>
      </c>
      <c r="AL84" s="40" t="str">
        <f t="shared" ref="AL84:AL85" si="140">IF(AND(AK84&lt;&gt;"",AJ84&lt;&gt;""),IF(AK84&gt;AJ84,"核增",IF(AK84&lt;AJ84,"核减","不变")),"")</f>
        <v>核减</v>
      </c>
      <c r="AM84" s="40">
        <f t="shared" ref="AM84:AM85" si="141">IF(AND(AI84&lt;&gt;"",AH84&lt;&gt;""),MAX(ABS(AI84),ABS(AH84))-MIN(ABS(AI84),ABS(AH84)),"")</f>
        <v>67.369999999999</v>
      </c>
      <c r="AN84" s="40">
        <f t="shared" ref="AN84:AN85" si="142">IF(AND(AK84&lt;&gt;"",AJ84&lt;&gt;""),MAX(ABS(AK84),ABS(AJ84))-MIN(ABS(AK84),ABS(AJ84)),"")</f>
        <v>6.18000000000029</v>
      </c>
      <c r="AO84" s="48"/>
      <c r="AP84" s="56"/>
      <c r="AQ84" s="48"/>
      <c r="AR84" s="56"/>
      <c r="AS84" s="40"/>
      <c r="AT84" s="40"/>
      <c r="AU84" s="51">
        <v>8976.87</v>
      </c>
      <c r="AV84" s="52">
        <v>9031.25</v>
      </c>
      <c r="AW84" s="51">
        <v>8839.98</v>
      </c>
      <c r="AX84" s="52">
        <v>8893.64</v>
      </c>
      <c r="AY84" s="40" t="str">
        <f t="shared" ref="AY84:AY85" si="143">IF(AND(AX84&lt;&gt;"",AW84&lt;&gt;""),IF(AX84&gt;AW84,"核增",IF(AX84&lt;AW84,"核减","不变")),"")</f>
        <v>核增</v>
      </c>
      <c r="AZ84" s="55">
        <f t="shared" ref="AZ84:AZ85" si="144">IF(AND(AX84&lt;&gt;"",AW84&lt;&gt;""),MAX(ABS(AX84),ABS(AW84))-MIN(ABS(AX84),ABS(AW84)),"")</f>
        <v>53.6599999999999</v>
      </c>
      <c r="BA84" s="63" t="str">
        <f t="shared" ref="BA84:BA85" si="145">IF(AND(AV84&lt;&gt;"",AI84&lt;&gt;""),IF(AV84&gt;AI84,"核增",IF(AV84&lt;AI84,"核减","不变")),"")&amp;TEXT(IF(AND(AV84&lt;&gt;"",AI84&lt;&gt;""),MAX(ABS(AV84),ABS(AI84))-MIN(ABS(AV84),ABS(AI84)),""),"0.00")</f>
        <v>核减570.09</v>
      </c>
      <c r="BB84" s="48"/>
      <c r="BC84" s="56"/>
      <c r="BD84" s="48"/>
      <c r="BE84" s="56"/>
      <c r="BF84" s="64"/>
      <c r="BG84" s="48"/>
      <c r="BH84" s="51"/>
      <c r="BI84" s="52"/>
      <c r="BJ84" s="51"/>
      <c r="BK84" s="52"/>
      <c r="BL84" s="40"/>
      <c r="BM84" s="55"/>
      <c r="BN84" s="63"/>
      <c r="BO84" s="48"/>
      <c r="BP84" s="56"/>
      <c r="BQ84" s="48"/>
      <c r="BR84" s="56"/>
      <c r="BS84" s="40"/>
      <c r="BT84" s="40"/>
      <c r="BU84" s="51"/>
      <c r="BV84" s="52"/>
      <c r="BW84" s="51"/>
      <c r="BX84" s="52"/>
      <c r="BY84" s="40"/>
      <c r="BZ84" s="55"/>
    </row>
    <row r="85" ht="13.5" customHeight="1" spans="1:78">
      <c r="A85" s="25" t="s">
        <v>176</v>
      </c>
      <c r="B85" s="5" t="s">
        <v>85</v>
      </c>
      <c r="C85" s="6">
        <v>45755</v>
      </c>
      <c r="D85" s="7">
        <v>45769</v>
      </c>
      <c r="E85" s="32" t="str">
        <f t="shared" si="137"/>
        <v>0</v>
      </c>
      <c r="F85" s="30">
        <f t="shared" si="138"/>
        <v>11</v>
      </c>
      <c r="G85" s="6"/>
      <c r="H85" s="7"/>
      <c r="I85" s="38"/>
      <c r="J85" s="30"/>
      <c r="K85" s="6">
        <v>45881</v>
      </c>
      <c r="L85" s="7">
        <v>45894</v>
      </c>
      <c r="M85" s="40" t="str">
        <f t="shared" si="139"/>
        <v>0</v>
      </c>
      <c r="N85" s="242">
        <f ca="1">IF(M85="0",NETWORKDAYS(K85,L85,$CB$3:$CB$19),NETWORKDAYS(K85,'2025整理'!$S$1,$CB$3:$CB$19))</f>
        <v>10</v>
      </c>
      <c r="O85" s="6"/>
      <c r="P85" s="7"/>
      <c r="Q85" s="38"/>
      <c r="R85" s="30"/>
      <c r="S85" s="6">
        <v>45993</v>
      </c>
      <c r="T85" s="7">
        <v>46010</v>
      </c>
      <c r="U85" s="38" t="str">
        <f t="shared" si="136"/>
        <v>0</v>
      </c>
      <c r="V85" s="30">
        <f ca="1">IF(U85="0",NETWORKDAYS(S85,T85,$CB$3:$CB$19),NETWORKDAYS(S85,'2025整理'!$S$1,$CB$3:$CB$19))</f>
        <v>14</v>
      </c>
      <c r="W85" s="6"/>
      <c r="X85" s="7"/>
      <c r="Y85" s="38"/>
      <c r="Z85" s="30"/>
      <c r="AA85" s="241"/>
      <c r="AB85" s="7"/>
      <c r="AC85" s="40"/>
      <c r="AD85" s="30"/>
      <c r="AE85" s="48" t="s">
        <v>90</v>
      </c>
      <c r="AF85" s="47" t="s">
        <v>90</v>
      </c>
      <c r="AG85" s="50" t="s">
        <v>91</v>
      </c>
      <c r="AH85" s="51">
        <v>3990.06</v>
      </c>
      <c r="AI85" s="52">
        <v>3826.55</v>
      </c>
      <c r="AJ85" s="51">
        <v>3921.57</v>
      </c>
      <c r="AK85" s="52">
        <v>3760.87</v>
      </c>
      <c r="AL85" s="40" t="str">
        <f t="shared" si="140"/>
        <v>核减</v>
      </c>
      <c r="AM85" s="40">
        <f t="shared" si="141"/>
        <v>163.51</v>
      </c>
      <c r="AN85" s="40">
        <f t="shared" si="142"/>
        <v>160.7</v>
      </c>
      <c r="AO85" s="48"/>
      <c r="AP85" s="56"/>
      <c r="AQ85" s="48"/>
      <c r="AR85" s="56"/>
      <c r="AS85" s="40"/>
      <c r="AT85" s="40"/>
      <c r="AU85" s="51">
        <v>3895.9</v>
      </c>
      <c r="AV85" s="52">
        <v>3680.79</v>
      </c>
      <c r="AW85" s="51">
        <v>3829.03</v>
      </c>
      <c r="AX85" s="52">
        <v>3623.83</v>
      </c>
      <c r="AY85" s="40" t="str">
        <f t="shared" si="143"/>
        <v>核减</v>
      </c>
      <c r="AZ85" s="55">
        <f t="shared" si="144"/>
        <v>205.2</v>
      </c>
      <c r="BA85" s="63" t="str">
        <f t="shared" si="145"/>
        <v>核减145.76</v>
      </c>
      <c r="BB85" s="48"/>
      <c r="BC85" s="56"/>
      <c r="BD85" s="48"/>
      <c r="BE85" s="56"/>
      <c r="BF85" s="64"/>
      <c r="BG85" s="48"/>
      <c r="BH85" s="51">
        <v>3852.91</v>
      </c>
      <c r="BI85" s="52">
        <v>3610.17</v>
      </c>
      <c r="BJ85" s="51">
        <v>3793.29</v>
      </c>
      <c r="BK85" s="52">
        <v>3554.3</v>
      </c>
      <c r="BL85" s="40" t="str">
        <f t="shared" ref="BL85:BL86" si="146">IF(AND(BK85&lt;&gt;"",BJ85&lt;&gt;""),IF(BK85&gt;BJ85,"核增",IF(BK85&lt;BJ85,"核减","不变")),"")</f>
        <v>核减</v>
      </c>
      <c r="BM85" s="55">
        <f t="shared" ref="BM85:BM86" si="147">IF(AND(BK85&lt;&gt;"",BJ85&lt;&gt;""),MAX(ABS(BK85),ABS(BJ85))-MIN(ABS(BK85),ABS(BJ85)),"")</f>
        <v>238.99</v>
      </c>
      <c r="BN85" s="63" t="str">
        <f t="shared" ref="BN85:BN86" si="148">IF(AND(BI85&lt;&gt;"",AV85&lt;&gt;""),IF(BI85&gt;AV85,"核增",IF(BI85&lt;AV85,"核减","不变")),"")&amp;TEXT(IF(AND(BI85&lt;&gt;"",AV85&lt;&gt;""),MAX(ABS(BI85),ABS(AV85))-MIN(ABS(BI85),ABS(AV85)),""),"0.00")</f>
        <v>核减70.62</v>
      </c>
      <c r="BO85" s="48"/>
      <c r="BP85" s="56"/>
      <c r="BQ85" s="48"/>
      <c r="BR85" s="56"/>
      <c r="BS85" s="40"/>
      <c r="BT85" s="40"/>
      <c r="BU85" s="51"/>
      <c r="BV85" s="52"/>
      <c r="BW85" s="51"/>
      <c r="BX85" s="52"/>
      <c r="BY85" s="40"/>
      <c r="BZ85" s="55"/>
    </row>
    <row r="86" ht="13.5" customHeight="1" spans="1:78">
      <c r="A86" s="25" t="s">
        <v>177</v>
      </c>
      <c r="B86" s="5" t="s">
        <v>85</v>
      </c>
      <c r="C86" s="6"/>
      <c r="D86" s="7"/>
      <c r="E86" s="32"/>
      <c r="F86" s="30"/>
      <c r="G86" s="6"/>
      <c r="H86" s="7"/>
      <c r="I86" s="38"/>
      <c r="J86" s="30"/>
      <c r="K86" s="6"/>
      <c r="L86" s="7"/>
      <c r="M86" s="40"/>
      <c r="N86" s="30"/>
      <c r="O86" s="6"/>
      <c r="P86" s="7"/>
      <c r="Q86" s="38"/>
      <c r="R86" s="30"/>
      <c r="S86" s="6">
        <v>45761</v>
      </c>
      <c r="T86" s="7">
        <v>45791</v>
      </c>
      <c r="U86" s="38" t="str">
        <f t="shared" si="136"/>
        <v>0</v>
      </c>
      <c r="V86" s="242">
        <f>IF(U86="0",NETWORKDAYS(S86,T86,$EO$3:$EO$11),"")</f>
        <v>23</v>
      </c>
      <c r="W86" s="6"/>
      <c r="X86" s="7"/>
      <c r="Y86" s="38"/>
      <c r="Z86" s="30"/>
      <c r="AA86" s="241"/>
      <c r="AB86" s="7"/>
      <c r="AC86" s="40"/>
      <c r="AD86" s="30"/>
      <c r="AE86" s="48" t="s">
        <v>86</v>
      </c>
      <c r="AF86" s="47" t="s">
        <v>86</v>
      </c>
      <c r="AG86" s="50" t="s">
        <v>97</v>
      </c>
      <c r="AH86" s="51"/>
      <c r="AI86" s="52"/>
      <c r="AJ86" s="51"/>
      <c r="AK86" s="52"/>
      <c r="AL86" s="40"/>
      <c r="AM86" s="40"/>
      <c r="AN86" s="40"/>
      <c r="AO86" s="48"/>
      <c r="AP86" s="56"/>
      <c r="AQ86" s="48"/>
      <c r="AR86" s="56"/>
      <c r="AS86" s="40"/>
      <c r="AT86" s="40"/>
      <c r="AU86" s="51"/>
      <c r="AV86" s="52">
        <v>6966.02</v>
      </c>
      <c r="AW86" s="51"/>
      <c r="AX86" s="52">
        <v>6859.55</v>
      </c>
      <c r="AY86" s="40"/>
      <c r="AZ86" s="55"/>
      <c r="BA86" s="63"/>
      <c r="BB86" s="48"/>
      <c r="BC86" s="56"/>
      <c r="BD86" s="48"/>
      <c r="BE86" s="56"/>
      <c r="BF86" s="64"/>
      <c r="BG86" s="48"/>
      <c r="BH86" s="51">
        <v>6770.09</v>
      </c>
      <c r="BI86" s="52">
        <v>6657.3</v>
      </c>
      <c r="BJ86" s="51">
        <v>6666.68</v>
      </c>
      <c r="BK86" s="52">
        <v>6555.61</v>
      </c>
      <c r="BL86" s="40" t="str">
        <f t="shared" si="146"/>
        <v>核减</v>
      </c>
      <c r="BM86" s="55">
        <f t="shared" si="147"/>
        <v>111.070000000001</v>
      </c>
      <c r="BN86" s="63" t="str">
        <f t="shared" si="148"/>
        <v>核减308.72</v>
      </c>
      <c r="BO86" s="48"/>
      <c r="BP86" s="56"/>
      <c r="BQ86" s="48"/>
      <c r="BR86" s="56"/>
      <c r="BS86" s="40"/>
      <c r="BT86" s="40"/>
      <c r="BU86" s="51"/>
      <c r="BV86" s="52"/>
      <c r="BW86" s="51"/>
      <c r="BX86" s="52"/>
      <c r="BY86" s="40"/>
      <c r="BZ86" s="55"/>
    </row>
    <row r="87" ht="13.5" customHeight="1" spans="1:78">
      <c r="A87" s="25" t="s">
        <v>178</v>
      </c>
      <c r="B87" s="5" t="s">
        <v>85</v>
      </c>
      <c r="C87" s="6"/>
      <c r="D87" s="7"/>
      <c r="E87" s="32" t="str">
        <f>IF(C87&lt;&gt;0,IF(D87&lt;&gt;0,"0","1"),"")</f>
        <v/>
      </c>
      <c r="F87" s="30"/>
      <c r="G87" s="6"/>
      <c r="H87" s="7"/>
      <c r="I87" s="38"/>
      <c r="J87" s="30"/>
      <c r="K87" s="236">
        <v>46052</v>
      </c>
      <c r="L87" s="7"/>
      <c r="M87" s="40" t="str">
        <f>IF(K87&lt;&gt;0,IF(L87&lt;&gt;0,"0","1"),"")</f>
        <v>1</v>
      </c>
      <c r="N87" s="30">
        <f ca="1">IF(M87="0",NETWORKDAYS(K87,L87,$CB$3:$CB$19),NETWORKDAYS(K87,'2025整理'!$S$1,$CB$3:$CB$19))</f>
        <v>-25</v>
      </c>
      <c r="O87" s="6"/>
      <c r="P87" s="7"/>
      <c r="Q87" s="38"/>
      <c r="R87" s="30"/>
      <c r="S87" s="6"/>
      <c r="T87" s="7"/>
      <c r="U87" s="38"/>
      <c r="V87" s="30"/>
      <c r="W87" s="6"/>
      <c r="X87" s="7"/>
      <c r="Y87" s="38"/>
      <c r="Z87" s="30"/>
      <c r="AA87" s="241"/>
      <c r="AB87" s="7"/>
      <c r="AC87" s="40"/>
      <c r="AD87" s="30"/>
      <c r="AE87" s="48" t="s">
        <v>82</v>
      </c>
      <c r="AF87" s="47" t="s">
        <v>82</v>
      </c>
      <c r="AG87" s="50" t="s">
        <v>83</v>
      </c>
      <c r="AH87" s="51"/>
      <c r="AI87" s="52"/>
      <c r="AJ87" s="51"/>
      <c r="AK87" s="52"/>
      <c r="AL87" s="40"/>
      <c r="AM87" s="40"/>
      <c r="AN87" s="40"/>
      <c r="AO87" s="48"/>
      <c r="AP87" s="56"/>
      <c r="AQ87" s="48"/>
      <c r="AR87" s="56"/>
      <c r="AS87" s="40"/>
      <c r="AT87" s="40"/>
      <c r="AU87" s="51"/>
      <c r="AV87" s="52"/>
      <c r="AW87" s="51"/>
      <c r="AX87" s="52"/>
      <c r="AY87" s="40"/>
      <c r="AZ87" s="55"/>
      <c r="BA87" s="63"/>
      <c r="BB87" s="48"/>
      <c r="BC87" s="56"/>
      <c r="BD87" s="48"/>
      <c r="BE87" s="56"/>
      <c r="BF87" s="64"/>
      <c r="BG87" s="48"/>
      <c r="BH87" s="51"/>
      <c r="BI87" s="52"/>
      <c r="BJ87" s="51"/>
      <c r="BK87" s="52"/>
      <c r="BL87" s="40"/>
      <c r="BM87" s="55"/>
      <c r="BN87" s="63"/>
      <c r="BO87" s="48"/>
      <c r="BP87" s="56"/>
      <c r="BQ87" s="48"/>
      <c r="BR87" s="56"/>
      <c r="BS87" s="40"/>
      <c r="BT87" s="40"/>
      <c r="BU87" s="51"/>
      <c r="BV87" s="52"/>
      <c r="BW87" s="51"/>
      <c r="BX87" s="52"/>
      <c r="BY87" s="40"/>
      <c r="BZ87" s="55"/>
    </row>
    <row r="88" ht="13.5" customHeight="1" spans="1:78">
      <c r="A88" s="25" t="s">
        <v>179</v>
      </c>
      <c r="B88" s="5" t="s">
        <v>81</v>
      </c>
      <c r="C88" s="6"/>
      <c r="D88" s="7"/>
      <c r="E88" s="32"/>
      <c r="F88" s="30"/>
      <c r="G88" s="6"/>
      <c r="H88" s="7"/>
      <c r="I88" s="38"/>
      <c r="J88" s="30"/>
      <c r="K88" s="6"/>
      <c r="L88" s="7"/>
      <c r="M88" s="40"/>
      <c r="N88" s="30"/>
      <c r="O88" s="6">
        <v>45758</v>
      </c>
      <c r="P88" s="7">
        <v>45769</v>
      </c>
      <c r="Q88" s="38" t="str">
        <f>IF(O88&lt;&gt;0,IF(P88&lt;&gt;0,"0","1"),"")</f>
        <v>0</v>
      </c>
      <c r="R88" s="30">
        <f>IF(Q88="0",NETWORKDAYS(O88,P88,$EO$3:$EO$10),"")</f>
        <v>8</v>
      </c>
      <c r="S88" s="6"/>
      <c r="T88" s="7"/>
      <c r="U88" s="38"/>
      <c r="V88" s="30"/>
      <c r="W88" s="6"/>
      <c r="X88" s="7"/>
      <c r="Y88" s="38"/>
      <c r="Z88" s="30"/>
      <c r="AA88" s="241"/>
      <c r="AB88" s="7"/>
      <c r="AC88" s="40"/>
      <c r="AD88" s="30"/>
      <c r="AE88" s="48" t="s">
        <v>97</v>
      </c>
      <c r="AF88" s="47" t="s">
        <v>91</v>
      </c>
      <c r="AG88" s="50" t="s">
        <v>97</v>
      </c>
      <c r="AH88" s="51"/>
      <c r="AI88" s="52"/>
      <c r="AJ88" s="51"/>
      <c r="AK88" s="52"/>
      <c r="AL88" s="40"/>
      <c r="AM88" s="40"/>
      <c r="AN88" s="40"/>
      <c r="AO88" s="48"/>
      <c r="AP88" s="56"/>
      <c r="AQ88" s="48"/>
      <c r="AR88" s="56"/>
      <c r="AS88" s="40"/>
      <c r="AT88" s="40"/>
      <c r="AU88" s="51"/>
      <c r="AV88" s="52"/>
      <c r="AW88" s="51"/>
      <c r="AX88" s="52"/>
      <c r="AY88" s="40" t="str">
        <f>IF(AND(AX88&lt;&gt;"",AW88&lt;&gt;""),IF(AX88&gt;AW88,"核增",IF(AX88&lt;AW88,"核减","不变")),"")</f>
        <v/>
      </c>
      <c r="AZ88" s="55" t="str">
        <f>IF(AND(AX88&lt;&gt;"",AW88&lt;&gt;""),MAX(ABS(AX88),ABS(AW88))-MIN(ABS(AX88),ABS(AW88)),"")</f>
        <v/>
      </c>
      <c r="BA88" s="63" t="str">
        <f>IF(AND(AV88&lt;&gt;"",AI88&lt;&gt;""),IF(AV88&gt;AI88,"核增",IF(AV88&lt;AI88,"核减","不变")),"")&amp;TEXT(IF(AND(AV88&lt;&gt;"",AI88&lt;&gt;""),MAX(ABS(AV88),ABS(AI88))-MIN(ABS(AV88),ABS(AI88)),""),"0.00")</f>
        <v/>
      </c>
      <c r="BB88" s="51">
        <v>1466</v>
      </c>
      <c r="BC88" s="52">
        <v>1466</v>
      </c>
      <c r="BD88" s="51">
        <v>1463</v>
      </c>
      <c r="BE88" s="52">
        <v>1463</v>
      </c>
      <c r="BF88" s="64" t="str">
        <f>IF(AND(BE88&lt;&gt;"",BD88&lt;&gt;""),IF(BE88&gt;BD88,"核增",IF(BE88&lt;BD88,"核减","不变")),"")</f>
        <v>不变</v>
      </c>
      <c r="BG88" s="52">
        <f>IF(AND(BE88&lt;&gt;"",BD88&lt;&gt;""),MAX(ABS(BE88),ABS(BD88))-MIN(ABS(BE88),ABS(BD88)),"")</f>
        <v>0</v>
      </c>
      <c r="BH88" s="51"/>
      <c r="BI88" s="52"/>
      <c r="BJ88" s="51"/>
      <c r="BK88" s="52"/>
      <c r="BL88" s="40"/>
      <c r="BM88" s="55"/>
      <c r="BN88" s="63"/>
      <c r="BO88" s="48"/>
      <c r="BP88" s="56"/>
      <c r="BQ88" s="48"/>
      <c r="BR88" s="56"/>
      <c r="BS88" s="40"/>
      <c r="BT88" s="40"/>
      <c r="BU88" s="51"/>
      <c r="BV88" s="52"/>
      <c r="BW88" s="51"/>
      <c r="BX88" s="52"/>
      <c r="BY88" s="40"/>
      <c r="BZ88" s="55"/>
    </row>
    <row r="89" ht="13.5" customHeight="1" spans="1:78">
      <c r="A89" s="25" t="s">
        <v>180</v>
      </c>
      <c r="B89" s="5" t="s">
        <v>85</v>
      </c>
      <c r="C89" s="6"/>
      <c r="D89" s="7"/>
      <c r="E89" s="32"/>
      <c r="F89" s="30"/>
      <c r="G89" s="6"/>
      <c r="H89" s="7"/>
      <c r="I89" s="38"/>
      <c r="J89" s="30"/>
      <c r="K89" s="6"/>
      <c r="L89" s="7"/>
      <c r="M89" s="40"/>
      <c r="N89" s="30"/>
      <c r="O89" s="6"/>
      <c r="P89" s="7"/>
      <c r="Q89" s="38"/>
      <c r="R89" s="30"/>
      <c r="S89" s="236">
        <v>46052</v>
      </c>
      <c r="T89" s="7"/>
      <c r="U89" s="38" t="str">
        <f t="shared" ref="U89:U93" si="149">IF(S89&lt;&gt;0,IF(T89&lt;&gt;0,"0","1"),"")</f>
        <v>1</v>
      </c>
      <c r="V89" s="30">
        <f ca="1">IF(U89="0",NETWORKDAYS(S89,T89,$CB$3:$CB$19),NETWORKDAYS(S89,'2025整理'!$S$1,$CB$3:$CB$19))</f>
        <v>-25</v>
      </c>
      <c r="W89" s="6"/>
      <c r="X89" s="7"/>
      <c r="Y89" s="38"/>
      <c r="Z89" s="30"/>
      <c r="AA89" s="16"/>
      <c r="AB89" s="7"/>
      <c r="AC89" s="40" t="str">
        <f>IF(AA89&lt;&gt;0,IF(AB89&lt;&gt;0,"0","1"),"")</f>
        <v/>
      </c>
      <c r="AD89" s="30"/>
      <c r="AE89" s="48" t="s">
        <v>83</v>
      </c>
      <c r="AF89" s="47" t="s">
        <v>82</v>
      </c>
      <c r="AG89" s="50" t="s">
        <v>83</v>
      </c>
      <c r="AH89" s="51"/>
      <c r="AI89" s="52"/>
      <c r="AJ89" s="51"/>
      <c r="AK89" s="52"/>
      <c r="AL89" s="40"/>
      <c r="AM89" s="40"/>
      <c r="AN89" s="40"/>
      <c r="AO89" s="48"/>
      <c r="AP89" s="56"/>
      <c r="AQ89" s="48"/>
      <c r="AR89" s="56"/>
      <c r="AS89" s="40"/>
      <c r="AT89" s="40"/>
      <c r="AU89" s="51"/>
      <c r="AV89" s="52"/>
      <c r="AW89" s="51"/>
      <c r="AX89" s="52"/>
      <c r="AY89" s="40"/>
      <c r="AZ89" s="55"/>
      <c r="BA89" s="63"/>
      <c r="BB89" s="48"/>
      <c r="BC89" s="56"/>
      <c r="BD89" s="48"/>
      <c r="BE89" s="56"/>
      <c r="BF89" s="64"/>
      <c r="BG89" s="48"/>
      <c r="BH89" s="51"/>
      <c r="BI89" s="52"/>
      <c r="BJ89" s="51"/>
      <c r="BK89" s="52"/>
      <c r="BL89" s="40"/>
      <c r="BM89" s="55"/>
      <c r="BN89" s="63"/>
      <c r="BO89" s="48"/>
      <c r="BP89" s="56"/>
      <c r="BQ89" s="48"/>
      <c r="BR89" s="56"/>
      <c r="BS89" s="40"/>
      <c r="BT89" s="40"/>
      <c r="BU89" s="51"/>
      <c r="BV89" s="52"/>
      <c r="BW89" s="51"/>
      <c r="BX89" s="52"/>
      <c r="BY89" s="40"/>
      <c r="BZ89" s="55"/>
    </row>
    <row r="90" ht="13.5" customHeight="1" spans="1:78">
      <c r="A90" s="25" t="s">
        <v>181</v>
      </c>
      <c r="B90" s="5" t="s">
        <v>96</v>
      </c>
      <c r="C90" s="6"/>
      <c r="D90" s="7"/>
      <c r="E90" s="32"/>
      <c r="F90" s="30"/>
      <c r="G90" s="6"/>
      <c r="H90" s="7"/>
      <c r="I90" s="38"/>
      <c r="J90" s="30"/>
      <c r="K90" s="6">
        <v>45734</v>
      </c>
      <c r="L90" s="7">
        <v>45754</v>
      </c>
      <c r="M90" s="40" t="str">
        <f>IF(K90&lt;&gt;0,IF(L90&lt;&gt;0,"0","1"),"")</f>
        <v>0</v>
      </c>
      <c r="N90" s="30">
        <f>IF(M90="0",NETWORKDAYS(K90,L90,$CB$3:$CB$19),"")</f>
        <v>14</v>
      </c>
      <c r="O90" s="6"/>
      <c r="P90" s="7"/>
      <c r="Q90" s="38"/>
      <c r="R90" s="30"/>
      <c r="S90" s="6">
        <v>45734</v>
      </c>
      <c r="T90" s="7">
        <v>45763</v>
      </c>
      <c r="U90" s="38" t="str">
        <f t="shared" si="149"/>
        <v>0</v>
      </c>
      <c r="V90" s="30">
        <f ca="1">IF(U90="0",NETWORKDAYS(S90,T90,$CB$3:$CB$19),NETWORKDAYS(S90,'2025整理'!$S$1,$CB$3:$CB$19))</f>
        <v>21</v>
      </c>
      <c r="W90" s="6"/>
      <c r="X90" s="7"/>
      <c r="Y90" s="38"/>
      <c r="Z90" s="30"/>
      <c r="AA90" s="241"/>
      <c r="AB90" s="7"/>
      <c r="AC90" s="40"/>
      <c r="AD90" s="30"/>
      <c r="AE90" s="48" t="s">
        <v>97</v>
      </c>
      <c r="AF90" s="47" t="s">
        <v>91</v>
      </c>
      <c r="AG90" s="50" t="s">
        <v>97</v>
      </c>
      <c r="AH90" s="51"/>
      <c r="AI90" s="52"/>
      <c r="AJ90" s="51"/>
      <c r="AK90" s="52"/>
      <c r="AL90" s="40"/>
      <c r="AM90" s="40"/>
      <c r="AN90" s="40"/>
      <c r="AO90" s="48"/>
      <c r="AP90" s="56"/>
      <c r="AQ90" s="48"/>
      <c r="AR90" s="56"/>
      <c r="AS90" s="40"/>
      <c r="AT90" s="40"/>
      <c r="AU90" s="51">
        <v>2999.94</v>
      </c>
      <c r="AV90" s="52">
        <v>2999.94</v>
      </c>
      <c r="AW90" s="51">
        <v>2999.94</v>
      </c>
      <c r="AX90" s="52">
        <v>2999.94</v>
      </c>
      <c r="AY90" s="40" t="str">
        <f>IF(AND(AX90&lt;&gt;"",AW90&lt;&gt;""),IF(AX90&gt;AW90,"核增",IF(AX90&lt;AW90,"核减","不变")),"")</f>
        <v>不变</v>
      </c>
      <c r="AZ90" s="55">
        <f>IF(AND(AX90&lt;&gt;"",AW90&lt;&gt;""),MAX(ABS(AX90),ABS(AW90))-MIN(ABS(AX90),ABS(AW90)),"")</f>
        <v>0</v>
      </c>
      <c r="BA90" s="63" t="str">
        <f>IF(AND(AV90&lt;&gt;"",AI90&lt;&gt;""),IF(AV90&gt;AI90,"核增",IF(AV90&lt;AI90,"核减","不变")),"")&amp;TEXT(IF(AND(AV90&lt;&gt;"",AI90&lt;&gt;""),MAX(ABS(AV90),ABS(AI90))-MIN(ABS(AV90),ABS(AI90)),""),"0.00")</f>
        <v/>
      </c>
      <c r="BB90" s="48"/>
      <c r="BC90" s="56"/>
      <c r="BD90" s="48"/>
      <c r="BE90" s="56"/>
      <c r="BF90" s="64"/>
      <c r="BG90" s="48"/>
      <c r="BH90" s="51">
        <v>2999.8</v>
      </c>
      <c r="BI90" s="52">
        <v>2999.8</v>
      </c>
      <c r="BJ90" s="51">
        <v>2999.8</v>
      </c>
      <c r="BK90" s="52">
        <v>2999.8</v>
      </c>
      <c r="BL90" s="40" t="str">
        <f t="shared" ref="BL90:BL91" si="150">IF(AND(BK90&lt;&gt;"",BJ90&lt;&gt;""),IF(BK90&gt;BJ90,"核增",IF(BK90&lt;BJ90,"核减","不变")),"")</f>
        <v>不变</v>
      </c>
      <c r="BM90" s="55">
        <f t="shared" ref="BM90:BM91" si="151">IF(AND(BK90&lt;&gt;"",BJ90&lt;&gt;""),MAX(ABS(BK90),ABS(BJ90))-MIN(ABS(BK90),ABS(BJ90)),"")</f>
        <v>0</v>
      </c>
      <c r="BN90" s="63" t="str">
        <f t="shared" ref="BN90:BN91" si="152">IF(AND(BI90&lt;&gt;"",AV90&lt;&gt;""),IF(BI90&gt;AV90,"核增",IF(BI90&lt;AV90,"核减","不变")),"")&amp;TEXT(IF(AND(BI90&lt;&gt;"",AV90&lt;&gt;""),MAX(ABS(BI90),ABS(AV90))-MIN(ABS(BI90),ABS(AV90)),""),"0.00")</f>
        <v>核减0.14</v>
      </c>
      <c r="BO90" s="48"/>
      <c r="BP90" s="56"/>
      <c r="BQ90" s="48"/>
      <c r="BR90" s="56"/>
      <c r="BS90" s="40"/>
      <c r="BT90" s="40"/>
      <c r="BU90" s="51"/>
      <c r="BV90" s="52"/>
      <c r="BW90" s="51"/>
      <c r="BX90" s="52"/>
      <c r="BY90" s="40"/>
      <c r="BZ90" s="55"/>
    </row>
    <row r="91" ht="13.5" customHeight="1" spans="1:78">
      <c r="A91" s="25" t="s">
        <v>182</v>
      </c>
      <c r="B91" s="5" t="s">
        <v>93</v>
      </c>
      <c r="C91" s="6"/>
      <c r="D91" s="7"/>
      <c r="E91" s="32"/>
      <c r="F91" s="30"/>
      <c r="G91" s="6"/>
      <c r="H91" s="7"/>
      <c r="I91" s="38"/>
      <c r="J91" s="30"/>
      <c r="K91" s="6"/>
      <c r="L91" s="7"/>
      <c r="M91" s="40"/>
      <c r="N91" s="30"/>
      <c r="O91" s="6"/>
      <c r="P91" s="7"/>
      <c r="Q91" s="38"/>
      <c r="R91" s="30"/>
      <c r="S91" s="6">
        <v>45763</v>
      </c>
      <c r="T91" s="7">
        <v>45798</v>
      </c>
      <c r="U91" s="38" t="str">
        <f t="shared" si="149"/>
        <v>0</v>
      </c>
      <c r="V91" s="242">
        <f ca="1">IF(U91="0",NETWORKDAYS(S91,T91,$CB$3:$CB$19),NETWORKDAYS(S91,'2025整理'!$S$1,$CB$3:$CB$19))</f>
        <v>26</v>
      </c>
      <c r="W91" s="6"/>
      <c r="X91" s="7"/>
      <c r="Y91" s="38"/>
      <c r="Z91" s="30"/>
      <c r="AA91" s="241"/>
      <c r="AB91" s="7"/>
      <c r="AC91" s="40"/>
      <c r="AD91" s="30"/>
      <c r="AE91" s="48" t="s">
        <v>97</v>
      </c>
      <c r="AF91" s="47" t="s">
        <v>82</v>
      </c>
      <c r="AG91" s="50" t="s">
        <v>97</v>
      </c>
      <c r="AH91" s="51"/>
      <c r="AI91" s="52"/>
      <c r="AJ91" s="51"/>
      <c r="AK91" s="52"/>
      <c r="AL91" s="40"/>
      <c r="AM91" s="40"/>
      <c r="AN91" s="40"/>
      <c r="AO91" s="48"/>
      <c r="AP91" s="56"/>
      <c r="AQ91" s="48"/>
      <c r="AR91" s="56"/>
      <c r="AS91" s="40"/>
      <c r="AT91" s="40"/>
      <c r="AU91" s="51"/>
      <c r="AV91" s="52">
        <v>25436.42</v>
      </c>
      <c r="AW91" s="51"/>
      <c r="AX91" s="52">
        <v>25000.38</v>
      </c>
      <c r="AY91" s="40"/>
      <c r="AZ91" s="55"/>
      <c r="BA91" s="63"/>
      <c r="BB91" s="48"/>
      <c r="BC91" s="56"/>
      <c r="BD91" s="48"/>
      <c r="BE91" s="56"/>
      <c r="BF91" s="64"/>
      <c r="BG91" s="48"/>
      <c r="BH91" s="51">
        <v>24319.31</v>
      </c>
      <c r="BI91" s="52">
        <v>23325.96</v>
      </c>
      <c r="BJ91" s="249">
        <f>23937.85</f>
        <v>23937.85</v>
      </c>
      <c r="BK91" s="250">
        <v>22964.72</v>
      </c>
      <c r="BL91" s="40" t="str">
        <f t="shared" si="150"/>
        <v>核减</v>
      </c>
      <c r="BM91" s="55">
        <v>973.13</v>
      </c>
      <c r="BN91" s="63" t="str">
        <f t="shared" si="152"/>
        <v>核减2110.46</v>
      </c>
      <c r="BO91" s="48"/>
      <c r="BP91" s="56"/>
      <c r="BQ91" s="48"/>
      <c r="BR91" s="56"/>
      <c r="BS91" s="40"/>
      <c r="BT91" s="40"/>
      <c r="BU91" s="51"/>
      <c r="BV91" s="52"/>
      <c r="BW91" s="51"/>
      <c r="BX91" s="52"/>
      <c r="BY91" s="40"/>
      <c r="BZ91" s="55"/>
    </row>
    <row r="92" ht="13.5" customHeight="1" spans="1:78">
      <c r="A92" s="25" t="s">
        <v>183</v>
      </c>
      <c r="B92" s="5" t="s">
        <v>160</v>
      </c>
      <c r="C92" s="6"/>
      <c r="D92" s="7"/>
      <c r="E92" s="32"/>
      <c r="F92" s="30"/>
      <c r="G92" s="6"/>
      <c r="H92" s="7"/>
      <c r="I92" s="38"/>
      <c r="J92" s="30"/>
      <c r="K92" s="6"/>
      <c r="L92" s="7"/>
      <c r="M92" s="40"/>
      <c r="N92" s="30"/>
      <c r="O92" s="6"/>
      <c r="P92" s="7"/>
      <c r="Q92" s="38"/>
      <c r="R92" s="30"/>
      <c r="S92" s="236">
        <v>46052</v>
      </c>
      <c r="T92" s="7"/>
      <c r="U92" s="38" t="str">
        <f t="shared" si="149"/>
        <v>1</v>
      </c>
      <c r="V92" s="30">
        <f ca="1">IF(U92="0",NETWORKDAYS(S92,T92,$CB$3:$CB$19),NETWORKDAYS(S92,'2025整理'!$S$1,$CB$3:$CB$19))</f>
        <v>-25</v>
      </c>
      <c r="W92" s="6"/>
      <c r="X92" s="7"/>
      <c r="Y92" s="38"/>
      <c r="Z92" s="30"/>
      <c r="AA92" s="16"/>
      <c r="AB92" s="7"/>
      <c r="AC92" s="40"/>
      <c r="AD92" s="30"/>
      <c r="AE92" s="48" t="s">
        <v>97</v>
      </c>
      <c r="AF92" s="47" t="s">
        <v>91</v>
      </c>
      <c r="AG92" s="50" t="s">
        <v>97</v>
      </c>
      <c r="AH92" s="51"/>
      <c r="AI92" s="52"/>
      <c r="AJ92" s="51"/>
      <c r="AK92" s="52"/>
      <c r="AL92" s="40"/>
      <c r="AM92" s="40"/>
      <c r="AN92" s="40"/>
      <c r="AO92" s="48"/>
      <c r="AP92" s="56"/>
      <c r="AQ92" s="48"/>
      <c r="AR92" s="56"/>
      <c r="AS92" s="40"/>
      <c r="AT92" s="40"/>
      <c r="AU92" s="51"/>
      <c r="AV92" s="52"/>
      <c r="AW92" s="51"/>
      <c r="AX92" s="52"/>
      <c r="AY92" s="40"/>
      <c r="AZ92" s="55"/>
      <c r="BA92" s="63"/>
      <c r="BB92" s="48"/>
      <c r="BC92" s="56"/>
      <c r="BD92" s="48"/>
      <c r="BE92" s="56"/>
      <c r="BF92" s="64"/>
      <c r="BG92" s="48"/>
      <c r="BH92" s="51"/>
      <c r="BI92" s="52"/>
      <c r="BJ92" s="51"/>
      <c r="BK92" s="52"/>
      <c r="BL92" s="40"/>
      <c r="BM92" s="55"/>
      <c r="BN92" s="63"/>
      <c r="BO92" s="48"/>
      <c r="BP92" s="56"/>
      <c r="BQ92" s="48"/>
      <c r="BR92" s="56"/>
      <c r="BS92" s="40"/>
      <c r="BT92" s="40"/>
      <c r="BU92" s="51"/>
      <c r="BV92" s="52"/>
      <c r="BW92" s="51"/>
      <c r="BX92" s="52"/>
      <c r="BY92" s="40"/>
      <c r="BZ92" s="55"/>
    </row>
    <row r="93" ht="13.5" customHeight="1" spans="1:78">
      <c r="A93" s="25" t="s">
        <v>184</v>
      </c>
      <c r="B93" s="5" t="s">
        <v>85</v>
      </c>
      <c r="C93" s="6"/>
      <c r="D93" s="7"/>
      <c r="E93" s="32"/>
      <c r="F93" s="30"/>
      <c r="G93" s="6"/>
      <c r="H93" s="7"/>
      <c r="I93" s="38"/>
      <c r="J93" s="30"/>
      <c r="K93" s="6">
        <v>45771</v>
      </c>
      <c r="L93" s="7">
        <v>45790</v>
      </c>
      <c r="M93" s="40" t="str">
        <f>IF(K93&lt;&gt;0,IF(L93&lt;&gt;0,"0","1"),"")</f>
        <v>0</v>
      </c>
      <c r="N93" s="30">
        <f>IF(M93="0",NETWORKDAYS(K93,L93,$CB$3:$CB$19),"")</f>
        <v>14</v>
      </c>
      <c r="O93" s="6"/>
      <c r="P93" s="7"/>
      <c r="Q93" s="38"/>
      <c r="R93" s="30"/>
      <c r="S93" s="6">
        <v>45861</v>
      </c>
      <c r="T93" s="7">
        <v>45887</v>
      </c>
      <c r="U93" s="38" t="str">
        <f t="shared" si="149"/>
        <v>0</v>
      </c>
      <c r="V93" s="242">
        <f ca="1">IF(U93="0",NETWORKDAYS(S93,T93,$CB$3:$CB$19),NETWORKDAYS(S93,'2025整理'!$S$1,$CB$3:$CB$19))</f>
        <v>19</v>
      </c>
      <c r="W93" s="6"/>
      <c r="X93" s="7"/>
      <c r="Y93" s="38"/>
      <c r="Z93" s="30"/>
      <c r="AA93" s="16"/>
      <c r="AB93" s="7"/>
      <c r="AC93" s="40"/>
      <c r="AD93" s="30"/>
      <c r="AE93" s="48" t="s">
        <v>82</v>
      </c>
      <c r="AF93" s="47" t="s">
        <v>82</v>
      </c>
      <c r="AG93" s="50" t="s">
        <v>97</v>
      </c>
      <c r="AH93" s="51"/>
      <c r="AI93" s="52">
        <v>3145.97</v>
      </c>
      <c r="AJ93" s="51"/>
      <c r="AK93" s="52">
        <v>3116.81</v>
      </c>
      <c r="AL93" s="40"/>
      <c r="AM93" s="40"/>
      <c r="AN93" s="40"/>
      <c r="AO93" s="48"/>
      <c r="AP93" s="56"/>
      <c r="AQ93" s="48"/>
      <c r="AR93" s="56"/>
      <c r="AS93" s="40"/>
      <c r="AT93" s="40"/>
      <c r="AU93" s="51">
        <v>3368.86</v>
      </c>
      <c r="AV93" s="52">
        <v>3264.25</v>
      </c>
      <c r="AW93" s="51">
        <v>3340.73</v>
      </c>
      <c r="AX93" s="52">
        <v>3236.99</v>
      </c>
      <c r="AY93" s="40" t="str">
        <f>IF(AND(AX93&lt;&gt;"",AW93&lt;&gt;""),IF(AX93&gt;AW93,"核增",IF(AX93&lt;AW93,"核减","不变")),"")</f>
        <v>核减</v>
      </c>
      <c r="AZ93" s="55">
        <f>IF(AND(AX93&lt;&gt;"",AW93&lt;&gt;""),MAX(ABS(AX93),ABS(AW93))-MIN(ABS(AX93),ABS(AW93)),"")</f>
        <v>103.74</v>
      </c>
      <c r="BA93" s="63" t="str">
        <f>IF(AND(AV93&lt;&gt;"",AI93&lt;&gt;""),IF(AV93&gt;AI93,"核增",IF(AV93&lt;AI93,"核减","不变")),"")&amp;TEXT(IF(AND(AV93&lt;&gt;"",AI93&lt;&gt;""),MAX(ABS(AV93),ABS(AI93))-MIN(ABS(AV93),ABS(AI93)),""),"0.00")</f>
        <v>核增118.28</v>
      </c>
      <c r="BB93" s="48"/>
      <c r="BC93" s="56"/>
      <c r="BD93" s="48"/>
      <c r="BE93" s="56"/>
      <c r="BF93" s="64"/>
      <c r="BG93" s="48"/>
      <c r="BH93" s="51">
        <v>3224.25</v>
      </c>
      <c r="BI93" s="52">
        <v>3260</v>
      </c>
      <c r="BJ93" s="51">
        <v>3197.33</v>
      </c>
      <c r="BK93" s="52">
        <v>3232.78</v>
      </c>
      <c r="BL93" s="40" t="str">
        <f>IF(AND(BK93&lt;&gt;"",BJ93&lt;&gt;""),IF(BK93&gt;BJ93,"核增",IF(BK93&lt;BJ93,"核减","不变")),"")</f>
        <v>核增</v>
      </c>
      <c r="BM93" s="55">
        <f>IF(AND(BK93&lt;&gt;"",BJ93&lt;&gt;""),MAX(ABS(BK93),ABS(BJ93))-MIN(ABS(BK93),ABS(BJ93)),"")</f>
        <v>35.4500000000003</v>
      </c>
      <c r="BN93" s="63" t="str">
        <f>IF(AND(BI93&lt;&gt;"",AV93&lt;&gt;""),IF(BI93&gt;AV93,"核增",IF(BI93&lt;AV93,"核减","不变")),"")&amp;TEXT(IF(AND(BI93&lt;&gt;"",AV93&lt;&gt;""),MAX(ABS(BI93),ABS(AV93))-MIN(ABS(BI93),ABS(AV93)),""),"0.00")</f>
        <v>核减4.25</v>
      </c>
      <c r="BO93" s="48"/>
      <c r="BP93" s="56"/>
      <c r="BQ93" s="48"/>
      <c r="BR93" s="56"/>
      <c r="BS93" s="40"/>
      <c r="BT93" s="40"/>
      <c r="BU93" s="51"/>
      <c r="BV93" s="52"/>
      <c r="BW93" s="51"/>
      <c r="BX93" s="52"/>
      <c r="BY93" s="40"/>
      <c r="BZ93" s="55"/>
    </row>
    <row r="94" ht="13.5" customHeight="1" spans="1:78">
      <c r="A94" s="25" t="s">
        <v>185</v>
      </c>
      <c r="B94" s="5" t="s">
        <v>85</v>
      </c>
      <c r="C94" s="6"/>
      <c r="D94" s="7"/>
      <c r="E94" s="32"/>
      <c r="F94" s="30"/>
      <c r="G94" s="6"/>
      <c r="H94" s="7"/>
      <c r="I94" s="38"/>
      <c r="J94" s="30"/>
      <c r="K94" s="6"/>
      <c r="L94" s="7"/>
      <c r="M94" s="40"/>
      <c r="N94" s="30"/>
      <c r="O94" s="6"/>
      <c r="P94" s="7"/>
      <c r="Q94" s="38"/>
      <c r="R94" s="30"/>
      <c r="S94" s="6"/>
      <c r="T94" s="7"/>
      <c r="U94" s="38"/>
      <c r="V94" s="30"/>
      <c r="W94" s="6"/>
      <c r="X94" s="7"/>
      <c r="Y94" s="38"/>
      <c r="Z94" s="30"/>
      <c r="AA94" s="16">
        <v>45774</v>
      </c>
      <c r="AB94" s="7">
        <v>45775</v>
      </c>
      <c r="AC94" s="40" t="str">
        <f t="shared" ref="AC94:AC95" si="153">IF(AA94&lt;&gt;0,IF(AB94&lt;&gt;0,"0","1"),"")</f>
        <v>0</v>
      </c>
      <c r="AD94" s="30">
        <f>IF(AC94="0",NETWORKDAYS(AA94,AB94,$CB$3:$CB$19),"")</f>
        <v>1</v>
      </c>
      <c r="AE94" s="48" t="s">
        <v>83</v>
      </c>
      <c r="AF94" s="47" t="s">
        <v>91</v>
      </c>
      <c r="AG94" s="50" t="s">
        <v>83</v>
      </c>
      <c r="AH94" s="51"/>
      <c r="AI94" s="52"/>
      <c r="AJ94" s="51"/>
      <c r="AK94" s="52"/>
      <c r="AL94" s="40"/>
      <c r="AM94" s="40"/>
      <c r="AN94" s="40"/>
      <c r="AO94" s="48"/>
      <c r="AP94" s="56"/>
      <c r="AQ94" s="48"/>
      <c r="AR94" s="56"/>
      <c r="AS94" s="40"/>
      <c r="AT94" s="40"/>
      <c r="AU94" s="51"/>
      <c r="AV94" s="52"/>
      <c r="AW94" s="51"/>
      <c r="AX94" s="52"/>
      <c r="AY94" s="40"/>
      <c r="AZ94" s="55"/>
      <c r="BA94" s="63"/>
      <c r="BB94" s="48"/>
      <c r="BC94" s="56"/>
      <c r="BD94" s="48"/>
      <c r="BE94" s="56"/>
      <c r="BF94" s="64"/>
      <c r="BG94" s="48"/>
      <c r="BH94" s="51"/>
      <c r="BI94" s="52"/>
      <c r="BJ94" s="51"/>
      <c r="BK94" s="52"/>
      <c r="BL94" s="40"/>
      <c r="BM94" s="55"/>
      <c r="BN94" s="63"/>
      <c r="BO94" s="48"/>
      <c r="BP94" s="56"/>
      <c r="BQ94" s="48"/>
      <c r="BR94" s="56"/>
      <c r="BS94" s="40"/>
      <c r="BT94" s="40"/>
      <c r="BU94" s="51">
        <v>792.98</v>
      </c>
      <c r="BV94" s="52">
        <v>690.17</v>
      </c>
      <c r="BW94" s="51">
        <v>792.98</v>
      </c>
      <c r="BX94" s="52">
        <v>690.17</v>
      </c>
      <c r="BY94" s="40" t="str">
        <f>IF(AND(BX94&lt;&gt;"",BW94&lt;&gt;""),IF(BX94&gt;BW94,"核增",IF(BX94&lt;BW94,"核减","不变")),"")</f>
        <v>核减</v>
      </c>
      <c r="BZ94" s="55">
        <f>IF(AND(BX94&lt;&gt;"",BW94&lt;&gt;""),MAX(ABS(BX94),ABS(BW94))-MIN(ABS(BX94),ABS(BW94)),"")</f>
        <v>102.81</v>
      </c>
    </row>
    <row r="95" ht="13.5" customHeight="1" spans="1:78">
      <c r="A95" s="25" t="s">
        <v>185</v>
      </c>
      <c r="B95" s="5" t="s">
        <v>85</v>
      </c>
      <c r="C95" s="6"/>
      <c r="D95" s="7"/>
      <c r="E95" s="32"/>
      <c r="F95" s="30"/>
      <c r="G95" s="6"/>
      <c r="H95" s="7"/>
      <c r="I95" s="38"/>
      <c r="J95" s="30"/>
      <c r="K95" s="6"/>
      <c r="L95" s="7"/>
      <c r="M95" s="40"/>
      <c r="N95" s="30"/>
      <c r="O95" s="6"/>
      <c r="P95" s="7"/>
      <c r="Q95" s="38"/>
      <c r="R95" s="30"/>
      <c r="S95" s="6"/>
      <c r="T95" s="7"/>
      <c r="U95" s="38"/>
      <c r="V95" s="30"/>
      <c r="W95" s="6"/>
      <c r="X95" s="7"/>
      <c r="Y95" s="38"/>
      <c r="Z95" s="30"/>
      <c r="AA95" s="16">
        <v>46015</v>
      </c>
      <c r="AB95" s="7"/>
      <c r="AC95" s="40" t="str">
        <f t="shared" si="153"/>
        <v>1</v>
      </c>
      <c r="AD95" s="30">
        <f ca="1">IF(AC95="0",NETWORKDAYS(AA95,AB95,$CB$3:$CB$19),NETWORKDAYS(AA95,'2025整理'!$S$1,$CB$3:$CB$19))</f>
        <v>4</v>
      </c>
      <c r="AE95" s="48" t="s">
        <v>83</v>
      </c>
      <c r="AF95" s="47" t="s">
        <v>91</v>
      </c>
      <c r="AG95" s="50" t="s">
        <v>83</v>
      </c>
      <c r="AH95" s="51"/>
      <c r="AI95" s="52"/>
      <c r="AJ95" s="51"/>
      <c r="AK95" s="52"/>
      <c r="AL95" s="40"/>
      <c r="AM95" s="40"/>
      <c r="AN95" s="40"/>
      <c r="AO95" s="48"/>
      <c r="AP95" s="56"/>
      <c r="AQ95" s="48"/>
      <c r="AR95" s="56"/>
      <c r="AS95" s="40"/>
      <c r="AT95" s="40"/>
      <c r="AU95" s="51"/>
      <c r="AV95" s="52"/>
      <c r="AW95" s="51"/>
      <c r="AX95" s="52"/>
      <c r="AY95" s="40"/>
      <c r="AZ95" s="55"/>
      <c r="BA95" s="63"/>
      <c r="BB95" s="48"/>
      <c r="BC95" s="56"/>
      <c r="BD95" s="48"/>
      <c r="BE95" s="56"/>
      <c r="BF95" s="64"/>
      <c r="BG95" s="48"/>
      <c r="BH95" s="51"/>
      <c r="BI95" s="52"/>
      <c r="BJ95" s="51"/>
      <c r="BK95" s="52"/>
      <c r="BL95" s="40"/>
      <c r="BM95" s="55"/>
      <c r="BN95" s="63"/>
      <c r="BO95" s="48"/>
      <c r="BP95" s="56"/>
      <c r="BQ95" s="48"/>
      <c r="BR95" s="56"/>
      <c r="BS95" s="40"/>
      <c r="BT95" s="40"/>
      <c r="BU95" s="51"/>
      <c r="BV95" s="52"/>
      <c r="BW95" s="51"/>
      <c r="BX95" s="52"/>
      <c r="BY95" s="40"/>
      <c r="BZ95" s="55"/>
    </row>
    <row r="96" ht="13.5" customHeight="1" spans="1:78">
      <c r="A96" s="25" t="s">
        <v>186</v>
      </c>
      <c r="B96" s="5" t="s">
        <v>93</v>
      </c>
      <c r="C96" s="6"/>
      <c r="D96" s="7"/>
      <c r="E96" s="32"/>
      <c r="F96" s="30"/>
      <c r="G96" s="6"/>
      <c r="H96" s="7"/>
      <c r="I96" s="38"/>
      <c r="J96" s="30"/>
      <c r="K96" s="6"/>
      <c r="L96" s="7"/>
      <c r="M96" s="40"/>
      <c r="N96" s="30"/>
      <c r="O96" s="6"/>
      <c r="P96" s="7"/>
      <c r="Q96" s="38"/>
      <c r="R96" s="30"/>
      <c r="S96" s="6">
        <v>45758</v>
      </c>
      <c r="T96" s="7">
        <v>45758</v>
      </c>
      <c r="U96" s="38" t="str">
        <f>IF(S96&lt;&gt;0,IF(T96&lt;&gt;0,"0","1"),"")</f>
        <v>0</v>
      </c>
      <c r="V96" s="30">
        <f>IF(U96="0",NETWORKDAYS(S96,T96,$EO$3:$EO$11),"")</f>
        <v>1</v>
      </c>
      <c r="W96" s="6"/>
      <c r="X96" s="7"/>
      <c r="Y96" s="38"/>
      <c r="Z96" s="30"/>
      <c r="AA96" s="16"/>
      <c r="AB96" s="7"/>
      <c r="AC96" s="40"/>
      <c r="AD96" s="30"/>
      <c r="AE96" s="48" t="s">
        <v>97</v>
      </c>
      <c r="AF96" s="47" t="s">
        <v>82</v>
      </c>
      <c r="AG96" s="50" t="s">
        <v>97</v>
      </c>
      <c r="AH96" s="51"/>
      <c r="AI96" s="52"/>
      <c r="AJ96" s="51"/>
      <c r="AK96" s="52"/>
      <c r="AL96" s="40"/>
      <c r="AM96" s="40"/>
      <c r="AN96" s="40"/>
      <c r="AO96" s="48"/>
      <c r="AP96" s="56"/>
      <c r="AQ96" s="48"/>
      <c r="AR96" s="56"/>
      <c r="AS96" s="40"/>
      <c r="AT96" s="40"/>
      <c r="AU96" s="51"/>
      <c r="AV96" s="52">
        <v>18990.67</v>
      </c>
      <c r="AW96" s="51"/>
      <c r="AX96" s="52">
        <v>18990.67</v>
      </c>
      <c r="AY96" s="40"/>
      <c r="AZ96" s="55"/>
      <c r="BA96" s="63"/>
      <c r="BB96" s="48"/>
      <c r="BC96" s="56"/>
      <c r="BD96" s="48"/>
      <c r="BE96" s="56"/>
      <c r="BF96" s="64"/>
      <c r="BG96" s="48"/>
      <c r="BH96" s="51">
        <v>17244.18</v>
      </c>
      <c r="BI96" s="52">
        <v>17396.89</v>
      </c>
      <c r="BJ96" s="51">
        <v>17032.99</v>
      </c>
      <c r="BK96" s="52">
        <v>17183.87</v>
      </c>
      <c r="BL96" s="40" t="str">
        <f>IF(AND(BK96&lt;&gt;"",BJ96&lt;&gt;""),IF(BK96&gt;BJ96,"核增",IF(BK96&lt;BJ96,"核减","不变")),"")</f>
        <v>核增</v>
      </c>
      <c r="BM96" s="55">
        <f>IF(AND(BK96&lt;&gt;"",BJ96&lt;&gt;""),MAX(ABS(BK96),ABS(BJ96))-MIN(ABS(BK96),ABS(BJ96)),"")</f>
        <v>150.879999999997</v>
      </c>
      <c r="BN96" s="63" t="str">
        <f>IF(AND(BI96&lt;&gt;"",AV96&lt;&gt;""),IF(BI96&gt;AV96,"核增",IF(BI96&lt;AV96,"核减","不变")),"")&amp;TEXT(IF(AND(BI96&lt;&gt;"",AV96&lt;&gt;""),MAX(ABS(BI96),ABS(AV96))-MIN(ABS(BI96),ABS(AV96)),""),"0.00")</f>
        <v>核减1593.78</v>
      </c>
      <c r="BO96" s="48"/>
      <c r="BP96" s="56"/>
      <c r="BQ96" s="48"/>
      <c r="BR96" s="56"/>
      <c r="BS96" s="40"/>
      <c r="BT96" s="40"/>
      <c r="BU96" s="51"/>
      <c r="BV96" s="52"/>
      <c r="BW96" s="51"/>
      <c r="BX96" s="52"/>
      <c r="BY96" s="40"/>
      <c r="BZ96" s="55"/>
    </row>
    <row r="97" ht="13.5" customHeight="1" spans="1:78">
      <c r="A97" s="25" t="s">
        <v>187</v>
      </c>
      <c r="B97" s="5" t="s">
        <v>81</v>
      </c>
      <c r="C97" s="6">
        <v>45770</v>
      </c>
      <c r="D97" s="7">
        <v>45791</v>
      </c>
      <c r="E97" s="32" t="str">
        <f>IF(C97&lt;&gt;0,IF(D97&lt;&gt;0,"0","1"),"")</f>
        <v>0</v>
      </c>
      <c r="F97" s="30">
        <f ca="1">IF(E97="0",NETWORKDAYS(C97,D97,$CB$3:$CB$19),NETWORKDAYS(C97,'2025整理'!$S$1,$CB$3:$CB$19))</f>
        <v>16</v>
      </c>
      <c r="G97" s="6"/>
      <c r="H97" s="7"/>
      <c r="I97" s="38"/>
      <c r="J97" s="30"/>
      <c r="K97" s="6">
        <v>45994</v>
      </c>
      <c r="L97" s="7"/>
      <c r="M97" s="40" t="str">
        <f t="shared" ref="M97:M98" si="154">IF(K97&lt;&gt;0,IF(L97&lt;&gt;0,"0","1"),"")</f>
        <v>1</v>
      </c>
      <c r="N97" s="30">
        <f ca="1">IF(M97="0",NETWORKDAYS(K97,L97,$CB$3:$CB$19),NETWORKDAYS(K97,'2025整理'!$S$1,$CB$3:$CB$19))</f>
        <v>19</v>
      </c>
      <c r="O97" s="6"/>
      <c r="P97" s="7"/>
      <c r="Q97" s="38"/>
      <c r="R97" s="30"/>
      <c r="S97" s="6"/>
      <c r="T97" s="7"/>
      <c r="U97" s="38"/>
      <c r="V97" s="30"/>
      <c r="W97" s="6"/>
      <c r="X97" s="7"/>
      <c r="Y97" s="38"/>
      <c r="Z97" s="30"/>
      <c r="AA97" s="16"/>
      <c r="AB97" s="7"/>
      <c r="AC97" s="40"/>
      <c r="AD97" s="30"/>
      <c r="AE97" s="48" t="s">
        <v>90</v>
      </c>
      <c r="AF97" s="47" t="s">
        <v>90</v>
      </c>
      <c r="AG97" s="50" t="s">
        <v>87</v>
      </c>
      <c r="AH97" s="51">
        <v>11311.34</v>
      </c>
      <c r="AI97" s="52">
        <v>10948.57</v>
      </c>
      <c r="AJ97" s="51">
        <v>11117.71</v>
      </c>
      <c r="AK97" s="52">
        <v>10761.15</v>
      </c>
      <c r="AL97" s="40" t="str">
        <f>IF(AND(AK97&lt;&gt;"",AJ97&lt;&gt;""),IF(AK97&gt;AJ97,"核增",IF(AK97&lt;AJ97,"核减","不变")),"")</f>
        <v>核减</v>
      </c>
      <c r="AM97" s="40">
        <f>IF(AND(AI97&lt;&gt;"",AH97&lt;&gt;""),MAX(ABS(AI97),ABS(AH97))-MIN(ABS(AI97),ABS(AH97)),"")</f>
        <v>362.77</v>
      </c>
      <c r="AN97" s="40">
        <f>IF(AND(AK97&lt;&gt;"",AJ97&lt;&gt;""),MAX(ABS(AK97),ABS(AJ97))-MIN(ABS(AK97),ABS(AJ97)),"")</f>
        <v>356.559999999999</v>
      </c>
      <c r="AO97" s="48"/>
      <c r="AP97" s="56"/>
      <c r="AQ97" s="48"/>
      <c r="AR97" s="56"/>
      <c r="AS97" s="40"/>
      <c r="AT97" s="40"/>
      <c r="AU97" s="51"/>
      <c r="AV97" s="52"/>
      <c r="AW97" s="51"/>
      <c r="AX97" s="52"/>
      <c r="AY97" s="40"/>
      <c r="AZ97" s="55"/>
      <c r="BA97" s="63"/>
      <c r="BB97" s="48"/>
      <c r="BC97" s="56"/>
      <c r="BD97" s="48"/>
      <c r="BE97" s="56"/>
      <c r="BF97" s="64"/>
      <c r="BG97" s="48"/>
      <c r="BH97" s="51"/>
      <c r="BI97" s="52"/>
      <c r="BJ97" s="51"/>
      <c r="BK97" s="52"/>
      <c r="BL97" s="40"/>
      <c r="BM97" s="55"/>
      <c r="BN97" s="63"/>
      <c r="BO97" s="48"/>
      <c r="BP97" s="56"/>
      <c r="BQ97" s="48"/>
      <c r="BR97" s="56"/>
      <c r="BS97" s="40"/>
      <c r="BT97" s="40"/>
      <c r="BU97" s="51"/>
      <c r="BV97" s="52"/>
      <c r="BW97" s="51"/>
      <c r="BX97" s="52"/>
      <c r="BY97" s="40"/>
      <c r="BZ97" s="55"/>
    </row>
    <row r="98" ht="13.5" customHeight="1" spans="1:78">
      <c r="A98" s="25" t="s">
        <v>188</v>
      </c>
      <c r="B98" s="5" t="s">
        <v>93</v>
      </c>
      <c r="C98" s="6"/>
      <c r="D98" s="7"/>
      <c r="E98" s="32"/>
      <c r="F98" s="30"/>
      <c r="G98" s="6"/>
      <c r="H98" s="7"/>
      <c r="I98" s="38"/>
      <c r="J98" s="30"/>
      <c r="K98" s="6">
        <v>45845</v>
      </c>
      <c r="L98" s="7">
        <v>45847</v>
      </c>
      <c r="M98" s="40" t="str">
        <f t="shared" si="154"/>
        <v>0</v>
      </c>
      <c r="N98" s="30">
        <f ca="1">IF(M98="0",NETWORKDAYS(K98,L98,$CB$3:$CB$19),NETWORKDAYS(K98,'2025整理'!$S$1,$CB$3:$CB$19))</f>
        <v>3</v>
      </c>
      <c r="O98" s="6"/>
      <c r="P98" s="7"/>
      <c r="Q98" s="38"/>
      <c r="R98" s="30"/>
      <c r="S98" s="6">
        <v>46001</v>
      </c>
      <c r="T98" s="7">
        <v>46009</v>
      </c>
      <c r="U98" s="38" t="str">
        <f>IF(S98&lt;&gt;0,IF(T98&lt;&gt;0,"0","1"),"")</f>
        <v>0</v>
      </c>
      <c r="V98" s="30">
        <f ca="1">IF(U98="0",NETWORKDAYS(S98,T98,$CB$3:$CB$19),NETWORKDAYS(S98,'2025整理'!$S$1,$CB$3:$CB$19))</f>
        <v>7</v>
      </c>
      <c r="W98" s="6"/>
      <c r="X98" s="7"/>
      <c r="Y98" s="38"/>
      <c r="Z98" s="30"/>
      <c r="AA98" s="16"/>
      <c r="AB98" s="7"/>
      <c r="AC98" s="40"/>
      <c r="AD98" s="30"/>
      <c r="AE98" s="48" t="s">
        <v>97</v>
      </c>
      <c r="AF98" s="47" t="s">
        <v>82</v>
      </c>
      <c r="AG98" s="50" t="s">
        <v>97</v>
      </c>
      <c r="AH98" s="51"/>
      <c r="AI98" s="52">
        <v>6558.56</v>
      </c>
      <c r="AJ98" s="51"/>
      <c r="AK98" s="52">
        <v>6454.3</v>
      </c>
      <c r="AL98" s="40"/>
      <c r="AM98" s="40"/>
      <c r="AN98" s="40"/>
      <c r="AO98" s="48"/>
      <c r="AP98" s="56"/>
      <c r="AQ98" s="48"/>
      <c r="AR98" s="56"/>
      <c r="AS98" s="40"/>
      <c r="AT98" s="40"/>
      <c r="AU98" s="51">
        <v>6452.49</v>
      </c>
      <c r="AV98" s="251">
        <v>6052.26</v>
      </c>
      <c r="AW98" s="252">
        <v>6537.26</v>
      </c>
      <c r="AX98" s="251">
        <v>5966.92</v>
      </c>
      <c r="AY98" s="40" t="str">
        <f>IF(AND(AX98&lt;&gt;"",AW98&lt;&gt;""),IF(AX98&gt;AW98,"核增",IF(AX98&lt;AW98,"核减","不变")),"")</f>
        <v>核减</v>
      </c>
      <c r="AZ98" s="55">
        <f>IF(AND(AX98&lt;&gt;"",AW98&lt;&gt;""),MAX(ABS(AX98),ABS(AW98))-MIN(ABS(AX98),ABS(AW98)),"")</f>
        <v>570.34</v>
      </c>
      <c r="BA98" s="63" t="str">
        <f>IF(AND(AV98&lt;&gt;"",AI98&lt;&gt;""),IF(AV98&gt;AI98,"核增",IF(AV98&lt;AI98,"核减","不变")),"")&amp;TEXT(IF(AND(AV98&lt;&gt;"",AI98&lt;&gt;""),MAX(ABS(AV98),ABS(AI98))-MIN(ABS(AV98),ABS(AI98)),""),"0.00")</f>
        <v>核减506.30</v>
      </c>
      <c r="BB98" s="48"/>
      <c r="BC98" s="56"/>
      <c r="BD98" s="48"/>
      <c r="BE98" s="56"/>
      <c r="BF98" s="64"/>
      <c r="BG98" s="48"/>
      <c r="BH98" s="51">
        <v>5019.1</v>
      </c>
      <c r="BI98" s="52">
        <v>5519.06</v>
      </c>
      <c r="BJ98" s="51">
        <v>4960.74</v>
      </c>
      <c r="BK98" s="52">
        <v>5441.88</v>
      </c>
      <c r="BL98" s="40" t="str">
        <f>IF(AND(BK98&lt;&gt;"",BJ98&lt;&gt;""),IF(BK98&gt;BJ98,"核增",IF(BK98&lt;BJ98,"核减","不变")),"")</f>
        <v>核增</v>
      </c>
      <c r="BM98" s="55">
        <f>IF(AND(BK98&lt;&gt;"",BJ98&lt;&gt;""),MAX(ABS(BK98),ABS(BJ98))-MIN(ABS(BK98),ABS(BJ98)),"")</f>
        <v>481.14</v>
      </c>
      <c r="BN98" s="63" t="str">
        <f>IF(AND(BI98&lt;&gt;"",AV98&lt;&gt;""),IF(BI98&gt;AV98,"核增",IF(BI98&lt;AV98,"核减","不变")),"")&amp;TEXT(IF(AND(BI98&lt;&gt;"",AV98&lt;&gt;""),MAX(ABS(BI98),ABS(AV98))-MIN(ABS(BI98),ABS(AV98)),""),"0.00")</f>
        <v>核减533.20</v>
      </c>
      <c r="BO98" s="48"/>
      <c r="BP98" s="56"/>
      <c r="BQ98" s="48"/>
      <c r="BR98" s="56"/>
      <c r="BS98" s="40"/>
      <c r="BT98" s="40"/>
      <c r="BU98" s="51"/>
      <c r="BV98" s="52"/>
      <c r="BW98" s="51"/>
      <c r="BX98" s="52"/>
      <c r="BY98" s="40"/>
      <c r="BZ98" s="55"/>
    </row>
    <row r="99" ht="13.5" customHeight="1" spans="1:78">
      <c r="A99" s="25" t="s">
        <v>189</v>
      </c>
      <c r="B99" s="5" t="s">
        <v>81</v>
      </c>
      <c r="C99" s="6">
        <v>45775</v>
      </c>
      <c r="D99" s="7">
        <v>45796</v>
      </c>
      <c r="E99" s="32" t="str">
        <f t="shared" ref="E99:E114" si="155">IF(C99&lt;&gt;0,IF(D99&lt;&gt;0,"0","1"),"")</f>
        <v>0</v>
      </c>
      <c r="F99" s="30">
        <f ca="1">IF(E99="0",NETWORKDAYS(C99,D99,$CB$3:$CB$19),NETWORKDAYS(C99,'2025整理'!$S$1,$CB$3:$CB$19))</f>
        <v>16</v>
      </c>
      <c r="G99" s="6"/>
      <c r="H99" s="7"/>
      <c r="I99" s="38"/>
      <c r="J99" s="30"/>
      <c r="K99" s="6"/>
      <c r="L99" s="7"/>
      <c r="M99" s="40"/>
      <c r="N99" s="30"/>
      <c r="O99" s="6"/>
      <c r="P99" s="7"/>
      <c r="Q99" s="38"/>
      <c r="R99" s="30"/>
      <c r="S99" s="6"/>
      <c r="T99" s="7"/>
      <c r="U99" s="38"/>
      <c r="V99" s="30"/>
      <c r="W99" s="6"/>
      <c r="X99" s="7"/>
      <c r="Y99" s="38"/>
      <c r="Z99" s="30"/>
      <c r="AA99" s="16"/>
      <c r="AB99" s="7"/>
      <c r="AC99" s="40"/>
      <c r="AD99" s="30"/>
      <c r="AE99" s="46" t="s">
        <v>82</v>
      </c>
      <c r="AF99" s="49" t="s">
        <v>82</v>
      </c>
      <c r="AG99" s="50" t="s">
        <v>83</v>
      </c>
      <c r="AH99" s="51">
        <v>4291.14</v>
      </c>
      <c r="AI99" s="52">
        <v>4391.23</v>
      </c>
      <c r="AJ99" s="51">
        <v>4231.77</v>
      </c>
      <c r="AK99" s="52">
        <v>4330.65</v>
      </c>
      <c r="AL99" s="40" t="str">
        <f>IF(AND(AK99&lt;&gt;"",AJ99&lt;&gt;""),IF(AK99&gt;AJ99,"核增",IF(AK99&lt;AJ99,"核减","不变")),"")</f>
        <v>核增</v>
      </c>
      <c r="AM99" s="40">
        <f>IF(AND(AI99&lt;&gt;"",AH99&lt;&gt;""),MAX(ABS(AI99),ABS(AH99))-MIN(ABS(AI99),ABS(AH99)),"")</f>
        <v>100.089999999999</v>
      </c>
      <c r="AN99" s="40">
        <f>IF(AND(AK99&lt;&gt;"",AJ99&lt;&gt;""),MAX(ABS(AK99),ABS(AJ99))-MIN(ABS(AK99),ABS(AJ99)),"")</f>
        <v>98.8799999999992</v>
      </c>
      <c r="AO99" s="48"/>
      <c r="AP99" s="56"/>
      <c r="AQ99" s="48"/>
      <c r="AR99" s="56"/>
      <c r="AS99" s="40"/>
      <c r="AT99" s="40"/>
      <c r="AU99" s="51"/>
      <c r="AV99" s="52"/>
      <c r="AW99" s="51"/>
      <c r="AX99" s="52"/>
      <c r="AY99" s="40"/>
      <c r="AZ99" s="55"/>
      <c r="BA99" s="63"/>
      <c r="BB99" s="48"/>
      <c r="BC99" s="56"/>
      <c r="BD99" s="48"/>
      <c r="BE99" s="56"/>
      <c r="BF99" s="64"/>
      <c r="BG99" s="48"/>
      <c r="BH99" s="51"/>
      <c r="BI99" s="52"/>
      <c r="BJ99" s="51"/>
      <c r="BK99" s="52"/>
      <c r="BL99" s="40"/>
      <c r="BM99" s="55"/>
      <c r="BN99" s="63"/>
      <c r="BO99" s="48"/>
      <c r="BP99" s="56"/>
      <c r="BQ99" s="48"/>
      <c r="BR99" s="56"/>
      <c r="BS99" s="40"/>
      <c r="BT99" s="40"/>
      <c r="BU99" s="51"/>
      <c r="BV99" s="52"/>
      <c r="BW99" s="51"/>
      <c r="BX99" s="52"/>
      <c r="BY99" s="40"/>
      <c r="BZ99" s="55"/>
    </row>
    <row r="100" ht="13.5" customHeight="1" spans="1:78">
      <c r="A100" s="25" t="s">
        <v>190</v>
      </c>
      <c r="B100" s="5" t="s">
        <v>81</v>
      </c>
      <c r="C100" s="6"/>
      <c r="D100" s="7"/>
      <c r="E100" s="32" t="str">
        <f t="shared" si="155"/>
        <v/>
      </c>
      <c r="F100" s="30"/>
      <c r="G100" s="6"/>
      <c r="H100" s="7"/>
      <c r="I100" s="38"/>
      <c r="J100" s="30"/>
      <c r="K100" s="6"/>
      <c r="L100" s="7"/>
      <c r="M100" s="40"/>
      <c r="N100" s="30"/>
      <c r="O100" s="6"/>
      <c r="P100" s="7"/>
      <c r="Q100" s="38"/>
      <c r="R100" s="30"/>
      <c r="S100" s="6"/>
      <c r="T100" s="7"/>
      <c r="U100" s="38"/>
      <c r="V100" s="30"/>
      <c r="W100" s="6">
        <v>45903</v>
      </c>
      <c r="X100" s="7">
        <v>45908</v>
      </c>
      <c r="Y100" s="38" t="str">
        <f t="shared" ref="Y100:Y101" si="156">IF(W100&lt;&gt;0,IF(X100&lt;&gt;0,"0","1"),"")</f>
        <v>0</v>
      </c>
      <c r="Z100" s="30">
        <f ca="1">IF(Y100="0",NETWORKDAYS(W100,X100,$CB$3:$CB$19),NETWORKDAYS(W100,'2025整理'!$S$1,$CB$3:$CB$19))</f>
        <v>4</v>
      </c>
      <c r="AA100" s="16"/>
      <c r="AB100" s="7"/>
      <c r="AC100" s="40"/>
      <c r="AD100" s="30"/>
      <c r="AE100" s="48" t="s">
        <v>86</v>
      </c>
      <c r="AF100" s="47" t="s">
        <v>86</v>
      </c>
      <c r="AG100" s="50" t="s">
        <v>91</v>
      </c>
      <c r="AH100" s="51"/>
      <c r="AI100" s="52"/>
      <c r="AJ100" s="51"/>
      <c r="AK100" s="52"/>
      <c r="AL100" s="40"/>
      <c r="AM100" s="40"/>
      <c r="AN100" s="40"/>
      <c r="AO100" s="48"/>
      <c r="AP100" s="56"/>
      <c r="AQ100" s="48"/>
      <c r="AR100" s="56"/>
      <c r="AS100" s="40"/>
      <c r="AT100" s="40"/>
      <c r="AU100" s="51"/>
      <c r="AV100" s="52"/>
      <c r="AW100" s="51"/>
      <c r="AX100" s="52"/>
      <c r="AY100" s="40"/>
      <c r="AZ100" s="55"/>
      <c r="BA100" s="63"/>
      <c r="BB100" s="48"/>
      <c r="BC100" s="56"/>
      <c r="BD100" s="48"/>
      <c r="BE100" s="56"/>
      <c r="BF100" s="64"/>
      <c r="BG100" s="48"/>
      <c r="BH100" s="51"/>
      <c r="BI100" s="52">
        <v>4626.87</v>
      </c>
      <c r="BJ100" s="51"/>
      <c r="BK100" s="52">
        <v>4555.27</v>
      </c>
      <c r="BL100" s="40"/>
      <c r="BM100" s="55"/>
      <c r="BN100" s="63"/>
      <c r="BO100" s="48">
        <v>4772.51</v>
      </c>
      <c r="BP100" s="56">
        <v>4772.51</v>
      </c>
      <c r="BQ100" s="48">
        <v>4698.65</v>
      </c>
      <c r="BR100" s="56">
        <v>4698.65</v>
      </c>
      <c r="BS100" s="40" t="str">
        <f>IF(AND(BR100&lt;&gt;"",BQ100&lt;&gt;""),IF(BR100&gt;BQ100,"核增",IF(BR100&lt;BQ100,"核减","不变")),"")</f>
        <v>不变</v>
      </c>
      <c r="BT100" s="40">
        <f>IF(AND(BR100&lt;&gt;"",BQ100&lt;&gt;""),MAX(ABS(BR100),ABS(BQ100))-MIN(ABS(BR100),ABS(BQ100)),"")</f>
        <v>0</v>
      </c>
      <c r="BU100" s="51"/>
      <c r="BV100" s="52"/>
      <c r="BW100" s="51"/>
      <c r="BX100" s="52"/>
      <c r="BY100" s="40"/>
      <c r="BZ100" s="55"/>
    </row>
    <row r="101" ht="13.5" customHeight="1" spans="1:78">
      <c r="A101" s="25" t="s">
        <v>191</v>
      </c>
      <c r="B101" s="5" t="s">
        <v>93</v>
      </c>
      <c r="C101" s="6"/>
      <c r="D101" s="7"/>
      <c r="E101" s="32" t="str">
        <f t="shared" si="155"/>
        <v/>
      </c>
      <c r="F101" s="30"/>
      <c r="G101" s="6"/>
      <c r="H101" s="7"/>
      <c r="I101" s="38"/>
      <c r="J101" s="30"/>
      <c r="K101" s="6"/>
      <c r="L101" s="7"/>
      <c r="M101" s="40"/>
      <c r="N101" s="30"/>
      <c r="O101" s="6"/>
      <c r="P101" s="7"/>
      <c r="Q101" s="38"/>
      <c r="R101" s="30"/>
      <c r="S101" s="6"/>
      <c r="T101" s="7"/>
      <c r="U101" s="38"/>
      <c r="V101" s="30"/>
      <c r="W101" s="236">
        <v>46052</v>
      </c>
      <c r="X101" s="7"/>
      <c r="Y101" s="38" t="str">
        <f t="shared" si="156"/>
        <v>1</v>
      </c>
      <c r="Z101" s="30">
        <f ca="1">IF(Y101="0",NETWORKDAYS(W101,X101,$CB$3:$CB$19),NETWORKDAYS(W101,'2025整理'!$S$1,$CB$3:$CB$19))</f>
        <v>-25</v>
      </c>
      <c r="AA101" s="16"/>
      <c r="AB101" s="7"/>
      <c r="AC101" s="40"/>
      <c r="AD101" s="30"/>
      <c r="AE101" s="46" t="s">
        <v>82</v>
      </c>
      <c r="AF101" s="47" t="s">
        <v>82</v>
      </c>
      <c r="AG101" s="50" t="s">
        <v>87</v>
      </c>
      <c r="AH101" s="51"/>
      <c r="AI101" s="52"/>
      <c r="AJ101" s="51"/>
      <c r="AK101" s="52"/>
      <c r="AL101" s="40"/>
      <c r="AM101" s="40"/>
      <c r="AN101" s="40"/>
      <c r="AO101" s="48"/>
      <c r="AP101" s="56"/>
      <c r="AQ101" s="48"/>
      <c r="AR101" s="56"/>
      <c r="AS101" s="40"/>
      <c r="AT101" s="40"/>
      <c r="AU101" s="51"/>
      <c r="AV101" s="52"/>
      <c r="AW101" s="51"/>
      <c r="AX101" s="52"/>
      <c r="AY101" s="40"/>
      <c r="AZ101" s="55"/>
      <c r="BA101" s="63"/>
      <c r="BB101" s="48"/>
      <c r="BC101" s="56"/>
      <c r="BD101" s="48"/>
      <c r="BE101" s="56"/>
      <c r="BF101" s="64"/>
      <c r="BG101" s="48"/>
      <c r="BH101" s="51"/>
      <c r="BI101" s="52"/>
      <c r="BJ101" s="51"/>
      <c r="BK101" s="52"/>
      <c r="BL101" s="40"/>
      <c r="BM101" s="55"/>
      <c r="BN101" s="63"/>
      <c r="BO101" s="48"/>
      <c r="BP101" s="56"/>
      <c r="BQ101" s="48"/>
      <c r="BR101" s="56"/>
      <c r="BS101" s="40"/>
      <c r="BT101" s="40"/>
      <c r="BU101" s="51"/>
      <c r="BV101" s="52"/>
      <c r="BW101" s="51"/>
      <c r="BX101" s="52"/>
      <c r="BY101" s="40"/>
      <c r="BZ101" s="55"/>
    </row>
    <row r="102" ht="13.5" customHeight="1" spans="1:78">
      <c r="A102" s="25" t="s">
        <v>192</v>
      </c>
      <c r="B102" s="5" t="s">
        <v>93</v>
      </c>
      <c r="C102" s="6"/>
      <c r="D102" s="7"/>
      <c r="E102" s="32" t="str">
        <f t="shared" si="155"/>
        <v/>
      </c>
      <c r="F102" s="30"/>
      <c r="G102" s="6"/>
      <c r="H102" s="7"/>
      <c r="I102" s="38"/>
      <c r="J102" s="30"/>
      <c r="K102" s="6"/>
      <c r="L102" s="7"/>
      <c r="M102" s="40"/>
      <c r="N102" s="30"/>
      <c r="O102" s="6"/>
      <c r="P102" s="7"/>
      <c r="Q102" s="38"/>
      <c r="R102" s="30"/>
      <c r="S102" s="6"/>
      <c r="T102" s="7"/>
      <c r="U102" s="38"/>
      <c r="V102" s="30"/>
      <c r="W102" s="6"/>
      <c r="X102" s="7"/>
      <c r="Y102" s="38"/>
      <c r="Z102" s="30"/>
      <c r="AA102" s="16">
        <v>45784</v>
      </c>
      <c r="AB102" s="7">
        <v>45820</v>
      </c>
      <c r="AC102" s="40" t="str">
        <f>IF(AA102&lt;&gt;0,IF(AB102&lt;&gt;0,"0","1"),"")</f>
        <v>0</v>
      </c>
      <c r="AD102" s="242">
        <f ca="1">IF(AC102="0",NETWORKDAYS(AA102,AB102,$CB$3:$CB$19),NETWORKDAYS(AA102,'2025整理'!$S$1,$CB$3:$CB$19))</f>
        <v>27</v>
      </c>
      <c r="AE102" s="48" t="s">
        <v>97</v>
      </c>
      <c r="AF102" s="47" t="s">
        <v>90</v>
      </c>
      <c r="AG102" s="50" t="s">
        <v>97</v>
      </c>
      <c r="AH102" s="51"/>
      <c r="AI102" s="52"/>
      <c r="AJ102" s="51"/>
      <c r="AK102" s="52"/>
      <c r="AL102" s="40"/>
      <c r="AM102" s="40"/>
      <c r="AN102" s="40"/>
      <c r="AO102" s="48"/>
      <c r="AP102" s="56"/>
      <c r="AQ102" s="48"/>
      <c r="AR102" s="56"/>
      <c r="AS102" s="40"/>
      <c r="AT102" s="40"/>
      <c r="AU102" s="51"/>
      <c r="AV102" s="52"/>
      <c r="AW102" s="51"/>
      <c r="AX102" s="52"/>
      <c r="AY102" s="40"/>
      <c r="AZ102" s="55"/>
      <c r="BA102" s="63"/>
      <c r="BB102" s="48"/>
      <c r="BC102" s="56"/>
      <c r="BD102" s="48"/>
      <c r="BE102" s="56"/>
      <c r="BF102" s="64"/>
      <c r="BG102" s="48"/>
      <c r="BH102" s="51"/>
      <c r="BI102" s="52"/>
      <c r="BJ102" s="51"/>
      <c r="BK102" s="52"/>
      <c r="BL102" s="40"/>
      <c r="BM102" s="55"/>
      <c r="BN102" s="63"/>
      <c r="BO102" s="48"/>
      <c r="BP102" s="56"/>
      <c r="BQ102" s="48"/>
      <c r="BR102" s="56"/>
      <c r="BS102" s="40"/>
      <c r="BT102" s="40"/>
      <c r="BU102" s="51">
        <v>4244.96</v>
      </c>
      <c r="BV102" s="52">
        <v>3567.89</v>
      </c>
      <c r="BW102" s="51">
        <v>4244.96</v>
      </c>
      <c r="BX102" s="52">
        <v>3567.89</v>
      </c>
      <c r="BY102" s="40" t="str">
        <f>IF(AND(BX102&lt;&gt;"",BW102&lt;&gt;""),IF(BX102&gt;BW102,"核增",IF(BX102&lt;BW102,"核减","不变")),"")</f>
        <v>核减</v>
      </c>
      <c r="BZ102" s="55">
        <f>IF(AND(BX102&lt;&gt;"",BW102&lt;&gt;""),MAX(ABS(BX102),ABS(BW102))-MIN(ABS(BX102),ABS(BW102)),"")</f>
        <v>677.07</v>
      </c>
    </row>
    <row r="103" ht="13.5" customHeight="1" spans="1:78">
      <c r="A103" s="25" t="s">
        <v>193</v>
      </c>
      <c r="B103" s="5" t="s">
        <v>81</v>
      </c>
      <c r="C103" s="6"/>
      <c r="D103" s="7"/>
      <c r="E103" s="32" t="str">
        <f t="shared" si="155"/>
        <v/>
      </c>
      <c r="F103" s="30"/>
      <c r="G103" s="6"/>
      <c r="H103" s="7"/>
      <c r="I103" s="38"/>
      <c r="J103" s="30"/>
      <c r="K103" s="6"/>
      <c r="L103" s="7"/>
      <c r="M103" s="40"/>
      <c r="N103" s="30"/>
      <c r="O103" s="6"/>
      <c r="P103" s="7"/>
      <c r="Q103" s="38"/>
      <c r="R103" s="30"/>
      <c r="S103" s="6">
        <v>45908</v>
      </c>
      <c r="T103" s="7">
        <v>45921</v>
      </c>
      <c r="U103" s="38" t="str">
        <f t="shared" ref="U103:U104" si="157">IF(S103&lt;&gt;0,IF(T103&lt;&gt;0,"0","1"),"")</f>
        <v>0</v>
      </c>
      <c r="V103" s="30">
        <f ca="1">IF(U103="0",NETWORKDAYS(S103,T103,$CB$3:$CB$19),NETWORKDAYS(S103,'2025整理'!$S$1,$CB$3:$CB$19))</f>
        <v>10</v>
      </c>
      <c r="W103" s="6"/>
      <c r="X103" s="7"/>
      <c r="Y103" s="38"/>
      <c r="Z103" s="30"/>
      <c r="AA103" s="16"/>
      <c r="AB103" s="7"/>
      <c r="AC103" s="40"/>
      <c r="AD103" s="30"/>
      <c r="AE103" s="48" t="s">
        <v>86</v>
      </c>
      <c r="AF103" s="47" t="s">
        <v>86</v>
      </c>
      <c r="AG103" s="50" t="s">
        <v>83</v>
      </c>
      <c r="AH103" s="51"/>
      <c r="AI103" s="52"/>
      <c r="AJ103" s="51"/>
      <c r="AK103" s="52"/>
      <c r="AL103" s="40"/>
      <c r="AM103" s="40"/>
      <c r="AN103" s="40"/>
      <c r="AO103" s="48"/>
      <c r="AP103" s="56"/>
      <c r="AQ103" s="48"/>
      <c r="AR103" s="56"/>
      <c r="AS103" s="40"/>
      <c r="AT103" s="40"/>
      <c r="AU103" s="51"/>
      <c r="AV103" s="52">
        <v>6674.78</v>
      </c>
      <c r="AW103" s="51"/>
      <c r="AX103" s="52">
        <v>6581.13</v>
      </c>
      <c r="AY103" s="40"/>
      <c r="AZ103" s="55"/>
      <c r="BA103" s="63"/>
      <c r="BB103" s="48"/>
      <c r="BC103" s="56"/>
      <c r="BD103" s="48"/>
      <c r="BE103" s="56"/>
      <c r="BF103" s="64"/>
      <c r="BG103" s="48"/>
      <c r="BH103" s="51">
        <v>5709.56</v>
      </c>
      <c r="BI103" s="52">
        <v>6184.23</v>
      </c>
      <c r="BJ103" s="51">
        <v>5630.43</v>
      </c>
      <c r="BK103" s="52">
        <v>6099.69</v>
      </c>
      <c r="BL103" s="40" t="str">
        <f t="shared" ref="BL103:BL104" si="158">IF(AND(BK103&lt;&gt;"",BJ103&lt;&gt;""),IF(BK103&gt;BJ103,"核增",IF(BK103&lt;BJ103,"核减","不变")),"")</f>
        <v>核增</v>
      </c>
      <c r="BM103" s="55">
        <f t="shared" ref="BM103:BM104" si="159">IF(AND(BK103&lt;&gt;"",BJ103&lt;&gt;""),MAX(ABS(BK103),ABS(BJ103))-MIN(ABS(BK103),ABS(BJ103)),"")</f>
        <v>469.259999999999</v>
      </c>
      <c r="BN103" s="63" t="str">
        <f t="shared" ref="BN103:BN104" si="160">IF(AND(BI103&lt;&gt;"",AV103&lt;&gt;""),IF(BI103&gt;AV103,"核增",IF(BI103&lt;AV103,"核减","不变")),"")&amp;TEXT(IF(AND(BI103&lt;&gt;"",AV103&lt;&gt;""),MAX(ABS(BI103),ABS(AV103))-MIN(ABS(BI103),ABS(AV103)),""),"0.00")</f>
        <v>核减490.55</v>
      </c>
      <c r="BO103" s="48"/>
      <c r="BP103" s="56"/>
      <c r="BQ103" s="48"/>
      <c r="BR103" s="56"/>
      <c r="BS103" s="40"/>
      <c r="BT103" s="40"/>
      <c r="BU103" s="51"/>
      <c r="BV103" s="52"/>
      <c r="BW103" s="51"/>
      <c r="BX103" s="52"/>
      <c r="BY103" s="40"/>
      <c r="BZ103" s="55"/>
    </row>
    <row r="104" ht="13.5" customHeight="1" spans="1:78">
      <c r="A104" s="25" t="s">
        <v>194</v>
      </c>
      <c r="B104" s="5" t="s">
        <v>81</v>
      </c>
      <c r="C104" s="6"/>
      <c r="D104" s="7"/>
      <c r="E104" s="32" t="str">
        <f t="shared" si="155"/>
        <v/>
      </c>
      <c r="F104" s="30"/>
      <c r="G104" s="6"/>
      <c r="H104" s="7"/>
      <c r="I104" s="38"/>
      <c r="J104" s="30"/>
      <c r="K104" s="6"/>
      <c r="L104" s="7"/>
      <c r="M104" s="40"/>
      <c r="N104" s="30"/>
      <c r="O104" s="6"/>
      <c r="P104" s="7"/>
      <c r="Q104" s="38"/>
      <c r="R104" s="30"/>
      <c r="S104" s="6">
        <v>45903</v>
      </c>
      <c r="T104" s="7">
        <v>45916</v>
      </c>
      <c r="U104" s="38" t="str">
        <f t="shared" si="157"/>
        <v>0</v>
      </c>
      <c r="V104" s="30">
        <f ca="1">IF(U104="0",NETWORKDAYS(S104,T104,$CB$3:$CB$19),NETWORKDAYS(S104,'2025整理'!$S$1,$CB$3:$CB$19))</f>
        <v>10</v>
      </c>
      <c r="W104" s="6"/>
      <c r="X104" s="7"/>
      <c r="Y104" s="38"/>
      <c r="Z104" s="30"/>
      <c r="AA104" s="16"/>
      <c r="AB104" s="7"/>
      <c r="AC104" s="40"/>
      <c r="AD104" s="30"/>
      <c r="AE104" s="48" t="s">
        <v>82</v>
      </c>
      <c r="AF104" s="47" t="s">
        <v>82</v>
      </c>
      <c r="AG104" s="50" t="s">
        <v>87</v>
      </c>
      <c r="AH104" s="51"/>
      <c r="AI104" s="52"/>
      <c r="AJ104" s="51"/>
      <c r="AK104" s="52"/>
      <c r="AL104" s="40"/>
      <c r="AM104" s="40"/>
      <c r="AN104" s="40"/>
      <c r="AO104" s="48"/>
      <c r="AP104" s="56"/>
      <c r="AQ104" s="48"/>
      <c r="AR104" s="56"/>
      <c r="AS104" s="40"/>
      <c r="AT104" s="40"/>
      <c r="AU104" s="51"/>
      <c r="AV104" s="52">
        <v>5511.96</v>
      </c>
      <c r="AW104" s="51"/>
      <c r="AX104" s="52">
        <v>5435.62</v>
      </c>
      <c r="AY104" s="40"/>
      <c r="AZ104" s="55"/>
      <c r="BA104" s="63"/>
      <c r="BB104" s="48"/>
      <c r="BC104" s="56"/>
      <c r="BD104" s="48"/>
      <c r="BE104" s="56"/>
      <c r="BF104" s="64"/>
      <c r="BG104" s="48"/>
      <c r="BH104" s="51">
        <v>4795.15</v>
      </c>
      <c r="BI104" s="52">
        <v>5036.93</v>
      </c>
      <c r="BJ104" s="51">
        <v>4729.93</v>
      </c>
      <c r="BK104" s="52">
        <v>4970.08</v>
      </c>
      <c r="BL104" s="40" t="str">
        <f t="shared" si="158"/>
        <v>核增</v>
      </c>
      <c r="BM104" s="55">
        <f t="shared" si="159"/>
        <v>240.15</v>
      </c>
      <c r="BN104" s="63" t="str">
        <f t="shared" si="160"/>
        <v>核减475.03</v>
      </c>
      <c r="BO104" s="48"/>
      <c r="BP104" s="56"/>
      <c r="BQ104" s="48"/>
      <c r="BR104" s="56"/>
      <c r="BS104" s="40"/>
      <c r="BT104" s="40"/>
      <c r="BU104" s="51"/>
      <c r="BV104" s="52"/>
      <c r="BW104" s="51"/>
      <c r="BX104" s="52"/>
      <c r="BY104" s="40"/>
      <c r="BZ104" s="55"/>
    </row>
    <row r="105" ht="13.5" customHeight="1" spans="1:78">
      <c r="A105" s="25" t="s">
        <v>195</v>
      </c>
      <c r="B105" s="5" t="s">
        <v>85</v>
      </c>
      <c r="C105" s="236">
        <v>46052</v>
      </c>
      <c r="D105" s="7"/>
      <c r="E105" s="32" t="str">
        <f t="shared" si="155"/>
        <v>1</v>
      </c>
      <c r="F105" s="242">
        <f ca="1">IF(E105="0",NETWORKDAYS(C105,D105,$CB$3:$CB$19),NETWORKDAYS(C105,'2025整理'!$S$1,$CB$3:$CB$19))</f>
        <v>-25</v>
      </c>
      <c r="G105" s="6"/>
      <c r="H105" s="7"/>
      <c r="I105" s="38"/>
      <c r="J105" s="30"/>
      <c r="K105" s="6"/>
      <c r="L105" s="7"/>
      <c r="M105" s="40"/>
      <c r="N105" s="30"/>
      <c r="O105" s="6"/>
      <c r="P105" s="7"/>
      <c r="Q105" s="38"/>
      <c r="R105" s="30"/>
      <c r="S105" s="6"/>
      <c r="T105" s="7"/>
      <c r="U105" s="38"/>
      <c r="V105" s="30"/>
      <c r="W105" s="6"/>
      <c r="X105" s="7"/>
      <c r="Y105" s="38"/>
      <c r="Z105" s="30"/>
      <c r="AA105" s="16"/>
      <c r="AB105" s="7"/>
      <c r="AC105" s="40"/>
      <c r="AD105" s="30"/>
      <c r="AE105" s="48" t="s">
        <v>90</v>
      </c>
      <c r="AF105" s="47" t="s">
        <v>90</v>
      </c>
      <c r="AG105" s="50" t="s">
        <v>97</v>
      </c>
      <c r="AH105" s="51"/>
      <c r="AI105" s="52"/>
      <c r="AJ105" s="51"/>
      <c r="AK105" s="52"/>
      <c r="AL105" s="40"/>
      <c r="AM105" s="40"/>
      <c r="AN105" s="40"/>
      <c r="AO105" s="48"/>
      <c r="AP105" s="56"/>
      <c r="AQ105" s="48"/>
      <c r="AR105" s="56"/>
      <c r="AS105" s="40"/>
      <c r="AT105" s="40"/>
      <c r="AU105" s="51"/>
      <c r="AV105" s="52"/>
      <c r="AW105" s="51"/>
      <c r="AX105" s="52"/>
      <c r="AY105" s="40"/>
      <c r="AZ105" s="55"/>
      <c r="BA105" s="63"/>
      <c r="BB105" s="48"/>
      <c r="BC105" s="56"/>
      <c r="BD105" s="48"/>
      <c r="BE105" s="56"/>
      <c r="BF105" s="64"/>
      <c r="BG105" s="48"/>
      <c r="BH105" s="51"/>
      <c r="BI105" s="52"/>
      <c r="BJ105" s="51"/>
      <c r="BK105" s="52"/>
      <c r="BL105" s="40"/>
      <c r="BM105" s="55"/>
      <c r="BN105" s="63"/>
      <c r="BO105" s="48"/>
      <c r="BP105" s="56"/>
      <c r="BQ105" s="48"/>
      <c r="BR105" s="56"/>
      <c r="BS105" s="40"/>
      <c r="BT105" s="40"/>
      <c r="BU105" s="51"/>
      <c r="BV105" s="52"/>
      <c r="BW105" s="51"/>
      <c r="BX105" s="52"/>
      <c r="BY105" s="40"/>
      <c r="BZ105" s="55"/>
    </row>
    <row r="106" ht="13.5" customHeight="1" spans="1:78">
      <c r="A106" s="25" t="s">
        <v>196</v>
      </c>
      <c r="B106" s="5" t="s">
        <v>81</v>
      </c>
      <c r="C106" s="6"/>
      <c r="D106" s="7"/>
      <c r="E106" s="32" t="str">
        <f t="shared" si="155"/>
        <v/>
      </c>
      <c r="F106" s="30"/>
      <c r="G106" s="6"/>
      <c r="H106" s="7"/>
      <c r="I106" s="38"/>
      <c r="J106" s="30"/>
      <c r="K106" s="6"/>
      <c r="L106" s="7"/>
      <c r="M106" s="40"/>
      <c r="N106" s="30"/>
      <c r="O106" s="6"/>
      <c r="P106" s="7"/>
      <c r="Q106" s="38"/>
      <c r="R106" s="30"/>
      <c r="S106" s="6"/>
      <c r="T106" s="7"/>
      <c r="U106" s="38"/>
      <c r="V106" s="30"/>
      <c r="W106" s="6"/>
      <c r="X106" s="7"/>
      <c r="Y106" s="38"/>
      <c r="Z106" s="30"/>
      <c r="AA106" s="16">
        <v>45855</v>
      </c>
      <c r="AB106" s="7">
        <v>45859</v>
      </c>
      <c r="AC106" s="40" t="str">
        <f>IF(AA106&lt;&gt;0,IF(AB106&lt;&gt;0,"0","1"),"")</f>
        <v>0</v>
      </c>
      <c r="AD106" s="30">
        <f ca="1">IF(AC106="0",NETWORKDAYS(AA106,AB106,$CB$3:$CB$19),NETWORKDAYS(AA106,'2025整理'!$S$1,$CB$3:$CB$19))</f>
        <v>3</v>
      </c>
      <c r="AE106" s="46" t="s">
        <v>82</v>
      </c>
      <c r="AF106" s="47" t="s">
        <v>82</v>
      </c>
      <c r="AG106" s="50" t="s">
        <v>87</v>
      </c>
      <c r="AH106" s="51"/>
      <c r="AI106" s="52"/>
      <c r="AJ106" s="51"/>
      <c r="AK106" s="52"/>
      <c r="AL106" s="40"/>
      <c r="AM106" s="40"/>
      <c r="AN106" s="40"/>
      <c r="AO106" s="48"/>
      <c r="AP106" s="56"/>
      <c r="AQ106" s="48"/>
      <c r="AR106" s="56"/>
      <c r="AS106" s="40"/>
      <c r="AT106" s="40"/>
      <c r="AU106" s="51"/>
      <c r="AV106" s="52"/>
      <c r="AW106" s="51"/>
      <c r="AX106" s="52"/>
      <c r="AY106" s="40"/>
      <c r="AZ106" s="55"/>
      <c r="BA106" s="63"/>
      <c r="BB106" s="48"/>
      <c r="BC106" s="56"/>
      <c r="BD106" s="48"/>
      <c r="BE106" s="56"/>
      <c r="BF106" s="64"/>
      <c r="BG106" s="48"/>
      <c r="BH106" s="51"/>
      <c r="BI106" s="52"/>
      <c r="BJ106" s="51"/>
      <c r="BK106" s="52"/>
      <c r="BL106" s="40"/>
      <c r="BM106" s="55"/>
      <c r="BN106" s="63"/>
      <c r="BO106" s="48"/>
      <c r="BP106" s="56"/>
      <c r="BQ106" s="48"/>
      <c r="BR106" s="56"/>
      <c r="BS106" s="40"/>
      <c r="BT106" s="40"/>
      <c r="BU106" s="82">
        <f>ABS(-1302.99)+ABS(-242.62)</f>
        <v>1545.61</v>
      </c>
      <c r="BV106" s="83">
        <f>ABS(-1978.2)+ABS(-242.62)</f>
        <v>2220.82</v>
      </c>
      <c r="BW106" s="82">
        <f>ABS(-1302.99)+ABS(-242.62)</f>
        <v>1545.61</v>
      </c>
      <c r="BX106" s="83">
        <f>ABS(-1978.2)+ABS(-242.62)</f>
        <v>2220.82</v>
      </c>
      <c r="BY106" s="253" t="str">
        <f>IF(AND(BX106&lt;&gt;"",BW106&lt;&gt;""),IF(BX106&gt;BW106,"核减",IF(BX106&lt;BW106,"核增","不变")),"")</f>
        <v>核减</v>
      </c>
      <c r="BZ106" s="55">
        <f>IF(AND(BX106&lt;&gt;"",BW106&lt;&gt;""),MAX(ABS(BX106),ABS(BW106))-MIN(ABS(BX106),ABS(BW106)),"")</f>
        <v>675.21</v>
      </c>
    </row>
    <row r="107" ht="13.5" customHeight="1" spans="1:78">
      <c r="A107" s="25" t="s">
        <v>197</v>
      </c>
      <c r="B107" s="5" t="s">
        <v>85</v>
      </c>
      <c r="C107" s="6">
        <v>45786</v>
      </c>
      <c r="D107" s="7">
        <v>45804</v>
      </c>
      <c r="E107" s="32" t="str">
        <f t="shared" si="155"/>
        <v>0</v>
      </c>
      <c r="F107" s="30">
        <f ca="1">IF(E107="0",NETWORKDAYS(C107,D107,$CB$3:$CB$19),NETWORKDAYS(C107,'2025整理'!$S$1,$CB$3:$CB$19))</f>
        <v>13</v>
      </c>
      <c r="G107" s="6"/>
      <c r="H107" s="7"/>
      <c r="I107" s="38"/>
      <c r="J107" s="30"/>
      <c r="K107" s="6">
        <v>45896</v>
      </c>
      <c r="L107" s="7">
        <v>45912</v>
      </c>
      <c r="M107" s="40" t="str">
        <f>IF(K107&lt;&gt;0,IF(L107&lt;&gt;0,"0","1"),"")</f>
        <v>0</v>
      </c>
      <c r="N107" s="30">
        <f ca="1">IF(M107="0",NETWORKDAYS(K107,L107,$CB$3:$CB$19),NETWORKDAYS(K107,'2025整理'!$S$1,$CB$3:$CB$19))</f>
        <v>13</v>
      </c>
      <c r="O107" s="6"/>
      <c r="P107" s="7"/>
      <c r="Q107" s="38"/>
      <c r="R107" s="30"/>
      <c r="S107" s="6"/>
      <c r="T107" s="7"/>
      <c r="U107" s="38"/>
      <c r="V107" s="30"/>
      <c r="W107" s="6"/>
      <c r="X107" s="7"/>
      <c r="Y107" s="38"/>
      <c r="Z107" s="30"/>
      <c r="AA107" s="16"/>
      <c r="AB107" s="7"/>
      <c r="AC107" s="40"/>
      <c r="AD107" s="30"/>
      <c r="AE107" s="48" t="s">
        <v>86</v>
      </c>
      <c r="AF107" s="47" t="s">
        <v>86</v>
      </c>
      <c r="AG107" s="50" t="s">
        <v>91</v>
      </c>
      <c r="AH107" s="51">
        <v>4474.78</v>
      </c>
      <c r="AI107" s="52">
        <v>4816.26</v>
      </c>
      <c r="AJ107" s="51">
        <v>4397.97</v>
      </c>
      <c r="AK107" s="52">
        <v>4733.59</v>
      </c>
      <c r="AL107" s="40" t="str">
        <f>IF(AND(AK107&lt;&gt;"",AJ107&lt;&gt;""),IF(AK107&gt;AJ107,"核增",IF(AK107&lt;AJ107,"核减","不变")),"")</f>
        <v>核增</v>
      </c>
      <c r="AM107" s="40">
        <f>IF(AND(AI107&lt;&gt;"",AH107&lt;&gt;""),MAX(ABS(AI107),ABS(AH107))-MIN(ABS(AI107),ABS(AH107)),"")</f>
        <v>341.48</v>
      </c>
      <c r="AN107" s="40">
        <f>IF(AND(AK107&lt;&gt;"",AJ107&lt;&gt;""),MAX(ABS(AK107),ABS(AJ107))-MIN(ABS(AK107),ABS(AJ107)),"")</f>
        <v>335.62</v>
      </c>
      <c r="AO107" s="48"/>
      <c r="AP107" s="56"/>
      <c r="AQ107" s="48"/>
      <c r="AR107" s="56"/>
      <c r="AS107" s="40"/>
      <c r="AT107" s="40"/>
      <c r="AU107" s="51">
        <v>4794.74</v>
      </c>
      <c r="AV107" s="52">
        <v>4744.34</v>
      </c>
      <c r="AW107" s="51">
        <v>4720.54</v>
      </c>
      <c r="AX107" s="52">
        <v>4670.92</v>
      </c>
      <c r="AY107" s="40" t="str">
        <f>IF(AND(AX107&lt;&gt;"",AW107&lt;&gt;""),IF(AX107&gt;AW107,"核增",IF(AX107&lt;AW107,"核减","不变")),"")</f>
        <v>核减</v>
      </c>
      <c r="AZ107" s="55">
        <f>IF(AND(AX107&lt;&gt;"",AW107&lt;&gt;""),MAX(ABS(AX107),ABS(AW107))-MIN(ABS(AX107),ABS(AW107)),"")</f>
        <v>49.6199999999999</v>
      </c>
      <c r="BA107" s="63" t="str">
        <f>IF(AND(AV107&lt;&gt;"",AI107&lt;&gt;""),IF(AV107&gt;AI107,"核增",IF(AV107&lt;AI107,"核减","不变")),"")&amp;TEXT(IF(AND(AV107&lt;&gt;"",AI107&lt;&gt;""),MAX(ABS(AV107),ABS(AI107))-MIN(ABS(AV107),ABS(AI107)),""),"0.00")</f>
        <v>核减71.92</v>
      </c>
      <c r="BB107" s="48"/>
      <c r="BC107" s="56"/>
      <c r="BD107" s="48"/>
      <c r="BE107" s="56"/>
      <c r="BF107" s="64"/>
      <c r="BG107" s="48"/>
      <c r="BH107" s="51"/>
      <c r="BI107" s="52"/>
      <c r="BJ107" s="51"/>
      <c r="BK107" s="52"/>
      <c r="BL107" s="40"/>
      <c r="BM107" s="55"/>
      <c r="BN107" s="63"/>
      <c r="BO107" s="48"/>
      <c r="BP107" s="56"/>
      <c r="BQ107" s="48"/>
      <c r="BR107" s="56"/>
      <c r="BS107" s="40"/>
      <c r="BT107" s="40"/>
      <c r="BU107" s="51"/>
      <c r="BV107" s="52"/>
      <c r="BW107" s="51"/>
      <c r="BX107" s="52"/>
      <c r="BY107" s="40"/>
      <c r="BZ107" s="55"/>
    </row>
    <row r="108" ht="13.5" customHeight="1" spans="1:78">
      <c r="A108" s="25" t="s">
        <v>198</v>
      </c>
      <c r="B108" s="5" t="s">
        <v>93</v>
      </c>
      <c r="C108" s="6"/>
      <c r="D108" s="7"/>
      <c r="E108" s="32" t="str">
        <f t="shared" si="155"/>
        <v/>
      </c>
      <c r="F108" s="30"/>
      <c r="G108" s="6">
        <v>45898</v>
      </c>
      <c r="H108" s="238">
        <v>45916</v>
      </c>
      <c r="I108" s="38" t="str">
        <f>IF(G108&lt;&gt;0,IF(H108&lt;&gt;0,"0","1"),"")</f>
        <v>0</v>
      </c>
      <c r="J108" s="30">
        <f ca="1">IF(I108="0",NETWORKDAYS(G108,H108,$CB$3:$CB$19),NETWORKDAYS(G108,'2025整理'!$S$1,$CB$3:$CB$19))</f>
        <v>13</v>
      </c>
      <c r="K108" s="6"/>
      <c r="L108" s="7"/>
      <c r="M108" s="40"/>
      <c r="N108" s="30"/>
      <c r="O108" s="6">
        <v>45960</v>
      </c>
      <c r="P108" s="7">
        <v>45967</v>
      </c>
      <c r="Q108" s="38" t="str">
        <f>IF(O108&lt;&gt;0,IF(P108&lt;&gt;0,"0","1"),"")</f>
        <v>0</v>
      </c>
      <c r="R108" s="30">
        <f ca="1">IF(Q108="0",NETWORKDAYS(O108,P108,$CB$3:$CB$19),NETWORKDAYS(O108,'2025整理'!$S$1,$CB$3:$CB$19))</f>
        <v>6</v>
      </c>
      <c r="S108" s="6"/>
      <c r="T108" s="7"/>
      <c r="U108" s="38"/>
      <c r="V108" s="30"/>
      <c r="W108" s="6"/>
      <c r="X108" s="7"/>
      <c r="Y108" s="38"/>
      <c r="Z108" s="30"/>
      <c r="AA108" s="16">
        <v>45789</v>
      </c>
      <c r="AB108" s="7">
        <v>45799</v>
      </c>
      <c r="AC108" s="40" t="str">
        <f>IF(AA108&lt;&gt;0,IF(AB108&lt;&gt;0,"0","1"),"")</f>
        <v>0</v>
      </c>
      <c r="AD108" s="30">
        <f ca="1">IF(AC108="0",NETWORKDAYS(AA108,AB108,$CB$3:$CB$19),NETWORKDAYS(AA108,'2025整理'!$S$1,$CB$3:$CB$19))</f>
        <v>9</v>
      </c>
      <c r="AE108" s="48" t="s">
        <v>97</v>
      </c>
      <c r="AF108" s="47" t="s">
        <v>82</v>
      </c>
      <c r="AG108" s="50" t="s">
        <v>97</v>
      </c>
      <c r="AH108" s="51"/>
      <c r="AI108" s="52"/>
      <c r="AJ108" s="51"/>
      <c r="AK108" s="52"/>
      <c r="AL108" s="40"/>
      <c r="AM108" s="40"/>
      <c r="AN108" s="40"/>
      <c r="AO108" s="48">
        <v>1218.61</v>
      </c>
      <c r="AP108" s="56">
        <v>1390.82</v>
      </c>
      <c r="AQ108" s="48">
        <v>1206.87</v>
      </c>
      <c r="AR108" s="56">
        <v>1377.58</v>
      </c>
      <c r="AS108" s="55" t="str">
        <f>IF(AND(AR108&lt;&gt;"",AQ108&lt;&gt;""),IF(AR108&gt;AQ108,"核增",IF(AR108&lt;AQ108,"核减","不变")),"")</f>
        <v>核增</v>
      </c>
      <c r="AT108" s="55">
        <f>IF(AND(AR108&lt;&gt;"",AQ108&lt;&gt;""),MAX(ABS(AR108),ABS(AQ108))-MIN(ABS(AR108),ABS(AQ108)),"")</f>
        <v>170.71</v>
      </c>
      <c r="AU108" s="51"/>
      <c r="AV108" s="52"/>
      <c r="AW108" s="51"/>
      <c r="AX108" s="52"/>
      <c r="AY108" s="40"/>
      <c r="AZ108" s="55"/>
      <c r="BA108" s="63"/>
      <c r="BB108" s="48">
        <v>1274.07</v>
      </c>
      <c r="BC108" s="56">
        <v>1380.68</v>
      </c>
      <c r="BD108" s="48">
        <v>1263.07</v>
      </c>
      <c r="BE108" s="56">
        <v>1368.84</v>
      </c>
      <c r="BF108" s="64" t="str">
        <f>IF(AND(BE108&lt;&gt;"",BD108&lt;&gt;""),IF(BE108&gt;BD108,"核增",IF(BE108&lt;BD108,"核减","不变")),"")</f>
        <v>核增</v>
      </c>
      <c r="BG108" s="52">
        <f>IF(AND(BE108&lt;&gt;"",BD108&lt;&gt;""),MAX(ABS(BE108),ABS(BD108))-MIN(ABS(BE108),ABS(BD108)),"")</f>
        <v>105.77</v>
      </c>
      <c r="BH108" s="51"/>
      <c r="BI108" s="52"/>
      <c r="BJ108" s="51"/>
      <c r="BK108" s="52"/>
      <c r="BL108" s="40"/>
      <c r="BM108" s="55"/>
      <c r="BN108" s="63"/>
      <c r="BO108" s="48"/>
      <c r="BP108" s="56"/>
      <c r="BQ108" s="48"/>
      <c r="BR108" s="56"/>
      <c r="BS108" s="40"/>
      <c r="BT108" s="40"/>
      <c r="BU108" s="51">
        <f t="shared" ref="BU108:BX108" si="161">ABS(-237.01)</f>
        <v>237.01</v>
      </c>
      <c r="BV108" s="52">
        <f t="shared" si="161"/>
        <v>237.01</v>
      </c>
      <c r="BW108" s="51">
        <f t="shared" si="161"/>
        <v>237.01</v>
      </c>
      <c r="BX108" s="52">
        <f t="shared" si="161"/>
        <v>237.01</v>
      </c>
      <c r="BY108" s="40" t="s">
        <v>150</v>
      </c>
      <c r="BZ108" s="55">
        <v>0</v>
      </c>
    </row>
    <row r="109" ht="13.5" customHeight="1" spans="1:78">
      <c r="A109" s="25" t="s">
        <v>199</v>
      </c>
      <c r="B109" s="5" t="s">
        <v>81</v>
      </c>
      <c r="C109" s="6"/>
      <c r="D109" s="7"/>
      <c r="E109" s="32" t="str">
        <f t="shared" si="155"/>
        <v/>
      </c>
      <c r="F109" s="30"/>
      <c r="G109" s="6"/>
      <c r="H109" s="7"/>
      <c r="I109" s="38"/>
      <c r="J109" s="30"/>
      <c r="K109" s="6">
        <v>45789</v>
      </c>
      <c r="L109" s="7">
        <v>45818</v>
      </c>
      <c r="M109" s="40" t="str">
        <f>IF(K109&lt;&gt;0,IF(L109&lt;&gt;0,"0","1"),"")</f>
        <v>0</v>
      </c>
      <c r="N109" s="242">
        <f ca="1">IF(M109="0",NETWORKDAYS(K109,L109,$CB$3:$CB$19),NETWORKDAYS(K109,'2025整理'!$S$1,$CB$3:$CB$19))</f>
        <v>22</v>
      </c>
      <c r="O109" s="6"/>
      <c r="P109" s="7"/>
      <c r="Q109" s="38"/>
      <c r="R109" s="30"/>
      <c r="S109" s="6">
        <v>45917</v>
      </c>
      <c r="T109" s="238">
        <v>45958</v>
      </c>
      <c r="U109" s="38" t="str">
        <f>IF(S109&lt;&gt;0,IF(T109&lt;&gt;0,"0","1"),"")</f>
        <v>0</v>
      </c>
      <c r="V109" s="30">
        <f ca="1">IF(U109="0",NETWORKDAYS(S109,T109,$CB$3:$CB$19),NETWORKDAYS(S109,'2025整理'!$S$1,$CB$3:$CB$19))</f>
        <v>30</v>
      </c>
      <c r="W109" s="6"/>
      <c r="X109" s="7"/>
      <c r="Y109" s="38"/>
      <c r="Z109" s="30"/>
      <c r="AA109" s="16"/>
      <c r="AB109" s="7"/>
      <c r="AC109" s="40"/>
      <c r="AD109" s="30"/>
      <c r="AE109" s="48" t="s">
        <v>82</v>
      </c>
      <c r="AF109" s="47" t="s">
        <v>82</v>
      </c>
      <c r="AG109" s="50" t="s">
        <v>91</v>
      </c>
      <c r="AH109" s="51"/>
      <c r="AI109" s="52">
        <v>4140.83</v>
      </c>
      <c r="AJ109" s="51"/>
      <c r="AK109" s="52">
        <v>4069.75</v>
      </c>
      <c r="AL109" s="40"/>
      <c r="AM109" s="40"/>
      <c r="AN109" s="40"/>
      <c r="AO109" s="48"/>
      <c r="AP109" s="56"/>
      <c r="AQ109" s="48"/>
      <c r="AR109" s="56"/>
      <c r="AS109" s="40"/>
      <c r="AT109" s="40"/>
      <c r="AU109" s="51">
        <v>4140.78</v>
      </c>
      <c r="AV109" s="52">
        <v>4044.12</v>
      </c>
      <c r="AW109" s="51">
        <v>4076.7</v>
      </c>
      <c r="AX109" s="52">
        <v>3981.54</v>
      </c>
      <c r="AY109" s="40" t="str">
        <f>IF(AND(AX109&lt;&gt;"",AW109&lt;&gt;""),IF(AX109&gt;AW109,"核增",IF(AX109&lt;AW109,"核减","不变")),"")</f>
        <v>核减</v>
      </c>
      <c r="AZ109" s="55">
        <f>IF(AND(AX109&lt;&gt;"",AW109&lt;&gt;""),MAX(ABS(AX109),ABS(AW109))-MIN(ABS(AX109),ABS(AW109)),"")</f>
        <v>95.1599999999999</v>
      </c>
      <c r="BA109" s="63" t="str">
        <f>IF(AND(AV109&lt;&gt;"",AI109&lt;&gt;""),IF(AV109&gt;AI109,"核增",IF(AV109&lt;AI109,"核减","不变")),"")&amp;TEXT(IF(AND(AV109&lt;&gt;"",AI109&lt;&gt;""),MAX(ABS(AV109),ABS(AI109))-MIN(ABS(AV109),ABS(AI109)),""),"0.00")</f>
        <v>核减96.71</v>
      </c>
      <c r="BB109" s="48"/>
      <c r="BC109" s="56"/>
      <c r="BD109" s="48"/>
      <c r="BE109" s="56"/>
      <c r="BF109" s="64"/>
      <c r="BG109" s="48"/>
      <c r="BH109" s="51">
        <v>3997.49</v>
      </c>
      <c r="BI109" s="52">
        <v>3953.31</v>
      </c>
      <c r="BJ109" s="51">
        <v>3935.63</v>
      </c>
      <c r="BK109" s="52">
        <v>3892.13</v>
      </c>
      <c r="BL109" s="40" t="str">
        <f>IF(AND(BK109&lt;&gt;"",BJ109&lt;&gt;""),IF(BK109&gt;BJ109,"核增",IF(BK109&lt;BJ109,"核减","不变")),"")</f>
        <v>核减</v>
      </c>
      <c r="BM109" s="55">
        <f>IF(AND(BK109&lt;&gt;"",BJ109&lt;&gt;""),MAX(ABS(BK109),ABS(BJ109))-MIN(ABS(BK109),ABS(BJ109)),"")</f>
        <v>43.5</v>
      </c>
      <c r="BN109" s="63" t="str">
        <f>IF(AND(BI109&lt;&gt;"",AV109&lt;&gt;""),IF(BI109&gt;AV109,"核增",IF(BI109&lt;AV109,"核减","不变")),"")&amp;TEXT(IF(AND(BI109&lt;&gt;"",AV109&lt;&gt;""),MAX(ABS(BI109),ABS(AV109))-MIN(ABS(BI109),ABS(AV109)),""),"0.00")</f>
        <v>核减90.81</v>
      </c>
      <c r="BO109" s="48"/>
      <c r="BP109" s="56"/>
      <c r="BQ109" s="48"/>
      <c r="BR109" s="56"/>
      <c r="BS109" s="40"/>
      <c r="BT109" s="40"/>
      <c r="BU109" s="51"/>
      <c r="BV109" s="52"/>
      <c r="BW109" s="51"/>
      <c r="BX109" s="52"/>
      <c r="BY109" s="40"/>
      <c r="BZ109" s="55"/>
    </row>
    <row r="110" ht="13.5" customHeight="1" spans="1:78">
      <c r="A110" s="25" t="s">
        <v>200</v>
      </c>
      <c r="B110" s="5" t="s">
        <v>93</v>
      </c>
      <c r="C110" s="6"/>
      <c r="D110" s="7"/>
      <c r="E110" s="32" t="str">
        <f t="shared" si="155"/>
        <v/>
      </c>
      <c r="F110" s="30"/>
      <c r="G110" s="6"/>
      <c r="H110" s="7"/>
      <c r="I110" s="38"/>
      <c r="J110" s="30"/>
      <c r="K110" s="6"/>
      <c r="L110" s="7"/>
      <c r="M110" s="40"/>
      <c r="N110" s="30"/>
      <c r="O110" s="6">
        <v>45903</v>
      </c>
      <c r="P110" s="7">
        <v>45912</v>
      </c>
      <c r="Q110" s="38" t="str">
        <f>IF(O110&lt;&gt;0,IF(P110&lt;&gt;0,"0","1"),"")</f>
        <v>0</v>
      </c>
      <c r="R110" s="30">
        <f ca="1">IF(Q110="0",NETWORKDAYS(O110,P110,$CB$3:$CB$19),NETWORKDAYS(O110,'2025整理'!$S$1,$CB$3:$CB$19))</f>
        <v>8</v>
      </c>
      <c r="S110" s="6"/>
      <c r="T110" s="7"/>
      <c r="U110" s="38"/>
      <c r="V110" s="30"/>
      <c r="W110" s="6">
        <v>45946</v>
      </c>
      <c r="X110" s="7">
        <v>45947</v>
      </c>
      <c r="Y110" s="38" t="str">
        <f t="shared" ref="Y110:Y113" si="162">IF(W110&lt;&gt;0,IF(X110&lt;&gt;0,"0","1"),"")</f>
        <v>0</v>
      </c>
      <c r="Z110" s="30">
        <f ca="1">IF(Y110="0",NETWORKDAYS(W110,X110,$CB$3:$CB$19),NETWORKDAYS(W110,'2025整理'!$S$1,$CB$3:$CB$19))</f>
        <v>2</v>
      </c>
      <c r="AA110" s="16"/>
      <c r="AB110" s="7"/>
      <c r="AC110" s="40"/>
      <c r="AD110" s="30"/>
      <c r="AE110" s="48" t="s">
        <v>90</v>
      </c>
      <c r="AF110" s="47" t="s">
        <v>90</v>
      </c>
      <c r="AG110" s="50" t="s">
        <v>91</v>
      </c>
      <c r="AH110" s="51"/>
      <c r="AI110" s="52"/>
      <c r="AJ110" s="51"/>
      <c r="AK110" s="52"/>
      <c r="AL110" s="40"/>
      <c r="AM110" s="40"/>
      <c r="AN110" s="40"/>
      <c r="AO110" s="48"/>
      <c r="AP110" s="56"/>
      <c r="AQ110" s="48"/>
      <c r="AR110" s="56"/>
      <c r="AS110" s="40"/>
      <c r="AT110" s="40"/>
      <c r="AU110" s="51"/>
      <c r="AV110" s="52">
        <v>2824.69</v>
      </c>
      <c r="AW110" s="51"/>
      <c r="AX110" s="52">
        <v>2801.1</v>
      </c>
      <c r="AY110" s="40"/>
      <c r="AZ110" s="55"/>
      <c r="BA110" s="63"/>
      <c r="BB110" s="48">
        <v>3094.63</v>
      </c>
      <c r="BC110" s="56">
        <v>3094.63</v>
      </c>
      <c r="BD110" s="48">
        <v>3068.79</v>
      </c>
      <c r="BE110" s="56">
        <v>3068.79</v>
      </c>
      <c r="BF110" s="64" t="str">
        <f>IF(AND(BE110&lt;&gt;"",BD110&lt;&gt;""),IF(BE110&gt;BD110,"核增",IF(BE110&lt;BD110,"核减","不变")),"")</f>
        <v>不变</v>
      </c>
      <c r="BG110" s="52">
        <f>IF(AND(BE110&lt;&gt;"",BD110&lt;&gt;""),MAX(ABS(BE110),ABS(BD110))-MIN(ABS(BE110),ABS(BD110)),"")</f>
        <v>0</v>
      </c>
      <c r="BH110" s="51"/>
      <c r="BI110" s="52"/>
      <c r="BJ110" s="51"/>
      <c r="BK110" s="52"/>
      <c r="BL110" s="40"/>
      <c r="BM110" s="55"/>
      <c r="BN110" s="63"/>
      <c r="BO110" s="48">
        <v>3068.79</v>
      </c>
      <c r="BP110" s="56">
        <v>3072.46</v>
      </c>
      <c r="BQ110" s="48">
        <v>3046.8</v>
      </c>
      <c r="BR110" s="56">
        <v>3046.8</v>
      </c>
      <c r="BS110" s="40" t="str">
        <f t="shared" ref="BS110:BS111" si="163">IF(AND(BR110&lt;&gt;"",BQ110&lt;&gt;""),IF(BR110&gt;BQ110,"核增",IF(BR110&lt;BQ110,"核减","不变")),"")</f>
        <v>不变</v>
      </c>
      <c r="BT110" s="40">
        <f t="shared" ref="BT110:BT111" si="164">IF(AND(BR110&lt;&gt;"",BQ110&lt;&gt;""),MAX(ABS(BR110),ABS(BQ110))-MIN(ABS(BR110),ABS(BQ110)),"")</f>
        <v>0</v>
      </c>
      <c r="BU110" s="51"/>
      <c r="BV110" s="52"/>
      <c r="BW110" s="51"/>
      <c r="BX110" s="52"/>
      <c r="BY110" s="40"/>
      <c r="BZ110" s="55"/>
    </row>
    <row r="111" ht="13.5" customHeight="1" spans="1:78">
      <c r="A111" s="25" t="s">
        <v>201</v>
      </c>
      <c r="B111" s="5" t="s">
        <v>93</v>
      </c>
      <c r="C111" s="6"/>
      <c r="D111" s="7"/>
      <c r="E111" s="32" t="str">
        <f t="shared" si="155"/>
        <v/>
      </c>
      <c r="F111" s="30"/>
      <c r="G111" s="6"/>
      <c r="H111" s="7"/>
      <c r="I111" s="38"/>
      <c r="J111" s="30"/>
      <c r="K111" s="6"/>
      <c r="L111" s="7"/>
      <c r="M111" s="40"/>
      <c r="N111" s="30"/>
      <c r="O111" s="6"/>
      <c r="P111" s="7"/>
      <c r="Q111" s="38"/>
      <c r="R111" s="30"/>
      <c r="S111" s="6"/>
      <c r="T111" s="7"/>
      <c r="U111" s="38"/>
      <c r="V111" s="30"/>
      <c r="W111" s="6">
        <v>45889</v>
      </c>
      <c r="X111" s="7">
        <v>45890</v>
      </c>
      <c r="Y111" s="38" t="str">
        <f t="shared" si="162"/>
        <v>0</v>
      </c>
      <c r="Z111" s="30">
        <f ca="1">IF(Y111="0",NETWORKDAYS(W111,X111,$CB$3:$CB$19),NETWORKDAYS(W111,'2025整理'!$S$1,$CB$3:$CB$19))</f>
        <v>2</v>
      </c>
      <c r="AA111" s="16"/>
      <c r="AB111" s="7"/>
      <c r="AC111" s="40"/>
      <c r="AD111" s="30"/>
      <c r="AE111" s="48" t="s">
        <v>87</v>
      </c>
      <c r="AF111" s="47" t="s">
        <v>91</v>
      </c>
      <c r="AG111" s="50" t="s">
        <v>87</v>
      </c>
      <c r="AH111" s="51"/>
      <c r="AI111" s="52"/>
      <c r="AJ111" s="51"/>
      <c r="AK111" s="52"/>
      <c r="AL111" s="40"/>
      <c r="AM111" s="40"/>
      <c r="AN111" s="40"/>
      <c r="AO111" s="48"/>
      <c r="AP111" s="56"/>
      <c r="AQ111" s="48"/>
      <c r="AR111" s="56"/>
      <c r="AS111" s="40"/>
      <c r="AT111" s="40"/>
      <c r="AU111" s="51"/>
      <c r="AV111" s="52"/>
      <c r="AW111" s="51"/>
      <c r="AX111" s="52"/>
      <c r="AY111" s="40"/>
      <c r="AZ111" s="55"/>
      <c r="BA111" s="63"/>
      <c r="BB111" s="48"/>
      <c r="BC111" s="56"/>
      <c r="BD111" s="48"/>
      <c r="BE111" s="56"/>
      <c r="BF111" s="64"/>
      <c r="BG111" s="48"/>
      <c r="BH111" s="51"/>
      <c r="BI111" s="52">
        <v>831</v>
      </c>
      <c r="BJ111" s="51"/>
      <c r="BK111" s="52">
        <v>821</v>
      </c>
      <c r="BL111" s="40"/>
      <c r="BM111" s="55"/>
      <c r="BN111" s="63"/>
      <c r="BO111" s="48">
        <v>903</v>
      </c>
      <c r="BP111" s="56">
        <v>903</v>
      </c>
      <c r="BQ111" s="48">
        <v>889</v>
      </c>
      <c r="BR111" s="56">
        <v>889</v>
      </c>
      <c r="BS111" s="40" t="str">
        <f t="shared" si="163"/>
        <v>不变</v>
      </c>
      <c r="BT111" s="40">
        <f t="shared" si="164"/>
        <v>0</v>
      </c>
      <c r="BU111" s="51"/>
      <c r="BV111" s="52"/>
      <c r="BW111" s="51"/>
      <c r="BX111" s="52"/>
      <c r="BY111" s="40"/>
      <c r="BZ111" s="55"/>
    </row>
    <row r="112" ht="13.5" customHeight="1" spans="1:78">
      <c r="A112" s="25" t="s">
        <v>202</v>
      </c>
      <c r="B112" s="5" t="s">
        <v>85</v>
      </c>
      <c r="C112" s="6"/>
      <c r="D112" s="7"/>
      <c r="E112" s="32" t="str">
        <f t="shared" si="155"/>
        <v/>
      </c>
      <c r="F112" s="30"/>
      <c r="G112" s="6">
        <v>45958</v>
      </c>
      <c r="H112" s="7">
        <v>45960</v>
      </c>
      <c r="I112" s="38" t="str">
        <f>IF(G112&lt;&gt;0,IF(H112&lt;&gt;0,"0","1"),"")</f>
        <v>0</v>
      </c>
      <c r="J112" s="30">
        <f ca="1">IF(I112="0",NETWORKDAYS(G112,H112,$CB$3:$CB$19),NETWORKDAYS(G112,'2025整理'!$S$1,$CB$3:$CB$19))</f>
        <v>3</v>
      </c>
      <c r="K112" s="6"/>
      <c r="L112" s="7"/>
      <c r="M112" s="40"/>
      <c r="N112" s="30"/>
      <c r="O112" s="236">
        <v>46052</v>
      </c>
      <c r="P112" s="7"/>
      <c r="Q112" s="38" t="str">
        <f t="shared" ref="Q112:Q113" si="165">IF(O112&lt;&gt;0,IF(P112&lt;&gt;0,"0","1"),"")</f>
        <v>1</v>
      </c>
      <c r="R112" s="30">
        <f ca="1">IF(Q112="0",NETWORKDAYS(O112,P112,$CB$3:$CB$19),NETWORKDAYS(O112,'2025整理'!$S$1,$CB$3:$CB$19))</f>
        <v>-25</v>
      </c>
      <c r="S112" s="6"/>
      <c r="T112" s="7"/>
      <c r="U112" s="38"/>
      <c r="V112" s="30"/>
      <c r="W112" s="6"/>
      <c r="X112" s="7"/>
      <c r="Y112" s="38" t="str">
        <f t="shared" si="162"/>
        <v/>
      </c>
      <c r="Z112" s="30"/>
      <c r="AA112" s="16"/>
      <c r="AB112" s="7"/>
      <c r="AC112" s="40"/>
      <c r="AD112" s="30"/>
      <c r="AE112" s="48" t="s">
        <v>82</v>
      </c>
      <c r="AF112" s="47" t="s">
        <v>82</v>
      </c>
      <c r="AG112" s="50" t="s">
        <v>91</v>
      </c>
      <c r="AH112" s="51"/>
      <c r="AI112" s="52">
        <v>6912.9</v>
      </c>
      <c r="AJ112" s="51"/>
      <c r="AK112" s="52">
        <v>6787</v>
      </c>
      <c r="AL112" s="40"/>
      <c r="AM112" s="40"/>
      <c r="AN112" s="40"/>
      <c r="AO112" s="48">
        <v>9081.12</v>
      </c>
      <c r="AP112" s="56">
        <v>8950.24</v>
      </c>
      <c r="AQ112" s="48">
        <v>8914.31</v>
      </c>
      <c r="AR112" s="56">
        <v>8785.83</v>
      </c>
      <c r="AS112" s="55" t="str">
        <f>IF(AND(AR112&lt;&gt;"",AQ112&lt;&gt;""),IF(AR112&gt;AQ112,"核增",IF(AR112&lt;AQ112,"核减","不变")),"")</f>
        <v>核减</v>
      </c>
      <c r="AT112" s="55">
        <f>IF(AND(AR112&lt;&gt;"",AQ112&lt;&gt;""),MAX(ABS(AR112),ABS(AQ112))-MIN(ABS(AR112),ABS(AQ112)),"")</f>
        <v>128.48</v>
      </c>
      <c r="AU112" s="51"/>
      <c r="AV112" s="52"/>
      <c r="AW112" s="51"/>
      <c r="AX112" s="52"/>
      <c r="AY112" s="40"/>
      <c r="AZ112" s="55"/>
      <c r="BA112" s="63"/>
      <c r="BB112" s="48"/>
      <c r="BC112" s="56"/>
      <c r="BD112" s="48"/>
      <c r="BE112" s="56"/>
      <c r="BF112" s="64"/>
      <c r="BG112" s="48"/>
      <c r="BH112" s="51"/>
      <c r="BI112" s="52"/>
      <c r="BJ112" s="51"/>
      <c r="BK112" s="52"/>
      <c r="BL112" s="40"/>
      <c r="BM112" s="55"/>
      <c r="BN112" s="63"/>
      <c r="BO112" s="48"/>
      <c r="BP112" s="56"/>
      <c r="BQ112" s="48"/>
      <c r="BR112" s="56"/>
      <c r="BS112" s="40"/>
      <c r="BT112" s="40"/>
      <c r="BU112" s="51"/>
      <c r="BV112" s="52"/>
      <c r="BW112" s="51"/>
      <c r="BX112" s="52"/>
      <c r="BY112" s="40"/>
      <c r="BZ112" s="55"/>
    </row>
    <row r="113" ht="13.5" customHeight="1" spans="1:78">
      <c r="A113" s="25" t="s">
        <v>203</v>
      </c>
      <c r="B113" s="5" t="s">
        <v>81</v>
      </c>
      <c r="C113" s="6"/>
      <c r="D113" s="7"/>
      <c r="E113" s="32" t="str">
        <f t="shared" si="155"/>
        <v/>
      </c>
      <c r="F113" s="30"/>
      <c r="G113" s="6"/>
      <c r="H113" s="7"/>
      <c r="I113" s="38"/>
      <c r="J113" s="30"/>
      <c r="K113" s="6"/>
      <c r="L113" s="7"/>
      <c r="M113" s="40"/>
      <c r="N113" s="30"/>
      <c r="O113" s="6">
        <v>45924</v>
      </c>
      <c r="P113" s="7">
        <v>45929</v>
      </c>
      <c r="Q113" s="38" t="str">
        <f t="shared" si="165"/>
        <v>0</v>
      </c>
      <c r="R113" s="30">
        <f ca="1">IF(Q113="0",NETWORKDAYS(O113,P113,$CB$3:$CB$19),NETWORKDAYS(O113,'2025整理'!$S$1,$CB$3:$CB$19))</f>
        <v>4</v>
      </c>
      <c r="S113" s="6"/>
      <c r="T113" s="7"/>
      <c r="U113" s="38"/>
      <c r="V113" s="30"/>
      <c r="W113" s="236">
        <v>46052</v>
      </c>
      <c r="X113" s="7"/>
      <c r="Y113" s="38" t="str">
        <f t="shared" si="162"/>
        <v>1</v>
      </c>
      <c r="Z113" s="30">
        <f ca="1">IF(Y113="0",NETWORKDAYS(W113,X113,$CB$3:$CB$19),NETWORKDAYS(W113,'2025整理'!$S$1,$CB$3:$CB$19))</f>
        <v>-25</v>
      </c>
      <c r="AA113" s="16"/>
      <c r="AB113" s="7"/>
      <c r="AC113" s="40"/>
      <c r="AD113" s="30"/>
      <c r="AE113" s="48" t="s">
        <v>82</v>
      </c>
      <c r="AF113" s="47" t="s">
        <v>82</v>
      </c>
      <c r="AG113" s="50" t="s">
        <v>91</v>
      </c>
      <c r="AH113" s="51"/>
      <c r="AI113" s="52"/>
      <c r="AJ113" s="51"/>
      <c r="AK113" s="52"/>
      <c r="AL113" s="40"/>
      <c r="AM113" s="40"/>
      <c r="AN113" s="40"/>
      <c r="AO113" s="48"/>
      <c r="AP113" s="56"/>
      <c r="AQ113" s="48"/>
      <c r="AR113" s="56"/>
      <c r="AS113" s="40"/>
      <c r="AT113" s="40"/>
      <c r="AU113" s="51"/>
      <c r="AV113" s="52">
        <v>3640.3</v>
      </c>
      <c r="AW113" s="51"/>
      <c r="AX113" s="52">
        <v>3609.91</v>
      </c>
      <c r="AY113" s="40"/>
      <c r="AZ113" s="55"/>
      <c r="BA113" s="63"/>
      <c r="BB113" s="48">
        <v>3756.75</v>
      </c>
      <c r="BC113" s="56">
        <v>3756.75</v>
      </c>
      <c r="BD113" s="48">
        <v>3725.38</v>
      </c>
      <c r="BE113" s="56">
        <v>3725.38</v>
      </c>
      <c r="BF113" s="64" t="str">
        <f>IF(AND(BE113&lt;&gt;"",BD113&lt;&gt;""),IF(BE113&gt;BD113,"核增",IF(BE113&lt;BD113,"核减","不变")),"")</f>
        <v>不变</v>
      </c>
      <c r="BG113" s="52">
        <f>IF(AND(BE113&lt;&gt;"",BD113&lt;&gt;""),MAX(ABS(BE113),ABS(BD113))-MIN(ABS(BE113),ABS(BD113)),"")</f>
        <v>0</v>
      </c>
      <c r="BH113" s="51"/>
      <c r="BI113" s="52"/>
      <c r="BJ113" s="51"/>
      <c r="BK113" s="52"/>
      <c r="BL113" s="40"/>
      <c r="BM113" s="55"/>
      <c r="BN113" s="63"/>
      <c r="BO113" s="48"/>
      <c r="BP113" s="56"/>
      <c r="BQ113" s="48"/>
      <c r="BR113" s="56"/>
      <c r="BS113" s="40"/>
      <c r="BT113" s="40"/>
      <c r="BU113" s="51"/>
      <c r="BV113" s="52"/>
      <c r="BW113" s="51"/>
      <c r="BX113" s="52"/>
      <c r="BY113" s="40"/>
      <c r="BZ113" s="55"/>
    </row>
    <row r="114" ht="13.5" customHeight="1" spans="1:78">
      <c r="A114" s="25" t="s">
        <v>204</v>
      </c>
      <c r="B114" s="5" t="s">
        <v>93</v>
      </c>
      <c r="C114" s="6">
        <v>45918</v>
      </c>
      <c r="D114" s="7">
        <v>45973</v>
      </c>
      <c r="E114" s="32" t="str">
        <f t="shared" si="155"/>
        <v>0</v>
      </c>
      <c r="F114" s="30">
        <f ca="1">IF(E114="0",NETWORKDAYS(C114,D114,$CB$3:$CB$19),NETWORKDAYS(C114,'2025整理'!$S$1,$CB$3:$CB$19))</f>
        <v>40</v>
      </c>
      <c r="G114" s="6"/>
      <c r="H114" s="7"/>
      <c r="I114" s="38"/>
      <c r="J114" s="30"/>
      <c r="K114" s="6"/>
      <c r="L114" s="7"/>
      <c r="M114" s="40"/>
      <c r="N114" s="30"/>
      <c r="O114" s="6"/>
      <c r="P114" s="7"/>
      <c r="Q114" s="38"/>
      <c r="R114" s="30"/>
      <c r="S114" s="6"/>
      <c r="T114" s="7"/>
      <c r="U114" s="38"/>
      <c r="V114" s="30"/>
      <c r="W114" s="6"/>
      <c r="X114" s="7"/>
      <c r="Y114" s="38"/>
      <c r="Z114" s="30"/>
      <c r="AA114" s="16"/>
      <c r="AB114" s="7"/>
      <c r="AC114" s="40"/>
      <c r="AD114" s="30"/>
      <c r="AE114" s="48" t="s">
        <v>90</v>
      </c>
      <c r="AF114" s="47" t="s">
        <v>90</v>
      </c>
      <c r="AG114" s="50" t="s">
        <v>87</v>
      </c>
      <c r="AH114" s="51">
        <v>3820.21</v>
      </c>
      <c r="AI114" s="52">
        <v>3787.18</v>
      </c>
      <c r="AJ114" s="51">
        <v>3775.02</v>
      </c>
      <c r="AK114" s="52">
        <v>3741.92</v>
      </c>
      <c r="AL114" s="40" t="str">
        <f>IF(AND(AK114&lt;&gt;"",AJ114&lt;&gt;""),IF(AK114&gt;AJ114,"核增",IF(AK114&lt;AJ114,"核减","不变")),"")</f>
        <v>核减</v>
      </c>
      <c r="AM114" s="40">
        <f>IF(AND(AI114&lt;&gt;"",AH114&lt;&gt;""),MAX(ABS(AI114),ABS(AH114))-MIN(ABS(AI114),ABS(AH114)),"")</f>
        <v>33.0300000000002</v>
      </c>
      <c r="AN114" s="40">
        <f>IF(AND(AK114&lt;&gt;"",AJ114&lt;&gt;""),MAX(ABS(AK114),ABS(AJ114))-MIN(ABS(AK114),ABS(AJ114)),"")</f>
        <v>33.0999999999999</v>
      </c>
      <c r="AO114" s="48"/>
      <c r="AP114" s="56"/>
      <c r="AQ114" s="48"/>
      <c r="AR114" s="56"/>
      <c r="AS114" s="40"/>
      <c r="AT114" s="40"/>
      <c r="AU114" s="51"/>
      <c r="AV114" s="52"/>
      <c r="AW114" s="51"/>
      <c r="AX114" s="52"/>
      <c r="AY114" s="40"/>
      <c r="AZ114" s="55"/>
      <c r="BA114" s="63"/>
      <c r="BB114" s="48"/>
      <c r="BC114" s="56"/>
      <c r="BD114" s="48"/>
      <c r="BE114" s="56"/>
      <c r="BF114" s="64"/>
      <c r="BG114" s="48"/>
      <c r="BH114" s="51"/>
      <c r="BI114" s="52"/>
      <c r="BJ114" s="51"/>
      <c r="BK114" s="52"/>
      <c r="BL114" s="40"/>
      <c r="BM114" s="55"/>
      <c r="BN114" s="63"/>
      <c r="BO114" s="48"/>
      <c r="BP114" s="56"/>
      <c r="BQ114" s="48"/>
      <c r="BR114" s="56"/>
      <c r="BS114" s="40"/>
      <c r="BT114" s="40"/>
      <c r="BU114" s="51"/>
      <c r="BV114" s="52"/>
      <c r="BW114" s="51"/>
      <c r="BX114" s="52"/>
      <c r="BY114" s="40"/>
      <c r="BZ114" s="55"/>
    </row>
    <row r="115" ht="13.5" customHeight="1" spans="1:78">
      <c r="A115" s="25" t="s">
        <v>205</v>
      </c>
      <c r="B115" s="5" t="s">
        <v>93</v>
      </c>
      <c r="C115" s="6"/>
      <c r="D115" s="7"/>
      <c r="E115" s="32"/>
      <c r="F115" s="30"/>
      <c r="G115" s="6"/>
      <c r="H115" s="7"/>
      <c r="I115" s="38"/>
      <c r="J115" s="30"/>
      <c r="K115" s="6"/>
      <c r="L115" s="7"/>
      <c r="M115" s="40"/>
      <c r="N115" s="30"/>
      <c r="O115" s="6"/>
      <c r="P115" s="7"/>
      <c r="Q115" s="38"/>
      <c r="R115" s="30"/>
      <c r="S115" s="6">
        <v>45798</v>
      </c>
      <c r="T115" s="7">
        <v>45806</v>
      </c>
      <c r="U115" s="38" t="str">
        <f>IF(S115&lt;&gt;0,IF(T115&lt;&gt;0,"0","1"),"")</f>
        <v>0</v>
      </c>
      <c r="V115" s="30">
        <f ca="1">IF(U115="0",NETWORKDAYS(S115,T115,$CB$3:$CB$19),NETWORKDAYS(S115,'2025整理'!$S$1,$CB$3:$CB$19))</f>
        <v>7</v>
      </c>
      <c r="W115" s="6"/>
      <c r="X115" s="7"/>
      <c r="Y115" s="38"/>
      <c r="Z115" s="30"/>
      <c r="AA115" s="16"/>
      <c r="AB115" s="7"/>
      <c r="AC115" s="40"/>
      <c r="AD115" s="30"/>
      <c r="AE115" s="48" t="s">
        <v>86</v>
      </c>
      <c r="AF115" s="47" t="s">
        <v>86</v>
      </c>
      <c r="AG115" s="50" t="s">
        <v>91</v>
      </c>
      <c r="AH115" s="51"/>
      <c r="AI115" s="52"/>
      <c r="AJ115" s="51"/>
      <c r="AK115" s="52"/>
      <c r="AL115" s="40"/>
      <c r="AM115" s="40"/>
      <c r="AN115" s="40"/>
      <c r="AO115" s="48"/>
      <c r="AP115" s="56"/>
      <c r="AQ115" s="48"/>
      <c r="AR115" s="56"/>
      <c r="AS115" s="40"/>
      <c r="AT115" s="40"/>
      <c r="AU115" s="51"/>
      <c r="AV115" s="52">
        <v>4061.51</v>
      </c>
      <c r="AW115" s="51"/>
      <c r="AX115" s="52">
        <v>3998.66</v>
      </c>
      <c r="AY115" s="40"/>
      <c r="AZ115" s="55"/>
      <c r="BA115" s="63"/>
      <c r="BB115" s="48"/>
      <c r="BC115" s="56"/>
      <c r="BD115" s="48"/>
      <c r="BE115" s="56"/>
      <c r="BF115" s="64"/>
      <c r="BG115" s="48"/>
      <c r="BH115" s="51">
        <v>3714.63</v>
      </c>
      <c r="BI115" s="52">
        <v>3714.81</v>
      </c>
      <c r="BJ115" s="51">
        <v>3657.15</v>
      </c>
      <c r="BK115" s="52">
        <v>3657.32</v>
      </c>
      <c r="BL115" s="40" t="str">
        <f>IF(AND(BK115&lt;&gt;"",BJ115&lt;&gt;""),IF(BK115&gt;BJ115,"核增",IF(BK115&lt;BJ115,"核减","不变")),"")</f>
        <v>核增</v>
      </c>
      <c r="BM115" s="55">
        <f>IF(AND(BK115&lt;&gt;"",BJ115&lt;&gt;""),MAX(ABS(BK115),ABS(BJ115))-MIN(ABS(BK115),ABS(BJ115)),"")</f>
        <v>0.170000000000073</v>
      </c>
      <c r="BN115" s="63" t="str">
        <f>IF(AND(BI115&lt;&gt;"",AV115&lt;&gt;""),IF(BI115&gt;AV115,"核增",IF(BI115&lt;AV115,"核减","不变")),"")&amp;TEXT(IF(AND(BI115&lt;&gt;"",AV115&lt;&gt;""),MAX(ABS(BI115),ABS(AV115))-MIN(ABS(BI115),ABS(AV115)),""),"0.00")</f>
        <v>核减346.70</v>
      </c>
      <c r="BO115" s="48"/>
      <c r="BP115" s="56"/>
      <c r="BQ115" s="48"/>
      <c r="BR115" s="56"/>
      <c r="BS115" s="40"/>
      <c r="BT115" s="40"/>
      <c r="BU115" s="51"/>
      <c r="BV115" s="52"/>
      <c r="BW115" s="51"/>
      <c r="BX115" s="52"/>
      <c r="BY115" s="40"/>
      <c r="BZ115" s="55"/>
    </row>
    <row r="116" ht="13.5" customHeight="1" spans="1:78">
      <c r="A116" s="25" t="s">
        <v>206</v>
      </c>
      <c r="B116" s="5" t="s">
        <v>81</v>
      </c>
      <c r="C116" s="6"/>
      <c r="D116" s="7"/>
      <c r="E116" s="32"/>
      <c r="F116" s="30"/>
      <c r="G116" s="6"/>
      <c r="H116" s="7"/>
      <c r="I116" s="38"/>
      <c r="J116" s="30"/>
      <c r="K116" s="6">
        <v>45825</v>
      </c>
      <c r="L116" s="7">
        <v>45839</v>
      </c>
      <c r="M116" s="38" t="str">
        <f>IF(K116&lt;&gt;0,IF(L116&lt;&gt;0,"0","1"),"")</f>
        <v>0</v>
      </c>
      <c r="N116" s="30">
        <f ca="1">IF(M116="0",NETWORKDAYS(K116,L116,$CB$3:$CB$19),NETWORKDAYS(K116,'2025整理'!$S$1,$CB$3:$CB$19))</f>
        <v>11</v>
      </c>
      <c r="O116" s="6"/>
      <c r="P116" s="7"/>
      <c r="Q116" s="38"/>
      <c r="R116" s="30"/>
      <c r="S116" s="6"/>
      <c r="T116" s="7"/>
      <c r="U116" s="38"/>
      <c r="V116" s="30"/>
      <c r="W116" s="6"/>
      <c r="X116" s="7"/>
      <c r="Y116" s="38"/>
      <c r="Z116" s="30"/>
      <c r="AA116" s="16"/>
      <c r="AB116" s="7"/>
      <c r="AC116" s="40"/>
      <c r="AD116" s="30"/>
      <c r="AE116" s="48" t="s">
        <v>82</v>
      </c>
      <c r="AF116" s="47" t="s">
        <v>82</v>
      </c>
      <c r="AG116" s="50" t="s">
        <v>83</v>
      </c>
      <c r="AH116" s="51"/>
      <c r="AI116" s="52">
        <v>3581.23</v>
      </c>
      <c r="AJ116" s="51"/>
      <c r="AK116" s="52">
        <v>3530.48</v>
      </c>
      <c r="AL116" s="40"/>
      <c r="AM116" s="40"/>
      <c r="AN116" s="40"/>
      <c r="AO116" s="48"/>
      <c r="AP116" s="56"/>
      <c r="AQ116" s="48"/>
      <c r="AR116" s="56"/>
      <c r="AS116" s="40"/>
      <c r="AT116" s="40"/>
      <c r="AU116" s="51">
        <v>3475.49</v>
      </c>
      <c r="AV116" s="52">
        <v>3485.01</v>
      </c>
      <c r="AW116" s="51">
        <v>3432.11</v>
      </c>
      <c r="AX116" s="52">
        <v>3441.39</v>
      </c>
      <c r="AY116" s="40" t="str">
        <f>IF(AND(AX116&lt;&gt;"",AW116&lt;&gt;""),IF(AX116&gt;AW116,"核增",IF(AX116&lt;AW116,"核减","不变")),"")</f>
        <v>核增</v>
      </c>
      <c r="AZ116" s="55">
        <f>IF(AND(AX116&lt;&gt;"",AW116&lt;&gt;""),MAX(ABS(AX116),ABS(AW116))-MIN(ABS(AX116),ABS(AW116)),"")</f>
        <v>9.27999999999975</v>
      </c>
      <c r="BA116" s="63" t="str">
        <f>IF(AND(AV116&lt;&gt;"",AI116&lt;&gt;""),IF(AV116&gt;AI116,"核增",IF(AV116&lt;AI116,"核减","不变")),"")&amp;TEXT(IF(AND(AV116&lt;&gt;"",AI116&lt;&gt;""),MAX(ABS(AV116),ABS(AI116))-MIN(ABS(AV116),ABS(AI116)),""),"0.00")</f>
        <v>核减96.22</v>
      </c>
      <c r="BB116" s="48"/>
      <c r="BC116" s="56"/>
      <c r="BD116" s="48"/>
      <c r="BE116" s="56"/>
      <c r="BF116" s="64"/>
      <c r="BG116" s="48"/>
      <c r="BH116" s="51"/>
      <c r="BI116" s="52"/>
      <c r="BJ116" s="51"/>
      <c r="BK116" s="52"/>
      <c r="BL116" s="40"/>
      <c r="BM116" s="55"/>
      <c r="BN116" s="63"/>
      <c r="BO116" s="48"/>
      <c r="BP116" s="56"/>
      <c r="BQ116" s="48"/>
      <c r="BR116" s="56"/>
      <c r="BS116" s="40"/>
      <c r="BT116" s="40"/>
      <c r="BU116" s="51"/>
      <c r="BV116" s="52"/>
      <c r="BW116" s="51"/>
      <c r="BX116" s="52"/>
      <c r="BY116" s="40"/>
      <c r="BZ116" s="55"/>
    </row>
    <row r="117" ht="13.5" customHeight="1" spans="1:78">
      <c r="A117" s="25" t="s">
        <v>207</v>
      </c>
      <c r="B117" s="5" t="s">
        <v>85</v>
      </c>
      <c r="C117" s="6"/>
      <c r="D117" s="7"/>
      <c r="E117" s="32"/>
      <c r="F117" s="30"/>
      <c r="G117" s="6"/>
      <c r="H117" s="7"/>
      <c r="I117" s="38"/>
      <c r="J117" s="30"/>
      <c r="K117" s="6"/>
      <c r="L117" s="7"/>
      <c r="M117" s="40"/>
      <c r="N117" s="30"/>
      <c r="O117" s="6">
        <v>45813</v>
      </c>
      <c r="P117" s="7">
        <v>45828</v>
      </c>
      <c r="Q117" s="38" t="str">
        <f>IF(O117&lt;&gt;0,IF(P117&lt;&gt;0,"0","1"),"")</f>
        <v>0</v>
      </c>
      <c r="R117" s="30">
        <f ca="1">IF(Q117="0",NETWORKDAYS(O117,P117,$CB$3:$CB$19),NETWORKDAYS(O117,'2025整理'!$S$1,$CB$3:$CB$19))</f>
        <v>12</v>
      </c>
      <c r="S117" s="6"/>
      <c r="T117" s="7"/>
      <c r="U117" s="38"/>
      <c r="V117" s="30"/>
      <c r="W117" s="6"/>
      <c r="X117" s="7"/>
      <c r="Y117" s="38"/>
      <c r="Z117" s="30"/>
      <c r="AA117" s="241"/>
      <c r="AB117" s="7"/>
      <c r="AC117" s="40"/>
      <c r="AD117" s="30"/>
      <c r="AE117" s="48" t="s">
        <v>82</v>
      </c>
      <c r="AF117" s="47" t="s">
        <v>82</v>
      </c>
      <c r="AG117" s="50" t="s">
        <v>97</v>
      </c>
      <c r="AH117" s="51"/>
      <c r="AI117" s="52">
        <v>25794.35</v>
      </c>
      <c r="AJ117" s="51"/>
      <c r="AK117" s="52">
        <v>25320.54</v>
      </c>
      <c r="AL117" s="40"/>
      <c r="AM117" s="40"/>
      <c r="AN117" s="40"/>
      <c r="AO117" s="48"/>
      <c r="AP117" s="56"/>
      <c r="AQ117" s="48"/>
      <c r="AR117" s="56"/>
      <c r="AS117" s="40"/>
      <c r="AT117" s="40"/>
      <c r="AU117" s="51"/>
      <c r="AV117" s="52"/>
      <c r="AW117" s="51"/>
      <c r="AX117" s="52"/>
      <c r="AY117" s="40"/>
      <c r="AZ117" s="55"/>
      <c r="BA117" s="63"/>
      <c r="BB117" s="48">
        <v>25759.24</v>
      </c>
      <c r="BC117" s="56">
        <v>25744.06</v>
      </c>
      <c r="BD117" s="48">
        <v>25286.07</v>
      </c>
      <c r="BE117" s="56">
        <v>25271.18</v>
      </c>
      <c r="BF117" s="64" t="str">
        <f>IF(AND(BE117&lt;&gt;"",BD117&lt;&gt;""),IF(BE117&gt;BD117,"核增",IF(BE117&lt;BD117,"核减","不变")),"")</f>
        <v>核减</v>
      </c>
      <c r="BG117" s="48">
        <f>IF(AND(BE117&lt;&gt;"",BD117&lt;&gt;""),MAX(ABS(BE117),ABS(BD117))-MIN(ABS(BE117),ABS(BD117)),"")</f>
        <v>14.8899999999994</v>
      </c>
      <c r="BH117" s="51"/>
      <c r="BI117" s="52"/>
      <c r="BJ117" s="51"/>
      <c r="BK117" s="52"/>
      <c r="BL117" s="40"/>
      <c r="BM117" s="55"/>
      <c r="BN117" s="63"/>
      <c r="BO117" s="48"/>
      <c r="BP117" s="56"/>
      <c r="BQ117" s="48"/>
      <c r="BR117" s="56"/>
      <c r="BS117" s="40"/>
      <c r="BT117" s="40"/>
      <c r="BU117" s="51"/>
      <c r="BV117" s="52"/>
      <c r="BW117" s="51"/>
      <c r="BX117" s="52"/>
      <c r="BY117" s="40"/>
      <c r="BZ117" s="55"/>
    </row>
    <row r="118" ht="13.5" customHeight="1" spans="1:78">
      <c r="A118" s="25" t="s">
        <v>208</v>
      </c>
      <c r="B118" s="5" t="s">
        <v>85</v>
      </c>
      <c r="C118" s="6">
        <v>45832</v>
      </c>
      <c r="D118" s="7">
        <v>45853</v>
      </c>
      <c r="E118" s="32" t="str">
        <f t="shared" ref="E118:E119" si="166">IF(C118&lt;&gt;0,IF(D118&lt;&gt;0,"0","1"),"")</f>
        <v>0</v>
      </c>
      <c r="F118" s="30">
        <f ca="1">IF(E118="0",NETWORKDAYS(C118,D118,$CB$3:$CB$19),NETWORKDAYS(C118,'2025整理'!$S$1,$CB$3:$CB$19))</f>
        <v>16</v>
      </c>
      <c r="G118" s="6"/>
      <c r="H118" s="7"/>
      <c r="I118" s="38"/>
      <c r="J118" s="30"/>
      <c r="K118" s="6"/>
      <c r="L118" s="7"/>
      <c r="M118" s="40"/>
      <c r="N118" s="30"/>
      <c r="O118" s="6"/>
      <c r="P118" s="7"/>
      <c r="Q118" s="38"/>
      <c r="R118" s="30"/>
      <c r="S118" s="6"/>
      <c r="T118" s="7"/>
      <c r="U118" s="38"/>
      <c r="V118" s="30"/>
      <c r="W118" s="6"/>
      <c r="X118" s="7"/>
      <c r="Y118" s="38"/>
      <c r="Z118" s="30"/>
      <c r="AA118" s="241"/>
      <c r="AB118" s="7"/>
      <c r="AC118" s="40"/>
      <c r="AD118" s="30"/>
      <c r="AE118" s="48" t="s">
        <v>90</v>
      </c>
      <c r="AF118" s="47" t="s">
        <v>90</v>
      </c>
      <c r="AG118" s="50" t="s">
        <v>91</v>
      </c>
      <c r="AH118" s="51">
        <v>4043.59</v>
      </c>
      <c r="AI118" s="52">
        <v>3676.52</v>
      </c>
      <c r="AJ118" s="51">
        <v>3974.18</v>
      </c>
      <c r="AK118" s="52">
        <v>3613.41</v>
      </c>
      <c r="AL118" s="40" t="str">
        <f>IF(AND(AK118&lt;&gt;"",AJ118&lt;&gt;""),IF(AK118&gt;AJ118,"核增",IF(AK118&lt;AJ118,"核减","不变")),"")</f>
        <v>核减</v>
      </c>
      <c r="AM118" s="40">
        <f>IF(AND(AI118&lt;&gt;"",AH118&lt;&gt;""),MAX(ABS(AI118),ABS(AH118))-MIN(ABS(AI118),ABS(AH118)),"")</f>
        <v>367.07</v>
      </c>
      <c r="AN118" s="40">
        <f>IF(AND(AK118&lt;&gt;"",AJ118&lt;&gt;""),MAX(ABS(AK118),ABS(AJ118))-MIN(ABS(AK118),ABS(AJ118)),"")</f>
        <v>360.77</v>
      </c>
      <c r="AO118" s="48"/>
      <c r="AP118" s="56"/>
      <c r="AQ118" s="48"/>
      <c r="AR118" s="56"/>
      <c r="AS118" s="40"/>
      <c r="AT118" s="40"/>
      <c r="AU118" s="51"/>
      <c r="AV118" s="52"/>
      <c r="AW118" s="51"/>
      <c r="AX118" s="52"/>
      <c r="AY118" s="40"/>
      <c r="AZ118" s="55"/>
      <c r="BA118" s="63"/>
      <c r="BB118" s="48"/>
      <c r="BC118" s="56"/>
      <c r="BD118" s="48"/>
      <c r="BE118" s="56"/>
      <c r="BF118" s="64"/>
      <c r="BG118" s="48"/>
      <c r="BH118" s="51"/>
      <c r="BI118" s="52"/>
      <c r="BJ118" s="51"/>
      <c r="BK118" s="52"/>
      <c r="BL118" s="40"/>
      <c r="BM118" s="55"/>
      <c r="BN118" s="63"/>
      <c r="BO118" s="48"/>
      <c r="BP118" s="56"/>
      <c r="BQ118" s="48"/>
      <c r="BR118" s="56"/>
      <c r="BS118" s="40"/>
      <c r="BT118" s="40"/>
      <c r="BU118" s="51"/>
      <c r="BV118" s="52"/>
      <c r="BW118" s="51"/>
      <c r="BX118" s="52"/>
      <c r="BY118" s="40"/>
      <c r="BZ118" s="55"/>
    </row>
    <row r="119" ht="13.5" customHeight="1" spans="1:78">
      <c r="A119" s="77" t="s">
        <v>209</v>
      </c>
      <c r="B119" s="5" t="s">
        <v>93</v>
      </c>
      <c r="C119" s="6">
        <v>45890</v>
      </c>
      <c r="D119" s="7"/>
      <c r="E119" s="32" t="str">
        <f t="shared" si="166"/>
        <v>1</v>
      </c>
      <c r="F119" s="30">
        <f ca="1">IF(E119="0",NETWORKDAYS(C119,D119,$CB$3:$CB$19),NETWORKDAYS(C119,'2025整理'!$S$1,$CB$3:$CB$19))</f>
        <v>93</v>
      </c>
      <c r="G119" s="6"/>
      <c r="H119" s="7"/>
      <c r="I119" s="38"/>
      <c r="J119" s="30"/>
      <c r="K119" s="6"/>
      <c r="L119" s="7"/>
      <c r="M119" s="40"/>
      <c r="N119" s="30"/>
      <c r="O119" s="6"/>
      <c r="P119" s="7"/>
      <c r="Q119" s="38"/>
      <c r="R119" s="30"/>
      <c r="S119" s="6"/>
      <c r="T119" s="7"/>
      <c r="U119" s="38"/>
      <c r="V119" s="30"/>
      <c r="W119" s="6"/>
      <c r="X119" s="7"/>
      <c r="Y119" s="38"/>
      <c r="Z119" s="30"/>
      <c r="AA119" s="241"/>
      <c r="AB119" s="7"/>
      <c r="AC119" s="40"/>
      <c r="AD119" s="30"/>
      <c r="AE119" s="48" t="s">
        <v>83</v>
      </c>
      <c r="AF119" s="47" t="s">
        <v>86</v>
      </c>
      <c r="AG119" s="50" t="s">
        <v>83</v>
      </c>
      <c r="AH119" s="51"/>
      <c r="AI119" s="52"/>
      <c r="AJ119" s="51"/>
      <c r="AK119" s="52"/>
      <c r="AL119" s="40"/>
      <c r="AM119" s="40"/>
      <c r="AN119" s="40"/>
      <c r="AO119" s="48"/>
      <c r="AP119" s="56"/>
      <c r="AQ119" s="48"/>
      <c r="AR119" s="56"/>
      <c r="AS119" s="40"/>
      <c r="AT119" s="40"/>
      <c r="AU119" s="51"/>
      <c r="AV119" s="52"/>
      <c r="AW119" s="51"/>
      <c r="AX119" s="52"/>
      <c r="AY119" s="40"/>
      <c r="AZ119" s="55"/>
      <c r="BA119" s="63"/>
      <c r="BB119" s="48"/>
      <c r="BC119" s="56"/>
      <c r="BD119" s="48"/>
      <c r="BE119" s="56"/>
      <c r="BF119" s="64"/>
      <c r="BG119" s="48"/>
      <c r="BH119" s="51"/>
      <c r="BI119" s="52"/>
      <c r="BJ119" s="51"/>
      <c r="BK119" s="52"/>
      <c r="BL119" s="40"/>
      <c r="BM119" s="55"/>
      <c r="BN119" s="63"/>
      <c r="BO119" s="48"/>
      <c r="BP119" s="56"/>
      <c r="BQ119" s="48"/>
      <c r="BR119" s="56"/>
      <c r="BS119" s="40"/>
      <c r="BT119" s="40"/>
      <c r="BU119" s="51"/>
      <c r="BV119" s="52"/>
      <c r="BW119" s="51"/>
      <c r="BX119" s="52"/>
      <c r="BY119" s="40"/>
      <c r="BZ119" s="55"/>
    </row>
    <row r="120" ht="13.5" customHeight="1" spans="1:78">
      <c r="A120" s="25" t="s">
        <v>210</v>
      </c>
      <c r="B120" s="5" t="s">
        <v>93</v>
      </c>
      <c r="C120" s="6"/>
      <c r="D120" s="7"/>
      <c r="E120" s="32"/>
      <c r="F120" s="30"/>
      <c r="G120" s="6"/>
      <c r="H120" s="7"/>
      <c r="I120" s="38"/>
      <c r="J120" s="30"/>
      <c r="K120" s="6">
        <v>45941</v>
      </c>
      <c r="L120" s="7">
        <v>45952</v>
      </c>
      <c r="M120" s="40" t="str">
        <f>IF(K120&lt;&gt;0,IF(L120&lt;&gt;0,"0","1"),"")</f>
        <v>0</v>
      </c>
      <c r="N120" s="30">
        <f ca="1">IF(M120="0",NETWORKDAYS(K120,L120,$CB$3:$CB$19),NETWORKDAYS(K120,'2025整理'!$S$1,$CB$3:$CB$19))</f>
        <v>8</v>
      </c>
      <c r="O120" s="6"/>
      <c r="P120" s="7"/>
      <c r="Q120" s="38"/>
      <c r="R120" s="30"/>
      <c r="S120" s="6"/>
      <c r="T120" s="7"/>
      <c r="U120" s="38"/>
      <c r="V120" s="30"/>
      <c r="W120" s="6"/>
      <c r="X120" s="7"/>
      <c r="Y120" s="38"/>
      <c r="Z120" s="30"/>
      <c r="AA120" s="241"/>
      <c r="AB120" s="7"/>
      <c r="AC120" s="40"/>
      <c r="AD120" s="30"/>
      <c r="AE120" s="46" t="s">
        <v>86</v>
      </c>
      <c r="AF120" s="47" t="s">
        <v>86</v>
      </c>
      <c r="AG120" s="50" t="s">
        <v>83</v>
      </c>
      <c r="AH120" s="51"/>
      <c r="AI120" s="52">
        <v>7346.75</v>
      </c>
      <c r="AJ120" s="51"/>
      <c r="AK120" s="52">
        <v>7220.64</v>
      </c>
      <c r="AL120" s="40"/>
      <c r="AM120" s="40"/>
      <c r="AN120" s="40"/>
      <c r="AO120" s="48"/>
      <c r="AP120" s="56"/>
      <c r="AQ120" s="48"/>
      <c r="AR120" s="56"/>
      <c r="AS120" s="40"/>
      <c r="AT120" s="40"/>
      <c r="AU120" s="51">
        <v>7908.45</v>
      </c>
      <c r="AV120" s="52">
        <v>7485.29</v>
      </c>
      <c r="AW120" s="51">
        <v>7779.22</v>
      </c>
      <c r="AX120" s="52">
        <v>7369.45</v>
      </c>
      <c r="AY120" s="40" t="str">
        <f>IF(AND(AX120&lt;&gt;"",AW120&lt;&gt;""),IF(AX120&gt;AW120,"核增",IF(AX120&lt;AW120,"核减","不变")),"")</f>
        <v>核减</v>
      </c>
      <c r="AZ120" s="55">
        <f>IF(AND(AX120&lt;&gt;"",AW120&lt;&gt;""),MAX(ABS(AX120),ABS(AW120))-MIN(ABS(AX120),ABS(AW120)),"")</f>
        <v>409.77</v>
      </c>
      <c r="BA120" s="63" t="str">
        <f>IF(AND(AV120&lt;&gt;"",AI120&lt;&gt;""),IF(AV120&gt;AI120,"核增",IF(AV120&lt;AI120,"核减","不变")),"")&amp;TEXT(IF(AND(AV120&lt;&gt;"",AI120&lt;&gt;""),MAX(ABS(AV120),ABS(AI120))-MIN(ABS(AV120),ABS(AI120)),""),"0.00")</f>
        <v>核增138.54</v>
      </c>
      <c r="BB120" s="48"/>
      <c r="BC120" s="56"/>
      <c r="BD120" s="48"/>
      <c r="BE120" s="56"/>
      <c r="BF120" s="64"/>
      <c r="BG120" s="48"/>
      <c r="BH120" s="51"/>
      <c r="BI120" s="52"/>
      <c r="BJ120" s="51"/>
      <c r="BK120" s="52"/>
      <c r="BL120" s="40"/>
      <c r="BM120" s="55"/>
      <c r="BN120" s="63"/>
      <c r="BO120" s="48"/>
      <c r="BP120" s="56"/>
      <c r="BQ120" s="48"/>
      <c r="BR120" s="56"/>
      <c r="BS120" s="40"/>
      <c r="BT120" s="40"/>
      <c r="BU120" s="51"/>
      <c r="BV120" s="52"/>
      <c r="BW120" s="51"/>
      <c r="BX120" s="52"/>
      <c r="BY120" s="40"/>
      <c r="BZ120" s="55"/>
    </row>
    <row r="121" ht="13.5" customHeight="1" spans="1:78">
      <c r="A121" s="25" t="s">
        <v>211</v>
      </c>
      <c r="B121" s="5" t="s">
        <v>81</v>
      </c>
      <c r="C121" s="6"/>
      <c r="D121" s="7"/>
      <c r="E121" s="32"/>
      <c r="F121" s="30"/>
      <c r="G121" s="6"/>
      <c r="H121" s="7"/>
      <c r="I121" s="38"/>
      <c r="J121" s="30"/>
      <c r="K121" s="6"/>
      <c r="L121" s="7"/>
      <c r="M121" s="40"/>
      <c r="N121" s="30"/>
      <c r="O121" s="6"/>
      <c r="P121" s="7"/>
      <c r="Q121" s="38"/>
      <c r="R121" s="30"/>
      <c r="S121" s="6">
        <v>45828</v>
      </c>
      <c r="T121" s="7">
        <v>45847</v>
      </c>
      <c r="U121" s="38" t="str">
        <f t="shared" ref="U121:U122" si="167">IF(S121&lt;&gt;0,IF(T121&lt;&gt;0,"0","1"),"")</f>
        <v>0</v>
      </c>
      <c r="V121" s="30">
        <f ca="1">IF(U121="0",NETWORKDAYS(S121,T121,$CB$3:$CB$19),NETWORKDAYS(S121,'2025整理'!$S$1,$CB$3:$CB$19))</f>
        <v>14</v>
      </c>
      <c r="W121" s="6"/>
      <c r="X121" s="7"/>
      <c r="Y121" s="38"/>
      <c r="Z121" s="30"/>
      <c r="AA121" s="241"/>
      <c r="AB121" s="7"/>
      <c r="AC121" s="40"/>
      <c r="AD121" s="30"/>
      <c r="AE121" s="48" t="s">
        <v>82</v>
      </c>
      <c r="AF121" s="47" t="s">
        <v>82</v>
      </c>
      <c r="AG121" s="50" t="s">
        <v>97</v>
      </c>
      <c r="AH121" s="51"/>
      <c r="AI121" s="52"/>
      <c r="AJ121" s="51"/>
      <c r="AK121" s="52"/>
      <c r="AL121" s="40"/>
      <c r="AM121" s="40"/>
      <c r="AN121" s="40"/>
      <c r="AO121" s="48"/>
      <c r="AP121" s="56"/>
      <c r="AQ121" s="48"/>
      <c r="AR121" s="56"/>
      <c r="AS121" s="40"/>
      <c r="AT121" s="40"/>
      <c r="AU121" s="51"/>
      <c r="AV121" s="52">
        <v>10632.94</v>
      </c>
      <c r="AW121" s="51"/>
      <c r="AX121" s="52">
        <v>10468.57</v>
      </c>
      <c r="AY121" s="40"/>
      <c r="AZ121" s="55"/>
      <c r="BA121" s="63"/>
      <c r="BB121" s="48"/>
      <c r="BC121" s="56"/>
      <c r="BD121" s="48"/>
      <c r="BE121" s="56"/>
      <c r="BF121" s="64"/>
      <c r="BG121" s="48"/>
      <c r="BH121" s="51">
        <v>10096.57</v>
      </c>
      <c r="BI121" s="52">
        <v>9915.3</v>
      </c>
      <c r="BJ121" s="51">
        <v>9940.68</v>
      </c>
      <c r="BK121" s="52">
        <v>9762.21</v>
      </c>
      <c r="BL121" s="40" t="str">
        <f t="shared" ref="BL121:BL122" si="168">IF(AND(BK121&lt;&gt;"",BJ121&lt;&gt;""),IF(BK121&gt;BJ121,"核增",IF(BK121&lt;BJ121,"核减","不变")),"")</f>
        <v>核减</v>
      </c>
      <c r="BM121" s="55">
        <f t="shared" ref="BM121:BM122" si="169">IF(AND(BK121&lt;&gt;"",BJ121&lt;&gt;""),MAX(ABS(BK121),ABS(BJ121))-MIN(ABS(BK121),ABS(BJ121)),"")</f>
        <v>178.470000000001</v>
      </c>
      <c r="BN121" s="63" t="str">
        <f t="shared" ref="BN121:BN122" si="170">IF(AND(BI121&lt;&gt;"",AV121&lt;&gt;""),IF(BI121&gt;AV121,"核增",IF(BI121&lt;AV121,"核减","不变")),"")&amp;TEXT(IF(AND(BI121&lt;&gt;"",AV121&lt;&gt;""),MAX(ABS(BI121),ABS(AV121))-MIN(ABS(BI121),ABS(AV121)),""),"0.00")</f>
        <v>核减717.64</v>
      </c>
      <c r="BO121" s="48"/>
      <c r="BP121" s="56"/>
      <c r="BQ121" s="48"/>
      <c r="BR121" s="56"/>
      <c r="BS121" s="40"/>
      <c r="BT121" s="40"/>
      <c r="BU121" s="51"/>
      <c r="BV121" s="52"/>
      <c r="BW121" s="51"/>
      <c r="BX121" s="52"/>
      <c r="BY121" s="40"/>
      <c r="BZ121" s="55"/>
    </row>
    <row r="122" ht="13.5" customHeight="1" spans="1:78">
      <c r="A122" s="25" t="s">
        <v>212</v>
      </c>
      <c r="B122" s="5" t="s">
        <v>93</v>
      </c>
      <c r="C122" s="6"/>
      <c r="D122" s="7"/>
      <c r="E122" s="32"/>
      <c r="F122" s="30"/>
      <c r="G122" s="6"/>
      <c r="H122" s="7"/>
      <c r="I122" s="38"/>
      <c r="J122" s="30"/>
      <c r="K122" s="6"/>
      <c r="L122" s="7"/>
      <c r="M122" s="40"/>
      <c r="N122" s="30"/>
      <c r="O122" s="6"/>
      <c r="P122" s="7"/>
      <c r="Q122" s="38"/>
      <c r="R122" s="30"/>
      <c r="S122" s="6">
        <v>45853</v>
      </c>
      <c r="T122" s="7">
        <v>45876</v>
      </c>
      <c r="U122" s="38" t="str">
        <f t="shared" si="167"/>
        <v>0</v>
      </c>
      <c r="V122" s="242">
        <f ca="1">IF(U122="0",NETWORKDAYS(S122,T122,$CB$3:$CB$19),NETWORKDAYS(S122,'2025整理'!$S$1,$CB$3:$CB$19))</f>
        <v>18</v>
      </c>
      <c r="W122" s="6"/>
      <c r="X122" s="7"/>
      <c r="Y122" s="38" t="str">
        <f>IF(W122&lt;&gt;0,IF(X122&lt;&gt;0,"0","1"),"")</f>
        <v/>
      </c>
      <c r="Z122" s="30"/>
      <c r="AA122" s="241"/>
      <c r="AB122" s="7"/>
      <c r="AC122" s="40"/>
      <c r="AD122" s="30"/>
      <c r="AE122" s="48" t="s">
        <v>86</v>
      </c>
      <c r="AF122" s="47" t="s">
        <v>86</v>
      </c>
      <c r="AG122" s="50" t="s">
        <v>87</v>
      </c>
      <c r="AH122" s="51"/>
      <c r="AI122" s="52"/>
      <c r="AJ122" s="51"/>
      <c r="AK122" s="52"/>
      <c r="AL122" s="40"/>
      <c r="AM122" s="40"/>
      <c r="AN122" s="40"/>
      <c r="AO122" s="48"/>
      <c r="AP122" s="56"/>
      <c r="AQ122" s="48"/>
      <c r="AR122" s="56"/>
      <c r="AS122" s="40"/>
      <c r="AT122" s="40"/>
      <c r="AU122" s="51"/>
      <c r="AV122" s="52">
        <v>6017.2</v>
      </c>
      <c r="AW122" s="51"/>
      <c r="AX122" s="52">
        <v>5920.29</v>
      </c>
      <c r="AY122" s="40"/>
      <c r="AZ122" s="55"/>
      <c r="BA122" s="63"/>
      <c r="BB122" s="48"/>
      <c r="BC122" s="56"/>
      <c r="BD122" s="48"/>
      <c r="BE122" s="56"/>
      <c r="BF122" s="64"/>
      <c r="BG122" s="48"/>
      <c r="BH122" s="51">
        <v>5703.48</v>
      </c>
      <c r="BI122" s="52">
        <v>5442.31</v>
      </c>
      <c r="BJ122" s="51">
        <v>5615.32</v>
      </c>
      <c r="BK122" s="52">
        <v>5358.09</v>
      </c>
      <c r="BL122" s="40" t="str">
        <f t="shared" si="168"/>
        <v>核减</v>
      </c>
      <c r="BM122" s="55">
        <f t="shared" si="169"/>
        <v>257.23</v>
      </c>
      <c r="BN122" s="63" t="str">
        <f t="shared" si="170"/>
        <v>核减574.89</v>
      </c>
      <c r="BO122" s="48"/>
      <c r="BP122" s="56"/>
      <c r="BQ122" s="48"/>
      <c r="BR122" s="56"/>
      <c r="BS122" s="40"/>
      <c r="BT122" s="40"/>
      <c r="BU122" s="51"/>
      <c r="BV122" s="52"/>
      <c r="BW122" s="51"/>
      <c r="BX122" s="52"/>
      <c r="BY122" s="40"/>
      <c r="BZ122" s="55"/>
    </row>
    <row r="123" ht="13.5" customHeight="1" spans="1:78">
      <c r="A123" s="25" t="s">
        <v>213</v>
      </c>
      <c r="B123" s="5" t="s">
        <v>96</v>
      </c>
      <c r="C123" s="6"/>
      <c r="D123" s="7"/>
      <c r="E123" s="32"/>
      <c r="F123" s="30"/>
      <c r="G123" s="6"/>
      <c r="H123" s="7"/>
      <c r="I123" s="38"/>
      <c r="J123" s="30"/>
      <c r="K123" s="6"/>
      <c r="L123" s="7"/>
      <c r="M123" s="40"/>
      <c r="N123" s="30"/>
      <c r="O123" s="6"/>
      <c r="P123" s="7"/>
      <c r="Q123" s="38"/>
      <c r="R123" s="30"/>
      <c r="S123" s="6"/>
      <c r="T123" s="7"/>
      <c r="U123" s="38"/>
      <c r="V123" s="30"/>
      <c r="W123" s="6"/>
      <c r="X123" s="7"/>
      <c r="Y123" s="38"/>
      <c r="Z123" s="30"/>
      <c r="AA123" s="236">
        <v>46052</v>
      </c>
      <c r="AB123" s="7"/>
      <c r="AC123" s="40" t="str">
        <f>IF(AA123&lt;&gt;0,IF(AB123&lt;&gt;0,"0","1"),"")</f>
        <v>1</v>
      </c>
      <c r="AD123" s="30">
        <f ca="1">IF(AC123="0",NETWORKDAYS(AA123,AB123,$CB$3:$CB$19),NETWORKDAYS(AA123,'2025整理'!$S$1,$CB$3:$CB$19))</f>
        <v>-25</v>
      </c>
      <c r="AE123" s="46" t="s">
        <v>97</v>
      </c>
      <c r="AF123" s="47" t="s">
        <v>90</v>
      </c>
      <c r="AG123" s="50" t="s">
        <v>97</v>
      </c>
      <c r="AH123" s="51"/>
      <c r="AI123" s="52"/>
      <c r="AJ123" s="51"/>
      <c r="AK123" s="52"/>
      <c r="AL123" s="40"/>
      <c r="AM123" s="40"/>
      <c r="AN123" s="40"/>
      <c r="AO123" s="48"/>
      <c r="AP123" s="56"/>
      <c r="AQ123" s="48"/>
      <c r="AR123" s="56"/>
      <c r="AS123" s="40"/>
      <c r="AT123" s="40"/>
      <c r="AU123" s="51"/>
      <c r="AV123" s="52"/>
      <c r="AW123" s="51"/>
      <c r="AX123" s="52"/>
      <c r="AY123" s="40"/>
      <c r="AZ123" s="55"/>
      <c r="BA123" s="63"/>
      <c r="BB123" s="48"/>
      <c r="BC123" s="56"/>
      <c r="BD123" s="48"/>
      <c r="BE123" s="56"/>
      <c r="BF123" s="64"/>
      <c r="BG123" s="48"/>
      <c r="BH123" s="51"/>
      <c r="BI123" s="52"/>
      <c r="BJ123" s="51"/>
      <c r="BK123" s="52"/>
      <c r="BL123" s="40"/>
      <c r="BM123" s="55"/>
      <c r="BN123" s="63"/>
      <c r="BO123" s="48"/>
      <c r="BP123" s="56"/>
      <c r="BQ123" s="48"/>
      <c r="BR123" s="56"/>
      <c r="BS123" s="40"/>
      <c r="BT123" s="40"/>
      <c r="BU123" s="51"/>
      <c r="BV123" s="52"/>
      <c r="BW123" s="51"/>
      <c r="BX123" s="52"/>
      <c r="BY123" s="40"/>
      <c r="BZ123" s="55"/>
    </row>
    <row r="124" ht="13.5" customHeight="1" spans="1:78">
      <c r="A124" s="25" t="s">
        <v>214</v>
      </c>
      <c r="B124" s="5" t="s">
        <v>93</v>
      </c>
      <c r="C124" s="6">
        <v>45902</v>
      </c>
      <c r="D124" s="7">
        <v>45917</v>
      </c>
      <c r="E124" s="32" t="str">
        <f t="shared" ref="E124:E125" si="171">IF(C124&lt;&gt;0,IF(D124&lt;&gt;0,"0","1"),"")</f>
        <v>0</v>
      </c>
      <c r="F124" s="30">
        <f ca="1">IF(E124="0",NETWORKDAYS(C124,D124,$CB$3:$CB$19),NETWORKDAYS(C124,'2025整理'!$S$1,$CB$3:$CB$19))</f>
        <v>12</v>
      </c>
      <c r="G124" s="6"/>
      <c r="H124" s="7"/>
      <c r="I124" s="38"/>
      <c r="J124" s="30"/>
      <c r="K124" s="6"/>
      <c r="L124" s="7"/>
      <c r="M124" s="40"/>
      <c r="N124" s="30"/>
      <c r="O124" s="6"/>
      <c r="P124" s="7"/>
      <c r="Q124" s="38"/>
      <c r="R124" s="30"/>
      <c r="S124" s="6"/>
      <c r="T124" s="7"/>
      <c r="U124" s="38"/>
      <c r="V124" s="30"/>
      <c r="W124" s="6"/>
      <c r="X124" s="7"/>
      <c r="Y124" s="38"/>
      <c r="Z124" s="30"/>
      <c r="AA124" s="241"/>
      <c r="AB124" s="7"/>
      <c r="AC124" s="40"/>
      <c r="AD124" s="30"/>
      <c r="AE124" s="48" t="s">
        <v>90</v>
      </c>
      <c r="AF124" s="47" t="s">
        <v>90</v>
      </c>
      <c r="AG124" s="50" t="s">
        <v>87</v>
      </c>
      <c r="AH124" s="51">
        <v>16368.12</v>
      </c>
      <c r="AI124" s="52">
        <v>15012.98</v>
      </c>
      <c r="AJ124" s="51">
        <v>16091.05</v>
      </c>
      <c r="AK124" s="52">
        <v>14757.87</v>
      </c>
      <c r="AL124" s="40" t="str">
        <f t="shared" ref="AL124:AL125" si="172">IF(AND(AK124&lt;&gt;"",AJ124&lt;&gt;""),IF(AK124&gt;AJ124,"核增",IF(AK124&lt;AJ124,"核减","不变")),"")</f>
        <v>核减</v>
      </c>
      <c r="AM124" s="40">
        <f t="shared" ref="AM124:AM125" si="173">IF(AND(AI124&lt;&gt;"",AH124&lt;&gt;""),MAX(ABS(AI124),ABS(AH124))-MIN(ABS(AI124),ABS(AH124)),"")</f>
        <v>1355.14</v>
      </c>
      <c r="AN124" s="40">
        <f t="shared" ref="AN124:AN125" si="174">IF(AND(AK124&lt;&gt;"",AJ124&lt;&gt;""),MAX(ABS(AK124),ABS(AJ124))-MIN(ABS(AK124),ABS(AJ124)),"")</f>
        <v>1333.18</v>
      </c>
      <c r="AO124" s="48"/>
      <c r="AP124" s="56"/>
      <c r="AQ124" s="48"/>
      <c r="AR124" s="56"/>
      <c r="AS124" s="40"/>
      <c r="AT124" s="40"/>
      <c r="AU124" s="51"/>
      <c r="AV124" s="52"/>
      <c r="AW124" s="51"/>
      <c r="AX124" s="52"/>
      <c r="AY124" s="40"/>
      <c r="AZ124" s="55"/>
      <c r="BA124" s="63"/>
      <c r="BB124" s="48"/>
      <c r="BC124" s="56"/>
      <c r="BD124" s="48"/>
      <c r="BE124" s="56"/>
      <c r="BF124" s="64"/>
      <c r="BG124" s="48"/>
      <c r="BH124" s="51"/>
      <c r="BI124" s="52"/>
      <c r="BJ124" s="51"/>
      <c r="BK124" s="52"/>
      <c r="BL124" s="40"/>
      <c r="BM124" s="55"/>
      <c r="BN124" s="63"/>
      <c r="BO124" s="48"/>
      <c r="BP124" s="56"/>
      <c r="BQ124" s="48"/>
      <c r="BR124" s="56"/>
      <c r="BS124" s="40"/>
      <c r="BT124" s="40"/>
      <c r="BU124" s="51"/>
      <c r="BV124" s="52"/>
      <c r="BW124" s="51"/>
      <c r="BX124" s="52"/>
      <c r="BY124" s="40"/>
      <c r="BZ124" s="55"/>
    </row>
    <row r="125" ht="13.5" customHeight="1" spans="1:78">
      <c r="A125" s="25" t="s">
        <v>215</v>
      </c>
      <c r="B125" s="5" t="s">
        <v>85</v>
      </c>
      <c r="C125" s="6">
        <v>45838</v>
      </c>
      <c r="D125" s="7">
        <v>45866</v>
      </c>
      <c r="E125" s="32" t="str">
        <f t="shared" si="171"/>
        <v>0</v>
      </c>
      <c r="F125" s="30">
        <f ca="1">IF(E125="0",NETWORKDAYS(C125,D125,$CB$3:$CB$19),NETWORKDAYS(C125,'2025整理'!$S$1,$CB$3:$CB$19))</f>
        <v>21</v>
      </c>
      <c r="G125" s="6"/>
      <c r="H125" s="7"/>
      <c r="I125" s="38"/>
      <c r="J125" s="30"/>
      <c r="K125" s="6">
        <v>45972</v>
      </c>
      <c r="L125" s="7">
        <v>45992</v>
      </c>
      <c r="M125" s="40" t="str">
        <f t="shared" ref="M125:M126" si="175">IF(K125&lt;&gt;0,IF(L125&lt;&gt;0,"0","1"),"")</f>
        <v>0</v>
      </c>
      <c r="N125" s="30">
        <f ca="1">IF(M125="0",NETWORKDAYS(K125,L125,$CB$3:$CB$19),NETWORKDAYS(K125,'2025整理'!$S$1,$CB$3:$CB$19))</f>
        <v>15</v>
      </c>
      <c r="O125" s="6"/>
      <c r="P125" s="7"/>
      <c r="Q125" s="38"/>
      <c r="R125" s="30"/>
      <c r="S125" s="6"/>
      <c r="T125" s="7"/>
      <c r="U125" s="38"/>
      <c r="V125" s="30"/>
      <c r="W125" s="6"/>
      <c r="X125" s="7"/>
      <c r="Y125" s="38"/>
      <c r="Z125" s="30"/>
      <c r="AA125" s="241"/>
      <c r="AB125" s="7"/>
      <c r="AC125" s="40"/>
      <c r="AD125" s="30"/>
      <c r="AE125" s="48" t="s">
        <v>86</v>
      </c>
      <c r="AF125" s="47" t="s">
        <v>86</v>
      </c>
      <c r="AG125" s="50" t="s">
        <v>87</v>
      </c>
      <c r="AH125" s="51">
        <v>14807.11</v>
      </c>
      <c r="AI125" s="52">
        <v>14796.27</v>
      </c>
      <c r="AJ125" s="51">
        <v>14565.66</v>
      </c>
      <c r="AK125" s="52">
        <v>14554.82</v>
      </c>
      <c r="AL125" s="40" t="str">
        <f t="shared" si="172"/>
        <v>核减</v>
      </c>
      <c r="AM125" s="40">
        <f t="shared" si="173"/>
        <v>10.8400000000001</v>
      </c>
      <c r="AN125" s="40">
        <f t="shared" si="174"/>
        <v>10.8400000000001</v>
      </c>
      <c r="AO125" s="48"/>
      <c r="AP125" s="56"/>
      <c r="AQ125" s="48"/>
      <c r="AR125" s="56"/>
      <c r="AS125" s="40"/>
      <c r="AT125" s="40"/>
      <c r="AU125" s="51">
        <v>14713</v>
      </c>
      <c r="AV125" s="52">
        <v>14641.76</v>
      </c>
      <c r="AW125" s="51">
        <v>14485.06</v>
      </c>
      <c r="AX125" s="52">
        <v>14414.92</v>
      </c>
      <c r="AY125" s="40" t="str">
        <f t="shared" ref="AY125:AY126" si="176">IF(AND(AX125&lt;&gt;"",AW125&lt;&gt;""),IF(AX125&gt;AW125,"核增",IF(AX125&lt;AW125,"核减","不变")),"")</f>
        <v>核减</v>
      </c>
      <c r="AZ125" s="55">
        <f t="shared" ref="AZ125:AZ126" si="177">IF(AND(AX125&lt;&gt;"",AW125&lt;&gt;""),MAX(ABS(AX125),ABS(AW125))-MIN(ABS(AX125),ABS(AW125)),"")</f>
        <v>70.1399999999994</v>
      </c>
      <c r="BA125" s="63" t="str">
        <f t="shared" ref="BA125:BA126" si="178">IF(AND(AV125&lt;&gt;"",AI125&lt;&gt;""),IF(AV125&gt;AI125,"核增",IF(AV125&lt;AI125,"核减","不变")),"")&amp;TEXT(IF(AND(AV125&lt;&gt;"",AI125&lt;&gt;""),MAX(ABS(AV125),ABS(AI125))-MIN(ABS(AV125),ABS(AI125)),""),"0.00")</f>
        <v>核减154.51</v>
      </c>
      <c r="BB125" s="48"/>
      <c r="BC125" s="56"/>
      <c r="BD125" s="48"/>
      <c r="BE125" s="56"/>
      <c r="BF125" s="64"/>
      <c r="BG125" s="48"/>
      <c r="BH125" s="51"/>
      <c r="BI125" s="52"/>
      <c r="BJ125" s="51"/>
      <c r="BK125" s="52"/>
      <c r="BL125" s="40"/>
      <c r="BM125" s="55"/>
      <c r="BN125" s="63"/>
      <c r="BO125" s="48"/>
      <c r="BP125" s="56"/>
      <c r="BQ125" s="48"/>
      <c r="BR125" s="56"/>
      <c r="BS125" s="40"/>
      <c r="BT125" s="40"/>
      <c r="BU125" s="51"/>
      <c r="BV125" s="52"/>
      <c r="BW125" s="51"/>
      <c r="BX125" s="52"/>
      <c r="BY125" s="40"/>
      <c r="BZ125" s="55"/>
    </row>
    <row r="126" ht="13.5" customHeight="1" spans="1:78">
      <c r="A126" s="25" t="s">
        <v>216</v>
      </c>
      <c r="B126" s="5" t="s">
        <v>93</v>
      </c>
      <c r="C126" s="6"/>
      <c r="D126" s="7"/>
      <c r="E126" s="32"/>
      <c r="F126" s="30"/>
      <c r="G126" s="6"/>
      <c r="H126" s="7"/>
      <c r="I126" s="38"/>
      <c r="J126" s="30"/>
      <c r="K126" s="6">
        <v>45850</v>
      </c>
      <c r="L126" s="7">
        <v>45860</v>
      </c>
      <c r="M126" s="40" t="str">
        <f t="shared" si="175"/>
        <v>0</v>
      </c>
      <c r="N126" s="30">
        <f ca="1">IF(M126="0",NETWORKDAYS(K126,L126,$CB$3:$CB$19),NETWORKDAYS(K126,'2025整理'!$S$1,$CB$3:$CB$19))</f>
        <v>7</v>
      </c>
      <c r="O126" s="6"/>
      <c r="P126" s="7"/>
      <c r="Q126" s="38"/>
      <c r="R126" s="30"/>
      <c r="S126" s="6">
        <v>45987</v>
      </c>
      <c r="T126" s="7">
        <v>45999</v>
      </c>
      <c r="U126" s="38" t="str">
        <f>IF(S126&lt;&gt;0,IF(T126&lt;&gt;0,"0","1"),"")</f>
        <v>0</v>
      </c>
      <c r="V126" s="30">
        <f ca="1">IF(U126="0",NETWORKDAYS(S126,T126,$CB$3:$CB$19),NETWORKDAYS(S126,'2025整理'!$S$1,$CB$3:$CB$19))</f>
        <v>9</v>
      </c>
      <c r="W126" s="6"/>
      <c r="X126" s="7"/>
      <c r="Y126" s="38"/>
      <c r="Z126" s="30"/>
      <c r="AA126" s="241"/>
      <c r="AB126" s="7"/>
      <c r="AC126" s="40"/>
      <c r="AD126" s="30"/>
      <c r="AE126" s="48" t="s">
        <v>82</v>
      </c>
      <c r="AF126" s="47" t="s">
        <v>82</v>
      </c>
      <c r="AG126" s="50" t="s">
        <v>91</v>
      </c>
      <c r="AH126" s="51"/>
      <c r="AI126" s="52">
        <v>4676.93</v>
      </c>
      <c r="AJ126" s="51"/>
      <c r="AK126" s="52">
        <v>4596.65</v>
      </c>
      <c r="AL126" s="40"/>
      <c r="AM126" s="40"/>
      <c r="AN126" s="40"/>
      <c r="AO126" s="48"/>
      <c r="AP126" s="56"/>
      <c r="AQ126" s="48"/>
      <c r="AR126" s="56"/>
      <c r="AS126" s="40"/>
      <c r="AT126" s="40"/>
      <c r="AU126" s="51">
        <v>4462.49</v>
      </c>
      <c r="AV126" s="52">
        <v>4381.36</v>
      </c>
      <c r="AW126" s="51">
        <v>4393.43</v>
      </c>
      <c r="AX126" s="52">
        <v>4313.56</v>
      </c>
      <c r="AY126" s="40" t="str">
        <f t="shared" si="176"/>
        <v>核减</v>
      </c>
      <c r="AZ126" s="55">
        <f t="shared" si="177"/>
        <v>79.8699999999999</v>
      </c>
      <c r="BA126" s="63" t="str">
        <f t="shared" si="178"/>
        <v>核减295.57</v>
      </c>
      <c r="BB126" s="48"/>
      <c r="BC126" s="56"/>
      <c r="BD126" s="48"/>
      <c r="BE126" s="56"/>
      <c r="BF126" s="64"/>
      <c r="BG126" s="48"/>
      <c r="BH126" s="51">
        <v>4011.08</v>
      </c>
      <c r="BI126" s="52">
        <v>4311.23</v>
      </c>
      <c r="BJ126" s="51">
        <v>3949.01</v>
      </c>
      <c r="BK126" s="52">
        <v>4244.51</v>
      </c>
      <c r="BL126" s="40" t="str">
        <f>IF(AND(BK126&lt;&gt;"",BJ126&lt;&gt;""),IF(BK126&gt;BJ126,"核增",IF(BK126&lt;BJ126,"核减","不变")),"")</f>
        <v>核增</v>
      </c>
      <c r="BM126" s="55">
        <f>IF(AND(BK126&lt;&gt;"",BJ126&lt;&gt;""),MAX(ABS(BK126),ABS(BJ126))-MIN(ABS(BK126),ABS(BJ126)),"")</f>
        <v>295.5</v>
      </c>
      <c r="BN126" s="63" t="str">
        <f>IF(AND(BI126&lt;&gt;"",AV126&lt;&gt;""),IF(BI126&gt;AV126,"核增",IF(BI126&lt;AV126,"核减","不变")),"")&amp;TEXT(IF(AND(BI126&lt;&gt;"",AV126&lt;&gt;""),MAX(ABS(BI126),ABS(AV126))-MIN(ABS(BI126),ABS(AV126)),""),"0.00")</f>
        <v>核减70.13</v>
      </c>
      <c r="BO126" s="48"/>
      <c r="BP126" s="56"/>
      <c r="BQ126" s="48"/>
      <c r="BR126" s="56"/>
      <c r="BS126" s="40"/>
      <c r="BT126" s="40"/>
      <c r="BU126" s="51"/>
      <c r="BV126" s="52"/>
      <c r="BW126" s="51"/>
      <c r="BX126" s="52"/>
      <c r="BY126" s="40"/>
      <c r="BZ126" s="55"/>
    </row>
    <row r="127" ht="13.5" customHeight="1" spans="1:78">
      <c r="A127" s="25" t="s">
        <v>217</v>
      </c>
      <c r="B127" s="5" t="s">
        <v>93</v>
      </c>
      <c r="C127" s="6"/>
      <c r="D127" s="7"/>
      <c r="E127" s="32"/>
      <c r="F127" s="30"/>
      <c r="G127" s="6"/>
      <c r="H127" s="7"/>
      <c r="I127" s="38"/>
      <c r="J127" s="30"/>
      <c r="K127" s="6"/>
      <c r="L127" s="7"/>
      <c r="M127" s="40"/>
      <c r="N127" s="30"/>
      <c r="O127" s="6"/>
      <c r="P127" s="7"/>
      <c r="Q127" s="38"/>
      <c r="R127" s="30"/>
      <c r="S127" s="6"/>
      <c r="T127" s="7"/>
      <c r="U127" s="38"/>
      <c r="V127" s="30"/>
      <c r="W127" s="6"/>
      <c r="X127" s="7"/>
      <c r="Y127" s="38"/>
      <c r="Z127" s="30"/>
      <c r="AA127" s="236">
        <v>46052</v>
      </c>
      <c r="AB127" s="7"/>
      <c r="AC127" s="40" t="str">
        <f>IF(AA127&lt;&gt;0,IF(AB127&lt;&gt;0,"0","1"),"")</f>
        <v>1</v>
      </c>
      <c r="AD127" s="30">
        <f ca="1">IF(AC127="0",NETWORKDAYS(AA127,AB127,$CB$3:$CB$19),NETWORKDAYS(AA127,'2025整理'!$S$1,$CB$3:$CB$19))</f>
        <v>-25</v>
      </c>
      <c r="AE127" s="48" t="s">
        <v>82</v>
      </c>
      <c r="AF127" s="47" t="s">
        <v>82</v>
      </c>
      <c r="AG127" s="50" t="s">
        <v>83</v>
      </c>
      <c r="AH127" s="51"/>
      <c r="AI127" s="52"/>
      <c r="AJ127" s="51"/>
      <c r="AK127" s="52"/>
      <c r="AL127" s="40"/>
      <c r="AM127" s="40"/>
      <c r="AN127" s="40"/>
      <c r="AO127" s="48"/>
      <c r="AP127" s="56"/>
      <c r="AQ127" s="48"/>
      <c r="AR127" s="56"/>
      <c r="AS127" s="40"/>
      <c r="AT127" s="40"/>
      <c r="AU127" s="51"/>
      <c r="AV127" s="52"/>
      <c r="AW127" s="51"/>
      <c r="AX127" s="52"/>
      <c r="AY127" s="40"/>
      <c r="AZ127" s="55"/>
      <c r="BA127" s="63"/>
      <c r="BB127" s="48"/>
      <c r="BC127" s="56"/>
      <c r="BD127" s="48"/>
      <c r="BE127" s="56"/>
      <c r="BF127" s="64"/>
      <c r="BG127" s="48"/>
      <c r="BH127" s="51"/>
      <c r="BI127" s="52"/>
      <c r="BJ127" s="51"/>
      <c r="BK127" s="52"/>
      <c r="BL127" s="40"/>
      <c r="BM127" s="55"/>
      <c r="BN127" s="63"/>
      <c r="BO127" s="48"/>
      <c r="BP127" s="56"/>
      <c r="BQ127" s="48"/>
      <c r="BR127" s="56"/>
      <c r="BS127" s="40"/>
      <c r="BT127" s="40"/>
      <c r="BU127" s="51"/>
      <c r="BV127" s="52"/>
      <c r="BW127" s="51"/>
      <c r="BX127" s="52"/>
      <c r="BY127" s="40"/>
      <c r="BZ127" s="55"/>
    </row>
    <row r="128" ht="13.5" customHeight="1" spans="1:78">
      <c r="A128" s="25" t="s">
        <v>218</v>
      </c>
      <c r="B128" s="5" t="s">
        <v>85</v>
      </c>
      <c r="C128" s="6">
        <v>45825</v>
      </c>
      <c r="D128" s="7">
        <v>45828</v>
      </c>
      <c r="E128" s="32" t="str">
        <f t="shared" ref="E128:E135" si="179">IF(C128&lt;&gt;0,IF(D128&lt;&gt;0,"0","1"),"")</f>
        <v>0</v>
      </c>
      <c r="F128" s="30">
        <f ca="1">IF(E128="0",NETWORKDAYS(C128,D128,$CB$3:$CB$19),NETWORKDAYS(C128,'2025整理'!$S$1,$CB$3:$CB$19))</f>
        <v>4</v>
      </c>
      <c r="G128" s="6"/>
      <c r="H128" s="7"/>
      <c r="I128" s="38"/>
      <c r="J128" s="30"/>
      <c r="K128" s="6"/>
      <c r="L128" s="7"/>
      <c r="M128" s="40"/>
      <c r="N128" s="30"/>
      <c r="O128" s="6"/>
      <c r="P128" s="7"/>
      <c r="Q128" s="38"/>
      <c r="R128" s="30"/>
      <c r="S128" s="6"/>
      <c r="T128" s="7"/>
      <c r="U128" s="38"/>
      <c r="V128" s="30"/>
      <c r="W128" s="6"/>
      <c r="X128" s="7"/>
      <c r="Y128" s="38"/>
      <c r="Z128" s="30"/>
      <c r="AA128" s="241"/>
      <c r="AB128" s="7"/>
      <c r="AC128" s="40"/>
      <c r="AD128" s="30"/>
      <c r="AE128" s="48" t="s">
        <v>149</v>
      </c>
      <c r="AF128" s="47" t="s">
        <v>91</v>
      </c>
      <c r="AG128" s="50" t="s">
        <v>149</v>
      </c>
      <c r="AH128" s="51">
        <v>264.42</v>
      </c>
      <c r="AI128" s="52">
        <v>359.33</v>
      </c>
      <c r="AJ128" s="51">
        <v>264.42</v>
      </c>
      <c r="AK128" s="52">
        <v>359.33</v>
      </c>
      <c r="AL128" s="40" t="str">
        <f t="shared" ref="AL128:AL130" si="180">IF(AND(AK128&lt;&gt;"",AJ128&lt;&gt;""),IF(AK128&gt;AJ128,"核增",IF(AK128&lt;AJ128,"核减","不变")),"")</f>
        <v>核增</v>
      </c>
      <c r="AM128" s="40">
        <f t="shared" ref="AM128:AM130" si="181">IF(AND(AI128&lt;&gt;"",AH128&lt;&gt;""),MAX(ABS(AI128),ABS(AH128))-MIN(ABS(AI128),ABS(AH128)),"")</f>
        <v>94.91</v>
      </c>
      <c r="AN128" s="40">
        <f t="shared" ref="AN128:AN130" si="182">IF(AND(AK128&lt;&gt;"",AJ128&lt;&gt;""),MAX(ABS(AK128),ABS(AJ128))-MIN(ABS(AK128),ABS(AJ128)),"")</f>
        <v>94.91</v>
      </c>
      <c r="AO128" s="48"/>
      <c r="AP128" s="56"/>
      <c r="AQ128" s="48"/>
      <c r="AR128" s="56"/>
      <c r="AS128" s="40"/>
      <c r="AT128" s="40"/>
      <c r="AU128" s="51"/>
      <c r="AV128" s="52"/>
      <c r="AW128" s="51"/>
      <c r="AX128" s="52"/>
      <c r="AY128" s="40"/>
      <c r="AZ128" s="55"/>
      <c r="BA128" s="63"/>
      <c r="BB128" s="48"/>
      <c r="BC128" s="56"/>
      <c r="BD128" s="48"/>
      <c r="BE128" s="56"/>
      <c r="BF128" s="64"/>
      <c r="BG128" s="48"/>
      <c r="BH128" s="51"/>
      <c r="BI128" s="52"/>
      <c r="BJ128" s="51"/>
      <c r="BK128" s="52"/>
      <c r="BL128" s="40"/>
      <c r="BM128" s="55"/>
      <c r="BN128" s="63"/>
      <c r="BO128" s="48"/>
      <c r="BP128" s="56"/>
      <c r="BQ128" s="48"/>
      <c r="BR128" s="56"/>
      <c r="BS128" s="40"/>
      <c r="BT128" s="40"/>
      <c r="BU128" s="51"/>
      <c r="BV128" s="52"/>
      <c r="BW128" s="51"/>
      <c r="BX128" s="52"/>
      <c r="BY128" s="40"/>
      <c r="BZ128" s="55"/>
    </row>
    <row r="129" ht="13.5" customHeight="1" spans="1:78">
      <c r="A129" s="25" t="s">
        <v>219</v>
      </c>
      <c r="B129" s="5" t="s">
        <v>85</v>
      </c>
      <c r="C129" s="262">
        <v>45845</v>
      </c>
      <c r="D129" s="262">
        <v>45869</v>
      </c>
      <c r="E129" s="32" t="str">
        <f t="shared" si="179"/>
        <v>0</v>
      </c>
      <c r="F129" s="30">
        <f ca="1">IF(E129="0",NETWORKDAYS(C129,D129,$CB$3:$CB$19),NETWORKDAYS(C129,'2025整理'!$S$1,$CB$3:$CB$19))</f>
        <v>19</v>
      </c>
      <c r="G129" s="6"/>
      <c r="H129" s="7"/>
      <c r="I129" s="38"/>
      <c r="J129" s="30"/>
      <c r="K129" s="6">
        <v>45985</v>
      </c>
      <c r="L129" s="7">
        <v>45992</v>
      </c>
      <c r="M129" s="40" t="str">
        <f>IF(K129&lt;&gt;0,IF(L129&lt;&gt;0,"0","1"),"")</f>
        <v>0</v>
      </c>
      <c r="N129" s="30">
        <f ca="1">IF(M129="0",NETWORKDAYS(K129,L129,$CB$3:$CB$19),NETWORKDAYS(K129,'2025整理'!$S$1,$CB$3:$CB$19))</f>
        <v>6</v>
      </c>
      <c r="O129" s="6"/>
      <c r="P129" s="7"/>
      <c r="Q129" s="38"/>
      <c r="R129" s="30"/>
      <c r="S129" s="6"/>
      <c r="T129" s="7"/>
      <c r="U129" s="38"/>
      <c r="V129" s="30"/>
      <c r="W129" s="6"/>
      <c r="X129" s="7"/>
      <c r="Y129" s="38"/>
      <c r="Z129" s="30"/>
      <c r="AA129" s="241"/>
      <c r="AB129" s="7"/>
      <c r="AC129" s="40"/>
      <c r="AD129" s="30"/>
      <c r="AE129" s="48" t="s">
        <v>86</v>
      </c>
      <c r="AF129" s="47" t="s">
        <v>86</v>
      </c>
      <c r="AG129" s="50" t="s">
        <v>87</v>
      </c>
      <c r="AH129" s="51">
        <v>13845.27</v>
      </c>
      <c r="AI129" s="52">
        <v>12179.53</v>
      </c>
      <c r="AJ129" s="51">
        <v>13607.6</v>
      </c>
      <c r="AK129" s="52">
        <v>11970.47</v>
      </c>
      <c r="AL129" s="40" t="str">
        <f t="shared" si="180"/>
        <v>核减</v>
      </c>
      <c r="AM129" s="40">
        <f t="shared" si="181"/>
        <v>1665.74</v>
      </c>
      <c r="AN129" s="40">
        <f t="shared" si="182"/>
        <v>1637.13</v>
      </c>
      <c r="AO129" s="48"/>
      <c r="AP129" s="56"/>
      <c r="AQ129" s="48"/>
      <c r="AR129" s="56"/>
      <c r="AS129" s="40"/>
      <c r="AT129" s="40"/>
      <c r="AU129" s="51">
        <v>11491.88</v>
      </c>
      <c r="AV129" s="52">
        <v>11538.17</v>
      </c>
      <c r="AW129" s="51">
        <v>11313.74</v>
      </c>
      <c r="AX129" s="52">
        <v>11359.3</v>
      </c>
      <c r="AY129" s="40" t="str">
        <f>IF(AND(AX129&lt;&gt;"",AW129&lt;&gt;""),IF(AX129&gt;AW129,"核增",IF(AX129&lt;AW129,"核减","不变")),"")</f>
        <v>核增</v>
      </c>
      <c r="AZ129" s="55">
        <f>IF(AND(AX129&lt;&gt;"",AW129&lt;&gt;""),MAX(ABS(AX129),ABS(AW129))-MIN(ABS(AX129),ABS(AW129)),"")</f>
        <v>45.5599999999995</v>
      </c>
      <c r="BA129" s="63" t="str">
        <f>IF(AND(AV129&lt;&gt;"",AI129&lt;&gt;""),IF(AV129&gt;AI129,"核增",IF(AV129&lt;AI129,"核减","不变")),"")&amp;TEXT(IF(AND(AV129&lt;&gt;"",AI129&lt;&gt;""),MAX(ABS(AV129),ABS(AI129))-MIN(ABS(AV129),ABS(AI129)),""),"0.00")</f>
        <v>核减641.36</v>
      </c>
      <c r="BB129" s="48"/>
      <c r="BC129" s="56"/>
      <c r="BD129" s="48"/>
      <c r="BE129" s="56"/>
      <c r="BF129" s="64"/>
      <c r="BG129" s="48"/>
      <c r="BH129" s="51"/>
      <c r="BI129" s="52"/>
      <c r="BJ129" s="51"/>
      <c r="BK129" s="52"/>
      <c r="BL129" s="40"/>
      <c r="BM129" s="55"/>
      <c r="BN129" s="63"/>
      <c r="BO129" s="48"/>
      <c r="BP129" s="56"/>
      <c r="BQ129" s="48"/>
      <c r="BR129" s="56"/>
      <c r="BS129" s="40"/>
      <c r="BT129" s="40"/>
      <c r="BU129" s="51"/>
      <c r="BV129" s="52"/>
      <c r="BW129" s="51"/>
      <c r="BX129" s="52"/>
      <c r="BY129" s="40"/>
      <c r="BZ129" s="55"/>
    </row>
    <row r="130" ht="13.5" customHeight="1" spans="1:78">
      <c r="A130" s="25" t="s">
        <v>220</v>
      </c>
      <c r="B130" s="5" t="s">
        <v>93</v>
      </c>
      <c r="C130" s="262">
        <v>45881</v>
      </c>
      <c r="D130" s="7">
        <v>45903</v>
      </c>
      <c r="E130" s="32" t="str">
        <f t="shared" si="179"/>
        <v>0</v>
      </c>
      <c r="F130" s="30">
        <f ca="1">IF(E130="0",NETWORKDAYS(C130,D130,$CB$3:$CB$19),NETWORKDAYS(C130,'2025整理'!$S$1,$CB$3:$CB$19))</f>
        <v>17</v>
      </c>
      <c r="G130" s="6"/>
      <c r="H130" s="7"/>
      <c r="I130" s="38"/>
      <c r="J130" s="30"/>
      <c r="K130" s="6"/>
      <c r="L130" s="7"/>
      <c r="M130" s="40"/>
      <c r="N130" s="30"/>
      <c r="O130" s="6"/>
      <c r="P130" s="7"/>
      <c r="Q130" s="38"/>
      <c r="R130" s="30"/>
      <c r="S130" s="6"/>
      <c r="T130" s="7"/>
      <c r="U130" s="38"/>
      <c r="V130" s="30"/>
      <c r="W130" s="6"/>
      <c r="X130" s="7"/>
      <c r="Y130" s="38"/>
      <c r="Z130" s="30"/>
      <c r="AA130" s="241"/>
      <c r="AB130" s="7"/>
      <c r="AC130" s="40"/>
      <c r="AD130" s="30"/>
      <c r="AE130" s="48" t="s">
        <v>82</v>
      </c>
      <c r="AF130" s="47" t="s">
        <v>82</v>
      </c>
      <c r="AG130" s="50" t="s">
        <v>87</v>
      </c>
      <c r="AH130" s="51">
        <v>13139.79</v>
      </c>
      <c r="AI130" s="52">
        <v>13676.34</v>
      </c>
      <c r="AJ130" s="51">
        <v>12957.7</v>
      </c>
      <c r="AK130" s="52">
        <v>13445.88</v>
      </c>
      <c r="AL130" s="40" t="str">
        <f t="shared" si="180"/>
        <v>核增</v>
      </c>
      <c r="AM130" s="40">
        <f t="shared" si="181"/>
        <v>536.549999999999</v>
      </c>
      <c r="AN130" s="40">
        <f t="shared" si="182"/>
        <v>488.179999999998</v>
      </c>
      <c r="AO130" s="48"/>
      <c r="AP130" s="56"/>
      <c r="AQ130" s="48"/>
      <c r="AR130" s="56"/>
      <c r="AS130" s="40"/>
      <c r="AT130" s="40"/>
      <c r="AU130" s="51"/>
      <c r="AV130" s="52"/>
      <c r="AW130" s="51"/>
      <c r="AX130" s="52"/>
      <c r="AY130" s="40"/>
      <c r="AZ130" s="55"/>
      <c r="BA130" s="63"/>
      <c r="BB130" s="48"/>
      <c r="BC130" s="56"/>
      <c r="BD130" s="48"/>
      <c r="BE130" s="56"/>
      <c r="BF130" s="64"/>
      <c r="BG130" s="48"/>
      <c r="BH130" s="51"/>
      <c r="BI130" s="52"/>
      <c r="BJ130" s="51"/>
      <c r="BK130" s="52"/>
      <c r="BL130" s="40"/>
      <c r="BM130" s="55"/>
      <c r="BN130" s="63"/>
      <c r="BO130" s="48"/>
      <c r="BP130" s="56"/>
      <c r="BQ130" s="48"/>
      <c r="BR130" s="56"/>
      <c r="BS130" s="40"/>
      <c r="BT130" s="40"/>
      <c r="BU130" s="51"/>
      <c r="BV130" s="52"/>
      <c r="BW130" s="51"/>
      <c r="BX130" s="52"/>
      <c r="BY130" s="40"/>
      <c r="BZ130" s="55"/>
    </row>
    <row r="131" ht="13.5" customHeight="1" spans="1:78">
      <c r="A131" s="25" t="s">
        <v>221</v>
      </c>
      <c r="B131" s="5" t="s">
        <v>93</v>
      </c>
      <c r="C131" s="262"/>
      <c r="D131" s="7"/>
      <c r="E131" s="32" t="str">
        <f t="shared" si="179"/>
        <v/>
      </c>
      <c r="F131" s="30"/>
      <c r="G131" s="6"/>
      <c r="H131" s="7"/>
      <c r="I131" s="38"/>
      <c r="J131" s="30"/>
      <c r="K131" s="6"/>
      <c r="L131" s="7"/>
      <c r="M131" s="40"/>
      <c r="N131" s="30"/>
      <c r="O131" s="6"/>
      <c r="P131" s="7"/>
      <c r="Q131" s="38"/>
      <c r="R131" s="30"/>
      <c r="S131" s="6">
        <v>45870</v>
      </c>
      <c r="T131" s="7">
        <v>45895</v>
      </c>
      <c r="U131" s="38" t="str">
        <f>IF(S131&lt;&gt;0,IF(T131&lt;&gt;0,"0","1"),"")</f>
        <v>0</v>
      </c>
      <c r="V131" s="242">
        <f ca="1">IF(U131="0",NETWORKDAYS(S131,T131,$CB$3:$CB$19),NETWORKDAYS(S131,'2025整理'!$S$1,$CB$3:$CB$19))</f>
        <v>18</v>
      </c>
      <c r="W131" s="6"/>
      <c r="X131" s="7"/>
      <c r="Y131" s="38"/>
      <c r="Z131" s="30"/>
      <c r="AA131" s="241"/>
      <c r="AB131" s="7"/>
      <c r="AC131" s="40"/>
      <c r="AD131" s="30"/>
      <c r="AE131" s="48" t="s">
        <v>90</v>
      </c>
      <c r="AF131" s="47" t="s">
        <v>90</v>
      </c>
      <c r="AG131" s="50" t="s">
        <v>87</v>
      </c>
      <c r="AH131" s="51"/>
      <c r="AI131" s="52"/>
      <c r="AJ131" s="51"/>
      <c r="AK131" s="52"/>
      <c r="AL131" s="40"/>
      <c r="AM131" s="40"/>
      <c r="AN131" s="40"/>
      <c r="AO131" s="48"/>
      <c r="AP131" s="56"/>
      <c r="AQ131" s="48"/>
      <c r="AR131" s="56"/>
      <c r="AS131" s="40"/>
      <c r="AT131" s="40"/>
      <c r="AU131" s="51"/>
      <c r="AV131" s="52">
        <v>2916.46</v>
      </c>
      <c r="AW131" s="51"/>
      <c r="AX131" s="52">
        <v>2878.45</v>
      </c>
      <c r="AY131" s="40"/>
      <c r="AZ131" s="55"/>
      <c r="BA131" s="63"/>
      <c r="BB131" s="48"/>
      <c r="BC131" s="56"/>
      <c r="BD131" s="48"/>
      <c r="BE131" s="56"/>
      <c r="BF131" s="64"/>
      <c r="BG131" s="48"/>
      <c r="BH131" s="51">
        <v>2753.1</v>
      </c>
      <c r="BI131" s="52">
        <v>2796.57</v>
      </c>
      <c r="BJ131" s="51">
        <v>2719.63</v>
      </c>
      <c r="BK131" s="52">
        <v>2763.46</v>
      </c>
      <c r="BL131" s="40" t="str">
        <f>IF(AND(BK131&lt;&gt;"",BJ131&lt;&gt;""),IF(BK131&gt;BJ131,"核增",IF(BK131&lt;BJ131,"核减","不变")),"")</f>
        <v>核增</v>
      </c>
      <c r="BM131" s="55">
        <f>IF(AND(BK131&lt;&gt;"",BJ131&lt;&gt;""),MAX(ABS(BK131),ABS(BJ131))-MIN(ABS(BK131),ABS(BJ131)),"")</f>
        <v>43.8299999999999</v>
      </c>
      <c r="BN131" s="63" t="str">
        <f>IF(AND(BI131&lt;&gt;"",AV131&lt;&gt;""),IF(BI131&gt;AV131,"核增",IF(BI131&lt;AV131,"核减","不变")),"")&amp;TEXT(IF(AND(BI131&lt;&gt;"",AV131&lt;&gt;""),MAX(ABS(BI131),ABS(AV131))-MIN(ABS(BI131),ABS(AV131)),""),"0.00")</f>
        <v>核减119.89</v>
      </c>
      <c r="BO131" s="48"/>
      <c r="BP131" s="56"/>
      <c r="BQ131" s="48"/>
      <c r="BR131" s="56"/>
      <c r="BS131" s="40"/>
      <c r="BT131" s="40"/>
      <c r="BU131" s="51"/>
      <c r="BV131" s="52"/>
      <c r="BW131" s="51"/>
      <c r="BX131" s="52"/>
      <c r="BY131" s="40"/>
      <c r="BZ131" s="55"/>
    </row>
    <row r="132" ht="13.5" customHeight="1" spans="1:78">
      <c r="A132" s="25" t="s">
        <v>222</v>
      </c>
      <c r="B132" s="5" t="s">
        <v>81</v>
      </c>
      <c r="C132" s="262">
        <v>45856</v>
      </c>
      <c r="D132" s="7">
        <v>45876</v>
      </c>
      <c r="E132" s="32" t="str">
        <f t="shared" si="179"/>
        <v>0</v>
      </c>
      <c r="F132" s="30">
        <f ca="1">IF(E132="0",NETWORKDAYS(C132,D132,$CB$3:$CB$19),NETWORKDAYS(C132,'2025整理'!$S$1,$CB$3:$CB$19))</f>
        <v>15</v>
      </c>
      <c r="G132" s="6"/>
      <c r="H132" s="7"/>
      <c r="I132" s="38"/>
      <c r="J132" s="30"/>
      <c r="K132" s="6">
        <v>45980</v>
      </c>
      <c r="L132" s="7">
        <v>46001</v>
      </c>
      <c r="M132" s="40" t="str">
        <f t="shared" ref="M132:M134" si="183">IF(K132&lt;&gt;0,IF(L132&lt;&gt;0,"0","1"),"")</f>
        <v>0</v>
      </c>
      <c r="N132" s="30">
        <f ca="1">IF(M132="0",NETWORKDAYS(K132,L132,$CB$3:$CB$19),NETWORKDAYS(K132,'2025整理'!$S$1,$CB$3:$CB$19))</f>
        <v>16</v>
      </c>
      <c r="O132" s="6"/>
      <c r="P132" s="7"/>
      <c r="Q132" s="38"/>
      <c r="R132" s="30"/>
      <c r="S132" s="6"/>
      <c r="T132" s="7"/>
      <c r="U132" s="38"/>
      <c r="V132" s="30"/>
      <c r="W132" s="6"/>
      <c r="X132" s="7"/>
      <c r="Y132" s="38"/>
      <c r="Z132" s="30"/>
      <c r="AA132" s="241"/>
      <c r="AB132" s="7"/>
      <c r="AC132" s="40"/>
      <c r="AD132" s="30"/>
      <c r="AE132" s="48" t="s">
        <v>97</v>
      </c>
      <c r="AF132" s="47" t="s">
        <v>90</v>
      </c>
      <c r="AG132" s="50" t="s">
        <v>97</v>
      </c>
      <c r="AH132" s="51">
        <v>3174.39</v>
      </c>
      <c r="AI132" s="52">
        <v>3177.2</v>
      </c>
      <c r="AJ132" s="52">
        <v>3122.66</v>
      </c>
      <c r="AK132" s="52">
        <v>3125.44</v>
      </c>
      <c r="AL132" s="40" t="str">
        <f t="shared" ref="AL132:AL133" si="184">IF(AND(AK132&lt;&gt;"",AJ132&lt;&gt;""),IF(AK132&gt;AJ132,"核增",IF(AK132&lt;AJ132,"核减","不变")),"")</f>
        <v>核增</v>
      </c>
      <c r="AM132" s="40">
        <f t="shared" ref="AM132:AM133" si="185">IF(AND(AI132&lt;&gt;"",AH132&lt;&gt;""),MAX(ABS(AI132),ABS(AH132))-MIN(ABS(AI132),ABS(AH132)),"")</f>
        <v>2.80999999999995</v>
      </c>
      <c r="AN132" s="40">
        <f t="shared" ref="AN132:AN133" si="186">IF(AND(AK132&lt;&gt;"",AJ132&lt;&gt;""),MAX(ABS(AK132),ABS(AJ132))-MIN(ABS(AK132),ABS(AJ132)),"")</f>
        <v>2.7800000000002</v>
      </c>
      <c r="AO132" s="48"/>
      <c r="AP132" s="56"/>
      <c r="AQ132" s="48"/>
      <c r="AR132" s="56"/>
      <c r="AS132" s="40"/>
      <c r="AT132" s="40"/>
      <c r="AU132" s="51">
        <v>3030.36</v>
      </c>
      <c r="AV132" s="52">
        <v>3018.9</v>
      </c>
      <c r="AW132" s="51">
        <v>2985.72</v>
      </c>
      <c r="AX132" s="52">
        <v>2974.43</v>
      </c>
      <c r="AY132" s="40" t="str">
        <f>IF(AND(AX132&lt;&gt;"",AW132&lt;&gt;""),IF(AX132&gt;AW132,"核增",IF(AX132&lt;AW132,"核减","不变")),"")</f>
        <v>核减</v>
      </c>
      <c r="AZ132" s="55">
        <f>IF(AND(AX132&lt;&gt;"",AW132&lt;&gt;""),MAX(ABS(AX132),ABS(AW132))-MIN(ABS(AX132),ABS(AW132)),"")</f>
        <v>11.29</v>
      </c>
      <c r="BA132" s="63" t="str">
        <f>IF(AND(AV132&lt;&gt;"",AI132&lt;&gt;""),IF(AV132&gt;AI132,"核增",IF(AV132&lt;AI132,"核减","不变")),"")&amp;TEXT(IF(AND(AV132&lt;&gt;"",AI132&lt;&gt;""),MAX(ABS(AV132),ABS(AI132))-MIN(ABS(AV132),ABS(AI132)),""),"0.00")</f>
        <v>核减158.30</v>
      </c>
      <c r="BB132" s="48"/>
      <c r="BC132" s="56"/>
      <c r="BD132" s="48"/>
      <c r="BE132" s="56"/>
      <c r="BF132" s="64"/>
      <c r="BG132" s="48"/>
      <c r="BH132" s="51"/>
      <c r="BI132" s="52"/>
      <c r="BJ132" s="51"/>
      <c r="BK132" s="52"/>
      <c r="BL132" s="40"/>
      <c r="BM132" s="55"/>
      <c r="BN132" s="63"/>
      <c r="BO132" s="48"/>
      <c r="BP132" s="56"/>
      <c r="BQ132" s="48"/>
      <c r="BR132" s="56"/>
      <c r="BS132" s="40"/>
      <c r="BT132" s="40"/>
      <c r="BU132" s="51"/>
      <c r="BV132" s="52"/>
      <c r="BW132" s="51"/>
      <c r="BX132" s="52"/>
      <c r="BY132" s="40"/>
      <c r="BZ132" s="55"/>
    </row>
    <row r="133" ht="13.5" customHeight="1" spans="1:78">
      <c r="A133" s="25" t="s">
        <v>223</v>
      </c>
      <c r="B133" s="5" t="s">
        <v>93</v>
      </c>
      <c r="C133" s="262">
        <v>45866</v>
      </c>
      <c r="D133" s="7">
        <v>45894</v>
      </c>
      <c r="E133" s="32" t="str">
        <f t="shared" si="179"/>
        <v>0</v>
      </c>
      <c r="F133" s="30">
        <f ca="1">IF(E133="0",NETWORKDAYS(C133,D133,$CB$3:$CB$19),NETWORKDAYS(C133,'2025整理'!$S$1,$CB$3:$CB$19))</f>
        <v>21</v>
      </c>
      <c r="G133" s="6"/>
      <c r="H133" s="7"/>
      <c r="I133" s="38"/>
      <c r="J133" s="30"/>
      <c r="K133" s="6">
        <v>46002</v>
      </c>
      <c r="L133" s="7"/>
      <c r="M133" s="40" t="str">
        <f t="shared" si="183"/>
        <v>1</v>
      </c>
      <c r="N133" s="30">
        <f ca="1">IF(M133="0",NETWORKDAYS(K133,L133,$CB$3:$CB$19),NETWORKDAYS(K133,'2025整理'!$S$1,$CB$3:$CB$19))</f>
        <v>13</v>
      </c>
      <c r="O133" s="6"/>
      <c r="P133" s="7"/>
      <c r="Q133" s="38"/>
      <c r="R133" s="30"/>
      <c r="S133" s="6"/>
      <c r="T133" s="7"/>
      <c r="U133" s="38"/>
      <c r="V133" s="30"/>
      <c r="W133" s="6"/>
      <c r="X133" s="7"/>
      <c r="Y133" s="38"/>
      <c r="Z133" s="30"/>
      <c r="AA133" s="241"/>
      <c r="AB133" s="7"/>
      <c r="AC133" s="40"/>
      <c r="AD133" s="30"/>
      <c r="AE133" s="48" t="s">
        <v>90</v>
      </c>
      <c r="AF133" s="47" t="s">
        <v>90</v>
      </c>
      <c r="AG133" s="50" t="s">
        <v>87</v>
      </c>
      <c r="AH133" s="51">
        <v>53952.12</v>
      </c>
      <c r="AI133" s="52">
        <v>50601.34</v>
      </c>
      <c r="AJ133" s="51">
        <v>52989.8</v>
      </c>
      <c r="AK133" s="52">
        <v>49694.56</v>
      </c>
      <c r="AL133" s="40" t="str">
        <f t="shared" si="184"/>
        <v>核减</v>
      </c>
      <c r="AM133" s="40">
        <f t="shared" si="185"/>
        <v>3350.78000000001</v>
      </c>
      <c r="AN133" s="40">
        <f t="shared" si="186"/>
        <v>3295.24000000001</v>
      </c>
      <c r="AO133" s="48"/>
      <c r="AP133" s="56"/>
      <c r="AQ133" s="48"/>
      <c r="AR133" s="56"/>
      <c r="AS133" s="40"/>
      <c r="AT133" s="40"/>
      <c r="AU133" s="51"/>
      <c r="AV133" s="52"/>
      <c r="AW133" s="51"/>
      <c r="AX133" s="52"/>
      <c r="AY133" s="40"/>
      <c r="AZ133" s="55"/>
      <c r="BA133" s="63"/>
      <c r="BB133" s="48"/>
      <c r="BC133" s="56"/>
      <c r="BD133" s="48"/>
      <c r="BE133" s="56"/>
      <c r="BF133" s="64"/>
      <c r="BG133" s="48"/>
      <c r="BH133" s="51"/>
      <c r="BI133" s="52"/>
      <c r="BJ133" s="51"/>
      <c r="BK133" s="52"/>
      <c r="BL133" s="40"/>
      <c r="BM133" s="55"/>
      <c r="BN133" s="63"/>
      <c r="BO133" s="48"/>
      <c r="BP133" s="56"/>
      <c r="BQ133" s="48"/>
      <c r="BR133" s="56"/>
      <c r="BS133" s="40"/>
      <c r="BT133" s="40"/>
      <c r="BU133" s="51"/>
      <c r="BV133" s="52"/>
      <c r="BW133" s="51"/>
      <c r="BX133" s="52"/>
      <c r="BY133" s="40"/>
      <c r="BZ133" s="55"/>
    </row>
    <row r="134" ht="13.5" customHeight="1" spans="1:78">
      <c r="A134" s="25" t="s">
        <v>224</v>
      </c>
      <c r="B134" s="5" t="s">
        <v>81</v>
      </c>
      <c r="C134" s="262"/>
      <c r="D134" s="7"/>
      <c r="E134" s="32" t="str">
        <f t="shared" si="179"/>
        <v/>
      </c>
      <c r="F134" s="30"/>
      <c r="G134" s="6"/>
      <c r="H134" s="7"/>
      <c r="I134" s="38"/>
      <c r="J134" s="30"/>
      <c r="K134" s="6">
        <v>45868</v>
      </c>
      <c r="L134" s="7">
        <v>45896</v>
      </c>
      <c r="M134" s="40" t="str">
        <f t="shared" si="183"/>
        <v>0</v>
      </c>
      <c r="N134" s="242">
        <f ca="1">IF(M134="0",NETWORKDAYS(K134,L134,$CB$3:$CB$19),NETWORKDAYS(K134,'2025整理'!$S$1,$CB$3:$CB$19))</f>
        <v>21</v>
      </c>
      <c r="O134" s="6"/>
      <c r="P134" s="7"/>
      <c r="Q134" s="38"/>
      <c r="R134" s="30"/>
      <c r="S134" s="6"/>
      <c r="T134" s="7"/>
      <c r="U134" s="38"/>
      <c r="V134" s="30"/>
      <c r="W134" s="6"/>
      <c r="X134" s="7"/>
      <c r="Y134" s="38"/>
      <c r="Z134" s="30"/>
      <c r="AA134" s="241"/>
      <c r="AB134" s="7"/>
      <c r="AC134" s="40"/>
      <c r="AD134" s="30"/>
      <c r="AE134" s="48" t="s">
        <v>82</v>
      </c>
      <c r="AF134" s="47" t="s">
        <v>82</v>
      </c>
      <c r="AG134" s="50" t="s">
        <v>87</v>
      </c>
      <c r="AH134" s="51"/>
      <c r="AI134" s="52">
        <v>7982.35</v>
      </c>
      <c r="AJ134" s="51"/>
      <c r="AK134" s="52">
        <v>7855.49</v>
      </c>
      <c r="AL134" s="40"/>
      <c r="AM134" s="40"/>
      <c r="AN134" s="40"/>
      <c r="AO134" s="48"/>
      <c r="AP134" s="56"/>
      <c r="AQ134" s="48"/>
      <c r="AR134" s="56"/>
      <c r="AS134" s="40"/>
      <c r="AT134" s="40"/>
      <c r="AU134" s="51">
        <v>7796.22</v>
      </c>
      <c r="AV134" s="52">
        <v>7272.8</v>
      </c>
      <c r="AW134" s="51">
        <v>7674.95</v>
      </c>
      <c r="AX134" s="52">
        <v>7160.36</v>
      </c>
      <c r="AY134" s="40" t="str">
        <f>IF(AND(AX134&lt;&gt;"",AW134&lt;&gt;""),IF(AX134&gt;AW134,"核增",IF(AX134&lt;AW134,"核减","不变")),"")</f>
        <v>核减</v>
      </c>
      <c r="AZ134" s="55">
        <f>IF(AND(AX134&lt;&gt;"",AW134&lt;&gt;""),MAX(ABS(AX134),ABS(AW134))-MIN(ABS(AX134),ABS(AW134)),"")</f>
        <v>514.59</v>
      </c>
      <c r="BA134" s="63" t="str">
        <f>IF(AND(AV134&lt;&gt;"",AI134&lt;&gt;""),IF(AV134&gt;AI134,"核增",IF(AV134&lt;AI134,"核减","不变")),"")&amp;TEXT(IF(AND(AV134&lt;&gt;"",AI134&lt;&gt;""),MAX(ABS(AV134),ABS(AI134))-MIN(ABS(AV134),ABS(AI134)),""),"0.00")</f>
        <v>核减709.55</v>
      </c>
      <c r="BB134" s="48"/>
      <c r="BC134" s="56"/>
      <c r="BD134" s="48"/>
      <c r="BE134" s="56"/>
      <c r="BF134" s="64"/>
      <c r="BG134" s="48"/>
      <c r="BH134" s="51"/>
      <c r="BI134" s="52"/>
      <c r="BJ134" s="51"/>
      <c r="BK134" s="52"/>
      <c r="BL134" s="40"/>
      <c r="BM134" s="55"/>
      <c r="BN134" s="63"/>
      <c r="BO134" s="48"/>
      <c r="BP134" s="56"/>
      <c r="BQ134" s="48"/>
      <c r="BR134" s="56"/>
      <c r="BS134" s="40"/>
      <c r="BT134" s="40"/>
      <c r="BU134" s="51"/>
      <c r="BV134" s="52"/>
      <c r="BW134" s="51"/>
      <c r="BX134" s="52"/>
      <c r="BY134" s="40"/>
      <c r="BZ134" s="55"/>
    </row>
    <row r="135" ht="13.5" customHeight="1" spans="1:78">
      <c r="A135" s="25" t="s">
        <v>225</v>
      </c>
      <c r="B135" s="5" t="s">
        <v>85</v>
      </c>
      <c r="C135" s="262"/>
      <c r="D135" s="7"/>
      <c r="E135" s="32" t="str">
        <f t="shared" si="179"/>
        <v/>
      </c>
      <c r="F135" s="30"/>
      <c r="G135" s="6"/>
      <c r="H135" s="7"/>
      <c r="I135" s="38"/>
      <c r="J135" s="30"/>
      <c r="K135" s="6"/>
      <c r="L135" s="7"/>
      <c r="M135" s="40"/>
      <c r="N135" s="30"/>
      <c r="O135" s="6"/>
      <c r="P135" s="7"/>
      <c r="Q135" s="38"/>
      <c r="R135" s="30"/>
      <c r="S135" s="6"/>
      <c r="T135" s="7"/>
      <c r="U135" s="38"/>
      <c r="V135" s="30"/>
      <c r="W135" s="6">
        <v>45847</v>
      </c>
      <c r="X135" s="7">
        <v>45847</v>
      </c>
      <c r="Y135" s="38" t="str">
        <f t="shared" ref="Y135:Y136" si="187">IF(W135&lt;&gt;0,IF(X135&lt;&gt;0,"0","1"),"")</f>
        <v>0</v>
      </c>
      <c r="Z135" s="30">
        <f ca="1">IF(Y135="0",NETWORKDAYS(W135,X135,$CB$3:$CB$19),NETWORKDAYS(W135,'2025整理'!$S$1,$CB$3:$CB$19))</f>
        <v>1</v>
      </c>
      <c r="AA135" s="241"/>
      <c r="AB135" s="7"/>
      <c r="AC135" s="40"/>
      <c r="AD135" s="30"/>
      <c r="AE135" s="48" t="s">
        <v>87</v>
      </c>
      <c r="AF135" s="47" t="s">
        <v>91</v>
      </c>
      <c r="AG135" s="50" t="s">
        <v>87</v>
      </c>
      <c r="AH135" s="51"/>
      <c r="AI135" s="52"/>
      <c r="AJ135" s="51"/>
      <c r="AK135" s="52"/>
      <c r="AL135" s="40"/>
      <c r="AM135" s="40"/>
      <c r="AN135" s="40"/>
      <c r="AO135" s="48"/>
      <c r="AP135" s="56"/>
      <c r="AQ135" s="48"/>
      <c r="AR135" s="56"/>
      <c r="AS135" s="40"/>
      <c r="AT135" s="40"/>
      <c r="AU135" s="51"/>
      <c r="AV135" s="52"/>
      <c r="AW135" s="51"/>
      <c r="AX135" s="52"/>
      <c r="AY135" s="40"/>
      <c r="AZ135" s="55"/>
      <c r="BA135" s="63"/>
      <c r="BB135" s="48"/>
      <c r="BC135" s="56"/>
      <c r="BD135" s="48"/>
      <c r="BE135" s="56"/>
      <c r="BF135" s="64"/>
      <c r="BG135" s="48"/>
      <c r="BH135" s="51"/>
      <c r="BI135" s="52">
        <v>11157</v>
      </c>
      <c r="BJ135" s="51"/>
      <c r="BK135" s="52">
        <v>10988</v>
      </c>
      <c r="BL135" s="40"/>
      <c r="BM135" s="55"/>
      <c r="BN135" s="63"/>
      <c r="BO135" s="48">
        <v>11729</v>
      </c>
      <c r="BP135" s="56">
        <v>11729</v>
      </c>
      <c r="BQ135" s="48">
        <v>11551</v>
      </c>
      <c r="BR135" s="56">
        <v>11551</v>
      </c>
      <c r="BS135" s="40" t="str">
        <f>IF(AND(BR135&lt;&gt;"",BQ135&lt;&gt;""),IF(BR135&gt;BQ135,"核增",IF(BR135&lt;BQ135,"核减","不变")),"")</f>
        <v>不变</v>
      </c>
      <c r="BT135" s="40">
        <f>IF(AND(BR135&lt;&gt;"",BQ135&lt;&gt;""),MAX(ABS(BR135),ABS(BQ135))-MIN(ABS(BR135),ABS(BQ135)),"")</f>
        <v>0</v>
      </c>
      <c r="BU135" s="51"/>
      <c r="BV135" s="52"/>
      <c r="BW135" s="51"/>
      <c r="BX135" s="52"/>
      <c r="BY135" s="40"/>
      <c r="BZ135" s="55"/>
    </row>
    <row r="136" ht="13.5" customHeight="1" spans="1:78">
      <c r="A136" s="25" t="s">
        <v>226</v>
      </c>
      <c r="B136" s="5" t="s">
        <v>81</v>
      </c>
      <c r="C136" s="262"/>
      <c r="D136" s="7"/>
      <c r="E136" s="32"/>
      <c r="F136" s="30"/>
      <c r="G136" s="236"/>
      <c r="H136" s="7"/>
      <c r="I136" s="38" t="str">
        <f>IF(G136&lt;&gt;0,IF(H136&lt;&gt;0,"0","1"),"")</f>
        <v/>
      </c>
      <c r="J136" s="30"/>
      <c r="K136" s="6"/>
      <c r="L136" s="7"/>
      <c r="M136" s="40"/>
      <c r="N136" s="30"/>
      <c r="O136" s="6"/>
      <c r="P136" s="7"/>
      <c r="Q136" s="38"/>
      <c r="R136" s="30"/>
      <c r="S136" s="6">
        <v>45876</v>
      </c>
      <c r="T136" s="7">
        <v>45888</v>
      </c>
      <c r="U136" s="38" t="str">
        <f>IF(S136&lt;&gt;0,IF(T136&lt;&gt;0,"0","1"),"")</f>
        <v>0</v>
      </c>
      <c r="V136" s="30">
        <f ca="1">IF(U136="0",NETWORKDAYS(S136,T136,$CB$3:$CB$19),NETWORKDAYS(S136,'2025整理'!$S$1,$CB$3:$CB$19))</f>
        <v>9</v>
      </c>
      <c r="W136" s="6"/>
      <c r="X136" s="7"/>
      <c r="Y136" s="38" t="str">
        <f t="shared" si="187"/>
        <v/>
      </c>
      <c r="Z136" s="30"/>
      <c r="AA136" s="241"/>
      <c r="AB136" s="7"/>
      <c r="AC136" s="40"/>
      <c r="AD136" s="30"/>
      <c r="AE136" s="46" t="s">
        <v>86</v>
      </c>
      <c r="AF136" s="47" t="s">
        <v>86</v>
      </c>
      <c r="AG136" s="50" t="s">
        <v>83</v>
      </c>
      <c r="AH136" s="51"/>
      <c r="AI136" s="52"/>
      <c r="AJ136" s="51"/>
      <c r="AK136" s="52"/>
      <c r="AL136" s="40"/>
      <c r="AM136" s="40"/>
      <c r="AN136" s="40"/>
      <c r="AO136" s="48"/>
      <c r="AP136" s="56"/>
      <c r="AQ136" s="48"/>
      <c r="AR136" s="56"/>
      <c r="AS136" s="40"/>
      <c r="AT136" s="40"/>
      <c r="AU136" s="51"/>
      <c r="AV136" s="52">
        <v>10850.82</v>
      </c>
      <c r="AW136" s="51"/>
      <c r="AX136" s="52">
        <v>10695.12</v>
      </c>
      <c r="AY136" s="40"/>
      <c r="AZ136" s="55"/>
      <c r="BA136" s="63"/>
      <c r="BB136" s="48"/>
      <c r="BC136" s="56"/>
      <c r="BD136" s="48"/>
      <c r="BE136" s="56"/>
      <c r="BF136" s="64"/>
      <c r="BG136" s="48"/>
      <c r="BH136" s="51">
        <v>10824.66</v>
      </c>
      <c r="BI136" s="52">
        <v>10848.68</v>
      </c>
      <c r="BJ136" s="51">
        <v>10656.73</v>
      </c>
      <c r="BK136" s="52">
        <v>10680.53</v>
      </c>
      <c r="BL136" s="40" t="str">
        <f>IF(AND(BK136&lt;&gt;"",BJ136&lt;&gt;""),IF(BK136&gt;BJ136,"核增",IF(BK136&lt;BJ136,"核减","不变")),"")</f>
        <v>核增</v>
      </c>
      <c r="BM136" s="55">
        <f>IF(AND(BK136&lt;&gt;"",BJ136&lt;&gt;""),MAX(ABS(BK136),ABS(BJ136))-MIN(ABS(BK136),ABS(BJ136)),"")</f>
        <v>23.8000000000011</v>
      </c>
      <c r="BN136" s="63" t="str">
        <f>IF(AND(BI136&lt;&gt;"",AV136&lt;&gt;""),IF(BI136&gt;AV136,"核增",IF(BI136&lt;AV136,"核减","不变")),"")&amp;TEXT(IF(AND(BI136&lt;&gt;"",AV136&lt;&gt;""),MAX(ABS(BI136),ABS(AV136))-MIN(ABS(BI136),ABS(AV136)),""),"0.00")</f>
        <v>核减2.14</v>
      </c>
      <c r="BO136" s="48"/>
      <c r="BP136" s="56"/>
      <c r="BQ136" s="48"/>
      <c r="BR136" s="56"/>
      <c r="BS136" s="40"/>
      <c r="BT136" s="40"/>
      <c r="BU136" s="51"/>
      <c r="BV136" s="52"/>
      <c r="BW136" s="51"/>
      <c r="BX136" s="52"/>
      <c r="BY136" s="40"/>
      <c r="BZ136" s="55"/>
    </row>
    <row r="137" ht="13.5" customHeight="1" spans="1:78">
      <c r="A137" s="25" t="s">
        <v>227</v>
      </c>
      <c r="B137" s="5" t="s">
        <v>85</v>
      </c>
      <c r="C137" s="262">
        <v>45840</v>
      </c>
      <c r="D137" s="7">
        <v>45852</v>
      </c>
      <c r="E137" s="32" t="str">
        <f t="shared" ref="E137:E138" si="188">IF(C137&lt;&gt;0,IF(D137&lt;&gt;0,"0","1"),"")</f>
        <v>0</v>
      </c>
      <c r="F137" s="30">
        <f ca="1">IF(E137="0",NETWORKDAYS(C137,D137,$CB$3:$CB$19),NETWORKDAYS(C137,'2025整理'!$S$1,$CB$3:$CB$19))</f>
        <v>9</v>
      </c>
      <c r="G137" s="6"/>
      <c r="H137" s="7"/>
      <c r="I137" s="38"/>
      <c r="J137" s="30"/>
      <c r="K137" s="6">
        <v>46003</v>
      </c>
      <c r="L137" s="7">
        <v>46015</v>
      </c>
      <c r="M137" s="40" t="str">
        <f>IF(K137&lt;&gt;0,IF(L137&lt;&gt;0,"0","1"),"")</f>
        <v>0</v>
      </c>
      <c r="N137" s="30">
        <f ca="1">IF(M137="0",NETWORKDAYS(K137,L137,$CB$3:$CB$19),NETWORKDAYS(K137,'2025整理'!$S$1,$CB$3:$CB$19))</f>
        <v>9</v>
      </c>
      <c r="O137" s="6"/>
      <c r="P137" s="7"/>
      <c r="Q137" s="38"/>
      <c r="R137" s="30"/>
      <c r="S137" s="6"/>
      <c r="T137" s="7"/>
      <c r="U137" s="38"/>
      <c r="V137" s="30"/>
      <c r="W137" s="6"/>
      <c r="X137" s="7"/>
      <c r="Y137" s="38"/>
      <c r="Z137" s="30"/>
      <c r="AA137" s="241"/>
      <c r="AB137" s="7"/>
      <c r="AC137" s="40"/>
      <c r="AD137" s="30"/>
      <c r="AE137" s="48" t="s">
        <v>87</v>
      </c>
      <c r="AF137" s="47" t="s">
        <v>91</v>
      </c>
      <c r="AG137" s="50" t="s">
        <v>87</v>
      </c>
      <c r="AH137" s="51">
        <v>1668.1</v>
      </c>
      <c r="AI137" s="52">
        <v>1830.33</v>
      </c>
      <c r="AJ137" s="51">
        <v>1668.1</v>
      </c>
      <c r="AK137" s="52">
        <v>1830.33</v>
      </c>
      <c r="AL137" s="40" t="str">
        <f t="shared" ref="AL137:AL138" si="189">IF(AND(AK137&lt;&gt;"",AJ137&lt;&gt;""),IF(AK137&gt;AJ137,"核增",IF(AK137&lt;AJ137,"核减","不变")),"")</f>
        <v>核增</v>
      </c>
      <c r="AM137" s="40">
        <f t="shared" ref="AM137:AM138" si="190">IF(AND(AI137&lt;&gt;"",AH137&lt;&gt;""),MAX(ABS(AI137),ABS(AH137))-MIN(ABS(AI137),ABS(AH137)),"")</f>
        <v>162.23</v>
      </c>
      <c r="AN137" s="40">
        <f t="shared" ref="AN137:AN138" si="191">IF(AND(AK137&lt;&gt;"",AJ137&lt;&gt;""),MAX(ABS(AK137),ABS(AJ137))-MIN(ABS(AK137),ABS(AJ137)),"")</f>
        <v>162.23</v>
      </c>
      <c r="AO137" s="48"/>
      <c r="AP137" s="56"/>
      <c r="AQ137" s="48"/>
      <c r="AR137" s="56"/>
      <c r="AS137" s="40"/>
      <c r="AT137" s="40"/>
      <c r="AU137" s="51">
        <v>1825.73</v>
      </c>
      <c r="AV137" s="52">
        <v>1611.64</v>
      </c>
      <c r="AW137" s="51">
        <v>1825.73</v>
      </c>
      <c r="AX137" s="52">
        <v>1611.64</v>
      </c>
      <c r="AY137" s="40" t="str">
        <f>IF(AND(AX137&lt;&gt;"",AW137&lt;&gt;""),IF(AX137&gt;AW137,"核增",IF(AX137&lt;AW137,"核减","不变")),"")</f>
        <v>核减</v>
      </c>
      <c r="AZ137" s="55">
        <f>IF(AND(AX137&lt;&gt;"",AW137&lt;&gt;""),MAX(ABS(AX137),ABS(AW137))-MIN(ABS(AX137),ABS(AW137)),"")</f>
        <v>214.09</v>
      </c>
      <c r="BA137" s="63" t="str">
        <f>IF(AND(AV137&lt;&gt;"",AI137&lt;&gt;""),IF(AV137&gt;AI137,"核增",IF(AV137&lt;AI137,"核减","不变")),"")&amp;TEXT(IF(AND(AV137&lt;&gt;"",AI137&lt;&gt;""),MAX(ABS(AV137),ABS(AI137))-MIN(ABS(AV137),ABS(AI137)),""),"0.00")</f>
        <v>核减218.69</v>
      </c>
      <c r="BB137" s="48"/>
      <c r="BC137" s="56"/>
      <c r="BD137" s="48"/>
      <c r="BE137" s="56"/>
      <c r="BF137" s="64"/>
      <c r="BG137" s="48"/>
      <c r="BH137" s="51"/>
      <c r="BI137" s="52"/>
      <c r="BJ137" s="51"/>
      <c r="BK137" s="52"/>
      <c r="BL137" s="40"/>
      <c r="BM137" s="55"/>
      <c r="BN137" s="63"/>
      <c r="BO137" s="48"/>
      <c r="BP137" s="56"/>
      <c r="BQ137" s="48"/>
      <c r="BR137" s="56"/>
      <c r="BS137" s="40"/>
      <c r="BT137" s="40"/>
      <c r="BU137" s="51"/>
      <c r="BV137" s="52"/>
      <c r="BW137" s="51"/>
      <c r="BX137" s="52"/>
      <c r="BY137" s="40"/>
      <c r="BZ137" s="55"/>
    </row>
    <row r="138" ht="13.5" customHeight="1" spans="1:78">
      <c r="A138" s="25" t="s">
        <v>228</v>
      </c>
      <c r="B138" s="5" t="s">
        <v>93</v>
      </c>
      <c r="C138" s="262">
        <v>45964</v>
      </c>
      <c r="D138" s="7">
        <v>45981</v>
      </c>
      <c r="E138" s="32" t="str">
        <f t="shared" si="188"/>
        <v>0</v>
      </c>
      <c r="F138" s="242">
        <f ca="1">IF(E138="0",NETWORKDAYS(C138,D138,$CB$3:$CB$19),NETWORKDAYS(C138,'2025整理'!$S$1,$CB$3:$CB$19))</f>
        <v>14</v>
      </c>
      <c r="G138" s="6"/>
      <c r="H138" s="7"/>
      <c r="I138" s="38"/>
      <c r="J138" s="30"/>
      <c r="K138" s="6"/>
      <c r="L138" s="7"/>
      <c r="M138" s="40"/>
      <c r="N138" s="30"/>
      <c r="O138" s="6"/>
      <c r="P138" s="7"/>
      <c r="Q138" s="38"/>
      <c r="R138" s="30"/>
      <c r="S138" s="6"/>
      <c r="T138" s="7"/>
      <c r="U138" s="38"/>
      <c r="V138" s="30"/>
      <c r="W138" s="6"/>
      <c r="X138" s="7"/>
      <c r="Y138" s="38"/>
      <c r="Z138" s="30"/>
      <c r="AA138" s="241"/>
      <c r="AB138" s="7"/>
      <c r="AC138" s="40"/>
      <c r="AD138" s="30"/>
      <c r="AE138" s="46" t="s">
        <v>97</v>
      </c>
      <c r="AF138" s="47" t="s">
        <v>91</v>
      </c>
      <c r="AG138" s="50" t="s">
        <v>97</v>
      </c>
      <c r="AH138" s="51">
        <v>6807.96</v>
      </c>
      <c r="AI138" s="52">
        <v>5217.36</v>
      </c>
      <c r="AJ138" s="51">
        <v>6807.96</v>
      </c>
      <c r="AK138" s="52">
        <v>5217.36</v>
      </c>
      <c r="AL138" s="40" t="str">
        <f t="shared" si="189"/>
        <v>核减</v>
      </c>
      <c r="AM138" s="40">
        <f t="shared" si="190"/>
        <v>1590.6</v>
      </c>
      <c r="AN138" s="40">
        <f t="shared" si="191"/>
        <v>1590.6</v>
      </c>
      <c r="AO138" s="48"/>
      <c r="AP138" s="56"/>
      <c r="AQ138" s="48"/>
      <c r="AR138" s="56"/>
      <c r="AS138" s="40"/>
      <c r="AT138" s="40"/>
      <c r="AU138" s="51"/>
      <c r="AV138" s="52"/>
      <c r="AW138" s="51"/>
      <c r="AX138" s="52"/>
      <c r="AY138" s="40"/>
      <c r="AZ138" s="55"/>
      <c r="BA138" s="63"/>
      <c r="BB138" s="48"/>
      <c r="BC138" s="56"/>
      <c r="BD138" s="48"/>
      <c r="BE138" s="56"/>
      <c r="BF138" s="64"/>
      <c r="BG138" s="48"/>
      <c r="BH138" s="51"/>
      <c r="BI138" s="52"/>
      <c r="BJ138" s="51"/>
      <c r="BK138" s="52"/>
      <c r="BL138" s="40"/>
      <c r="BM138" s="55"/>
      <c r="BN138" s="63"/>
      <c r="BO138" s="48"/>
      <c r="BP138" s="56"/>
      <c r="BQ138" s="48"/>
      <c r="BR138" s="56"/>
      <c r="BS138" s="40"/>
      <c r="BT138" s="40"/>
      <c r="BU138" s="51"/>
      <c r="BV138" s="52"/>
      <c r="BW138" s="51"/>
      <c r="BX138" s="52"/>
      <c r="BY138" s="40"/>
      <c r="BZ138" s="55"/>
    </row>
    <row r="139" ht="13.5" customHeight="1" spans="1:78">
      <c r="A139" s="25" t="s">
        <v>229</v>
      </c>
      <c r="B139" s="5" t="s">
        <v>93</v>
      </c>
      <c r="C139" s="262"/>
      <c r="D139" s="7"/>
      <c r="E139" s="32"/>
      <c r="F139" s="30"/>
      <c r="G139" s="6"/>
      <c r="H139" s="7"/>
      <c r="I139" s="38"/>
      <c r="J139" s="30"/>
      <c r="K139" s="6">
        <v>45856</v>
      </c>
      <c r="L139" s="238">
        <v>45861</v>
      </c>
      <c r="M139" s="40" t="str">
        <f>IF(K139&lt;&gt;0,IF(L139&lt;&gt;0,"0","1"),"")</f>
        <v>0</v>
      </c>
      <c r="N139" s="30">
        <f ca="1">IF(M139="0",NETWORKDAYS(K139,L139,$CB$3:$CB$19),NETWORKDAYS(K139,'2025整理'!$S$1,$CB$3:$CB$19))</f>
        <v>4</v>
      </c>
      <c r="O139" s="6"/>
      <c r="P139" s="7"/>
      <c r="Q139" s="38"/>
      <c r="R139" s="30"/>
      <c r="S139" s="6">
        <v>46002</v>
      </c>
      <c r="T139" s="7"/>
      <c r="U139" s="38" t="str">
        <f t="shared" ref="U139:U140" si="192">IF(S139&lt;&gt;0,IF(T139&lt;&gt;0,"0","1"),"")</f>
        <v>1</v>
      </c>
      <c r="V139" s="30">
        <f ca="1">IF(U139="0",NETWORKDAYS(S139,T139,$CB$3:$CB$19),NETWORKDAYS(S139,'2025整理'!$S$1,$CB$3:$CB$19))</f>
        <v>13</v>
      </c>
      <c r="W139" s="6"/>
      <c r="X139" s="7"/>
      <c r="Y139" s="38"/>
      <c r="Z139" s="30"/>
      <c r="AA139" s="241"/>
      <c r="AB139" s="7"/>
      <c r="AC139" s="40"/>
      <c r="AD139" s="30"/>
      <c r="AE139" s="48" t="s">
        <v>90</v>
      </c>
      <c r="AF139" s="47" t="s">
        <v>90</v>
      </c>
      <c r="AG139" s="50" t="s">
        <v>91</v>
      </c>
      <c r="AH139" s="51"/>
      <c r="AI139" s="52">
        <v>9180.29</v>
      </c>
      <c r="AJ139" s="51"/>
      <c r="AK139" s="52">
        <v>9011.66</v>
      </c>
      <c r="AL139" s="40"/>
      <c r="AM139" s="40"/>
      <c r="AN139" s="40"/>
      <c r="AO139" s="48"/>
      <c r="AP139" s="56"/>
      <c r="AQ139" s="48"/>
      <c r="AR139" s="56"/>
      <c r="AS139" s="40"/>
      <c r="AT139" s="40"/>
      <c r="AU139" s="51">
        <v>8696.18</v>
      </c>
      <c r="AV139" s="52">
        <v>9026.82</v>
      </c>
      <c r="AW139" s="51">
        <v>8552.15</v>
      </c>
      <c r="AX139" s="52">
        <v>8877.31</v>
      </c>
      <c r="AY139" s="40" t="str">
        <f>IF(AND(AX139&lt;&gt;"",AW139&lt;&gt;""),IF(AX139&gt;AW139,"核增",IF(AX139&lt;AW139,"核减","不变")),"")</f>
        <v>核增</v>
      </c>
      <c r="AZ139" s="55">
        <f>IF(AND(AX139&lt;&gt;"",AW139&lt;&gt;""),MAX(ABS(AX139),ABS(AW139))-MIN(ABS(AX139),ABS(AW139)),"")</f>
        <v>325.16</v>
      </c>
      <c r="BA139" s="63" t="str">
        <f>IF(AND(AV139&lt;&gt;"",AI139&lt;&gt;""),IF(AV139&gt;AI139,"核增",IF(AV139&lt;AI139,"核减","不变")),"")&amp;TEXT(IF(AND(AV139&lt;&gt;"",AI139&lt;&gt;""),MAX(ABS(AV139),ABS(AI139))-MIN(ABS(AV139),ABS(AI139)),""),"0.00")</f>
        <v>核减153.47</v>
      </c>
      <c r="BB139" s="48"/>
      <c r="BC139" s="56"/>
      <c r="BD139" s="48"/>
      <c r="BE139" s="56"/>
      <c r="BF139" s="64"/>
      <c r="BG139" s="48"/>
      <c r="BH139" s="51"/>
      <c r="BI139" s="52"/>
      <c r="BJ139" s="51"/>
      <c r="BK139" s="52"/>
      <c r="BL139" s="40"/>
      <c r="BM139" s="55"/>
      <c r="BN139" s="63"/>
      <c r="BO139" s="48"/>
      <c r="BP139" s="56"/>
      <c r="BQ139" s="48"/>
      <c r="BR139" s="56"/>
      <c r="BS139" s="40"/>
      <c r="BT139" s="40"/>
      <c r="BU139" s="51"/>
      <c r="BV139" s="52"/>
      <c r="BW139" s="51"/>
      <c r="BX139" s="52"/>
      <c r="BY139" s="40"/>
      <c r="BZ139" s="55"/>
    </row>
    <row r="140" ht="13.5" customHeight="1" spans="1:78">
      <c r="A140" s="25" t="s">
        <v>230</v>
      </c>
      <c r="B140" s="5" t="s">
        <v>93</v>
      </c>
      <c r="C140" s="262"/>
      <c r="D140" s="7"/>
      <c r="E140" s="32"/>
      <c r="F140" s="30"/>
      <c r="G140" s="6"/>
      <c r="H140" s="7"/>
      <c r="I140" s="38"/>
      <c r="J140" s="30"/>
      <c r="K140" s="6"/>
      <c r="L140" s="7"/>
      <c r="M140" s="40"/>
      <c r="N140" s="30"/>
      <c r="O140" s="6"/>
      <c r="P140" s="7"/>
      <c r="Q140" s="38"/>
      <c r="R140" s="30"/>
      <c r="S140" s="6">
        <v>45867</v>
      </c>
      <c r="T140" s="7">
        <v>45883</v>
      </c>
      <c r="U140" s="38" t="str">
        <f t="shared" si="192"/>
        <v>0</v>
      </c>
      <c r="V140" s="30">
        <f ca="1">IF(U140="0",NETWORKDAYS(S140,T140,$CB$3:$CB$19),NETWORKDAYS(S140,'2025整理'!$S$1,$CB$3:$CB$19))</f>
        <v>13</v>
      </c>
      <c r="W140" s="6"/>
      <c r="X140" s="7"/>
      <c r="Y140" s="38"/>
      <c r="Z140" s="30"/>
      <c r="AA140" s="16">
        <v>45912</v>
      </c>
      <c r="AB140" s="7">
        <v>45951</v>
      </c>
      <c r="AC140" s="40" t="str">
        <f t="shared" ref="AC140:AC141" si="193">IF(AA140&lt;&gt;0,IF(AB140&lt;&gt;0,"0","1"),"")</f>
        <v>0</v>
      </c>
      <c r="AD140" s="30">
        <f ca="1">IF(AC140="0",NETWORKDAYS(AA140,AB140,$CB$3:$CB$19),NETWORKDAYS(AA140,'2025整理'!$S$1,$CB$3:$CB$19))</f>
        <v>28</v>
      </c>
      <c r="AE140" s="46" t="s">
        <v>83</v>
      </c>
      <c r="AF140" s="49" t="s">
        <v>82</v>
      </c>
      <c r="AG140" s="50" t="s">
        <v>83</v>
      </c>
      <c r="AH140" s="51"/>
      <c r="AI140" s="52"/>
      <c r="AJ140" s="51"/>
      <c r="AK140" s="52"/>
      <c r="AL140" s="40"/>
      <c r="AM140" s="40"/>
      <c r="AN140" s="40"/>
      <c r="AO140" s="48"/>
      <c r="AP140" s="56"/>
      <c r="AQ140" s="48"/>
      <c r="AR140" s="56"/>
      <c r="AS140" s="40"/>
      <c r="AT140" s="40"/>
      <c r="AU140" s="51"/>
      <c r="AV140" s="52"/>
      <c r="AW140" s="51"/>
      <c r="AX140" s="52"/>
      <c r="AY140" s="40"/>
      <c r="AZ140" s="55"/>
      <c r="BA140" s="63"/>
      <c r="BB140" s="48"/>
      <c r="BC140" s="56">
        <v>1393.91</v>
      </c>
      <c r="BD140" s="48"/>
      <c r="BE140" s="56">
        <v>1369.99</v>
      </c>
      <c r="BF140" s="64"/>
      <c r="BG140" s="48"/>
      <c r="BH140" s="51">
        <v>1243.95</v>
      </c>
      <c r="BI140" s="52">
        <v>1124.56</v>
      </c>
      <c r="BJ140" s="51">
        <v>1222.6</v>
      </c>
      <c r="BK140" s="52">
        <v>1107.16</v>
      </c>
      <c r="BL140" s="40" t="str">
        <f>IF(AND(BK140&lt;&gt;"",BJ140&lt;&gt;""),IF(BK140&gt;BJ140,"核增",IF(BK140&lt;BJ140,"核减","不变")),"")</f>
        <v>核减</v>
      </c>
      <c r="BM140" s="55">
        <f>IF(AND(BK140&lt;&gt;"",BJ140&lt;&gt;""),MAX(ABS(BK140),ABS(BJ140))-MIN(ABS(BK140),ABS(BJ140)),"")</f>
        <v>115.44</v>
      </c>
      <c r="BN140" s="63" t="str">
        <f>IF(AND(BI140&lt;&gt;"",BC140&lt;&gt;""),IF(BI140&gt;BC140,"核增",IF(BI140&lt;BC140,"核减","不变")),"")&amp;TEXT(IF(AND(BI140&lt;&gt;"",BC140&lt;&gt;""),MAX(ABS(BI140),ABS(BC140))-MIN(ABS(BI140),ABS(BC140)),""),"0.00")</f>
        <v>核减269.35</v>
      </c>
      <c r="BO140" s="48"/>
      <c r="BP140" s="56"/>
      <c r="BQ140" s="48"/>
      <c r="BR140" s="56"/>
      <c r="BS140" s="40"/>
      <c r="BT140" s="40"/>
      <c r="BU140" s="82">
        <f>ABS(-2648.81)</f>
        <v>2648.81</v>
      </c>
      <c r="BV140" s="83">
        <f>ABS(-2852.33)</f>
        <v>2852.33</v>
      </c>
      <c r="BW140" s="82">
        <f>ABS(-2648.81)</f>
        <v>2648.81</v>
      </c>
      <c r="BX140" s="83">
        <f>ABS(-2852.33)</f>
        <v>2852.33</v>
      </c>
      <c r="BY140" s="253" t="str">
        <f>IF(AND(BX140&lt;&gt;"",BW140&lt;&gt;""),IF(BX140&gt;BW140,"核减",IF(BX140&lt;BW140,"核增","不变")),"")</f>
        <v>核减</v>
      </c>
      <c r="BZ140" s="55">
        <f t="shared" ref="BZ140:BZ141" si="194">IF(AND(BX140&lt;&gt;"",BW140&lt;&gt;""),MAX(ABS(BX140),ABS(BW140))-MIN(ABS(BX140),ABS(BW140)),"")</f>
        <v>203.52</v>
      </c>
    </row>
    <row r="141" ht="13.5" customHeight="1" spans="1:78">
      <c r="A141" s="25" t="s">
        <v>231</v>
      </c>
      <c r="B141" s="5" t="s">
        <v>93</v>
      </c>
      <c r="C141" s="262"/>
      <c r="D141" s="7"/>
      <c r="E141" s="32"/>
      <c r="F141" s="30"/>
      <c r="G141" s="6"/>
      <c r="H141" s="7"/>
      <c r="I141" s="38"/>
      <c r="J141" s="30"/>
      <c r="K141" s="6"/>
      <c r="L141" s="7"/>
      <c r="M141" s="40"/>
      <c r="N141" s="30"/>
      <c r="O141" s="6"/>
      <c r="P141" s="7"/>
      <c r="Q141" s="38"/>
      <c r="R141" s="30"/>
      <c r="S141" s="6"/>
      <c r="T141" s="7"/>
      <c r="U141" s="38"/>
      <c r="V141" s="30"/>
      <c r="W141" s="6"/>
      <c r="X141" s="7"/>
      <c r="Y141" s="38"/>
      <c r="Z141" s="30"/>
      <c r="AA141" s="16">
        <v>45877</v>
      </c>
      <c r="AB141" s="7">
        <v>45889</v>
      </c>
      <c r="AC141" s="40" t="str">
        <f t="shared" si="193"/>
        <v>0</v>
      </c>
      <c r="AD141" s="30">
        <f ca="1">IF(AC141="0",NETWORKDAYS(AA141,AB141,$CB$3:$CB$19),NETWORKDAYS(AA141,'2025整理'!$S$1,$CB$3:$CB$19))</f>
        <v>9</v>
      </c>
      <c r="AE141" s="48" t="s">
        <v>82</v>
      </c>
      <c r="AF141" s="47" t="s">
        <v>82</v>
      </c>
      <c r="AG141" s="50" t="s">
        <v>97</v>
      </c>
      <c r="AH141" s="51"/>
      <c r="AI141" s="52"/>
      <c r="AJ141" s="51"/>
      <c r="AK141" s="52"/>
      <c r="AL141" s="40"/>
      <c r="AM141" s="40"/>
      <c r="AN141" s="40"/>
      <c r="AO141" s="48"/>
      <c r="AP141" s="56"/>
      <c r="AQ141" s="48"/>
      <c r="AR141" s="56"/>
      <c r="AS141" s="40"/>
      <c r="AT141" s="40"/>
      <c r="AU141" s="51"/>
      <c r="AV141" s="52"/>
      <c r="AW141" s="51"/>
      <c r="AX141" s="52"/>
      <c r="AY141" s="40"/>
      <c r="AZ141" s="55"/>
      <c r="BA141" s="63"/>
      <c r="BB141" s="48"/>
      <c r="BC141" s="56"/>
      <c r="BD141" s="48"/>
      <c r="BE141" s="56"/>
      <c r="BF141" s="64"/>
      <c r="BG141" s="48"/>
      <c r="BH141" s="51"/>
      <c r="BI141" s="52"/>
      <c r="BJ141" s="51"/>
      <c r="BK141" s="52"/>
      <c r="BL141" s="40"/>
      <c r="BM141" s="55"/>
      <c r="BN141" s="63"/>
      <c r="BO141" s="48"/>
      <c r="BP141" s="56"/>
      <c r="BQ141" s="48"/>
      <c r="BR141" s="56"/>
      <c r="BS141" s="40"/>
      <c r="BT141" s="40"/>
      <c r="BU141" s="51">
        <v>4475.19</v>
      </c>
      <c r="BV141" s="52">
        <v>368.92</v>
      </c>
      <c r="BW141" s="51">
        <v>4475.19</v>
      </c>
      <c r="BX141" s="52">
        <v>368.92</v>
      </c>
      <c r="BY141" s="40" t="str">
        <f>IF(AND(BX141&lt;&gt;"",BW141&lt;&gt;""),IF(BX141&gt;BW141,"核增",IF(BX141&lt;BW141,"核减","不变")),"")</f>
        <v>核减</v>
      </c>
      <c r="BZ141" s="55">
        <f t="shared" si="194"/>
        <v>4106.27</v>
      </c>
    </row>
    <row r="142" ht="13.5" customHeight="1" spans="1:78">
      <c r="A142" s="25" t="s">
        <v>232</v>
      </c>
      <c r="B142" s="5" t="s">
        <v>81</v>
      </c>
      <c r="C142" s="262">
        <v>45890</v>
      </c>
      <c r="D142" s="7">
        <v>45915</v>
      </c>
      <c r="E142" s="32" t="str">
        <f t="shared" ref="E142:E144" si="195">IF(C142&lt;&gt;0,IF(D142&lt;&gt;0,"0","1"),"")</f>
        <v>0</v>
      </c>
      <c r="F142" s="30">
        <f ca="1">IF(E142="0",NETWORKDAYS(C142,D142,$CB$3:$CB$19),NETWORKDAYS(C142,'2025整理'!$S$1,$CB$3:$CB$19))</f>
        <v>18</v>
      </c>
      <c r="G142" s="6"/>
      <c r="H142" s="7"/>
      <c r="I142" s="38"/>
      <c r="J142" s="30"/>
      <c r="K142" s="6"/>
      <c r="L142" s="7"/>
      <c r="M142" s="40"/>
      <c r="N142" s="30"/>
      <c r="O142" s="6"/>
      <c r="P142" s="7"/>
      <c r="Q142" s="38"/>
      <c r="R142" s="30"/>
      <c r="S142" s="6"/>
      <c r="T142" s="7"/>
      <c r="U142" s="38"/>
      <c r="V142" s="30"/>
      <c r="W142" s="6"/>
      <c r="X142" s="7"/>
      <c r="Y142" s="38"/>
      <c r="Z142" s="30"/>
      <c r="AA142" s="241"/>
      <c r="AB142" s="7"/>
      <c r="AC142" s="40"/>
      <c r="AD142" s="30"/>
      <c r="AE142" s="48" t="s">
        <v>87</v>
      </c>
      <c r="AF142" s="47" t="s">
        <v>82</v>
      </c>
      <c r="AG142" s="50" t="s">
        <v>87</v>
      </c>
      <c r="AH142" s="51">
        <v>6434.26</v>
      </c>
      <c r="AI142" s="52">
        <v>5800.87</v>
      </c>
      <c r="AJ142" s="51">
        <v>6327.18</v>
      </c>
      <c r="AK142" s="52">
        <v>5704.58</v>
      </c>
      <c r="AL142" s="40" t="str">
        <f>IF(AND(AK142&lt;&gt;"",AJ142&lt;&gt;""),IF(AK142&gt;AJ142,"核增",IF(AK142&lt;AJ142,"核减","不变")),"")</f>
        <v>核减</v>
      </c>
      <c r="AM142" s="40">
        <f>IF(AND(AI142&lt;&gt;"",AH142&lt;&gt;""),MAX(ABS(AI142),ABS(AH142))-MIN(ABS(AI142),ABS(AH142)),"")</f>
        <v>633.39</v>
      </c>
      <c r="AN142" s="40">
        <f>IF(AND(AK142&lt;&gt;"",AJ142&lt;&gt;""),MAX(ABS(AK142),ABS(AJ142))-MIN(ABS(AK142),ABS(AJ142)),"")</f>
        <v>622.6</v>
      </c>
      <c r="AO142" s="48"/>
      <c r="AP142" s="56"/>
      <c r="AQ142" s="48"/>
      <c r="AR142" s="56"/>
      <c r="AS142" s="40"/>
      <c r="AT142" s="40"/>
      <c r="AU142" s="51"/>
      <c r="AV142" s="52"/>
      <c r="AW142" s="51"/>
      <c r="AX142" s="52"/>
      <c r="AY142" s="40"/>
      <c r="AZ142" s="55"/>
      <c r="BA142" s="63"/>
      <c r="BB142" s="48"/>
      <c r="BC142" s="56"/>
      <c r="BD142" s="48"/>
      <c r="BE142" s="56"/>
      <c r="BF142" s="64"/>
      <c r="BG142" s="48"/>
      <c r="BH142" s="51"/>
      <c r="BI142" s="52"/>
      <c r="BJ142" s="51"/>
      <c r="BK142" s="52"/>
      <c r="BL142" s="40"/>
      <c r="BM142" s="55"/>
      <c r="BN142" s="63"/>
      <c r="BO142" s="48"/>
      <c r="BP142" s="56"/>
      <c r="BQ142" s="48"/>
      <c r="BR142" s="56"/>
      <c r="BS142" s="40"/>
      <c r="BT142" s="40"/>
      <c r="BU142" s="51"/>
      <c r="BV142" s="52"/>
      <c r="BW142" s="51"/>
      <c r="BX142" s="52"/>
      <c r="BY142" s="40"/>
      <c r="BZ142" s="55"/>
    </row>
    <row r="143" ht="13.5" customHeight="1" spans="1:78">
      <c r="A143" s="25" t="s">
        <v>233</v>
      </c>
      <c r="B143" s="5" t="s">
        <v>81</v>
      </c>
      <c r="C143" s="262">
        <v>45953</v>
      </c>
      <c r="D143" s="7"/>
      <c r="E143" s="32" t="str">
        <f t="shared" si="195"/>
        <v>1</v>
      </c>
      <c r="F143" s="30">
        <f ca="1">IF(E143="0",NETWORKDAYS(C143,D143,$CB$3:$CB$19),NETWORKDAYS(C143,'2025整理'!$S$1,$CB$3:$CB$19))</f>
        <v>48</v>
      </c>
      <c r="G143" s="6"/>
      <c r="H143" s="7"/>
      <c r="I143" s="38"/>
      <c r="J143" s="30"/>
      <c r="K143" s="6"/>
      <c r="L143" s="7"/>
      <c r="M143" s="40"/>
      <c r="N143" s="30"/>
      <c r="O143" s="6"/>
      <c r="P143" s="7"/>
      <c r="Q143" s="38"/>
      <c r="R143" s="30"/>
      <c r="S143" s="6"/>
      <c r="T143" s="7"/>
      <c r="U143" s="38"/>
      <c r="V143" s="30"/>
      <c r="W143" s="6"/>
      <c r="X143" s="7"/>
      <c r="Y143" s="38"/>
      <c r="Z143" s="30"/>
      <c r="AA143" s="241"/>
      <c r="AB143" s="7"/>
      <c r="AC143" s="40"/>
      <c r="AD143" s="30"/>
      <c r="AE143" s="48" t="s">
        <v>82</v>
      </c>
      <c r="AF143" s="47" t="s">
        <v>82</v>
      </c>
      <c r="AG143" s="50" t="s">
        <v>83</v>
      </c>
      <c r="AH143" s="51"/>
      <c r="AI143" s="52"/>
      <c r="AJ143" s="51"/>
      <c r="AK143" s="52"/>
      <c r="AL143" s="40"/>
      <c r="AM143" s="40"/>
      <c r="AN143" s="40"/>
      <c r="AO143" s="48"/>
      <c r="AP143" s="56"/>
      <c r="AQ143" s="48"/>
      <c r="AR143" s="56"/>
      <c r="AS143" s="40"/>
      <c r="AT143" s="40"/>
      <c r="AU143" s="51"/>
      <c r="AV143" s="52"/>
      <c r="AW143" s="51"/>
      <c r="AX143" s="52"/>
      <c r="AY143" s="40"/>
      <c r="AZ143" s="55"/>
      <c r="BA143" s="63"/>
      <c r="BB143" s="48"/>
      <c r="BC143" s="56"/>
      <c r="BD143" s="48"/>
      <c r="BE143" s="56"/>
      <c r="BF143" s="64"/>
      <c r="BG143" s="48"/>
      <c r="BH143" s="51"/>
      <c r="BI143" s="52"/>
      <c r="BJ143" s="51"/>
      <c r="BK143" s="52"/>
      <c r="BL143" s="40"/>
      <c r="BM143" s="55"/>
      <c r="BN143" s="63"/>
      <c r="BO143" s="48"/>
      <c r="BP143" s="56"/>
      <c r="BQ143" s="48"/>
      <c r="BR143" s="56"/>
      <c r="BS143" s="40"/>
      <c r="BT143" s="40"/>
      <c r="BU143" s="51"/>
      <c r="BV143" s="52"/>
      <c r="BW143" s="51"/>
      <c r="BX143" s="52"/>
      <c r="BY143" s="40"/>
      <c r="BZ143" s="55"/>
    </row>
    <row r="144" ht="13.5" customHeight="1" spans="1:78">
      <c r="A144" s="77" t="s">
        <v>234</v>
      </c>
      <c r="B144" s="5" t="s">
        <v>85</v>
      </c>
      <c r="C144" s="262">
        <v>45875</v>
      </c>
      <c r="D144" s="7">
        <v>45895</v>
      </c>
      <c r="E144" s="32" t="str">
        <f t="shared" si="195"/>
        <v>0</v>
      </c>
      <c r="F144" s="30">
        <f ca="1">IF(E144="0",NETWORKDAYS(C144,D144,$CB$3:$CB$19),NETWORKDAYS(C144,'2025整理'!$S$1,$CB$3:$CB$19))</f>
        <v>15</v>
      </c>
      <c r="G144" s="6"/>
      <c r="H144" s="7"/>
      <c r="I144" s="38"/>
      <c r="J144" s="30"/>
      <c r="K144" s="6">
        <v>45961</v>
      </c>
      <c r="L144" s="7">
        <v>45965</v>
      </c>
      <c r="M144" s="40" t="str">
        <f>IF(K144&lt;&gt;0,IF(L144&lt;&gt;0,"0","1"),"")</f>
        <v>0</v>
      </c>
      <c r="N144" s="30">
        <f ca="1">IF(M144="0",NETWORKDAYS(K144,L144,$CB$3:$CB$19),NETWORKDAYS(K144,'2025整理'!$S$1,$CB$3:$CB$19))</f>
        <v>3</v>
      </c>
      <c r="O144" s="6"/>
      <c r="P144" s="7"/>
      <c r="Q144" s="38"/>
      <c r="R144" s="30"/>
      <c r="S144" s="6"/>
      <c r="T144" s="7"/>
      <c r="U144" s="38"/>
      <c r="V144" s="30"/>
      <c r="W144" s="6"/>
      <c r="X144" s="7"/>
      <c r="Y144" s="38"/>
      <c r="Z144" s="30"/>
      <c r="AA144" s="241"/>
      <c r="AB144" s="7"/>
      <c r="AC144" s="40"/>
      <c r="AD144" s="30"/>
      <c r="AE144" s="48" t="s">
        <v>90</v>
      </c>
      <c r="AF144" s="47" t="s">
        <v>90</v>
      </c>
      <c r="AG144" s="50" t="s">
        <v>91</v>
      </c>
      <c r="AH144" s="51">
        <v>2678.31</v>
      </c>
      <c r="AI144" s="52">
        <v>2628.74</v>
      </c>
      <c r="AJ144" s="51">
        <v>2655.12</v>
      </c>
      <c r="AK144" s="52">
        <v>2605.98</v>
      </c>
      <c r="AL144" s="40" t="str">
        <f>IF(AND(AK144&lt;&gt;"",AJ144&lt;&gt;""),IF(AK144&gt;AJ144,"核增",IF(AK144&lt;AJ144,"核减","不变")),"")</f>
        <v>核减</v>
      </c>
      <c r="AM144" s="40">
        <f>IF(AND(AI144&lt;&gt;"",AH144&lt;&gt;""),MAX(ABS(AI144),ABS(AH144))-MIN(ABS(AI144),ABS(AH144)),"")</f>
        <v>49.5700000000002</v>
      </c>
      <c r="AN144" s="40">
        <f>IF(AND(AK144&lt;&gt;"",AJ144&lt;&gt;""),MAX(ABS(AK144),ABS(AJ144))-MIN(ABS(AK144),ABS(AJ144)),"")</f>
        <v>49.1399999999999</v>
      </c>
      <c r="AO144" s="48"/>
      <c r="AP144" s="56"/>
      <c r="AQ144" s="48"/>
      <c r="AR144" s="56"/>
      <c r="AS144" s="40"/>
      <c r="AT144" s="40"/>
      <c r="AU144" s="51">
        <v>2624.6</v>
      </c>
      <c r="AV144" s="52">
        <v>2626.59</v>
      </c>
      <c r="AW144" s="51">
        <v>2602.68</v>
      </c>
      <c r="AX144" s="52">
        <v>2604.66</v>
      </c>
      <c r="AY144" s="40" t="str">
        <f>IF(AND(AX144&lt;&gt;"",AW144&lt;&gt;""),IF(AX144&gt;AW144,"核增",IF(AX144&lt;AW144,"核减","不变")),"")</f>
        <v>核增</v>
      </c>
      <c r="AZ144" s="55">
        <f>IF(AND(AX144&lt;&gt;"",AW144&lt;&gt;""),MAX(ABS(AX144),ABS(AW144))-MIN(ABS(AX144),ABS(AW144)),"")</f>
        <v>1.98000000000002</v>
      </c>
      <c r="BA144" s="63" t="str">
        <f>IF(AND(AV144&lt;&gt;"",AI144&lt;&gt;""),IF(AV144&gt;AI144,"核增",IF(AV144&lt;AI144,"核减","不变")),"")&amp;TEXT(IF(AND(AV144&lt;&gt;"",AI144&lt;&gt;""),MAX(ABS(AV144),ABS(AI144))-MIN(ABS(AV144),ABS(AI144)),""),"0.00")</f>
        <v>核减2.15</v>
      </c>
      <c r="BB144" s="48"/>
      <c r="BC144" s="56"/>
      <c r="BD144" s="48"/>
      <c r="BE144" s="56"/>
      <c r="BF144" s="64"/>
      <c r="BG144" s="48"/>
      <c r="BH144" s="51"/>
      <c r="BI144" s="52"/>
      <c r="BJ144" s="51"/>
      <c r="BK144" s="52"/>
      <c r="BL144" s="40"/>
      <c r="BM144" s="55"/>
      <c r="BN144" s="63"/>
      <c r="BO144" s="48"/>
      <c r="BP144" s="56"/>
      <c r="BQ144" s="48"/>
      <c r="BR144" s="56"/>
      <c r="BS144" s="40"/>
      <c r="BT144" s="40"/>
      <c r="BU144" s="51"/>
      <c r="BV144" s="52"/>
      <c r="BW144" s="51"/>
      <c r="BX144" s="52"/>
      <c r="BY144" s="40"/>
      <c r="BZ144" s="55"/>
    </row>
    <row r="145" ht="13.5" customHeight="1" spans="1:78">
      <c r="A145" s="25" t="s">
        <v>235</v>
      </c>
      <c r="B145" s="5" t="s">
        <v>85</v>
      </c>
      <c r="C145" s="262"/>
      <c r="D145" s="7"/>
      <c r="E145" s="32"/>
      <c r="F145" s="30"/>
      <c r="G145" s="6"/>
      <c r="H145" s="7"/>
      <c r="I145" s="38"/>
      <c r="J145" s="30"/>
      <c r="K145" s="6"/>
      <c r="L145" s="7"/>
      <c r="M145" s="40"/>
      <c r="N145" s="30"/>
      <c r="O145" s="6"/>
      <c r="P145" s="7"/>
      <c r="Q145" s="38"/>
      <c r="R145" s="30"/>
      <c r="S145" s="6"/>
      <c r="T145" s="7"/>
      <c r="U145" s="38"/>
      <c r="V145" s="30"/>
      <c r="W145" s="6"/>
      <c r="X145" s="7"/>
      <c r="Y145" s="38"/>
      <c r="Z145" s="30"/>
      <c r="AA145" s="16">
        <v>45876</v>
      </c>
      <c r="AB145" s="7">
        <v>45889</v>
      </c>
      <c r="AC145" s="40" t="str">
        <f>IF(AA145&lt;&gt;0,IF(AB145&lt;&gt;0,"0","1"),"")</f>
        <v>0</v>
      </c>
      <c r="AD145" s="30">
        <f ca="1">IF(AC145="0",NETWORKDAYS(AA145,AB145,$CB$3:$CB$19),NETWORKDAYS(AA145,'2025整理'!$S$1,$CB$3:$CB$19))</f>
        <v>10</v>
      </c>
      <c r="AE145" s="48" t="s">
        <v>87</v>
      </c>
      <c r="AF145" s="47" t="s">
        <v>82</v>
      </c>
      <c r="AG145" s="50" t="s">
        <v>87</v>
      </c>
      <c r="AH145" s="51"/>
      <c r="AI145" s="52"/>
      <c r="AJ145" s="51"/>
      <c r="AK145" s="52"/>
      <c r="AL145" s="40"/>
      <c r="AM145" s="40"/>
      <c r="AN145" s="40"/>
      <c r="AO145" s="48"/>
      <c r="AP145" s="56"/>
      <c r="AQ145" s="48"/>
      <c r="AR145" s="56"/>
      <c r="AS145" s="40"/>
      <c r="AT145" s="40"/>
      <c r="AU145" s="51"/>
      <c r="AV145" s="52"/>
      <c r="AW145" s="51"/>
      <c r="AX145" s="52"/>
      <c r="AY145" s="40"/>
      <c r="AZ145" s="55"/>
      <c r="BA145" s="63"/>
      <c r="BB145" s="48"/>
      <c r="BC145" s="56"/>
      <c r="BD145" s="48"/>
      <c r="BE145" s="56"/>
      <c r="BF145" s="64"/>
      <c r="BG145" s="48"/>
      <c r="BH145" s="51"/>
      <c r="BI145" s="52"/>
      <c r="BJ145" s="51"/>
      <c r="BK145" s="52"/>
      <c r="BL145" s="40"/>
      <c r="BM145" s="55"/>
      <c r="BN145" s="63"/>
      <c r="BO145" s="48"/>
      <c r="BP145" s="56"/>
      <c r="BQ145" s="48"/>
      <c r="BR145" s="56"/>
      <c r="BS145" s="40"/>
      <c r="BT145" s="40"/>
      <c r="BU145" s="51">
        <v>511.86</v>
      </c>
      <c r="BV145" s="52">
        <v>401.41</v>
      </c>
      <c r="BW145" s="51">
        <v>511.86</v>
      </c>
      <c r="BX145" s="52">
        <v>401.41</v>
      </c>
      <c r="BY145" s="40" t="str">
        <f>IF(AND(BX145&lt;&gt;"",BW145&lt;&gt;""),IF(BX145&gt;BW145,"核增",IF(BX145&lt;BW145,"核减","不变")),"")</f>
        <v>核减</v>
      </c>
      <c r="BZ145" s="55">
        <f>IF(AND(BX145&lt;&gt;"",BW145&lt;&gt;""),MAX(ABS(BX145),ABS(BW145))-MIN(ABS(BX145),ABS(BW145)),"")</f>
        <v>110.45</v>
      </c>
    </row>
    <row r="146" ht="13.5" customHeight="1" spans="1:78">
      <c r="A146" s="25" t="s">
        <v>236</v>
      </c>
      <c r="B146" s="5" t="s">
        <v>81</v>
      </c>
      <c r="C146" s="262"/>
      <c r="D146" s="7"/>
      <c r="E146" s="32"/>
      <c r="F146" s="30"/>
      <c r="G146" s="6"/>
      <c r="H146" s="7"/>
      <c r="I146" s="38"/>
      <c r="J146" s="30"/>
      <c r="K146" s="236">
        <v>46052</v>
      </c>
      <c r="L146" s="7"/>
      <c r="M146" s="40" t="str">
        <f>IF(K146&lt;&gt;0,IF(L146&lt;&gt;0,"0","1"),"")</f>
        <v>1</v>
      </c>
      <c r="N146" s="242">
        <f ca="1">IF(M146="0",NETWORKDAYS(K146,L146,$CB$3:$CB$19),NETWORKDAYS(K146,'2025整理'!$S$1,$CB$3:$CB$19))</f>
        <v>-25</v>
      </c>
      <c r="O146" s="6"/>
      <c r="P146" s="7"/>
      <c r="Q146" s="38"/>
      <c r="R146" s="30"/>
      <c r="S146" s="6"/>
      <c r="T146" s="7"/>
      <c r="U146" s="38"/>
      <c r="V146" s="30"/>
      <c r="W146" s="6"/>
      <c r="X146" s="7"/>
      <c r="Y146" s="38"/>
      <c r="Z146" s="30"/>
      <c r="AA146" s="241"/>
      <c r="AB146" s="7"/>
      <c r="AC146" s="40"/>
      <c r="AD146" s="30"/>
      <c r="AE146" s="48" t="s">
        <v>82</v>
      </c>
      <c r="AF146" s="47" t="s">
        <v>82</v>
      </c>
      <c r="AG146" s="50" t="s">
        <v>97</v>
      </c>
      <c r="AH146" s="51"/>
      <c r="AI146" s="52"/>
      <c r="AJ146" s="51"/>
      <c r="AK146" s="52"/>
      <c r="AL146" s="40"/>
      <c r="AM146" s="40"/>
      <c r="AN146" s="40"/>
      <c r="AO146" s="48"/>
      <c r="AP146" s="56"/>
      <c r="AQ146" s="48"/>
      <c r="AR146" s="56"/>
      <c r="AS146" s="40"/>
      <c r="AT146" s="40"/>
      <c r="AU146" s="51"/>
      <c r="AV146" s="52"/>
      <c r="AW146" s="51"/>
      <c r="AX146" s="52"/>
      <c r="AY146" s="40"/>
      <c r="AZ146" s="55"/>
      <c r="BA146" s="63"/>
      <c r="BB146" s="48"/>
      <c r="BC146" s="56"/>
      <c r="BD146" s="48"/>
      <c r="BE146" s="56"/>
      <c r="BF146" s="64"/>
      <c r="BG146" s="48"/>
      <c r="BH146" s="51"/>
      <c r="BI146" s="52"/>
      <c r="BJ146" s="51"/>
      <c r="BK146" s="52"/>
      <c r="BL146" s="40"/>
      <c r="BM146" s="55"/>
      <c r="BN146" s="63"/>
      <c r="BO146" s="48"/>
      <c r="BP146" s="56"/>
      <c r="BQ146" s="48"/>
      <c r="BR146" s="56"/>
      <c r="BS146" s="40"/>
      <c r="BT146" s="40"/>
      <c r="BU146" s="51"/>
      <c r="BV146" s="52"/>
      <c r="BW146" s="51"/>
      <c r="BX146" s="52"/>
      <c r="BY146" s="40"/>
      <c r="BZ146" s="55"/>
    </row>
    <row r="147" ht="13.5" customHeight="1" spans="1:78">
      <c r="A147" s="4" t="s">
        <v>237</v>
      </c>
      <c r="B147" s="5" t="s">
        <v>85</v>
      </c>
      <c r="C147" s="262">
        <v>45950</v>
      </c>
      <c r="D147" s="7">
        <v>45975</v>
      </c>
      <c r="E147" s="32" t="str">
        <f t="shared" ref="E147:E148" si="196">IF(C147&lt;&gt;0,IF(D147&lt;&gt;0,"0","1"),"")</f>
        <v>0</v>
      </c>
      <c r="F147" s="30">
        <f ca="1">IF(E147="0",NETWORKDAYS(C147,D147,$CB$3:$CB$19),NETWORKDAYS(C147,'2025整理'!$S$1,$CB$3:$CB$19))</f>
        <v>20</v>
      </c>
      <c r="G147" s="6"/>
      <c r="H147" s="7"/>
      <c r="I147" s="38"/>
      <c r="J147" s="30"/>
      <c r="K147" s="6"/>
      <c r="L147" s="7"/>
      <c r="M147" s="40"/>
      <c r="N147" s="30"/>
      <c r="O147" s="6"/>
      <c r="P147" s="7"/>
      <c r="Q147" s="38"/>
      <c r="R147" s="30"/>
      <c r="S147" s="6"/>
      <c r="T147" s="7"/>
      <c r="U147" s="38"/>
      <c r="V147" s="30"/>
      <c r="W147" s="6"/>
      <c r="X147" s="7"/>
      <c r="Y147" s="38"/>
      <c r="Z147" s="30"/>
      <c r="AA147" s="241"/>
      <c r="AB147" s="7"/>
      <c r="AC147" s="40"/>
      <c r="AD147" s="30"/>
      <c r="AE147" s="48" t="s">
        <v>82</v>
      </c>
      <c r="AF147" s="47" t="s">
        <v>82</v>
      </c>
      <c r="AG147" s="50" t="s">
        <v>83</v>
      </c>
      <c r="AH147" s="51">
        <v>20992.69</v>
      </c>
      <c r="AI147" s="52">
        <v>20544.67</v>
      </c>
      <c r="AJ147" s="51">
        <v>20623.45</v>
      </c>
      <c r="AK147" s="52">
        <v>20186.34</v>
      </c>
      <c r="AL147" s="40" t="str">
        <f t="shared" ref="AL147:AL148" si="197">IF(AND(AK147&lt;&gt;"",AJ147&lt;&gt;""),IF(AK147&gt;AJ147,"核增",IF(AK147&lt;AJ147,"核减","不变")),"")</f>
        <v>核减</v>
      </c>
      <c r="AM147" s="40">
        <f t="shared" ref="AM147:AM148" si="198">IF(AND(AI147&lt;&gt;"",AH147&lt;&gt;""),MAX(ABS(AI147),ABS(AH147))-MIN(ABS(AI147),ABS(AH147)),"")</f>
        <v>448.02</v>
      </c>
      <c r="AN147" s="40">
        <f t="shared" ref="AN147:AN148" si="199">IF(AND(AK147&lt;&gt;"",AJ147&lt;&gt;""),MAX(ABS(AK147),ABS(AJ147))-MIN(ABS(AK147),ABS(AJ147)),"")</f>
        <v>437.110000000001</v>
      </c>
      <c r="AO147" s="48"/>
      <c r="AP147" s="56"/>
      <c r="AQ147" s="48"/>
      <c r="AR147" s="56"/>
      <c r="AS147" s="40"/>
      <c r="AT147" s="40"/>
      <c r="AU147" s="51"/>
      <c r="AV147" s="52"/>
      <c r="AW147" s="51"/>
      <c r="AX147" s="52"/>
      <c r="AY147" s="40"/>
      <c r="AZ147" s="55"/>
      <c r="BA147" s="63"/>
      <c r="BB147" s="48"/>
      <c r="BC147" s="56"/>
      <c r="BD147" s="48"/>
      <c r="BE147" s="56"/>
      <c r="BF147" s="64"/>
      <c r="BG147" s="48"/>
      <c r="BH147" s="51"/>
      <c r="BI147" s="52"/>
      <c r="BJ147" s="51"/>
      <c r="BK147" s="52"/>
      <c r="BL147" s="40"/>
      <c r="BM147" s="55"/>
      <c r="BN147" s="63"/>
      <c r="BO147" s="48"/>
      <c r="BP147" s="56"/>
      <c r="BQ147" s="48"/>
      <c r="BR147" s="56"/>
      <c r="BS147" s="40"/>
      <c r="BT147" s="40"/>
      <c r="BU147" s="51"/>
      <c r="BV147" s="52"/>
      <c r="BW147" s="51"/>
      <c r="BX147" s="52"/>
      <c r="BY147" s="40"/>
      <c r="BZ147" s="55"/>
    </row>
    <row r="148" ht="13.5" customHeight="1" spans="1:78">
      <c r="A148" s="25" t="s">
        <v>238</v>
      </c>
      <c r="B148" s="5" t="s">
        <v>81</v>
      </c>
      <c r="C148" s="262">
        <v>45950</v>
      </c>
      <c r="D148" s="7">
        <v>45968</v>
      </c>
      <c r="E148" s="32" t="str">
        <f t="shared" si="196"/>
        <v>0</v>
      </c>
      <c r="F148" s="30">
        <f ca="1">IF(E148="0",NETWORKDAYS(C148,D148,$CB$3:$CB$19),NETWORKDAYS(C148,'2025整理'!$S$1,$CB$3:$CB$19))</f>
        <v>15</v>
      </c>
      <c r="G148" s="6"/>
      <c r="H148" s="7"/>
      <c r="I148" s="38"/>
      <c r="J148" s="30"/>
      <c r="K148" s="6"/>
      <c r="L148" s="7"/>
      <c r="M148" s="40"/>
      <c r="N148" s="30"/>
      <c r="O148" s="6"/>
      <c r="P148" s="7"/>
      <c r="Q148" s="38"/>
      <c r="R148" s="30"/>
      <c r="S148" s="6"/>
      <c r="T148" s="7"/>
      <c r="U148" s="38"/>
      <c r="V148" s="30"/>
      <c r="W148" s="6"/>
      <c r="X148" s="7"/>
      <c r="Y148" s="38"/>
      <c r="Z148" s="30"/>
      <c r="AA148" s="241"/>
      <c r="AB148" s="7"/>
      <c r="AC148" s="40"/>
      <c r="AD148" s="30"/>
      <c r="AE148" s="48" t="s">
        <v>82</v>
      </c>
      <c r="AF148" s="47" t="s">
        <v>82</v>
      </c>
      <c r="AG148" s="50" t="s">
        <v>87</v>
      </c>
      <c r="AH148" s="51">
        <v>4549.09</v>
      </c>
      <c r="AI148" s="52">
        <v>4212.36</v>
      </c>
      <c r="AJ148" s="51">
        <v>4494.13</v>
      </c>
      <c r="AK148" s="52">
        <v>4159.2</v>
      </c>
      <c r="AL148" s="40" t="str">
        <f t="shared" si="197"/>
        <v>核减</v>
      </c>
      <c r="AM148" s="40">
        <f t="shared" si="198"/>
        <v>336.73</v>
      </c>
      <c r="AN148" s="40">
        <f t="shared" si="199"/>
        <v>334.93</v>
      </c>
      <c r="AO148" s="48"/>
      <c r="AP148" s="56"/>
      <c r="AQ148" s="48"/>
      <c r="AR148" s="56"/>
      <c r="AS148" s="40"/>
      <c r="AT148" s="40"/>
      <c r="AU148" s="51"/>
      <c r="AV148" s="52"/>
      <c r="AW148" s="51"/>
      <c r="AX148" s="52"/>
      <c r="AY148" s="40"/>
      <c r="AZ148" s="55"/>
      <c r="BA148" s="63"/>
      <c r="BB148" s="48"/>
      <c r="BC148" s="56"/>
      <c r="BD148" s="48"/>
      <c r="BE148" s="56"/>
      <c r="BF148" s="64"/>
      <c r="BG148" s="48"/>
      <c r="BH148" s="51"/>
      <c r="BI148" s="52"/>
      <c r="BJ148" s="51"/>
      <c r="BK148" s="52"/>
      <c r="BL148" s="40"/>
      <c r="BM148" s="55"/>
      <c r="BN148" s="63"/>
      <c r="BO148" s="48"/>
      <c r="BP148" s="56"/>
      <c r="BQ148" s="48"/>
      <c r="BR148" s="56"/>
      <c r="BS148" s="40"/>
      <c r="BT148" s="40"/>
      <c r="BU148" s="51"/>
      <c r="BV148" s="52"/>
      <c r="BW148" s="51"/>
      <c r="BX148" s="52"/>
      <c r="BY148" s="40"/>
      <c r="BZ148" s="55"/>
    </row>
    <row r="149" ht="13.5" customHeight="1" spans="1:78">
      <c r="A149" s="77" t="s">
        <v>239</v>
      </c>
      <c r="B149" s="5"/>
      <c r="C149" s="262"/>
      <c r="D149" s="7"/>
      <c r="E149" s="32"/>
      <c r="F149" s="30"/>
      <c r="G149" s="6"/>
      <c r="H149" s="7"/>
      <c r="I149" s="38"/>
      <c r="J149" s="30"/>
      <c r="K149" s="6"/>
      <c r="L149" s="7"/>
      <c r="M149" s="40"/>
      <c r="N149" s="30"/>
      <c r="O149" s="6"/>
      <c r="P149" s="7"/>
      <c r="Q149" s="38"/>
      <c r="R149" s="30"/>
      <c r="S149" s="6"/>
      <c r="T149" s="7"/>
      <c r="U149" s="38"/>
      <c r="V149" s="30"/>
      <c r="W149" s="6"/>
      <c r="X149" s="7"/>
      <c r="Y149" s="38"/>
      <c r="Z149" s="30"/>
      <c r="AA149" s="241"/>
      <c r="AB149" s="7"/>
      <c r="AC149" s="40"/>
      <c r="AD149" s="30"/>
      <c r="AE149" s="48" t="s">
        <v>97</v>
      </c>
      <c r="AF149" s="47" t="s">
        <v>82</v>
      </c>
      <c r="AG149" s="50" t="s">
        <v>97</v>
      </c>
      <c r="AH149" s="51"/>
      <c r="AI149" s="52"/>
      <c r="AJ149" s="51"/>
      <c r="AK149" s="52"/>
      <c r="AL149" s="40"/>
      <c r="AM149" s="40"/>
      <c r="AN149" s="40"/>
      <c r="AO149" s="48"/>
      <c r="AP149" s="56"/>
      <c r="AQ149" s="48"/>
      <c r="AR149" s="56"/>
      <c r="AS149" s="40"/>
      <c r="AT149" s="40"/>
      <c r="AU149" s="51"/>
      <c r="AV149" s="52"/>
      <c r="AW149" s="51"/>
      <c r="AX149" s="52"/>
      <c r="AY149" s="40"/>
      <c r="AZ149" s="55"/>
      <c r="BA149" s="63"/>
      <c r="BB149" s="48"/>
      <c r="BC149" s="56"/>
      <c r="BD149" s="48"/>
      <c r="BE149" s="56"/>
      <c r="BF149" s="64"/>
      <c r="BG149" s="48"/>
      <c r="BH149" s="51"/>
      <c r="BI149" s="52"/>
      <c r="BJ149" s="51"/>
      <c r="BK149" s="52"/>
      <c r="BL149" s="40"/>
      <c r="BM149" s="55"/>
      <c r="BN149" s="63"/>
      <c r="BO149" s="48"/>
      <c r="BP149" s="56"/>
      <c r="BQ149" s="48"/>
      <c r="BR149" s="56"/>
      <c r="BS149" s="40"/>
      <c r="BT149" s="40"/>
      <c r="BU149" s="51"/>
      <c r="BV149" s="52"/>
      <c r="BW149" s="51"/>
      <c r="BX149" s="52"/>
      <c r="BY149" s="40"/>
      <c r="BZ149" s="55"/>
    </row>
    <row r="150" ht="13.5" customHeight="1" spans="1:78">
      <c r="A150" s="77" t="s">
        <v>240</v>
      </c>
      <c r="B150" s="5" t="s">
        <v>85</v>
      </c>
      <c r="C150" s="262">
        <v>45974</v>
      </c>
      <c r="D150" s="7"/>
      <c r="E150" s="32" t="str">
        <f>IF(C150&lt;&gt;0,IF(D150&lt;&gt;0,"0","1"),"")</f>
        <v>1</v>
      </c>
      <c r="F150" s="30">
        <f ca="1">IF(E150="0",NETWORKDAYS(C150,D150,$CB$3:$CB$19),NETWORKDAYS(C150,'2025整理'!$S$1,$CB$3:$CB$19))</f>
        <v>33</v>
      </c>
      <c r="G150" s="6"/>
      <c r="H150" s="7"/>
      <c r="I150" s="38"/>
      <c r="J150" s="30"/>
      <c r="K150" s="6"/>
      <c r="L150" s="7"/>
      <c r="M150" s="40"/>
      <c r="N150" s="30"/>
      <c r="O150" s="6"/>
      <c r="P150" s="7"/>
      <c r="Q150" s="38"/>
      <c r="R150" s="30"/>
      <c r="S150" s="6"/>
      <c r="T150" s="7"/>
      <c r="U150" s="38"/>
      <c r="V150" s="30"/>
      <c r="W150" s="6"/>
      <c r="X150" s="7"/>
      <c r="Y150" s="38"/>
      <c r="Z150" s="30"/>
      <c r="AA150" s="241"/>
      <c r="AB150" s="7"/>
      <c r="AC150" s="40"/>
      <c r="AD150" s="30"/>
      <c r="AE150" s="48" t="s">
        <v>86</v>
      </c>
      <c r="AF150" s="47" t="s">
        <v>86</v>
      </c>
      <c r="AG150" s="50" t="s">
        <v>87</v>
      </c>
      <c r="AH150" s="51"/>
      <c r="AI150" s="52"/>
      <c r="AJ150" s="51"/>
      <c r="AK150" s="52"/>
      <c r="AL150" s="40"/>
      <c r="AM150" s="40"/>
      <c r="AN150" s="40"/>
      <c r="AO150" s="48"/>
      <c r="AP150" s="56"/>
      <c r="AQ150" s="48"/>
      <c r="AR150" s="56"/>
      <c r="AS150" s="40"/>
      <c r="AT150" s="40"/>
      <c r="AU150" s="51"/>
      <c r="AV150" s="52"/>
      <c r="AW150" s="51"/>
      <c r="AX150" s="52"/>
      <c r="AY150" s="40"/>
      <c r="AZ150" s="55"/>
      <c r="BA150" s="63"/>
      <c r="BB150" s="48"/>
      <c r="BC150" s="56"/>
      <c r="BD150" s="48"/>
      <c r="BE150" s="56"/>
      <c r="BF150" s="64"/>
      <c r="BG150" s="48"/>
      <c r="BH150" s="51"/>
      <c r="BI150" s="52"/>
      <c r="BJ150" s="51"/>
      <c r="BK150" s="52"/>
      <c r="BL150" s="40"/>
      <c r="BM150" s="55"/>
      <c r="BN150" s="63"/>
      <c r="BO150" s="48"/>
      <c r="BP150" s="56"/>
      <c r="BQ150" s="48"/>
      <c r="BR150" s="56"/>
      <c r="BS150" s="40"/>
      <c r="BT150" s="40"/>
      <c r="BU150" s="51"/>
      <c r="BV150" s="52"/>
      <c r="BW150" s="51"/>
      <c r="BX150" s="52"/>
      <c r="BY150" s="40"/>
      <c r="BZ150" s="55"/>
    </row>
    <row r="151" ht="13.5" customHeight="1" spans="1:78">
      <c r="A151" s="77" t="s">
        <v>241</v>
      </c>
      <c r="B151" s="5"/>
      <c r="C151" s="262"/>
      <c r="D151" s="7"/>
      <c r="E151" s="32"/>
      <c r="F151" s="30"/>
      <c r="G151" s="6"/>
      <c r="H151" s="7"/>
      <c r="I151" s="38"/>
      <c r="J151" s="30"/>
      <c r="K151" s="6"/>
      <c r="L151" s="7"/>
      <c r="M151" s="40"/>
      <c r="N151" s="30"/>
      <c r="O151" s="6"/>
      <c r="P151" s="7"/>
      <c r="Q151" s="38"/>
      <c r="R151" s="30"/>
      <c r="S151" s="6"/>
      <c r="T151" s="7"/>
      <c r="U151" s="38"/>
      <c r="V151" s="30"/>
      <c r="W151" s="6"/>
      <c r="X151" s="7"/>
      <c r="Y151" s="38"/>
      <c r="Z151" s="30"/>
      <c r="AA151" s="241"/>
      <c r="AB151" s="7"/>
      <c r="AC151" s="40"/>
      <c r="AD151" s="30"/>
      <c r="AE151" s="48" t="s">
        <v>82</v>
      </c>
      <c r="AF151" s="47" t="s">
        <v>82</v>
      </c>
      <c r="AG151" s="50" t="s">
        <v>97</v>
      </c>
      <c r="AH151" s="51"/>
      <c r="AI151" s="52"/>
      <c r="AJ151" s="51"/>
      <c r="AK151" s="52"/>
      <c r="AL151" s="40"/>
      <c r="AM151" s="40"/>
      <c r="AN151" s="40"/>
      <c r="AO151" s="48"/>
      <c r="AP151" s="56"/>
      <c r="AQ151" s="48"/>
      <c r="AR151" s="56"/>
      <c r="AS151" s="40"/>
      <c r="AT151" s="40"/>
      <c r="AU151" s="51"/>
      <c r="AV151" s="52"/>
      <c r="AW151" s="51"/>
      <c r="AX151" s="52"/>
      <c r="AY151" s="40"/>
      <c r="AZ151" s="55"/>
      <c r="BA151" s="63"/>
      <c r="BB151" s="48"/>
      <c r="BC151" s="56"/>
      <c r="BD151" s="48"/>
      <c r="BE151" s="56"/>
      <c r="BF151" s="64"/>
      <c r="BG151" s="48"/>
      <c r="BH151" s="51"/>
      <c r="BI151" s="52"/>
      <c r="BJ151" s="51"/>
      <c r="BK151" s="52"/>
      <c r="BL151" s="40"/>
      <c r="BM151" s="55"/>
      <c r="BN151" s="63"/>
      <c r="BO151" s="48"/>
      <c r="BP151" s="56"/>
      <c r="BQ151" s="48"/>
      <c r="BR151" s="56"/>
      <c r="BS151" s="40"/>
      <c r="BT151" s="40"/>
      <c r="BU151" s="51"/>
      <c r="BV151" s="52"/>
      <c r="BW151" s="51"/>
      <c r="BX151" s="52"/>
      <c r="BY151" s="40"/>
      <c r="BZ151" s="55"/>
    </row>
    <row r="152" ht="13.5" customHeight="1" spans="1:78">
      <c r="A152" s="237" t="s">
        <v>242</v>
      </c>
      <c r="B152" s="5"/>
      <c r="C152" s="262"/>
      <c r="D152" s="7"/>
      <c r="E152" s="32"/>
      <c r="F152" s="30"/>
      <c r="G152" s="6"/>
      <c r="H152" s="7"/>
      <c r="I152" s="38"/>
      <c r="J152" s="30"/>
      <c r="K152" s="6"/>
      <c r="L152" s="7"/>
      <c r="M152" s="40"/>
      <c r="N152" s="30"/>
      <c r="O152" s="6"/>
      <c r="P152" s="7"/>
      <c r="Q152" s="38"/>
      <c r="R152" s="30"/>
      <c r="S152" s="6"/>
      <c r="T152" s="7"/>
      <c r="U152" s="38"/>
      <c r="V152" s="30"/>
      <c r="W152" s="6"/>
      <c r="X152" s="7"/>
      <c r="Y152" s="38"/>
      <c r="Z152" s="30"/>
      <c r="AA152" s="16"/>
      <c r="AB152" s="7"/>
      <c r="AC152" s="40"/>
      <c r="AD152" s="30"/>
      <c r="AE152" s="48" t="s">
        <v>90</v>
      </c>
      <c r="AF152" s="47" t="s">
        <v>90</v>
      </c>
      <c r="AG152" s="50" t="s">
        <v>97</v>
      </c>
      <c r="AH152" s="51"/>
      <c r="AI152" s="52"/>
      <c r="AJ152" s="51"/>
      <c r="AK152" s="52"/>
      <c r="AL152" s="40"/>
      <c r="AM152" s="40"/>
      <c r="AN152" s="40"/>
      <c r="AO152" s="48"/>
      <c r="AP152" s="56"/>
      <c r="AQ152" s="48"/>
      <c r="AR152" s="56"/>
      <c r="AS152" s="40"/>
      <c r="AT152" s="40"/>
      <c r="AU152" s="51"/>
      <c r="AV152" s="52"/>
      <c r="AW152" s="51"/>
      <c r="AX152" s="52"/>
      <c r="AY152" s="40"/>
      <c r="AZ152" s="55"/>
      <c r="BA152" s="63"/>
      <c r="BB152" s="48"/>
      <c r="BC152" s="56"/>
      <c r="BD152" s="48"/>
      <c r="BE152" s="56"/>
      <c r="BF152" s="64"/>
      <c r="BG152" s="48"/>
      <c r="BH152" s="51"/>
      <c r="BI152" s="52"/>
      <c r="BJ152" s="51"/>
      <c r="BK152" s="52"/>
      <c r="BL152" s="40"/>
      <c r="BM152" s="55"/>
      <c r="BN152" s="63"/>
      <c r="BO152" s="48"/>
      <c r="BP152" s="56"/>
      <c r="BQ152" s="48"/>
      <c r="BR152" s="56"/>
      <c r="BS152" s="40"/>
      <c r="BT152" s="40"/>
      <c r="BU152" s="51"/>
      <c r="BV152" s="52"/>
      <c r="BW152" s="51"/>
      <c r="BX152" s="52"/>
      <c r="BY152" s="40"/>
      <c r="BZ152" s="55"/>
    </row>
    <row r="153" ht="13.5" customHeight="1" spans="1:78">
      <c r="A153" s="237" t="s">
        <v>243</v>
      </c>
      <c r="B153" s="5"/>
      <c r="C153" s="262"/>
      <c r="D153" s="7"/>
      <c r="E153" s="32"/>
      <c r="F153" s="30"/>
      <c r="G153" s="6"/>
      <c r="H153" s="7"/>
      <c r="I153" s="38"/>
      <c r="J153" s="30"/>
      <c r="K153" s="6"/>
      <c r="L153" s="7"/>
      <c r="M153" s="40"/>
      <c r="N153" s="30"/>
      <c r="O153" s="6"/>
      <c r="P153" s="7"/>
      <c r="Q153" s="38"/>
      <c r="R153" s="30"/>
      <c r="S153" s="6"/>
      <c r="T153" s="7"/>
      <c r="U153" s="38"/>
      <c r="V153" s="30"/>
      <c r="W153" s="6"/>
      <c r="X153" s="7"/>
      <c r="Y153" s="38"/>
      <c r="Z153" s="30"/>
      <c r="AA153" s="16"/>
      <c r="AB153" s="7"/>
      <c r="AC153" s="40"/>
      <c r="AD153" s="30"/>
      <c r="AE153" s="48" t="s">
        <v>82</v>
      </c>
      <c r="AF153" s="47" t="s">
        <v>82</v>
      </c>
      <c r="AG153" s="50" t="s">
        <v>87</v>
      </c>
      <c r="AH153" s="51"/>
      <c r="AI153" s="52"/>
      <c r="AJ153" s="51"/>
      <c r="AK153" s="52"/>
      <c r="AL153" s="40"/>
      <c r="AM153" s="40"/>
      <c r="AN153" s="40"/>
      <c r="AO153" s="48"/>
      <c r="AP153" s="56"/>
      <c r="AQ153" s="48"/>
      <c r="AR153" s="56"/>
      <c r="AS153" s="40"/>
      <c r="AT153" s="40"/>
      <c r="AU153" s="51"/>
      <c r="AV153" s="52"/>
      <c r="AW153" s="51"/>
      <c r="AX153" s="52"/>
      <c r="AY153" s="40"/>
      <c r="AZ153" s="55"/>
      <c r="BA153" s="63"/>
      <c r="BB153" s="48"/>
      <c r="BC153" s="56"/>
      <c r="BD153" s="48"/>
      <c r="BE153" s="56"/>
      <c r="BF153" s="64"/>
      <c r="BG153" s="48"/>
      <c r="BH153" s="51"/>
      <c r="BI153" s="52"/>
      <c r="BJ153" s="51"/>
      <c r="BK153" s="52"/>
      <c r="BL153" s="40"/>
      <c r="BM153" s="55"/>
      <c r="BN153" s="63"/>
      <c r="BO153" s="48"/>
      <c r="BP153" s="56"/>
      <c r="BQ153" s="48"/>
      <c r="BR153" s="56"/>
      <c r="BS153" s="40"/>
      <c r="BT153" s="40"/>
      <c r="BU153" s="51"/>
      <c r="BV153" s="52"/>
      <c r="BW153" s="51"/>
      <c r="BX153" s="52"/>
      <c r="BY153" s="40"/>
      <c r="BZ153" s="55"/>
    </row>
    <row r="154" ht="13.5" customHeight="1" spans="1:78">
      <c r="A154" s="25" t="s">
        <v>244</v>
      </c>
      <c r="B154" s="5" t="s">
        <v>85</v>
      </c>
      <c r="C154" s="262"/>
      <c r="D154" s="7"/>
      <c r="E154" s="32"/>
      <c r="F154" s="30"/>
      <c r="G154" s="6"/>
      <c r="H154" s="7"/>
      <c r="I154" s="38"/>
      <c r="J154" s="30"/>
      <c r="K154" s="6"/>
      <c r="L154" s="7"/>
      <c r="M154" s="40"/>
      <c r="N154" s="30"/>
      <c r="O154" s="6"/>
      <c r="P154" s="7"/>
      <c r="Q154" s="38"/>
      <c r="R154" s="30"/>
      <c r="S154" s="6"/>
      <c r="T154" s="7"/>
      <c r="U154" s="38"/>
      <c r="V154" s="30"/>
      <c r="W154" s="6"/>
      <c r="X154" s="7"/>
      <c r="Y154" s="38"/>
      <c r="Z154" s="30"/>
      <c r="AA154" s="16">
        <v>45919</v>
      </c>
      <c r="AB154" s="7">
        <v>45958</v>
      </c>
      <c r="AC154" s="40" t="str">
        <f>IF(AA154&lt;&gt;0,IF(AB154&lt;&gt;0,"0","1"),"")</f>
        <v>0</v>
      </c>
      <c r="AD154" s="30">
        <f ca="1">IF(AC154="0",NETWORKDAYS(AA154,AB154,$CB$3:$CB$19),NETWORKDAYS(AA154,'2025整理'!$S$1,$CB$3:$CB$19))</f>
        <v>28</v>
      </c>
      <c r="AE154" s="48" t="s">
        <v>83</v>
      </c>
      <c r="AF154" s="47" t="s">
        <v>91</v>
      </c>
      <c r="AG154" s="50" t="s">
        <v>83</v>
      </c>
      <c r="AH154" s="51"/>
      <c r="AI154" s="52"/>
      <c r="AJ154" s="51"/>
      <c r="AK154" s="52"/>
      <c r="AL154" s="40"/>
      <c r="AM154" s="40"/>
      <c r="AN154" s="40"/>
      <c r="AO154" s="48"/>
      <c r="AP154" s="56"/>
      <c r="AQ154" s="48"/>
      <c r="AR154" s="56"/>
      <c r="AS154" s="40"/>
      <c r="AT154" s="40"/>
      <c r="AU154" s="51"/>
      <c r="AV154" s="52"/>
      <c r="AW154" s="51"/>
      <c r="AX154" s="52"/>
      <c r="AY154" s="40"/>
      <c r="AZ154" s="55"/>
      <c r="BA154" s="63"/>
      <c r="BB154" s="48"/>
      <c r="BC154" s="56"/>
      <c r="BD154" s="48"/>
      <c r="BE154" s="56"/>
      <c r="BF154" s="64"/>
      <c r="BG154" s="48"/>
      <c r="BH154" s="51"/>
      <c r="BI154" s="52"/>
      <c r="BJ154" s="51"/>
      <c r="BK154" s="52"/>
      <c r="BL154" s="40"/>
      <c r="BM154" s="55"/>
      <c r="BN154" s="63"/>
      <c r="BO154" s="48"/>
      <c r="BP154" s="56"/>
      <c r="BQ154" s="48"/>
      <c r="BR154" s="56"/>
      <c r="BS154" s="40"/>
      <c r="BT154" s="40"/>
      <c r="BU154" s="51">
        <f>1565.1+858.81</f>
        <v>2423.91</v>
      </c>
      <c r="BV154" s="52">
        <f>1459.67+858.81</f>
        <v>2318.48</v>
      </c>
      <c r="BW154" s="51">
        <f>1565.1+858.81</f>
        <v>2423.91</v>
      </c>
      <c r="BX154" s="52">
        <f>1459.67+858.81</f>
        <v>2318.48</v>
      </c>
      <c r="BY154" s="40" t="str">
        <f>IF(AND(BX154&lt;&gt;"",BW154&lt;&gt;""),IF(BX154&gt;BW154,"核增",IF(BX154&lt;BW154,"核减","不变")),"")</f>
        <v>核减</v>
      </c>
      <c r="BZ154" s="55">
        <f>IF(AND(BX154&lt;&gt;"",BW154&lt;&gt;""),MAX(ABS(BX154),ABS(BW154))-MIN(ABS(BX154),ABS(BW154)),"")</f>
        <v>105.43</v>
      </c>
    </row>
    <row r="155" ht="13.5" customHeight="1" spans="1:78">
      <c r="A155" s="25" t="s">
        <v>245</v>
      </c>
      <c r="B155" s="5" t="s">
        <v>93</v>
      </c>
      <c r="C155" s="262"/>
      <c r="D155" s="7"/>
      <c r="E155" s="32"/>
      <c r="F155" s="30"/>
      <c r="G155" s="6"/>
      <c r="H155" s="7"/>
      <c r="I155" s="38"/>
      <c r="J155" s="30"/>
      <c r="K155" s="6">
        <v>46010</v>
      </c>
      <c r="L155" s="7"/>
      <c r="M155" s="40" t="str">
        <f>IF(K155&lt;&gt;0,IF(L155&lt;&gt;0,"0","1"),"")</f>
        <v>1</v>
      </c>
      <c r="N155" s="30">
        <f ca="1">IF(M155="0",NETWORKDAYS(K155,L155,$CB$3:$CB$19),NETWORKDAYS(K155,'2025整理'!$S$1,$CB$3:$CB$19))</f>
        <v>7</v>
      </c>
      <c r="O155" s="6"/>
      <c r="P155" s="7"/>
      <c r="Q155" s="38"/>
      <c r="R155" s="30"/>
      <c r="S155" s="6"/>
      <c r="T155" s="7"/>
      <c r="U155" s="38"/>
      <c r="V155" s="30"/>
      <c r="W155" s="6"/>
      <c r="X155" s="7"/>
      <c r="Y155" s="38"/>
      <c r="Z155" s="30"/>
      <c r="AA155" s="16"/>
      <c r="AB155" s="7"/>
      <c r="AC155" s="40"/>
      <c r="AD155" s="30"/>
      <c r="AE155" s="48" t="s">
        <v>82</v>
      </c>
      <c r="AF155" s="47" t="s">
        <v>82</v>
      </c>
      <c r="AG155" s="50" t="s">
        <v>87</v>
      </c>
      <c r="AH155" s="51"/>
      <c r="AI155" s="52"/>
      <c r="AJ155" s="51"/>
      <c r="AK155" s="52"/>
      <c r="AL155" s="40"/>
      <c r="AM155" s="40"/>
      <c r="AN155" s="40"/>
      <c r="AO155" s="48"/>
      <c r="AP155" s="56"/>
      <c r="AQ155" s="48"/>
      <c r="AR155" s="56"/>
      <c r="AS155" s="40"/>
      <c r="AT155" s="40"/>
      <c r="AU155" s="51"/>
      <c r="AV155" s="52"/>
      <c r="AW155" s="51"/>
      <c r="AX155" s="52"/>
      <c r="AY155" s="40"/>
      <c r="AZ155" s="55"/>
      <c r="BA155" s="63"/>
      <c r="BB155" s="48"/>
      <c r="BC155" s="56"/>
      <c r="BD155" s="48"/>
      <c r="BE155" s="56"/>
      <c r="BF155" s="64"/>
      <c r="BG155" s="48"/>
      <c r="BH155" s="51"/>
      <c r="BI155" s="52"/>
      <c r="BJ155" s="51"/>
      <c r="BK155" s="52"/>
      <c r="BL155" s="40"/>
      <c r="BM155" s="55"/>
      <c r="BN155" s="63"/>
      <c r="BO155" s="48"/>
      <c r="BP155" s="56"/>
      <c r="BQ155" s="48"/>
      <c r="BR155" s="56"/>
      <c r="BS155" s="40"/>
      <c r="BT155" s="40"/>
      <c r="BU155" s="51"/>
      <c r="BV155" s="52"/>
      <c r="BW155" s="51"/>
      <c r="BX155" s="52"/>
      <c r="BY155" s="40"/>
      <c r="BZ155" s="55"/>
    </row>
    <row r="156" ht="13.5" customHeight="1" spans="1:78">
      <c r="A156" s="25" t="s">
        <v>246</v>
      </c>
      <c r="B156" s="5" t="s">
        <v>81</v>
      </c>
      <c r="C156" s="262">
        <v>45952</v>
      </c>
      <c r="D156" s="7"/>
      <c r="E156" s="32" t="str">
        <f t="shared" ref="E156:E159" si="200">IF(C156&lt;&gt;0,IF(D156&lt;&gt;0,"0","1"),"")</f>
        <v>1</v>
      </c>
      <c r="F156" s="30">
        <f ca="1">IF(E156="0",NETWORKDAYS(C156,D156,$CB$3:$CB$19),NETWORKDAYS(C156,'2025整理'!$S$1,$CB$3:$CB$19))</f>
        <v>49</v>
      </c>
      <c r="G156" s="6"/>
      <c r="H156" s="7"/>
      <c r="I156" s="38"/>
      <c r="J156" s="30"/>
      <c r="K156" s="6"/>
      <c r="L156" s="7"/>
      <c r="M156" s="40"/>
      <c r="N156" s="30"/>
      <c r="O156" s="6"/>
      <c r="P156" s="7"/>
      <c r="Q156" s="38"/>
      <c r="R156" s="30"/>
      <c r="S156" s="6"/>
      <c r="T156" s="7"/>
      <c r="U156" s="38"/>
      <c r="V156" s="30"/>
      <c r="W156" s="6"/>
      <c r="X156" s="7"/>
      <c r="Y156" s="38"/>
      <c r="Z156" s="30"/>
      <c r="AA156" s="16"/>
      <c r="AB156" s="7"/>
      <c r="AC156" s="40"/>
      <c r="AD156" s="30"/>
      <c r="AE156" s="48" t="s">
        <v>86</v>
      </c>
      <c r="AF156" s="47" t="s">
        <v>86</v>
      </c>
      <c r="AG156" s="50" t="s">
        <v>87</v>
      </c>
      <c r="AH156" s="51"/>
      <c r="AI156" s="52"/>
      <c r="AJ156" s="51"/>
      <c r="AK156" s="52"/>
      <c r="AL156" s="40"/>
      <c r="AM156" s="40"/>
      <c r="AN156" s="40"/>
      <c r="AO156" s="48"/>
      <c r="AP156" s="56"/>
      <c r="AQ156" s="48"/>
      <c r="AR156" s="56"/>
      <c r="AS156" s="40"/>
      <c r="AT156" s="40"/>
      <c r="AU156" s="51"/>
      <c r="AV156" s="52"/>
      <c r="AW156" s="51"/>
      <c r="AX156" s="52"/>
      <c r="AY156" s="40"/>
      <c r="AZ156" s="55"/>
      <c r="BA156" s="63"/>
      <c r="BB156" s="48"/>
      <c r="BC156" s="56"/>
      <c r="BD156" s="48"/>
      <c r="BE156" s="56"/>
      <c r="BF156" s="64"/>
      <c r="BG156" s="48"/>
      <c r="BH156" s="51"/>
      <c r="BI156" s="52"/>
      <c r="BJ156" s="51"/>
      <c r="BK156" s="52"/>
      <c r="BL156" s="40"/>
      <c r="BM156" s="55"/>
      <c r="BN156" s="63"/>
      <c r="BO156" s="48"/>
      <c r="BP156" s="56"/>
      <c r="BQ156" s="48"/>
      <c r="BR156" s="56"/>
      <c r="BS156" s="40"/>
      <c r="BT156" s="40"/>
      <c r="BU156" s="51"/>
      <c r="BV156" s="52"/>
      <c r="BW156" s="51"/>
      <c r="BX156" s="52"/>
      <c r="BY156" s="40"/>
      <c r="BZ156" s="55"/>
    </row>
    <row r="157" ht="13.5" customHeight="1" spans="1:78">
      <c r="A157" s="25" t="s">
        <v>247</v>
      </c>
      <c r="B157" s="5" t="s">
        <v>81</v>
      </c>
      <c r="C157" s="262">
        <v>45953</v>
      </c>
      <c r="D157" s="7"/>
      <c r="E157" s="32" t="str">
        <f t="shared" si="200"/>
        <v>1</v>
      </c>
      <c r="F157" s="30">
        <f ca="1">IF(E157="0",NETWORKDAYS(C157,D157,$CB$3:$CB$19),NETWORKDAYS(C157,'2025整理'!$S$1,$CB$3:$CB$19))</f>
        <v>48</v>
      </c>
      <c r="G157" s="6"/>
      <c r="H157" s="7"/>
      <c r="I157" s="38"/>
      <c r="J157" s="30"/>
      <c r="K157" s="6"/>
      <c r="L157" s="7"/>
      <c r="M157" s="40"/>
      <c r="N157" s="30"/>
      <c r="O157" s="6"/>
      <c r="P157" s="7"/>
      <c r="Q157" s="38"/>
      <c r="R157" s="30"/>
      <c r="S157" s="6"/>
      <c r="T157" s="7"/>
      <c r="U157" s="38"/>
      <c r="V157" s="30"/>
      <c r="W157" s="6"/>
      <c r="X157" s="7"/>
      <c r="Y157" s="38"/>
      <c r="Z157" s="30"/>
      <c r="AA157" s="16"/>
      <c r="AB157" s="7"/>
      <c r="AC157" s="40"/>
      <c r="AD157" s="30"/>
      <c r="AE157" s="48" t="s">
        <v>82</v>
      </c>
      <c r="AF157" s="47" t="s">
        <v>82</v>
      </c>
      <c r="AG157" s="50" t="s">
        <v>97</v>
      </c>
      <c r="AH157" s="51"/>
      <c r="AI157" s="52"/>
      <c r="AJ157" s="51"/>
      <c r="AK157" s="52"/>
      <c r="AL157" s="40"/>
      <c r="AM157" s="40"/>
      <c r="AN157" s="40"/>
      <c r="AO157" s="48"/>
      <c r="AP157" s="56"/>
      <c r="AQ157" s="48"/>
      <c r="AR157" s="56"/>
      <c r="AS157" s="40"/>
      <c r="AT157" s="40"/>
      <c r="AU157" s="51"/>
      <c r="AV157" s="52"/>
      <c r="AW157" s="51"/>
      <c r="AX157" s="52"/>
      <c r="AY157" s="40"/>
      <c r="AZ157" s="55"/>
      <c r="BA157" s="63"/>
      <c r="BB157" s="48"/>
      <c r="BC157" s="56"/>
      <c r="BD157" s="48"/>
      <c r="BE157" s="56"/>
      <c r="BF157" s="64"/>
      <c r="BG157" s="48"/>
      <c r="BH157" s="51"/>
      <c r="BI157" s="52"/>
      <c r="BJ157" s="51"/>
      <c r="BK157" s="52"/>
      <c r="BL157" s="40"/>
      <c r="BM157" s="55"/>
      <c r="BN157" s="63"/>
      <c r="BO157" s="48"/>
      <c r="BP157" s="56"/>
      <c r="BQ157" s="48"/>
      <c r="BR157" s="56"/>
      <c r="BS157" s="40"/>
      <c r="BT157" s="40"/>
      <c r="BU157" s="51"/>
      <c r="BV157" s="52"/>
      <c r="BW157" s="51"/>
      <c r="BX157" s="52"/>
      <c r="BY157" s="40"/>
      <c r="BZ157" s="55"/>
    </row>
    <row r="158" ht="13.5" customHeight="1" spans="1:78">
      <c r="A158" s="25" t="s">
        <v>248</v>
      </c>
      <c r="B158" s="5" t="s">
        <v>81</v>
      </c>
      <c r="C158" s="262">
        <v>45954</v>
      </c>
      <c r="D158" s="7"/>
      <c r="E158" s="32" t="str">
        <f t="shared" si="200"/>
        <v>1</v>
      </c>
      <c r="F158" s="30">
        <f ca="1">IF(E158="0",NETWORKDAYS(C158,D158,$CB$3:$CB$19),NETWORKDAYS(C158,'2025整理'!$S$1,$CB$3:$CB$19))</f>
        <v>47</v>
      </c>
      <c r="G158" s="6"/>
      <c r="H158" s="7"/>
      <c r="I158" s="38"/>
      <c r="J158" s="30"/>
      <c r="K158" s="6"/>
      <c r="L158" s="7"/>
      <c r="M158" s="40"/>
      <c r="N158" s="30"/>
      <c r="O158" s="6"/>
      <c r="P158" s="7"/>
      <c r="Q158" s="38"/>
      <c r="R158" s="30"/>
      <c r="S158" s="6"/>
      <c r="T158" s="7"/>
      <c r="U158" s="38"/>
      <c r="V158" s="30"/>
      <c r="W158" s="6"/>
      <c r="X158" s="7"/>
      <c r="Y158" s="38"/>
      <c r="Z158" s="30"/>
      <c r="AA158" s="16"/>
      <c r="AB158" s="7"/>
      <c r="AC158" s="40"/>
      <c r="AD158" s="30"/>
      <c r="AE158" s="48" t="s">
        <v>82</v>
      </c>
      <c r="AF158" s="47" t="s">
        <v>82</v>
      </c>
      <c r="AG158" s="50" t="s">
        <v>97</v>
      </c>
      <c r="AH158" s="51"/>
      <c r="AI158" s="52"/>
      <c r="AJ158" s="51"/>
      <c r="AK158" s="52"/>
      <c r="AL158" s="40"/>
      <c r="AM158" s="40"/>
      <c r="AN158" s="40"/>
      <c r="AO158" s="48"/>
      <c r="AP158" s="56"/>
      <c r="AQ158" s="48"/>
      <c r="AR158" s="56"/>
      <c r="AS158" s="40"/>
      <c r="AT158" s="40"/>
      <c r="AU158" s="51"/>
      <c r="AV158" s="52"/>
      <c r="AW158" s="51"/>
      <c r="AX158" s="52"/>
      <c r="AY158" s="40"/>
      <c r="AZ158" s="55"/>
      <c r="BA158" s="63"/>
      <c r="BB158" s="48"/>
      <c r="BC158" s="56"/>
      <c r="BD158" s="48"/>
      <c r="BE158" s="56"/>
      <c r="BF158" s="64"/>
      <c r="BG158" s="48"/>
      <c r="BH158" s="51"/>
      <c r="BI158" s="52"/>
      <c r="BJ158" s="51"/>
      <c r="BK158" s="52"/>
      <c r="BL158" s="40"/>
      <c r="BM158" s="55"/>
      <c r="BN158" s="63"/>
      <c r="BO158" s="48"/>
      <c r="BP158" s="56"/>
      <c r="BQ158" s="48"/>
      <c r="BR158" s="56"/>
      <c r="BS158" s="40"/>
      <c r="BT158" s="40"/>
      <c r="BU158" s="51"/>
      <c r="BV158" s="52"/>
      <c r="BW158" s="51"/>
      <c r="BX158" s="52"/>
      <c r="BY158" s="40"/>
      <c r="BZ158" s="55"/>
    </row>
    <row r="159" ht="13.5" customHeight="1" spans="1:78">
      <c r="A159" s="25" t="s">
        <v>249</v>
      </c>
      <c r="B159" s="5" t="s">
        <v>85</v>
      </c>
      <c r="C159" s="262">
        <v>45945</v>
      </c>
      <c r="D159" s="7">
        <v>45996</v>
      </c>
      <c r="E159" s="32" t="str">
        <f t="shared" si="200"/>
        <v>0</v>
      </c>
      <c r="F159" s="30">
        <f ca="1">IF(E159="0",NETWORKDAYS(C159,D159,$CB$3:$CB$19),NETWORKDAYS(C159,'2025整理'!$S$1,$CB$3:$CB$19))</f>
        <v>38</v>
      </c>
      <c r="G159" s="6"/>
      <c r="H159" s="7"/>
      <c r="I159" s="38"/>
      <c r="J159" s="30"/>
      <c r="K159" s="6"/>
      <c r="L159" s="7"/>
      <c r="M159" s="40"/>
      <c r="N159" s="30"/>
      <c r="O159" s="6"/>
      <c r="P159" s="7"/>
      <c r="Q159" s="38"/>
      <c r="R159" s="30"/>
      <c r="S159" s="6"/>
      <c r="T159" s="7"/>
      <c r="U159" s="38"/>
      <c r="V159" s="30"/>
      <c r="W159" s="6"/>
      <c r="X159" s="7"/>
      <c r="Y159" s="38"/>
      <c r="Z159" s="30"/>
      <c r="AA159" s="16"/>
      <c r="AB159" s="7"/>
      <c r="AC159" s="40"/>
      <c r="AD159" s="30"/>
      <c r="AE159" s="48" t="s">
        <v>97</v>
      </c>
      <c r="AF159" s="47" t="s">
        <v>86</v>
      </c>
      <c r="AG159" s="50" t="s">
        <v>97</v>
      </c>
      <c r="AH159" s="51">
        <v>19494.87</v>
      </c>
      <c r="AI159" s="52">
        <v>11624.52</v>
      </c>
      <c r="AJ159" s="51">
        <v>19157.19</v>
      </c>
      <c r="AK159" s="52">
        <v>11404.25</v>
      </c>
      <c r="AL159" s="40" t="str">
        <f>IF(AND(AK159&lt;&gt;"",AJ159&lt;&gt;""),IF(AK159&gt;AJ159,"核增",IF(AK159&lt;AJ159,"核减","不变")),"")</f>
        <v>核减</v>
      </c>
      <c r="AM159" s="40">
        <f>IF(AND(AI159&lt;&gt;"",AH159&lt;&gt;""),MAX(ABS(AI159),ABS(AH159))-MIN(ABS(AI159),ABS(AH159)),"")</f>
        <v>7870.35</v>
      </c>
      <c r="AN159" s="40">
        <f>IF(AND(AK159&lt;&gt;"",AJ159&lt;&gt;""),MAX(ABS(AK159),ABS(AJ159))-MIN(ABS(AK159),ABS(AJ159)),"")</f>
        <v>7752.94</v>
      </c>
      <c r="AO159" s="48"/>
      <c r="AP159" s="56"/>
      <c r="AQ159" s="48"/>
      <c r="AR159" s="56"/>
      <c r="AS159" s="40"/>
      <c r="AT159" s="40"/>
      <c r="AU159" s="51"/>
      <c r="AV159" s="52"/>
      <c r="AW159" s="51"/>
      <c r="AX159" s="52"/>
      <c r="AY159" s="40"/>
      <c r="AZ159" s="55"/>
      <c r="BA159" s="63"/>
      <c r="BB159" s="48"/>
      <c r="BC159" s="56"/>
      <c r="BD159" s="48"/>
      <c r="BE159" s="56"/>
      <c r="BF159" s="64"/>
      <c r="BG159" s="48"/>
      <c r="BH159" s="51"/>
      <c r="BI159" s="52"/>
      <c r="BJ159" s="51"/>
      <c r="BK159" s="52"/>
      <c r="BL159" s="40"/>
      <c r="BM159" s="55"/>
      <c r="BN159" s="63"/>
      <c r="BO159" s="48"/>
      <c r="BP159" s="56"/>
      <c r="BQ159" s="48"/>
      <c r="BR159" s="56"/>
      <c r="BS159" s="40"/>
      <c r="BT159" s="40"/>
      <c r="BU159" s="51"/>
      <c r="BV159" s="52"/>
      <c r="BW159" s="51"/>
      <c r="BX159" s="52"/>
      <c r="BY159" s="40"/>
      <c r="BZ159" s="55"/>
    </row>
    <row r="160" ht="13.5" customHeight="1" spans="1:78">
      <c r="A160" s="25" t="s">
        <v>250</v>
      </c>
      <c r="B160" s="5" t="s">
        <v>93</v>
      </c>
      <c r="C160" s="262"/>
      <c r="D160" s="7"/>
      <c r="E160" s="32"/>
      <c r="F160" s="30"/>
      <c r="G160" s="6"/>
      <c r="H160" s="7"/>
      <c r="I160" s="38"/>
      <c r="J160" s="30"/>
      <c r="K160" s="6"/>
      <c r="L160" s="7"/>
      <c r="M160" s="40"/>
      <c r="N160" s="30"/>
      <c r="O160" s="6"/>
      <c r="P160" s="7"/>
      <c r="Q160" s="38"/>
      <c r="R160" s="30"/>
      <c r="S160" s="6"/>
      <c r="T160" s="7"/>
      <c r="U160" s="38"/>
      <c r="V160" s="30"/>
      <c r="W160" s="6"/>
      <c r="X160" s="7"/>
      <c r="Y160" s="38"/>
      <c r="Z160" s="30"/>
      <c r="AA160" s="16">
        <v>45926</v>
      </c>
      <c r="AB160" s="7"/>
      <c r="AC160" s="40" t="str">
        <f>IF(AA160&lt;&gt;0,IF(AB160&lt;&gt;0,"0","1"),"")</f>
        <v>1</v>
      </c>
      <c r="AD160" s="30">
        <f ca="1">IF(AC160="0",NETWORKDAYS(AA160,AB160,$CB$3:$CB$19),NETWORKDAYS(AA160,'2025整理'!$S$1,$CB$3:$CB$19))</f>
        <v>67</v>
      </c>
      <c r="AE160" s="48" t="s">
        <v>82</v>
      </c>
      <c r="AF160" s="47" t="s">
        <v>82</v>
      </c>
      <c r="AG160" s="50" t="s">
        <v>87</v>
      </c>
      <c r="AH160" s="51"/>
      <c r="AI160" s="52"/>
      <c r="AJ160" s="51"/>
      <c r="AK160" s="52"/>
      <c r="AL160" s="40"/>
      <c r="AM160" s="40"/>
      <c r="AN160" s="40"/>
      <c r="AO160" s="48"/>
      <c r="AP160" s="56"/>
      <c r="AQ160" s="48"/>
      <c r="AR160" s="56"/>
      <c r="AS160" s="40"/>
      <c r="AT160" s="40"/>
      <c r="AU160" s="51"/>
      <c r="AV160" s="52"/>
      <c r="AW160" s="51"/>
      <c r="AX160" s="52"/>
      <c r="AY160" s="40"/>
      <c r="AZ160" s="55"/>
      <c r="BA160" s="63"/>
      <c r="BB160" s="48"/>
      <c r="BC160" s="56"/>
      <c r="BD160" s="48"/>
      <c r="BE160" s="56"/>
      <c r="BF160" s="64"/>
      <c r="BG160" s="48"/>
      <c r="BH160" s="51"/>
      <c r="BI160" s="52"/>
      <c r="BJ160" s="51"/>
      <c r="BK160" s="52"/>
      <c r="BL160" s="40"/>
      <c r="BM160" s="55"/>
      <c r="BN160" s="63"/>
      <c r="BO160" s="48"/>
      <c r="BP160" s="56"/>
      <c r="BQ160" s="48"/>
      <c r="BR160" s="56"/>
      <c r="BS160" s="40"/>
      <c r="BT160" s="40"/>
      <c r="BU160" s="51"/>
      <c r="BV160" s="52"/>
      <c r="BW160" s="51"/>
      <c r="BX160" s="52"/>
      <c r="BY160" s="40"/>
      <c r="BZ160" s="55"/>
    </row>
    <row r="161" ht="13.5" customHeight="1" spans="1:78">
      <c r="A161" s="25" t="s">
        <v>251</v>
      </c>
      <c r="B161" s="5" t="s">
        <v>93</v>
      </c>
      <c r="C161" s="262">
        <v>45924</v>
      </c>
      <c r="D161" s="7"/>
      <c r="E161" s="32" t="str">
        <f>IF(C161&lt;&gt;0,IF(D161&lt;&gt;0,"0","1"),"")</f>
        <v>1</v>
      </c>
      <c r="F161" s="30">
        <f ca="1">IF(E161="0",NETWORKDAYS(C161,D161,$CB$3:$CB$19),NETWORKDAYS(C161,'2025整理'!$S$1,$CB$3:$CB$19))</f>
        <v>69</v>
      </c>
      <c r="G161" s="6"/>
      <c r="H161" s="7"/>
      <c r="I161" s="38"/>
      <c r="J161" s="30"/>
      <c r="K161" s="6"/>
      <c r="L161" s="7"/>
      <c r="M161" s="40"/>
      <c r="N161" s="30"/>
      <c r="O161" s="6"/>
      <c r="P161" s="7"/>
      <c r="Q161" s="38"/>
      <c r="R161" s="30"/>
      <c r="S161" s="6"/>
      <c r="T161" s="7"/>
      <c r="U161" s="38"/>
      <c r="V161" s="30"/>
      <c r="W161" s="6"/>
      <c r="X161" s="7"/>
      <c r="Y161" s="38"/>
      <c r="Z161" s="30"/>
      <c r="AA161" s="16"/>
      <c r="AB161" s="7"/>
      <c r="AC161" s="40"/>
      <c r="AD161" s="30"/>
      <c r="AE161" s="48" t="s">
        <v>86</v>
      </c>
      <c r="AF161" s="47" t="s">
        <v>86</v>
      </c>
      <c r="AG161" s="50" t="s">
        <v>83</v>
      </c>
      <c r="AH161" s="51"/>
      <c r="AI161" s="52"/>
      <c r="AJ161" s="51"/>
      <c r="AK161" s="52"/>
      <c r="AL161" s="40"/>
      <c r="AM161" s="40"/>
      <c r="AN161" s="40"/>
      <c r="AO161" s="48"/>
      <c r="AP161" s="56"/>
      <c r="AQ161" s="48"/>
      <c r="AR161" s="56"/>
      <c r="AS161" s="40"/>
      <c r="AT161" s="40"/>
      <c r="AU161" s="51"/>
      <c r="AV161" s="52"/>
      <c r="AW161" s="51"/>
      <c r="AX161" s="52"/>
      <c r="AY161" s="40"/>
      <c r="AZ161" s="55"/>
      <c r="BA161" s="63"/>
      <c r="BB161" s="48"/>
      <c r="BC161" s="56"/>
      <c r="BD161" s="48"/>
      <c r="BE161" s="56"/>
      <c r="BF161" s="64"/>
      <c r="BG161" s="48"/>
      <c r="BH161" s="51"/>
      <c r="BI161" s="52"/>
      <c r="BJ161" s="51"/>
      <c r="BK161" s="52"/>
      <c r="BL161" s="40"/>
      <c r="BM161" s="55"/>
      <c r="BN161" s="63"/>
      <c r="BO161" s="48"/>
      <c r="BP161" s="56"/>
      <c r="BQ161" s="48"/>
      <c r="BR161" s="56"/>
      <c r="BS161" s="40"/>
      <c r="BT161" s="40"/>
      <c r="BU161" s="51"/>
      <c r="BV161" s="52"/>
      <c r="BW161" s="51"/>
      <c r="BX161" s="52"/>
      <c r="BY161" s="40"/>
      <c r="BZ161" s="55"/>
    </row>
    <row r="162" ht="13.5" customHeight="1" spans="1:78">
      <c r="A162" s="25" t="s">
        <v>252</v>
      </c>
      <c r="B162" s="5" t="s">
        <v>93</v>
      </c>
      <c r="C162" s="262"/>
      <c r="D162" s="7"/>
      <c r="E162" s="32"/>
      <c r="F162" s="30"/>
      <c r="G162" s="6">
        <v>45929</v>
      </c>
      <c r="H162" s="7">
        <v>45947</v>
      </c>
      <c r="I162" s="38" t="str">
        <f>IF(G162&lt;&gt;0,IF(H162&lt;&gt;0,"0","1"),"")</f>
        <v>0</v>
      </c>
      <c r="J162" s="30">
        <f ca="1">IF(I162="0",NETWORKDAYS(G162,H162,$CB$3:$CB$19),NETWORKDAYS(G162,'2025整理'!$S$1,$CB$3:$CB$19))</f>
        <v>15</v>
      </c>
      <c r="K162" s="6"/>
      <c r="L162" s="7"/>
      <c r="M162" s="40"/>
      <c r="N162" s="30"/>
      <c r="O162" s="6"/>
      <c r="P162" s="7"/>
      <c r="Q162" s="38"/>
      <c r="R162" s="30"/>
      <c r="S162" s="6"/>
      <c r="T162" s="7"/>
      <c r="U162" s="38"/>
      <c r="V162" s="30"/>
      <c r="W162" s="6"/>
      <c r="X162" s="7"/>
      <c r="Y162" s="38"/>
      <c r="Z162" s="30"/>
      <c r="AA162" s="16"/>
      <c r="AB162" s="7"/>
      <c r="AC162" s="40"/>
      <c r="AD162" s="30"/>
      <c r="AE162" s="48" t="s">
        <v>90</v>
      </c>
      <c r="AF162" s="47" t="s">
        <v>90</v>
      </c>
      <c r="AG162" s="50" t="s">
        <v>91</v>
      </c>
      <c r="AH162" s="51"/>
      <c r="AI162" s="52">
        <v>1788.38</v>
      </c>
      <c r="AJ162" s="51"/>
      <c r="AK162" s="52"/>
      <c r="AL162" s="40"/>
      <c r="AM162" s="40"/>
      <c r="AN162" s="40"/>
      <c r="AO162" s="48">
        <v>2235.12</v>
      </c>
      <c r="AP162" s="56">
        <v>2220.23</v>
      </c>
      <c r="AQ162" s="48">
        <v>2200.53</v>
      </c>
      <c r="AR162" s="56">
        <v>2185.86</v>
      </c>
      <c r="AS162" s="55" t="str">
        <f>IF(AND(AR162&lt;&gt;"",AQ162&lt;&gt;""),IF(AR162&gt;AQ162,"核增",IF(AR162&lt;AQ162,"核减","不变")),"")</f>
        <v>核减</v>
      </c>
      <c r="AT162" s="55">
        <f>IF(AND(AR162&lt;&gt;"",AQ162&lt;&gt;""),MAX(ABS(AR162),ABS(AQ162))-MIN(ABS(AR162),ABS(AQ162)),"")</f>
        <v>14.6700000000001</v>
      </c>
      <c r="AU162" s="51"/>
      <c r="AV162" s="52"/>
      <c r="AW162" s="51"/>
      <c r="AX162" s="52"/>
      <c r="AY162" s="40"/>
      <c r="AZ162" s="55"/>
      <c r="BA162" s="63"/>
      <c r="BB162" s="48"/>
      <c r="BC162" s="56"/>
      <c r="BD162" s="48"/>
      <c r="BE162" s="56"/>
      <c r="BF162" s="64"/>
      <c r="BG162" s="48"/>
      <c r="BH162" s="51"/>
      <c r="BI162" s="52"/>
      <c r="BJ162" s="51"/>
      <c r="BK162" s="52"/>
      <c r="BL162" s="40"/>
      <c r="BM162" s="55"/>
      <c r="BN162" s="63"/>
      <c r="BO162" s="48"/>
      <c r="BP162" s="56"/>
      <c r="BQ162" s="48"/>
      <c r="BR162" s="56"/>
      <c r="BS162" s="40"/>
      <c r="BT162" s="40"/>
      <c r="BU162" s="51"/>
      <c r="BV162" s="52"/>
      <c r="BW162" s="51"/>
      <c r="BX162" s="52"/>
      <c r="BY162" s="40"/>
      <c r="BZ162" s="55"/>
    </row>
    <row r="163" ht="13.5" customHeight="1" spans="1:78">
      <c r="A163" s="25" t="s">
        <v>253</v>
      </c>
      <c r="B163" s="5" t="s">
        <v>85</v>
      </c>
      <c r="C163" s="262">
        <v>45986</v>
      </c>
      <c r="D163" s="7">
        <v>45994</v>
      </c>
      <c r="E163" s="32" t="str">
        <f>IF(C163&lt;&gt;0,IF(D163&lt;&gt;0,"0","1"),"")</f>
        <v>0</v>
      </c>
      <c r="F163" s="30">
        <f ca="1">IF(E163="0",NETWORKDAYS(C163,D163,$CB$3:$CB$19),NETWORKDAYS(C163,'2025整理'!$S$1,$CB$3:$CB$19))</f>
        <v>7</v>
      </c>
      <c r="G163" s="6"/>
      <c r="H163" s="7"/>
      <c r="I163" s="38"/>
      <c r="J163" s="30"/>
      <c r="K163" s="6"/>
      <c r="L163" s="7"/>
      <c r="M163" s="40"/>
      <c r="N163" s="30"/>
      <c r="O163" s="6"/>
      <c r="P163" s="7"/>
      <c r="Q163" s="38"/>
      <c r="R163" s="30"/>
      <c r="S163" s="6"/>
      <c r="T163" s="7"/>
      <c r="U163" s="38"/>
      <c r="V163" s="30"/>
      <c r="W163" s="6"/>
      <c r="X163" s="7"/>
      <c r="Y163" s="38"/>
      <c r="Z163" s="30"/>
      <c r="AA163" s="16"/>
      <c r="AB163" s="7"/>
      <c r="AC163" s="40"/>
      <c r="AD163" s="30"/>
      <c r="AE163" s="48" t="s">
        <v>86</v>
      </c>
      <c r="AF163" s="47" t="s">
        <v>86</v>
      </c>
      <c r="AG163" s="50" t="s">
        <v>97</v>
      </c>
      <c r="AH163" s="51">
        <v>11768.34</v>
      </c>
      <c r="AI163" s="52">
        <v>9000.3</v>
      </c>
      <c r="AJ163" s="51">
        <v>11571.97</v>
      </c>
      <c r="AK163" s="52">
        <v>8849.21</v>
      </c>
      <c r="AL163" s="40" t="str">
        <f>IF(AND(AK163&lt;&gt;"",AJ163&lt;&gt;""),IF(AK163&gt;AJ163,"核增",IF(AK163&lt;AJ163,"核减","不变")),"")</f>
        <v>核减</v>
      </c>
      <c r="AM163" s="40">
        <f>IF(AND(AI163&lt;&gt;"",AH163&lt;&gt;""),MAX(ABS(AI163),ABS(AH163))-MIN(ABS(AI163),ABS(AH163)),"")</f>
        <v>2768.04</v>
      </c>
      <c r="AN163" s="40">
        <f>IF(AND(AK163&lt;&gt;"",AJ163&lt;&gt;""),MAX(ABS(AK163),ABS(AJ163))-MIN(ABS(AK163),ABS(AJ163)),"")</f>
        <v>2722.76</v>
      </c>
      <c r="AO163" s="48"/>
      <c r="AP163" s="56"/>
      <c r="AQ163" s="48"/>
      <c r="AR163" s="56"/>
      <c r="AS163" s="40"/>
      <c r="AT163" s="40"/>
      <c r="AU163" s="51"/>
      <c r="AV163" s="52"/>
      <c r="AW163" s="51"/>
      <c r="AX163" s="52"/>
      <c r="AY163" s="40"/>
      <c r="AZ163" s="55"/>
      <c r="BA163" s="63"/>
      <c r="BB163" s="48"/>
      <c r="BC163" s="56"/>
      <c r="BD163" s="48"/>
      <c r="BE163" s="56"/>
      <c r="BF163" s="64"/>
      <c r="BG163" s="48"/>
      <c r="BH163" s="51"/>
      <c r="BI163" s="52"/>
      <c r="BJ163" s="51"/>
      <c r="BK163" s="52"/>
      <c r="BL163" s="40"/>
      <c r="BM163" s="55"/>
      <c r="BN163" s="63"/>
      <c r="BO163" s="48"/>
      <c r="BP163" s="56"/>
      <c r="BQ163" s="48"/>
      <c r="BR163" s="56"/>
      <c r="BS163" s="40"/>
      <c r="BT163" s="40"/>
      <c r="BU163" s="51"/>
      <c r="BV163" s="52"/>
      <c r="BW163" s="51"/>
      <c r="BX163" s="52"/>
      <c r="BY163" s="40"/>
      <c r="BZ163" s="55"/>
    </row>
    <row r="164" ht="13.5" customHeight="1" spans="1:78">
      <c r="A164" s="25" t="s">
        <v>254</v>
      </c>
      <c r="B164" s="5" t="s">
        <v>93</v>
      </c>
      <c r="C164" s="262"/>
      <c r="D164" s="7"/>
      <c r="E164" s="32"/>
      <c r="F164" s="30"/>
      <c r="G164" s="6">
        <v>46016</v>
      </c>
      <c r="H164" s="7"/>
      <c r="I164" s="38" t="str">
        <f>IF(G164&lt;&gt;0,IF(H164&lt;&gt;0,"0","1"),"")</f>
        <v>1</v>
      </c>
      <c r="J164" s="30">
        <f ca="1">IF(I164="0",NETWORKDAYS(G164,H164,$CB$3:$CB$19),NETWORKDAYS(G164,'2025整理'!$S$1,$CB$3:$CB$19))</f>
        <v>3</v>
      </c>
      <c r="K164" s="6"/>
      <c r="L164" s="7"/>
      <c r="M164" s="40"/>
      <c r="N164" s="30"/>
      <c r="O164" s="6"/>
      <c r="P164" s="7"/>
      <c r="Q164" s="38"/>
      <c r="R164" s="30"/>
      <c r="S164" s="6"/>
      <c r="T164" s="7"/>
      <c r="U164" s="38"/>
      <c r="V164" s="30"/>
      <c r="W164" s="236">
        <v>46052</v>
      </c>
      <c r="X164" s="7"/>
      <c r="Y164" s="38" t="str">
        <f t="shared" ref="Y164:Y166" si="201">IF(W164&lt;&gt;0,IF(X164&lt;&gt;0,"0","1"),"")</f>
        <v>1</v>
      </c>
      <c r="Z164" s="30">
        <f ca="1">IF(Y164="0",NETWORKDAYS(W164,X164,$CB$3:$CB$19),NETWORKDAYS(W164,'2025整理'!$S$1,$CB$3:$CB$19))</f>
        <v>-25</v>
      </c>
      <c r="AA164" s="16"/>
      <c r="AB164" s="7"/>
      <c r="AC164" s="40"/>
      <c r="AD164" s="30"/>
      <c r="AE164" s="46" t="s">
        <v>86</v>
      </c>
      <c r="AF164" s="49" t="s">
        <v>86</v>
      </c>
      <c r="AG164" s="50" t="s">
        <v>91</v>
      </c>
      <c r="AH164" s="51"/>
      <c r="AI164" s="52"/>
      <c r="AJ164" s="51"/>
      <c r="AK164" s="52"/>
      <c r="AL164" s="40"/>
      <c r="AM164" s="40"/>
      <c r="AN164" s="40"/>
      <c r="AO164" s="48"/>
      <c r="AP164" s="56"/>
      <c r="AQ164" s="48"/>
      <c r="AR164" s="56"/>
      <c r="AS164" s="40"/>
      <c r="AT164" s="40"/>
      <c r="AU164" s="51"/>
      <c r="AV164" s="52"/>
      <c r="AW164" s="51"/>
      <c r="AX164" s="52"/>
      <c r="AY164" s="40"/>
      <c r="AZ164" s="55"/>
      <c r="BA164" s="63"/>
      <c r="BB164" s="48"/>
      <c r="BC164" s="56"/>
      <c r="BD164" s="48"/>
      <c r="BE164" s="56"/>
      <c r="BF164" s="64"/>
      <c r="BG164" s="48"/>
      <c r="BH164" s="51"/>
      <c r="BI164" s="52"/>
      <c r="BJ164" s="51"/>
      <c r="BK164" s="52"/>
      <c r="BL164" s="40"/>
      <c r="BM164" s="55"/>
      <c r="BN164" s="63"/>
      <c r="BO164" s="48"/>
      <c r="BP164" s="56"/>
      <c r="BQ164" s="48"/>
      <c r="BR164" s="56"/>
      <c r="BS164" s="40"/>
      <c r="BT164" s="40"/>
      <c r="BU164" s="51"/>
      <c r="BV164" s="52"/>
      <c r="BW164" s="51"/>
      <c r="BX164" s="52"/>
      <c r="BY164" s="40"/>
      <c r="BZ164" s="55"/>
    </row>
    <row r="165" ht="13.5" customHeight="1" spans="1:78">
      <c r="A165" s="25" t="s">
        <v>255</v>
      </c>
      <c r="B165" s="5" t="s">
        <v>93</v>
      </c>
      <c r="C165" s="262"/>
      <c r="D165" s="7"/>
      <c r="E165" s="32"/>
      <c r="F165" s="30"/>
      <c r="G165" s="6"/>
      <c r="H165" s="7"/>
      <c r="I165" s="38"/>
      <c r="J165" s="30"/>
      <c r="K165" s="6"/>
      <c r="L165" s="7"/>
      <c r="M165" s="40"/>
      <c r="N165" s="30"/>
      <c r="O165" s="6"/>
      <c r="P165" s="7"/>
      <c r="Q165" s="38"/>
      <c r="R165" s="30"/>
      <c r="S165" s="6"/>
      <c r="T165" s="7"/>
      <c r="U165" s="38"/>
      <c r="V165" s="30"/>
      <c r="W165" s="6">
        <v>45946</v>
      </c>
      <c r="X165" s="7">
        <v>45951</v>
      </c>
      <c r="Y165" s="38" t="str">
        <f t="shared" si="201"/>
        <v>0</v>
      </c>
      <c r="Z165" s="30">
        <f ca="1">IF(Y165="0",NETWORKDAYS(W165,X165,$CB$3:$CB$19),NETWORKDAYS(W165,'2025整理'!$S$1,$CB$3:$CB$19))</f>
        <v>4</v>
      </c>
      <c r="AA165" s="16"/>
      <c r="AB165" s="7"/>
      <c r="AC165" s="40"/>
      <c r="AD165" s="30"/>
      <c r="AE165" s="48" t="s">
        <v>90</v>
      </c>
      <c r="AF165" s="47" t="s">
        <v>90</v>
      </c>
      <c r="AG165" s="50" t="s">
        <v>91</v>
      </c>
      <c r="AH165" s="51"/>
      <c r="AI165" s="52"/>
      <c r="AJ165" s="51"/>
      <c r="AK165" s="52"/>
      <c r="AL165" s="40"/>
      <c r="AM165" s="40"/>
      <c r="AN165" s="40"/>
      <c r="AO165" s="48"/>
      <c r="AP165" s="56"/>
      <c r="AQ165" s="48"/>
      <c r="AR165" s="56"/>
      <c r="AS165" s="40"/>
      <c r="AT165" s="40"/>
      <c r="AU165" s="51"/>
      <c r="AV165" s="52"/>
      <c r="AW165" s="51"/>
      <c r="AX165" s="52"/>
      <c r="AY165" s="40"/>
      <c r="AZ165" s="55"/>
      <c r="BA165" s="63"/>
      <c r="BB165" s="48"/>
      <c r="BC165" s="56"/>
      <c r="BD165" s="48"/>
      <c r="BE165" s="56"/>
      <c r="BF165" s="64"/>
      <c r="BG165" s="48"/>
      <c r="BH165" s="51"/>
      <c r="BI165" s="52">
        <v>7678.78</v>
      </c>
      <c r="BJ165" s="51"/>
      <c r="BK165" s="52">
        <v>7548.46</v>
      </c>
      <c r="BL165" s="40"/>
      <c r="BM165" s="55"/>
      <c r="BN165" s="63"/>
      <c r="BO165" s="48">
        <v>8133.94</v>
      </c>
      <c r="BP165" s="56">
        <v>8133.94</v>
      </c>
      <c r="BQ165" s="48">
        <v>7995.8</v>
      </c>
      <c r="BR165" s="56">
        <v>7995.8</v>
      </c>
      <c r="BS165" s="40" t="str">
        <f t="shared" ref="BS165:BS166" si="202">IF(AND(BR165&lt;&gt;"",BQ165&lt;&gt;""),IF(BR165&gt;BQ165,"核增",IF(BR165&lt;BQ165,"核减","不变")),"")</f>
        <v>不变</v>
      </c>
      <c r="BT165" s="40">
        <f t="shared" ref="BT165:BT166" si="203">IF(AND(BR165&lt;&gt;"",BQ165&lt;&gt;""),MAX(ABS(BR165),ABS(BQ165))-MIN(ABS(BR165),ABS(BQ165)),"")</f>
        <v>0</v>
      </c>
      <c r="BU165" s="51"/>
      <c r="BV165" s="52"/>
      <c r="BW165" s="51"/>
      <c r="BX165" s="52"/>
      <c r="BY165" s="40"/>
      <c r="BZ165" s="55"/>
    </row>
    <row r="166" ht="13.5" customHeight="1" spans="1:78">
      <c r="A166" s="25" t="s">
        <v>256</v>
      </c>
      <c r="B166" s="5" t="s">
        <v>93</v>
      </c>
      <c r="C166" s="262"/>
      <c r="D166" s="7"/>
      <c r="E166" s="32"/>
      <c r="F166" s="30"/>
      <c r="G166" s="6"/>
      <c r="H166" s="7"/>
      <c r="I166" s="38"/>
      <c r="J166" s="30"/>
      <c r="K166" s="6"/>
      <c r="L166" s="7"/>
      <c r="M166" s="40"/>
      <c r="N166" s="30"/>
      <c r="O166" s="6"/>
      <c r="P166" s="7"/>
      <c r="Q166" s="38"/>
      <c r="R166" s="30"/>
      <c r="S166" s="6"/>
      <c r="T166" s="7"/>
      <c r="U166" s="38"/>
      <c r="V166" s="30"/>
      <c r="W166" s="6">
        <v>45915</v>
      </c>
      <c r="X166" s="7">
        <v>45916</v>
      </c>
      <c r="Y166" s="38" t="str">
        <f t="shared" si="201"/>
        <v>0</v>
      </c>
      <c r="Z166" s="30">
        <f ca="1">IF(Y166="0",NETWORKDAYS(W166,X166,$CB$3:$CB$19),NETWORKDAYS(W166,'2025整理'!$S$1,$CB$3:$CB$19))</f>
        <v>2</v>
      </c>
      <c r="AA166" s="16"/>
      <c r="AB166" s="7"/>
      <c r="AC166" s="40"/>
      <c r="AD166" s="30"/>
      <c r="AE166" s="48" t="s">
        <v>87</v>
      </c>
      <c r="AF166" s="47" t="s">
        <v>91</v>
      </c>
      <c r="AG166" s="50" t="s">
        <v>87</v>
      </c>
      <c r="AH166" s="51"/>
      <c r="AI166" s="52"/>
      <c r="AJ166" s="51"/>
      <c r="AK166" s="52"/>
      <c r="AL166" s="40"/>
      <c r="AM166" s="40"/>
      <c r="AN166" s="40"/>
      <c r="AO166" s="48"/>
      <c r="AP166" s="56"/>
      <c r="AQ166" s="48"/>
      <c r="AR166" s="56"/>
      <c r="AS166" s="40"/>
      <c r="AT166" s="40"/>
      <c r="AU166" s="51"/>
      <c r="AV166" s="52"/>
      <c r="AW166" s="51"/>
      <c r="AX166" s="52"/>
      <c r="AY166" s="40"/>
      <c r="AZ166" s="55"/>
      <c r="BA166" s="63"/>
      <c r="BB166" s="48"/>
      <c r="BC166" s="56"/>
      <c r="BD166" s="48"/>
      <c r="BE166" s="56"/>
      <c r="BF166" s="64"/>
      <c r="BG166" s="48"/>
      <c r="BH166" s="51"/>
      <c r="BI166" s="52">
        <v>8578</v>
      </c>
      <c r="BJ166" s="51"/>
      <c r="BK166" s="52">
        <v>8434</v>
      </c>
      <c r="BL166" s="40"/>
      <c r="BM166" s="55"/>
      <c r="BN166" s="63"/>
      <c r="BO166" s="48">
        <v>9154</v>
      </c>
      <c r="BP166" s="56">
        <v>9154</v>
      </c>
      <c r="BQ166" s="48">
        <v>8999</v>
      </c>
      <c r="BR166" s="56">
        <v>8999</v>
      </c>
      <c r="BS166" s="40" t="str">
        <f t="shared" si="202"/>
        <v>不变</v>
      </c>
      <c r="BT166" s="40">
        <f t="shared" si="203"/>
        <v>0</v>
      </c>
      <c r="BU166" s="51"/>
      <c r="BV166" s="52"/>
      <c r="BW166" s="51"/>
      <c r="BX166" s="52"/>
      <c r="BY166" s="40"/>
      <c r="BZ166" s="55"/>
    </row>
    <row r="167" ht="13.5" customHeight="1" spans="1:78">
      <c r="A167" s="25" t="s">
        <v>257</v>
      </c>
      <c r="B167" s="5" t="s">
        <v>93</v>
      </c>
      <c r="C167" s="262"/>
      <c r="D167" s="7"/>
      <c r="E167" s="32"/>
      <c r="F167" s="30"/>
      <c r="G167" s="6"/>
      <c r="H167" s="7"/>
      <c r="I167" s="38"/>
      <c r="J167" s="30"/>
      <c r="K167" s="6"/>
      <c r="L167" s="7"/>
      <c r="M167" s="40"/>
      <c r="N167" s="30"/>
      <c r="O167" s="6"/>
      <c r="P167" s="7"/>
      <c r="Q167" s="38"/>
      <c r="R167" s="30"/>
      <c r="S167" s="6"/>
      <c r="T167" s="7"/>
      <c r="U167" s="38"/>
      <c r="V167" s="30"/>
      <c r="W167" s="6"/>
      <c r="X167" s="7"/>
      <c r="Y167" s="38"/>
      <c r="Z167" s="30"/>
      <c r="AA167" s="16">
        <v>45964</v>
      </c>
      <c r="AB167" s="7">
        <v>45972</v>
      </c>
      <c r="AC167" s="40" t="str">
        <f>IF(AA167&lt;&gt;0,IF(AB167&lt;&gt;0,"0","1"),"")</f>
        <v>0</v>
      </c>
      <c r="AD167" s="30">
        <f ca="1">IF(AC167="0",NETWORKDAYS(AA167,AB167,$CB$3:$CB$19),NETWORKDAYS(AA167,'2025整理'!$S$1,$CB$3:$CB$19))</f>
        <v>7</v>
      </c>
      <c r="AE167" s="48" t="s">
        <v>97</v>
      </c>
      <c r="AF167" s="47" t="s">
        <v>91</v>
      </c>
      <c r="AG167" s="50" t="s">
        <v>97</v>
      </c>
      <c r="AH167" s="51"/>
      <c r="AI167" s="52"/>
      <c r="AJ167" s="51"/>
      <c r="AK167" s="52"/>
      <c r="AL167" s="40"/>
      <c r="AM167" s="40"/>
      <c r="AN167" s="40"/>
      <c r="AO167" s="48"/>
      <c r="AP167" s="56"/>
      <c r="AQ167" s="48"/>
      <c r="AR167" s="56"/>
      <c r="AS167" s="40"/>
      <c r="AT167" s="40"/>
      <c r="AU167" s="51"/>
      <c r="AV167" s="52"/>
      <c r="AW167" s="51"/>
      <c r="AX167" s="52"/>
      <c r="AY167" s="40"/>
      <c r="AZ167" s="55"/>
      <c r="BA167" s="63"/>
      <c r="BB167" s="48"/>
      <c r="BC167" s="56"/>
      <c r="BD167" s="48"/>
      <c r="BE167" s="56"/>
      <c r="BF167" s="64"/>
      <c r="BG167" s="48"/>
      <c r="BH167" s="51"/>
      <c r="BI167" s="52"/>
      <c r="BJ167" s="51"/>
      <c r="BK167" s="52"/>
      <c r="BL167" s="40"/>
      <c r="BM167" s="55"/>
      <c r="BN167" s="63"/>
      <c r="BO167" s="48"/>
      <c r="BP167" s="56"/>
      <c r="BQ167" s="48"/>
      <c r="BR167" s="56"/>
      <c r="BS167" s="40"/>
      <c r="BT167" s="40"/>
      <c r="BU167" s="82">
        <f>ABS(-530.35)</f>
        <v>530.35</v>
      </c>
      <c r="BV167" s="83">
        <f>ABS(-417.08)</f>
        <v>417.08</v>
      </c>
      <c r="BW167" s="82">
        <f>ABS(-530.35)</f>
        <v>530.35</v>
      </c>
      <c r="BX167" s="83">
        <f>ABS(-417.08)</f>
        <v>417.08</v>
      </c>
      <c r="BY167" s="253" t="str">
        <f>IF(AND(BX167&lt;&gt;"",BW167&lt;&gt;""),IF(BX167&gt;BW167,"核减",IF(BX167&lt;BW167,"核增","不变")),"")</f>
        <v>核增</v>
      </c>
      <c r="BZ167" s="55">
        <f>IF(AND(BX167&lt;&gt;"",BW167&lt;&gt;""),MAX(ABS(BX167),ABS(BW167))-MIN(ABS(BX167),ABS(BW167)),"")</f>
        <v>113.27</v>
      </c>
    </row>
    <row r="168" ht="13.5" customHeight="1" spans="1:78">
      <c r="A168" s="25" t="s">
        <v>258</v>
      </c>
      <c r="B168" s="5" t="s">
        <v>81</v>
      </c>
      <c r="C168" s="262">
        <v>45965</v>
      </c>
      <c r="D168" s="7">
        <v>45981</v>
      </c>
      <c r="E168" s="32" t="str">
        <f t="shared" ref="E168:E169" si="204">IF(C168&lt;&gt;0,IF(D168&lt;&gt;0,"0","1"),"")</f>
        <v>0</v>
      </c>
      <c r="F168" s="30">
        <f ca="1">IF(E168="0",NETWORKDAYS(C168,D168,$CB$3:$CB$19),NETWORKDAYS(C168,'2025整理'!$S$1,$CB$3:$CB$19))</f>
        <v>13</v>
      </c>
      <c r="G168" s="6"/>
      <c r="H168" s="7"/>
      <c r="I168" s="38"/>
      <c r="J168" s="30"/>
      <c r="K168" s="6"/>
      <c r="L168" s="7"/>
      <c r="M168" s="40"/>
      <c r="N168" s="30"/>
      <c r="O168" s="6"/>
      <c r="P168" s="7"/>
      <c r="Q168" s="38"/>
      <c r="R168" s="30"/>
      <c r="S168" s="6"/>
      <c r="T168" s="7"/>
      <c r="U168" s="38"/>
      <c r="V168" s="30"/>
      <c r="W168" s="6"/>
      <c r="X168" s="7"/>
      <c r="Y168" s="38"/>
      <c r="Z168" s="30"/>
      <c r="AA168" s="16"/>
      <c r="AB168" s="7"/>
      <c r="AC168" s="40"/>
      <c r="AD168" s="30"/>
      <c r="AE168" s="48" t="s">
        <v>82</v>
      </c>
      <c r="AF168" s="47" t="s">
        <v>82</v>
      </c>
      <c r="AG168" s="50" t="s">
        <v>87</v>
      </c>
      <c r="AH168" s="51">
        <v>2717.05</v>
      </c>
      <c r="AI168" s="52">
        <v>2670.94</v>
      </c>
      <c r="AJ168" s="51">
        <v>2691.87</v>
      </c>
      <c r="AK168" s="52">
        <v>2646.18</v>
      </c>
      <c r="AL168" s="40" t="str">
        <f>IF(AND(AK168&lt;&gt;"",AJ168&lt;&gt;""),IF(AK168&gt;AJ168,"核增",IF(AK168&lt;AJ168,"核减","不变")),"")</f>
        <v>核减</v>
      </c>
      <c r="AM168" s="40">
        <f>IF(AND(AI168&lt;&gt;"",AH168&lt;&gt;""),MAX(ABS(AI168),ABS(AH168))-MIN(ABS(AI168),ABS(AH168)),"")</f>
        <v>46.1100000000001</v>
      </c>
      <c r="AN168" s="40">
        <f>IF(AND(AK168&lt;&gt;"",AJ168&lt;&gt;""),MAX(ABS(AK168),ABS(AJ168))-MIN(ABS(AK168),ABS(AJ168)),"")</f>
        <v>45.6900000000001</v>
      </c>
      <c r="AO168" s="48"/>
      <c r="AP168" s="56"/>
      <c r="AQ168" s="48"/>
      <c r="AR168" s="56"/>
      <c r="AS168" s="40"/>
      <c r="AT168" s="40"/>
      <c r="AU168" s="51"/>
      <c r="AV168" s="52"/>
      <c r="AW168" s="51"/>
      <c r="AX168" s="52"/>
      <c r="AY168" s="40"/>
      <c r="AZ168" s="55"/>
      <c r="BA168" s="63"/>
      <c r="BB168" s="48"/>
      <c r="BC168" s="56"/>
      <c r="BD168" s="48"/>
      <c r="BE168" s="56"/>
      <c r="BF168" s="64"/>
      <c r="BG168" s="48"/>
      <c r="BH168" s="51"/>
      <c r="BI168" s="52"/>
      <c r="BJ168" s="51"/>
      <c r="BK168" s="52"/>
      <c r="BL168" s="40"/>
      <c r="BM168" s="55"/>
      <c r="BN168" s="63"/>
      <c r="BO168" s="48"/>
      <c r="BP168" s="56"/>
      <c r="BQ168" s="48"/>
      <c r="BR168" s="56"/>
      <c r="BS168" s="40"/>
      <c r="BT168" s="40"/>
      <c r="BU168" s="51"/>
      <c r="BV168" s="52"/>
      <c r="BW168" s="51"/>
      <c r="BX168" s="52"/>
      <c r="BY168" s="40"/>
      <c r="BZ168" s="55"/>
    </row>
    <row r="169" ht="13.5" customHeight="1" spans="1:78">
      <c r="A169" s="25" t="s">
        <v>259</v>
      </c>
      <c r="B169" s="5" t="s">
        <v>93</v>
      </c>
      <c r="C169" s="262">
        <v>45966</v>
      </c>
      <c r="D169" s="7"/>
      <c r="E169" s="32" t="str">
        <f t="shared" si="204"/>
        <v>1</v>
      </c>
      <c r="F169" s="30">
        <f ca="1">IF(E169="0",NETWORKDAYS(C169,D169,$CB$3:$CB$19),NETWORKDAYS(C169,'2025整理'!$S$1,$CB$3:$CB$19))</f>
        <v>39</v>
      </c>
      <c r="G169" s="6"/>
      <c r="H169" s="7"/>
      <c r="I169" s="38"/>
      <c r="J169" s="30"/>
      <c r="K169" s="6"/>
      <c r="L169" s="7"/>
      <c r="M169" s="40"/>
      <c r="N169" s="30"/>
      <c r="O169" s="6"/>
      <c r="P169" s="7"/>
      <c r="Q169" s="38"/>
      <c r="R169" s="30"/>
      <c r="S169" s="6"/>
      <c r="T169" s="7"/>
      <c r="U169" s="38"/>
      <c r="V169" s="30"/>
      <c r="W169" s="6"/>
      <c r="X169" s="7"/>
      <c r="Y169" s="38"/>
      <c r="Z169" s="30"/>
      <c r="AA169" s="16"/>
      <c r="AB169" s="7"/>
      <c r="AC169" s="40"/>
      <c r="AD169" s="30"/>
      <c r="AE169" s="48" t="s">
        <v>86</v>
      </c>
      <c r="AF169" s="47" t="s">
        <v>86</v>
      </c>
      <c r="AG169" s="50" t="s">
        <v>83</v>
      </c>
      <c r="AH169" s="51"/>
      <c r="AI169" s="52"/>
      <c r="AJ169" s="51"/>
      <c r="AK169" s="52"/>
      <c r="AL169" s="40"/>
      <c r="AM169" s="40"/>
      <c r="AN169" s="40"/>
      <c r="AO169" s="48"/>
      <c r="AP169" s="56"/>
      <c r="AQ169" s="48"/>
      <c r="AR169" s="56"/>
      <c r="AS169" s="40"/>
      <c r="AT169" s="40"/>
      <c r="AU169" s="51"/>
      <c r="AV169" s="52"/>
      <c r="AW169" s="51"/>
      <c r="AX169" s="52"/>
      <c r="AY169" s="40"/>
      <c r="AZ169" s="55"/>
      <c r="BA169" s="63"/>
      <c r="BB169" s="48"/>
      <c r="BC169" s="56"/>
      <c r="BD169" s="48"/>
      <c r="BE169" s="56"/>
      <c r="BF169" s="64"/>
      <c r="BG169" s="48"/>
      <c r="BH169" s="51"/>
      <c r="BI169" s="52"/>
      <c r="BJ169" s="51"/>
      <c r="BK169" s="52"/>
      <c r="BL169" s="40"/>
      <c r="BM169" s="55"/>
      <c r="BN169" s="63"/>
      <c r="BO169" s="48"/>
      <c r="BP169" s="56"/>
      <c r="BQ169" s="48"/>
      <c r="BR169" s="56"/>
      <c r="BS169" s="40"/>
      <c r="BT169" s="40"/>
      <c r="BU169" s="51"/>
      <c r="BV169" s="52"/>
      <c r="BW169" s="51"/>
      <c r="BX169" s="52"/>
      <c r="BY169" s="40"/>
      <c r="BZ169" s="55"/>
    </row>
    <row r="170" ht="13.5" customHeight="1" spans="1:78">
      <c r="A170" s="25" t="s">
        <v>260</v>
      </c>
      <c r="B170" s="5" t="s">
        <v>93</v>
      </c>
      <c r="C170" s="262"/>
      <c r="D170" s="7"/>
      <c r="E170" s="32"/>
      <c r="F170" s="30"/>
      <c r="G170" s="6"/>
      <c r="H170" s="7"/>
      <c r="I170" s="38"/>
      <c r="J170" s="30"/>
      <c r="K170" s="6"/>
      <c r="L170" s="7"/>
      <c r="M170" s="40"/>
      <c r="N170" s="30"/>
      <c r="O170" s="6"/>
      <c r="P170" s="7"/>
      <c r="Q170" s="38"/>
      <c r="R170" s="30"/>
      <c r="S170" s="6"/>
      <c r="T170" s="7"/>
      <c r="U170" s="38"/>
      <c r="V170" s="30"/>
      <c r="W170" s="6"/>
      <c r="X170" s="7"/>
      <c r="Y170" s="38"/>
      <c r="Z170" s="30"/>
      <c r="AA170" s="16">
        <v>45950</v>
      </c>
      <c r="AB170" s="7">
        <v>45980</v>
      </c>
      <c r="AC170" s="40" t="str">
        <f>IF(AA170&lt;&gt;0,IF(AB170&lt;&gt;0,"0","1"),"")</f>
        <v>0</v>
      </c>
      <c r="AD170" s="30">
        <f ca="1">IF(AC170="0",NETWORKDAYS(AA170,AB170,$CB$3:$CB$19),NETWORKDAYS(AA170,'2025整理'!$S$1,$CB$3:$CB$19))</f>
        <v>23</v>
      </c>
      <c r="AE170" s="48" t="s">
        <v>97</v>
      </c>
      <c r="AF170" s="47" t="s">
        <v>91</v>
      </c>
      <c r="AG170" s="50" t="s">
        <v>97</v>
      </c>
      <c r="AH170" s="51"/>
      <c r="AI170" s="52"/>
      <c r="AJ170" s="51"/>
      <c r="AK170" s="52"/>
      <c r="AL170" s="40"/>
      <c r="AM170" s="40"/>
      <c r="AN170" s="40"/>
      <c r="AO170" s="48"/>
      <c r="AP170" s="56"/>
      <c r="AQ170" s="48"/>
      <c r="AR170" s="56"/>
      <c r="AS170" s="40"/>
      <c r="AT170" s="40"/>
      <c r="AU170" s="51"/>
      <c r="AV170" s="52"/>
      <c r="AW170" s="51"/>
      <c r="AX170" s="52"/>
      <c r="AY170" s="40"/>
      <c r="AZ170" s="55"/>
      <c r="BA170" s="63"/>
      <c r="BB170" s="48"/>
      <c r="BC170" s="56"/>
      <c r="BD170" s="48"/>
      <c r="BE170" s="56"/>
      <c r="BF170" s="64"/>
      <c r="BG170" s="48"/>
      <c r="BH170" s="51"/>
      <c r="BI170" s="52"/>
      <c r="BJ170" s="51"/>
      <c r="BK170" s="52"/>
      <c r="BL170" s="40"/>
      <c r="BM170" s="55"/>
      <c r="BN170" s="63"/>
      <c r="BO170" s="48"/>
      <c r="BP170" s="56"/>
      <c r="BQ170" s="48"/>
      <c r="BR170" s="56"/>
      <c r="BS170" s="40"/>
      <c r="BT170" s="40"/>
      <c r="BU170" s="82">
        <f>ABS(-1196.98)</f>
        <v>1196.98</v>
      </c>
      <c r="BV170" s="52">
        <v>503.04</v>
      </c>
      <c r="BW170" s="82">
        <f>ABS(-1196.98)</f>
        <v>1196.98</v>
      </c>
      <c r="BX170" s="52">
        <v>503.04</v>
      </c>
      <c r="BY170" s="253" t="str">
        <f>IF(AND(BX170&lt;&gt;"",BW170&lt;&gt;""),IF(BX170&gt;BW170,"核减",IF(BX170&lt;BW170,"核增","不变")),"")</f>
        <v>核增</v>
      </c>
      <c r="BZ170" s="55">
        <f>BW170+BX170</f>
        <v>1700.02</v>
      </c>
    </row>
    <row r="171" ht="13.5" customHeight="1" spans="1:78">
      <c r="A171" s="25" t="s">
        <v>261</v>
      </c>
      <c r="B171" s="5" t="s">
        <v>93</v>
      </c>
      <c r="C171" s="262">
        <v>45981</v>
      </c>
      <c r="D171" s="7"/>
      <c r="E171" s="32" t="str">
        <f t="shared" ref="E171:E174" si="205">IF(C171&lt;&gt;0,IF(D171&lt;&gt;0,"0","1"),"")</f>
        <v>1</v>
      </c>
      <c r="F171" s="30">
        <f ca="1">IF(E171="0",NETWORKDAYS(C171,D171,$CB$3:$CB$19),NETWORKDAYS(C171,'2025整理'!$S$1,$CB$3:$CB$19))</f>
        <v>28</v>
      </c>
      <c r="G171" s="6"/>
      <c r="H171" s="7"/>
      <c r="I171" s="38"/>
      <c r="J171" s="30"/>
      <c r="K171" s="6"/>
      <c r="L171" s="7"/>
      <c r="M171" s="40"/>
      <c r="N171" s="30"/>
      <c r="O171" s="6"/>
      <c r="P171" s="7"/>
      <c r="Q171" s="38"/>
      <c r="R171" s="30"/>
      <c r="S171" s="6"/>
      <c r="T171" s="7"/>
      <c r="U171" s="38"/>
      <c r="V171" s="30"/>
      <c r="W171" s="6"/>
      <c r="X171" s="7"/>
      <c r="Y171" s="38"/>
      <c r="Z171" s="30"/>
      <c r="AA171" s="16"/>
      <c r="AB171" s="7"/>
      <c r="AC171" s="40"/>
      <c r="AD171" s="30"/>
      <c r="AE171" s="46" t="s">
        <v>87</v>
      </c>
      <c r="AF171" s="49" t="s">
        <v>82</v>
      </c>
      <c r="AG171" s="50" t="s">
        <v>87</v>
      </c>
      <c r="AH171" s="51"/>
      <c r="AI171" s="52"/>
      <c r="AJ171" s="51"/>
      <c r="AK171" s="52"/>
      <c r="AL171" s="40"/>
      <c r="AM171" s="40"/>
      <c r="AN171" s="40"/>
      <c r="AO171" s="48"/>
      <c r="AP171" s="56"/>
      <c r="AQ171" s="48"/>
      <c r="AR171" s="56"/>
      <c r="AS171" s="40"/>
      <c r="AT171" s="40"/>
      <c r="AU171" s="51"/>
      <c r="AV171" s="52"/>
      <c r="AW171" s="51"/>
      <c r="AX171" s="52"/>
      <c r="AY171" s="40"/>
      <c r="AZ171" s="55"/>
      <c r="BA171" s="63"/>
      <c r="BB171" s="48"/>
      <c r="BC171" s="56"/>
      <c r="BD171" s="48"/>
      <c r="BE171" s="56"/>
      <c r="BF171" s="64"/>
      <c r="BG171" s="48"/>
      <c r="BH171" s="51"/>
      <c r="BI171" s="52"/>
      <c r="BJ171" s="51"/>
      <c r="BK171" s="52"/>
      <c r="BL171" s="40"/>
      <c r="BM171" s="55"/>
      <c r="BN171" s="63"/>
      <c r="BO171" s="48"/>
      <c r="BP171" s="56"/>
      <c r="BQ171" s="48"/>
      <c r="BR171" s="56"/>
      <c r="BS171" s="40"/>
      <c r="BT171" s="40"/>
      <c r="BU171" s="51"/>
      <c r="BV171" s="52"/>
      <c r="BW171" s="51"/>
      <c r="BX171" s="52"/>
      <c r="BY171" s="40"/>
      <c r="BZ171" s="55"/>
    </row>
    <row r="172" ht="13.5" customHeight="1" spans="1:78">
      <c r="A172" s="25" t="s">
        <v>262</v>
      </c>
      <c r="B172" s="5" t="s">
        <v>85</v>
      </c>
      <c r="C172" s="262">
        <v>46013</v>
      </c>
      <c r="D172" s="7">
        <v>46020</v>
      </c>
      <c r="E172" s="32" t="str">
        <f t="shared" si="205"/>
        <v>0</v>
      </c>
      <c r="F172" s="30">
        <f ca="1">IF(E172="0",NETWORKDAYS(C172,D172,$CB$3:$CB$19),NETWORKDAYS(C172,'2025整理'!$S$1,$CB$3:$CB$19))</f>
        <v>6</v>
      </c>
      <c r="G172" s="6"/>
      <c r="H172" s="7"/>
      <c r="I172" s="38"/>
      <c r="J172" s="30"/>
      <c r="K172" s="6"/>
      <c r="L172" s="7"/>
      <c r="M172" s="40"/>
      <c r="N172" s="30"/>
      <c r="O172" s="6"/>
      <c r="P172" s="7"/>
      <c r="Q172" s="38"/>
      <c r="R172" s="30"/>
      <c r="S172" s="6"/>
      <c r="T172" s="7"/>
      <c r="U172" s="38"/>
      <c r="V172" s="30"/>
      <c r="W172" s="6"/>
      <c r="X172" s="7"/>
      <c r="Y172" s="38"/>
      <c r="Z172" s="30"/>
      <c r="AA172" s="16"/>
      <c r="AB172" s="7"/>
      <c r="AC172" s="40"/>
      <c r="AD172" s="30"/>
      <c r="AE172" s="48" t="s">
        <v>90</v>
      </c>
      <c r="AF172" s="47" t="s">
        <v>90</v>
      </c>
      <c r="AG172" s="50" t="s">
        <v>91</v>
      </c>
      <c r="AH172" s="51">
        <v>4163.26</v>
      </c>
      <c r="AI172" s="52">
        <v>4095.76</v>
      </c>
      <c r="AJ172" s="51">
        <v>4091.8</v>
      </c>
      <c r="AK172" s="52">
        <v>4025.46</v>
      </c>
      <c r="AL172" s="40" t="str">
        <f>IF(AND(AK172&lt;&gt;"",AJ172&lt;&gt;""),IF(AK172&gt;AJ172,"核增",IF(AK172&lt;AJ172,"核减","不变")),"")</f>
        <v>核减</v>
      </c>
      <c r="AM172" s="40">
        <f>IF(AND(AI172&lt;&gt;"",AH172&lt;&gt;""),MAX(ABS(AI172),ABS(AH172))-MIN(ABS(AI172),ABS(AH172)),"")</f>
        <v>67.5</v>
      </c>
      <c r="AN172" s="40">
        <f>IF(AND(AK172&lt;&gt;"",AJ172&lt;&gt;""),MAX(ABS(AK172),ABS(AJ172))-MIN(ABS(AK172),ABS(AJ172)),"")</f>
        <v>66.3400000000001</v>
      </c>
      <c r="AO172" s="48"/>
      <c r="AP172" s="56"/>
      <c r="AQ172" s="48"/>
      <c r="AR172" s="56"/>
      <c r="AS172" s="40"/>
      <c r="AT172" s="40"/>
      <c r="AU172" s="51"/>
      <c r="AV172" s="52"/>
      <c r="AW172" s="51"/>
      <c r="AX172" s="52"/>
      <c r="AY172" s="40"/>
      <c r="AZ172" s="55"/>
      <c r="BA172" s="63"/>
      <c r="BB172" s="48"/>
      <c r="BC172" s="56"/>
      <c r="BD172" s="48"/>
      <c r="BE172" s="56"/>
      <c r="BF172" s="64"/>
      <c r="BG172" s="48"/>
      <c r="BH172" s="51"/>
      <c r="BI172" s="52"/>
      <c r="BJ172" s="51"/>
      <c r="BK172" s="52"/>
      <c r="BL172" s="40"/>
      <c r="BM172" s="55"/>
      <c r="BN172" s="63"/>
      <c r="BO172" s="48"/>
      <c r="BP172" s="56"/>
      <c r="BQ172" s="48"/>
      <c r="BR172" s="56"/>
      <c r="BS172" s="40"/>
      <c r="BT172" s="40"/>
      <c r="BU172" s="51"/>
      <c r="BV172" s="52"/>
      <c r="BW172" s="51"/>
      <c r="BX172" s="52"/>
      <c r="BY172" s="40"/>
      <c r="BZ172" s="55"/>
    </row>
    <row r="173" ht="13.5" customHeight="1" spans="1:78">
      <c r="A173" s="25" t="s">
        <v>263</v>
      </c>
      <c r="B173" s="5" t="s">
        <v>85</v>
      </c>
      <c r="C173" s="262">
        <v>46008</v>
      </c>
      <c r="D173" s="7"/>
      <c r="E173" s="32" t="str">
        <f t="shared" si="205"/>
        <v>1</v>
      </c>
      <c r="F173" s="30">
        <f ca="1">IF(E173="0",NETWORKDAYS(C173,D173,$CB$3:$CB$19),NETWORKDAYS(C173,'2025整理'!$S$1,$CB$3:$CB$19))</f>
        <v>9</v>
      </c>
      <c r="G173" s="6"/>
      <c r="H173" s="7"/>
      <c r="I173" s="38"/>
      <c r="J173" s="30"/>
      <c r="K173" s="6"/>
      <c r="L173" s="7"/>
      <c r="M173" s="40"/>
      <c r="N173" s="30"/>
      <c r="O173" s="6"/>
      <c r="P173" s="7"/>
      <c r="Q173" s="38"/>
      <c r="R173" s="30"/>
      <c r="S173" s="6"/>
      <c r="T173" s="7"/>
      <c r="U173" s="38"/>
      <c r="V173" s="30"/>
      <c r="W173" s="6"/>
      <c r="X173" s="7"/>
      <c r="Y173" s="38"/>
      <c r="Z173" s="30"/>
      <c r="AA173" s="16"/>
      <c r="AB173" s="7"/>
      <c r="AC173" s="40"/>
      <c r="AD173" s="30"/>
      <c r="AE173" s="46" t="s">
        <v>82</v>
      </c>
      <c r="AF173" s="47" t="s">
        <v>82</v>
      </c>
      <c r="AG173" s="50" t="s">
        <v>83</v>
      </c>
      <c r="AH173" s="51"/>
      <c r="AI173" s="52"/>
      <c r="AJ173" s="51"/>
      <c r="AK173" s="52"/>
      <c r="AL173" s="40"/>
      <c r="AM173" s="40"/>
      <c r="AN173" s="40"/>
      <c r="AO173" s="48"/>
      <c r="AP173" s="56"/>
      <c r="AQ173" s="48"/>
      <c r="AR173" s="56"/>
      <c r="AS173" s="40"/>
      <c r="AT173" s="40"/>
      <c r="AU173" s="51"/>
      <c r="AV173" s="52"/>
      <c r="AW173" s="51"/>
      <c r="AX173" s="52"/>
      <c r="AY173" s="40"/>
      <c r="AZ173" s="55"/>
      <c r="BA173" s="63"/>
      <c r="BB173" s="48"/>
      <c r="BC173" s="56"/>
      <c r="BD173" s="48"/>
      <c r="BE173" s="56"/>
      <c r="BF173" s="64"/>
      <c r="BG173" s="48"/>
      <c r="BH173" s="51"/>
      <c r="BI173" s="52"/>
      <c r="BJ173" s="51"/>
      <c r="BK173" s="52"/>
      <c r="BL173" s="40"/>
      <c r="BM173" s="55"/>
      <c r="BN173" s="63"/>
      <c r="BO173" s="48"/>
      <c r="BP173" s="56"/>
      <c r="BQ173" s="48"/>
      <c r="BR173" s="56"/>
      <c r="BS173" s="40"/>
      <c r="BT173" s="40"/>
      <c r="BU173" s="51"/>
      <c r="BV173" s="52"/>
      <c r="BW173" s="51"/>
      <c r="BX173" s="52"/>
      <c r="BY173" s="40"/>
      <c r="BZ173" s="55"/>
    </row>
    <row r="174" ht="13.5" customHeight="1" spans="1:78">
      <c r="A174" s="25" t="s">
        <v>264</v>
      </c>
      <c r="B174" s="5" t="s">
        <v>93</v>
      </c>
      <c r="C174" s="262">
        <v>45975</v>
      </c>
      <c r="D174" s="7"/>
      <c r="E174" s="32" t="str">
        <f t="shared" si="205"/>
        <v>1</v>
      </c>
      <c r="F174" s="30">
        <f ca="1">IF(E174="0",NETWORKDAYS(C174,D174,$CB$3:$CB$19),NETWORKDAYS(C174,'2025整理'!$S$1,$CB$3:$CB$19))</f>
        <v>32</v>
      </c>
      <c r="G174" s="6"/>
      <c r="H174" s="7"/>
      <c r="I174" s="38"/>
      <c r="J174" s="30"/>
      <c r="K174" s="6"/>
      <c r="L174" s="7"/>
      <c r="M174" s="40"/>
      <c r="N174" s="30"/>
      <c r="O174" s="6"/>
      <c r="P174" s="7"/>
      <c r="Q174" s="38"/>
      <c r="R174" s="30"/>
      <c r="S174" s="6"/>
      <c r="T174" s="7"/>
      <c r="U174" s="38"/>
      <c r="V174" s="30"/>
      <c r="W174" s="6"/>
      <c r="X174" s="7"/>
      <c r="Y174" s="38"/>
      <c r="Z174" s="30"/>
      <c r="AA174" s="16"/>
      <c r="AB174" s="7"/>
      <c r="AC174" s="40"/>
      <c r="AD174" s="30"/>
      <c r="AE174" s="46" t="s">
        <v>90</v>
      </c>
      <c r="AF174" s="47" t="s">
        <v>90</v>
      </c>
      <c r="AG174" s="50" t="s">
        <v>87</v>
      </c>
      <c r="AH174" s="51"/>
      <c r="AI174" s="52"/>
      <c r="AJ174" s="51"/>
      <c r="AK174" s="52"/>
      <c r="AL174" s="40"/>
      <c r="AM174" s="40"/>
      <c r="AN174" s="40"/>
      <c r="AO174" s="48"/>
      <c r="AP174" s="56"/>
      <c r="AQ174" s="48"/>
      <c r="AR174" s="56"/>
      <c r="AS174" s="40"/>
      <c r="AT174" s="40"/>
      <c r="AU174" s="51"/>
      <c r="AV174" s="52"/>
      <c r="AW174" s="51"/>
      <c r="AX174" s="52"/>
      <c r="AY174" s="40"/>
      <c r="AZ174" s="55"/>
      <c r="BA174" s="63"/>
      <c r="BB174" s="48"/>
      <c r="BC174" s="56"/>
      <c r="BD174" s="48"/>
      <c r="BE174" s="56"/>
      <c r="BF174" s="64"/>
      <c r="BG174" s="48"/>
      <c r="BH174" s="51"/>
      <c r="BI174" s="52"/>
      <c r="BJ174" s="51"/>
      <c r="BK174" s="52"/>
      <c r="BL174" s="40"/>
      <c r="BM174" s="55"/>
      <c r="BN174" s="63"/>
      <c r="BO174" s="48"/>
      <c r="BP174" s="56"/>
      <c r="BQ174" s="48"/>
      <c r="BR174" s="56"/>
      <c r="BS174" s="40"/>
      <c r="BT174" s="40"/>
      <c r="BU174" s="51"/>
      <c r="BV174" s="52"/>
      <c r="BW174" s="51"/>
      <c r="BX174" s="52"/>
      <c r="BY174" s="40"/>
      <c r="BZ174" s="55"/>
    </row>
    <row r="175" ht="13.5" customHeight="1" spans="1:78">
      <c r="A175" s="25" t="s">
        <v>265</v>
      </c>
      <c r="B175" s="5" t="s">
        <v>93</v>
      </c>
      <c r="C175" s="262"/>
      <c r="D175" s="7"/>
      <c r="E175" s="32"/>
      <c r="F175" s="30"/>
      <c r="G175" s="6">
        <v>45979</v>
      </c>
      <c r="H175" s="7"/>
      <c r="I175" s="38" t="str">
        <f>IF(G175&lt;&gt;0,IF(H175&lt;&gt;0,"0","1"),"")</f>
        <v>1</v>
      </c>
      <c r="J175" s="30">
        <f ca="1">IF(I175="0",NETWORKDAYS(G175,H175,$CB$3:$CB$19),NETWORKDAYS(G175,'2025整理'!$S$1,$CB$3:$CB$19))</f>
        <v>30</v>
      </c>
      <c r="K175" s="6"/>
      <c r="L175" s="7"/>
      <c r="M175" s="40"/>
      <c r="N175" s="30"/>
      <c r="O175" s="6"/>
      <c r="P175" s="7"/>
      <c r="Q175" s="38"/>
      <c r="R175" s="30"/>
      <c r="S175" s="6"/>
      <c r="T175" s="7"/>
      <c r="U175" s="38"/>
      <c r="V175" s="30"/>
      <c r="W175" s="6"/>
      <c r="X175" s="7"/>
      <c r="Y175" s="38"/>
      <c r="Z175" s="30"/>
      <c r="AA175" s="16"/>
      <c r="AB175" s="7"/>
      <c r="AC175" s="40"/>
      <c r="AD175" s="30"/>
      <c r="AE175" s="48" t="s">
        <v>82</v>
      </c>
      <c r="AF175" s="47" t="s">
        <v>82</v>
      </c>
      <c r="AG175" s="50" t="s">
        <v>97</v>
      </c>
      <c r="AH175" s="51"/>
      <c r="AI175" s="52"/>
      <c r="AJ175" s="51"/>
      <c r="AK175" s="52"/>
      <c r="AL175" s="40"/>
      <c r="AM175" s="40"/>
      <c r="AN175" s="40"/>
      <c r="AO175" s="48"/>
      <c r="AP175" s="56"/>
      <c r="AQ175" s="48"/>
      <c r="AR175" s="56"/>
      <c r="AS175" s="40"/>
      <c r="AT175" s="40"/>
      <c r="AU175" s="51"/>
      <c r="AV175" s="52"/>
      <c r="AW175" s="51"/>
      <c r="AX175" s="52"/>
      <c r="AY175" s="40"/>
      <c r="AZ175" s="55"/>
      <c r="BA175" s="63"/>
      <c r="BB175" s="48"/>
      <c r="BC175" s="56"/>
      <c r="BD175" s="48"/>
      <c r="BE175" s="56"/>
      <c r="BF175" s="64"/>
      <c r="BG175" s="48"/>
      <c r="BH175" s="51"/>
      <c r="BI175" s="52"/>
      <c r="BJ175" s="51"/>
      <c r="BK175" s="52"/>
      <c r="BL175" s="40"/>
      <c r="BM175" s="55"/>
      <c r="BN175" s="63"/>
      <c r="BO175" s="48"/>
      <c r="BP175" s="56"/>
      <c r="BQ175" s="48"/>
      <c r="BR175" s="56"/>
      <c r="BS175" s="40"/>
      <c r="BT175" s="40"/>
      <c r="BU175" s="51"/>
      <c r="BV175" s="52"/>
      <c r="BW175" s="51"/>
      <c r="BX175" s="52"/>
      <c r="BY175" s="40"/>
      <c r="BZ175" s="55"/>
    </row>
    <row r="176" ht="13.5" customHeight="1" spans="1:78">
      <c r="A176" s="25" t="s">
        <v>266</v>
      </c>
      <c r="B176" s="5" t="s">
        <v>81</v>
      </c>
      <c r="C176" s="262">
        <v>45988</v>
      </c>
      <c r="D176" s="7"/>
      <c r="E176" s="32" t="str">
        <f>IF(C176&lt;&gt;0,IF(D176&lt;&gt;0,"0","1"),"")</f>
        <v>1</v>
      </c>
      <c r="F176" s="30">
        <f ca="1">IF(E176="0",NETWORKDAYS(C176,D176,$CB$3:$CB$19),NETWORKDAYS(C176,'2025整理'!$S$1,$CB$3:$CB$19))</f>
        <v>23</v>
      </c>
      <c r="G176" s="6"/>
      <c r="H176" s="7"/>
      <c r="I176" s="38"/>
      <c r="J176" s="30"/>
      <c r="K176" s="6"/>
      <c r="L176" s="7"/>
      <c r="M176" s="40"/>
      <c r="N176" s="30"/>
      <c r="O176" s="6"/>
      <c r="P176" s="7"/>
      <c r="Q176" s="38"/>
      <c r="R176" s="30"/>
      <c r="S176" s="6"/>
      <c r="T176" s="7"/>
      <c r="U176" s="38"/>
      <c r="V176" s="30"/>
      <c r="W176" s="6"/>
      <c r="X176" s="7"/>
      <c r="Y176" s="38"/>
      <c r="Z176" s="30"/>
      <c r="AA176" s="16"/>
      <c r="AB176" s="7"/>
      <c r="AC176" s="40"/>
      <c r="AD176" s="30"/>
      <c r="AE176" s="48" t="s">
        <v>86</v>
      </c>
      <c r="AF176" s="47" t="s">
        <v>86</v>
      </c>
      <c r="AG176" s="50" t="s">
        <v>83</v>
      </c>
      <c r="AH176" s="51"/>
      <c r="AI176" s="52"/>
      <c r="AJ176" s="51"/>
      <c r="AK176" s="52"/>
      <c r="AL176" s="40"/>
      <c r="AM176" s="40"/>
      <c r="AN176" s="40"/>
      <c r="AO176" s="48"/>
      <c r="AP176" s="56"/>
      <c r="AQ176" s="48"/>
      <c r="AR176" s="56"/>
      <c r="AS176" s="40"/>
      <c r="AT176" s="40"/>
      <c r="AU176" s="51"/>
      <c r="AV176" s="52"/>
      <c r="AW176" s="51"/>
      <c r="AX176" s="52"/>
      <c r="AY176" s="40"/>
      <c r="AZ176" s="55"/>
      <c r="BA176" s="63"/>
      <c r="BB176" s="48"/>
      <c r="BC176" s="56"/>
      <c r="BD176" s="48"/>
      <c r="BE176" s="56"/>
      <c r="BF176" s="64"/>
      <c r="BG176" s="48"/>
      <c r="BH176" s="51"/>
      <c r="BI176" s="52"/>
      <c r="BJ176" s="51"/>
      <c r="BK176" s="52"/>
      <c r="BL176" s="40"/>
      <c r="BM176" s="55"/>
      <c r="BN176" s="63"/>
      <c r="BO176" s="48"/>
      <c r="BP176" s="56"/>
      <c r="BQ176" s="48"/>
      <c r="BR176" s="56"/>
      <c r="BS176" s="40"/>
      <c r="BT176" s="40"/>
      <c r="BU176" s="51"/>
      <c r="BV176" s="52"/>
      <c r="BW176" s="51"/>
      <c r="BX176" s="52"/>
      <c r="BY176" s="40"/>
      <c r="BZ176" s="55"/>
    </row>
    <row r="177" ht="13.5" customHeight="1" spans="1:78">
      <c r="A177" s="25" t="s">
        <v>267</v>
      </c>
      <c r="B177" s="5" t="s">
        <v>93</v>
      </c>
      <c r="C177" s="262"/>
      <c r="D177" s="7"/>
      <c r="E177" s="32"/>
      <c r="F177" s="30"/>
      <c r="G177" s="6">
        <v>45988</v>
      </c>
      <c r="H177" s="7"/>
      <c r="I177" s="38" t="str">
        <f>IF(G177&lt;&gt;0,IF(H177&lt;&gt;0,"0","1"),"")</f>
        <v>1</v>
      </c>
      <c r="J177" s="30">
        <f ca="1">IF(I177="0",NETWORKDAYS(G177,H177,$CB$3:$CB$19),NETWORKDAYS(G177,'2025整理'!$S$1,$CB$3:$CB$19))</f>
        <v>23</v>
      </c>
      <c r="K177" s="6"/>
      <c r="L177" s="7"/>
      <c r="M177" s="40"/>
      <c r="N177" s="30"/>
      <c r="O177" s="6"/>
      <c r="P177" s="7"/>
      <c r="Q177" s="38"/>
      <c r="R177" s="30"/>
      <c r="S177" s="6"/>
      <c r="T177" s="7"/>
      <c r="U177" s="38"/>
      <c r="V177" s="30"/>
      <c r="W177" s="6"/>
      <c r="X177" s="7"/>
      <c r="Y177" s="38"/>
      <c r="Z177" s="30"/>
      <c r="AA177" s="16"/>
      <c r="AB177" s="7"/>
      <c r="AC177" s="40"/>
      <c r="AD177" s="30"/>
      <c r="AE177" s="48" t="s">
        <v>97</v>
      </c>
      <c r="AF177" s="47" t="s">
        <v>91</v>
      </c>
      <c r="AG177" s="50" t="s">
        <v>97</v>
      </c>
      <c r="AH177" s="51"/>
      <c r="AI177" s="52"/>
      <c r="AJ177" s="51"/>
      <c r="AK177" s="52"/>
      <c r="AL177" s="40"/>
      <c r="AM177" s="40"/>
      <c r="AN177" s="40"/>
      <c r="AO177" s="48"/>
      <c r="AP177" s="56"/>
      <c r="AQ177" s="48"/>
      <c r="AR177" s="56"/>
      <c r="AS177" s="40"/>
      <c r="AT177" s="40"/>
      <c r="AU177" s="51"/>
      <c r="AV177" s="52"/>
      <c r="AW177" s="51"/>
      <c r="AX177" s="52"/>
      <c r="AY177" s="40"/>
      <c r="AZ177" s="55"/>
      <c r="BA177" s="63"/>
      <c r="BB177" s="48"/>
      <c r="BC177" s="56"/>
      <c r="BD177" s="48"/>
      <c r="BE177" s="56"/>
      <c r="BF177" s="64"/>
      <c r="BG177" s="48"/>
      <c r="BH177" s="51"/>
      <c r="BI177" s="52"/>
      <c r="BJ177" s="51"/>
      <c r="BK177" s="52"/>
      <c r="BL177" s="40"/>
      <c r="BM177" s="55"/>
      <c r="BN177" s="63"/>
      <c r="BO177" s="48"/>
      <c r="BP177" s="56"/>
      <c r="BQ177" s="48"/>
      <c r="BR177" s="56"/>
      <c r="BS177" s="40"/>
      <c r="BT177" s="40"/>
      <c r="BU177" s="51"/>
      <c r="BV177" s="52"/>
      <c r="BW177" s="51"/>
      <c r="BX177" s="52"/>
      <c r="BY177" s="40"/>
      <c r="BZ177" s="55"/>
    </row>
    <row r="178" ht="13.5" customHeight="1" spans="1:78">
      <c r="A178" s="25" t="s">
        <v>268</v>
      </c>
      <c r="B178" s="5" t="s">
        <v>85</v>
      </c>
      <c r="C178" s="262"/>
      <c r="D178" s="7"/>
      <c r="E178" s="32"/>
      <c r="F178" s="30"/>
      <c r="G178" s="6"/>
      <c r="H178" s="7"/>
      <c r="I178" s="38"/>
      <c r="J178" s="30"/>
      <c r="K178" s="6"/>
      <c r="L178" s="7"/>
      <c r="M178" s="40"/>
      <c r="N178" s="30"/>
      <c r="O178" s="6"/>
      <c r="P178" s="7"/>
      <c r="Q178" s="38"/>
      <c r="R178" s="30"/>
      <c r="S178" s="6">
        <v>45989</v>
      </c>
      <c r="T178" s="7"/>
      <c r="U178" s="38" t="str">
        <f>IF(S178&lt;&gt;0,IF(T178&lt;&gt;0,"0","1"),"")</f>
        <v>1</v>
      </c>
      <c r="V178" s="30">
        <f ca="1">IF(U178="0",NETWORKDAYS(S178,T178,$CB$3:$CB$19),NETWORKDAYS(S178,'2025整理'!$S$1,$CB$3:$CB$19))</f>
        <v>22</v>
      </c>
      <c r="W178" s="6"/>
      <c r="X178" s="7"/>
      <c r="Y178" s="38"/>
      <c r="Z178" s="30"/>
      <c r="AA178" s="16"/>
      <c r="AB178" s="7"/>
      <c r="AC178" s="40"/>
      <c r="AD178" s="30"/>
      <c r="AE178" s="48" t="s">
        <v>82</v>
      </c>
      <c r="AF178" s="47" t="s">
        <v>82</v>
      </c>
      <c r="AG178" s="50" t="s">
        <v>97</v>
      </c>
      <c r="AH178" s="51"/>
      <c r="AI178" s="52"/>
      <c r="AJ178" s="51"/>
      <c r="AK178" s="52"/>
      <c r="AL178" s="40"/>
      <c r="AM178" s="40"/>
      <c r="AN178" s="40"/>
      <c r="AO178" s="48"/>
      <c r="AP178" s="56"/>
      <c r="AQ178" s="48"/>
      <c r="AR178" s="56"/>
      <c r="AS178" s="40"/>
      <c r="AT178" s="40"/>
      <c r="AU178" s="51"/>
      <c r="AV178" s="52"/>
      <c r="AW178" s="51"/>
      <c r="AX178" s="52"/>
      <c r="AY178" s="40"/>
      <c r="AZ178" s="55"/>
      <c r="BA178" s="63"/>
      <c r="BB178" s="48"/>
      <c r="BC178" s="56"/>
      <c r="BD178" s="48"/>
      <c r="BE178" s="56"/>
      <c r="BF178" s="64"/>
      <c r="BG178" s="48"/>
      <c r="BH178" s="51"/>
      <c r="BI178" s="52"/>
      <c r="BJ178" s="51"/>
      <c r="BK178" s="52"/>
      <c r="BL178" s="40"/>
      <c r="BM178" s="55"/>
      <c r="BN178" s="63"/>
      <c r="BO178" s="48"/>
      <c r="BP178" s="56"/>
      <c r="BQ178" s="48"/>
      <c r="BR178" s="56"/>
      <c r="BS178" s="40"/>
      <c r="BT178" s="40"/>
      <c r="BU178" s="51"/>
      <c r="BV178" s="52"/>
      <c r="BW178" s="51"/>
      <c r="BX178" s="52"/>
      <c r="BY178" s="40"/>
      <c r="BZ178" s="55"/>
    </row>
    <row r="179" ht="13.5" customHeight="1" spans="1:78">
      <c r="A179" s="25" t="s">
        <v>269</v>
      </c>
      <c r="B179" s="5" t="s">
        <v>81</v>
      </c>
      <c r="C179" s="262"/>
      <c r="D179" s="262"/>
      <c r="E179" s="26"/>
      <c r="F179" s="26"/>
      <c r="G179" s="6">
        <v>46001</v>
      </c>
      <c r="H179" s="26"/>
      <c r="I179" s="38" t="str">
        <f t="shared" ref="I179:I180" si="206">IF(G179&lt;&gt;0,IF(H179&lt;&gt;0,"0","1"),"")</f>
        <v>1</v>
      </c>
      <c r="J179" s="30">
        <f ca="1">IF(I179="0",NETWORKDAYS(G179,H179,$CB$3:$CB$19),NETWORKDAYS(G179,'2025整理'!$S$1,$CB$3:$CB$19))</f>
        <v>14</v>
      </c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46" t="s">
        <v>90</v>
      </c>
      <c r="AF179" s="47" t="s">
        <v>90</v>
      </c>
      <c r="AG179" s="50" t="s">
        <v>87</v>
      </c>
      <c r="AH179" s="26"/>
      <c r="AI179" s="26"/>
      <c r="AJ179" s="26"/>
      <c r="AK179" s="26"/>
      <c r="AL179" s="26"/>
      <c r="AM179" s="26"/>
      <c r="AN179" s="26"/>
      <c r="AO179" s="26"/>
      <c r="AP179" s="26"/>
      <c r="AQ179" s="26"/>
      <c r="AR179" s="26"/>
      <c r="AS179" s="26"/>
      <c r="AT179" s="26"/>
      <c r="AU179" s="26"/>
      <c r="AV179" s="26"/>
      <c r="AW179" s="26"/>
      <c r="AX179" s="26"/>
      <c r="AY179" s="26"/>
      <c r="AZ179" s="26"/>
      <c r="BA179" s="26"/>
      <c r="BB179" s="26"/>
      <c r="BC179" s="26"/>
      <c r="BD179" s="26"/>
      <c r="BE179" s="26"/>
      <c r="BF179" s="26"/>
      <c r="BG179" s="26"/>
      <c r="BH179" s="26"/>
      <c r="BI179" s="26"/>
      <c r="BJ179" s="26"/>
      <c r="BK179" s="26"/>
      <c r="BL179" s="26"/>
      <c r="BM179" s="26"/>
      <c r="BN179" s="26"/>
      <c r="BO179" s="26"/>
      <c r="BP179" s="26"/>
      <c r="BQ179" s="26"/>
      <c r="BR179" s="26"/>
      <c r="BS179" s="26"/>
      <c r="BT179" s="26"/>
      <c r="BU179" s="26"/>
      <c r="BV179" s="26"/>
      <c r="BW179" s="26"/>
      <c r="BX179" s="26"/>
      <c r="BY179" s="26"/>
      <c r="BZ179" s="26"/>
    </row>
    <row r="180" ht="13.5" customHeight="1" spans="1:78">
      <c r="A180" s="18" t="s">
        <v>270</v>
      </c>
      <c r="B180" s="11" t="s">
        <v>85</v>
      </c>
      <c r="C180" s="262"/>
      <c r="D180" s="262"/>
      <c r="E180" s="26"/>
      <c r="F180" s="26"/>
      <c r="G180" s="6">
        <v>46020</v>
      </c>
      <c r="H180" s="26"/>
      <c r="I180" s="38" t="str">
        <f t="shared" si="206"/>
        <v>1</v>
      </c>
      <c r="J180" s="30">
        <f ca="1">IF(I180="0",NETWORKDAYS(G180,H180,$CB$3:$CB$19),NETWORKDAYS(G180,'2025整理'!$S$1,$CB$3:$CB$19))</f>
        <v>1</v>
      </c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48" t="s">
        <v>97</v>
      </c>
      <c r="AF180" s="47" t="s">
        <v>91</v>
      </c>
      <c r="AG180" s="53" t="s">
        <v>97</v>
      </c>
      <c r="AH180" s="26"/>
      <c r="AI180" s="26"/>
      <c r="AJ180" s="26"/>
      <c r="AK180" s="26"/>
      <c r="AL180" s="26"/>
      <c r="AM180" s="26"/>
      <c r="AN180" s="26"/>
      <c r="AO180" s="26"/>
      <c r="AP180" s="26"/>
      <c r="AQ180" s="26"/>
      <c r="AR180" s="26"/>
      <c r="AS180" s="26"/>
      <c r="AT180" s="26"/>
      <c r="AU180" s="26"/>
      <c r="AV180" s="26"/>
      <c r="AW180" s="26"/>
      <c r="AX180" s="26"/>
      <c r="AY180" s="26"/>
      <c r="AZ180" s="26"/>
      <c r="BA180" s="26"/>
      <c r="BB180" s="26"/>
      <c r="BC180" s="26"/>
      <c r="BD180" s="26"/>
      <c r="BE180" s="26"/>
      <c r="BF180" s="26"/>
      <c r="BG180" s="26"/>
      <c r="BH180" s="26"/>
      <c r="BI180" s="26"/>
      <c r="BJ180" s="26"/>
      <c r="BK180" s="26"/>
      <c r="BL180" s="26"/>
      <c r="BM180" s="26"/>
      <c r="BN180" s="26"/>
      <c r="BO180" s="26"/>
      <c r="BP180" s="26"/>
      <c r="BQ180" s="26"/>
      <c r="BR180" s="26"/>
      <c r="BS180" s="26"/>
      <c r="BT180" s="26"/>
      <c r="BU180" s="26"/>
      <c r="BV180" s="26"/>
      <c r="BW180" s="26"/>
      <c r="BX180" s="26"/>
      <c r="BY180" s="26"/>
      <c r="BZ180" s="26"/>
    </row>
    <row r="181" ht="13.5" customHeight="1" spans="1:78">
      <c r="A181" s="25" t="s">
        <v>271</v>
      </c>
      <c r="B181" s="263" t="s">
        <v>93</v>
      </c>
      <c r="C181" s="262">
        <v>46009</v>
      </c>
      <c r="D181" s="262"/>
      <c r="E181" s="32" t="str">
        <f>IF(C181&lt;&gt;0,IF(D181&lt;&gt;0,"0","1"),"")</f>
        <v>1</v>
      </c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46" t="s">
        <v>90</v>
      </c>
      <c r="AF181" s="47" t="s">
        <v>90</v>
      </c>
      <c r="AG181" s="50" t="s">
        <v>87</v>
      </c>
      <c r="AH181" s="26"/>
      <c r="AI181" s="26"/>
      <c r="AJ181" s="26"/>
      <c r="AK181" s="26"/>
      <c r="AL181" s="26"/>
      <c r="AM181" s="26"/>
      <c r="AN181" s="26"/>
      <c r="AO181" s="26"/>
      <c r="AP181" s="26"/>
      <c r="AQ181" s="26"/>
      <c r="AR181" s="26"/>
      <c r="AS181" s="26"/>
      <c r="AT181" s="26"/>
      <c r="AU181" s="26"/>
      <c r="AV181" s="26"/>
      <c r="AW181" s="26"/>
      <c r="AX181" s="26"/>
      <c r="AY181" s="26"/>
      <c r="AZ181" s="26"/>
      <c r="BA181" s="26"/>
      <c r="BB181" s="26"/>
      <c r="BC181" s="26"/>
      <c r="BD181" s="26"/>
      <c r="BE181" s="26"/>
      <c r="BF181" s="26"/>
      <c r="BG181" s="26"/>
      <c r="BH181" s="26"/>
      <c r="BI181" s="26"/>
      <c r="BJ181" s="26"/>
      <c r="BK181" s="26"/>
      <c r="BL181" s="26"/>
      <c r="BM181" s="26"/>
      <c r="BN181" s="26"/>
      <c r="BO181" s="26"/>
      <c r="BP181" s="26"/>
      <c r="BQ181" s="26"/>
      <c r="BR181" s="26"/>
      <c r="BS181" s="26"/>
      <c r="BT181" s="26"/>
      <c r="BU181" s="26"/>
      <c r="BV181" s="26"/>
      <c r="BW181" s="26"/>
      <c r="BX181" s="26"/>
      <c r="BY181" s="26"/>
      <c r="BZ181" s="26"/>
    </row>
    <row r="182" ht="13.5" customHeight="1"/>
    <row r="183" ht="13.5" customHeight="1" spans="65:65">
      <c r="BM183" s="264"/>
    </row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sheetProtection formatCells="0" formatColumns="0" formatRows="0" insertRows="0" insertColumns="0" insertHyperlinks="0" deleteColumns="0" deleteRows="0" sort="0" autoFilter="0" pivotTables="0"/>
  <conditionalFormatting sqref="AD60">
    <cfRule type="cellIs" dxfId="78" priority="3" operator="greaterThan">
      <formula>15</formula>
    </cfRule>
  </conditionalFormatting>
  <conditionalFormatting sqref="V90">
    <cfRule type="cellIs" dxfId="78" priority="5" operator="greaterThan">
      <formula>15</formula>
    </cfRule>
  </conditionalFormatting>
  <conditionalFormatting sqref="F3:F57">
    <cfRule type="cellIs" dxfId="78" priority="6" operator="greaterThan">
      <formula>30</formula>
    </cfRule>
  </conditionalFormatting>
  <conditionalFormatting sqref="F65:F82">
    <cfRule type="cellIs" dxfId="78" priority="7" operator="greaterThan">
      <formula>30</formula>
    </cfRule>
  </conditionalFormatting>
  <conditionalFormatting sqref="J3:J57">
    <cfRule type="cellIs" dxfId="78" priority="8" operator="greaterThan">
      <formula>30</formula>
    </cfRule>
  </conditionalFormatting>
  <conditionalFormatting sqref="J65:J82">
    <cfRule type="cellIs" dxfId="78" priority="9" operator="greaterThan">
      <formula>30</formula>
    </cfRule>
  </conditionalFormatting>
  <conditionalFormatting sqref="N3:N57">
    <cfRule type="cellIs" dxfId="78" priority="1" operator="greaterThan">
      <formula>15</formula>
    </cfRule>
  </conditionalFormatting>
  <conditionalFormatting sqref="N65:N82">
    <cfRule type="cellIs" dxfId="78" priority="10" operator="greaterThan">
      <formula>15</formula>
    </cfRule>
  </conditionalFormatting>
  <conditionalFormatting sqref="R3:R57">
    <cfRule type="cellIs" dxfId="78" priority="11" operator="greaterThan">
      <formula>15</formula>
    </cfRule>
  </conditionalFormatting>
  <conditionalFormatting sqref="R65:R82">
    <cfRule type="cellIs" dxfId="78" priority="12" operator="greaterThan">
      <formula>15</formula>
    </cfRule>
  </conditionalFormatting>
  <conditionalFormatting sqref="V3:V57">
    <cfRule type="cellIs" dxfId="78" priority="13" operator="greaterThan">
      <formula>15</formula>
    </cfRule>
  </conditionalFormatting>
  <conditionalFormatting sqref="V65:V82">
    <cfRule type="cellIs" dxfId="78" priority="4" operator="greaterThan">
      <formula>15</formula>
    </cfRule>
  </conditionalFormatting>
  <conditionalFormatting sqref="V103:V104">
    <cfRule type="cellIs" dxfId="78" priority="14" operator="greaterThan">
      <formula>15</formula>
    </cfRule>
  </conditionalFormatting>
  <conditionalFormatting sqref="Z65:Z82">
    <cfRule type="cellIs" dxfId="78" priority="15" operator="greaterThan">
      <formula>15</formula>
    </cfRule>
  </conditionalFormatting>
  <conditionalFormatting sqref="AD3:AD57">
    <cfRule type="cellIs" dxfId="78" priority="16" operator="greaterThan">
      <formula>15</formula>
    </cfRule>
  </conditionalFormatting>
  <conditionalFormatting sqref="AD65:AD82">
    <cfRule type="cellIs" dxfId="78" priority="17" operator="greaterThan">
      <formula>15</formula>
    </cfRule>
  </conditionalFormatting>
  <conditionalFormatting sqref="Z3:Z45 Z47:Z57">
    <cfRule type="cellIs" dxfId="78" priority="19" operator="greaterThan">
      <formula>15</formula>
    </cfRule>
  </conditionalFormatting>
  <pageMargins left="0.75" right="0.75" top="1" bottom="1" header="0" footer="0"/>
  <pageSetup paperSize="1" orientation="landscape"/>
  <headerFooter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198"/>
  <sheetViews>
    <sheetView tabSelected="1" workbookViewId="0">
      <pane xSplit="5" ySplit="3" topLeftCell="S1565" activePane="bottomRight" state="frozen"/>
      <selection/>
      <selection pane="topRight"/>
      <selection pane="bottomLeft"/>
      <selection pane="bottomRight" activeCell="M81" sqref="M81"/>
    </sheetView>
  </sheetViews>
  <sheetFormatPr defaultColWidth="14.4571428571429" defaultRowHeight="15" customHeight="1"/>
  <cols>
    <col min="1" max="1" width="15.5428571428571" customWidth="1"/>
    <col min="2" max="2" width="11.4571428571429" customWidth="1"/>
    <col min="3" max="3" width="15.7238095238095" customWidth="1"/>
    <col min="4" max="4" width="14.4571428571429" customWidth="1"/>
    <col min="5" max="5" width="13.5428571428571" customWidth="1"/>
    <col min="6" max="9" width="11.4571428571429" customWidth="1"/>
    <col min="10" max="10" width="12.0857142857143" customWidth="1"/>
    <col min="11" max="11" width="13.1809523809524" customWidth="1"/>
    <col min="12" max="17" width="9.54285714285714" customWidth="1"/>
    <col min="18" max="18" width="9" customWidth="1"/>
    <col min="19" max="19" width="14.1238095238095" customWidth="1"/>
    <col min="20" max="35" width="9" customWidth="1"/>
  </cols>
  <sheetData>
    <row r="1" ht="24" customHeight="1" spans="1:19">
      <c r="A1" s="97" t="s">
        <v>272</v>
      </c>
      <c r="B1" s="97" t="s">
        <v>273</v>
      </c>
      <c r="C1" s="97" t="s">
        <v>274</v>
      </c>
      <c r="D1" s="98" t="s">
        <v>275</v>
      </c>
      <c r="E1" s="98" t="s">
        <v>276</v>
      </c>
      <c r="F1" s="102" t="s">
        <v>277</v>
      </c>
      <c r="G1" s="103" t="s">
        <v>278</v>
      </c>
      <c r="H1" s="102" t="s">
        <v>279</v>
      </c>
      <c r="I1" s="103" t="s">
        <v>280</v>
      </c>
      <c r="J1" s="102" t="s">
        <v>281</v>
      </c>
      <c r="K1" s="103" t="s">
        <v>282</v>
      </c>
      <c r="L1" s="102" t="s">
        <v>283</v>
      </c>
      <c r="M1" s="102" t="s">
        <v>284</v>
      </c>
      <c r="N1" s="102" t="s">
        <v>285</v>
      </c>
      <c r="O1" s="103" t="s">
        <v>286</v>
      </c>
      <c r="P1" s="102" t="s">
        <v>287</v>
      </c>
      <c r="Q1" s="107" t="s">
        <v>288</v>
      </c>
      <c r="S1" s="209">
        <f ca="1">TODAY()</f>
        <v>46020</v>
      </c>
    </row>
    <row r="2" ht="24" customHeight="1" spans="1:35">
      <c r="A2" s="99" t="s">
        <v>289</v>
      </c>
      <c r="B2" s="99" t="s">
        <v>290</v>
      </c>
      <c r="C2" s="99" t="s">
        <v>291</v>
      </c>
      <c r="D2" s="100" t="s">
        <v>292</v>
      </c>
      <c r="E2" s="100" t="s">
        <v>293</v>
      </c>
      <c r="F2" s="204">
        <f ca="1">IF($S$1&lt;DATE(2025,1,1)," ",IF((SUM(F3:F9)-MAX(F15,F19))&lt;0,"ERR",SUM(F3:F9)))</f>
        <v>6</v>
      </c>
      <c r="G2" s="204">
        <f ca="1">IF($S$1&lt;DATE(2025,2,1)," ",IF((SUM(G3:G9)-MAX(G15,G19))&lt;0,"ERR",SUM(G3:G9)))</f>
        <v>1</v>
      </c>
      <c r="H2" s="204">
        <f ca="1">IF($S$1&lt;DATE(2025,3,1)," ",IF((SUM(H3:H9)-MAX(H15,H19))&lt;0,"ERR",SUM(H3:H9)))</f>
        <v>4</v>
      </c>
      <c r="I2" s="204">
        <f ca="1">IF($S$1&lt;DATE(2025,4,1)," ",IF((SUM(I3:I9)-MAX(I15,I19))&lt;0,"ERR",SUM(I3:I9)))</f>
        <v>5</v>
      </c>
      <c r="J2" s="204">
        <f ca="1">IF($S$1&lt;DATE(2025,5,1)," ",IF((SUM(J3:J9)-MAX(J15,J19))&lt;0,"ERR",SUM(J3:J9)))</f>
        <v>1</v>
      </c>
      <c r="K2" s="204">
        <f ca="1">IF($S$1&lt;DATE(2025,6,1)," ",IF((SUM(K3:K9)-MAX(K15,K19))&lt;0,"ERR",SUM(K3:K9)))</f>
        <v>5</v>
      </c>
      <c r="L2" s="204">
        <f ca="1">IF($S$1&lt;DATE(2025,7,1)," ",IF((SUM(L3:L9)-MAX(L15,L19))&lt;0,"ERR",SUM(L3:L9)))</f>
        <v>6</v>
      </c>
      <c r="M2" s="204">
        <f ca="1">IF($S$1&lt;DATE(2025,8,1)," ",IF((SUM(M3:M9)-MAX(M15,M19))&lt;0,"ERR",SUM(M3:M9)))</f>
        <v>5</v>
      </c>
      <c r="N2" s="204">
        <f ca="1">IF($S$1&lt;DATE(2025,9,1)," ",IF((SUM(N3:N9)-MAX(N15,N19))&lt;0,"ERR",SUM(N3:N9)))</f>
        <v>5</v>
      </c>
      <c r="O2" s="204">
        <f ca="1">IF($S$1&lt;DATE(2025,10,1)," ",IF((SUM(O3:O9)-MAX(O15,O19))&lt;0,"ERR",SUM(O3:O9)))</f>
        <v>7</v>
      </c>
      <c r="P2" s="204">
        <f ca="1">IF($S$1&lt;DATE(2025,11,1)," ",IF((SUM(P3:P9)-MAX(P15,P19))&lt;0,"ERR",SUM(P3:P9)))</f>
        <v>8</v>
      </c>
      <c r="Q2" s="204">
        <f ca="1">IF($S$1&lt;DATE(2025,12,1)," ",IF((SUM(Q3:Q9)-MAX(Q15,Q19))&lt;0,"ERR",SUM(Q3:Q9)))</f>
        <v>3</v>
      </c>
      <c r="S2" s="108" t="s">
        <v>272</v>
      </c>
      <c r="T2" s="108" t="s">
        <v>273</v>
      </c>
      <c r="U2" s="108" t="s">
        <v>274</v>
      </c>
      <c r="V2" s="98" t="s">
        <v>275</v>
      </c>
      <c r="W2" s="98" t="s">
        <v>276</v>
      </c>
      <c r="X2" s="102" t="s">
        <v>277</v>
      </c>
      <c r="Y2" s="103" t="s">
        <v>278</v>
      </c>
      <c r="Z2" s="102" t="s">
        <v>279</v>
      </c>
      <c r="AA2" s="103" t="s">
        <v>280</v>
      </c>
      <c r="AB2" s="102" t="s">
        <v>281</v>
      </c>
      <c r="AC2" s="103" t="s">
        <v>282</v>
      </c>
      <c r="AD2" s="102" t="s">
        <v>283</v>
      </c>
      <c r="AE2" s="103" t="s">
        <v>284</v>
      </c>
      <c r="AF2" s="102" t="s">
        <v>285</v>
      </c>
      <c r="AG2" s="103" t="s">
        <v>286</v>
      </c>
      <c r="AH2" s="102" t="s">
        <v>287</v>
      </c>
      <c r="AI2" s="107" t="s">
        <v>288</v>
      </c>
    </row>
    <row r="3" ht="24" customHeight="1" spans="1:35">
      <c r="A3" s="99" t="s">
        <v>289</v>
      </c>
      <c r="B3" s="99" t="s">
        <v>290</v>
      </c>
      <c r="C3" s="99" t="s">
        <v>291</v>
      </c>
      <c r="D3" s="48" t="s">
        <v>31</v>
      </c>
      <c r="E3" s="48" t="s">
        <v>90</v>
      </c>
      <c r="F3" s="205">
        <f ca="1">IF($S$1&lt;DATE(2025,1,1)," ",COUNTIFS('2025数据'!$C$3:$C$181,"&gt;="&amp;DATE(2024,1,1),'2025数据'!$C$3:$C$181,"&lt;="&amp;DATE(2025,1,31),'2025数据'!$AE$3:$AE$181,$E3))</f>
        <v>0</v>
      </c>
      <c r="G3" s="205">
        <f ca="1">IF($S$1&lt;DATE(2025,2,1)," ",COUNTIFS('2025数据'!$C$3:$C$181,"&gt;="&amp;DATE(2025,2,1),'2025数据'!$C$3:$C$181,"&lt;="&amp;DATE(2025,2,28),'2025数据'!$AE$3:$AE$181,$E3))</f>
        <v>1</v>
      </c>
      <c r="H3" s="205">
        <f ca="1">IF($S$1&lt;DATE(2025,3,1)," ",COUNTIFS('2025数据'!$C$3:$C$181,"&gt;="&amp;DATE(2025,3,1),'2025数据'!$C$3:$C$181,"&lt;="&amp;DATE(2025,3,31),'2025数据'!$AE$3:$AE$181,$E3))</f>
        <v>1</v>
      </c>
      <c r="I3" s="205">
        <f ca="1">IF($S$1&lt;DATE(2025,4,1)," ",COUNTIFS('2025数据'!$C$3:$C$181,"&gt;="&amp;DATE(2025,4,1),'2025数据'!$C$3:$C$181,"&lt;="&amp;DATE(2025,4,30),'2025数据'!$AE$3:$AE$181,$E3))</f>
        <v>3</v>
      </c>
      <c r="J3" s="205">
        <f ca="1">IF($S$1&lt;DATE(2025,5,1)," ",COUNTIFS('2025数据'!$C$3:$C$181,"&gt;="&amp;DATE(2025,5,1),'2025数据'!$C$3:$C$181,"&lt;="&amp;DATE(2025,5,31),'2025数据'!$AE$3:$AE$181,$E3))</f>
        <v>0</v>
      </c>
      <c r="K3" s="205">
        <f ca="1">IF($S$1&lt;DATE(2025,6,1)," ",COUNTIFS('2025数据'!$C$3:$C$181,"&gt;="&amp;DATE(2025,6,1),'2025数据'!$C$3:$C$181,"&lt;="&amp;DATE(2025,6,30),'2025数据'!$AE$3:$AE$181,$E3))</f>
        <v>2</v>
      </c>
      <c r="L3" s="205">
        <f ca="1">IF($S$1&lt;DATE(2025,7,1)," ",COUNTIFS('2025数据'!$C$3:$C$181,"&gt;="&amp;DATE(2025,7,1),'2025数据'!$C$3:$C$181,"&lt;="&amp;DATE(2025,7,31),'2025数据'!$AE$3:$AE$181,$E3))</f>
        <v>1</v>
      </c>
      <c r="M3" s="205">
        <f ca="1">IF($S$1&lt;DATE(2025,8,1)," ",COUNTIFS('2025数据'!$C$3:$C$181,"&gt;="&amp;DATE(2025,8,1),'2025数据'!$C$3:$C$181,"&lt;="&amp;DATE(2025,8,31),'2025数据'!$AE$3:$AE$181,$E3))</f>
        <v>2</v>
      </c>
      <c r="N3" s="205">
        <f ca="1">IF($S$1&lt;DATE(2025,9,1)," ",COUNTIFS('2025数据'!$C$3:$C$181,"&gt;="&amp;DATE(2025,9,1),'2025数据'!$C$3:$C$181,"&lt;="&amp;DATE(2025,9,30),'2025数据'!$AE$3:$AE$181,$E3))</f>
        <v>3</v>
      </c>
      <c r="O3" s="205">
        <f ca="1">IF($S$1&lt;DATE(2025,10,1)," ",COUNTIFS('2025数据'!$C$3:$C$181,"&gt;="&amp;DATE(2025,10,1),'2025数据'!$C$3:$C$181,"&lt;="&amp;DATE(2025,10,31),'2025数据'!$AE$3:$AE$181,$E3))</f>
        <v>0</v>
      </c>
      <c r="P3" s="207">
        <f ca="1">IF($S$1&lt;DATE(2025,11,1)," ",COUNTIFS('2025数据'!$C$3:$C$181,"&gt;="&amp;DATE(2025,11,1),'2025数据'!$C$3:$C$181,"&lt;="&amp;DATE(2025,11,30),'2025数据'!$AE$3:$AE$181,$E3))</f>
        <v>1</v>
      </c>
      <c r="Q3" s="207">
        <f ca="1">IF($S$1&lt;DATE(2025,12,1)," ",COUNTIFS('2025数据'!$C$3:$C$181,"&gt;="&amp;DATE(2025,12,1),'2025数据'!$C$3:$C$181,"&lt;="&amp;DATE(2025,12,31),'2025数据'!$AE$3:$AE$181,$E3))</f>
        <v>2</v>
      </c>
      <c r="R3" s="109"/>
      <c r="S3" s="109"/>
      <c r="T3" s="109"/>
      <c r="U3" s="109"/>
      <c r="V3" s="109"/>
      <c r="W3" s="109"/>
      <c r="X3" s="109"/>
      <c r="Y3" s="109"/>
      <c r="Z3" s="109"/>
      <c r="AA3" s="109"/>
      <c r="AB3" s="109"/>
      <c r="AC3" s="109"/>
      <c r="AD3" s="109"/>
      <c r="AE3" s="109"/>
      <c r="AF3" s="109"/>
      <c r="AG3" s="109"/>
      <c r="AH3" s="109"/>
      <c r="AI3" s="109"/>
    </row>
    <row r="4" ht="24" customHeight="1" spans="1:17">
      <c r="A4" s="99" t="s">
        <v>289</v>
      </c>
      <c r="B4" s="99" t="s">
        <v>290</v>
      </c>
      <c r="C4" s="99" t="s">
        <v>291</v>
      </c>
      <c r="D4" s="48" t="s">
        <v>31</v>
      </c>
      <c r="E4" s="48" t="s">
        <v>82</v>
      </c>
      <c r="F4" s="205">
        <f ca="1">IF($S$1&lt;DATE(2025,1,1)," ",COUNTIFS('2025数据'!$C$3:$C$181,"&gt;="&amp;DATE(2024,1,1),'2025数据'!$C$3:$C$181,"&lt;="&amp;DATE(2025,1,31),'2025数据'!$AE$3:$AE$181,$E4))</f>
        <v>2</v>
      </c>
      <c r="G4" s="205">
        <f ca="1">IF($S$1&lt;DATE(2025,2,1)," ",COUNTIFS('2025数据'!$C$3:$C$181,"&gt;="&amp;DATE(2025,2,1),'2025数据'!$C$3:$C$181,"&lt;="&amp;DATE(2025,2,28),'2025数据'!$AE$3:$AE$181,$E4))</f>
        <v>0</v>
      </c>
      <c r="H4" s="205">
        <f ca="1">IF($S$1&lt;DATE(2025,3,1)," ",COUNTIFS('2025数据'!$C$3:$C$181,"&gt;="&amp;DATE(2025,3,1),'2025数据'!$C$3:$C$181,"&lt;="&amp;DATE(2025,3,31),'2025数据'!$AE$3:$AE$181,$E4))</f>
        <v>3</v>
      </c>
      <c r="I4" s="205">
        <f ca="1">IF($S$1&lt;DATE(2025,4,1)," ",COUNTIFS('2025数据'!$C$3:$C$181,"&gt;="&amp;DATE(2025,4,1),'2025数据'!$C$3:$C$181,"&lt;="&amp;DATE(2025,4,30),'2025数据'!$AE$3:$AE$181,$E4))</f>
        <v>1</v>
      </c>
      <c r="J4" s="205">
        <f ca="1">IF($S$1&lt;DATE(2025,5,1)," ",COUNTIFS('2025数据'!$C$3:$C$181,"&gt;="&amp;DATE(2025,5,1),'2025数据'!$C$3:$C$181,"&lt;="&amp;DATE(2025,5,31),'2025数据'!$AE$3:$AE$181,$E4))</f>
        <v>0</v>
      </c>
      <c r="K4" s="205">
        <f ca="1">IF($S$1&lt;DATE(2025,6,1)," ",COUNTIFS('2025数据'!$C$3:$C$181,"&gt;="&amp;DATE(2025,6,1),'2025数据'!$C$3:$C$181,"&lt;="&amp;DATE(2025,6,30),'2025数据'!$AE$3:$AE$181,$E4))</f>
        <v>1</v>
      </c>
      <c r="L4" s="205">
        <f ca="1">IF($S$1&lt;DATE(2025,7,1)," ",COUNTIFS('2025数据'!$C$3:$C$181,"&gt;="&amp;DATE(2025,7,1),'2025数据'!$C$3:$C$181,"&lt;="&amp;DATE(2025,7,31),'2025数据'!$AE$3:$AE$181,$E4))</f>
        <v>0</v>
      </c>
      <c r="M4" s="205">
        <f ca="1">IF($S$1&lt;DATE(2025,8,1)," ",COUNTIFS('2025数据'!$C$3:$C$181,"&gt;="&amp;DATE(2025,8,1),'2025数据'!$C$3:$C$181,"&lt;="&amp;DATE(2025,8,31),'2025数据'!$AE$3:$AE$181,$E4))</f>
        <v>1</v>
      </c>
      <c r="N4" s="205">
        <f ca="1">IF($S$1&lt;DATE(2025,9,1)," ",COUNTIFS('2025数据'!$C$3:$C$181,"&gt;="&amp;DATE(2025,9,1),'2025数据'!$C$3:$C$181,"&lt;="&amp;DATE(2025,9,30),'2025数据'!$AE$3:$AE$181,$E4))</f>
        <v>0</v>
      </c>
      <c r="O4" s="205">
        <f ca="1">IF($S$1&lt;DATE(2025,10,1)," ",COUNTIFS('2025数据'!$C$3:$C$181,"&gt;="&amp;DATE(2025,10,1),'2025数据'!$C$3:$C$181,"&lt;="&amp;DATE(2025,10,31),'2025数据'!$AE$3:$AE$181,$E4))</f>
        <v>5</v>
      </c>
      <c r="P4" s="207">
        <f ca="1">IF($S$1&lt;DATE(2025,11,1)," ",COUNTIFS('2025数据'!$C$3:$C$181,"&gt;="&amp;DATE(2025,11,1),'2025数据'!$C$3:$C$181,"&lt;="&amp;DATE(2025,11,30),'2025数据'!$AE$3:$AE$181,$E4))</f>
        <v>1</v>
      </c>
      <c r="Q4" s="207">
        <f ca="1">IF($S$1&lt;DATE(2025,12,1)," ",COUNTIFS('2025数据'!$C$3:$C$181,"&gt;="&amp;DATE(2025,12,1),'2025数据'!$C$3:$C$181,"&lt;="&amp;DATE(2025,12,31),'2025数据'!$AE$3:$AE$181,$E4))</f>
        <v>1</v>
      </c>
    </row>
    <row r="5" ht="24" customHeight="1" spans="1:17">
      <c r="A5" s="99" t="s">
        <v>289</v>
      </c>
      <c r="B5" s="99" t="s">
        <v>290</v>
      </c>
      <c r="C5" s="99" t="s">
        <v>291</v>
      </c>
      <c r="D5" s="48" t="s">
        <v>31</v>
      </c>
      <c r="E5" s="48" t="s">
        <v>86</v>
      </c>
      <c r="F5" s="205">
        <f ca="1">IF($S$1&lt;DATE(2025,1,1)," ",COUNTIFS('2025数据'!$C$3:$C$181,"&gt;="&amp;DATE(2024,1,1),'2025数据'!$C$3:$C$181,"&lt;="&amp;DATE(2025,1,31),'2025数据'!$AE$3:$AE$181,$E5))</f>
        <v>0</v>
      </c>
      <c r="G5" s="205">
        <f ca="1">IF($S$1&lt;DATE(2025,2,1)," ",COUNTIFS('2025数据'!$C$3:$C$181,"&gt;="&amp;DATE(2025,2,1),'2025数据'!$C$3:$C$181,"&lt;="&amp;DATE(2025,2,28),'2025数据'!$AE$3:$AE$181,$E5))</f>
        <v>0</v>
      </c>
      <c r="H5" s="205">
        <f ca="1">IF($S$1&lt;DATE(2025,3,1)," ",COUNTIFS('2025数据'!$C$3:$C$181,"&gt;="&amp;DATE(2025,3,1),'2025数据'!$C$3:$C$181,"&lt;="&amp;DATE(2025,3,31),'2025数据'!$AE$3:$AE$181,$E5))</f>
        <v>0</v>
      </c>
      <c r="I5" s="205">
        <f ca="1">IF($S$1&lt;DATE(2025,4,1)," ",COUNTIFS('2025数据'!$C$3:$C$181,"&gt;="&amp;DATE(2025,4,1),'2025数据'!$C$3:$C$181,"&lt;="&amp;DATE(2025,4,30),'2025数据'!$AE$3:$AE$181,$E5))</f>
        <v>0</v>
      </c>
      <c r="J5" s="205">
        <f ca="1">IF($S$1&lt;DATE(2025,5,1)," ",COUNTIFS('2025数据'!$C$3:$C$181,"&gt;="&amp;DATE(2025,5,1),'2025数据'!$C$3:$C$181,"&lt;="&amp;DATE(2025,5,31),'2025数据'!$AE$3:$AE$181,$E5))</f>
        <v>1</v>
      </c>
      <c r="K5" s="205">
        <f ca="1">IF($S$1&lt;DATE(2025,6,1)," ",COUNTIFS('2025数据'!$C$3:$C$181,"&gt;="&amp;DATE(2025,6,1),'2025数据'!$C$3:$C$181,"&lt;="&amp;DATE(2025,6,30),'2025数据'!$AE$3:$AE$181,$E5))</f>
        <v>1</v>
      </c>
      <c r="L5" s="205">
        <f ca="1">IF($S$1&lt;DATE(2025,7,1)," ",COUNTIFS('2025数据'!$C$3:$C$181,"&gt;="&amp;DATE(2025,7,1),'2025数据'!$C$3:$C$181,"&lt;="&amp;DATE(2025,7,31),'2025数据'!$AE$3:$AE$181,$E5))</f>
        <v>3</v>
      </c>
      <c r="M5" s="205">
        <f ca="1">IF($S$1&lt;DATE(2025,8,1)," ",COUNTIFS('2025数据'!$C$3:$C$181,"&gt;="&amp;DATE(2025,8,1),'2025数据'!$C$3:$C$181,"&lt;="&amp;DATE(2025,8,31),'2025数据'!$AE$3:$AE$181,$E5))</f>
        <v>0</v>
      </c>
      <c r="N5" s="205">
        <f ca="1">IF($S$1&lt;DATE(2025,9,1)," ",COUNTIFS('2025数据'!$C$3:$C$181,"&gt;="&amp;DATE(2025,9,1),'2025数据'!$C$3:$C$181,"&lt;="&amp;DATE(2025,9,30),'2025数据'!$AE$3:$AE$181,$E5))</f>
        <v>2</v>
      </c>
      <c r="O5" s="205">
        <f ca="1">IF($S$1&lt;DATE(2025,10,1)," ",COUNTIFS('2025数据'!$C$3:$C$181,"&gt;="&amp;DATE(2025,10,1),'2025数据'!$C$3:$C$181,"&lt;="&amp;DATE(2025,10,31),'2025数据'!$AE$3:$AE$181,$E5))</f>
        <v>1</v>
      </c>
      <c r="P5" s="207">
        <f ca="1">IF($S$1&lt;DATE(2025,11,1)," ",COUNTIFS('2025数据'!$C$3:$C$181,"&gt;="&amp;DATE(2025,11,1),'2025数据'!$C$3:$C$181,"&lt;="&amp;DATE(2025,11,30),'2025数据'!$AE$3:$AE$181,$E5))</f>
        <v>4</v>
      </c>
      <c r="Q5" s="207">
        <f ca="1">IF($S$1&lt;DATE(2025,12,1)," ",COUNTIFS('2025数据'!$C$3:$C$181,"&gt;="&amp;DATE(2025,12,1),'2025数据'!$C$3:$C$181,"&lt;="&amp;DATE(2025,12,31),'2025数据'!$AE$3:$AE$181,$E5))</f>
        <v>0</v>
      </c>
    </row>
    <row r="6" ht="24" customHeight="1" spans="1:17">
      <c r="A6" s="99" t="s">
        <v>289</v>
      </c>
      <c r="B6" s="99" t="s">
        <v>290</v>
      </c>
      <c r="C6" s="99" t="s">
        <v>291</v>
      </c>
      <c r="D6" s="48" t="s">
        <v>31</v>
      </c>
      <c r="E6" s="48" t="s">
        <v>97</v>
      </c>
      <c r="F6" s="205">
        <f ca="1">IF($S$1&lt;DATE(2025,1,1)," ",COUNTIFS('2025数据'!$C$3:$C$181,"&gt;="&amp;DATE(2024,1,1),'2025数据'!$C$3:$C$181,"&lt;="&amp;DATE(2025,1,31),'2025数据'!$AE$3:$AE$181,$E6))</f>
        <v>2</v>
      </c>
      <c r="G6" s="205">
        <f ca="1">IF($S$1&lt;DATE(2025,2,1)," ",COUNTIFS('2025数据'!$C$3:$C$181,"&gt;="&amp;DATE(2025,2,1),'2025数据'!$C$3:$C$181,"&lt;="&amp;DATE(2025,2,28),'2025数据'!$AE$3:$AE$181,$E6))</f>
        <v>0</v>
      </c>
      <c r="H6" s="205">
        <f ca="1">IF($S$1&lt;DATE(2025,3,1)," ",COUNTIFS('2025数据'!$C$3:$C$181,"&gt;="&amp;DATE(2025,3,1),'2025数据'!$C$3:$C$181,"&lt;="&amp;DATE(2025,3,31),'2025数据'!$AE$3:$AE$181,$E6))</f>
        <v>0</v>
      </c>
      <c r="I6" s="205">
        <f ca="1">IF($S$1&lt;DATE(2025,4,1)," ",COUNTIFS('2025数据'!$C$3:$C$181,"&gt;="&amp;DATE(2025,4,1),'2025数据'!$C$3:$C$181,"&lt;="&amp;DATE(2025,4,30),'2025数据'!$AE$3:$AE$181,$E6))</f>
        <v>1</v>
      </c>
      <c r="J6" s="205">
        <f ca="1">IF($S$1&lt;DATE(2025,5,1)," ",COUNTIFS('2025数据'!$C$3:$C$181,"&gt;="&amp;DATE(2025,5,1),'2025数据'!$C$3:$C$181,"&lt;="&amp;DATE(2025,5,31),'2025数据'!$AE$3:$AE$181,$E6))</f>
        <v>0</v>
      </c>
      <c r="K6" s="205">
        <f ca="1">IF($S$1&lt;DATE(2025,6,1)," ",COUNTIFS('2025数据'!$C$3:$C$181,"&gt;="&amp;DATE(2025,6,1),'2025数据'!$C$3:$C$181,"&lt;="&amp;DATE(2025,6,30),'2025数据'!$AE$3:$AE$181,$E6))</f>
        <v>0</v>
      </c>
      <c r="L6" s="205">
        <f ca="1">IF($S$1&lt;DATE(2025,7,1)," ",COUNTIFS('2025数据'!$C$3:$C$181,"&gt;="&amp;DATE(2025,7,1),'2025数据'!$C$3:$C$181,"&lt;="&amp;DATE(2025,7,31),'2025数据'!$AE$3:$AE$181,$E6))</f>
        <v>1</v>
      </c>
      <c r="M6" s="205">
        <f ca="1">IF($S$1&lt;DATE(2025,8,1)," ",COUNTIFS('2025数据'!$C$3:$C$181,"&gt;="&amp;DATE(2025,8,1),'2025数据'!$C$3:$C$181,"&lt;="&amp;DATE(2025,8,31),'2025数据'!$AE$3:$AE$181,$E6))</f>
        <v>0</v>
      </c>
      <c r="N6" s="205">
        <f ca="1">IF($S$1&lt;DATE(2025,9,1)," ",COUNTIFS('2025数据'!$C$3:$C$181,"&gt;="&amp;DATE(2025,9,1),'2025数据'!$C$3:$C$181,"&lt;="&amp;DATE(2025,9,30),'2025数据'!$AE$3:$AE$181,$E6))</f>
        <v>0</v>
      </c>
      <c r="O6" s="205">
        <f ca="1">IF($S$1&lt;DATE(2025,10,1)," ",COUNTIFS('2025数据'!$C$3:$C$181,"&gt;="&amp;DATE(2025,10,1),'2025数据'!$C$3:$C$181,"&lt;="&amp;DATE(2025,10,31),'2025数据'!$AE$3:$AE$181,$E6))</f>
        <v>1</v>
      </c>
      <c r="P6" s="207">
        <f ca="1">IF($S$1&lt;DATE(2025,11,1)," ",COUNTIFS('2025数据'!$C$3:$C$181,"&gt;="&amp;DATE(2025,11,1),'2025数据'!$C$3:$C$181,"&lt;="&amp;DATE(2025,11,30),'2025数据'!$AE$3:$AE$181,$E6))</f>
        <v>1</v>
      </c>
      <c r="Q6" s="207">
        <f ca="1">IF($S$1&lt;DATE(2025,12,1)," ",COUNTIFS('2025数据'!$C$3:$C$181,"&gt;="&amp;DATE(2025,12,1),'2025数据'!$C$3:$C$181,"&lt;="&amp;DATE(2025,12,31),'2025数据'!$AE$3:$AE$181,$E6))</f>
        <v>0</v>
      </c>
    </row>
    <row r="7" ht="24" customHeight="1" spans="1:17">
      <c r="A7" s="99" t="s">
        <v>289</v>
      </c>
      <c r="B7" s="99" t="s">
        <v>290</v>
      </c>
      <c r="C7" s="99" t="s">
        <v>291</v>
      </c>
      <c r="D7" s="48" t="s">
        <v>31</v>
      </c>
      <c r="E7" s="48" t="s">
        <v>87</v>
      </c>
      <c r="F7" s="205">
        <f ca="1">IF($S$1&lt;DATE(2025,1,1)," ",COUNTIFS('2025数据'!$C$3:$C$181,"&gt;="&amp;DATE(2024,1,1),'2025数据'!$C$3:$C$181,"&lt;="&amp;DATE(2025,1,31),'2025数据'!$AE$3:$AE$181,$E7))</f>
        <v>1</v>
      </c>
      <c r="G7" s="205">
        <f ca="1">IF($S$1&lt;DATE(2025,2,1)," ",COUNTIFS('2025数据'!$C$3:$C$181,"&gt;="&amp;DATE(2025,2,1),'2025数据'!$C$3:$C$181,"&lt;="&amp;DATE(2025,2,28),'2025数据'!$AE$3:$AE$181,$E7))</f>
        <v>0</v>
      </c>
      <c r="H7" s="205">
        <f ca="1">IF($S$1&lt;DATE(2025,3,1)," ",COUNTIFS('2025数据'!$C$3:$C$181,"&gt;="&amp;DATE(2025,3,1),'2025数据'!$C$3:$C$181,"&lt;="&amp;DATE(2025,3,31),'2025数据'!$AE$3:$AE$181,$E7))</f>
        <v>0</v>
      </c>
      <c r="I7" s="205">
        <f ca="1">IF($S$1&lt;DATE(2025,4,1)," ",COUNTIFS('2025数据'!$C$3:$C$181,"&gt;="&amp;DATE(2025,4,1),'2025数据'!$C$3:$C$181,"&lt;="&amp;DATE(2025,4,30),'2025数据'!$AE$3:$AE$181,$E7))</f>
        <v>0</v>
      </c>
      <c r="J7" s="205">
        <f ca="1">IF($S$1&lt;DATE(2025,5,1)," ",COUNTIFS('2025数据'!$C$3:$C$181,"&gt;="&amp;DATE(2025,5,1),'2025数据'!$C$3:$C$181,"&lt;="&amp;DATE(2025,5,31),'2025数据'!$AE$3:$AE$181,$E7))</f>
        <v>0</v>
      </c>
      <c r="K7" s="205">
        <f ca="1">IF($S$1&lt;DATE(2025,6,1)," ",COUNTIFS('2025数据'!$C$3:$C$181,"&gt;="&amp;DATE(2025,6,1),'2025数据'!$C$3:$C$181,"&lt;="&amp;DATE(2025,6,30),'2025数据'!$AE$3:$AE$181,$E7))</f>
        <v>0</v>
      </c>
      <c r="L7" s="205">
        <f ca="1">IF($S$1&lt;DATE(2025,7,1)," ",COUNTIFS('2025数据'!$C$3:$C$181,"&gt;="&amp;DATE(2025,7,1),'2025数据'!$C$3:$C$181,"&lt;="&amp;DATE(2025,7,31),'2025数据'!$AE$3:$AE$181,$E7))</f>
        <v>1</v>
      </c>
      <c r="M7" s="205">
        <f ca="1">IF($S$1&lt;DATE(2025,8,1)," ",COUNTIFS('2025数据'!$C$3:$C$181,"&gt;="&amp;DATE(2025,8,1),'2025数据'!$C$3:$C$181,"&lt;="&amp;DATE(2025,8,31),'2025数据'!$AE$3:$AE$181,$E7))</f>
        <v>1</v>
      </c>
      <c r="N7" s="205">
        <f ca="1">IF($S$1&lt;DATE(2025,9,1)," ",COUNTIFS('2025数据'!$C$3:$C$181,"&gt;="&amp;DATE(2025,9,1),'2025数据'!$C$3:$C$181,"&lt;="&amp;DATE(2025,9,30),'2025数据'!$AE$3:$AE$181,$E7))</f>
        <v>0</v>
      </c>
      <c r="O7" s="205">
        <f ca="1">IF($S$1&lt;DATE(2025,10,1)," ",COUNTIFS('2025数据'!$C$3:$C$181,"&gt;="&amp;DATE(2025,10,1),'2025数据'!$C$3:$C$181,"&lt;="&amp;DATE(2025,10,31),'2025数据'!$AE$3:$AE$181,$E7))</f>
        <v>0</v>
      </c>
      <c r="P7" s="207">
        <f ca="1">IF($S$1&lt;DATE(2025,11,1)," ",COUNTIFS('2025数据'!$C$3:$C$181,"&gt;="&amp;DATE(2025,11,1),'2025数据'!$C$3:$C$181,"&lt;="&amp;DATE(2025,11,30),'2025数据'!$AE$3:$AE$181,$E7))</f>
        <v>1</v>
      </c>
      <c r="Q7" s="207">
        <f ca="1">IF($S$1&lt;DATE(2025,12,1)," ",COUNTIFS('2025数据'!$C$3:$C$181,"&gt;="&amp;DATE(2025,12,1),'2025数据'!$C$3:$C$181,"&lt;="&amp;DATE(2025,12,31),'2025数据'!$AE$3:$AE$181,$E7))</f>
        <v>0</v>
      </c>
    </row>
    <row r="8" ht="24" customHeight="1" spans="1:17">
      <c r="A8" s="99" t="s">
        <v>289</v>
      </c>
      <c r="B8" s="99" t="s">
        <v>290</v>
      </c>
      <c r="C8" s="99" t="s">
        <v>291</v>
      </c>
      <c r="D8" s="48" t="s">
        <v>31</v>
      </c>
      <c r="E8" s="48" t="s">
        <v>149</v>
      </c>
      <c r="F8" s="205">
        <f ca="1">IF($S$1&lt;DATE(2025,1,1)," ",COUNTIFS('2025数据'!$C$3:$C$181,"&gt;="&amp;DATE(2024,1,1),'2025数据'!$C$3:$C$181,"&lt;="&amp;DATE(2025,1,31),'2025数据'!$AE$3:$AE$181,$E8))</f>
        <v>0</v>
      </c>
      <c r="G8" s="205">
        <f ca="1">IF($S$1&lt;DATE(2025,2,1)," ",COUNTIFS('2025数据'!$C$3:$C$181,"&gt;="&amp;DATE(2025,2,1),'2025数据'!$C$3:$C$181,"&lt;="&amp;DATE(2025,2,28),'2025数据'!$AE$3:$AE$181,$E8))</f>
        <v>0</v>
      </c>
      <c r="H8" s="205">
        <f ca="1">IF($S$1&lt;DATE(2025,3,1)," ",COUNTIFS('2025数据'!$C$3:$C$181,"&gt;="&amp;DATE(2025,3,1),'2025数据'!$C$3:$C$181,"&lt;="&amp;DATE(2025,3,31),'2025数据'!$AE$3:$AE$181,$E8))</f>
        <v>0</v>
      </c>
      <c r="I8" s="205">
        <f ca="1">IF($S$1&lt;DATE(2025,4,1)," ",COUNTIFS('2025数据'!$C$3:$C$181,"&gt;="&amp;DATE(2025,4,1),'2025数据'!$C$3:$C$181,"&lt;="&amp;DATE(2025,4,30),'2025数据'!$AE$3:$AE$181,$E8))</f>
        <v>0</v>
      </c>
      <c r="J8" s="205">
        <f ca="1">IF($S$1&lt;DATE(2025,5,1)," ",COUNTIFS('2025数据'!$C$3:$C$181,"&gt;="&amp;DATE(2025,5,1),'2025数据'!$C$3:$C$181,"&lt;="&amp;DATE(2025,5,31),'2025数据'!$AE$3:$AE$181,$E8))</f>
        <v>0</v>
      </c>
      <c r="K8" s="205">
        <f ca="1">IF($S$1&lt;DATE(2025,6,1)," ",COUNTIFS('2025数据'!$C$3:$C$181,"&gt;="&amp;DATE(2025,6,1),'2025数据'!$C$3:$C$181,"&lt;="&amp;DATE(2025,6,30),'2025数据'!$AE$3:$AE$181,$E8))</f>
        <v>1</v>
      </c>
      <c r="L8" s="205">
        <f ca="1">IF($S$1&lt;DATE(2025,7,1)," ",COUNTIFS('2025数据'!$C$3:$C$181,"&gt;="&amp;DATE(2025,7,1),'2025数据'!$C$3:$C$181,"&lt;="&amp;DATE(2025,7,31),'2025数据'!$AE$3:$AE$181,$E8))</f>
        <v>0</v>
      </c>
      <c r="M8" s="205">
        <f ca="1">IF($S$1&lt;DATE(2025,8,1)," ",COUNTIFS('2025数据'!$C$3:$C$181,"&gt;="&amp;DATE(2025,8,1),'2025数据'!$C$3:$C$181,"&lt;="&amp;DATE(2025,8,31),'2025数据'!$AE$3:$AE$181,$E8))</f>
        <v>0</v>
      </c>
      <c r="N8" s="205">
        <f ca="1">IF($S$1&lt;DATE(2025,9,1)," ",COUNTIFS('2025数据'!$C$3:$C$181,"&gt;="&amp;DATE(2025,9,1),'2025数据'!$C$3:$C$181,"&lt;="&amp;DATE(2025,9,30),'2025数据'!$AE$3:$AE$181,$E8))</f>
        <v>0</v>
      </c>
      <c r="O8" s="205">
        <f ca="1">IF($S$1&lt;DATE(2025,10,1)," ",COUNTIFS('2025数据'!$C$3:$C$181,"&gt;="&amp;DATE(2025,10,1),'2025数据'!$C$3:$C$181,"&lt;="&amp;DATE(2025,10,31),'2025数据'!$AE$3:$AE$181,$E8))</f>
        <v>0</v>
      </c>
      <c r="P8" s="207">
        <f ca="1">IF($S$1&lt;DATE(2025,11,1)," ",COUNTIFS('2025数据'!$C$3:$C$181,"&gt;="&amp;DATE(2025,11,1),'2025数据'!$C$3:$C$181,"&lt;="&amp;DATE(2025,11,30),'2025数据'!$AE$3:$AE$181,$E8))</f>
        <v>0</v>
      </c>
      <c r="Q8" s="207">
        <f ca="1">IF($S$1&lt;DATE(2025,12,1)," ",COUNTIFS('2025数据'!$C$3:$C$181,"&gt;="&amp;DATE(2025,12,1),'2025数据'!$C$3:$C$181,"&lt;="&amp;DATE(2025,12,31),'2025数据'!$AE$3:$AE$181,$E8))</f>
        <v>0</v>
      </c>
    </row>
    <row r="9" ht="24" customHeight="1" spans="1:17">
      <c r="A9" s="99" t="s">
        <v>289</v>
      </c>
      <c r="B9" s="99" t="s">
        <v>290</v>
      </c>
      <c r="C9" s="99" t="s">
        <v>291</v>
      </c>
      <c r="D9" s="48" t="s">
        <v>31</v>
      </c>
      <c r="E9" s="48" t="s">
        <v>83</v>
      </c>
      <c r="F9" s="205">
        <f ca="1">IF($S$1&lt;DATE(2025,1,1)," ",COUNTIFS('2025数据'!$C$3:$C$181,"&gt;="&amp;DATE(2024,1,1),'2025数据'!$C$3:$C$181,"&lt;="&amp;DATE(2025,1,31),'2025数据'!$AE$3:$AE$181,$E9))</f>
        <v>1</v>
      </c>
      <c r="G9" s="205">
        <f ca="1">IF($S$1&lt;DATE(2025,2,1)," ",COUNTIFS('2025数据'!$C$3:$C$181,"&gt;="&amp;DATE(2025,2,1),'2025数据'!$C$3:$C$181,"&lt;="&amp;DATE(2025,2,28),'2025数据'!$AE$3:$AE$181,$E9))</f>
        <v>0</v>
      </c>
      <c r="H9" s="205">
        <f ca="1">IF($S$1&lt;DATE(2025,3,1)," ",COUNTIFS('2025数据'!$C$3:$C$181,"&gt;="&amp;DATE(2025,3,1),'2025数据'!$C$3:$C$181,"&lt;="&amp;DATE(2025,3,31),'2025数据'!$AE$3:$AE$181,$E9))</f>
        <v>0</v>
      </c>
      <c r="I9" s="205">
        <f ca="1">IF($S$1&lt;DATE(2025,4,1)," ",COUNTIFS('2025数据'!$C$3:$C$181,"&gt;="&amp;DATE(2025,4,1),'2025数据'!$C$3:$C$181,"&lt;="&amp;DATE(2025,4,30),'2025数据'!$AE$3:$AE$181,$E9))</f>
        <v>0</v>
      </c>
      <c r="J9" s="205">
        <f ca="1">IF($S$1&lt;DATE(2025,5,1)," ",COUNTIFS('2025数据'!$C$3:$C$181,"&gt;="&amp;DATE(2025,5,1),'2025数据'!$C$3:$C$181,"&lt;="&amp;DATE(2025,5,31),'2025数据'!$AE$3:$AE$181,$E9))</f>
        <v>0</v>
      </c>
      <c r="K9" s="205">
        <f ca="1">IF($S$1&lt;DATE(2025,6,1)," ",COUNTIFS('2025数据'!$C$3:$C$181,"&gt;="&amp;DATE(2025,6,1),'2025数据'!$C$3:$C$181,"&lt;="&amp;DATE(2025,6,30),'2025数据'!$AE$3:$AE$181,$E9))</f>
        <v>0</v>
      </c>
      <c r="L9" s="205">
        <f ca="1">IF($S$1&lt;DATE(2025,7,1)," ",COUNTIFS('2025数据'!$C$3:$C$181,"&gt;="&amp;DATE(2025,7,1),'2025数据'!$C$3:$C$181,"&lt;="&amp;DATE(2025,7,31),'2025数据'!$AE$3:$AE$181,$E9))</f>
        <v>0</v>
      </c>
      <c r="M9" s="205">
        <f ca="1">IF($S$1&lt;DATE(2025,8,1)," ",COUNTIFS('2025数据'!$C$3:$C$181,"&gt;="&amp;DATE(2025,8,1),'2025数据'!$C$3:$C$181,"&lt;="&amp;DATE(2025,8,31),'2025数据'!$AE$3:$AE$181,$E9))</f>
        <v>1</v>
      </c>
      <c r="N9" s="205">
        <f ca="1">IF($S$1&lt;DATE(2025,9,1)," ",COUNTIFS('2025数据'!$C$3:$C$181,"&gt;="&amp;DATE(2025,9,1),'2025数据'!$C$3:$C$181,"&lt;="&amp;DATE(2025,9,30),'2025数据'!$AE$3:$AE$181,$E9))</f>
        <v>0</v>
      </c>
      <c r="O9" s="205">
        <f ca="1">IF($S$1&lt;DATE(2025,10,1)," ",COUNTIFS('2025数据'!$C$3:$C$181,"&gt;="&amp;DATE(2025,10,1),'2025数据'!$C$3:$C$181,"&lt;="&amp;DATE(2025,10,31),'2025数据'!$AE$3:$AE$181,$E9))</f>
        <v>0</v>
      </c>
      <c r="P9" s="207">
        <f ca="1">IF($S$1&lt;DATE(2025,11,1)," ",COUNTIFS('2025数据'!$C$3:$C$181,"&gt;="&amp;DATE(2025,11,1),'2025数据'!$C$3:$C$181,"&lt;="&amp;DATE(2025,11,30),'2025数据'!$AE$3:$AE$181,$E9))</f>
        <v>0</v>
      </c>
      <c r="Q9" s="207">
        <f ca="1">IF($S$1&lt;DATE(2025,12,1)," ",COUNTIFS('2025数据'!$C$3:$C$181,"&gt;="&amp;DATE(2025,12,1),'2025数据'!$C$3:$C$181,"&lt;="&amp;DATE(2025,12,31),'2025数据'!$AE$3:$AE$181,$E9))</f>
        <v>0</v>
      </c>
    </row>
    <row r="10" ht="24" customHeight="1" spans="1:17">
      <c r="A10" s="99" t="s">
        <v>289</v>
      </c>
      <c r="B10" s="99" t="s">
        <v>290</v>
      </c>
      <c r="C10" s="99" t="s">
        <v>291</v>
      </c>
      <c r="D10" s="47" t="s">
        <v>294</v>
      </c>
      <c r="E10" s="47" t="s">
        <v>93</v>
      </c>
      <c r="F10" s="206">
        <f ca="1">IF($S$1&lt;DATE(2025,1,1)," ",COUNTIFS('2025数据'!$C$3:$C$181,"&gt;="&amp;DATE(2024,1,1),'2025数据'!$C$3:$C$181,"&lt;="&amp;DATE(2025,1,31),'2025数据'!$B$3:$B$181,$E10))</f>
        <v>4</v>
      </c>
      <c r="G10" s="206">
        <f ca="1">IF($S$1&lt;DATE(2025,2,1)," ",COUNTIFS('2025数据'!$C$3:$C$181,"&gt;="&amp;DATE(2025,2,1),'2025数据'!$C$3:$C$181,"&lt;="&amp;DATE(2025,2,28),'2025数据'!$B$3:$B$181,$E10))</f>
        <v>0</v>
      </c>
      <c r="H10" s="206">
        <f ca="1">IF($S$1&lt;DATE(2025,3,1)," ",COUNTIFS('2025数据'!$C$3:$C$181,"&gt;="&amp;DATE(2025,3,1),'2025数据'!$C$3:$C$181,"&lt;="&amp;DATE(2025,3,31),'2025数据'!$B$3:$B$181,$E10))</f>
        <v>2</v>
      </c>
      <c r="I10" s="206">
        <f ca="1">IF($S$1&lt;DATE(2025,4,1)," ",COUNTIFS('2025数据'!$C$3:$C$181,"&gt;="&amp;DATE(2025,4,1),'2025数据'!$C$3:$C$181,"&lt;="&amp;DATE(2025,4,30),'2025数据'!$B$3:$B$181,$E10))</f>
        <v>1</v>
      </c>
      <c r="J10" s="206">
        <f ca="1">IF($S$1&lt;DATE(2025,5,1)," ",COUNTIFS('2025数据'!$C$3:$C$181,"&gt;="&amp;DATE(2025,5,1),'2025数据'!$C$3:$C$181,"&lt;="&amp;DATE(2025,5,31),'2025数据'!$B$3:$B$181,$E10))</f>
        <v>0</v>
      </c>
      <c r="K10" s="206">
        <f ca="1">IF($S$1&lt;DATE(2025,6,1)," ",COUNTIFS('2025数据'!$C$3:$C$181,"&gt;="&amp;DATE(2025,6,1),'2025数据'!$C$3:$C$181,"&lt;="&amp;DATE(2025,6,30),'2025数据'!$B$3:$B$181,$E10))</f>
        <v>2</v>
      </c>
      <c r="L10" s="206">
        <f ca="1">IF($S$1&lt;DATE(2025,7,1)," ",COUNTIFS('2025数据'!$C$3:$C$181,"&gt;="&amp;DATE(2025,7,1),'2025数据'!$C$3:$C$181,"&lt;="&amp;DATE(2025,7,31),'2025数据'!$B$3:$B$181,$E10))</f>
        <v>2</v>
      </c>
      <c r="M10" s="206">
        <f ca="1">IF($S$1&lt;DATE(2025,8,1)," ",COUNTIFS('2025数据'!$C$3:$C$181,"&gt;="&amp;DATE(2025,8,1),'2025数据'!$C$3:$C$181,"&lt;="&amp;DATE(2025,8,31),'2025数据'!$B$3:$B$181,$E10))</f>
        <v>2</v>
      </c>
      <c r="N10" s="206">
        <f ca="1">IF($S$1&lt;DATE(2025,9,1)," ",COUNTIFS('2025数据'!$C$3:$C$181,"&gt;="&amp;DATE(2025,9,1),'2025数据'!$C$3:$C$181,"&lt;="&amp;DATE(2025,9,30),'2025数据'!$B$3:$B$181,$E10))</f>
        <v>4</v>
      </c>
      <c r="O10" s="206">
        <f ca="1">IF($S$1&lt;DATE(2025,10,1)," ",COUNTIFS('2025数据'!$C$3:$C$181,"&gt;="&amp;DATE(2025,10,1),'2025数据'!$C$3:$C$181,"&lt;="&amp;DATE(2025,10,31),'2025数据'!$B$3:$B$181,$E10))</f>
        <v>0</v>
      </c>
      <c r="P10" s="208">
        <f ca="1">IF($S$1&lt;DATE(2025,11,1)," ",COUNTIFS('2025数据'!$C$3:$C$181,"&gt;="&amp;DATE(2025,11,1),'2025数据'!$C$3:$C$181,"&lt;="&amp;DATE(2025,11,30),'2025数据'!$B$3:$B$181,$E10))</f>
        <v>4</v>
      </c>
      <c r="Q10" s="208">
        <f ca="1">IF($S$1&lt;DATE(2025,12,1)," ",COUNTIFS('2025数据'!$C$3:$C$181,"&gt;="&amp;DATE(2025,12,1),'2025数据'!$C$3:$C$181,"&lt;="&amp;DATE(2025,12,31),'2025数据'!$B$3:$B$181,$E10))</f>
        <v>1</v>
      </c>
    </row>
    <row r="11" ht="24" customHeight="1" spans="1:17">
      <c r="A11" s="99" t="s">
        <v>289</v>
      </c>
      <c r="B11" s="99" t="s">
        <v>290</v>
      </c>
      <c r="C11" s="99" t="s">
        <v>291</v>
      </c>
      <c r="D11" s="47" t="s">
        <v>294</v>
      </c>
      <c r="E11" s="47" t="s">
        <v>85</v>
      </c>
      <c r="F11" s="206">
        <f ca="1">IF($S$1&lt;DATE(2025,1,1)," ",COUNTIFS('2025数据'!$C$3:$C$181,"&gt;="&amp;DATE(2024,1,1),'2025数据'!$C$3:$C$181,"&lt;="&amp;DATE(2025,1,31),'2025数据'!$B$3:$B$181,$E11))</f>
        <v>1</v>
      </c>
      <c r="G11" s="206">
        <f ca="1">IF($S$1&lt;DATE(2025,2,1)," ",COUNTIFS('2025数据'!$C$3:$C$181,"&gt;="&amp;DATE(2025,2,1),'2025数据'!$C$3:$C$181,"&lt;="&amp;DATE(2025,2,28),'2025数据'!$B$3:$B$181,$E11))</f>
        <v>1</v>
      </c>
      <c r="H11" s="206">
        <f ca="1">IF($S$1&lt;DATE(2025,3,1)," ",COUNTIFS('2025数据'!$C$3:$C$181,"&gt;="&amp;DATE(2025,3,1),'2025数据'!$C$3:$C$181,"&lt;="&amp;DATE(2025,3,31),'2025数据'!$B$3:$B$181,$E11))</f>
        <v>1</v>
      </c>
      <c r="I11" s="206">
        <f ca="1">IF($S$1&lt;DATE(2025,4,1)," ",COUNTIFS('2025数据'!$C$3:$C$181,"&gt;="&amp;DATE(2025,4,1),'2025数据'!$C$3:$C$181,"&lt;="&amp;DATE(2025,4,30),'2025数据'!$B$3:$B$181,$E11))</f>
        <v>2</v>
      </c>
      <c r="J11" s="206">
        <f ca="1">IF($S$1&lt;DATE(2025,5,1)," ",COUNTIFS('2025数据'!$C$3:$C$181,"&gt;="&amp;DATE(2025,5,1),'2025数据'!$C$3:$C$181,"&lt;="&amp;DATE(2025,5,31),'2025数据'!$B$3:$B$181,$E11))</f>
        <v>1</v>
      </c>
      <c r="K11" s="206">
        <f ca="1">IF($S$1&lt;DATE(2025,6,1)," ",COUNTIFS('2025数据'!$C$3:$C$181,"&gt;="&amp;DATE(2025,6,1),'2025数据'!$C$3:$C$181,"&lt;="&amp;DATE(2025,6,30),'2025数据'!$B$3:$B$181,$E11))</f>
        <v>3</v>
      </c>
      <c r="L11" s="206">
        <f ca="1">IF($S$1&lt;DATE(2025,7,1)," ",COUNTIFS('2025数据'!$C$3:$C$181,"&gt;="&amp;DATE(2025,7,1),'2025数据'!$C$3:$C$181,"&lt;="&amp;DATE(2025,7,31),'2025数据'!$B$3:$B$181,$E11))</f>
        <v>3</v>
      </c>
      <c r="M11" s="206">
        <f ca="1">IF($S$1&lt;DATE(2025,8,1)," ",COUNTIFS('2025数据'!$C$3:$C$181,"&gt;="&amp;DATE(2025,8,1),'2025数据'!$C$3:$C$181,"&lt;="&amp;DATE(2025,8,31),'2025数据'!$B$3:$B$181,$E11))</f>
        <v>2</v>
      </c>
      <c r="N11" s="206">
        <f ca="1">IF($S$1&lt;DATE(2025,9,1)," ",COUNTIFS('2025数据'!$C$3:$C$181,"&gt;="&amp;DATE(2025,9,1),'2025数据'!$C$3:$C$181,"&lt;="&amp;DATE(2025,9,30),'2025数据'!$B$3:$B$181,$E11))</f>
        <v>1</v>
      </c>
      <c r="O11" s="206">
        <f ca="1">IF($S$1&lt;DATE(2025,10,1)," ",COUNTIFS('2025数据'!$C$3:$C$181,"&gt;="&amp;DATE(2025,10,1),'2025数据'!$C$3:$C$181,"&lt;="&amp;DATE(2025,10,31),'2025数据'!$B$3:$B$181,$E11))</f>
        <v>2</v>
      </c>
      <c r="P11" s="208">
        <f ca="1">IF($S$1&lt;DATE(2025,11,1)," ",COUNTIFS('2025数据'!$C$3:$C$181,"&gt;="&amp;DATE(2025,11,1),'2025数据'!$C$3:$C$181,"&lt;="&amp;DATE(2025,11,30),'2025数据'!$B$3:$B$181,$E11))</f>
        <v>2</v>
      </c>
      <c r="Q11" s="208">
        <f ca="1">IF($S$1&lt;DATE(2025,12,1)," ",COUNTIFS('2025数据'!$C$3:$C$181,"&gt;="&amp;DATE(2025,12,1),'2025数据'!$C$3:$C$181,"&lt;="&amp;DATE(2025,12,31),'2025数据'!$B$3:$B$181,$E11))</f>
        <v>2</v>
      </c>
    </row>
    <row r="12" ht="24" customHeight="1" spans="1:17">
      <c r="A12" s="99" t="s">
        <v>289</v>
      </c>
      <c r="B12" s="99" t="s">
        <v>290</v>
      </c>
      <c r="C12" s="99" t="s">
        <v>291</v>
      </c>
      <c r="D12" s="47" t="s">
        <v>294</v>
      </c>
      <c r="E12" s="47" t="s">
        <v>81</v>
      </c>
      <c r="F12" s="206">
        <f ca="1">IF($S$1&lt;DATE(2025,1,1)," ",COUNTIFS('2025数据'!$C$3:$C$181,"&gt;="&amp;DATE(2024,1,1),'2025数据'!$C$3:$C$181,"&lt;="&amp;DATE(2025,1,31),'2025数据'!$B$3:$B$181,$E12))</f>
        <v>0</v>
      </c>
      <c r="G12" s="206">
        <f ca="1">IF($S$1&lt;DATE(2025,2,1)," ",COUNTIFS('2025数据'!$C$3:$C$181,"&gt;="&amp;DATE(2025,2,1),'2025数据'!$C$3:$C$181,"&lt;="&amp;DATE(2025,2,28),'2025数据'!$B$3:$B$181,$E12))</f>
        <v>0</v>
      </c>
      <c r="H12" s="206">
        <f ca="1">IF($S$1&lt;DATE(2025,3,1)," ",COUNTIFS('2025数据'!$C$3:$C$181,"&gt;="&amp;DATE(2025,3,1),'2025数据'!$C$3:$C$181,"&lt;="&amp;DATE(2025,3,31),'2025数据'!$B$3:$B$181,$E12))</f>
        <v>1</v>
      </c>
      <c r="I12" s="206">
        <f ca="1">IF($S$1&lt;DATE(2025,4,1)," ",COUNTIFS('2025数据'!$C$3:$C$181,"&gt;="&amp;DATE(2025,4,1),'2025数据'!$C$3:$C$181,"&lt;="&amp;DATE(2025,4,30),'2025数据'!$B$3:$B$181,$E12))</f>
        <v>2</v>
      </c>
      <c r="J12" s="206">
        <f ca="1">IF($S$1&lt;DATE(2025,5,1)," ",COUNTIFS('2025数据'!$C$3:$C$181,"&gt;="&amp;DATE(2025,5,1),'2025数据'!$C$3:$C$181,"&lt;="&amp;DATE(2025,5,31),'2025数据'!$B$3:$B$181,$E12))</f>
        <v>0</v>
      </c>
      <c r="K12" s="206">
        <f ca="1">IF($S$1&lt;DATE(2025,6,1)," ",COUNTIFS('2025数据'!$C$3:$C$181,"&gt;="&amp;DATE(2025,6,1),'2025数据'!$C$3:$C$181,"&lt;="&amp;DATE(2025,6,30),'2025数据'!$B$3:$B$181,$E12))</f>
        <v>0</v>
      </c>
      <c r="L12" s="206">
        <f ca="1">IF($S$1&lt;DATE(2025,7,1)," ",COUNTIFS('2025数据'!$C$3:$C$181,"&gt;="&amp;DATE(2025,7,1),'2025数据'!$C$3:$C$181,"&lt;="&amp;DATE(2025,7,31),'2025数据'!$B$3:$B$181,$E12))</f>
        <v>1</v>
      </c>
      <c r="M12" s="206">
        <f ca="1">IF($S$1&lt;DATE(2025,8,1)," ",COUNTIFS('2025数据'!$C$3:$C$181,"&gt;="&amp;DATE(2025,8,1),'2025数据'!$C$3:$C$181,"&lt;="&amp;DATE(2025,8,31),'2025数据'!$B$3:$B$181,$E12))</f>
        <v>1</v>
      </c>
      <c r="N12" s="206">
        <f ca="1">IF($S$1&lt;DATE(2025,9,1)," ",COUNTIFS('2025数据'!$C$3:$C$181,"&gt;="&amp;DATE(2025,9,1),'2025数据'!$C$3:$C$181,"&lt;="&amp;DATE(2025,9,30),'2025数据'!$B$3:$B$181,$E12))</f>
        <v>0</v>
      </c>
      <c r="O12" s="206">
        <f ca="1">IF($S$1&lt;DATE(2025,10,1)," ",COUNTIFS('2025数据'!$C$3:$C$181,"&gt;="&amp;DATE(2025,10,1),'2025数据'!$C$3:$C$181,"&lt;="&amp;DATE(2025,10,31),'2025数据'!$B$3:$B$181,$E12))</f>
        <v>5</v>
      </c>
      <c r="P12" s="208">
        <f ca="1">IF($S$1&lt;DATE(2025,11,1)," ",COUNTIFS('2025数据'!$C$3:$C$181,"&gt;="&amp;DATE(2025,11,1),'2025数据'!$C$3:$C$181,"&lt;="&amp;DATE(2025,11,30),'2025数据'!$B$3:$B$181,$E12))</f>
        <v>2</v>
      </c>
      <c r="Q12" s="208">
        <f ca="1">IF($S$1&lt;DATE(2025,12,1)," ",COUNTIFS('2025数据'!$C$3:$C$181,"&gt;="&amp;DATE(2025,12,1),'2025数据'!$C$3:$C$181,"&lt;="&amp;DATE(2025,12,31),'2025数据'!$B$3:$B$181,$E12))</f>
        <v>0</v>
      </c>
    </row>
    <row r="13" ht="24" customHeight="1" spans="1:17">
      <c r="A13" s="99" t="s">
        <v>289</v>
      </c>
      <c r="B13" s="99" t="s">
        <v>290</v>
      </c>
      <c r="C13" s="99" t="s">
        <v>291</v>
      </c>
      <c r="D13" s="47" t="s">
        <v>294</v>
      </c>
      <c r="E13" s="47" t="s">
        <v>96</v>
      </c>
      <c r="F13" s="206">
        <f ca="1">IF($S$1&lt;DATE(2025,1,1)," ",COUNTIFS('2025数据'!$C$3:$C$181,"&gt;="&amp;DATE(2024,1,1),'2025数据'!$C$3:$C$181,"&lt;="&amp;DATE(2025,1,31),'2025数据'!$B$3:$B$181,$E13))</f>
        <v>1</v>
      </c>
      <c r="G13" s="206">
        <f ca="1">IF($S$1&lt;DATE(2025,2,1)," ",COUNTIFS('2025数据'!$C$3:$C$181,"&gt;="&amp;DATE(2025,2,1),'2025数据'!$C$3:$C$181,"&lt;="&amp;DATE(2025,2,28),'2025数据'!$B$3:$B$181,$E13))</f>
        <v>0</v>
      </c>
      <c r="H13" s="206">
        <f ca="1">IF($S$1&lt;DATE(2025,3,1)," ",COUNTIFS('2025数据'!$C$3:$C$181,"&gt;="&amp;DATE(2025,3,1),'2025数据'!$C$3:$C$181,"&lt;="&amp;DATE(2025,3,31),'2025数据'!$B$3:$B$181,$E13))</f>
        <v>0</v>
      </c>
      <c r="I13" s="206">
        <f ca="1">IF($S$1&lt;DATE(2025,4,1)," ",COUNTIFS('2025数据'!$C$3:$C$181,"&gt;="&amp;DATE(2025,4,1),'2025数据'!$C$3:$C$181,"&lt;="&amp;DATE(2025,4,30),'2025数据'!$B$3:$B$181,$E13))</f>
        <v>0</v>
      </c>
      <c r="J13" s="206">
        <f ca="1">IF($S$1&lt;DATE(2025,5,1)," ",COUNTIFS('2025数据'!$C$3:$C$181,"&gt;="&amp;DATE(2025,5,1),'2025数据'!$C$3:$C$181,"&lt;="&amp;DATE(2025,5,31),'2025数据'!$B$3:$B$181,$E13))</f>
        <v>0</v>
      </c>
      <c r="K13" s="206">
        <f ca="1">IF($S$1&lt;DATE(2025,6,1)," ",COUNTIFS('2025数据'!$C$3:$C$181,"&gt;="&amp;DATE(2025,6,1),'2025数据'!$C$3:$C$181,"&lt;="&amp;DATE(2025,6,30),'2025数据'!$B$3:$B$181,$E13))</f>
        <v>0</v>
      </c>
      <c r="L13" s="206">
        <f ca="1">IF($S$1&lt;DATE(2025,7,1)," ",COUNTIFS('2025数据'!$C$3:$C$181,"&gt;="&amp;DATE(2025,7,1),'2025数据'!$C$3:$C$181,"&lt;="&amp;DATE(2025,7,31),'2025数据'!$B$3:$B$181,$E13))</f>
        <v>0</v>
      </c>
      <c r="M13" s="206">
        <f ca="1">IF($S$1&lt;DATE(2025,8,1)," ",COUNTIFS('2025数据'!$C$3:$C$181,"&gt;="&amp;DATE(2025,8,1),'2025数据'!$C$3:$C$181,"&lt;="&amp;DATE(2025,8,31),'2025数据'!$B$3:$B$181,$E13))</f>
        <v>0</v>
      </c>
      <c r="N13" s="206">
        <f ca="1">IF($S$1&lt;DATE(2025,9,1)," ",COUNTIFS('2025数据'!$C$3:$C$181,"&gt;="&amp;DATE(2025,9,1),'2025数据'!$C$3:$C$181,"&lt;="&amp;DATE(2025,9,30),'2025数据'!$B$3:$B$181,$E13))</f>
        <v>0</v>
      </c>
      <c r="O13" s="206">
        <f ca="1">IF($S$1&lt;DATE(2025,10,1)," ",COUNTIFS('2025数据'!$C$3:$C$181,"&gt;="&amp;DATE(2025,10,1),'2025数据'!$C$3:$C$181,"&lt;="&amp;DATE(2025,10,31),'2025数据'!$B$3:$B$181,$E13))</f>
        <v>0</v>
      </c>
      <c r="P13" s="208">
        <f ca="1">IF($S$1&lt;DATE(2025,11,1)," ",COUNTIFS('2025数据'!$C$3:$C$181,"&gt;="&amp;DATE(2025,11,1),'2025数据'!$C$3:$C$181,"&lt;="&amp;DATE(2025,11,30),'2025数据'!$B$3:$B$181,$E13))</f>
        <v>0</v>
      </c>
      <c r="Q13" s="208">
        <f ca="1">IF($S$1&lt;DATE(2025,12,1)," ",COUNTIFS('2025数据'!$C$3:$C$181,"&gt;="&amp;DATE(2025,12,1),'2025数据'!$C$3:$C$181,"&lt;="&amp;DATE(2025,12,31),'2025数据'!$B$3:$B$181,$E13))</f>
        <v>0</v>
      </c>
    </row>
    <row r="14" ht="24" customHeight="1" spans="1:17">
      <c r="A14" s="99" t="s">
        <v>289</v>
      </c>
      <c r="B14" s="99" t="s">
        <v>290</v>
      </c>
      <c r="C14" s="99" t="s">
        <v>291</v>
      </c>
      <c r="D14" s="47" t="s">
        <v>294</v>
      </c>
      <c r="E14" s="47" t="s">
        <v>160</v>
      </c>
      <c r="F14" s="206">
        <f ca="1">IF($S$1&lt;DATE(2025,1,1)," ",COUNTIFS('2025数据'!$C$3:$C$181,"&gt;="&amp;DATE(2024,1,1),'2025数据'!$C$3:$C$181,"&lt;="&amp;DATE(2025,1,31),'2025数据'!$B$3:$B$181,$E14))</f>
        <v>0</v>
      </c>
      <c r="G14" s="206">
        <f ca="1">IF($S$1&lt;DATE(2025,2,1)," ",COUNTIFS('2025数据'!$C$3:$C$181,"&gt;="&amp;DATE(2025,2,1),'2025数据'!$C$3:$C$181,"&lt;="&amp;DATE(2025,2,28),'2025数据'!$B$3:$B$181,$E14))</f>
        <v>0</v>
      </c>
      <c r="H14" s="206">
        <f ca="1">IF($S$1&lt;DATE(2025,3,1)," ",COUNTIFS('2025数据'!$C$3:$C$181,"&gt;="&amp;DATE(2025,3,1),'2025数据'!$C$3:$C$181,"&lt;="&amp;DATE(2025,3,31),'2025数据'!$B$3:$B$181,$E14))</f>
        <v>0</v>
      </c>
      <c r="I14" s="206">
        <f ca="1">IF($S$1&lt;DATE(2025,4,1)," ",COUNTIFS('2025数据'!$C$3:$C$181,"&gt;="&amp;DATE(2025,4,1),'2025数据'!$C$3:$C$181,"&lt;="&amp;DATE(2025,4,30),'2025数据'!$B$3:$B$181,$E14))</f>
        <v>0</v>
      </c>
      <c r="J14" s="206">
        <f ca="1">IF($S$1&lt;DATE(2025,5,1)," ",COUNTIFS('2025数据'!$C$3:$C$181,"&gt;="&amp;DATE(2025,5,1),'2025数据'!$C$3:$C$181,"&lt;="&amp;DATE(2025,5,31),'2025数据'!$B$3:$B$181,$E14))</f>
        <v>0</v>
      </c>
      <c r="K14" s="206">
        <f ca="1">IF($S$1&lt;DATE(2025,6,1)," ",COUNTIFS('2025数据'!$C$3:$C$181,"&gt;="&amp;DATE(2025,6,1),'2025数据'!$C$3:$C$181,"&lt;="&amp;DATE(2025,6,30),'2025数据'!$B$3:$B$181,$E14))</f>
        <v>0</v>
      </c>
      <c r="L14" s="206">
        <f ca="1">IF($S$1&lt;DATE(2025,7,1)," ",COUNTIFS('2025数据'!$C$3:$C$181,"&gt;="&amp;DATE(2025,7,1),'2025数据'!$C$3:$C$181,"&lt;="&amp;DATE(2025,7,31),'2025数据'!$B$3:$B$181,$E14))</f>
        <v>0</v>
      </c>
      <c r="M14" s="206">
        <f ca="1">IF($S$1&lt;DATE(2025,8,1)," ",COUNTIFS('2025数据'!$C$3:$C$181,"&gt;="&amp;DATE(2025,8,1),'2025数据'!$C$3:$C$181,"&lt;="&amp;DATE(2025,8,31),'2025数据'!$B$3:$B$181,$E14))</f>
        <v>0</v>
      </c>
      <c r="N14" s="206">
        <f ca="1">IF($S$1&lt;DATE(2025,9,1)," ",COUNTIFS('2025数据'!$C$3:$C$181,"&gt;="&amp;DATE(2025,9,1),'2025数据'!$C$3:$C$181,"&lt;="&amp;DATE(2025,9,30),'2025数据'!$B$3:$B$181,$E14))</f>
        <v>0</v>
      </c>
      <c r="O14" s="206">
        <f ca="1">IF($S$1&lt;DATE(2025,10,1)," ",COUNTIFS('2025数据'!$C$3:$C$181,"&gt;="&amp;DATE(2025,10,1),'2025数据'!$C$3:$C$181,"&lt;="&amp;DATE(2025,10,31),'2025数据'!$B$3:$B$181,$E14))</f>
        <v>0</v>
      </c>
      <c r="P14" s="208">
        <f ca="1">IF($S$1&lt;DATE(2025,11,1)," ",COUNTIFS('2025数据'!$C$3:$C$181,"&gt;="&amp;DATE(2025,11,1),'2025数据'!$C$3:$C$181,"&lt;="&amp;DATE(2025,11,30),'2025数据'!$B$3:$B$181,$E14))</f>
        <v>0</v>
      </c>
      <c r="Q14" s="208">
        <f ca="1">IF($S$1&lt;DATE(2025,12,1)," ",COUNTIFS('2025数据'!$C$3:$C$181,"&gt;="&amp;DATE(2025,12,1),'2025数据'!$C$3:$C$181,"&lt;="&amp;DATE(2025,12,31),'2025数据'!$B$3:$B$181,$E14))</f>
        <v>0</v>
      </c>
    </row>
    <row r="15" ht="24" customHeight="1" spans="1:17">
      <c r="A15" s="99" t="s">
        <v>289</v>
      </c>
      <c r="B15" s="99" t="s">
        <v>290</v>
      </c>
      <c r="C15" s="99" t="s">
        <v>291</v>
      </c>
      <c r="D15" s="100" t="s">
        <v>292</v>
      </c>
      <c r="E15" s="100" t="s">
        <v>295</v>
      </c>
      <c r="F15" s="204">
        <f ca="1">IF($S$1&lt;DATE(2025,1,1)," ",SUM(F16:F18))</f>
        <v>6</v>
      </c>
      <c r="G15" s="204">
        <f ca="1">IF($S$1&lt;DATE(2025,2,1)," ",SUM(G16:G18))</f>
        <v>1</v>
      </c>
      <c r="H15" s="204">
        <f ca="1">IF($S$1&lt;DATE(2025,3,1)," ",SUM(H16:H18))</f>
        <v>4</v>
      </c>
      <c r="I15" s="204">
        <f ca="1">IF($S$1&lt;DATE(2025,4,1)," ",SUM(I16:I18))</f>
        <v>4</v>
      </c>
      <c r="J15" s="204">
        <f ca="1">IF($S$1&lt;DATE(2025,5,1)," ",SUM(J16:J18))</f>
        <v>1</v>
      </c>
      <c r="K15" s="204">
        <f ca="1">IF($S$1&lt;DATE(2025,6,1)," ",SUM(K16:K18))</f>
        <v>4</v>
      </c>
      <c r="L15" s="204">
        <f ca="1">IF($S$1&lt;DATE(2025,7,1)," ",SUM(L16:L18))</f>
        <v>5</v>
      </c>
      <c r="M15" s="204">
        <f ca="1">IF($S$1&lt;DATE(2025,8,1)," ",SUM(M16:M18))</f>
        <v>5</v>
      </c>
      <c r="N15" s="204">
        <f ca="1">IF($S$1&lt;DATE(2025,9,1)," ",SUM(N16:N18))</f>
        <v>5</v>
      </c>
      <c r="O15" s="204">
        <f ca="1">IF($S$1&lt;DATE(2025,10,1)," ",SUM(O16:O18))</f>
        <v>7</v>
      </c>
      <c r="P15" s="204">
        <f ca="1">IF($S$1&lt;DATE(2025,11,1)," ",SUM(P16:P18))</f>
        <v>7</v>
      </c>
      <c r="Q15" s="204">
        <f ca="1">IF($S$1&lt;DATE(2025,12,1)," ",SUM(Q16:Q18))</f>
        <v>3</v>
      </c>
    </row>
    <row r="16" ht="24" customHeight="1" spans="1:17">
      <c r="A16" s="99" t="s">
        <v>289</v>
      </c>
      <c r="B16" s="99" t="s">
        <v>290</v>
      </c>
      <c r="C16" s="99" t="s">
        <v>291</v>
      </c>
      <c r="D16" s="48" t="s">
        <v>296</v>
      </c>
      <c r="E16" s="48" t="s">
        <v>90</v>
      </c>
      <c r="F16" s="205">
        <f ca="1">IF($S$1&lt;DATE(2025,1,1)," ",COUNTIFS('2025数据'!$C$3:$C$181,"&gt;="&amp;DATE(2024,1,1),'2025数据'!$C$3:$C$181,"&lt;="&amp;DATE(2025,1,31),'2025数据'!$AF$3:$AF$181,$E16))</f>
        <v>1</v>
      </c>
      <c r="G16" s="205">
        <f ca="1">IF($S$1&lt;DATE(2025,2,1)," ",COUNTIFS('2025数据'!$C$3:$C$181,"&gt;="&amp;DATE(2025,2,1),'2025数据'!$C$3:$C$181,"&lt;="&amp;DATE(2025,2,28),'2025数据'!$AF$3:$AF$181,$E16))</f>
        <v>1</v>
      </c>
      <c r="H16" s="205">
        <f ca="1">IF($S$1&lt;DATE(2025,3,1)," ",COUNTIFS('2025数据'!$C$3:$C$181,"&gt;="&amp;DATE(2025,3,1),'2025数据'!$C$3:$C$181,"&lt;="&amp;DATE(2025,3,31),'2025数据'!$AF$3:$AF$181,$E16))</f>
        <v>1</v>
      </c>
      <c r="I16" s="205">
        <f ca="1">IF($S$1&lt;DATE(2025,4,1)," ",COUNTIFS('2025数据'!$C$3:$C$181,"&gt;="&amp;DATE(2025,4,1),'2025数据'!$C$3:$C$181,"&lt;="&amp;DATE(2025,4,30),'2025数据'!$AF$3:$AF$181,$E16))</f>
        <v>3</v>
      </c>
      <c r="J16" s="205">
        <f ca="1">IF($S$1&lt;DATE(2025,5,1)," ",COUNTIFS('2025数据'!$C$3:$C$181,"&gt;="&amp;DATE(2025,5,1),'2025数据'!$C$3:$C$181,"&lt;="&amp;DATE(2025,5,31),'2025数据'!$AF$3:$AF$181,$E16))</f>
        <v>0</v>
      </c>
      <c r="K16" s="205">
        <f ca="1">IF($S$1&lt;DATE(2025,6,1)," ",COUNTIFS('2025数据'!$C$3:$C$181,"&gt;="&amp;DATE(2025,6,1),'2025数据'!$C$3:$C$181,"&lt;="&amp;DATE(2025,6,30),'2025数据'!$AF$3:$AF$181,$E16))</f>
        <v>2</v>
      </c>
      <c r="L16" s="205">
        <f ca="1">IF($S$1&lt;DATE(2025,7,1)," ",COUNTIFS('2025数据'!$C$3:$C$181,"&gt;="&amp;DATE(2025,7,1),'2025数据'!$C$3:$C$181,"&lt;="&amp;DATE(2025,7,31),'2025数据'!$AF$3:$AF$181,$E16))</f>
        <v>2</v>
      </c>
      <c r="M16" s="205">
        <f ca="1">IF($S$1&lt;DATE(2025,8,1)," ",COUNTIFS('2025数据'!$C$3:$C$181,"&gt;="&amp;DATE(2025,8,1),'2025数据'!$C$3:$C$181,"&lt;="&amp;DATE(2025,8,31),'2025数据'!$AF$3:$AF$181,$E16))</f>
        <v>2</v>
      </c>
      <c r="N16" s="205">
        <f ca="1">IF($S$1&lt;DATE(2025,9,1)," ",COUNTIFS('2025数据'!$C$3:$C$181,"&gt;="&amp;DATE(2025,9,1),'2025数据'!$C$3:$C$181,"&lt;="&amp;DATE(2025,9,30),'2025数据'!$AF$3:$AF$181,$E16))</f>
        <v>3</v>
      </c>
      <c r="O16" s="205">
        <f ca="1">IF($S$1&lt;DATE(2025,10,1)," ",COUNTIFS('2025数据'!$C$3:$C$181,"&gt;="&amp;DATE(2025,10,1),'2025数据'!$C$3:$C$181,"&lt;="&amp;DATE(2025,10,31),'2025数据'!$AF$3:$AF$181,$E16))</f>
        <v>0</v>
      </c>
      <c r="P16" s="207">
        <f ca="1">IF($S$1&lt;DATE(2025,11,1)," ",COUNTIFS('2025数据'!$C$3:$C$181,"&gt;="&amp;DATE(2025,11,1),'2025数据'!$C$3:$C$181,"&lt;="&amp;DATE(2025,11,30),'2025数据'!$AF$3:$AF$181,$E16))</f>
        <v>1</v>
      </c>
      <c r="Q16" s="207">
        <f ca="1">IF($S$1&lt;DATE(2025,12,1)," ",COUNTIFS('2025数据'!$C$3:$C$181,"&gt;="&amp;DATE(2025,12,1),'2025数据'!$C$3:$C$181,"&lt;="&amp;DATE(2025,12,31),'2025数据'!$AF$3:$AF$181,$E16))</f>
        <v>2</v>
      </c>
    </row>
    <row r="17" ht="24" customHeight="1" spans="1:17">
      <c r="A17" s="99" t="s">
        <v>289</v>
      </c>
      <c r="B17" s="99" t="s">
        <v>290</v>
      </c>
      <c r="C17" s="99" t="s">
        <v>291</v>
      </c>
      <c r="D17" s="48" t="s">
        <v>296</v>
      </c>
      <c r="E17" s="48" t="s">
        <v>82</v>
      </c>
      <c r="F17" s="205">
        <f ca="1">IF($S$1&lt;DATE(2025,1,1)," ",COUNTIFS('2025数据'!$C$3:$C$181,"&gt;="&amp;DATE(2024,1,1),'2025数据'!$C$3:$C$181,"&lt;="&amp;DATE(2025,1,31),'2025数据'!$AF$3:$AF$181,$E17))</f>
        <v>3</v>
      </c>
      <c r="G17" s="205">
        <f ca="1">IF($S$1&lt;DATE(2025,2,1)," ",COUNTIFS('2025数据'!$C$3:$C$181,"&gt;="&amp;DATE(2025,2,1),'2025数据'!$C$3:$C$181,"&lt;="&amp;DATE(2025,2,28),'2025数据'!$AF$3:$AF$181,$E17))</f>
        <v>0</v>
      </c>
      <c r="H17" s="205">
        <f ca="1">IF($S$1&lt;DATE(2025,3,1)," ",COUNTIFS('2025数据'!$C$3:$C$181,"&gt;="&amp;DATE(2025,3,1),'2025数据'!$C$3:$C$181,"&lt;="&amp;DATE(2025,3,31),'2025数据'!$AF$3:$AF$181,$E17))</f>
        <v>3</v>
      </c>
      <c r="I17" s="205">
        <f ca="1">IF($S$1&lt;DATE(2025,4,1)," ",COUNTIFS('2025数据'!$C$3:$C$181,"&gt;="&amp;DATE(2025,4,1),'2025数据'!$C$3:$C$181,"&lt;="&amp;DATE(2025,4,30),'2025数据'!$AF$3:$AF$181,$E17))</f>
        <v>1</v>
      </c>
      <c r="J17" s="205">
        <f ca="1">IF($S$1&lt;DATE(2025,5,1)," ",COUNTIFS('2025数据'!$C$3:$C$181,"&gt;="&amp;DATE(2025,5,1),'2025数据'!$C$3:$C$181,"&lt;="&amp;DATE(2025,5,31),'2025数据'!$AF$3:$AF$181,$E17))</f>
        <v>0</v>
      </c>
      <c r="K17" s="205">
        <f ca="1">IF($S$1&lt;DATE(2025,6,1)," ",COUNTIFS('2025数据'!$C$3:$C$181,"&gt;="&amp;DATE(2025,6,1),'2025数据'!$C$3:$C$181,"&lt;="&amp;DATE(2025,6,30),'2025数据'!$AF$3:$AF$181,$E17))</f>
        <v>1</v>
      </c>
      <c r="L17" s="205">
        <f ca="1">IF($S$1&lt;DATE(2025,7,1)," ",COUNTIFS('2025数据'!$C$3:$C$181,"&gt;="&amp;DATE(2025,7,1),'2025数据'!$C$3:$C$181,"&lt;="&amp;DATE(2025,7,31),'2025数据'!$AF$3:$AF$181,$E17))</f>
        <v>0</v>
      </c>
      <c r="M17" s="205">
        <f ca="1">IF($S$1&lt;DATE(2025,8,1)," ",COUNTIFS('2025数据'!$C$3:$C$181,"&gt;="&amp;DATE(2025,8,1),'2025数据'!$C$3:$C$181,"&lt;="&amp;DATE(2025,8,31),'2025数据'!$AF$3:$AF$181,$E17))</f>
        <v>2</v>
      </c>
      <c r="N17" s="205">
        <f ca="1">IF($S$1&lt;DATE(2025,9,1)," ",COUNTIFS('2025数据'!$C$3:$C$181,"&gt;="&amp;DATE(2025,9,1),'2025数据'!$C$3:$C$181,"&lt;="&amp;DATE(2025,9,30),'2025数据'!$AF$3:$AF$181,$E17))</f>
        <v>0</v>
      </c>
      <c r="O17" s="205">
        <f ca="1">IF($S$1&lt;DATE(2025,10,1)," ",COUNTIFS('2025数据'!$C$3:$C$181,"&gt;="&amp;DATE(2025,10,1),'2025数据'!$C$3:$C$181,"&lt;="&amp;DATE(2025,10,31),'2025数据'!$AF$3:$AF$181,$E17))</f>
        <v>5</v>
      </c>
      <c r="P17" s="207">
        <f ca="1">IF($S$1&lt;DATE(2025,11,1)," ",COUNTIFS('2025数据'!$C$3:$C$181,"&gt;="&amp;DATE(2025,11,1),'2025数据'!$C$3:$C$181,"&lt;="&amp;DATE(2025,11,30),'2025数据'!$AF$3:$AF$181,$E17))</f>
        <v>2</v>
      </c>
      <c r="Q17" s="207">
        <f ca="1">IF($S$1&lt;DATE(2025,12,1)," ",COUNTIFS('2025数据'!$C$3:$C$181,"&gt;="&amp;DATE(2025,12,1),'2025数据'!$C$3:$C$181,"&lt;="&amp;DATE(2025,12,31),'2025数据'!$AF$3:$AF$181,$E17))</f>
        <v>1</v>
      </c>
    </row>
    <row r="18" ht="24" customHeight="1" spans="1:17">
      <c r="A18" s="99" t="s">
        <v>289</v>
      </c>
      <c r="B18" s="99" t="s">
        <v>290</v>
      </c>
      <c r="C18" s="99" t="s">
        <v>291</v>
      </c>
      <c r="D18" s="48" t="s">
        <v>296</v>
      </c>
      <c r="E18" s="48" t="s">
        <v>86</v>
      </c>
      <c r="F18" s="205">
        <f ca="1">IF($S$1&lt;DATE(2025,1,1)," ",COUNTIFS('2025数据'!$C$3:$C$181,"&gt;="&amp;DATE(2024,1,1),'2025数据'!$C$3:$C$181,"&lt;="&amp;DATE(2025,1,31),'2025数据'!$AF$3:$AF$181,$E18))</f>
        <v>2</v>
      </c>
      <c r="G18" s="205">
        <f ca="1">IF($S$1&lt;DATE(2025,2,1)," ",COUNTIFS('2025数据'!$C$3:$C$181,"&gt;="&amp;DATE(2025,2,1),'2025数据'!$C$3:$C$181,"&lt;="&amp;DATE(2025,2,28),'2025数据'!$AF$3:$AF$181,$E18))</f>
        <v>0</v>
      </c>
      <c r="H18" s="205">
        <f ca="1">IF($S$1&lt;DATE(2025,3,1)," ",COUNTIFS('2025数据'!$C$3:$C$181,"&gt;="&amp;DATE(2025,3,1),'2025数据'!$C$3:$C$181,"&lt;="&amp;DATE(2025,3,31),'2025数据'!$AF$3:$AF$181,$E18))</f>
        <v>0</v>
      </c>
      <c r="I18" s="205">
        <f ca="1">IF($S$1&lt;DATE(2025,4,1)," ",COUNTIFS('2025数据'!$C$3:$C$181,"&gt;="&amp;DATE(2025,4,1),'2025数据'!$C$3:$C$181,"&lt;="&amp;DATE(2025,4,30),'2025数据'!$AF$3:$AF$181,$E18))</f>
        <v>0</v>
      </c>
      <c r="J18" s="205">
        <f ca="1">IF($S$1&lt;DATE(2025,5,1)," ",COUNTIFS('2025数据'!$C$3:$C$181,"&gt;="&amp;DATE(2025,5,1),'2025数据'!$C$3:$C$181,"&lt;="&amp;DATE(2025,5,31),'2025数据'!$AF$3:$AF$181,$E18))</f>
        <v>1</v>
      </c>
      <c r="K18" s="205">
        <f ca="1">IF($S$1&lt;DATE(2025,6,1)," ",COUNTIFS('2025数据'!$C$3:$C$181,"&gt;="&amp;DATE(2025,6,1),'2025数据'!$C$3:$C$181,"&lt;="&amp;DATE(2025,6,30),'2025数据'!$AF$3:$AF$181,$E18))</f>
        <v>1</v>
      </c>
      <c r="L18" s="205">
        <f ca="1">IF($S$1&lt;DATE(2025,7,1)," ",COUNTIFS('2025数据'!$C$3:$C$181,"&gt;="&amp;DATE(2025,7,1),'2025数据'!$C$3:$C$181,"&lt;="&amp;DATE(2025,7,31),'2025数据'!$AF$3:$AF$181,$E18))</f>
        <v>3</v>
      </c>
      <c r="M18" s="205">
        <f ca="1">IF($S$1&lt;DATE(2025,8,1)," ",COUNTIFS('2025数据'!$C$3:$C$181,"&gt;="&amp;DATE(2025,8,1),'2025数据'!$C$3:$C$181,"&lt;="&amp;DATE(2025,8,31),'2025数据'!$AF$3:$AF$181,$E18))</f>
        <v>1</v>
      </c>
      <c r="N18" s="205">
        <f ca="1">IF($S$1&lt;DATE(2025,9,1)," ",COUNTIFS('2025数据'!$C$3:$C$181,"&gt;="&amp;DATE(2025,9,1),'2025数据'!$C$3:$C$181,"&lt;="&amp;DATE(2025,9,30),'2025数据'!$AF$3:$AF$181,$E18))</f>
        <v>2</v>
      </c>
      <c r="O18" s="205">
        <f ca="1">IF($S$1&lt;DATE(2025,10,1)," ",COUNTIFS('2025数据'!$C$3:$C$181,"&gt;="&amp;DATE(2025,10,1),'2025数据'!$C$3:$C$181,"&lt;="&amp;DATE(2025,10,31),'2025数据'!$AF$3:$AF$181,$E18))</f>
        <v>2</v>
      </c>
      <c r="P18" s="207">
        <f ca="1">IF($S$1&lt;DATE(2025,11,1)," ",COUNTIFS('2025数据'!$C$3:$C$181,"&gt;="&amp;DATE(2025,11,1),'2025数据'!$C$3:$C$181,"&lt;="&amp;DATE(2025,11,30),'2025数据'!$AF$3:$AF$181,$E18))</f>
        <v>4</v>
      </c>
      <c r="Q18" s="207">
        <f ca="1">IF($S$1&lt;DATE(2025,12,1)," ",COUNTIFS('2025数据'!$C$3:$C$181,"&gt;="&amp;DATE(2025,12,1),'2025数据'!$C$3:$C$181,"&lt;="&amp;DATE(2025,12,31),'2025数据'!$AF$3:$AF$181,$E18))</f>
        <v>0</v>
      </c>
    </row>
    <row r="19" ht="24" customHeight="1" spans="1:17">
      <c r="A19" s="99" t="s">
        <v>289</v>
      </c>
      <c r="B19" s="99" t="s">
        <v>290</v>
      </c>
      <c r="C19" s="99" t="s">
        <v>291</v>
      </c>
      <c r="D19" s="100" t="s">
        <v>292</v>
      </c>
      <c r="E19" s="100" t="s">
        <v>297</v>
      </c>
      <c r="F19" s="204">
        <f ca="1">IF($S$1&lt;DATE(2025,1,1)," ",SUM(F20:F23))</f>
        <v>4</v>
      </c>
      <c r="G19" s="204">
        <f ca="1">IF($S$1&lt;DATE(2025,2,1)," ",SUM(G20:G23))</f>
        <v>1</v>
      </c>
      <c r="H19" s="204">
        <f ca="1">IF($S$1&lt;DATE(2025,3,1)," ",SUM(H20:H23))</f>
        <v>4</v>
      </c>
      <c r="I19" s="204">
        <f ca="1">IF($S$1&lt;DATE(2025,4,1)," ",SUM(I20:I23))</f>
        <v>4</v>
      </c>
      <c r="J19" s="204">
        <f ca="1">IF($S$1&lt;DATE(2025,5,1)," ",SUM(J20:J23))</f>
        <v>0</v>
      </c>
      <c r="K19" s="204">
        <f ca="1">IF($S$1&lt;DATE(2025,6,1)," ",SUM(K20:K23))</f>
        <v>4</v>
      </c>
      <c r="L19" s="204">
        <f ca="1">IF($S$1&lt;DATE(2025,7,1)," ",SUM(L20:L23))</f>
        <v>6</v>
      </c>
      <c r="M19" s="204">
        <f ca="1">IF($S$1&lt;DATE(2025,8,1)," ",SUM(M20:M23))</f>
        <v>4</v>
      </c>
      <c r="N19" s="204">
        <f ca="1">IF($S$1&lt;DATE(2025,9,1)," ",SUM(N20:N23))</f>
        <v>5</v>
      </c>
      <c r="O19" s="204">
        <f ca="1">IF($S$1&lt;DATE(2025,10,1)," ",SUM(O20:O23))</f>
        <v>7</v>
      </c>
      <c r="P19" s="204">
        <f ca="1">IF($S$1&lt;DATE(2025,11,1)," ",SUM(P20:P23))</f>
        <v>8</v>
      </c>
      <c r="Q19" s="204">
        <f ca="1">IF($S$1&lt;DATE(2025,12,1)," ",SUM(Q20:Q23))</f>
        <v>2</v>
      </c>
    </row>
    <row r="20" ht="24" customHeight="1" spans="1:17">
      <c r="A20" s="99" t="s">
        <v>289</v>
      </c>
      <c r="B20" s="99" t="s">
        <v>290</v>
      </c>
      <c r="C20" s="99" t="s">
        <v>291</v>
      </c>
      <c r="D20" s="48" t="s">
        <v>298</v>
      </c>
      <c r="E20" s="48" t="s">
        <v>97</v>
      </c>
      <c r="F20" s="205">
        <f ca="1">IF($S$1&lt;DATE(2025,1,1)," ",COUNTIFS('2025数据'!$C$3:$C$181,"&gt;="&amp;DATE(2024,1,1),'2025数据'!$C$3:$C$181,"&lt;="&amp;DATE(2025,1,31),'2025数据'!$AG$3:$AG$181,$E20))</f>
        <v>2</v>
      </c>
      <c r="G20" s="205">
        <f ca="1">IF($S$1&lt;DATE(2025,2,1)," ",COUNTIFS('2025数据'!$C$3:$C$181,"&gt;="&amp;DATE(2025,2,1),'2025数据'!$C$3:$C$181,"&lt;="&amp;DATE(2025,2,28),'2025数据'!$AG$3:$AG$181,$E20))</f>
        <v>0</v>
      </c>
      <c r="H20" s="205">
        <f ca="1">IF($S$1&lt;DATE(2025,3,1)," ",COUNTIFS('2025数据'!$C$3:$C$181,"&gt;="&amp;DATE(2025,3,1),'2025数据'!$C$3:$C$181,"&lt;="&amp;DATE(2025,3,31),'2025数据'!$AG$3:$AG$181,$E20))</f>
        <v>1</v>
      </c>
      <c r="I20" s="205">
        <f ca="1">IF($S$1&lt;DATE(2025,4,1)," ",COUNTIFS('2025数据'!$C$3:$C$181,"&gt;="&amp;DATE(2025,4,1),'2025数据'!$C$3:$C$181,"&lt;="&amp;DATE(2025,4,30),'2025数据'!$AG$3:$AG$181,$E20))</f>
        <v>1</v>
      </c>
      <c r="J20" s="205">
        <f ca="1">IF($S$1&lt;DATE(2025,5,1)," ",COUNTIFS('2025数据'!$C$3:$C$181,"&gt;="&amp;DATE(2025,5,1),'2025数据'!$C$3:$C$181,"&lt;="&amp;DATE(2025,5,31),'2025数据'!$AG$3:$AG$181,$E20))</f>
        <v>0</v>
      </c>
      <c r="K20" s="205">
        <f ca="1">IF($S$1&lt;DATE(2025,6,1)," ",COUNTIFS('2025数据'!$C$3:$C$181,"&gt;="&amp;DATE(2025,6,1),'2025数据'!$C$3:$C$181,"&lt;="&amp;DATE(2025,6,30),'2025数据'!$AG$3:$AG$181,$E20))</f>
        <v>0</v>
      </c>
      <c r="L20" s="205">
        <f ca="1">IF($S$1&lt;DATE(2025,7,1)," ",COUNTIFS('2025数据'!$C$3:$C$181,"&gt;="&amp;DATE(2025,7,1),'2025数据'!$C$3:$C$181,"&lt;="&amp;DATE(2025,7,31),'2025数据'!$AG$3:$AG$181,$E20))</f>
        <v>1</v>
      </c>
      <c r="M20" s="205">
        <f ca="1">IF($S$1&lt;DATE(2025,8,1)," ",COUNTIFS('2025数据'!$C$3:$C$181,"&gt;="&amp;DATE(2025,8,1),'2025数据'!$C$3:$C$181,"&lt;="&amp;DATE(2025,8,31),'2025数据'!$AG$3:$AG$181,$E20))</f>
        <v>0</v>
      </c>
      <c r="N20" s="205">
        <f ca="1">IF($S$1&lt;DATE(2025,9,1)," ",COUNTIFS('2025数据'!$C$3:$C$181,"&gt;="&amp;DATE(2025,9,1),'2025数据'!$C$3:$C$181,"&lt;="&amp;DATE(2025,9,30),'2025数据'!$AG$3:$AG$181,$E20))</f>
        <v>0</v>
      </c>
      <c r="O20" s="205">
        <f ca="1">IF($S$1&lt;DATE(2025,10,1)," ",COUNTIFS('2025数据'!$C$3:$C$181,"&gt;="&amp;DATE(2025,10,1),'2025数据'!$C$3:$C$181,"&lt;="&amp;DATE(2025,10,31),'2025数据'!$AG$3:$AG$181,$E20))</f>
        <v>3</v>
      </c>
      <c r="P20" s="207">
        <f ca="1">IF($S$1&lt;DATE(2025,11,1)," ",COUNTIFS('2025数据'!$C$3:$C$181,"&gt;="&amp;DATE(2025,11,1),'2025数据'!$C$3:$C$181,"&lt;="&amp;DATE(2025,11,30),'2025数据'!$AG$3:$AG$181,$E20))</f>
        <v>2</v>
      </c>
      <c r="Q20" s="207">
        <f ca="1">IF($S$1&lt;DATE(2025,12,1)," ",COUNTIFS('2025数据'!$C$3:$C$181,"&gt;="&amp;DATE(2025,12,1),'2025数据'!$C$3:$C$181,"&lt;="&amp;DATE(2025,12,31),'2025数据'!$AG$3:$AG$181,$E20))</f>
        <v>0</v>
      </c>
    </row>
    <row r="21" ht="24" customHeight="1" spans="1:17">
      <c r="A21" s="99" t="s">
        <v>289</v>
      </c>
      <c r="B21" s="99" t="s">
        <v>290</v>
      </c>
      <c r="C21" s="99" t="s">
        <v>291</v>
      </c>
      <c r="D21" s="48" t="s">
        <v>298</v>
      </c>
      <c r="E21" s="48" t="s">
        <v>87</v>
      </c>
      <c r="F21" s="205">
        <f ca="1">IF($S$1&lt;DATE(2025,1,1)," ",COUNTIFS('2025数据'!$C$3:$C$181,"&gt;="&amp;DATE(2024,1,1),'2025数据'!$C$3:$C$181,"&lt;="&amp;DATE(2025,1,31),'2025数据'!$AG$3:$AG$181,$E21))</f>
        <v>1</v>
      </c>
      <c r="G21" s="205">
        <f ca="1">IF($S$1&lt;DATE(2025,2,1)," ",COUNTIFS('2025数据'!$C$3:$C$181,"&gt;="&amp;DATE(2025,2,1),'2025数据'!$C$3:$C$181,"&lt;="&amp;DATE(2025,2,28),'2025数据'!$AG$3:$AG$181,$E21))</f>
        <v>1</v>
      </c>
      <c r="H21" s="205">
        <f ca="1">IF($S$1&lt;DATE(2025,3,1)," ",COUNTIFS('2025数据'!$C$3:$C$181,"&gt;="&amp;DATE(2025,3,1),'2025数据'!$C$3:$C$181,"&lt;="&amp;DATE(2025,3,31),'2025数据'!$AG$3:$AG$181,$E21))</f>
        <v>3</v>
      </c>
      <c r="I21" s="205">
        <f ca="1">IF($S$1&lt;DATE(2025,4,1)," ",COUNTIFS('2025数据'!$C$3:$C$181,"&gt;="&amp;DATE(2025,4,1),'2025数据'!$C$3:$C$181,"&lt;="&amp;DATE(2025,4,30),'2025数据'!$AG$3:$AG$181,$E21))</f>
        <v>2</v>
      </c>
      <c r="J21" s="205">
        <f ca="1">IF($S$1&lt;DATE(2025,5,1)," ",COUNTIFS('2025数据'!$C$3:$C$181,"&gt;="&amp;DATE(2025,5,1),'2025数据'!$C$3:$C$181,"&lt;="&amp;DATE(2025,5,31),'2025数据'!$AG$3:$AG$181,$E21))</f>
        <v>0</v>
      </c>
      <c r="K21" s="205">
        <f ca="1">IF($S$1&lt;DATE(2025,6,1)," ",COUNTIFS('2025数据'!$C$3:$C$181,"&gt;="&amp;DATE(2025,6,1),'2025数据'!$C$3:$C$181,"&lt;="&amp;DATE(2025,6,30),'2025数据'!$AG$3:$AG$181,$E21))</f>
        <v>3</v>
      </c>
      <c r="L21" s="205">
        <f ca="1">IF($S$1&lt;DATE(2025,7,1)," ",COUNTIFS('2025数据'!$C$3:$C$181,"&gt;="&amp;DATE(2025,7,1),'2025数据'!$C$3:$C$181,"&lt;="&amp;DATE(2025,7,31),'2025数据'!$AG$3:$AG$181,$E21))</f>
        <v>5</v>
      </c>
      <c r="M21" s="205">
        <f ca="1">IF($S$1&lt;DATE(2025,8,1)," ",COUNTIFS('2025数据'!$C$3:$C$181,"&gt;="&amp;DATE(2025,8,1),'2025数据'!$C$3:$C$181,"&lt;="&amp;DATE(2025,8,31),'2025数据'!$AG$3:$AG$181,$E21))</f>
        <v>3</v>
      </c>
      <c r="N21" s="205">
        <f ca="1">IF($S$1&lt;DATE(2025,9,1)," ",COUNTIFS('2025数据'!$C$3:$C$181,"&gt;="&amp;DATE(2025,9,1),'2025数据'!$C$3:$C$181,"&lt;="&amp;DATE(2025,9,30),'2025数据'!$AG$3:$AG$181,$E21))</f>
        <v>3</v>
      </c>
      <c r="O21" s="205">
        <f ca="1">IF($S$1&lt;DATE(2025,10,1)," ",COUNTIFS('2025数据'!$C$3:$C$181,"&gt;="&amp;DATE(2025,10,1),'2025数据'!$C$3:$C$181,"&lt;="&amp;DATE(2025,10,31),'2025数据'!$AG$3:$AG$181,$E21))</f>
        <v>2</v>
      </c>
      <c r="P21" s="207">
        <f ca="1">IF($S$1&lt;DATE(2025,11,1)," ",COUNTIFS('2025数据'!$C$3:$C$181,"&gt;="&amp;DATE(2025,11,1),'2025数据'!$C$3:$C$181,"&lt;="&amp;DATE(2025,11,30),'2025数据'!$AG$3:$AG$181,$E21))</f>
        <v>4</v>
      </c>
      <c r="Q21" s="207">
        <f ca="1">IF($S$1&lt;DATE(2025,12,1)," ",COUNTIFS('2025数据'!$C$3:$C$181,"&gt;="&amp;DATE(2025,12,1),'2025数据'!$C$3:$C$181,"&lt;="&amp;DATE(2025,12,31),'2025数据'!$AG$3:$AG$181,$E21))</f>
        <v>1</v>
      </c>
    </row>
    <row r="22" ht="24" customHeight="1" spans="1:17">
      <c r="A22" s="99" t="s">
        <v>289</v>
      </c>
      <c r="B22" s="99" t="s">
        <v>290</v>
      </c>
      <c r="C22" s="99" t="s">
        <v>291</v>
      </c>
      <c r="D22" s="48" t="s">
        <v>298</v>
      </c>
      <c r="E22" s="48" t="s">
        <v>149</v>
      </c>
      <c r="F22" s="205">
        <f ca="1">IF($S$1&lt;DATE(2025,1,1)," ",COUNTIFS('2025数据'!$C$3:$C$181,"&gt;="&amp;DATE(2024,1,1),'2025数据'!$C$3:$C$181,"&lt;="&amp;DATE(2025,1,31),'2025数据'!$AG$3:$AG$181,$E22))</f>
        <v>0</v>
      </c>
      <c r="G22" s="205">
        <f ca="1">IF($S$1&lt;DATE(2025,2,1)," ",COUNTIFS('2025数据'!$C$3:$C$181,"&gt;="&amp;DATE(2025,2,1),'2025数据'!$C$3:$C$181,"&lt;="&amp;DATE(2025,2,28),'2025数据'!$AG$3:$AG$181,$E22))</f>
        <v>0</v>
      </c>
      <c r="H22" s="205">
        <f ca="1">IF($S$1&lt;DATE(2025,3,1)," ",COUNTIFS('2025数据'!$C$3:$C$181,"&gt;="&amp;DATE(2025,3,1),'2025数据'!$C$3:$C$181,"&lt;="&amp;DATE(2025,3,31),'2025数据'!$AG$3:$AG$181,$E22))</f>
        <v>0</v>
      </c>
      <c r="I22" s="205">
        <f ca="1">IF($S$1&lt;DATE(2025,4,1)," ",COUNTIFS('2025数据'!$C$3:$C$181,"&gt;="&amp;DATE(2025,4,1),'2025数据'!$C$3:$C$181,"&lt;="&amp;DATE(2025,4,30),'2025数据'!$AG$3:$AG$181,$E22))</f>
        <v>0</v>
      </c>
      <c r="J22" s="205">
        <f ca="1">IF($S$1&lt;DATE(2025,5,1)," ",COUNTIFS('2025数据'!$C$3:$C$181,"&gt;="&amp;DATE(2025,5,1),'2025数据'!$C$3:$C$181,"&lt;="&amp;DATE(2025,5,31),'2025数据'!$AG$3:$AG$181,$E22))</f>
        <v>0</v>
      </c>
      <c r="K22" s="205">
        <f ca="1">IF($S$1&lt;DATE(2025,6,1)," ",COUNTIFS('2025数据'!$C$3:$C$181,"&gt;="&amp;DATE(2025,6,1),'2025数据'!$C$3:$C$181,"&lt;="&amp;DATE(2025,6,30),'2025数据'!$AG$3:$AG$181,$E22))</f>
        <v>1</v>
      </c>
      <c r="L22" s="205">
        <f ca="1">IF($S$1&lt;DATE(2025,7,1)," ",COUNTIFS('2025数据'!$C$3:$C$181,"&gt;="&amp;DATE(2025,7,1),'2025数据'!$C$3:$C$181,"&lt;="&amp;DATE(2025,7,31),'2025数据'!$AG$3:$AG$181,$E22))</f>
        <v>0</v>
      </c>
      <c r="M22" s="205">
        <f ca="1">IF($S$1&lt;DATE(2025,8,1)," ",COUNTIFS('2025数据'!$C$3:$C$181,"&gt;="&amp;DATE(2025,8,1),'2025数据'!$C$3:$C$181,"&lt;="&amp;DATE(2025,8,31),'2025数据'!$AG$3:$AG$181,$E22))</f>
        <v>0</v>
      </c>
      <c r="N22" s="205">
        <f ca="1">IF($S$1&lt;DATE(2025,9,1)," ",COUNTIFS('2025数据'!$C$3:$C$181,"&gt;="&amp;DATE(2025,9,1),'2025数据'!$C$3:$C$181,"&lt;="&amp;DATE(2025,9,30),'2025数据'!$AG$3:$AG$181,$E22))</f>
        <v>0</v>
      </c>
      <c r="O22" s="205">
        <f ca="1">IF($S$1&lt;DATE(2025,10,1)," ",COUNTIFS('2025数据'!$C$3:$C$181,"&gt;="&amp;DATE(2025,10,1),'2025数据'!$C$3:$C$181,"&lt;="&amp;DATE(2025,10,31),'2025数据'!$AG$3:$AG$181,$E22))</f>
        <v>0</v>
      </c>
      <c r="P22" s="207">
        <f ca="1">IF($S$1&lt;DATE(2025,11,1)," ",COUNTIFS('2025数据'!$C$3:$C$181,"&gt;="&amp;DATE(2025,11,1),'2025数据'!$C$3:$C$181,"&lt;="&amp;DATE(2025,11,30),'2025数据'!$AG$3:$AG$181,$E22))</f>
        <v>0</v>
      </c>
      <c r="Q22" s="207">
        <f ca="1">IF($S$1&lt;DATE(2025,12,1)," ",COUNTIFS('2025数据'!$C$3:$C$181,"&gt;="&amp;DATE(2025,12,1),'2025数据'!$C$3:$C$181,"&lt;="&amp;DATE(2025,12,31),'2025数据'!$AG$3:$AG$181,$E22))</f>
        <v>0</v>
      </c>
    </row>
    <row r="23" ht="24" customHeight="1" spans="1:17">
      <c r="A23" s="99" t="s">
        <v>289</v>
      </c>
      <c r="B23" s="99" t="s">
        <v>290</v>
      </c>
      <c r="C23" s="99" t="s">
        <v>291</v>
      </c>
      <c r="D23" s="48" t="s">
        <v>298</v>
      </c>
      <c r="E23" s="48" t="s">
        <v>83</v>
      </c>
      <c r="F23" s="205">
        <f ca="1">IF($S$1&lt;DATE(2025,1,1)," ",COUNTIFS('2025数据'!$C$3:$C$181,"&gt;="&amp;DATE(2024,1,1),'2025数据'!$C$3:$C$181,"&lt;="&amp;DATE(2025,1,31),'2025数据'!$AG$3:$AG$181,$E23))</f>
        <v>1</v>
      </c>
      <c r="G23" s="205">
        <f ca="1">IF($S$1&lt;DATE(2025,2,1)," ",COUNTIFS('2025数据'!$C$3:$C$181,"&gt;="&amp;DATE(2025,2,1),'2025数据'!$C$3:$C$181,"&lt;="&amp;DATE(2025,2,28),'2025数据'!$AG$3:$AG$181,$E23))</f>
        <v>0</v>
      </c>
      <c r="H23" s="205">
        <f ca="1">IF($S$1&lt;DATE(2025,3,1)," ",COUNTIFS('2025数据'!$C$3:$C$181,"&gt;="&amp;DATE(2025,3,1),'2025数据'!$C$3:$C$181,"&lt;="&amp;DATE(2025,3,31),'2025数据'!$AG$3:$AG$181,$E23))</f>
        <v>0</v>
      </c>
      <c r="I23" s="205">
        <f ca="1">IF($S$1&lt;DATE(2025,4,1)," ",COUNTIFS('2025数据'!$C$3:$C$181,"&gt;="&amp;DATE(2025,4,1),'2025数据'!$C$3:$C$181,"&lt;="&amp;DATE(2025,4,30),'2025数据'!$AG$3:$AG$181,$E23))</f>
        <v>1</v>
      </c>
      <c r="J23" s="205">
        <f ca="1">IF($S$1&lt;DATE(2025,5,1)," ",COUNTIFS('2025数据'!$C$3:$C$181,"&gt;="&amp;DATE(2025,5,1),'2025数据'!$C$3:$C$181,"&lt;="&amp;DATE(2025,5,31),'2025数据'!$AG$3:$AG$181,$E23))</f>
        <v>0</v>
      </c>
      <c r="K23" s="205">
        <f ca="1">IF($S$1&lt;DATE(2025,6,1)," ",COUNTIFS('2025数据'!$C$3:$C$181,"&gt;="&amp;DATE(2025,6,1),'2025数据'!$C$3:$C$181,"&lt;="&amp;DATE(2025,6,30),'2025数据'!$AG$3:$AG$181,$E23))</f>
        <v>0</v>
      </c>
      <c r="L23" s="205">
        <f ca="1">IF($S$1&lt;DATE(2025,7,1)," ",COUNTIFS('2025数据'!$C$3:$C$181,"&gt;="&amp;DATE(2025,7,1),'2025数据'!$C$3:$C$181,"&lt;="&amp;DATE(2025,7,31),'2025数据'!$AG$3:$AG$181,$E23))</f>
        <v>0</v>
      </c>
      <c r="M23" s="205">
        <f ca="1">IF($S$1&lt;DATE(2025,8,1)," ",COUNTIFS('2025数据'!$C$3:$C$181,"&gt;="&amp;DATE(2025,8,1),'2025数据'!$C$3:$C$181,"&lt;="&amp;DATE(2025,8,31),'2025数据'!$AG$3:$AG$181,$E23))</f>
        <v>1</v>
      </c>
      <c r="N23" s="205">
        <f ca="1">IF($S$1&lt;DATE(2025,9,1)," ",COUNTIFS('2025数据'!$C$3:$C$181,"&gt;="&amp;DATE(2025,9,1),'2025数据'!$C$3:$C$181,"&lt;="&amp;DATE(2025,9,30),'2025数据'!$AG$3:$AG$181,$E23))</f>
        <v>2</v>
      </c>
      <c r="O23" s="205">
        <f ca="1">IF($S$1&lt;DATE(2025,10,1)," ",COUNTIFS('2025数据'!$C$3:$C$181,"&gt;="&amp;DATE(2025,10,1),'2025数据'!$C$3:$C$181,"&lt;="&amp;DATE(2025,10,31),'2025数据'!$AG$3:$AG$181,$E23))</f>
        <v>2</v>
      </c>
      <c r="P23" s="207">
        <f ca="1">IF($S$1&lt;DATE(2025,11,1)," ",COUNTIFS('2025数据'!$C$3:$C$181,"&gt;="&amp;DATE(2025,11,1),'2025数据'!$C$3:$C$181,"&lt;="&amp;DATE(2025,11,30),'2025数据'!$AG$3:$AG$181,$E23))</f>
        <v>2</v>
      </c>
      <c r="Q23" s="207">
        <f ca="1">IF($S$1&lt;DATE(2025,12,1)," ",COUNTIFS('2025数据'!$C$3:$C$181,"&gt;="&amp;DATE(2025,12,1),'2025数据'!$C$3:$C$181,"&lt;="&amp;DATE(2025,12,31),'2025数据'!$AG$3:$AG$181,$E23))</f>
        <v>1</v>
      </c>
    </row>
    <row r="24" ht="24" customHeight="1" spans="1:17">
      <c r="A24" s="99" t="s">
        <v>289</v>
      </c>
      <c r="B24" s="99" t="s">
        <v>299</v>
      </c>
      <c r="C24" s="99" t="s">
        <v>291</v>
      </c>
      <c r="D24" s="100" t="s">
        <v>292</v>
      </c>
      <c r="E24" s="100" t="s">
        <v>300</v>
      </c>
      <c r="F24" s="204">
        <f ca="1">IF($S$1&lt;DATE(2025,1,1)," ",IF((SUM(F25:F31)-MAX(F55,F59))&lt;0,"ERR",SUM(F25:F31)))</f>
        <v>4</v>
      </c>
      <c r="G24" s="204">
        <f ca="1">IF($S$1&lt;DATE(2025,2,1)," ",IF((SUM(G25:G31)-MAX(G55,G59))&lt;0,"ERR",SUM(G25:G31)))</f>
        <v>2</v>
      </c>
      <c r="H24" s="204">
        <f ca="1">IF($S$1&lt;DATE(2025,3,1)," ",IF((SUM(H25:H31)-MAX(H55,H59))&lt;0,"ERR",SUM(H25:H31)))</f>
        <v>1</v>
      </c>
      <c r="I24" s="204">
        <f ca="1">IF($S$1&lt;DATE(2025,4,1)," ",IF((SUM(I25:I31)-MAX(I55,I59))&lt;0,"ERR",SUM(I25:I31)))</f>
        <v>5</v>
      </c>
      <c r="J24" s="204">
        <f ca="1">IF($S$1&lt;DATE(2025,5,1)," ",IF((SUM(J25:J31)-MAX(J55,J59))&lt;0,"ERR",SUM(J25:J31)))</f>
        <v>5</v>
      </c>
      <c r="K24" s="204">
        <f ca="1">IF($S$1&lt;DATE(2025,6,1)," ",IF((SUM(K25:K31)-MAX(K55,K59))&lt;0,"ERR",SUM(K25:K31)))</f>
        <v>2</v>
      </c>
      <c r="L24" s="204">
        <f ca="1">IF($S$1&lt;DATE(2025,7,1)," ",IF((SUM(L25:L31)-MAX(L55,L59))&lt;0,"ERR",SUM(L25:L31)))</f>
        <v>6</v>
      </c>
      <c r="M24" s="204">
        <f ca="1">IF($S$1&lt;DATE(2025,8,1)," ",IF((SUM(M25:M31)-MAX(M55,M59))&lt;0,"ERR",SUM(M25:M31)))</f>
        <v>4</v>
      </c>
      <c r="N24" s="204">
        <f ca="1">IF($S$1&lt;DATE(2025,9,1)," ",IF((SUM(N25:N31)-MAX(N55,N59))&lt;0,"ERR",SUM(N25:N31)))</f>
        <v>4</v>
      </c>
      <c r="O24" s="204">
        <f ca="1">IF($S$1&lt;DATE(2025,10,1)," ",IF((SUM(O25:O31)-MAX(O55,O59))&lt;0,"ERR",SUM(O25:O31)))</f>
        <v>1</v>
      </c>
      <c r="P24" s="204">
        <f ca="1">IF($S$1&lt;DATE(2025,11,1)," ",IF((SUM(P25:P31)-MAX(P55,P59))&lt;0,"ERR",SUM(P25:P31)))</f>
        <v>6</v>
      </c>
      <c r="Q24" s="204">
        <f ca="1">IF($S$1&lt;DATE(2025,12,1)," ",IF((SUM(Q25:Q31)-MAX(Q55,Q59))&lt;0,"ERR",SUM(Q25:Q31)))</f>
        <v>3</v>
      </c>
    </row>
    <row r="25" ht="24" customHeight="1" spans="1:35">
      <c r="A25" s="99" t="s">
        <v>289</v>
      </c>
      <c r="B25" s="99" t="s">
        <v>299</v>
      </c>
      <c r="C25" s="99" t="s">
        <v>291</v>
      </c>
      <c r="D25" s="48" t="s">
        <v>31</v>
      </c>
      <c r="E25" s="48" t="s">
        <v>90</v>
      </c>
      <c r="F25" s="205">
        <f ca="1">IF($S$1&lt;DATE(2025,1,1)," ",COUNTIFS('2025数据'!$D$3:$D$181,"&gt;="&amp;DATE(2024,1,1),'2025数据'!$D$3:$D$181,"&lt;="&amp;DATE(2025,1,31),'2025数据'!$AE$3:$AE$181,$E25))</f>
        <v>0</v>
      </c>
      <c r="G25" s="205">
        <f ca="1">IF($S$1&lt;DATE(2025,2,1)," ",COUNTIFS('2025数据'!$D$3:$D$181,"&gt;="&amp;DATE(2025,2,1),'2025数据'!$D$3:$D$181,"&lt;="&amp;DATE(2025,2,28),'2025数据'!$AE$3:$AE$181,$E25))</f>
        <v>0</v>
      </c>
      <c r="H25" s="205">
        <f ca="1">IF($S$1&lt;DATE(2025,3,1)," ",COUNTIFS('2025数据'!$D$3:$D$181,"&gt;="&amp;DATE(2025,3,1),'2025数据'!$D$3:$D$181,"&lt;="&amp;DATE(2025,3,31),'2025数据'!$AE$3:$AE$181,$E25))</f>
        <v>1</v>
      </c>
      <c r="I25" s="205">
        <f ca="1">IF($S$1&lt;DATE(2025,4,1)," ",COUNTIFS('2025数据'!$D$3:$D$181,"&gt;="&amp;DATE(2025,4,1),'2025数据'!$D$3:$D$181,"&lt;="&amp;DATE(2025,4,30),'2025数据'!$AE$3:$AE$181,$E25))</f>
        <v>2</v>
      </c>
      <c r="J25" s="205">
        <f ca="1">IF($S$1&lt;DATE(2025,5,1)," ",COUNTIFS('2025数据'!$D$3:$D$181,"&gt;="&amp;DATE(2025,5,1),'2025数据'!$D$3:$D$181,"&lt;="&amp;DATE(2025,5,31),'2025数据'!$AE$3:$AE$181,$E25))</f>
        <v>2</v>
      </c>
      <c r="K25" s="205">
        <f ca="1">IF($S$1&lt;DATE(2025,6,1)," ",COUNTIFS('2025数据'!$D$3:$D$181,"&gt;="&amp;DATE(2025,6,1),'2025数据'!$D$3:$D$181,"&lt;="&amp;DATE(2025,6,30),'2025数据'!$AE$3:$AE$181,$E25))</f>
        <v>1</v>
      </c>
      <c r="L25" s="205">
        <f ca="1">IF($S$1&lt;DATE(2025,7,1)," ",COUNTIFS('2025数据'!$D$3:$D$181,"&gt;="&amp;DATE(2025,7,1),'2025数据'!$D$3:$D$181,"&lt;="&amp;DATE(2025,7,31),'2025数据'!$AE$3:$AE$181,$E25))</f>
        <v>1</v>
      </c>
      <c r="M25" s="205">
        <f ca="1">IF($S$1&lt;DATE(2025,8,1)," ",COUNTIFS('2025数据'!$D$3:$D$181,"&gt;="&amp;DATE(2025,8,1),'2025数据'!$D$3:$D$181,"&lt;="&amp;DATE(2025,8,31),'2025数据'!$AE$3:$AE$181,$E25))</f>
        <v>2</v>
      </c>
      <c r="N25" s="205">
        <f ca="1">IF($S$1&lt;DATE(2025,9,1)," ",COUNTIFS('2025数据'!$D$3:$D$181,"&gt;="&amp;DATE(2025,9,1),'2025数据'!$D$3:$D$181,"&lt;="&amp;DATE(2025,9,30),'2025数据'!$AE$3:$AE$181,$E25))</f>
        <v>2</v>
      </c>
      <c r="O25" s="205">
        <f ca="1">IF($S$1&lt;DATE(2025,10,1)," ",COUNTIFS('2025数据'!$D$3:$D$181,"&gt;="&amp;DATE(2025,10,1),'2025数据'!$D$3:$D$181,"&lt;="&amp;DATE(2025,10,31),'2025数据'!$AE$3:$AE$181,$E25))</f>
        <v>1</v>
      </c>
      <c r="P25" s="207">
        <f ca="1">IF($S$1&lt;DATE(2025,11,1)," ",COUNTIFS('2025数据'!$D$3:$D$181,"&gt;="&amp;DATE(2025,11,1),'2025数据'!$D$3:$D$181,"&lt;="&amp;DATE(2025,11,30),'2025数据'!$AE$3:$AE$181,$E25))</f>
        <v>1</v>
      </c>
      <c r="Q25" s="207">
        <f ca="1">IF($S$1&lt;DATE(2025,12,1)," ",COUNTIFS('2025数据'!$D$3:$D$181,"&gt;="&amp;DATE(2025,12,1),'2025数据'!$D$3:$D$181,"&lt;="&amp;DATE(2025,12,31),'2025数据'!$AE$3:$AE$181,$E25))</f>
        <v>1</v>
      </c>
      <c r="R25" s="109"/>
      <c r="S25" s="109"/>
      <c r="T25" s="109"/>
      <c r="U25" s="109"/>
      <c r="V25" s="109"/>
      <c r="W25" s="109"/>
      <c r="X25" s="109"/>
      <c r="Y25" s="109"/>
      <c r="Z25" s="109"/>
      <c r="AA25" s="109"/>
      <c r="AB25" s="109"/>
      <c r="AC25" s="109"/>
      <c r="AD25" s="109"/>
      <c r="AE25" s="109"/>
      <c r="AF25" s="109"/>
      <c r="AG25" s="109"/>
      <c r="AH25" s="109"/>
      <c r="AI25" s="109"/>
    </row>
    <row r="26" ht="24" customHeight="1" spans="1:17">
      <c r="A26" s="99" t="s">
        <v>289</v>
      </c>
      <c r="B26" s="99" t="s">
        <v>299</v>
      </c>
      <c r="C26" s="99" t="s">
        <v>291</v>
      </c>
      <c r="D26" s="48" t="s">
        <v>31</v>
      </c>
      <c r="E26" s="48" t="s">
        <v>82</v>
      </c>
      <c r="F26" s="205">
        <f ca="1">IF($S$1&lt;DATE(2025,1,1)," ",COUNTIFS('2025数据'!$D$3:$D$181,"&gt;="&amp;DATE(2024,1,1),'2025数据'!$D$3:$D$181,"&lt;="&amp;DATE(2025,1,31),'2025数据'!$AE$3:$AE$181,$E26))</f>
        <v>1</v>
      </c>
      <c r="G26" s="205">
        <f ca="1">IF($S$1&lt;DATE(2025,2,1)," ",COUNTIFS('2025数据'!$D$3:$D$181,"&gt;="&amp;DATE(2025,2,1),'2025数据'!$D$3:$D$181,"&lt;="&amp;DATE(2025,2,28),'2025数据'!$AE$3:$AE$181,$E26))</f>
        <v>1</v>
      </c>
      <c r="H26" s="205">
        <f ca="1">IF($S$1&lt;DATE(2025,3,1)," ",COUNTIFS('2025数据'!$D$3:$D$181,"&gt;="&amp;DATE(2025,3,1),'2025数据'!$D$3:$D$181,"&lt;="&amp;DATE(2025,3,31),'2025数据'!$AE$3:$AE$181,$E26))</f>
        <v>0</v>
      </c>
      <c r="I26" s="205">
        <f ca="1">IF($S$1&lt;DATE(2025,4,1)," ",COUNTIFS('2025数据'!$D$3:$D$181,"&gt;="&amp;DATE(2025,4,1),'2025数据'!$D$3:$D$181,"&lt;="&amp;DATE(2025,4,30),'2025数据'!$AE$3:$AE$181,$E26))</f>
        <v>3</v>
      </c>
      <c r="J26" s="205">
        <f ca="1">IF($S$1&lt;DATE(2025,5,1)," ",COUNTIFS('2025数据'!$D$3:$D$181,"&gt;="&amp;DATE(2025,5,1),'2025数据'!$D$3:$D$181,"&lt;="&amp;DATE(2025,5,31),'2025数据'!$AE$3:$AE$181,$E26))</f>
        <v>1</v>
      </c>
      <c r="K26" s="205">
        <f ca="1">IF($S$1&lt;DATE(2025,6,1)," ",COUNTIFS('2025数据'!$D$3:$D$181,"&gt;="&amp;DATE(2025,6,1),'2025数据'!$D$3:$D$181,"&lt;="&amp;DATE(2025,6,30),'2025数据'!$AE$3:$AE$181,$E26))</f>
        <v>0</v>
      </c>
      <c r="L26" s="205">
        <f ca="1">IF($S$1&lt;DATE(2025,7,1)," ",COUNTIFS('2025数据'!$D$3:$D$181,"&gt;="&amp;DATE(2025,7,1),'2025数据'!$D$3:$D$181,"&lt;="&amp;DATE(2025,7,31),'2025数据'!$AE$3:$AE$181,$E26))</f>
        <v>1</v>
      </c>
      <c r="M26" s="205">
        <f ca="1">IF($S$1&lt;DATE(2025,8,1)," ",COUNTIFS('2025数据'!$D$3:$D$181,"&gt;="&amp;DATE(2025,8,1),'2025数据'!$D$3:$D$181,"&lt;="&amp;DATE(2025,8,31),'2025数据'!$AE$3:$AE$181,$E26))</f>
        <v>0</v>
      </c>
      <c r="N26" s="205">
        <f ca="1">IF($S$1&lt;DATE(2025,9,1)," ",COUNTIFS('2025数据'!$D$3:$D$181,"&gt;="&amp;DATE(2025,9,1),'2025数据'!$D$3:$D$181,"&lt;="&amp;DATE(2025,9,30),'2025数据'!$AE$3:$AE$181,$E26))</f>
        <v>1</v>
      </c>
      <c r="O26" s="205">
        <f ca="1">IF($S$1&lt;DATE(2025,10,1)," ",COUNTIFS('2025数据'!$D$3:$D$181,"&gt;="&amp;DATE(2025,10,1),'2025数据'!$D$3:$D$181,"&lt;="&amp;DATE(2025,10,31),'2025数据'!$AE$3:$AE$181,$E26))</f>
        <v>0</v>
      </c>
      <c r="P26" s="207">
        <f ca="1">IF($S$1&lt;DATE(2025,11,1)," ",COUNTIFS('2025数据'!$D$3:$D$181,"&gt;="&amp;DATE(2025,11,1),'2025数据'!$D$3:$D$181,"&lt;="&amp;DATE(2025,11,30),'2025数据'!$AE$3:$AE$181,$E26))</f>
        <v>3</v>
      </c>
      <c r="Q26" s="207">
        <f ca="1">IF($S$1&lt;DATE(2025,12,1)," ",COUNTIFS('2025数据'!$D$3:$D$181,"&gt;="&amp;DATE(2025,12,1),'2025数据'!$D$3:$D$181,"&lt;="&amp;DATE(2025,12,31),'2025数据'!$AE$3:$AE$181,$E26))</f>
        <v>0</v>
      </c>
    </row>
    <row r="27" ht="24" customHeight="1" spans="1:17">
      <c r="A27" s="99" t="s">
        <v>289</v>
      </c>
      <c r="B27" s="99" t="s">
        <v>299</v>
      </c>
      <c r="C27" s="99" t="s">
        <v>291</v>
      </c>
      <c r="D27" s="48" t="s">
        <v>31</v>
      </c>
      <c r="E27" s="48" t="s">
        <v>86</v>
      </c>
      <c r="F27" s="205">
        <f ca="1">IF($S$1&lt;DATE(2025,1,1)," ",COUNTIFS('2025数据'!$D$3:$D$181,"&gt;="&amp;DATE(2024,1,1),'2025数据'!$D$3:$D$181,"&lt;="&amp;DATE(2025,1,31),'2025数据'!$AE$3:$AE$181,$E27))</f>
        <v>0</v>
      </c>
      <c r="G27" s="205">
        <f ca="1">IF($S$1&lt;DATE(2025,2,1)," ",COUNTIFS('2025数据'!$D$3:$D$181,"&gt;="&amp;DATE(2025,2,1),'2025数据'!$D$3:$D$181,"&lt;="&amp;DATE(2025,2,28),'2025数据'!$AE$3:$AE$181,$E27))</f>
        <v>0</v>
      </c>
      <c r="H27" s="205">
        <f ca="1">IF($S$1&lt;DATE(2025,3,1)," ",COUNTIFS('2025数据'!$D$3:$D$181,"&gt;="&amp;DATE(2025,3,1),'2025数据'!$D$3:$D$181,"&lt;="&amp;DATE(2025,3,31),'2025数据'!$AE$3:$AE$181,$E27))</f>
        <v>0</v>
      </c>
      <c r="I27" s="205">
        <f ca="1">IF($S$1&lt;DATE(2025,4,1)," ",COUNTIFS('2025数据'!$D$3:$D$181,"&gt;="&amp;DATE(2025,4,1),'2025数据'!$D$3:$D$181,"&lt;="&amp;DATE(2025,4,30),'2025数据'!$AE$3:$AE$181,$E27))</f>
        <v>0</v>
      </c>
      <c r="J27" s="205">
        <f ca="1">IF($S$1&lt;DATE(2025,5,1)," ",COUNTIFS('2025数据'!$D$3:$D$181,"&gt;="&amp;DATE(2025,5,1),'2025数据'!$D$3:$D$181,"&lt;="&amp;DATE(2025,5,31),'2025数据'!$AE$3:$AE$181,$E27))</f>
        <v>1</v>
      </c>
      <c r="K27" s="205">
        <f ca="1">IF($S$1&lt;DATE(2025,6,1)," ",COUNTIFS('2025数据'!$D$3:$D$181,"&gt;="&amp;DATE(2025,6,1),'2025数据'!$D$3:$D$181,"&lt;="&amp;DATE(2025,6,30),'2025数据'!$AE$3:$AE$181,$E27))</f>
        <v>0</v>
      </c>
      <c r="L27" s="205">
        <f ca="1">IF($S$1&lt;DATE(2025,7,1)," ",COUNTIFS('2025数据'!$D$3:$D$181,"&gt;="&amp;DATE(2025,7,1),'2025数据'!$D$3:$D$181,"&lt;="&amp;DATE(2025,7,31),'2025数据'!$AE$3:$AE$181,$E27))</f>
        <v>3</v>
      </c>
      <c r="M27" s="205">
        <f ca="1">IF($S$1&lt;DATE(2025,8,1)," ",COUNTIFS('2025数据'!$D$3:$D$181,"&gt;="&amp;DATE(2025,8,1),'2025数据'!$D$3:$D$181,"&lt;="&amp;DATE(2025,8,31),'2025数据'!$AE$3:$AE$181,$E27))</f>
        <v>1</v>
      </c>
      <c r="N27" s="205">
        <f ca="1">IF($S$1&lt;DATE(2025,9,1)," ",COUNTIFS('2025数据'!$D$3:$D$181,"&gt;="&amp;DATE(2025,9,1),'2025数据'!$D$3:$D$181,"&lt;="&amp;DATE(2025,9,30),'2025数据'!$AE$3:$AE$181,$E27))</f>
        <v>0</v>
      </c>
      <c r="O27" s="205">
        <f ca="1">IF($S$1&lt;DATE(2025,10,1)," ",COUNTIFS('2025数据'!$D$3:$D$181,"&gt;="&amp;DATE(2025,10,1),'2025数据'!$D$3:$D$181,"&lt;="&amp;DATE(2025,10,31),'2025数据'!$AE$3:$AE$181,$E27))</f>
        <v>0</v>
      </c>
      <c r="P27" s="207">
        <f ca="1">IF($S$1&lt;DATE(2025,11,1)," ",COUNTIFS('2025数据'!$D$3:$D$181,"&gt;="&amp;DATE(2025,11,1),'2025数据'!$D$3:$D$181,"&lt;="&amp;DATE(2025,11,30),'2025数据'!$AE$3:$AE$181,$E27))</f>
        <v>1</v>
      </c>
      <c r="Q27" s="207">
        <f ca="1">IF($S$1&lt;DATE(2025,12,1)," ",COUNTIFS('2025数据'!$D$3:$D$181,"&gt;="&amp;DATE(2025,12,1),'2025数据'!$D$3:$D$181,"&lt;="&amp;DATE(2025,12,31),'2025数据'!$AE$3:$AE$181,$E27))</f>
        <v>1</v>
      </c>
    </row>
    <row r="28" ht="24" customHeight="1" spans="1:17">
      <c r="A28" s="99" t="s">
        <v>289</v>
      </c>
      <c r="B28" s="99" t="s">
        <v>299</v>
      </c>
      <c r="C28" s="99" t="s">
        <v>291</v>
      </c>
      <c r="D28" s="48" t="s">
        <v>31</v>
      </c>
      <c r="E28" s="48" t="s">
        <v>97</v>
      </c>
      <c r="F28" s="205">
        <f ca="1">IF($S$1&lt;DATE(2025,1,1)," ",COUNTIFS('2025数据'!$D$3:$D$181,"&gt;="&amp;DATE(2024,1,1),'2025数据'!$D$3:$D$181,"&lt;="&amp;DATE(2025,1,31),'2025数据'!$AE$3:$AE$181,$E28))</f>
        <v>1</v>
      </c>
      <c r="G28" s="205">
        <f ca="1">IF($S$1&lt;DATE(2025,2,1)," ",COUNTIFS('2025数据'!$D$3:$D$181,"&gt;="&amp;DATE(2025,2,1),'2025数据'!$D$3:$D$181,"&lt;="&amp;DATE(2025,2,28),'2025数据'!$AE$3:$AE$181,$E28))</f>
        <v>1</v>
      </c>
      <c r="H28" s="205">
        <f ca="1">IF($S$1&lt;DATE(2025,3,1)," ",COUNTIFS('2025数据'!$D$3:$D$181,"&gt;="&amp;DATE(2025,3,1),'2025数据'!$D$3:$D$181,"&lt;="&amp;DATE(2025,3,31),'2025数据'!$AE$3:$AE$181,$E28))</f>
        <v>0</v>
      </c>
      <c r="I28" s="205">
        <f ca="1">IF($S$1&lt;DATE(2025,4,1)," ",COUNTIFS('2025数据'!$D$3:$D$181,"&gt;="&amp;DATE(2025,4,1),'2025数据'!$D$3:$D$181,"&lt;="&amp;DATE(2025,4,30),'2025数据'!$AE$3:$AE$181,$E28))</f>
        <v>0</v>
      </c>
      <c r="J28" s="205">
        <f ca="1">IF($S$1&lt;DATE(2025,5,1)," ",COUNTIFS('2025数据'!$D$3:$D$181,"&gt;="&amp;DATE(2025,5,1),'2025数据'!$D$3:$D$181,"&lt;="&amp;DATE(2025,5,31),'2025数据'!$AE$3:$AE$181,$E28))</f>
        <v>1</v>
      </c>
      <c r="K28" s="205">
        <f ca="1">IF($S$1&lt;DATE(2025,6,1)," ",COUNTIFS('2025数据'!$D$3:$D$181,"&gt;="&amp;DATE(2025,6,1),'2025数据'!$D$3:$D$181,"&lt;="&amp;DATE(2025,6,30),'2025数据'!$AE$3:$AE$181,$E28))</f>
        <v>0</v>
      </c>
      <c r="L28" s="205">
        <f ca="1">IF($S$1&lt;DATE(2025,7,1)," ",COUNTIFS('2025数据'!$D$3:$D$181,"&gt;="&amp;DATE(2025,7,1),'2025数据'!$D$3:$D$181,"&lt;="&amp;DATE(2025,7,31),'2025数据'!$AE$3:$AE$181,$E28))</f>
        <v>0</v>
      </c>
      <c r="M28" s="205">
        <f ca="1">IF($S$1&lt;DATE(2025,8,1)," ",COUNTIFS('2025数据'!$D$3:$D$181,"&gt;="&amp;DATE(2025,8,1),'2025数据'!$D$3:$D$181,"&lt;="&amp;DATE(2025,8,31),'2025数据'!$AE$3:$AE$181,$E28))</f>
        <v>1</v>
      </c>
      <c r="N28" s="205">
        <f ca="1">IF($S$1&lt;DATE(2025,9,1)," ",COUNTIFS('2025数据'!$D$3:$D$181,"&gt;="&amp;DATE(2025,9,1),'2025数据'!$D$3:$D$181,"&lt;="&amp;DATE(2025,9,30),'2025数据'!$AE$3:$AE$181,$E28))</f>
        <v>0</v>
      </c>
      <c r="O28" s="205">
        <f ca="1">IF($S$1&lt;DATE(2025,10,1)," ",COUNTIFS('2025数据'!$D$3:$D$181,"&gt;="&amp;DATE(2025,10,1),'2025数据'!$D$3:$D$181,"&lt;="&amp;DATE(2025,10,31),'2025数据'!$AE$3:$AE$181,$E28))</f>
        <v>0</v>
      </c>
      <c r="P28" s="207">
        <f ca="1">IF($S$1&lt;DATE(2025,11,1)," ",COUNTIFS('2025数据'!$D$3:$D$181,"&gt;="&amp;DATE(2025,11,1),'2025数据'!$D$3:$D$181,"&lt;="&amp;DATE(2025,11,30),'2025数据'!$AE$3:$AE$181,$E28))</f>
        <v>1</v>
      </c>
      <c r="Q28" s="207">
        <f ca="1">IF($S$1&lt;DATE(2025,12,1)," ",COUNTIFS('2025数据'!$D$3:$D$181,"&gt;="&amp;DATE(2025,12,1),'2025数据'!$D$3:$D$181,"&lt;="&amp;DATE(2025,12,31),'2025数据'!$AE$3:$AE$181,$E28))</f>
        <v>1</v>
      </c>
    </row>
    <row r="29" ht="24" customHeight="1" spans="1:17">
      <c r="A29" s="99" t="s">
        <v>289</v>
      </c>
      <c r="B29" s="99" t="s">
        <v>299</v>
      </c>
      <c r="C29" s="99" t="s">
        <v>291</v>
      </c>
      <c r="D29" s="48" t="s">
        <v>31</v>
      </c>
      <c r="E29" s="48" t="s">
        <v>87</v>
      </c>
      <c r="F29" s="205">
        <f ca="1">IF($S$1&lt;DATE(2025,1,1)," ",COUNTIFS('2025数据'!$D$3:$D$181,"&gt;="&amp;DATE(2024,1,1),'2025数据'!$D$3:$D$181,"&lt;="&amp;DATE(2025,1,31),'2025数据'!$AE$3:$AE$181,$E29))</f>
        <v>1</v>
      </c>
      <c r="G29" s="205">
        <f ca="1">IF($S$1&lt;DATE(2025,2,1)," ",COUNTIFS('2025数据'!$D$3:$D$181,"&gt;="&amp;DATE(2025,2,1),'2025数据'!$D$3:$D$181,"&lt;="&amp;DATE(2025,2,28),'2025数据'!$AE$3:$AE$181,$E29))</f>
        <v>0</v>
      </c>
      <c r="H29" s="205">
        <f ca="1">IF($S$1&lt;DATE(2025,3,1)," ",COUNTIFS('2025数据'!$D$3:$D$181,"&gt;="&amp;DATE(2025,3,1),'2025数据'!$D$3:$D$181,"&lt;="&amp;DATE(2025,3,31),'2025数据'!$AE$3:$AE$181,$E29))</f>
        <v>0</v>
      </c>
      <c r="I29" s="205">
        <f ca="1">IF($S$1&lt;DATE(2025,4,1)," ",COUNTIFS('2025数据'!$D$3:$D$181,"&gt;="&amp;DATE(2025,4,1),'2025数据'!$D$3:$D$181,"&lt;="&amp;DATE(2025,4,30),'2025数据'!$AE$3:$AE$181,$E29))</f>
        <v>0</v>
      </c>
      <c r="J29" s="205">
        <f ca="1">IF($S$1&lt;DATE(2025,5,1)," ",COUNTIFS('2025数据'!$D$3:$D$181,"&gt;="&amp;DATE(2025,5,1),'2025数据'!$D$3:$D$181,"&lt;="&amp;DATE(2025,5,31),'2025数据'!$AE$3:$AE$181,$E29))</f>
        <v>0</v>
      </c>
      <c r="K29" s="205">
        <f ca="1">IF($S$1&lt;DATE(2025,6,1)," ",COUNTIFS('2025数据'!$D$3:$D$181,"&gt;="&amp;DATE(2025,6,1),'2025数据'!$D$3:$D$181,"&lt;="&amp;DATE(2025,6,30),'2025数据'!$AE$3:$AE$181,$E29))</f>
        <v>0</v>
      </c>
      <c r="L29" s="205">
        <f ca="1">IF($S$1&lt;DATE(2025,7,1)," ",COUNTIFS('2025数据'!$D$3:$D$181,"&gt;="&amp;DATE(2025,7,1),'2025数据'!$D$3:$D$181,"&lt;="&amp;DATE(2025,7,31),'2025数据'!$AE$3:$AE$181,$E29))</f>
        <v>1</v>
      </c>
      <c r="M29" s="205">
        <f ca="1">IF($S$1&lt;DATE(2025,8,1)," ",COUNTIFS('2025数据'!$D$3:$D$181,"&gt;="&amp;DATE(2025,8,1),'2025数据'!$D$3:$D$181,"&lt;="&amp;DATE(2025,8,31),'2025数据'!$AE$3:$AE$181,$E29))</f>
        <v>0</v>
      </c>
      <c r="N29" s="205">
        <f ca="1">IF($S$1&lt;DATE(2025,9,1)," ",COUNTIFS('2025数据'!$D$3:$D$181,"&gt;="&amp;DATE(2025,9,1),'2025数据'!$D$3:$D$181,"&lt;="&amp;DATE(2025,9,30),'2025数据'!$AE$3:$AE$181,$E29))</f>
        <v>1</v>
      </c>
      <c r="O29" s="205">
        <f ca="1">IF($S$1&lt;DATE(2025,10,1)," ",COUNTIFS('2025数据'!$D$3:$D$181,"&gt;="&amp;DATE(2025,10,1),'2025数据'!$D$3:$D$181,"&lt;="&amp;DATE(2025,10,31),'2025数据'!$AE$3:$AE$181,$E29))</f>
        <v>0</v>
      </c>
      <c r="P29" s="207">
        <f ca="1">IF($S$1&lt;DATE(2025,11,1)," ",COUNTIFS('2025数据'!$D$3:$D$181,"&gt;="&amp;DATE(2025,11,1),'2025数据'!$D$3:$D$181,"&lt;="&amp;DATE(2025,11,30),'2025数据'!$AE$3:$AE$181,$E29))</f>
        <v>0</v>
      </c>
      <c r="Q29" s="207">
        <f ca="1">IF($S$1&lt;DATE(2025,12,1)," ",COUNTIFS('2025数据'!$D$3:$D$181,"&gt;="&amp;DATE(2025,12,1),'2025数据'!$D$3:$D$181,"&lt;="&amp;DATE(2025,12,31),'2025数据'!$AE$3:$AE$181,$E29))</f>
        <v>0</v>
      </c>
    </row>
    <row r="30" ht="24" customHeight="1" spans="1:17">
      <c r="A30" s="99" t="s">
        <v>289</v>
      </c>
      <c r="B30" s="99" t="s">
        <v>299</v>
      </c>
      <c r="C30" s="99" t="s">
        <v>291</v>
      </c>
      <c r="D30" s="48" t="s">
        <v>31</v>
      </c>
      <c r="E30" s="48" t="s">
        <v>149</v>
      </c>
      <c r="F30" s="205">
        <f ca="1">IF($S$1&lt;DATE(2025,1,1)," ",COUNTIFS('2025数据'!$D$3:$D$181,"&gt;="&amp;DATE(2024,1,1),'2025数据'!$D$3:$D$181,"&lt;="&amp;DATE(2025,1,31),'2025数据'!$AE$3:$AE$181,$E30))</f>
        <v>0</v>
      </c>
      <c r="G30" s="205">
        <f ca="1">IF($S$1&lt;DATE(2025,2,1)," ",COUNTIFS('2025数据'!$D$3:$D$181,"&gt;="&amp;DATE(2025,2,1),'2025数据'!$D$3:$D$181,"&lt;="&amp;DATE(2025,2,28),'2025数据'!$AE$3:$AE$181,$E30))</f>
        <v>0</v>
      </c>
      <c r="H30" s="205">
        <f ca="1">IF($S$1&lt;DATE(2025,3,1)," ",COUNTIFS('2025数据'!$D$3:$D$181,"&gt;="&amp;DATE(2025,3,1),'2025数据'!$D$3:$D$181,"&lt;="&amp;DATE(2025,3,31),'2025数据'!$AE$3:$AE$181,$E30))</f>
        <v>0</v>
      </c>
      <c r="I30" s="205">
        <f ca="1">IF($S$1&lt;DATE(2025,4,1)," ",COUNTIFS('2025数据'!$D$3:$D$181,"&gt;="&amp;DATE(2025,4,1),'2025数据'!$D$3:$D$181,"&lt;="&amp;DATE(2025,4,30),'2025数据'!$AE$3:$AE$181,$E30))</f>
        <v>0</v>
      </c>
      <c r="J30" s="205">
        <f ca="1">IF($S$1&lt;DATE(2025,5,1)," ",COUNTIFS('2025数据'!$D$3:$D$181,"&gt;="&amp;DATE(2025,5,1),'2025数据'!$D$3:$D$181,"&lt;="&amp;DATE(2025,5,31),'2025数据'!$AE$3:$AE$181,$E30))</f>
        <v>0</v>
      </c>
      <c r="K30" s="205">
        <f ca="1">IF($S$1&lt;DATE(2025,6,1)," ",COUNTIFS('2025数据'!$D$3:$D$181,"&gt;="&amp;DATE(2025,6,1),'2025数据'!$D$3:$D$181,"&lt;="&amp;DATE(2025,6,30),'2025数据'!$AE$3:$AE$181,$E30))</f>
        <v>1</v>
      </c>
      <c r="L30" s="205">
        <f ca="1">IF($S$1&lt;DATE(2025,7,1)," ",COUNTIFS('2025数据'!$D$3:$D$181,"&gt;="&amp;DATE(2025,7,1),'2025数据'!$D$3:$D$181,"&lt;="&amp;DATE(2025,7,31),'2025数据'!$AE$3:$AE$181,$E30))</f>
        <v>0</v>
      </c>
      <c r="M30" s="205">
        <f ca="1">IF($S$1&lt;DATE(2025,8,1)," ",COUNTIFS('2025数据'!$D$3:$D$181,"&gt;="&amp;DATE(2025,8,1),'2025数据'!$D$3:$D$181,"&lt;="&amp;DATE(2025,8,31),'2025数据'!$AE$3:$AE$181,$E30))</f>
        <v>0</v>
      </c>
      <c r="N30" s="205">
        <f ca="1">IF($S$1&lt;DATE(2025,9,1)," ",COUNTIFS('2025数据'!$D$3:$D$181,"&gt;="&amp;DATE(2025,9,1),'2025数据'!$D$3:$D$181,"&lt;="&amp;DATE(2025,9,30),'2025数据'!$AE$3:$AE$181,$E30))</f>
        <v>0</v>
      </c>
      <c r="O30" s="205">
        <f ca="1">IF($S$1&lt;DATE(2025,10,1)," ",COUNTIFS('2025数据'!$D$3:$D$181,"&gt;="&amp;DATE(2025,10,1),'2025数据'!$D$3:$D$181,"&lt;="&amp;DATE(2025,10,31),'2025数据'!$AE$3:$AE$181,$E30))</f>
        <v>0</v>
      </c>
      <c r="P30" s="207">
        <f ca="1">IF($S$1&lt;DATE(2025,11,1)," ",COUNTIFS('2025数据'!$D$3:$D$181,"&gt;="&amp;DATE(2025,11,1),'2025数据'!$D$3:$D$181,"&lt;="&amp;DATE(2025,11,30),'2025数据'!$AE$3:$AE$181,$E30))</f>
        <v>0</v>
      </c>
      <c r="Q30" s="207">
        <f ca="1">IF($S$1&lt;DATE(2025,12,1)," ",COUNTIFS('2025数据'!$D$3:$D$181,"&gt;="&amp;DATE(2025,12,1),'2025数据'!$D$3:$D$181,"&lt;="&amp;DATE(2025,12,31),'2025数据'!$AE$3:$AE$181,$E30))</f>
        <v>0</v>
      </c>
    </row>
    <row r="31" ht="24" customHeight="1" spans="1:17">
      <c r="A31" s="99" t="s">
        <v>289</v>
      </c>
      <c r="B31" s="99" t="s">
        <v>299</v>
      </c>
      <c r="C31" s="99" t="s">
        <v>291</v>
      </c>
      <c r="D31" s="48" t="s">
        <v>31</v>
      </c>
      <c r="E31" s="48" t="s">
        <v>83</v>
      </c>
      <c r="F31" s="205">
        <f ca="1">IF($S$1&lt;DATE(2025,1,1)," ",COUNTIFS('2025数据'!$D$3:$D$181,"&gt;="&amp;DATE(2024,1,1),'2025数据'!$D$3:$D$181,"&lt;="&amp;DATE(2025,1,31),'2025数据'!$AE$3:$AE$181,$E31))</f>
        <v>1</v>
      </c>
      <c r="G31" s="205">
        <f ca="1">IF($S$1&lt;DATE(2025,2,1)," ",COUNTIFS('2025数据'!$D$3:$D$181,"&gt;="&amp;DATE(2025,2,1),'2025数据'!$D$3:$D$181,"&lt;="&amp;DATE(2025,2,28),'2025数据'!$AE$3:$AE$181,$E31))</f>
        <v>0</v>
      </c>
      <c r="H31" s="205">
        <f ca="1">IF($S$1&lt;DATE(2025,3,1)," ",COUNTIFS('2025数据'!$D$3:$D$181,"&gt;="&amp;DATE(2025,3,1),'2025数据'!$D$3:$D$181,"&lt;="&amp;DATE(2025,3,31),'2025数据'!$AE$3:$AE$181,$E31))</f>
        <v>0</v>
      </c>
      <c r="I31" s="205">
        <f ca="1">IF($S$1&lt;DATE(2025,4,1)," ",COUNTIFS('2025数据'!$D$3:$D$181,"&gt;="&amp;DATE(2025,4,1),'2025数据'!$D$3:$D$181,"&lt;="&amp;DATE(2025,4,30),'2025数据'!$AE$3:$AE$181,$E31))</f>
        <v>0</v>
      </c>
      <c r="J31" s="205">
        <f ca="1">IF($S$1&lt;DATE(2025,5,1)," ",COUNTIFS('2025数据'!$D$3:$D$181,"&gt;="&amp;DATE(2025,5,1),'2025数据'!$D$3:$D$181,"&lt;="&amp;DATE(2025,5,31),'2025数据'!$AE$3:$AE$181,$E31))</f>
        <v>0</v>
      </c>
      <c r="K31" s="205">
        <f ca="1">IF($S$1&lt;DATE(2025,6,1)," ",COUNTIFS('2025数据'!$D$3:$D$181,"&gt;="&amp;DATE(2025,6,1),'2025数据'!$D$3:$D$181,"&lt;="&amp;DATE(2025,6,30),'2025数据'!$AE$3:$AE$181,$E31))</f>
        <v>0</v>
      </c>
      <c r="L31" s="205">
        <f ca="1">IF($S$1&lt;DATE(2025,7,1)," ",COUNTIFS('2025数据'!$D$3:$D$181,"&gt;="&amp;DATE(2025,7,1),'2025数据'!$D$3:$D$181,"&lt;="&amp;DATE(2025,7,31),'2025数据'!$AE$3:$AE$181,$E31))</f>
        <v>0</v>
      </c>
      <c r="M31" s="205">
        <f ca="1">IF($S$1&lt;DATE(2025,8,1)," ",COUNTIFS('2025数据'!$D$3:$D$181,"&gt;="&amp;DATE(2025,8,1),'2025数据'!$D$3:$D$181,"&lt;="&amp;DATE(2025,8,31),'2025数据'!$AE$3:$AE$181,$E31))</f>
        <v>0</v>
      </c>
      <c r="N31" s="205">
        <f ca="1">IF($S$1&lt;DATE(2025,9,1)," ",COUNTIFS('2025数据'!$D$3:$D$181,"&gt;="&amp;DATE(2025,9,1),'2025数据'!$D$3:$D$181,"&lt;="&amp;DATE(2025,9,30),'2025数据'!$AE$3:$AE$181,$E31))</f>
        <v>0</v>
      </c>
      <c r="O31" s="205">
        <f ca="1">IF($S$1&lt;DATE(2025,10,1)," ",COUNTIFS('2025数据'!$D$3:$D$181,"&gt;="&amp;DATE(2025,10,1),'2025数据'!$D$3:$D$181,"&lt;="&amp;DATE(2025,10,31),'2025数据'!$AE$3:$AE$181,$E31))</f>
        <v>0</v>
      </c>
      <c r="P31" s="207">
        <f ca="1">IF($S$1&lt;DATE(2025,11,1)," ",COUNTIFS('2025数据'!$D$3:$D$181,"&gt;="&amp;DATE(2025,11,1),'2025数据'!$D$3:$D$181,"&lt;="&amp;DATE(2025,11,30),'2025数据'!$AE$3:$AE$181,$E31))</f>
        <v>0</v>
      </c>
      <c r="Q31" s="207">
        <f ca="1">IF($S$1&lt;DATE(2025,12,1)," ",COUNTIFS('2025数据'!$D$3:$D$181,"&gt;="&amp;DATE(2025,12,1),'2025数据'!$D$3:$D$181,"&lt;="&amp;DATE(2025,12,31),'2025数据'!$AE$3:$AE$181,$E31))</f>
        <v>0</v>
      </c>
    </row>
    <row r="32" ht="24" customHeight="1" spans="1:17">
      <c r="A32" s="99" t="s">
        <v>289</v>
      </c>
      <c r="B32" s="99" t="s">
        <v>299</v>
      </c>
      <c r="C32" s="99" t="s">
        <v>291</v>
      </c>
      <c r="D32" s="47" t="s">
        <v>294</v>
      </c>
      <c r="E32" s="47" t="s">
        <v>93</v>
      </c>
      <c r="F32" s="206">
        <f ca="1">IF($S$1&lt;DATE(2025,1,1)," ",COUNTIFS('2025数据'!$D$3:$D$181,"&gt;="&amp;DATE(2024,1,1),'2025数据'!$D$3:$D$181,"&lt;="&amp;DATE(2025,1,31),'2025数据'!$B$3:$B$181,$E32))</f>
        <v>4</v>
      </c>
      <c r="G32" s="206">
        <f ca="1">IF($S$1&lt;DATE(2025,2,1)," ",COUNTIFS('2025数据'!$D$3:$D$181,"&gt;="&amp;DATE(2025,2,1),'2025数据'!$D$3:$D$181,"&lt;="&amp;DATE(2025,2,28),'2025数据'!$B$3:$B$181,$E32))</f>
        <v>0</v>
      </c>
      <c r="H32" s="206">
        <f ca="1">IF($S$1&lt;DATE(2025,3,1)," ",COUNTIFS('2025数据'!$D$3:$D$181,"&gt;="&amp;DATE(2025,3,1),'2025数据'!$D$3:$D$181,"&lt;="&amp;DATE(2025,3,31),'2025数据'!$B$3:$B$181,$E32))</f>
        <v>0</v>
      </c>
      <c r="I32" s="206">
        <f ca="1">IF($S$1&lt;DATE(2025,4,1)," ",COUNTIFS('2025数据'!$D$3:$D$181,"&gt;="&amp;DATE(2025,4,1),'2025数据'!$D$3:$D$181,"&lt;="&amp;DATE(2025,4,30),'2025数据'!$B$3:$B$181,$E32))</f>
        <v>2</v>
      </c>
      <c r="J32" s="206">
        <f ca="1">IF($S$1&lt;DATE(2025,5,1)," ",COUNTIFS('2025数据'!$D$3:$D$181,"&gt;="&amp;DATE(2025,5,1),'2025数据'!$D$3:$D$181,"&lt;="&amp;DATE(2025,5,31),'2025数据'!$B$3:$B$181,$E32))</f>
        <v>1</v>
      </c>
      <c r="K32" s="206">
        <f ca="1">IF($S$1&lt;DATE(2025,6,1)," ",COUNTIFS('2025数据'!$D$3:$D$181,"&gt;="&amp;DATE(2025,6,1),'2025数据'!$D$3:$D$181,"&lt;="&amp;DATE(2025,6,30),'2025数据'!$B$3:$B$181,$E32))</f>
        <v>1</v>
      </c>
      <c r="L32" s="206">
        <f ca="1">IF($S$1&lt;DATE(2025,7,1)," ",COUNTIFS('2025数据'!$D$3:$D$181,"&gt;="&amp;DATE(2025,7,1),'2025数据'!$D$3:$D$181,"&lt;="&amp;DATE(2025,7,31),'2025数据'!$B$3:$B$181,$E32))</f>
        <v>1</v>
      </c>
      <c r="M32" s="206">
        <f ca="1">IF($S$1&lt;DATE(2025,8,1)," ",COUNTIFS('2025数据'!$D$3:$D$181,"&gt;="&amp;DATE(2025,8,1),'2025数据'!$D$3:$D$181,"&lt;="&amp;DATE(2025,8,31),'2025数据'!$B$3:$B$181,$E32))</f>
        <v>2</v>
      </c>
      <c r="N32" s="206">
        <f ca="1">IF($S$1&lt;DATE(2025,9,1)," ",COUNTIFS('2025数据'!$D$3:$D$181,"&gt;="&amp;DATE(2025,9,1),'2025数据'!$D$3:$D$181,"&lt;="&amp;DATE(2025,9,30),'2025数据'!$B$3:$B$181,$E32))</f>
        <v>2</v>
      </c>
      <c r="O32" s="206">
        <f ca="1">IF($S$1&lt;DATE(2025,10,1)," ",COUNTIFS('2025数据'!$D$3:$D$181,"&gt;="&amp;DATE(2025,10,1),'2025数据'!$D$3:$D$181,"&lt;="&amp;DATE(2025,10,31),'2025数据'!$B$3:$B$181,$E32))</f>
        <v>1</v>
      </c>
      <c r="P32" s="208">
        <f ca="1">IF($S$1&lt;DATE(2025,11,1)," ",COUNTIFS('2025数据'!$D$3:$D$181,"&gt;="&amp;DATE(2025,11,1),'2025数据'!$D$3:$D$181,"&lt;="&amp;DATE(2025,11,30),'2025数据'!$B$3:$B$181,$E32))</f>
        <v>2</v>
      </c>
      <c r="Q32" s="208">
        <f ca="1">IF($S$1&lt;DATE(2025,12,1)," ",COUNTIFS('2025数据'!$D$3:$D$181,"&gt;="&amp;DATE(2025,12,1),'2025数据'!$D$3:$D$181,"&lt;="&amp;DATE(2025,12,31),'2025数据'!$B$3:$B$181,$E32))</f>
        <v>0</v>
      </c>
    </row>
    <row r="33" ht="24" customHeight="1" spans="1:17">
      <c r="A33" s="99" t="s">
        <v>289</v>
      </c>
      <c r="B33" s="99" t="s">
        <v>299</v>
      </c>
      <c r="C33" s="99" t="s">
        <v>291</v>
      </c>
      <c r="D33" s="47" t="s">
        <v>294</v>
      </c>
      <c r="E33" s="47" t="s">
        <v>85</v>
      </c>
      <c r="F33" s="206">
        <f ca="1">IF($S$1&lt;DATE(2025,1,1)," ",COUNTIFS('2025数据'!$D$3:$D$181,"&gt;="&amp;DATE(2024,1,1),'2025数据'!$D$3:$D$181,"&lt;="&amp;DATE(2025,1,31),'2025数据'!$B$3:$B$181,$E33))</f>
        <v>0</v>
      </c>
      <c r="G33" s="206">
        <f ca="1">IF($S$1&lt;DATE(2025,2,1)," ",COUNTIFS('2025数据'!$D$3:$D$181,"&gt;="&amp;DATE(2025,2,1),'2025数据'!$D$3:$D$181,"&lt;="&amp;DATE(2025,2,28),'2025数据'!$B$3:$B$181,$E33))</f>
        <v>1</v>
      </c>
      <c r="H33" s="206">
        <f ca="1">IF($S$1&lt;DATE(2025,3,1)," ",COUNTIFS('2025数据'!$D$3:$D$181,"&gt;="&amp;DATE(2025,3,1),'2025数据'!$D$3:$D$181,"&lt;="&amp;DATE(2025,3,31),'2025数据'!$B$3:$B$181,$E33))</f>
        <v>1</v>
      </c>
      <c r="I33" s="206">
        <f ca="1">IF($S$1&lt;DATE(2025,4,1)," ",COUNTIFS('2025数据'!$D$3:$D$181,"&gt;="&amp;DATE(2025,4,1),'2025数据'!$D$3:$D$181,"&lt;="&amp;DATE(2025,4,30),'2025数据'!$B$3:$B$181,$E33))</f>
        <v>2</v>
      </c>
      <c r="J33" s="206">
        <f ca="1">IF($S$1&lt;DATE(2025,5,1)," ",COUNTIFS('2025数据'!$D$3:$D$181,"&gt;="&amp;DATE(2025,5,1),'2025数据'!$D$3:$D$181,"&lt;="&amp;DATE(2025,5,31),'2025数据'!$B$3:$B$181,$E33))</f>
        <v>2</v>
      </c>
      <c r="K33" s="206">
        <f ca="1">IF($S$1&lt;DATE(2025,6,1)," ",COUNTIFS('2025数据'!$D$3:$D$181,"&gt;="&amp;DATE(2025,6,1),'2025数据'!$D$3:$D$181,"&lt;="&amp;DATE(2025,6,30),'2025数据'!$B$3:$B$181,$E33))</f>
        <v>1</v>
      </c>
      <c r="L33" s="206">
        <f ca="1">IF($S$1&lt;DATE(2025,7,1)," ",COUNTIFS('2025数据'!$D$3:$D$181,"&gt;="&amp;DATE(2025,7,1),'2025数据'!$D$3:$D$181,"&lt;="&amp;DATE(2025,7,31),'2025数据'!$B$3:$B$181,$E33))</f>
        <v>5</v>
      </c>
      <c r="M33" s="206">
        <f ca="1">IF($S$1&lt;DATE(2025,8,1)," ",COUNTIFS('2025数据'!$D$3:$D$181,"&gt;="&amp;DATE(2025,8,1),'2025数据'!$D$3:$D$181,"&lt;="&amp;DATE(2025,8,31),'2025数据'!$B$3:$B$181,$E33))</f>
        <v>1</v>
      </c>
      <c r="N33" s="206">
        <f ca="1">IF($S$1&lt;DATE(2025,9,1)," ",COUNTIFS('2025数据'!$D$3:$D$181,"&gt;="&amp;DATE(2025,9,1),'2025数据'!$D$3:$D$181,"&lt;="&amp;DATE(2025,9,30),'2025数据'!$B$3:$B$181,$E33))</f>
        <v>1</v>
      </c>
      <c r="O33" s="206">
        <f ca="1">IF($S$1&lt;DATE(2025,10,1)," ",COUNTIFS('2025数据'!$D$3:$D$181,"&gt;="&amp;DATE(2025,10,1),'2025数据'!$D$3:$D$181,"&lt;="&amp;DATE(2025,10,31),'2025数据'!$B$3:$B$181,$E33))</f>
        <v>0</v>
      </c>
      <c r="P33" s="208">
        <f ca="1">IF($S$1&lt;DATE(2025,11,1)," ",COUNTIFS('2025数据'!$D$3:$D$181,"&gt;="&amp;DATE(2025,11,1),'2025数据'!$D$3:$D$181,"&lt;="&amp;DATE(2025,11,30),'2025数据'!$B$3:$B$181,$E33))</f>
        <v>2</v>
      </c>
      <c r="Q33" s="208">
        <f ca="1">IF($S$1&lt;DATE(2025,12,1)," ",COUNTIFS('2025数据'!$D$3:$D$181,"&gt;="&amp;DATE(2025,12,1),'2025数据'!$D$3:$D$181,"&lt;="&amp;DATE(2025,12,31),'2025数据'!$B$3:$B$181,$E33))</f>
        <v>3</v>
      </c>
    </row>
    <row r="34" ht="24" customHeight="1" spans="1:17">
      <c r="A34" s="99" t="s">
        <v>289</v>
      </c>
      <c r="B34" s="99" t="s">
        <v>299</v>
      </c>
      <c r="C34" s="99" t="s">
        <v>291</v>
      </c>
      <c r="D34" s="47" t="s">
        <v>294</v>
      </c>
      <c r="E34" s="47" t="s">
        <v>81</v>
      </c>
      <c r="F34" s="206">
        <f ca="1">IF($S$1&lt;DATE(2025,1,1)," ",COUNTIFS('2025数据'!$D$3:$D$181,"&gt;="&amp;DATE(2024,1,1),'2025数据'!$D$3:$D$181,"&lt;="&amp;DATE(2025,1,31),'2025数据'!$B$3:$B$181,$E34))</f>
        <v>0</v>
      </c>
      <c r="G34" s="206">
        <f ca="1">IF($S$1&lt;DATE(2025,2,1)," ",COUNTIFS('2025数据'!$D$3:$D$181,"&gt;="&amp;DATE(2025,2,1),'2025数据'!$D$3:$D$181,"&lt;="&amp;DATE(2025,2,28),'2025数据'!$B$3:$B$181,$E34))</f>
        <v>0</v>
      </c>
      <c r="H34" s="206">
        <f ca="1">IF($S$1&lt;DATE(2025,3,1)," ",COUNTIFS('2025数据'!$D$3:$D$181,"&gt;="&amp;DATE(2025,3,1),'2025数据'!$D$3:$D$181,"&lt;="&amp;DATE(2025,3,31),'2025数据'!$B$3:$B$181,$E34))</f>
        <v>0</v>
      </c>
      <c r="I34" s="206">
        <f ca="1">IF($S$1&lt;DATE(2025,4,1)," ",COUNTIFS('2025数据'!$D$3:$D$181,"&gt;="&amp;DATE(2025,4,1),'2025数据'!$D$3:$D$181,"&lt;="&amp;DATE(2025,4,30),'2025数据'!$B$3:$B$181,$E34))</f>
        <v>1</v>
      </c>
      <c r="J34" s="206">
        <f ca="1">IF($S$1&lt;DATE(2025,5,1)," ",COUNTIFS('2025数据'!$D$3:$D$181,"&gt;="&amp;DATE(2025,5,1),'2025数据'!$D$3:$D$181,"&lt;="&amp;DATE(2025,5,31),'2025数据'!$B$3:$B$181,$E34))</f>
        <v>2</v>
      </c>
      <c r="K34" s="206">
        <f ca="1">IF($S$1&lt;DATE(2025,6,1)," ",COUNTIFS('2025数据'!$D$3:$D$181,"&gt;="&amp;DATE(2025,6,1),'2025数据'!$D$3:$D$181,"&lt;="&amp;DATE(2025,6,30),'2025数据'!$B$3:$B$181,$E34))</f>
        <v>0</v>
      </c>
      <c r="L34" s="206">
        <f ca="1">IF($S$1&lt;DATE(2025,7,1)," ",COUNTIFS('2025数据'!$D$3:$D$181,"&gt;="&amp;DATE(2025,7,1),'2025数据'!$D$3:$D$181,"&lt;="&amp;DATE(2025,7,31),'2025数据'!$B$3:$B$181,$E34))</f>
        <v>0</v>
      </c>
      <c r="M34" s="206">
        <f ca="1">IF($S$1&lt;DATE(2025,8,1)," ",COUNTIFS('2025数据'!$D$3:$D$181,"&gt;="&amp;DATE(2025,8,1),'2025数据'!$D$3:$D$181,"&lt;="&amp;DATE(2025,8,31),'2025数据'!$B$3:$B$181,$E34))</f>
        <v>1</v>
      </c>
      <c r="N34" s="206">
        <f ca="1">IF($S$1&lt;DATE(2025,9,1)," ",COUNTIFS('2025数据'!$D$3:$D$181,"&gt;="&amp;DATE(2025,9,1),'2025数据'!$D$3:$D$181,"&lt;="&amp;DATE(2025,9,30),'2025数据'!$B$3:$B$181,$E34))</f>
        <v>1</v>
      </c>
      <c r="O34" s="206">
        <f ca="1">IF($S$1&lt;DATE(2025,10,1)," ",COUNTIFS('2025数据'!$D$3:$D$181,"&gt;="&amp;DATE(2025,10,1),'2025数据'!$D$3:$D$181,"&lt;="&amp;DATE(2025,10,31),'2025数据'!$B$3:$B$181,$E34))</f>
        <v>0</v>
      </c>
      <c r="P34" s="208">
        <f ca="1">IF($S$1&lt;DATE(2025,11,1)," ",COUNTIFS('2025数据'!$D$3:$D$181,"&gt;="&amp;DATE(2025,11,1),'2025数据'!$D$3:$D$181,"&lt;="&amp;DATE(2025,11,30),'2025数据'!$B$3:$B$181,$E34))</f>
        <v>2</v>
      </c>
      <c r="Q34" s="208">
        <f ca="1">IF($S$1&lt;DATE(2025,12,1)," ",COUNTIFS('2025数据'!$D$3:$D$181,"&gt;="&amp;DATE(2025,12,1),'2025数据'!$D$3:$D$181,"&lt;="&amp;DATE(2025,12,31),'2025数据'!$B$3:$B$181,$E34))</f>
        <v>0</v>
      </c>
    </row>
    <row r="35" ht="24" customHeight="1" spans="1:17">
      <c r="A35" s="99" t="s">
        <v>289</v>
      </c>
      <c r="B35" s="99" t="s">
        <v>299</v>
      </c>
      <c r="C35" s="99" t="s">
        <v>291</v>
      </c>
      <c r="D35" s="47" t="s">
        <v>294</v>
      </c>
      <c r="E35" s="47" t="s">
        <v>96</v>
      </c>
      <c r="F35" s="206">
        <f ca="1">IF($S$1&lt;DATE(2025,1,1)," ",COUNTIFS('2025数据'!$D$3:$D$181,"&gt;="&amp;DATE(2024,1,1),'2025数据'!$D$3:$D$181,"&lt;="&amp;DATE(2025,1,31),'2025数据'!$B$3:$B$181,$E35))</f>
        <v>0</v>
      </c>
      <c r="G35" s="206">
        <f ca="1">IF($S$1&lt;DATE(2025,2,1)," ",COUNTIFS('2025数据'!$D$3:$D$181,"&gt;="&amp;DATE(2025,2,1),'2025数据'!$D$3:$D$181,"&lt;="&amp;DATE(2025,2,28),'2025数据'!$B$3:$B$181,$E35))</f>
        <v>1</v>
      </c>
      <c r="H35" s="206">
        <f ca="1">IF($S$1&lt;DATE(2025,3,1)," ",COUNTIFS('2025数据'!$D$3:$D$181,"&gt;="&amp;DATE(2025,3,1),'2025数据'!$D$3:$D$181,"&lt;="&amp;DATE(2025,3,31),'2025数据'!$B$3:$B$181,$E35))</f>
        <v>0</v>
      </c>
      <c r="I35" s="206">
        <f ca="1">IF($S$1&lt;DATE(2025,4,1)," ",COUNTIFS('2025数据'!$D$3:$D$181,"&gt;="&amp;DATE(2025,4,1),'2025数据'!$D$3:$D$181,"&lt;="&amp;DATE(2025,4,30),'2025数据'!$B$3:$B$181,$E35))</f>
        <v>0</v>
      </c>
      <c r="J35" s="206">
        <f ca="1">IF($S$1&lt;DATE(2025,5,1)," ",COUNTIFS('2025数据'!$D$3:$D$181,"&gt;="&amp;DATE(2025,5,1),'2025数据'!$D$3:$D$181,"&lt;="&amp;DATE(2025,5,31),'2025数据'!$B$3:$B$181,$E35))</f>
        <v>0</v>
      </c>
      <c r="K35" s="206">
        <f ca="1">IF($S$1&lt;DATE(2025,6,1)," ",COUNTIFS('2025数据'!$D$3:$D$181,"&gt;="&amp;DATE(2025,6,1),'2025数据'!$D$3:$D$181,"&lt;="&amp;DATE(2025,6,30),'2025数据'!$B$3:$B$181,$E35))</f>
        <v>0</v>
      </c>
      <c r="L35" s="206">
        <f ca="1">IF($S$1&lt;DATE(2025,7,1)," ",COUNTIFS('2025数据'!$D$3:$D$181,"&gt;="&amp;DATE(2025,7,1),'2025数据'!$D$3:$D$181,"&lt;="&amp;DATE(2025,7,31),'2025数据'!$B$3:$B$181,$E35))</f>
        <v>0</v>
      </c>
      <c r="M35" s="206">
        <f ca="1">IF($S$1&lt;DATE(2025,8,1)," ",COUNTIFS('2025数据'!$D$3:$D$181,"&gt;="&amp;DATE(2025,8,1),'2025数据'!$D$3:$D$181,"&lt;="&amp;DATE(2025,8,31),'2025数据'!$B$3:$B$181,$E35))</f>
        <v>0</v>
      </c>
      <c r="N35" s="206">
        <f ca="1">IF($S$1&lt;DATE(2025,9,1)," ",COUNTIFS('2025数据'!$D$3:$D$181,"&gt;="&amp;DATE(2025,9,1),'2025数据'!$D$3:$D$181,"&lt;="&amp;DATE(2025,9,30),'2025数据'!$B$3:$B$181,$E35))</f>
        <v>0</v>
      </c>
      <c r="O35" s="206">
        <f ca="1">IF($S$1&lt;DATE(2025,10,1)," ",COUNTIFS('2025数据'!$D$3:$D$181,"&gt;="&amp;DATE(2025,10,1),'2025数据'!$D$3:$D$181,"&lt;="&amp;DATE(2025,10,31),'2025数据'!$B$3:$B$181,$E35))</f>
        <v>0</v>
      </c>
      <c r="P35" s="208">
        <f ca="1">IF($S$1&lt;DATE(2025,11,1)," ",COUNTIFS('2025数据'!$D$3:$D$181,"&gt;="&amp;DATE(2025,11,1),'2025数据'!$D$3:$D$181,"&lt;="&amp;DATE(2025,11,30),'2025数据'!$B$3:$B$181,$E35))</f>
        <v>0</v>
      </c>
      <c r="Q35" s="208">
        <f ca="1">IF($S$1&lt;DATE(2025,12,1)," ",COUNTIFS('2025数据'!$D$3:$D$181,"&gt;="&amp;DATE(2025,12,1),'2025数据'!$D$3:$D$181,"&lt;="&amp;DATE(2025,12,31),'2025数据'!$B$3:$B$181,$E35))</f>
        <v>0</v>
      </c>
    </row>
    <row r="36" ht="24" customHeight="1" spans="1:17">
      <c r="A36" s="99" t="s">
        <v>289</v>
      </c>
      <c r="B36" s="99" t="s">
        <v>299</v>
      </c>
      <c r="C36" s="99" t="s">
        <v>291</v>
      </c>
      <c r="D36" s="47" t="s">
        <v>294</v>
      </c>
      <c r="E36" s="47" t="s">
        <v>160</v>
      </c>
      <c r="F36" s="206">
        <f ca="1">IF($S$1&lt;DATE(2025,1,1)," ",COUNTIFS('2025数据'!$D$3:$D$181,"&gt;="&amp;DATE(2024,1,1),'2025数据'!$D$3:$D$181,"&lt;="&amp;DATE(2025,1,31),'2025数据'!$B$3:$B$181,$E36))</f>
        <v>0</v>
      </c>
      <c r="G36" s="206">
        <f ca="1">IF($S$1&lt;DATE(2025,2,1)," ",COUNTIFS('2025数据'!$D$3:$D$181,"&gt;="&amp;DATE(2025,2,1),'2025数据'!$D$3:$D$181,"&lt;="&amp;DATE(2025,2,28),'2025数据'!$B$3:$B$181,$E36))</f>
        <v>0</v>
      </c>
      <c r="H36" s="206">
        <f ca="1">IF($S$1&lt;DATE(2025,3,1)," ",COUNTIFS('2025数据'!$D$3:$D$181,"&gt;="&amp;DATE(2025,3,1),'2025数据'!$D$3:$D$181,"&lt;="&amp;DATE(2025,3,31),'2025数据'!$B$3:$B$181,$E36))</f>
        <v>0</v>
      </c>
      <c r="I36" s="206">
        <f ca="1">IF($S$1&lt;DATE(2025,4,1)," ",COUNTIFS('2025数据'!$D$3:$D$181,"&gt;="&amp;DATE(2025,4,1),'2025数据'!$D$3:$D$181,"&lt;="&amp;DATE(2025,4,30),'2025数据'!$B$3:$B$181,$E36))</f>
        <v>0</v>
      </c>
      <c r="J36" s="206">
        <f ca="1">IF($S$1&lt;DATE(2025,5,1)," ",COUNTIFS('2025数据'!$D$3:$D$181,"&gt;="&amp;DATE(2025,5,1),'2025数据'!$D$3:$D$181,"&lt;="&amp;DATE(2025,5,31),'2025数据'!$B$3:$B$181,$E36))</f>
        <v>0</v>
      </c>
      <c r="K36" s="206">
        <f ca="1">IF($S$1&lt;DATE(2025,6,1)," ",COUNTIFS('2025数据'!$D$3:$D$181,"&gt;="&amp;DATE(2025,6,1),'2025数据'!$D$3:$D$181,"&lt;="&amp;DATE(2025,6,30),'2025数据'!$B$3:$B$181,$E36))</f>
        <v>0</v>
      </c>
      <c r="L36" s="206">
        <f ca="1">IF($S$1&lt;DATE(2025,7,1)," ",COUNTIFS('2025数据'!$D$3:$D$181,"&gt;="&amp;DATE(2025,7,1),'2025数据'!$D$3:$D$181,"&lt;="&amp;DATE(2025,7,31),'2025数据'!$B$3:$B$181,$E36))</f>
        <v>0</v>
      </c>
      <c r="M36" s="206">
        <f ca="1">IF($S$1&lt;DATE(2025,8,1)," ",COUNTIFS('2025数据'!$D$3:$D$181,"&gt;="&amp;DATE(2025,8,1),'2025数据'!$D$3:$D$181,"&lt;="&amp;DATE(2025,8,31),'2025数据'!$B$3:$B$181,$E36))</f>
        <v>0</v>
      </c>
      <c r="N36" s="206">
        <f ca="1">IF($S$1&lt;DATE(2025,9,1)," ",COUNTIFS('2025数据'!$D$3:$D$181,"&gt;="&amp;DATE(2025,9,1),'2025数据'!$D$3:$D$181,"&lt;="&amp;DATE(2025,9,30),'2025数据'!$B$3:$B$181,$E36))</f>
        <v>0</v>
      </c>
      <c r="O36" s="206">
        <f ca="1">IF($S$1&lt;DATE(2025,10,1)," ",COUNTIFS('2025数据'!$D$3:$D$181,"&gt;="&amp;DATE(2025,10,1),'2025数据'!$D$3:$D$181,"&lt;="&amp;DATE(2025,10,31),'2025数据'!$B$3:$B$181,$E36))</f>
        <v>0</v>
      </c>
      <c r="P36" s="208">
        <f ca="1">IF($S$1&lt;DATE(2025,11,1)," ",COUNTIFS('2025数据'!$D$3:$D$181,"&gt;="&amp;DATE(2025,11,1),'2025数据'!$D$3:$D$181,"&lt;="&amp;DATE(2025,11,30),'2025数据'!$B$3:$B$181,$E36))</f>
        <v>0</v>
      </c>
      <c r="Q36" s="208">
        <f ca="1">IF($S$1&lt;DATE(2025,12,1)," ",COUNTIFS('2025数据'!$D$3:$D$181,"&gt;="&amp;DATE(2025,12,1),'2025数据'!$D$3:$D$181,"&lt;="&amp;DATE(2025,12,31),'2025数据'!$B$3:$B$181,$E36))</f>
        <v>0</v>
      </c>
    </row>
    <row r="37" ht="24" customHeight="1" spans="1:17">
      <c r="A37" s="99" t="s">
        <v>289</v>
      </c>
      <c r="B37" s="99" t="s">
        <v>299</v>
      </c>
      <c r="C37" s="99" t="s">
        <v>291</v>
      </c>
      <c r="D37" s="100" t="s">
        <v>292</v>
      </c>
      <c r="E37" s="110" t="s">
        <v>301</v>
      </c>
      <c r="F37" s="210">
        <f ca="1">IF($S$1&lt;DATE(2025,1,1)," ",COUNTIFS('2025数据'!$D$3:$D$181,"&gt;="&amp;DATE(2025,1,1),'2025数据'!$D$3:$D$181,"&lt;="&amp;DATE(2025,1,31),'2025数据'!$AL$3:$AL$181,$E37))</f>
        <v>4</v>
      </c>
      <c r="G37" s="210">
        <f ca="1">IF($S$1&lt;DATE(2025,2,1)," ",COUNTIFS('2025数据'!$D$3:$D$181,"&gt;="&amp;DATE(2025,2,1),'2025数据'!$D$3:$D$181,"&lt;="&amp;DATE(2025,2,28),'2025数据'!$AL$3:$AL$181,$E37))</f>
        <v>1</v>
      </c>
      <c r="H37" s="210">
        <f ca="1">IF($S$1&lt;DATE(2025,3,1)," ",COUNTIFS('2025数据'!$D$3:$D$181,"&gt;="&amp;DATE(2025,3,1),'2025数据'!$D$3:$D$181,"&lt;="&amp;DATE(2025,3,31),'2025数据'!$AL$3:$AL$181,$E37))</f>
        <v>0</v>
      </c>
      <c r="I37" s="210">
        <f ca="1">IF($S$1&lt;DATE(2025,4,1)," ",COUNTIFS('2025数据'!$D$3:$D$181,"&gt;="&amp;DATE(2025,4,1),'2025数据'!$D$3:$D$181,"&lt;="&amp;DATE(2025,4,30),'2025数据'!$AL$3:$AL$181,$E37))</f>
        <v>3</v>
      </c>
      <c r="J37" s="210">
        <f ca="1">IF($S$1&lt;DATE(2025,5,1)," ",COUNTIFS('2025数据'!$D$3:$D$181,"&gt;="&amp;DATE(2025,5,1),'2025数据'!$D$3:$D$181,"&lt;="&amp;DATE(2025,5,31),'2025数据'!$AL$3:$AL$181,$E37))</f>
        <v>2</v>
      </c>
      <c r="K37" s="210">
        <f ca="1">IF($S$1&lt;DATE(2025,6,1)," ",COUNTIFS('2025数据'!$D$3:$D$181,"&gt;="&amp;DATE(2025,6,1),'2025数据'!$D$3:$D$181,"&lt;="&amp;DATE(2025,6,30),'2025数据'!$AL$3:$AL$181,$E37))</f>
        <v>1</v>
      </c>
      <c r="L37" s="210">
        <f ca="1">IF($S$1&lt;DATE(2025,7,1)," ",COUNTIFS('2025数据'!$D$3:$D$181,"&gt;="&amp;DATE(2025,7,1),'2025数据'!$D$3:$D$181,"&lt;="&amp;DATE(2025,7,31),'2025数据'!$AL$3:$AL$181,$E37))</f>
        <v>5</v>
      </c>
      <c r="M37" s="210">
        <f ca="1">IF($S$1&lt;DATE(2025,8,1)," ",COUNTIFS('2025数据'!$D$3:$D$181,"&gt;="&amp;DATE(2025,8,1),'2025数据'!$D$3:$D$181,"&lt;="&amp;DATE(2025,8,31),'2025数据'!$AL$3:$AL$181,$E37))</f>
        <v>3</v>
      </c>
      <c r="N37" s="210">
        <f ca="1">IF($S$1&lt;DATE(2025,9,1)," ",COUNTIFS('2025数据'!$D$3:$D$181,"&gt;="&amp;DATE(2025,9,1),'2025数据'!$D$3:$D$181,"&lt;="&amp;DATE(2025,9,30),'2025数据'!$AL$3:$AL$181,$E37))</f>
        <v>2</v>
      </c>
      <c r="O37" s="210">
        <f ca="1">IF($S$1&lt;DATE(2025,10,1)," ",COUNTIFS('2025数据'!$D$3:$D$181,"&gt;="&amp;DATE(2025,10,1),'2025数据'!$D$3:$D$181,"&lt;="&amp;DATE(2025,10,31),'2025数据'!$AL$3:$AL$181,$E37))</f>
        <v>0</v>
      </c>
      <c r="P37" s="212">
        <f ca="1">IF($S$1&lt;DATE(2025,11,1)," ",COUNTIFS('2025数据'!$D$3:$D$181,"&gt;="&amp;DATE(2025,11,1),'2025数据'!$D$3:$D$181,"&lt;="&amp;DATE(2025,11,30),'2025数据'!$AL$3:$AL$181,$E37))</f>
        <v>6</v>
      </c>
      <c r="Q37" s="212">
        <f ca="1">IF($S$1&lt;DATE(2025,12,1)," ",COUNTIFS('2025数据'!$D$3:$D$181,"&gt;="&amp;DATE(2025,12,1),'2025数据'!$D$3:$D$181,"&lt;="&amp;DATE(2025,12,31),'2025数据'!$AL$3:$AL$181,$E37))</f>
        <v>3</v>
      </c>
    </row>
    <row r="38" ht="24" customHeight="1" spans="1:17">
      <c r="A38" s="99" t="s">
        <v>289</v>
      </c>
      <c r="B38" s="99" t="s">
        <v>299</v>
      </c>
      <c r="C38" s="99" t="s">
        <v>291</v>
      </c>
      <c r="D38" s="100" t="s">
        <v>292</v>
      </c>
      <c r="E38" s="110" t="s">
        <v>302</v>
      </c>
      <c r="F38" s="210">
        <f ca="1">IF($S$1&lt;DATE(2025,1,1)," ",COUNTIFS('2025数据'!$D$3:$D$181,"&gt;="&amp;DATE(2025,1,1),'2025数据'!$D$3:$D$181,"&lt;="&amp;DATE(2025,1,31),'2025数据'!$AL$3:$AL$181,$E38))</f>
        <v>0</v>
      </c>
      <c r="G38" s="210">
        <f ca="1">IF($S$1&lt;DATE(2025,2,1)," ",COUNTIFS('2025数据'!$D$3:$D$181,"&gt;="&amp;DATE(2025,2,1),'2025数据'!$D$3:$D$181,"&lt;="&amp;DATE(2025,2,28),'2025数据'!$AL$3:$AL$181,$E38))</f>
        <v>1</v>
      </c>
      <c r="H38" s="210">
        <f ca="1">IF($S$1&lt;DATE(2025,3,1)," ",COUNTIFS('2025数据'!$D$3:$D$181,"&gt;="&amp;DATE(2025,3,1),'2025数据'!$D$3:$D$181,"&lt;="&amp;DATE(2025,3,31),'2025数据'!$AL$3:$AL$181,$E38))</f>
        <v>1</v>
      </c>
      <c r="I38" s="210">
        <f ca="1">IF($S$1&lt;DATE(2025,4,1)," ",COUNTIFS('2025数据'!$D$3:$D$181,"&gt;="&amp;DATE(2025,4,1),'2025数据'!$D$3:$D$181,"&lt;="&amp;DATE(2025,4,30),'2025数据'!$AL$3:$AL$181,$E38))</f>
        <v>2</v>
      </c>
      <c r="J38" s="210">
        <f ca="1">IF($S$1&lt;DATE(2025,5,1)," ",COUNTIFS('2025数据'!$D$3:$D$181,"&gt;="&amp;DATE(2025,5,1),'2025数据'!$D$3:$D$181,"&lt;="&amp;DATE(2025,5,31),'2025数据'!$AL$3:$AL$181,$E38))</f>
        <v>3</v>
      </c>
      <c r="K38" s="210">
        <f ca="1">IF($S$1&lt;DATE(2025,6,1)," ",COUNTIFS('2025数据'!$D$3:$D$181,"&gt;="&amp;DATE(2025,6,1),'2025数据'!$D$3:$D$181,"&lt;="&amp;DATE(2025,6,30),'2025数据'!$AL$3:$AL$181,$E38))</f>
        <v>1</v>
      </c>
      <c r="L38" s="210">
        <f ca="1">IF($S$1&lt;DATE(2025,7,1)," ",COUNTIFS('2025数据'!$D$3:$D$181,"&gt;="&amp;DATE(2025,7,1),'2025数据'!$D$3:$D$181,"&lt;="&amp;DATE(2025,7,31),'2025数据'!$AL$3:$AL$181,$E38))</f>
        <v>1</v>
      </c>
      <c r="M38" s="210">
        <f ca="1">IF($S$1&lt;DATE(2025,8,1)," ",COUNTIFS('2025数据'!$D$3:$D$181,"&gt;="&amp;DATE(2025,8,1),'2025数据'!$D$3:$D$181,"&lt;="&amp;DATE(2025,8,31),'2025数据'!$AL$3:$AL$181,$E38))</f>
        <v>1</v>
      </c>
      <c r="N38" s="210">
        <f ca="1">IF($S$1&lt;DATE(2025,9,1)," ",COUNTIFS('2025数据'!$D$3:$D$181,"&gt;="&amp;DATE(2025,9,1),'2025数据'!$D$3:$D$181,"&lt;="&amp;DATE(2025,9,30),'2025数据'!$AL$3:$AL$181,$E38))</f>
        <v>2</v>
      </c>
      <c r="O38" s="210">
        <f ca="1">IF($S$1&lt;DATE(2025,10,1)," ",COUNTIFS('2025数据'!$D$3:$D$181,"&gt;="&amp;DATE(2025,10,1),'2025数据'!$D$3:$D$181,"&lt;="&amp;DATE(2025,10,31),'2025数据'!$AL$3:$AL$181,$E38))</f>
        <v>1</v>
      </c>
      <c r="P38" s="212">
        <f ca="1">IF($S$1&lt;DATE(2025,11,1)," ",COUNTIFS('2025数据'!$D$3:$D$181,"&gt;="&amp;DATE(2025,11,1),'2025数据'!$D$3:$D$181,"&lt;="&amp;DATE(2025,11,30),'2025数据'!$AL$3:$AL$181,$E38))</f>
        <v>0</v>
      </c>
      <c r="Q38" s="212">
        <f ca="1">IF($S$1&lt;DATE(2025,12,1)," ",COUNTIFS('2025数据'!$D$3:$D$181,"&gt;="&amp;DATE(2025,12,1),'2025数据'!$D$3:$D$181,"&lt;="&amp;DATE(2025,12,31),'2025数据'!$AL$3:$AL$181,$E38))</f>
        <v>0</v>
      </c>
    </row>
    <row r="39" ht="24" customHeight="1" spans="1:17">
      <c r="A39" s="99" t="s">
        <v>289</v>
      </c>
      <c r="B39" s="99" t="s">
        <v>299</v>
      </c>
      <c r="C39" s="99" t="s">
        <v>291</v>
      </c>
      <c r="D39" s="100" t="s">
        <v>292</v>
      </c>
      <c r="E39" s="110" t="s">
        <v>150</v>
      </c>
      <c r="F39" s="210">
        <f ca="1">IF($S$1&lt;DATE(2025,1,1)," ",COUNTIFS('2025数据'!$D$3:$D$181,"&gt;="&amp;DATE(2025,1,1),'2025数据'!$D$3:$D$181,"&lt;="&amp;DATE(2025,1,31),'2025数据'!$AL$3:$AL$181,$E39))</f>
        <v>0</v>
      </c>
      <c r="G39" s="210">
        <f ca="1">IF($S$1&lt;DATE(2025,2,1)," ",COUNTIFS('2025数据'!$D$3:$D$181,"&gt;="&amp;DATE(2025,2,1),'2025数据'!$D$3:$D$181,"&lt;="&amp;DATE(2025,2,28),'2025数据'!$AL$3:$AL$181,$E39))</f>
        <v>0</v>
      </c>
      <c r="H39" s="210">
        <f ca="1">IF($S$1&lt;DATE(2025,3,1)," ",COUNTIFS('2025数据'!$D$3:$D$181,"&gt;="&amp;DATE(2025,3,1),'2025数据'!$D$3:$D$181,"&lt;="&amp;DATE(2025,3,31),'2025数据'!$AL$3:$AL$181,$E39))</f>
        <v>0</v>
      </c>
      <c r="I39" s="210">
        <f ca="1">IF($S$1&lt;DATE(2025,4,1)," ",COUNTIFS('2025数据'!$D$3:$D$181,"&gt;="&amp;DATE(2025,4,1),'2025数据'!$D$3:$D$181,"&lt;="&amp;DATE(2025,4,30),'2025数据'!$AL$3:$AL$181,$E39))</f>
        <v>0</v>
      </c>
      <c r="J39" s="210">
        <f ca="1">IF($S$1&lt;DATE(2025,5,1)," ",COUNTIFS('2025数据'!$D$3:$D$181,"&gt;="&amp;DATE(2025,5,1),'2025数据'!$D$3:$D$181,"&lt;="&amp;DATE(2025,5,31),'2025数据'!$AL$3:$AL$181,$E39))</f>
        <v>0</v>
      </c>
      <c r="K39" s="210">
        <f ca="1">IF($S$1&lt;DATE(2025,6,1)," ",COUNTIFS('2025数据'!$D$3:$D$181,"&gt;="&amp;DATE(2025,6,1),'2025数据'!$D$3:$D$181,"&lt;="&amp;DATE(2025,6,30),'2025数据'!$AL$3:$AL$181,$E39))</f>
        <v>0</v>
      </c>
      <c r="L39" s="210">
        <f ca="1">IF($S$1&lt;DATE(2025,7,1)," ",COUNTIFS('2025数据'!$D$3:$D$181,"&gt;="&amp;DATE(2025,7,1),'2025数据'!$D$3:$D$181,"&lt;="&amp;DATE(2025,7,31),'2025数据'!$AL$3:$AL$181,$E39))</f>
        <v>0</v>
      </c>
      <c r="M39" s="210">
        <f ca="1">IF($S$1&lt;DATE(2025,8,1)," ",COUNTIFS('2025数据'!$D$3:$D$181,"&gt;="&amp;DATE(2025,8,1),'2025数据'!$D$3:$D$181,"&lt;="&amp;DATE(2025,8,31),'2025数据'!$AL$3:$AL$181,$E39))</f>
        <v>0</v>
      </c>
      <c r="N39" s="210">
        <f ca="1">IF($S$1&lt;DATE(2025,9,1)," ",COUNTIFS('2025数据'!$D$3:$D$181,"&gt;="&amp;DATE(2025,9,1),'2025数据'!$D$3:$D$181,"&lt;="&amp;DATE(2025,9,30),'2025数据'!$AL$3:$AL$181,$E39))</f>
        <v>0</v>
      </c>
      <c r="O39" s="210">
        <f ca="1">IF($S$1&lt;DATE(2025,10,1)," ",COUNTIFS('2025数据'!$D$3:$D$181,"&gt;="&amp;DATE(2025,10,1),'2025数据'!$D$3:$D$181,"&lt;="&amp;DATE(2025,10,31),'2025数据'!$AL$3:$AL$181,$E39))</f>
        <v>0</v>
      </c>
      <c r="P39" s="212">
        <f ca="1">IF($S$1&lt;DATE(2025,11,1)," ",COUNTIFS('2025数据'!$D$3:$D$181,"&gt;="&amp;DATE(2025,11,1),'2025数据'!$D$3:$D$181,"&lt;="&amp;DATE(2025,11,30),'2025数据'!$AL$3:$AL$181,$E39))</f>
        <v>0</v>
      </c>
      <c r="Q39" s="212">
        <f ca="1">IF($S$1&lt;DATE(2025,12,1)," ",COUNTIFS('2025数据'!$D$3:$D$181,"&gt;="&amp;DATE(2025,12,1),'2025数据'!$D$3:$D$181,"&lt;="&amp;DATE(2025,12,31),'2025数据'!$AL$3:$AL$181,$E39))</f>
        <v>0</v>
      </c>
    </row>
    <row r="40" ht="24" customHeight="1" spans="1:17">
      <c r="A40" s="99" t="s">
        <v>289</v>
      </c>
      <c r="B40" s="99" t="s">
        <v>299</v>
      </c>
      <c r="C40" s="99" t="s">
        <v>291</v>
      </c>
      <c r="D40" s="53" t="s">
        <v>303</v>
      </c>
      <c r="E40" s="53" t="s">
        <v>93</v>
      </c>
      <c r="F40" s="210">
        <f ca="1">IF($S$1&lt;DATE(2025,1,1)," ",COUNTIFS('2025数据'!$D$3:$D$181,"&gt;="&amp;DATE(2025,1,1),'2025数据'!$D$3:$D$181,"&lt;="&amp;DATE(2025,1,31),'2025数据'!$AL$3:$AL$181,$E$37,'2025数据'!$B$3:$B$181,$E40))</f>
        <v>4</v>
      </c>
      <c r="G40" s="210">
        <f ca="1">IF($S$1&lt;DATE(2025,2,1)," ",COUNTIFS('2025数据'!$D$3:$D$181,"&gt;="&amp;DATE(2025,2,1),'2025数据'!$D$3:$D$181,"&lt;="&amp;DATE(2025,2,28),'2025数据'!$AL$3:$AL$181,$E$37,'2025数据'!$B$3:$B$181,$E40))</f>
        <v>0</v>
      </c>
      <c r="H40" s="210">
        <f ca="1">IF($S$1&lt;DATE(2025,3,1)," ",COUNTIFS('2025数据'!$D$3:$D$181,"&gt;="&amp;DATE(2025,3,1),'2025数据'!$D$3:$D$181,"&lt;="&amp;DATE(2025,3,31),'2025数据'!$AL$3:$AL$181,$E$37,'2025数据'!$B$3:$B$181,$E40))</f>
        <v>0</v>
      </c>
      <c r="I40" s="210">
        <f ca="1">IF($S$1&lt;DATE(2025,4,1)," ",COUNTIFS('2025数据'!$D$3:$D$181,"&gt;="&amp;DATE(2025,4,1),'2025数据'!$D$3:$D$181,"&lt;="&amp;DATE(2025,4,30),'2025数据'!$AL$3:$AL$181,$E$37,'2025数据'!$B$3:$B$181,$E40))</f>
        <v>0</v>
      </c>
      <c r="J40" s="210">
        <f ca="1">IF($S$1&lt;DATE(2025,5,1)," ",COUNTIFS('2025数据'!$D$3:$D$181,"&gt;="&amp;DATE(2025,5,1),'2025数据'!$D$3:$D$181,"&lt;="&amp;DATE(2025,5,31),'2025数据'!$AL$3:$AL$181,$E$37,'2025数据'!$B$3:$B$181,$E40))</f>
        <v>0</v>
      </c>
      <c r="K40" s="210">
        <f ca="1">IF($S$1&lt;DATE(2025,6,1)," ",COUNTIFS('2025数据'!$D$3:$D$181,"&gt;="&amp;DATE(2025,6,1),'2025数据'!$D$3:$D$181,"&lt;="&amp;DATE(2025,6,30),'2025数据'!$AL$3:$AL$181,$E$37,'2025数据'!$B$3:$B$181,$E40))</f>
        <v>1</v>
      </c>
      <c r="L40" s="210">
        <f ca="1">IF($S$1&lt;DATE(2025,7,1)," ",COUNTIFS('2025数据'!$D$3:$D$181,"&gt;="&amp;DATE(2025,7,1),'2025数据'!$D$3:$D$181,"&lt;="&amp;DATE(2025,7,31),'2025数据'!$AL$3:$AL$181,$E$37,'2025数据'!$B$3:$B$181,$E40))</f>
        <v>1</v>
      </c>
      <c r="M40" s="210">
        <f ca="1">IF($S$1&lt;DATE(2025,8,1)," ",COUNTIFS('2025数据'!$D$3:$D$181,"&gt;="&amp;DATE(2025,8,1),'2025数据'!$D$3:$D$181,"&lt;="&amp;DATE(2025,8,31),'2025数据'!$AL$3:$AL$181,$E$37,'2025数据'!$B$3:$B$181,$E40))</f>
        <v>2</v>
      </c>
      <c r="N40" s="210">
        <f ca="1">IF($S$1&lt;DATE(2025,9,1)," ",COUNTIFS('2025数据'!$D$3:$D$181,"&gt;="&amp;DATE(2025,9,1),'2025数据'!$D$3:$D$181,"&lt;="&amp;DATE(2025,9,30),'2025数据'!$AL$3:$AL$181,$E$37,'2025数据'!$B$3:$B$181,$E40))</f>
        <v>1</v>
      </c>
      <c r="O40" s="210">
        <f ca="1">IF($S$1&lt;DATE(2025,10,1)," ",COUNTIFS('2025数据'!$D$3:$D$181,"&gt;="&amp;DATE(2025,10,1),'2025数据'!$D$3:$D$181,"&lt;="&amp;DATE(2025,10,31),'2025数据'!$AL$3:$AL$181,$E$37,'2025数据'!$B$3:$B$181,$E40))</f>
        <v>0</v>
      </c>
      <c r="P40" s="212">
        <f ca="1">IF($S$1&lt;DATE(2025,11,1)," ",COUNTIFS('2025数据'!$D$3:$D$181,"&gt;="&amp;DATE(2025,11,1),'2025数据'!$D$3:$D$181,"&lt;="&amp;DATE(2025,11,30),'2025数据'!$AL$3:$AL$181,$E$37,'2025数据'!$B$3:$B$181,$E40))</f>
        <v>2</v>
      </c>
      <c r="Q40" s="212">
        <f ca="1">IF($S$1&lt;DATE(2025,12,1)," ",COUNTIFS('2025数据'!$D$3:$D$181,"&gt;="&amp;DATE(2025,12,1),'2025数据'!$D$3:$D$181,"&lt;="&amp;DATE(2025,12,31),'2025数据'!$AL$3:$AL$181,$E$37,'2025数据'!$B$3:$B$181,$E40))</f>
        <v>0</v>
      </c>
    </row>
    <row r="41" ht="24" customHeight="1" spans="1:17">
      <c r="A41" s="99" t="s">
        <v>289</v>
      </c>
      <c r="B41" s="99" t="s">
        <v>299</v>
      </c>
      <c r="C41" s="99" t="s">
        <v>291</v>
      </c>
      <c r="D41" s="53" t="s">
        <v>303</v>
      </c>
      <c r="E41" s="53" t="s">
        <v>85</v>
      </c>
      <c r="F41" s="210">
        <f ca="1">IF($S$1&lt;DATE(2025,1,1)," ",COUNTIFS('2025数据'!$D$3:$D$181,"&gt;="&amp;DATE(2025,1,1),'2025数据'!$D$3:$D$181,"&lt;="&amp;DATE(2025,1,31),'2025数据'!$AL$3:$AL$181,$E$37,'2025数据'!$B$3:$B$181,$E41))</f>
        <v>0</v>
      </c>
      <c r="G41" s="210">
        <f ca="1">IF($S$1&lt;DATE(2025,2,1)," ",COUNTIFS('2025数据'!$D$3:$D$181,"&gt;="&amp;DATE(2025,2,1),'2025数据'!$D$3:$D$181,"&lt;="&amp;DATE(2025,2,28),'2025数据'!$AL$3:$AL$181,$E$37,'2025数据'!$B$3:$B$181,$E41))</f>
        <v>0</v>
      </c>
      <c r="H41" s="210">
        <f ca="1">IF($S$1&lt;DATE(2025,3,1)," ",COUNTIFS('2025数据'!$D$3:$D$181,"&gt;="&amp;DATE(2025,3,1),'2025数据'!$D$3:$D$181,"&lt;="&amp;DATE(2025,3,31),'2025数据'!$AL$3:$AL$181,$E$37,'2025数据'!$B$3:$B$181,$E41))</f>
        <v>0</v>
      </c>
      <c r="I41" s="210">
        <f ca="1">IF($S$1&lt;DATE(2025,4,1)," ",COUNTIFS('2025数据'!$D$3:$D$181,"&gt;="&amp;DATE(2025,4,1),'2025数据'!$D$3:$D$181,"&lt;="&amp;DATE(2025,4,30),'2025数据'!$AL$3:$AL$181,$E$37,'2025数据'!$B$3:$B$181,$E41))</f>
        <v>2</v>
      </c>
      <c r="J41" s="210">
        <f ca="1">IF($S$1&lt;DATE(2025,5,1)," ",COUNTIFS('2025数据'!$D$3:$D$181,"&gt;="&amp;DATE(2025,5,1),'2025数据'!$D$3:$D$181,"&lt;="&amp;DATE(2025,5,31),'2025数据'!$AL$3:$AL$181,$E$37,'2025数据'!$B$3:$B$181,$E41))</f>
        <v>1</v>
      </c>
      <c r="K41" s="210">
        <f ca="1">IF($S$1&lt;DATE(2025,6,1)," ",COUNTIFS('2025数据'!$D$3:$D$181,"&gt;="&amp;DATE(2025,6,1),'2025数据'!$D$3:$D$181,"&lt;="&amp;DATE(2025,6,30),'2025数据'!$AL$3:$AL$181,$E$37,'2025数据'!$B$3:$B$181,$E41))</f>
        <v>0</v>
      </c>
      <c r="L41" s="210">
        <f ca="1">IF($S$1&lt;DATE(2025,7,1)," ",COUNTIFS('2025数据'!$D$3:$D$181,"&gt;="&amp;DATE(2025,7,1),'2025数据'!$D$3:$D$181,"&lt;="&amp;DATE(2025,7,31),'2025数据'!$AL$3:$AL$181,$E$37,'2025数据'!$B$3:$B$181,$E41))</f>
        <v>4</v>
      </c>
      <c r="M41" s="210">
        <f ca="1">IF($S$1&lt;DATE(2025,8,1)," ",COUNTIFS('2025数据'!$D$3:$D$181,"&gt;="&amp;DATE(2025,8,1),'2025数据'!$D$3:$D$181,"&lt;="&amp;DATE(2025,8,31),'2025数据'!$AL$3:$AL$181,$E$37,'2025数据'!$B$3:$B$181,$E41))</f>
        <v>1</v>
      </c>
      <c r="N41" s="210">
        <f ca="1">IF($S$1&lt;DATE(2025,9,1)," ",COUNTIFS('2025数据'!$D$3:$D$181,"&gt;="&amp;DATE(2025,9,1),'2025数据'!$D$3:$D$181,"&lt;="&amp;DATE(2025,9,30),'2025数据'!$AL$3:$AL$181,$E$37,'2025数据'!$B$3:$B$181,$E41))</f>
        <v>0</v>
      </c>
      <c r="O41" s="210">
        <f ca="1">IF($S$1&lt;DATE(2025,10,1)," ",COUNTIFS('2025数据'!$D$3:$D$181,"&gt;="&amp;DATE(2025,10,1),'2025数据'!$D$3:$D$181,"&lt;="&amp;DATE(2025,10,31),'2025数据'!$AL$3:$AL$181,$E$37,'2025数据'!$B$3:$B$181,$E41))</f>
        <v>0</v>
      </c>
      <c r="P41" s="212">
        <f ca="1">IF($S$1&lt;DATE(2025,11,1)," ",COUNTIFS('2025数据'!$D$3:$D$181,"&gt;="&amp;DATE(2025,11,1),'2025数据'!$D$3:$D$181,"&lt;="&amp;DATE(2025,11,30),'2025数据'!$AL$3:$AL$181,$E$37,'2025数据'!$B$3:$B$181,$E41))</f>
        <v>2</v>
      </c>
      <c r="Q41" s="212">
        <f ca="1">IF($S$1&lt;DATE(2025,12,1)," ",COUNTIFS('2025数据'!$D$3:$D$181,"&gt;="&amp;DATE(2025,12,1),'2025数据'!$D$3:$D$181,"&lt;="&amp;DATE(2025,12,31),'2025数据'!$AL$3:$AL$181,$E$37,'2025数据'!$B$3:$B$181,$E41))</f>
        <v>3</v>
      </c>
    </row>
    <row r="42" ht="24" customHeight="1" spans="1:17">
      <c r="A42" s="99" t="s">
        <v>289</v>
      </c>
      <c r="B42" s="99" t="s">
        <v>299</v>
      </c>
      <c r="C42" s="99" t="s">
        <v>291</v>
      </c>
      <c r="D42" s="53" t="s">
        <v>303</v>
      </c>
      <c r="E42" s="53" t="s">
        <v>81</v>
      </c>
      <c r="F42" s="210">
        <f ca="1">IF($S$1&lt;DATE(2025,1,1)," ",COUNTIFS('2025数据'!$D$3:$D$181,"&gt;="&amp;DATE(2025,1,1),'2025数据'!$D$3:$D$181,"&lt;="&amp;DATE(2025,1,31),'2025数据'!$AL$3:$AL$181,$E$37,'2025数据'!$B$3:$B$181,$E42))</f>
        <v>0</v>
      </c>
      <c r="G42" s="210">
        <f ca="1">IF($S$1&lt;DATE(2025,2,1)," ",COUNTIFS('2025数据'!$D$3:$D$181,"&gt;="&amp;DATE(2025,2,1),'2025数据'!$D$3:$D$181,"&lt;="&amp;DATE(2025,2,28),'2025数据'!$AL$3:$AL$181,$E$37,'2025数据'!$B$3:$B$181,$E42))</f>
        <v>0</v>
      </c>
      <c r="H42" s="210">
        <f ca="1">IF($S$1&lt;DATE(2025,3,1)," ",COUNTIFS('2025数据'!$D$3:$D$181,"&gt;="&amp;DATE(2025,3,1),'2025数据'!$D$3:$D$181,"&lt;="&amp;DATE(2025,3,31),'2025数据'!$AL$3:$AL$181,$E$37,'2025数据'!$B$3:$B$181,$E42))</f>
        <v>0</v>
      </c>
      <c r="I42" s="210">
        <f ca="1">IF($S$1&lt;DATE(2025,4,1)," ",COUNTIFS('2025数据'!$D$3:$D$181,"&gt;="&amp;DATE(2025,4,1),'2025数据'!$D$3:$D$181,"&lt;="&amp;DATE(2025,4,30),'2025数据'!$AL$3:$AL$181,$E$37,'2025数据'!$B$3:$B$181,$E42))</f>
        <v>1</v>
      </c>
      <c r="J42" s="210">
        <f ca="1">IF($S$1&lt;DATE(2025,5,1)," ",COUNTIFS('2025数据'!$D$3:$D$181,"&gt;="&amp;DATE(2025,5,1),'2025数据'!$D$3:$D$181,"&lt;="&amp;DATE(2025,5,31),'2025数据'!$AL$3:$AL$181,$E$37,'2025数据'!$B$3:$B$181,$E42))</f>
        <v>1</v>
      </c>
      <c r="K42" s="210">
        <f ca="1">IF($S$1&lt;DATE(2025,6,1)," ",COUNTIFS('2025数据'!$D$3:$D$181,"&gt;="&amp;DATE(2025,6,1),'2025数据'!$D$3:$D$181,"&lt;="&amp;DATE(2025,6,30),'2025数据'!$AL$3:$AL$181,$E$37,'2025数据'!$B$3:$B$181,$E42))</f>
        <v>0</v>
      </c>
      <c r="L42" s="210">
        <f ca="1">IF($S$1&lt;DATE(2025,7,1)," ",COUNTIFS('2025数据'!$D$3:$D$181,"&gt;="&amp;DATE(2025,7,1),'2025数据'!$D$3:$D$181,"&lt;="&amp;DATE(2025,7,31),'2025数据'!$AL$3:$AL$181,$E$37,'2025数据'!$B$3:$B$181,$E42))</f>
        <v>0</v>
      </c>
      <c r="M42" s="210">
        <f ca="1">IF($S$1&lt;DATE(2025,8,1)," ",COUNTIFS('2025数据'!$D$3:$D$181,"&gt;="&amp;DATE(2025,8,1),'2025数据'!$D$3:$D$181,"&lt;="&amp;DATE(2025,8,31),'2025数据'!$AL$3:$AL$181,$E$37,'2025数据'!$B$3:$B$181,$E42))</f>
        <v>0</v>
      </c>
      <c r="N42" s="210">
        <f ca="1">IF($S$1&lt;DATE(2025,9,1)," ",COUNTIFS('2025数据'!$D$3:$D$181,"&gt;="&amp;DATE(2025,9,1),'2025数据'!$D$3:$D$181,"&lt;="&amp;DATE(2025,9,30),'2025数据'!$AL$3:$AL$181,$E$37,'2025数据'!$B$3:$B$181,$E42))</f>
        <v>1</v>
      </c>
      <c r="O42" s="210">
        <f ca="1">IF($S$1&lt;DATE(2025,10,1)," ",COUNTIFS('2025数据'!$D$3:$D$181,"&gt;="&amp;DATE(2025,10,1),'2025数据'!$D$3:$D$181,"&lt;="&amp;DATE(2025,10,31),'2025数据'!$AL$3:$AL$181,$E$37,'2025数据'!$B$3:$B$181,$E42))</f>
        <v>0</v>
      </c>
      <c r="P42" s="212">
        <f ca="1">IF($S$1&lt;DATE(2025,11,1)," ",COUNTIFS('2025数据'!$D$3:$D$181,"&gt;="&amp;DATE(2025,11,1),'2025数据'!$D$3:$D$181,"&lt;="&amp;DATE(2025,11,30),'2025数据'!$AL$3:$AL$181,$E$37,'2025数据'!$B$3:$B$181,$E42))</f>
        <v>2</v>
      </c>
      <c r="Q42" s="212">
        <f ca="1">IF($S$1&lt;DATE(2025,12,1)," ",COUNTIFS('2025数据'!$D$3:$D$181,"&gt;="&amp;DATE(2025,12,1),'2025数据'!$D$3:$D$181,"&lt;="&amp;DATE(2025,12,31),'2025数据'!$AL$3:$AL$181,$E$37,'2025数据'!$B$3:$B$181,$E42))</f>
        <v>0</v>
      </c>
    </row>
    <row r="43" ht="24" customHeight="1" spans="1:17">
      <c r="A43" s="99" t="s">
        <v>289</v>
      </c>
      <c r="B43" s="99" t="s">
        <v>299</v>
      </c>
      <c r="C43" s="99" t="s">
        <v>291</v>
      </c>
      <c r="D43" s="53" t="s">
        <v>303</v>
      </c>
      <c r="E43" s="53" t="s">
        <v>96</v>
      </c>
      <c r="F43" s="210">
        <f ca="1">IF($S$1&lt;DATE(2025,1,1)," ",COUNTIFS('2025数据'!$D$3:$D$181,"&gt;="&amp;DATE(2025,1,1),'2025数据'!$D$3:$D$181,"&lt;="&amp;DATE(2025,1,31),'2025数据'!$AL$3:$AL$181,$E$37,'2025数据'!$B$3:$B$181,$E43))</f>
        <v>0</v>
      </c>
      <c r="G43" s="210">
        <f ca="1">IF($S$1&lt;DATE(2025,2,1)," ",COUNTIFS('2025数据'!$D$3:$D$181,"&gt;="&amp;DATE(2025,2,1),'2025数据'!$D$3:$D$181,"&lt;="&amp;DATE(2025,2,28),'2025数据'!$AL$3:$AL$181,$E$37,'2025数据'!$B$3:$B$181,$E43))</f>
        <v>1</v>
      </c>
      <c r="H43" s="210">
        <f ca="1">IF($S$1&lt;DATE(2025,3,1)," ",COUNTIFS('2025数据'!$D$3:$D$181,"&gt;="&amp;DATE(2025,3,1),'2025数据'!$D$3:$D$181,"&lt;="&amp;DATE(2025,3,31),'2025数据'!$AL$3:$AL$181,$E$37,'2025数据'!$B$3:$B$181,$E43))</f>
        <v>0</v>
      </c>
      <c r="I43" s="210">
        <f ca="1">IF($S$1&lt;DATE(2025,4,1)," ",COUNTIFS('2025数据'!$D$3:$D$181,"&gt;="&amp;DATE(2025,4,1),'2025数据'!$D$3:$D$181,"&lt;="&amp;DATE(2025,4,30),'2025数据'!$AL$3:$AL$181,$E$37,'2025数据'!$B$3:$B$181,$E43))</f>
        <v>0</v>
      </c>
      <c r="J43" s="210">
        <f ca="1">IF($S$1&lt;DATE(2025,5,1)," ",COUNTIFS('2025数据'!$D$3:$D$181,"&gt;="&amp;DATE(2025,5,1),'2025数据'!$D$3:$D$181,"&lt;="&amp;DATE(2025,5,31),'2025数据'!$AL$3:$AL$181,$E$37,'2025数据'!$B$3:$B$181,$E43))</f>
        <v>0</v>
      </c>
      <c r="K43" s="210">
        <f ca="1">IF($S$1&lt;DATE(2025,6,1)," ",COUNTIFS('2025数据'!$D$3:$D$181,"&gt;="&amp;DATE(2025,6,1),'2025数据'!$D$3:$D$181,"&lt;="&amp;DATE(2025,6,30),'2025数据'!$AL$3:$AL$181,$E$37,'2025数据'!$B$3:$B$181,$E43))</f>
        <v>0</v>
      </c>
      <c r="L43" s="210">
        <f ca="1">IF($S$1&lt;DATE(2025,7,1)," ",COUNTIFS('2025数据'!$D$3:$D$181,"&gt;="&amp;DATE(2025,7,1),'2025数据'!$D$3:$D$181,"&lt;="&amp;DATE(2025,7,31),'2025数据'!$AL$3:$AL$181,$E$37,'2025数据'!$B$3:$B$181,$E43))</f>
        <v>0</v>
      </c>
      <c r="M43" s="210">
        <f ca="1">IF($S$1&lt;DATE(2025,8,1)," ",COUNTIFS('2025数据'!$D$3:$D$181,"&gt;="&amp;DATE(2025,8,1),'2025数据'!$D$3:$D$181,"&lt;="&amp;DATE(2025,8,31),'2025数据'!$AL$3:$AL$181,$E$37,'2025数据'!$B$3:$B$181,$E43))</f>
        <v>0</v>
      </c>
      <c r="N43" s="210">
        <f ca="1">IF($S$1&lt;DATE(2025,9,1)," ",COUNTIFS('2025数据'!$D$3:$D$181,"&gt;="&amp;DATE(2025,9,1),'2025数据'!$D$3:$D$181,"&lt;="&amp;DATE(2025,9,30),'2025数据'!$AL$3:$AL$181,$E$37,'2025数据'!$B$3:$B$181,$E43))</f>
        <v>0</v>
      </c>
      <c r="O43" s="210">
        <f ca="1">IF($S$1&lt;DATE(2025,10,1)," ",COUNTIFS('2025数据'!$D$3:$D$181,"&gt;="&amp;DATE(2025,10,1),'2025数据'!$D$3:$D$181,"&lt;="&amp;DATE(2025,10,31),'2025数据'!$AL$3:$AL$181,$E$37,'2025数据'!$B$3:$B$181,$E43))</f>
        <v>0</v>
      </c>
      <c r="P43" s="212">
        <f ca="1">IF($S$1&lt;DATE(2025,11,1)," ",COUNTIFS('2025数据'!$D$3:$D$181,"&gt;="&amp;DATE(2025,11,1),'2025数据'!$D$3:$D$181,"&lt;="&amp;DATE(2025,11,30),'2025数据'!$AL$3:$AL$181,$E$37,'2025数据'!$B$3:$B$181,$E43))</f>
        <v>0</v>
      </c>
      <c r="Q43" s="212">
        <f ca="1">IF($S$1&lt;DATE(2025,12,1)," ",COUNTIFS('2025数据'!$D$3:$D$181,"&gt;="&amp;DATE(2025,12,1),'2025数据'!$D$3:$D$181,"&lt;="&amp;DATE(2025,12,31),'2025数据'!$AL$3:$AL$181,$E$37,'2025数据'!$B$3:$B$181,$E43))</f>
        <v>0</v>
      </c>
    </row>
    <row r="44" ht="24" customHeight="1" spans="1:17">
      <c r="A44" s="99" t="s">
        <v>289</v>
      </c>
      <c r="B44" s="99" t="s">
        <v>299</v>
      </c>
      <c r="C44" s="99" t="s">
        <v>291</v>
      </c>
      <c r="D44" s="53" t="s">
        <v>303</v>
      </c>
      <c r="E44" s="53" t="s">
        <v>160</v>
      </c>
      <c r="F44" s="210">
        <f ca="1">IF($S$1&lt;DATE(2025,1,1)," ",COUNTIFS('2025数据'!$D$3:$D$181,"&gt;="&amp;DATE(2025,1,1),'2025数据'!$D$3:$D$181,"&lt;="&amp;DATE(2025,1,31),'2025数据'!$AL$3:$AL$181,$E$37,'2025数据'!$B$3:$B$181,$E44))</f>
        <v>0</v>
      </c>
      <c r="G44" s="210">
        <f ca="1">IF($S$1&lt;DATE(2025,2,1)," ",COUNTIFS('2025数据'!$D$3:$D$181,"&gt;="&amp;DATE(2025,2,1),'2025数据'!$D$3:$D$181,"&lt;="&amp;DATE(2025,2,28),'2025数据'!$AL$3:$AL$181,$E$37,'2025数据'!$B$3:$B$181,$E44))</f>
        <v>0</v>
      </c>
      <c r="H44" s="210">
        <f ca="1">IF($S$1&lt;DATE(2025,3,1)," ",COUNTIFS('2025数据'!$D$3:$D$181,"&gt;="&amp;DATE(2025,3,1),'2025数据'!$D$3:$D$181,"&lt;="&amp;DATE(2025,3,31),'2025数据'!$AL$3:$AL$181,$E$37,'2025数据'!$B$3:$B$181,$E44))</f>
        <v>0</v>
      </c>
      <c r="I44" s="210">
        <f ca="1">IF($S$1&lt;DATE(2025,4,1)," ",COUNTIFS('2025数据'!$D$3:$D$181,"&gt;="&amp;DATE(2025,4,1),'2025数据'!$D$3:$D$181,"&lt;="&amp;DATE(2025,4,30),'2025数据'!$AL$3:$AL$181,$E$37,'2025数据'!$B$3:$B$181,$E44))</f>
        <v>0</v>
      </c>
      <c r="J44" s="210">
        <f ca="1">IF($S$1&lt;DATE(2025,5,1)," ",COUNTIFS('2025数据'!$D$3:$D$181,"&gt;="&amp;DATE(2025,5,1),'2025数据'!$D$3:$D$181,"&lt;="&amp;DATE(2025,5,31),'2025数据'!$AL$3:$AL$181,$E$37,'2025数据'!$B$3:$B$181,$E44))</f>
        <v>0</v>
      </c>
      <c r="K44" s="210">
        <f ca="1">IF($S$1&lt;DATE(2025,6,1)," ",COUNTIFS('2025数据'!$D$3:$D$181,"&gt;="&amp;DATE(2025,6,1),'2025数据'!$D$3:$D$181,"&lt;="&amp;DATE(2025,6,30),'2025数据'!$AL$3:$AL$181,$E$37,'2025数据'!$B$3:$B$181,$E44))</f>
        <v>0</v>
      </c>
      <c r="L44" s="210">
        <f ca="1">IF($S$1&lt;DATE(2025,7,1)," ",COUNTIFS('2025数据'!$D$3:$D$181,"&gt;="&amp;DATE(2025,7,1),'2025数据'!$D$3:$D$181,"&lt;="&amp;DATE(2025,7,31),'2025数据'!$AL$3:$AL$181,$E$37,'2025数据'!$B$3:$B$181,$E44))</f>
        <v>0</v>
      </c>
      <c r="M44" s="210">
        <f ca="1">IF($S$1&lt;DATE(2025,8,1)," ",COUNTIFS('2025数据'!$D$3:$D$181,"&gt;="&amp;DATE(2025,8,1),'2025数据'!$D$3:$D$181,"&lt;="&amp;DATE(2025,8,31),'2025数据'!$AL$3:$AL$181,$E$37,'2025数据'!$B$3:$B$181,$E44))</f>
        <v>0</v>
      </c>
      <c r="N44" s="210">
        <f ca="1">IF($S$1&lt;DATE(2025,9,1)," ",COUNTIFS('2025数据'!$D$3:$D$181,"&gt;="&amp;DATE(2025,9,1),'2025数据'!$D$3:$D$181,"&lt;="&amp;DATE(2025,9,30),'2025数据'!$AL$3:$AL$181,$E$37,'2025数据'!$B$3:$B$181,$E44))</f>
        <v>0</v>
      </c>
      <c r="O44" s="210">
        <f ca="1">IF($S$1&lt;DATE(2025,10,1)," ",COUNTIFS('2025数据'!$D$3:$D$181,"&gt;="&amp;DATE(2025,10,1),'2025数据'!$D$3:$D$181,"&lt;="&amp;DATE(2025,10,31),'2025数据'!$AL$3:$AL$181,$E$37,'2025数据'!$B$3:$B$181,$E44))</f>
        <v>0</v>
      </c>
      <c r="P44" s="212">
        <f ca="1">IF($S$1&lt;DATE(2025,11,1)," ",COUNTIFS('2025数据'!$D$3:$D$181,"&gt;="&amp;DATE(2025,11,1),'2025数据'!$D$3:$D$181,"&lt;="&amp;DATE(2025,11,30),'2025数据'!$AL$3:$AL$181,$E$37,'2025数据'!$B$3:$B$181,$E44))</f>
        <v>0</v>
      </c>
      <c r="Q44" s="212">
        <f ca="1">IF($S$1&lt;DATE(2025,12,1)," ",COUNTIFS('2025数据'!$D$3:$D$181,"&gt;="&amp;DATE(2025,12,1),'2025数据'!$D$3:$D$181,"&lt;="&amp;DATE(2025,12,31),'2025数据'!$AL$3:$AL$181,$E$37,'2025数据'!$B$3:$B$181,$E44))</f>
        <v>0</v>
      </c>
    </row>
    <row r="45" ht="24" customHeight="1" spans="1:17">
      <c r="A45" s="99" t="s">
        <v>289</v>
      </c>
      <c r="B45" s="99" t="s">
        <v>299</v>
      </c>
      <c r="C45" s="99" t="s">
        <v>291</v>
      </c>
      <c r="D45" s="53" t="s">
        <v>304</v>
      </c>
      <c r="E45" s="53" t="s">
        <v>93</v>
      </c>
      <c r="F45" s="210">
        <f ca="1">IF($S$1&lt;DATE(2025,1,1)," ",COUNTIFS('2025数据'!$D$3:$D$181,"&gt;="&amp;DATE(2025,1,1),'2025数据'!$D$3:$D$181,"&lt;="&amp;DATE(2025,1,31),'2025数据'!$AL$3:$AL$181,$E$38,'2025数据'!$B$3:$B$181,$E45))</f>
        <v>0</v>
      </c>
      <c r="G45" s="210">
        <f ca="1">IF($S$1&lt;DATE(2025,2,1)," ",COUNTIFS('2025数据'!$D$3:$D$181,"&gt;="&amp;DATE(2025,2,1),'2025数据'!$D$3:$D$181,"&lt;="&amp;DATE(2025,2,28),'2025数据'!$AL$3:$AL$181,$E$38,'2025数据'!$B$3:$B$181,$E45))</f>
        <v>0</v>
      </c>
      <c r="H45" s="210">
        <f ca="1">IF($S$1&lt;DATE(2025,3,1)," ",COUNTIFS('2025数据'!$D$3:$D$181,"&gt;="&amp;DATE(2025,3,1),'2025数据'!$D$3:$D$181,"&lt;="&amp;DATE(2025,3,31),'2025数据'!$AL$3:$AL$181,$E$38,'2025数据'!$B$3:$B$181,$E45))</f>
        <v>0</v>
      </c>
      <c r="I45" s="210">
        <f ca="1">IF($S$1&lt;DATE(2025,4,1)," ",COUNTIFS('2025数据'!$D$3:$D$181,"&gt;="&amp;DATE(2025,4,1),'2025数据'!$D$3:$D$181,"&lt;="&amp;DATE(2025,4,30),'2025数据'!$AL$3:$AL$181,$E$38,'2025数据'!$B$3:$B$181,$E45))</f>
        <v>2</v>
      </c>
      <c r="J45" s="210">
        <f ca="1">IF($S$1&lt;DATE(2025,5,1)," ",COUNTIFS('2025数据'!$D$3:$D$181,"&gt;="&amp;DATE(2025,5,1),'2025数据'!$D$3:$D$181,"&lt;="&amp;DATE(2025,5,31),'2025数据'!$AL$3:$AL$181,$E$38,'2025数据'!$B$3:$B$181,$E45))</f>
        <v>1</v>
      </c>
      <c r="K45" s="210">
        <f ca="1">IF($S$1&lt;DATE(2025,6,1)," ",COUNTIFS('2025数据'!$D$3:$D$181,"&gt;="&amp;DATE(2025,6,1),'2025数据'!$D$3:$D$181,"&lt;="&amp;DATE(2025,6,30),'2025数据'!$AL$3:$AL$181,$E$38,'2025数据'!$B$3:$B$181,$E45))</f>
        <v>0</v>
      </c>
      <c r="L45" s="210">
        <f ca="1">IF($S$1&lt;DATE(2025,7,1)," ",COUNTIFS('2025数据'!$D$3:$D$181,"&gt;="&amp;DATE(2025,7,1),'2025数据'!$D$3:$D$181,"&lt;="&amp;DATE(2025,7,31),'2025数据'!$AL$3:$AL$181,$E$38,'2025数据'!$B$3:$B$181,$E45))</f>
        <v>0</v>
      </c>
      <c r="M45" s="210">
        <f ca="1">IF($S$1&lt;DATE(2025,8,1)," ",COUNTIFS('2025数据'!$D$3:$D$181,"&gt;="&amp;DATE(2025,8,1),'2025数据'!$D$3:$D$181,"&lt;="&amp;DATE(2025,8,31),'2025数据'!$AL$3:$AL$181,$E$38,'2025数据'!$B$3:$B$181,$E45))</f>
        <v>0</v>
      </c>
      <c r="N45" s="210">
        <f ca="1">IF($S$1&lt;DATE(2025,9,1)," ",COUNTIFS('2025数据'!$D$3:$D$181,"&gt;="&amp;DATE(2025,9,1),'2025数据'!$D$3:$D$181,"&lt;="&amp;DATE(2025,9,30),'2025数据'!$AL$3:$AL$181,$E$38,'2025数据'!$B$3:$B$181,$E45))</f>
        <v>1</v>
      </c>
      <c r="O45" s="210">
        <f ca="1">IF($S$1&lt;DATE(2025,10,1)," ",COUNTIFS('2025数据'!$D$3:$D$181,"&gt;="&amp;DATE(2025,10,1),'2025数据'!$D$3:$D$181,"&lt;="&amp;DATE(2025,10,31),'2025数据'!$AL$3:$AL$181,$E$38,'2025数据'!$B$3:$B$181,$E45))</f>
        <v>1</v>
      </c>
      <c r="P45" s="212">
        <f ca="1">IF($S$1&lt;DATE(2025,11,1)," ",COUNTIFS('2025数据'!$D$3:$D$181,"&gt;="&amp;DATE(2025,11,1),'2025数据'!$D$3:$D$181,"&lt;="&amp;DATE(2025,11,30),'2025数据'!$AL$3:$AL$181,$E$38,'2025数据'!$B$3:$B$181,$E45))</f>
        <v>0</v>
      </c>
      <c r="Q45" s="212">
        <f ca="1">IF($S$1&lt;DATE(2025,12,1)," ",COUNTIFS('2025数据'!$D$3:$D$181,"&gt;="&amp;DATE(2025,12,1),'2025数据'!$D$3:$D$181,"&lt;="&amp;DATE(2025,12,31),'2025数据'!$AL$3:$AL$181,$E$38,'2025数据'!$B$3:$B$181,$E45))</f>
        <v>0</v>
      </c>
    </row>
    <row r="46" ht="24" customHeight="1" spans="1:17">
      <c r="A46" s="99" t="s">
        <v>289</v>
      </c>
      <c r="B46" s="99" t="s">
        <v>299</v>
      </c>
      <c r="C46" s="99" t="s">
        <v>291</v>
      </c>
      <c r="D46" s="53" t="s">
        <v>304</v>
      </c>
      <c r="E46" s="53" t="s">
        <v>85</v>
      </c>
      <c r="F46" s="210">
        <f ca="1">IF($S$1&lt;DATE(2025,1,1)," ",COUNTIFS('2025数据'!$D$3:$D$181,"&gt;="&amp;DATE(2025,1,1),'2025数据'!$D$3:$D$181,"&lt;="&amp;DATE(2025,1,31),'2025数据'!$AL$3:$AL$181,$E$38,'2025数据'!$B$3:$B$181,$E46))</f>
        <v>0</v>
      </c>
      <c r="G46" s="210">
        <f ca="1">IF($S$1&lt;DATE(2025,2,1)," ",COUNTIFS('2025数据'!$D$3:$D$181,"&gt;="&amp;DATE(2025,2,1),'2025数据'!$D$3:$D$181,"&lt;="&amp;DATE(2025,2,28),'2025数据'!$AL$3:$AL$181,$E$38,'2025数据'!$B$3:$B$181,$E46))</f>
        <v>1</v>
      </c>
      <c r="H46" s="210">
        <f ca="1">IF($S$1&lt;DATE(2025,3,1)," ",COUNTIFS('2025数据'!$D$3:$D$181,"&gt;="&amp;DATE(2025,3,1),'2025数据'!$D$3:$D$181,"&lt;="&amp;DATE(2025,3,31),'2025数据'!$AL$3:$AL$181,$E$38,'2025数据'!$B$3:$B$181,$E46))</f>
        <v>1</v>
      </c>
      <c r="I46" s="210">
        <f ca="1">IF($S$1&lt;DATE(2025,4,1)," ",COUNTIFS('2025数据'!$D$3:$D$181,"&gt;="&amp;DATE(2025,4,1),'2025数据'!$D$3:$D$181,"&lt;="&amp;DATE(2025,4,30),'2025数据'!$AL$3:$AL$181,$E$38,'2025数据'!$B$3:$B$181,$E46))</f>
        <v>0</v>
      </c>
      <c r="J46" s="210">
        <f ca="1">IF($S$1&lt;DATE(2025,5,1)," ",COUNTIFS('2025数据'!$D$3:$D$181,"&gt;="&amp;DATE(2025,5,1),'2025数据'!$D$3:$D$181,"&lt;="&amp;DATE(2025,5,31),'2025数据'!$AL$3:$AL$181,$E$38,'2025数据'!$B$3:$B$181,$E46))</f>
        <v>1</v>
      </c>
      <c r="K46" s="210">
        <f ca="1">IF($S$1&lt;DATE(2025,6,1)," ",COUNTIFS('2025数据'!$D$3:$D$181,"&gt;="&amp;DATE(2025,6,1),'2025数据'!$D$3:$D$181,"&lt;="&amp;DATE(2025,6,30),'2025数据'!$AL$3:$AL$181,$E$38,'2025数据'!$B$3:$B$181,$E46))</f>
        <v>1</v>
      </c>
      <c r="L46" s="210">
        <f ca="1">IF($S$1&lt;DATE(2025,7,1)," ",COUNTIFS('2025数据'!$D$3:$D$181,"&gt;="&amp;DATE(2025,7,1),'2025数据'!$D$3:$D$181,"&lt;="&amp;DATE(2025,7,31),'2025数据'!$AL$3:$AL$181,$E$38,'2025数据'!$B$3:$B$181,$E46))</f>
        <v>1</v>
      </c>
      <c r="M46" s="210">
        <f ca="1">IF($S$1&lt;DATE(2025,8,1)," ",COUNTIFS('2025数据'!$D$3:$D$181,"&gt;="&amp;DATE(2025,8,1),'2025数据'!$D$3:$D$181,"&lt;="&amp;DATE(2025,8,31),'2025数据'!$AL$3:$AL$181,$E$38,'2025数据'!$B$3:$B$181,$E46))</f>
        <v>0</v>
      </c>
      <c r="N46" s="210">
        <f ca="1">IF($S$1&lt;DATE(2025,9,1)," ",COUNTIFS('2025数据'!$D$3:$D$181,"&gt;="&amp;DATE(2025,9,1),'2025数据'!$D$3:$D$181,"&lt;="&amp;DATE(2025,9,30),'2025数据'!$AL$3:$AL$181,$E$38,'2025数据'!$B$3:$B$181,$E46))</f>
        <v>1</v>
      </c>
      <c r="O46" s="210">
        <f ca="1">IF($S$1&lt;DATE(2025,10,1)," ",COUNTIFS('2025数据'!$D$3:$D$181,"&gt;="&amp;DATE(2025,10,1),'2025数据'!$D$3:$D$181,"&lt;="&amp;DATE(2025,10,31),'2025数据'!$AL$3:$AL$181,$E$38,'2025数据'!$B$3:$B$181,$E46))</f>
        <v>0</v>
      </c>
      <c r="P46" s="212">
        <f ca="1">IF($S$1&lt;DATE(2025,11,1)," ",COUNTIFS('2025数据'!$D$3:$D$181,"&gt;="&amp;DATE(2025,11,1),'2025数据'!$D$3:$D$181,"&lt;="&amp;DATE(2025,11,30),'2025数据'!$AL$3:$AL$181,$E$38,'2025数据'!$B$3:$B$181,$E46))</f>
        <v>0</v>
      </c>
      <c r="Q46" s="212">
        <f ca="1">IF($S$1&lt;DATE(2025,12,1)," ",COUNTIFS('2025数据'!$D$3:$D$181,"&gt;="&amp;DATE(2025,12,1),'2025数据'!$D$3:$D$181,"&lt;="&amp;DATE(2025,12,31),'2025数据'!$AL$3:$AL$181,$E$38,'2025数据'!$B$3:$B$181,$E46))</f>
        <v>0</v>
      </c>
    </row>
    <row r="47" ht="24" customHeight="1" spans="1:17">
      <c r="A47" s="99" t="s">
        <v>289</v>
      </c>
      <c r="B47" s="99" t="s">
        <v>299</v>
      </c>
      <c r="C47" s="99" t="s">
        <v>291</v>
      </c>
      <c r="D47" s="53" t="s">
        <v>304</v>
      </c>
      <c r="E47" s="53" t="s">
        <v>81</v>
      </c>
      <c r="F47" s="210">
        <f ca="1">IF($S$1&lt;DATE(2025,1,1)," ",COUNTIFS('2025数据'!$D$3:$D$181,"&gt;="&amp;DATE(2025,1,1),'2025数据'!$D$3:$D$181,"&lt;="&amp;DATE(2025,1,31),'2025数据'!$AL$3:$AL$181,$E$38,'2025数据'!$B$3:$B$181,$E47))</f>
        <v>0</v>
      </c>
      <c r="G47" s="210">
        <f ca="1">IF($S$1&lt;DATE(2025,2,1)," ",COUNTIFS('2025数据'!$D$3:$D$181,"&gt;="&amp;DATE(2025,2,1),'2025数据'!$D$3:$D$181,"&lt;="&amp;DATE(2025,2,28),'2025数据'!$AL$3:$AL$181,$E$38,'2025数据'!$B$3:$B$181,$E47))</f>
        <v>0</v>
      </c>
      <c r="H47" s="210">
        <f ca="1">IF($S$1&lt;DATE(2025,3,1)," ",COUNTIFS('2025数据'!$D$3:$D$181,"&gt;="&amp;DATE(2025,3,1),'2025数据'!$D$3:$D$181,"&lt;="&amp;DATE(2025,3,31),'2025数据'!$AL$3:$AL$181,$E$38,'2025数据'!$B$3:$B$181,$E47))</f>
        <v>0</v>
      </c>
      <c r="I47" s="210">
        <f ca="1">IF($S$1&lt;DATE(2025,4,1)," ",COUNTIFS('2025数据'!$D$3:$D$181,"&gt;="&amp;DATE(2025,4,1),'2025数据'!$D$3:$D$181,"&lt;="&amp;DATE(2025,4,30),'2025数据'!$AL$3:$AL$181,$E$38,'2025数据'!$B$3:$B$181,$E47))</f>
        <v>0</v>
      </c>
      <c r="J47" s="210">
        <f ca="1">IF($S$1&lt;DATE(2025,5,1)," ",COUNTIFS('2025数据'!$D$3:$D$181,"&gt;="&amp;DATE(2025,5,1),'2025数据'!$D$3:$D$181,"&lt;="&amp;DATE(2025,5,31),'2025数据'!$AL$3:$AL$181,$E$38,'2025数据'!$B$3:$B$181,$E47))</f>
        <v>1</v>
      </c>
      <c r="K47" s="210">
        <f ca="1">IF($S$1&lt;DATE(2025,6,1)," ",COUNTIFS('2025数据'!$D$3:$D$181,"&gt;="&amp;DATE(2025,6,1),'2025数据'!$D$3:$D$181,"&lt;="&amp;DATE(2025,6,30),'2025数据'!$AL$3:$AL$181,$E$38,'2025数据'!$B$3:$B$181,$E47))</f>
        <v>0</v>
      </c>
      <c r="L47" s="210">
        <f ca="1">IF($S$1&lt;DATE(2025,7,1)," ",COUNTIFS('2025数据'!$D$3:$D$181,"&gt;="&amp;DATE(2025,7,1),'2025数据'!$D$3:$D$181,"&lt;="&amp;DATE(2025,7,31),'2025数据'!$AL$3:$AL$181,$E$38,'2025数据'!$B$3:$B$181,$E47))</f>
        <v>0</v>
      </c>
      <c r="M47" s="210">
        <f ca="1">IF($S$1&lt;DATE(2025,8,1)," ",COUNTIFS('2025数据'!$D$3:$D$181,"&gt;="&amp;DATE(2025,8,1),'2025数据'!$D$3:$D$181,"&lt;="&amp;DATE(2025,8,31),'2025数据'!$AL$3:$AL$181,$E$38,'2025数据'!$B$3:$B$181,$E47))</f>
        <v>1</v>
      </c>
      <c r="N47" s="210">
        <f ca="1">IF($S$1&lt;DATE(2025,9,1)," ",COUNTIFS('2025数据'!$D$3:$D$181,"&gt;="&amp;DATE(2025,9,1),'2025数据'!$D$3:$D$181,"&lt;="&amp;DATE(2025,9,30),'2025数据'!$AL$3:$AL$181,$E$38,'2025数据'!$B$3:$B$181,$E47))</f>
        <v>0</v>
      </c>
      <c r="O47" s="210">
        <f ca="1">IF($S$1&lt;DATE(2025,10,1)," ",COUNTIFS('2025数据'!$D$3:$D$181,"&gt;="&amp;DATE(2025,10,1),'2025数据'!$D$3:$D$181,"&lt;="&amp;DATE(2025,10,31),'2025数据'!$AL$3:$AL$181,$E$38,'2025数据'!$B$3:$B$181,$E47))</f>
        <v>0</v>
      </c>
      <c r="P47" s="212">
        <f ca="1">IF($S$1&lt;DATE(2025,11,1)," ",COUNTIFS('2025数据'!$D$3:$D$181,"&gt;="&amp;DATE(2025,11,1),'2025数据'!$D$3:$D$181,"&lt;="&amp;DATE(2025,11,30),'2025数据'!$AL$3:$AL$181,$E$38,'2025数据'!$B$3:$B$181,$E47))</f>
        <v>0</v>
      </c>
      <c r="Q47" s="212">
        <f ca="1">IF($S$1&lt;DATE(2025,12,1)," ",COUNTIFS('2025数据'!$D$3:$D$181,"&gt;="&amp;DATE(2025,12,1),'2025数据'!$D$3:$D$181,"&lt;="&amp;DATE(2025,12,31),'2025数据'!$AL$3:$AL$181,$E$38,'2025数据'!$B$3:$B$181,$E47))</f>
        <v>0</v>
      </c>
    </row>
    <row r="48" ht="24" customHeight="1" spans="1:17">
      <c r="A48" s="99" t="s">
        <v>289</v>
      </c>
      <c r="B48" s="99" t="s">
        <v>299</v>
      </c>
      <c r="C48" s="99" t="s">
        <v>291</v>
      </c>
      <c r="D48" s="53" t="s">
        <v>304</v>
      </c>
      <c r="E48" s="53" t="s">
        <v>96</v>
      </c>
      <c r="F48" s="210">
        <f ca="1">IF($S$1&lt;DATE(2025,1,1)," ",COUNTIFS('2025数据'!$D$3:$D$181,"&gt;="&amp;DATE(2025,1,1),'2025数据'!$D$3:$D$181,"&lt;="&amp;DATE(2025,1,31),'2025数据'!$AL$3:$AL$181,$E$38,'2025数据'!$B$3:$B$181,$E48))</f>
        <v>0</v>
      </c>
      <c r="G48" s="210">
        <f ca="1">IF($S$1&lt;DATE(2025,2,1)," ",COUNTIFS('2025数据'!$D$3:$D$181,"&gt;="&amp;DATE(2025,2,1),'2025数据'!$D$3:$D$181,"&lt;="&amp;DATE(2025,2,28),'2025数据'!$AL$3:$AL$181,$E$38,'2025数据'!$B$3:$B$181,$E48))</f>
        <v>0</v>
      </c>
      <c r="H48" s="210">
        <f ca="1">IF($S$1&lt;DATE(2025,3,1)," ",COUNTIFS('2025数据'!$D$3:$D$181,"&gt;="&amp;DATE(2025,3,1),'2025数据'!$D$3:$D$181,"&lt;="&amp;DATE(2025,3,31),'2025数据'!$AL$3:$AL$181,$E$38,'2025数据'!$B$3:$B$181,$E48))</f>
        <v>0</v>
      </c>
      <c r="I48" s="210">
        <f ca="1">IF($S$1&lt;DATE(2025,4,1)," ",COUNTIFS('2025数据'!$D$3:$D$181,"&gt;="&amp;DATE(2025,4,1),'2025数据'!$D$3:$D$181,"&lt;="&amp;DATE(2025,4,30),'2025数据'!$AL$3:$AL$181,$E$38,'2025数据'!$B$3:$B$181,$E48))</f>
        <v>0</v>
      </c>
      <c r="J48" s="210">
        <f ca="1">IF($S$1&lt;DATE(2025,5,1)," ",COUNTIFS('2025数据'!$D$3:$D$181,"&gt;="&amp;DATE(2025,5,1),'2025数据'!$D$3:$D$181,"&lt;="&amp;DATE(2025,5,31),'2025数据'!$AL$3:$AL$181,$E$38,'2025数据'!$B$3:$B$181,$E48))</f>
        <v>0</v>
      </c>
      <c r="K48" s="210">
        <f ca="1">IF($S$1&lt;DATE(2025,6,1)," ",COUNTIFS('2025数据'!$D$3:$D$181,"&gt;="&amp;DATE(2025,6,1),'2025数据'!$D$3:$D$181,"&lt;="&amp;DATE(2025,6,30),'2025数据'!$AL$3:$AL$181,$E$38,'2025数据'!$B$3:$B$181,$E48))</f>
        <v>0</v>
      </c>
      <c r="L48" s="210">
        <f ca="1">IF($S$1&lt;DATE(2025,7,1)," ",COUNTIFS('2025数据'!$D$3:$D$181,"&gt;="&amp;DATE(2025,7,1),'2025数据'!$D$3:$D$181,"&lt;="&amp;DATE(2025,7,31),'2025数据'!$AL$3:$AL$181,$E$38,'2025数据'!$B$3:$B$181,$E48))</f>
        <v>0</v>
      </c>
      <c r="M48" s="210">
        <f ca="1">IF($S$1&lt;DATE(2025,8,1)," ",COUNTIFS('2025数据'!$D$3:$D$181,"&gt;="&amp;DATE(2025,8,1),'2025数据'!$D$3:$D$181,"&lt;="&amp;DATE(2025,8,31),'2025数据'!$AL$3:$AL$181,$E$38,'2025数据'!$B$3:$B$181,$E48))</f>
        <v>0</v>
      </c>
      <c r="N48" s="210">
        <f ca="1">IF($S$1&lt;DATE(2025,9,1)," ",COUNTIFS('2025数据'!$D$3:$D$181,"&gt;="&amp;DATE(2025,9,1),'2025数据'!$D$3:$D$181,"&lt;="&amp;DATE(2025,9,30),'2025数据'!$AL$3:$AL$181,$E$38,'2025数据'!$B$3:$B$181,$E48))</f>
        <v>0</v>
      </c>
      <c r="O48" s="210">
        <f ca="1">IF($S$1&lt;DATE(2025,10,1)," ",COUNTIFS('2025数据'!$D$3:$D$181,"&gt;="&amp;DATE(2025,10,1),'2025数据'!$D$3:$D$181,"&lt;="&amp;DATE(2025,10,31),'2025数据'!$AL$3:$AL$181,$E$38,'2025数据'!$B$3:$B$181,$E48))</f>
        <v>0</v>
      </c>
      <c r="P48" s="212">
        <f ca="1">IF($S$1&lt;DATE(2025,11,1)," ",COUNTIFS('2025数据'!$D$3:$D$181,"&gt;="&amp;DATE(2025,11,1),'2025数据'!$D$3:$D$181,"&lt;="&amp;DATE(2025,11,30),'2025数据'!$AL$3:$AL$181,$E$38,'2025数据'!$B$3:$B$181,$E48))</f>
        <v>0</v>
      </c>
      <c r="Q48" s="212">
        <f ca="1">IF($S$1&lt;DATE(2025,12,1)," ",COUNTIFS('2025数据'!$D$3:$D$181,"&gt;="&amp;DATE(2025,12,1),'2025数据'!$D$3:$D$181,"&lt;="&amp;DATE(2025,12,31),'2025数据'!$AL$3:$AL$181,$E$38,'2025数据'!$B$3:$B$181,$E48))</f>
        <v>0</v>
      </c>
    </row>
    <row r="49" ht="24" customHeight="1" spans="1:17">
      <c r="A49" s="99" t="s">
        <v>289</v>
      </c>
      <c r="B49" s="99" t="s">
        <v>299</v>
      </c>
      <c r="C49" s="99" t="s">
        <v>291</v>
      </c>
      <c r="D49" s="53" t="s">
        <v>304</v>
      </c>
      <c r="E49" s="53" t="s">
        <v>160</v>
      </c>
      <c r="F49" s="210">
        <f ca="1">IF($S$1&lt;DATE(2025,1,1)," ",COUNTIFS('2025数据'!$D$3:$D$181,"&gt;="&amp;DATE(2025,1,1),'2025数据'!$D$3:$D$181,"&lt;="&amp;DATE(2025,1,31),'2025数据'!$AL$3:$AL$181,$E$38,'2025数据'!$B$3:$B$181,$E49))</f>
        <v>0</v>
      </c>
      <c r="G49" s="210">
        <f ca="1">IF($S$1&lt;DATE(2025,2,1)," ",COUNTIFS('2025数据'!$D$3:$D$181,"&gt;="&amp;DATE(2025,2,1),'2025数据'!$D$3:$D$181,"&lt;="&amp;DATE(2025,2,28),'2025数据'!$AL$3:$AL$181,$E$38,'2025数据'!$B$3:$B$181,$E49))</f>
        <v>0</v>
      </c>
      <c r="H49" s="210">
        <f ca="1">IF($S$1&lt;DATE(2025,3,1)," ",COUNTIFS('2025数据'!$D$3:$D$181,"&gt;="&amp;DATE(2025,3,1),'2025数据'!$D$3:$D$181,"&lt;="&amp;DATE(2025,3,31),'2025数据'!$AL$3:$AL$181,$E$38,'2025数据'!$B$3:$B$181,$E49))</f>
        <v>0</v>
      </c>
      <c r="I49" s="210">
        <f ca="1">IF($S$1&lt;DATE(2025,4,1)," ",COUNTIFS('2025数据'!$D$3:$D$181,"&gt;="&amp;DATE(2025,4,1),'2025数据'!$D$3:$D$181,"&lt;="&amp;DATE(2025,4,30),'2025数据'!$AL$3:$AL$181,$E$38,'2025数据'!$B$3:$B$181,$E49))</f>
        <v>0</v>
      </c>
      <c r="J49" s="210">
        <f ca="1">IF($S$1&lt;DATE(2025,5,1)," ",COUNTIFS('2025数据'!$D$3:$D$181,"&gt;="&amp;DATE(2025,5,1),'2025数据'!$D$3:$D$181,"&lt;="&amp;DATE(2025,5,31),'2025数据'!$AL$3:$AL$181,$E$38,'2025数据'!$B$3:$B$181,$E49))</f>
        <v>0</v>
      </c>
      <c r="K49" s="210">
        <f ca="1">IF($S$1&lt;DATE(2025,6,1)," ",COUNTIFS('2025数据'!$D$3:$D$181,"&gt;="&amp;DATE(2025,6,1),'2025数据'!$D$3:$D$181,"&lt;="&amp;DATE(2025,6,30),'2025数据'!$AL$3:$AL$181,$E$38,'2025数据'!$B$3:$B$181,$E49))</f>
        <v>0</v>
      </c>
      <c r="L49" s="210">
        <f ca="1">IF($S$1&lt;DATE(2025,7,1)," ",COUNTIFS('2025数据'!$D$3:$D$181,"&gt;="&amp;DATE(2025,7,1),'2025数据'!$D$3:$D$181,"&lt;="&amp;DATE(2025,7,31),'2025数据'!$AL$3:$AL$181,$E$38,'2025数据'!$B$3:$B$181,$E49))</f>
        <v>0</v>
      </c>
      <c r="M49" s="210">
        <f ca="1">IF($S$1&lt;DATE(2025,8,1)," ",COUNTIFS('2025数据'!$D$3:$D$181,"&gt;="&amp;DATE(2025,8,1),'2025数据'!$D$3:$D$181,"&lt;="&amp;DATE(2025,8,31),'2025数据'!$AL$3:$AL$181,$E$38,'2025数据'!$B$3:$B$181,$E49))</f>
        <v>0</v>
      </c>
      <c r="N49" s="210">
        <f ca="1">IF($S$1&lt;DATE(2025,9,1)," ",COUNTIFS('2025数据'!$D$3:$D$181,"&gt;="&amp;DATE(2025,9,1),'2025数据'!$D$3:$D$181,"&lt;="&amp;DATE(2025,9,30),'2025数据'!$AL$3:$AL$181,$E$38,'2025数据'!$B$3:$B$181,$E49))</f>
        <v>0</v>
      </c>
      <c r="O49" s="210">
        <f ca="1">IF($S$1&lt;DATE(2025,10,1)," ",COUNTIFS('2025数据'!$D$3:$D$181,"&gt;="&amp;DATE(2025,10,1),'2025数据'!$D$3:$D$181,"&lt;="&amp;DATE(2025,10,31),'2025数据'!$AL$3:$AL$181,$E$38,'2025数据'!$B$3:$B$181,$E49))</f>
        <v>0</v>
      </c>
      <c r="P49" s="212">
        <f ca="1">IF($S$1&lt;DATE(2025,11,1)," ",COUNTIFS('2025数据'!$D$3:$D$181,"&gt;="&amp;DATE(2025,11,1),'2025数据'!$D$3:$D$181,"&lt;="&amp;DATE(2025,11,30),'2025数据'!$AL$3:$AL$181,$E$38,'2025数据'!$B$3:$B$181,$E49))</f>
        <v>0</v>
      </c>
      <c r="Q49" s="212">
        <f ca="1">IF($S$1&lt;DATE(2025,12,1)," ",COUNTIFS('2025数据'!$D$3:$D$181,"&gt;="&amp;DATE(2025,12,1),'2025数据'!$D$3:$D$181,"&lt;="&amp;DATE(2025,12,31),'2025数据'!$AL$3:$AL$181,$E$38,'2025数据'!$B$3:$B$181,$E49))</f>
        <v>0</v>
      </c>
    </row>
    <row r="50" ht="24" customHeight="1" spans="1:17">
      <c r="A50" s="99" t="s">
        <v>289</v>
      </c>
      <c r="B50" s="99" t="s">
        <v>299</v>
      </c>
      <c r="C50" s="99" t="s">
        <v>291</v>
      </c>
      <c r="D50" s="53" t="s">
        <v>305</v>
      </c>
      <c r="E50" s="53" t="s">
        <v>93</v>
      </c>
      <c r="F50" s="210">
        <f ca="1">IF($S$1&lt;DATE(2025,1,1)," ",COUNTIFS('2025数据'!$D$3:$D$181,"&gt;="&amp;DATE(2025,1,1),'2025数据'!$D$3:$D$181,"&lt;="&amp;DATE(2025,1,31),'2025数据'!$AL$3:$AL$181,$E$39,'2025数据'!$B$3:$B$181,$E50))</f>
        <v>0</v>
      </c>
      <c r="G50" s="210">
        <f ca="1">IF($S$1&lt;DATE(2025,2,1)," ",COUNTIFS('2025数据'!$D$3:$D$181,"&gt;="&amp;DATE(2025,2,1),'2025数据'!$D$3:$D$181,"&lt;="&amp;DATE(2025,2,28),'2025数据'!$AL$3:$AL$181,$E$39,'2025数据'!$B$3:$B$181,$E50))</f>
        <v>0</v>
      </c>
      <c r="H50" s="210">
        <f ca="1">IF($S$1&lt;DATE(2025,3,1)," ",COUNTIFS('2025数据'!$D$3:$D$181,"&gt;="&amp;DATE(2025,3,1),'2025数据'!$D$3:$D$181,"&lt;="&amp;DATE(2025,3,31),'2025数据'!$AL$3:$AL$181,$E$39,'2025数据'!$B$3:$B$181,$E50))</f>
        <v>0</v>
      </c>
      <c r="I50" s="210">
        <f ca="1">IF($S$1&lt;DATE(2025,4,1)," ",COUNTIFS('2025数据'!$D$3:$D$181,"&gt;="&amp;DATE(2025,4,1),'2025数据'!$D$3:$D$181,"&lt;="&amp;DATE(2025,4,30),'2025数据'!$AL$3:$AL$181,$E$39,'2025数据'!$B$3:$B$181,$E50))</f>
        <v>0</v>
      </c>
      <c r="J50" s="210">
        <f ca="1">IF($S$1&lt;DATE(2025,5,1)," ",COUNTIFS('2025数据'!$D$3:$D$181,"&gt;="&amp;DATE(2025,5,1),'2025数据'!$D$3:$D$181,"&lt;="&amp;DATE(2025,5,31),'2025数据'!$AL$3:$AL$181,$E$39,'2025数据'!$B$3:$B$181,$E50))</f>
        <v>0</v>
      </c>
      <c r="K50" s="210">
        <f ca="1">IF($S$1&lt;DATE(2025,6,1)," ",COUNTIFS('2025数据'!$D$3:$D$181,"&gt;="&amp;DATE(2025,6,1),'2025数据'!$D$3:$D$181,"&lt;="&amp;DATE(2025,6,30),'2025数据'!$AL$3:$AL$181,$E$39,'2025数据'!$B$3:$B$181,$E50))</f>
        <v>0</v>
      </c>
      <c r="L50" s="210">
        <f ca="1">IF($S$1&lt;DATE(2025,7,1)," ",COUNTIFS('2025数据'!$D$3:$D$181,"&gt;="&amp;DATE(2025,7,1),'2025数据'!$D$3:$D$181,"&lt;="&amp;DATE(2025,7,31),'2025数据'!$AL$3:$AL$181,$E$39,'2025数据'!$B$3:$B$181,$E50))</f>
        <v>0</v>
      </c>
      <c r="M50" s="210">
        <f ca="1">IF($S$1&lt;DATE(2025,8,1)," ",COUNTIFS('2025数据'!$D$3:$D$181,"&gt;="&amp;DATE(2025,8,1),'2025数据'!$D$3:$D$181,"&lt;="&amp;DATE(2025,8,31),'2025数据'!$AL$3:$AL$181,$E$39,'2025数据'!$B$3:$B$181,$E50))</f>
        <v>0</v>
      </c>
      <c r="N50" s="210">
        <f ca="1">IF($S$1&lt;DATE(2025,9,1)," ",COUNTIFS('2025数据'!$D$3:$D$181,"&gt;="&amp;DATE(2025,9,1),'2025数据'!$D$3:$D$181,"&lt;="&amp;DATE(2025,9,30),'2025数据'!$AL$3:$AL$181,$E$39,'2025数据'!$B$3:$B$181,$E50))</f>
        <v>0</v>
      </c>
      <c r="O50" s="210">
        <f ca="1">IF($S$1&lt;DATE(2025,10,1)," ",COUNTIFS('2025数据'!$D$3:$D$181,"&gt;="&amp;DATE(2025,10,1),'2025数据'!$D$3:$D$181,"&lt;="&amp;DATE(2025,10,31),'2025数据'!$AL$3:$AL$181,$E$39,'2025数据'!$B$3:$B$181,$E50))</f>
        <v>0</v>
      </c>
      <c r="P50" s="212">
        <f ca="1">IF($S$1&lt;DATE(2025,11,1)," ",COUNTIFS('2025数据'!$D$3:$D$181,"&gt;="&amp;DATE(2025,11,1),'2025数据'!$D$3:$D$181,"&lt;="&amp;DATE(2025,11,30),'2025数据'!$AL$3:$AL$181,$E$39,'2025数据'!$B$3:$B$181,$E50))</f>
        <v>0</v>
      </c>
      <c r="Q50" s="212">
        <f ca="1">IF($S$1&lt;DATE(2025,12,1)," ",COUNTIFS('2025数据'!$D$3:$D$181,"&gt;="&amp;DATE(2025,12,1),'2025数据'!$D$3:$D$181,"&lt;="&amp;DATE(2025,12,31),'2025数据'!$AL$3:$AL$181,$E$39,'2025数据'!$B$3:$B$181,$E50))</f>
        <v>0</v>
      </c>
    </row>
    <row r="51" ht="24" customHeight="1" spans="1:17">
      <c r="A51" s="99" t="s">
        <v>289</v>
      </c>
      <c r="B51" s="99" t="s">
        <v>299</v>
      </c>
      <c r="C51" s="99" t="s">
        <v>291</v>
      </c>
      <c r="D51" s="53" t="s">
        <v>305</v>
      </c>
      <c r="E51" s="53" t="s">
        <v>85</v>
      </c>
      <c r="F51" s="210">
        <f ca="1">IF($S$1&lt;DATE(2025,1,1)," ",COUNTIFS('2025数据'!$D$3:$D$181,"&gt;="&amp;DATE(2025,1,1),'2025数据'!$D$3:$D$181,"&lt;="&amp;DATE(2025,1,31),'2025数据'!$AL$3:$AL$181,$E$39,'2025数据'!$B$3:$B$181,$E51))</f>
        <v>0</v>
      </c>
      <c r="G51" s="210">
        <f ca="1">IF($S$1&lt;DATE(2025,2,1)," ",COUNTIFS('2025数据'!$D$3:$D$181,"&gt;="&amp;DATE(2025,2,1),'2025数据'!$D$3:$D$181,"&lt;="&amp;DATE(2025,2,28),'2025数据'!$AL$3:$AL$181,$E$39,'2025数据'!$B$3:$B$181,$E51))</f>
        <v>0</v>
      </c>
      <c r="H51" s="210">
        <f ca="1">IF($S$1&lt;DATE(2025,3,1)," ",COUNTIFS('2025数据'!$D$3:$D$181,"&gt;="&amp;DATE(2025,3,1),'2025数据'!$D$3:$D$181,"&lt;="&amp;DATE(2025,3,31),'2025数据'!$AL$3:$AL$181,$E$39,'2025数据'!$B$3:$B$181,$E51))</f>
        <v>0</v>
      </c>
      <c r="I51" s="210">
        <f ca="1">IF($S$1&lt;DATE(2025,4,1)," ",COUNTIFS('2025数据'!$D$3:$D$181,"&gt;="&amp;DATE(2025,4,1),'2025数据'!$D$3:$D$181,"&lt;="&amp;DATE(2025,4,30),'2025数据'!$AL$3:$AL$181,$E$39,'2025数据'!$B$3:$B$181,$E51))</f>
        <v>0</v>
      </c>
      <c r="J51" s="210">
        <f ca="1">IF($S$1&lt;DATE(2025,5,1)," ",COUNTIFS('2025数据'!$D$3:$D$181,"&gt;="&amp;DATE(2025,5,1),'2025数据'!$D$3:$D$181,"&lt;="&amp;DATE(2025,5,31),'2025数据'!$AL$3:$AL$181,$E$39,'2025数据'!$B$3:$B$181,$E51))</f>
        <v>0</v>
      </c>
      <c r="K51" s="210">
        <f ca="1">IF($S$1&lt;DATE(2025,6,1)," ",COUNTIFS('2025数据'!$D$3:$D$181,"&gt;="&amp;DATE(2025,6,1),'2025数据'!$D$3:$D$181,"&lt;="&amp;DATE(2025,6,30),'2025数据'!$AL$3:$AL$181,$E$39,'2025数据'!$B$3:$B$181,$E51))</f>
        <v>0</v>
      </c>
      <c r="L51" s="210">
        <f ca="1">IF($S$1&lt;DATE(2025,7,1)," ",COUNTIFS('2025数据'!$D$3:$D$181,"&gt;="&amp;DATE(2025,7,1),'2025数据'!$D$3:$D$181,"&lt;="&amp;DATE(2025,7,31),'2025数据'!$AL$3:$AL$181,$E$39,'2025数据'!$B$3:$B$181,$E51))</f>
        <v>0</v>
      </c>
      <c r="M51" s="210">
        <f ca="1">IF($S$1&lt;DATE(2025,8,1)," ",COUNTIFS('2025数据'!$D$3:$D$181,"&gt;="&amp;DATE(2025,8,1),'2025数据'!$D$3:$D$181,"&lt;="&amp;DATE(2025,8,31),'2025数据'!$AL$3:$AL$181,$E$39,'2025数据'!$B$3:$B$181,$E51))</f>
        <v>0</v>
      </c>
      <c r="N51" s="210">
        <f ca="1">IF($S$1&lt;DATE(2025,9,1)," ",COUNTIFS('2025数据'!$D$3:$D$181,"&gt;="&amp;DATE(2025,9,1),'2025数据'!$D$3:$D$181,"&lt;="&amp;DATE(2025,9,30),'2025数据'!$AL$3:$AL$181,$E$39,'2025数据'!$B$3:$B$181,$E51))</f>
        <v>0</v>
      </c>
      <c r="O51" s="210">
        <f ca="1">IF($S$1&lt;DATE(2025,10,1)," ",COUNTIFS('2025数据'!$D$3:$D$181,"&gt;="&amp;DATE(2025,10,1),'2025数据'!$D$3:$D$181,"&lt;="&amp;DATE(2025,10,31),'2025数据'!$AL$3:$AL$181,$E$39,'2025数据'!$B$3:$B$181,$E51))</f>
        <v>0</v>
      </c>
      <c r="P51" s="212">
        <f ca="1">IF($S$1&lt;DATE(2025,11,1)," ",COUNTIFS('2025数据'!$D$3:$D$181,"&gt;="&amp;DATE(2025,11,1),'2025数据'!$D$3:$D$181,"&lt;="&amp;DATE(2025,11,30),'2025数据'!$AL$3:$AL$181,$E$39,'2025数据'!$B$3:$B$181,$E51))</f>
        <v>0</v>
      </c>
      <c r="Q51" s="212">
        <f ca="1">IF($S$1&lt;DATE(2025,12,1)," ",COUNTIFS('2025数据'!$D$3:$D$181,"&gt;="&amp;DATE(2025,12,1),'2025数据'!$D$3:$D$181,"&lt;="&amp;DATE(2025,12,31),'2025数据'!$AL$3:$AL$181,$E$39,'2025数据'!$B$3:$B$181,$E51))</f>
        <v>0</v>
      </c>
    </row>
    <row r="52" ht="24" customHeight="1" spans="1:17">
      <c r="A52" s="99" t="s">
        <v>289</v>
      </c>
      <c r="B52" s="99" t="s">
        <v>299</v>
      </c>
      <c r="C52" s="99" t="s">
        <v>291</v>
      </c>
      <c r="D52" s="53" t="s">
        <v>305</v>
      </c>
      <c r="E52" s="53" t="s">
        <v>81</v>
      </c>
      <c r="F52" s="210">
        <f ca="1">IF($S$1&lt;DATE(2025,1,1)," ",COUNTIFS('2025数据'!$D$3:$D$181,"&gt;="&amp;DATE(2025,1,1),'2025数据'!$D$3:$D$181,"&lt;="&amp;DATE(2025,1,31),'2025数据'!$AL$3:$AL$181,$E$39,'2025数据'!$B$3:$B$181,$E52))</f>
        <v>0</v>
      </c>
      <c r="G52" s="210">
        <f ca="1">IF($S$1&lt;DATE(2025,2,1)," ",COUNTIFS('2025数据'!$D$3:$D$181,"&gt;="&amp;DATE(2025,2,1),'2025数据'!$D$3:$D$181,"&lt;="&amp;DATE(2025,2,28),'2025数据'!$AL$3:$AL$181,$E$39,'2025数据'!$B$3:$B$181,$E52))</f>
        <v>0</v>
      </c>
      <c r="H52" s="210">
        <f ca="1">IF($S$1&lt;DATE(2025,3,1)," ",COUNTIFS('2025数据'!$D$3:$D$181,"&gt;="&amp;DATE(2025,3,1),'2025数据'!$D$3:$D$181,"&lt;="&amp;DATE(2025,3,31),'2025数据'!$AL$3:$AL$181,$E$39,'2025数据'!$B$3:$B$181,$E52))</f>
        <v>0</v>
      </c>
      <c r="I52" s="210">
        <f ca="1">IF($S$1&lt;DATE(2025,4,1)," ",COUNTIFS('2025数据'!$D$3:$D$181,"&gt;="&amp;DATE(2025,4,1),'2025数据'!$D$3:$D$181,"&lt;="&amp;DATE(2025,4,30),'2025数据'!$AL$3:$AL$181,$E$39,'2025数据'!$B$3:$B$181,$E52))</f>
        <v>0</v>
      </c>
      <c r="J52" s="210">
        <f ca="1">IF($S$1&lt;DATE(2025,5,1)," ",COUNTIFS('2025数据'!$D$3:$D$181,"&gt;="&amp;DATE(2025,5,1),'2025数据'!$D$3:$D$181,"&lt;="&amp;DATE(2025,5,31),'2025数据'!$AL$3:$AL$181,$E$39,'2025数据'!$B$3:$B$181,$E52))</f>
        <v>0</v>
      </c>
      <c r="K52" s="210">
        <f ca="1">IF($S$1&lt;DATE(2025,6,1)," ",COUNTIFS('2025数据'!$D$3:$D$181,"&gt;="&amp;DATE(2025,6,1),'2025数据'!$D$3:$D$181,"&lt;="&amp;DATE(2025,6,30),'2025数据'!$AL$3:$AL$181,$E$39,'2025数据'!$B$3:$B$181,$E52))</f>
        <v>0</v>
      </c>
      <c r="L52" s="210">
        <f ca="1">IF($S$1&lt;DATE(2025,7,1)," ",COUNTIFS('2025数据'!$D$3:$D$181,"&gt;="&amp;DATE(2025,7,1),'2025数据'!$D$3:$D$181,"&lt;="&amp;DATE(2025,7,31),'2025数据'!$AL$3:$AL$181,$E$39,'2025数据'!$B$3:$B$181,$E52))</f>
        <v>0</v>
      </c>
      <c r="M52" s="210">
        <f ca="1">IF($S$1&lt;DATE(2025,8,1)," ",COUNTIFS('2025数据'!$D$3:$D$181,"&gt;="&amp;DATE(2025,8,1),'2025数据'!$D$3:$D$181,"&lt;="&amp;DATE(2025,8,31),'2025数据'!$AL$3:$AL$181,$E$39,'2025数据'!$B$3:$B$181,$E52))</f>
        <v>0</v>
      </c>
      <c r="N52" s="210">
        <f ca="1">IF($S$1&lt;DATE(2025,9,1)," ",COUNTIFS('2025数据'!$D$3:$D$181,"&gt;="&amp;DATE(2025,9,1),'2025数据'!$D$3:$D$181,"&lt;="&amp;DATE(2025,9,30),'2025数据'!$AL$3:$AL$181,$E$39,'2025数据'!$B$3:$B$181,$E52))</f>
        <v>0</v>
      </c>
      <c r="O52" s="210">
        <f ca="1">IF($S$1&lt;DATE(2025,10,1)," ",COUNTIFS('2025数据'!$D$3:$D$181,"&gt;="&amp;DATE(2025,10,1),'2025数据'!$D$3:$D$181,"&lt;="&amp;DATE(2025,10,31),'2025数据'!$AL$3:$AL$181,$E$39,'2025数据'!$B$3:$B$181,$E52))</f>
        <v>0</v>
      </c>
      <c r="P52" s="212">
        <f ca="1">IF($S$1&lt;DATE(2025,11,1)," ",COUNTIFS('2025数据'!$D$3:$D$181,"&gt;="&amp;DATE(2025,11,1),'2025数据'!$D$3:$D$181,"&lt;="&amp;DATE(2025,11,30),'2025数据'!$AL$3:$AL$181,$E$39,'2025数据'!$B$3:$B$181,$E52))</f>
        <v>0</v>
      </c>
      <c r="Q52" s="212">
        <f ca="1">IF($S$1&lt;DATE(2025,12,1)," ",COUNTIFS('2025数据'!$D$3:$D$181,"&gt;="&amp;DATE(2025,12,1),'2025数据'!$D$3:$D$181,"&lt;="&amp;DATE(2025,12,31),'2025数据'!$AL$3:$AL$181,$E$39,'2025数据'!$B$3:$B$181,$E52))</f>
        <v>0</v>
      </c>
    </row>
    <row r="53" ht="24" customHeight="1" spans="1:17">
      <c r="A53" s="99" t="s">
        <v>289</v>
      </c>
      <c r="B53" s="99" t="s">
        <v>299</v>
      </c>
      <c r="C53" s="99" t="s">
        <v>291</v>
      </c>
      <c r="D53" s="53" t="s">
        <v>305</v>
      </c>
      <c r="E53" s="53" t="s">
        <v>96</v>
      </c>
      <c r="F53" s="210">
        <f ca="1">IF($S$1&lt;DATE(2025,1,1)," ",COUNTIFS('2025数据'!$D$3:$D$181,"&gt;="&amp;DATE(2025,1,1),'2025数据'!$D$3:$D$181,"&lt;="&amp;DATE(2025,1,31),'2025数据'!$AL$3:$AL$181,$E$39,'2025数据'!$B$3:$B$181,$E53))</f>
        <v>0</v>
      </c>
      <c r="G53" s="210">
        <f ca="1">IF($S$1&lt;DATE(2025,2,1)," ",COUNTIFS('2025数据'!$D$3:$D$181,"&gt;="&amp;DATE(2025,2,1),'2025数据'!$D$3:$D$181,"&lt;="&amp;DATE(2025,2,28),'2025数据'!$AL$3:$AL$181,$E$39,'2025数据'!$B$3:$B$181,$E53))</f>
        <v>0</v>
      </c>
      <c r="H53" s="210">
        <f ca="1">IF($S$1&lt;DATE(2025,3,1)," ",COUNTIFS('2025数据'!$D$3:$D$181,"&gt;="&amp;DATE(2025,3,1),'2025数据'!$D$3:$D$181,"&lt;="&amp;DATE(2025,3,31),'2025数据'!$AL$3:$AL$181,$E$39,'2025数据'!$B$3:$B$181,$E53))</f>
        <v>0</v>
      </c>
      <c r="I53" s="210">
        <f ca="1">IF($S$1&lt;DATE(2025,4,1)," ",COUNTIFS('2025数据'!$D$3:$D$181,"&gt;="&amp;DATE(2025,4,1),'2025数据'!$D$3:$D$181,"&lt;="&amp;DATE(2025,4,30),'2025数据'!$AL$3:$AL$181,$E$39,'2025数据'!$B$3:$B$181,$E53))</f>
        <v>0</v>
      </c>
      <c r="J53" s="210">
        <f ca="1">IF($S$1&lt;DATE(2025,5,1)," ",COUNTIFS('2025数据'!$D$3:$D$181,"&gt;="&amp;DATE(2025,5,1),'2025数据'!$D$3:$D$181,"&lt;="&amp;DATE(2025,5,31),'2025数据'!$AL$3:$AL$181,$E$39,'2025数据'!$B$3:$B$181,$E53))</f>
        <v>0</v>
      </c>
      <c r="K53" s="210">
        <f ca="1">IF($S$1&lt;DATE(2025,6,1)," ",COUNTIFS('2025数据'!$D$3:$D$181,"&gt;="&amp;DATE(2025,6,1),'2025数据'!$D$3:$D$181,"&lt;="&amp;DATE(2025,6,30),'2025数据'!$AL$3:$AL$181,$E$39,'2025数据'!$B$3:$B$181,$E53))</f>
        <v>0</v>
      </c>
      <c r="L53" s="210">
        <f ca="1">IF($S$1&lt;DATE(2025,7,1)," ",COUNTIFS('2025数据'!$D$3:$D$181,"&gt;="&amp;DATE(2025,7,1),'2025数据'!$D$3:$D$181,"&lt;="&amp;DATE(2025,7,31),'2025数据'!$AL$3:$AL$181,$E$39,'2025数据'!$B$3:$B$181,$E53))</f>
        <v>0</v>
      </c>
      <c r="M53" s="210">
        <f ca="1">IF($S$1&lt;DATE(2025,8,1)," ",COUNTIFS('2025数据'!$D$3:$D$181,"&gt;="&amp;DATE(2025,8,1),'2025数据'!$D$3:$D$181,"&lt;="&amp;DATE(2025,8,31),'2025数据'!$AL$3:$AL$181,$E$39,'2025数据'!$B$3:$B$181,$E53))</f>
        <v>0</v>
      </c>
      <c r="N53" s="210">
        <f ca="1">IF($S$1&lt;DATE(2025,9,1)," ",COUNTIFS('2025数据'!$D$3:$D$181,"&gt;="&amp;DATE(2025,9,1),'2025数据'!$D$3:$D$181,"&lt;="&amp;DATE(2025,9,30),'2025数据'!$AL$3:$AL$181,$E$39,'2025数据'!$B$3:$B$181,$E53))</f>
        <v>0</v>
      </c>
      <c r="O53" s="210">
        <f ca="1">IF($S$1&lt;DATE(2025,10,1)," ",COUNTIFS('2025数据'!$D$3:$D$181,"&gt;="&amp;DATE(2025,10,1),'2025数据'!$D$3:$D$181,"&lt;="&amp;DATE(2025,10,31),'2025数据'!$AL$3:$AL$181,$E$39,'2025数据'!$B$3:$B$181,$E53))</f>
        <v>0</v>
      </c>
      <c r="P53" s="212">
        <f ca="1">IF($S$1&lt;DATE(2025,11,1)," ",COUNTIFS('2025数据'!$D$3:$D$181,"&gt;="&amp;DATE(2025,11,1),'2025数据'!$D$3:$D$181,"&lt;="&amp;DATE(2025,11,30),'2025数据'!$AL$3:$AL$181,$E$39,'2025数据'!$B$3:$B$181,$E53))</f>
        <v>0</v>
      </c>
      <c r="Q53" s="212">
        <f ca="1">IF($S$1&lt;DATE(2025,12,1)," ",COUNTIFS('2025数据'!$D$3:$D$181,"&gt;="&amp;DATE(2025,12,1),'2025数据'!$D$3:$D$181,"&lt;="&amp;DATE(2025,12,31),'2025数据'!$AL$3:$AL$181,$E$39,'2025数据'!$B$3:$B$181,$E53))</f>
        <v>0</v>
      </c>
    </row>
    <row r="54" ht="24" customHeight="1" spans="1:17">
      <c r="A54" s="99" t="s">
        <v>289</v>
      </c>
      <c r="B54" s="99" t="s">
        <v>299</v>
      </c>
      <c r="C54" s="99" t="s">
        <v>291</v>
      </c>
      <c r="D54" s="53" t="s">
        <v>305</v>
      </c>
      <c r="E54" s="53" t="s">
        <v>160</v>
      </c>
      <c r="F54" s="210">
        <f ca="1">IF($S$1&lt;DATE(2025,1,1)," ",COUNTIFS('2025数据'!$D$3:$D$181,"&gt;="&amp;DATE(2025,1,1),'2025数据'!$D$3:$D$181,"&lt;="&amp;DATE(2025,1,31),'2025数据'!$AL$3:$AL$181,$E$39,'2025数据'!$B$3:$B$181,$E54))</f>
        <v>0</v>
      </c>
      <c r="G54" s="210">
        <f ca="1">IF($S$1&lt;DATE(2025,2,1)," ",COUNTIFS('2025数据'!$D$3:$D$181,"&gt;="&amp;DATE(2025,2,1),'2025数据'!$D$3:$D$181,"&lt;="&amp;DATE(2025,2,28),'2025数据'!$AL$3:$AL$181,$E$39,'2025数据'!$B$3:$B$181,$E54))</f>
        <v>0</v>
      </c>
      <c r="H54" s="210">
        <f ca="1">IF($S$1&lt;DATE(2025,3,1)," ",COUNTIFS('2025数据'!$D$3:$D$181,"&gt;="&amp;DATE(2025,3,1),'2025数据'!$D$3:$D$181,"&lt;="&amp;DATE(2025,3,31),'2025数据'!$AL$3:$AL$181,$E$39,'2025数据'!$B$3:$B$181,$E54))</f>
        <v>0</v>
      </c>
      <c r="I54" s="210">
        <f ca="1">IF($S$1&lt;DATE(2025,4,1)," ",COUNTIFS('2025数据'!$D$3:$D$181,"&gt;="&amp;DATE(2025,4,1),'2025数据'!$D$3:$D$181,"&lt;="&amp;DATE(2025,4,30),'2025数据'!$AL$3:$AL$181,$E$39,'2025数据'!$B$3:$B$181,$E54))</f>
        <v>0</v>
      </c>
      <c r="J54" s="210">
        <f ca="1">IF($S$1&lt;DATE(2025,5,1)," ",COUNTIFS('2025数据'!$D$3:$D$181,"&gt;="&amp;DATE(2025,5,1),'2025数据'!$D$3:$D$181,"&lt;="&amp;DATE(2025,5,31),'2025数据'!$AL$3:$AL$181,$E$39,'2025数据'!$B$3:$B$181,$E54))</f>
        <v>0</v>
      </c>
      <c r="K54" s="210">
        <f ca="1">IF($S$1&lt;DATE(2025,6,1)," ",COUNTIFS('2025数据'!$D$3:$D$181,"&gt;="&amp;DATE(2025,6,1),'2025数据'!$D$3:$D$181,"&lt;="&amp;DATE(2025,6,30),'2025数据'!$AL$3:$AL$181,$E$39,'2025数据'!$B$3:$B$181,$E54))</f>
        <v>0</v>
      </c>
      <c r="L54" s="210">
        <f ca="1">IF($S$1&lt;DATE(2025,7,1)," ",COUNTIFS('2025数据'!$D$3:$D$181,"&gt;="&amp;DATE(2025,7,1),'2025数据'!$D$3:$D$181,"&lt;="&amp;DATE(2025,7,31),'2025数据'!$AL$3:$AL$181,$E$39,'2025数据'!$B$3:$B$181,$E54))</f>
        <v>0</v>
      </c>
      <c r="M54" s="210">
        <f ca="1">IF($S$1&lt;DATE(2025,8,1)," ",COUNTIFS('2025数据'!$D$3:$D$181,"&gt;="&amp;DATE(2025,8,1),'2025数据'!$D$3:$D$181,"&lt;="&amp;DATE(2025,8,31),'2025数据'!$AL$3:$AL$181,$E$39,'2025数据'!$B$3:$B$181,$E54))</f>
        <v>0</v>
      </c>
      <c r="N54" s="210">
        <f ca="1">IF($S$1&lt;DATE(2025,9,1)," ",COUNTIFS('2025数据'!$D$3:$D$181,"&gt;="&amp;DATE(2025,9,1),'2025数据'!$D$3:$D$181,"&lt;="&amp;DATE(2025,9,30),'2025数据'!$AL$3:$AL$181,$E$39,'2025数据'!$B$3:$B$181,$E54))</f>
        <v>0</v>
      </c>
      <c r="O54" s="210">
        <f ca="1">IF($S$1&lt;DATE(2025,10,1)," ",COUNTIFS('2025数据'!$D$3:$D$181,"&gt;="&amp;DATE(2025,10,1),'2025数据'!$D$3:$D$181,"&lt;="&amp;DATE(2025,10,31),'2025数据'!$AL$3:$AL$181,$E$39,'2025数据'!$B$3:$B$181,$E54))</f>
        <v>0</v>
      </c>
      <c r="P54" s="212">
        <f ca="1">IF($S$1&lt;DATE(2025,11,1)," ",COUNTIFS('2025数据'!$D$3:$D$181,"&gt;="&amp;DATE(2025,11,1),'2025数据'!$D$3:$D$181,"&lt;="&amp;DATE(2025,11,30),'2025数据'!$AL$3:$AL$181,$E$39,'2025数据'!$B$3:$B$181,$E54))</f>
        <v>0</v>
      </c>
      <c r="Q54" s="212">
        <f ca="1">IF($S$1&lt;DATE(2025,12,1)," ",COUNTIFS('2025数据'!$D$3:$D$181,"&gt;="&amp;DATE(2025,12,1),'2025数据'!$D$3:$D$181,"&lt;="&amp;DATE(2025,12,31),'2025数据'!$AL$3:$AL$181,$E$39,'2025数据'!$B$3:$B$181,$E54))</f>
        <v>0</v>
      </c>
    </row>
    <row r="55" ht="24" customHeight="1" spans="1:17">
      <c r="A55" s="99" t="s">
        <v>289</v>
      </c>
      <c r="B55" s="99" t="s">
        <v>299</v>
      </c>
      <c r="C55" s="99" t="s">
        <v>291</v>
      </c>
      <c r="D55" s="100" t="s">
        <v>292</v>
      </c>
      <c r="E55" s="100" t="s">
        <v>306</v>
      </c>
      <c r="F55" s="204">
        <f ca="1">IF($S$1&lt;DATE(2025,1,1)," ",SUM(F56:F58))</f>
        <v>4</v>
      </c>
      <c r="G55" s="204">
        <f ca="1">IF($S$1&lt;DATE(2025,2,1)," ",SUM(G56:G58))</f>
        <v>2</v>
      </c>
      <c r="H55" s="204">
        <f ca="1">IF($S$1&lt;DATE(2025,3,1)," ",SUM(H56:H58))</f>
        <v>1</v>
      </c>
      <c r="I55" s="204">
        <f ca="1">IF($S$1&lt;DATE(2025,4,1)," ",SUM(I56:I58))</f>
        <v>5</v>
      </c>
      <c r="J55" s="204">
        <f ca="1">IF($S$1&lt;DATE(2025,5,1)," ",SUM(J56:J58))</f>
        <v>4</v>
      </c>
      <c r="K55" s="204">
        <f ca="1">IF($S$1&lt;DATE(2025,6,1)," ",SUM(K56:K58))</f>
        <v>1</v>
      </c>
      <c r="L55" s="204">
        <f ca="1">IF($S$1&lt;DATE(2025,7,1)," ",SUM(L56:L58))</f>
        <v>5</v>
      </c>
      <c r="M55" s="204">
        <f ca="1">IF($S$1&lt;DATE(2025,8,1)," ",SUM(M56:M58))</f>
        <v>4</v>
      </c>
      <c r="N55" s="204">
        <f ca="1">IF($S$1&lt;DATE(2025,9,1)," ",SUM(N56:N58))</f>
        <v>4</v>
      </c>
      <c r="O55" s="204">
        <f ca="1">IF($S$1&lt;DATE(2025,10,1)," ",SUM(O56:O58))</f>
        <v>1</v>
      </c>
      <c r="P55" s="204">
        <f ca="1">IF($S$1&lt;DATE(2025,11,1)," ",SUM(P56:P58))</f>
        <v>5</v>
      </c>
      <c r="Q55" s="204">
        <f ca="1">IF($S$1&lt;DATE(2025,12,1)," ",SUM(Q56:Q58))</f>
        <v>3</v>
      </c>
    </row>
    <row r="56" ht="24" customHeight="1" spans="1:17">
      <c r="A56" s="99" t="s">
        <v>289</v>
      </c>
      <c r="B56" s="99" t="s">
        <v>299</v>
      </c>
      <c r="C56" s="99" t="s">
        <v>291</v>
      </c>
      <c r="D56" s="48" t="s">
        <v>296</v>
      </c>
      <c r="E56" s="48" t="s">
        <v>90</v>
      </c>
      <c r="F56" s="205">
        <f ca="1">IF($S$1&lt;DATE(2025,1,1)," ",COUNTIFS('2025数据'!$D$3:$D$181,"&gt;="&amp;DATE(2024,1,1),'2025数据'!$D$3:$D$181,"&lt;="&amp;DATE(2025,1,31),'2025数据'!$AF$3:$AF$181,$E56))</f>
        <v>0</v>
      </c>
      <c r="G56" s="205">
        <f ca="1">IF($S$1&lt;DATE(2025,2,1)," ",COUNTIFS('2025数据'!$D$3:$D$181,"&gt;="&amp;DATE(2025,2,1),'2025数据'!$D$3:$D$181,"&lt;="&amp;DATE(2025,2,28),'2025数据'!$AF$3:$AF$181,$E56))</f>
        <v>1</v>
      </c>
      <c r="H56" s="205">
        <f ca="1">IF($S$1&lt;DATE(2025,3,1)," ",COUNTIFS('2025数据'!$D$3:$D$181,"&gt;="&amp;DATE(2025,3,1),'2025数据'!$D$3:$D$181,"&lt;="&amp;DATE(2025,3,31),'2025数据'!$AF$3:$AF$181,$E56))</f>
        <v>1</v>
      </c>
      <c r="I56" s="205">
        <f ca="1">IF($S$1&lt;DATE(2025,4,1)," ",COUNTIFS('2025数据'!$D$3:$D$181,"&gt;="&amp;DATE(2025,4,1),'2025数据'!$D$3:$D$181,"&lt;="&amp;DATE(2025,4,30),'2025数据'!$AF$3:$AF$181,$E56))</f>
        <v>2</v>
      </c>
      <c r="J56" s="205">
        <f ca="1">IF($S$1&lt;DATE(2025,5,1)," ",COUNTIFS('2025数据'!$D$3:$D$181,"&gt;="&amp;DATE(2025,5,1),'2025数据'!$D$3:$D$181,"&lt;="&amp;DATE(2025,5,31),'2025数据'!$AF$3:$AF$181,$E56))</f>
        <v>2</v>
      </c>
      <c r="K56" s="205">
        <f ca="1">IF($S$1&lt;DATE(2025,6,1)," ",COUNTIFS('2025数据'!$D$3:$D$181,"&gt;="&amp;DATE(2025,6,1),'2025数据'!$D$3:$D$181,"&lt;="&amp;DATE(2025,6,30),'2025数据'!$AF$3:$AF$181,$E56))</f>
        <v>1</v>
      </c>
      <c r="L56" s="205">
        <f ca="1">IF($S$1&lt;DATE(2025,7,1)," ",COUNTIFS('2025数据'!$D$3:$D$181,"&gt;="&amp;DATE(2025,7,1),'2025数据'!$D$3:$D$181,"&lt;="&amp;DATE(2025,7,31),'2025数据'!$AF$3:$AF$181,$E56))</f>
        <v>1</v>
      </c>
      <c r="M56" s="205">
        <f ca="1">IF($S$1&lt;DATE(2025,8,1)," ",COUNTIFS('2025数据'!$D$3:$D$181,"&gt;="&amp;DATE(2025,8,1),'2025数据'!$D$3:$D$181,"&lt;="&amp;DATE(2025,8,31),'2025数据'!$AF$3:$AF$181,$E56))</f>
        <v>3</v>
      </c>
      <c r="N56" s="205">
        <f ca="1">IF($S$1&lt;DATE(2025,9,1)," ",COUNTIFS('2025数据'!$D$3:$D$181,"&gt;="&amp;DATE(2025,9,1),'2025数据'!$D$3:$D$181,"&lt;="&amp;DATE(2025,9,30),'2025数据'!$AF$3:$AF$181,$E56))</f>
        <v>2</v>
      </c>
      <c r="O56" s="205">
        <f ca="1">IF($S$1&lt;DATE(2025,10,1)," ",COUNTIFS('2025数据'!$D$3:$D$181,"&gt;="&amp;DATE(2025,10,1),'2025数据'!$D$3:$D$181,"&lt;="&amp;DATE(2025,10,31),'2025数据'!$AF$3:$AF$181,$E56))</f>
        <v>1</v>
      </c>
      <c r="P56" s="207">
        <f ca="1">IF($S$1&lt;DATE(2025,11,1)," ",COUNTIFS('2025数据'!$D$3:$D$181,"&gt;="&amp;DATE(2025,11,1),'2025数据'!$D$3:$D$181,"&lt;="&amp;DATE(2025,11,30),'2025数据'!$AF$3:$AF$181,$E56))</f>
        <v>1</v>
      </c>
      <c r="Q56" s="207">
        <f ca="1">IF($S$1&lt;DATE(2025,12,1)," ",COUNTIFS('2025数据'!$D$3:$D$181,"&gt;="&amp;DATE(2025,12,1),'2025数据'!$D$3:$D$181,"&lt;="&amp;DATE(2025,12,31),'2025数据'!$AF$3:$AF$181,$E56))</f>
        <v>1</v>
      </c>
    </row>
    <row r="57" ht="24" customHeight="1" spans="1:17">
      <c r="A57" s="99" t="s">
        <v>289</v>
      </c>
      <c r="B57" s="99" t="s">
        <v>299</v>
      </c>
      <c r="C57" s="99" t="s">
        <v>291</v>
      </c>
      <c r="D57" s="48" t="s">
        <v>296</v>
      </c>
      <c r="E57" s="48" t="s">
        <v>82</v>
      </c>
      <c r="F57" s="205">
        <f ca="1">IF($S$1&lt;DATE(2025,1,1)," ",COUNTIFS('2025数据'!$D$3:$D$181,"&gt;="&amp;DATE(2024,1,1),'2025数据'!$D$3:$D$181,"&lt;="&amp;DATE(2025,1,31),'2025数据'!$AF$3:$AF$181,$E57))</f>
        <v>2</v>
      </c>
      <c r="G57" s="205">
        <f ca="1">IF($S$1&lt;DATE(2025,2,1)," ",COUNTIFS('2025数据'!$D$3:$D$181,"&gt;="&amp;DATE(2025,2,1),'2025数据'!$D$3:$D$181,"&lt;="&amp;DATE(2025,2,28),'2025数据'!$AF$3:$AF$181,$E57))</f>
        <v>1</v>
      </c>
      <c r="H57" s="205">
        <f ca="1">IF($S$1&lt;DATE(2025,3,1)," ",COUNTIFS('2025数据'!$D$3:$D$181,"&gt;="&amp;DATE(2025,3,1),'2025数据'!$D$3:$D$181,"&lt;="&amp;DATE(2025,3,31),'2025数据'!$AF$3:$AF$181,$E57))</f>
        <v>0</v>
      </c>
      <c r="I57" s="205">
        <f ca="1">IF($S$1&lt;DATE(2025,4,1)," ",COUNTIFS('2025数据'!$D$3:$D$181,"&gt;="&amp;DATE(2025,4,1),'2025数据'!$D$3:$D$181,"&lt;="&amp;DATE(2025,4,30),'2025数据'!$AF$3:$AF$181,$E57))</f>
        <v>3</v>
      </c>
      <c r="J57" s="205">
        <f ca="1">IF($S$1&lt;DATE(2025,5,1)," ",COUNTIFS('2025数据'!$D$3:$D$181,"&gt;="&amp;DATE(2025,5,1),'2025数据'!$D$3:$D$181,"&lt;="&amp;DATE(2025,5,31),'2025数据'!$AF$3:$AF$181,$E57))</f>
        <v>1</v>
      </c>
      <c r="K57" s="205">
        <f ca="1">IF($S$1&lt;DATE(2025,6,1)," ",COUNTIFS('2025数据'!$D$3:$D$181,"&gt;="&amp;DATE(2025,6,1),'2025数据'!$D$3:$D$181,"&lt;="&amp;DATE(2025,6,30),'2025数据'!$AF$3:$AF$181,$E57))</f>
        <v>0</v>
      </c>
      <c r="L57" s="205">
        <f ca="1">IF($S$1&lt;DATE(2025,7,1)," ",COUNTIFS('2025数据'!$D$3:$D$181,"&gt;="&amp;DATE(2025,7,1),'2025数据'!$D$3:$D$181,"&lt;="&amp;DATE(2025,7,31),'2025数据'!$AF$3:$AF$181,$E57))</f>
        <v>1</v>
      </c>
      <c r="M57" s="205">
        <f ca="1">IF($S$1&lt;DATE(2025,8,1)," ",COUNTIFS('2025数据'!$D$3:$D$181,"&gt;="&amp;DATE(2025,8,1),'2025数据'!$D$3:$D$181,"&lt;="&amp;DATE(2025,8,31),'2025数据'!$AF$3:$AF$181,$E57))</f>
        <v>0</v>
      </c>
      <c r="N57" s="205">
        <f ca="1">IF($S$1&lt;DATE(2025,9,1)," ",COUNTIFS('2025数据'!$D$3:$D$181,"&gt;="&amp;DATE(2025,9,1),'2025数据'!$D$3:$D$181,"&lt;="&amp;DATE(2025,9,30),'2025数据'!$AF$3:$AF$181,$E57))</f>
        <v>2</v>
      </c>
      <c r="O57" s="205">
        <f ca="1">IF($S$1&lt;DATE(2025,10,1)," ",COUNTIFS('2025数据'!$D$3:$D$181,"&gt;="&amp;DATE(2025,10,1),'2025数据'!$D$3:$D$181,"&lt;="&amp;DATE(2025,10,31),'2025数据'!$AF$3:$AF$181,$E57))</f>
        <v>0</v>
      </c>
      <c r="P57" s="207">
        <f ca="1">IF($S$1&lt;DATE(2025,11,1)," ",COUNTIFS('2025数据'!$D$3:$D$181,"&gt;="&amp;DATE(2025,11,1),'2025数据'!$D$3:$D$181,"&lt;="&amp;DATE(2025,11,30),'2025数据'!$AF$3:$AF$181,$E57))</f>
        <v>3</v>
      </c>
      <c r="Q57" s="207">
        <f ca="1">IF($S$1&lt;DATE(2025,12,1)," ",COUNTIFS('2025数据'!$D$3:$D$181,"&gt;="&amp;DATE(2025,12,1),'2025数据'!$D$3:$D$181,"&lt;="&amp;DATE(2025,12,31),'2025数据'!$AF$3:$AF$181,$E57))</f>
        <v>0</v>
      </c>
    </row>
    <row r="58" ht="24" customHeight="1" spans="1:17">
      <c r="A58" s="99" t="s">
        <v>289</v>
      </c>
      <c r="B58" s="99" t="s">
        <v>299</v>
      </c>
      <c r="C58" s="99" t="s">
        <v>291</v>
      </c>
      <c r="D58" s="48" t="s">
        <v>296</v>
      </c>
      <c r="E58" s="48" t="s">
        <v>86</v>
      </c>
      <c r="F58" s="205">
        <f ca="1">IF($S$1&lt;DATE(2025,1,1)," ",COUNTIFS('2025数据'!$D$3:$D$181,"&gt;="&amp;DATE(2024,1,1),'2025数据'!$D$3:$D$181,"&lt;="&amp;DATE(2025,1,31),'2025数据'!$AF$3:$AF$181,$E58))</f>
        <v>2</v>
      </c>
      <c r="G58" s="205">
        <f ca="1">IF($S$1&lt;DATE(2025,2,1)," ",COUNTIFS('2025数据'!$D$3:$D$181,"&gt;="&amp;DATE(2025,2,1),'2025数据'!$D$3:$D$181,"&lt;="&amp;DATE(2025,2,28),'2025数据'!$AF$3:$AF$181,$E58))</f>
        <v>0</v>
      </c>
      <c r="H58" s="205">
        <f ca="1">IF($S$1&lt;DATE(2025,3,1)," ",COUNTIFS('2025数据'!$D$3:$D$181,"&gt;="&amp;DATE(2025,3,1),'2025数据'!$D$3:$D$181,"&lt;="&amp;DATE(2025,3,31),'2025数据'!$AF$3:$AF$181,$E58))</f>
        <v>0</v>
      </c>
      <c r="I58" s="205">
        <f ca="1">IF($S$1&lt;DATE(2025,4,1)," ",COUNTIFS('2025数据'!$D$3:$D$181,"&gt;="&amp;DATE(2025,4,1),'2025数据'!$D$3:$D$181,"&lt;="&amp;DATE(2025,4,30),'2025数据'!$AF$3:$AF$181,$E58))</f>
        <v>0</v>
      </c>
      <c r="J58" s="205">
        <f ca="1">IF($S$1&lt;DATE(2025,5,1)," ",COUNTIFS('2025数据'!$D$3:$D$181,"&gt;="&amp;DATE(2025,5,1),'2025数据'!$D$3:$D$181,"&lt;="&amp;DATE(2025,5,31),'2025数据'!$AF$3:$AF$181,$E58))</f>
        <v>1</v>
      </c>
      <c r="K58" s="205">
        <f ca="1">IF($S$1&lt;DATE(2025,6,1)," ",COUNTIFS('2025数据'!$D$3:$D$181,"&gt;="&amp;DATE(2025,6,1),'2025数据'!$D$3:$D$181,"&lt;="&amp;DATE(2025,6,30),'2025数据'!$AF$3:$AF$181,$E58))</f>
        <v>0</v>
      </c>
      <c r="L58" s="205">
        <f ca="1">IF($S$1&lt;DATE(2025,7,1)," ",COUNTIFS('2025数据'!$D$3:$D$181,"&gt;="&amp;DATE(2025,7,1),'2025数据'!$D$3:$D$181,"&lt;="&amp;DATE(2025,7,31),'2025数据'!$AF$3:$AF$181,$E58))</f>
        <v>3</v>
      </c>
      <c r="M58" s="205">
        <f ca="1">IF($S$1&lt;DATE(2025,8,1)," ",COUNTIFS('2025数据'!$D$3:$D$181,"&gt;="&amp;DATE(2025,8,1),'2025数据'!$D$3:$D$181,"&lt;="&amp;DATE(2025,8,31),'2025数据'!$AF$3:$AF$181,$E58))</f>
        <v>1</v>
      </c>
      <c r="N58" s="205">
        <f ca="1">IF($S$1&lt;DATE(2025,9,1)," ",COUNTIFS('2025数据'!$D$3:$D$181,"&gt;="&amp;DATE(2025,9,1),'2025数据'!$D$3:$D$181,"&lt;="&amp;DATE(2025,9,30),'2025数据'!$AF$3:$AF$181,$E58))</f>
        <v>0</v>
      </c>
      <c r="O58" s="205">
        <f ca="1">IF($S$1&lt;DATE(2025,10,1)," ",COUNTIFS('2025数据'!$D$3:$D$181,"&gt;="&amp;DATE(2025,10,1),'2025数据'!$D$3:$D$181,"&lt;="&amp;DATE(2025,10,31),'2025数据'!$AF$3:$AF$181,$E58))</f>
        <v>0</v>
      </c>
      <c r="P58" s="207">
        <f ca="1">IF($S$1&lt;DATE(2025,11,1)," ",COUNTIFS('2025数据'!$D$3:$D$181,"&gt;="&amp;DATE(2025,11,1),'2025数据'!$D$3:$D$181,"&lt;="&amp;DATE(2025,11,30),'2025数据'!$AF$3:$AF$181,$E58))</f>
        <v>1</v>
      </c>
      <c r="Q58" s="207">
        <f ca="1">IF($S$1&lt;DATE(2025,12,1)," ",COUNTIFS('2025数据'!$D$3:$D$181,"&gt;="&amp;DATE(2025,12,1),'2025数据'!$D$3:$D$181,"&lt;="&amp;DATE(2025,12,31),'2025数据'!$AF$3:$AF$181,$E58))</f>
        <v>2</v>
      </c>
    </row>
    <row r="59" ht="24" customHeight="1" spans="1:17">
      <c r="A59" s="99" t="s">
        <v>289</v>
      </c>
      <c r="B59" s="99" t="s">
        <v>299</v>
      </c>
      <c r="C59" s="99" t="s">
        <v>291</v>
      </c>
      <c r="D59" s="100" t="s">
        <v>292</v>
      </c>
      <c r="E59" s="100" t="s">
        <v>307</v>
      </c>
      <c r="F59" s="204">
        <f ca="1">IF($S$1&lt;DATE(2025,1,1)," ",SUM(F60:F63))</f>
        <v>3</v>
      </c>
      <c r="G59" s="204">
        <f ca="1">IF($S$1&lt;DATE(2025,2,1)," ",SUM(G60:G63))</f>
        <v>1</v>
      </c>
      <c r="H59" s="204">
        <f ca="1">IF($S$1&lt;DATE(2025,3,1)," ",SUM(H60:H63))</f>
        <v>1</v>
      </c>
      <c r="I59" s="204">
        <f ca="1">IF($S$1&lt;DATE(2025,4,1)," ",SUM(I60:I63))</f>
        <v>4</v>
      </c>
      <c r="J59" s="204">
        <f ca="1">IF($S$1&lt;DATE(2025,5,1)," ",SUM(J60:J63))</f>
        <v>4</v>
      </c>
      <c r="K59" s="204">
        <f ca="1">IF($S$1&lt;DATE(2025,6,1)," ",SUM(K60:K63))</f>
        <v>2</v>
      </c>
      <c r="L59" s="204">
        <f ca="1">IF($S$1&lt;DATE(2025,7,1)," ",SUM(L60:L63))</f>
        <v>5</v>
      </c>
      <c r="M59" s="204">
        <f ca="1">IF($S$1&lt;DATE(2025,8,1)," ",SUM(M60:M63))</f>
        <v>3</v>
      </c>
      <c r="N59" s="204">
        <f ca="1">IF($S$1&lt;DATE(2025,9,1)," ",SUM(N60:N63))</f>
        <v>4</v>
      </c>
      <c r="O59" s="204">
        <f ca="1">IF($S$1&lt;DATE(2025,10,1)," ",SUM(O60:O63))</f>
        <v>1</v>
      </c>
      <c r="P59" s="204">
        <f ca="1">IF($S$1&lt;DATE(2025,11,1)," ",SUM(P60:P63))</f>
        <v>6</v>
      </c>
      <c r="Q59" s="204">
        <f ca="1">IF($S$1&lt;DATE(2025,12,1)," ",SUM(Q60:Q63))</f>
        <v>2</v>
      </c>
    </row>
    <row r="60" ht="24" customHeight="1" spans="1:17">
      <c r="A60" s="99" t="s">
        <v>289</v>
      </c>
      <c r="B60" s="99" t="s">
        <v>299</v>
      </c>
      <c r="C60" s="99" t="s">
        <v>291</v>
      </c>
      <c r="D60" s="48" t="s">
        <v>298</v>
      </c>
      <c r="E60" s="48" t="s">
        <v>97</v>
      </c>
      <c r="F60" s="205">
        <f ca="1">IF($S$1&lt;DATE(2025,1,1)," ",COUNTIFS('2025数据'!$D$3:$D$181,"&gt;="&amp;DATE(2024,1,1),'2025数据'!$D$3:$D$181,"&lt;="&amp;DATE(2025,1,31),'2025数据'!$AG$3:$AG$181,$E60))</f>
        <v>1</v>
      </c>
      <c r="G60" s="205">
        <f ca="1">IF($S$1&lt;DATE(2025,2,1)," ",COUNTIFS('2025数据'!$D$3:$D$181,"&gt;="&amp;DATE(2025,2,1),'2025数据'!$D$3:$D$181,"&lt;="&amp;DATE(2025,2,28),'2025数据'!$AG$3:$AG$181,$E60))</f>
        <v>1</v>
      </c>
      <c r="H60" s="205">
        <f ca="1">IF($S$1&lt;DATE(2025,3,1)," ",COUNTIFS('2025数据'!$D$3:$D$181,"&gt;="&amp;DATE(2025,3,1),'2025数据'!$D$3:$D$181,"&lt;="&amp;DATE(2025,3,31),'2025数据'!$AG$3:$AG$181,$E60))</f>
        <v>0</v>
      </c>
      <c r="I60" s="205">
        <f ca="1">IF($S$1&lt;DATE(2025,4,1)," ",COUNTIFS('2025数据'!$D$3:$D$181,"&gt;="&amp;DATE(2025,4,1),'2025数据'!$D$3:$D$181,"&lt;="&amp;DATE(2025,4,30),'2025数据'!$AG$3:$AG$181,$E60))</f>
        <v>1</v>
      </c>
      <c r="J60" s="205">
        <f ca="1">IF($S$1&lt;DATE(2025,5,1)," ",COUNTIFS('2025数据'!$D$3:$D$181,"&gt;="&amp;DATE(2025,5,1),'2025数据'!$D$3:$D$181,"&lt;="&amp;DATE(2025,5,31),'2025数据'!$AG$3:$AG$181,$E60))</f>
        <v>1</v>
      </c>
      <c r="K60" s="205">
        <f ca="1">IF($S$1&lt;DATE(2025,6,1)," ",COUNTIFS('2025数据'!$D$3:$D$181,"&gt;="&amp;DATE(2025,6,1),'2025数据'!$D$3:$D$181,"&lt;="&amp;DATE(2025,6,30),'2025数据'!$AG$3:$AG$181,$E60))</f>
        <v>0</v>
      </c>
      <c r="L60" s="205">
        <f ca="1">IF($S$1&lt;DATE(2025,7,1)," ",COUNTIFS('2025数据'!$D$3:$D$181,"&gt;="&amp;DATE(2025,7,1),'2025数据'!$D$3:$D$181,"&lt;="&amp;DATE(2025,7,31),'2025数据'!$AG$3:$AG$181,$E60))</f>
        <v>0</v>
      </c>
      <c r="M60" s="205">
        <f ca="1">IF($S$1&lt;DATE(2025,8,1)," ",COUNTIFS('2025数据'!$D$3:$D$181,"&gt;="&amp;DATE(2025,8,1),'2025数据'!$D$3:$D$181,"&lt;="&amp;DATE(2025,8,31),'2025数据'!$AG$3:$AG$181,$E60))</f>
        <v>1</v>
      </c>
      <c r="N60" s="205">
        <f ca="1">IF($S$1&lt;DATE(2025,9,1)," ",COUNTIFS('2025数据'!$D$3:$D$181,"&gt;="&amp;DATE(2025,9,1),'2025数据'!$D$3:$D$181,"&lt;="&amp;DATE(2025,9,30),'2025数据'!$AG$3:$AG$181,$E60))</f>
        <v>0</v>
      </c>
      <c r="O60" s="205">
        <f ca="1">IF($S$1&lt;DATE(2025,10,1)," ",COUNTIFS('2025数据'!$D$3:$D$181,"&gt;="&amp;DATE(2025,10,1),'2025数据'!$D$3:$D$181,"&lt;="&amp;DATE(2025,10,31),'2025数据'!$AG$3:$AG$181,$E60))</f>
        <v>0</v>
      </c>
      <c r="P60" s="207">
        <f ca="1">IF($S$1&lt;DATE(2025,11,1)," ",COUNTIFS('2025数据'!$D$3:$D$181,"&gt;="&amp;DATE(2025,11,1),'2025数据'!$D$3:$D$181,"&lt;="&amp;DATE(2025,11,30),'2025数据'!$AG$3:$AG$181,$E60))</f>
        <v>1</v>
      </c>
      <c r="Q60" s="207">
        <f ca="1">IF($S$1&lt;DATE(2025,12,1)," ",COUNTIFS('2025数据'!$D$3:$D$181,"&gt;="&amp;DATE(2025,12,1),'2025数据'!$D$3:$D$181,"&lt;="&amp;DATE(2025,12,31),'2025数据'!$AG$3:$AG$181,$E60))</f>
        <v>2</v>
      </c>
    </row>
    <row r="61" ht="24" customHeight="1" spans="1:17">
      <c r="A61" s="99" t="s">
        <v>289</v>
      </c>
      <c r="B61" s="99" t="s">
        <v>299</v>
      </c>
      <c r="C61" s="99" t="s">
        <v>291</v>
      </c>
      <c r="D61" s="48" t="s">
        <v>298</v>
      </c>
      <c r="E61" s="48" t="s">
        <v>87</v>
      </c>
      <c r="F61" s="205">
        <f ca="1">IF($S$1&lt;DATE(2025,1,1)," ",COUNTIFS('2025数据'!$D$3:$D$181,"&gt;="&amp;DATE(2024,1,1),'2025数据'!$D$3:$D$181,"&lt;="&amp;DATE(2025,1,31),'2025数据'!$AG$3:$AG$181,$E61))</f>
        <v>1</v>
      </c>
      <c r="G61" s="205">
        <f ca="1">IF($S$1&lt;DATE(2025,2,1)," ",COUNTIFS('2025数据'!$D$3:$D$181,"&gt;="&amp;DATE(2025,2,1),'2025数据'!$D$3:$D$181,"&lt;="&amp;DATE(2025,2,28),'2025数据'!$AG$3:$AG$181,$E61))</f>
        <v>0</v>
      </c>
      <c r="H61" s="205">
        <f ca="1">IF($S$1&lt;DATE(2025,3,1)," ",COUNTIFS('2025数据'!$D$3:$D$181,"&gt;="&amp;DATE(2025,3,1),'2025数据'!$D$3:$D$181,"&lt;="&amp;DATE(2025,3,31),'2025数据'!$AG$3:$AG$181,$E61))</f>
        <v>1</v>
      </c>
      <c r="I61" s="205">
        <f ca="1">IF($S$1&lt;DATE(2025,4,1)," ",COUNTIFS('2025数据'!$D$3:$D$181,"&gt;="&amp;DATE(2025,4,1),'2025数据'!$D$3:$D$181,"&lt;="&amp;DATE(2025,4,30),'2025数据'!$AG$3:$AG$181,$E61))</f>
        <v>3</v>
      </c>
      <c r="J61" s="205">
        <f ca="1">IF($S$1&lt;DATE(2025,5,1)," ",COUNTIFS('2025数据'!$D$3:$D$181,"&gt;="&amp;DATE(2025,5,1),'2025数据'!$D$3:$D$181,"&lt;="&amp;DATE(2025,5,31),'2025数据'!$AG$3:$AG$181,$E61))</f>
        <v>2</v>
      </c>
      <c r="K61" s="205">
        <f ca="1">IF($S$1&lt;DATE(2025,6,1)," ",COUNTIFS('2025数据'!$D$3:$D$181,"&gt;="&amp;DATE(2025,6,1),'2025数据'!$D$3:$D$181,"&lt;="&amp;DATE(2025,6,30),'2025数据'!$AG$3:$AG$181,$E61))</f>
        <v>1</v>
      </c>
      <c r="L61" s="205">
        <f ca="1">IF($S$1&lt;DATE(2025,7,1)," ",COUNTIFS('2025数据'!$D$3:$D$181,"&gt;="&amp;DATE(2025,7,1),'2025数据'!$D$3:$D$181,"&lt;="&amp;DATE(2025,7,31),'2025数据'!$AG$3:$AG$181,$E61))</f>
        <v>5</v>
      </c>
      <c r="M61" s="205">
        <f ca="1">IF($S$1&lt;DATE(2025,8,1)," ",COUNTIFS('2025数据'!$D$3:$D$181,"&gt;="&amp;DATE(2025,8,1),'2025数据'!$D$3:$D$181,"&lt;="&amp;DATE(2025,8,31),'2025数据'!$AG$3:$AG$181,$E61))</f>
        <v>2</v>
      </c>
      <c r="N61" s="205">
        <f ca="1">IF($S$1&lt;DATE(2025,9,1)," ",COUNTIFS('2025数据'!$D$3:$D$181,"&gt;="&amp;DATE(2025,9,1),'2025数据'!$D$3:$D$181,"&lt;="&amp;DATE(2025,9,30),'2025数据'!$AG$3:$AG$181,$E61))</f>
        <v>4</v>
      </c>
      <c r="O61" s="205">
        <f ca="1">IF($S$1&lt;DATE(2025,10,1)," ",COUNTIFS('2025数据'!$D$3:$D$181,"&gt;="&amp;DATE(2025,10,1),'2025数据'!$D$3:$D$181,"&lt;="&amp;DATE(2025,10,31),'2025数据'!$AG$3:$AG$181,$E61))</f>
        <v>0</v>
      </c>
      <c r="P61" s="207">
        <f ca="1">IF($S$1&lt;DATE(2025,11,1)," ",COUNTIFS('2025数据'!$D$3:$D$181,"&gt;="&amp;DATE(2025,11,1),'2025数据'!$D$3:$D$181,"&lt;="&amp;DATE(2025,11,30),'2025数据'!$AG$3:$AG$181,$E61))</f>
        <v>4</v>
      </c>
      <c r="Q61" s="207">
        <f ca="1">IF($S$1&lt;DATE(2025,12,1)," ",COUNTIFS('2025数据'!$D$3:$D$181,"&gt;="&amp;DATE(2025,12,1),'2025数据'!$D$3:$D$181,"&lt;="&amp;DATE(2025,12,31),'2025数据'!$AG$3:$AG$181,$E61))</f>
        <v>0</v>
      </c>
    </row>
    <row r="62" ht="24" customHeight="1" spans="1:17">
      <c r="A62" s="99" t="s">
        <v>289</v>
      </c>
      <c r="B62" s="99" t="s">
        <v>299</v>
      </c>
      <c r="C62" s="99" t="s">
        <v>291</v>
      </c>
      <c r="D62" s="48" t="s">
        <v>298</v>
      </c>
      <c r="E62" s="48" t="s">
        <v>149</v>
      </c>
      <c r="F62" s="205">
        <f ca="1">IF($S$1&lt;DATE(2025,1,1)," ",COUNTIFS('2025数据'!$D$3:$D$181,"&gt;="&amp;DATE(2024,1,1),'2025数据'!$D$3:$D$181,"&lt;="&amp;DATE(2025,1,31),'2025数据'!$AG$3:$AG$181,$E62))</f>
        <v>0</v>
      </c>
      <c r="G62" s="205">
        <f ca="1">IF($S$1&lt;DATE(2025,2,1)," ",COUNTIFS('2025数据'!$D$3:$D$181,"&gt;="&amp;DATE(2025,2,1),'2025数据'!$D$3:$D$181,"&lt;="&amp;DATE(2025,2,28),'2025数据'!$AG$3:$AG$181,$E62))</f>
        <v>0</v>
      </c>
      <c r="H62" s="205">
        <f ca="1">IF($S$1&lt;DATE(2025,3,1)," ",COUNTIFS('2025数据'!$D$3:$D$181,"&gt;="&amp;DATE(2025,3,1),'2025数据'!$D$3:$D$181,"&lt;="&amp;DATE(2025,3,31),'2025数据'!$AG$3:$AG$181,$E62))</f>
        <v>0</v>
      </c>
      <c r="I62" s="205">
        <f ca="1">IF($S$1&lt;DATE(2025,4,1)," ",COUNTIFS('2025数据'!$D$3:$D$181,"&gt;="&amp;DATE(2025,4,1),'2025数据'!$D$3:$D$181,"&lt;="&amp;DATE(2025,4,30),'2025数据'!$AG$3:$AG$181,$E62))</f>
        <v>0</v>
      </c>
      <c r="J62" s="205">
        <f ca="1">IF($S$1&lt;DATE(2025,5,1)," ",COUNTIFS('2025数据'!$D$3:$D$181,"&gt;="&amp;DATE(2025,5,1),'2025数据'!$D$3:$D$181,"&lt;="&amp;DATE(2025,5,31),'2025数据'!$AG$3:$AG$181,$E62))</f>
        <v>0</v>
      </c>
      <c r="K62" s="205">
        <f ca="1">IF($S$1&lt;DATE(2025,6,1)," ",COUNTIFS('2025数据'!$D$3:$D$181,"&gt;="&amp;DATE(2025,6,1),'2025数据'!$D$3:$D$181,"&lt;="&amp;DATE(2025,6,30),'2025数据'!$AG$3:$AG$181,$E62))</f>
        <v>1</v>
      </c>
      <c r="L62" s="205">
        <f ca="1">IF($S$1&lt;DATE(2025,7,1)," ",COUNTIFS('2025数据'!$D$3:$D$181,"&gt;="&amp;DATE(2025,7,1),'2025数据'!$D$3:$D$181,"&lt;="&amp;DATE(2025,7,31),'2025数据'!$AG$3:$AG$181,$E62))</f>
        <v>0</v>
      </c>
      <c r="M62" s="205">
        <f ca="1">IF($S$1&lt;DATE(2025,8,1)," ",COUNTIFS('2025数据'!$D$3:$D$181,"&gt;="&amp;DATE(2025,8,1),'2025数据'!$D$3:$D$181,"&lt;="&amp;DATE(2025,8,31),'2025数据'!$AG$3:$AG$181,$E62))</f>
        <v>0</v>
      </c>
      <c r="N62" s="205">
        <f ca="1">IF($S$1&lt;DATE(2025,9,1)," ",COUNTIFS('2025数据'!$D$3:$D$181,"&gt;="&amp;DATE(2025,9,1),'2025数据'!$D$3:$D$181,"&lt;="&amp;DATE(2025,9,30),'2025数据'!$AG$3:$AG$181,$E62))</f>
        <v>0</v>
      </c>
      <c r="O62" s="205">
        <f ca="1">IF($S$1&lt;DATE(2025,10,1)," ",COUNTIFS('2025数据'!$D$3:$D$181,"&gt;="&amp;DATE(2025,10,1),'2025数据'!$D$3:$D$181,"&lt;="&amp;DATE(2025,10,31),'2025数据'!$AG$3:$AG$181,$E62))</f>
        <v>0</v>
      </c>
      <c r="P62" s="207">
        <f ca="1">IF($S$1&lt;DATE(2025,11,1)," ",COUNTIFS('2025数据'!$D$3:$D$181,"&gt;="&amp;DATE(2025,11,1),'2025数据'!$D$3:$D$181,"&lt;="&amp;DATE(2025,11,30),'2025数据'!$AG$3:$AG$181,$E62))</f>
        <v>0</v>
      </c>
      <c r="Q62" s="207">
        <f ca="1">IF($S$1&lt;DATE(2025,12,1)," ",COUNTIFS('2025数据'!$D$3:$D$181,"&gt;="&amp;DATE(2025,12,1),'2025数据'!$D$3:$D$181,"&lt;="&amp;DATE(2025,12,31),'2025数据'!$AG$3:$AG$181,$E62))</f>
        <v>0</v>
      </c>
    </row>
    <row r="63" ht="24" customHeight="1" spans="1:17">
      <c r="A63" s="99" t="s">
        <v>289</v>
      </c>
      <c r="B63" s="99" t="s">
        <v>299</v>
      </c>
      <c r="C63" s="99" t="s">
        <v>291</v>
      </c>
      <c r="D63" s="48" t="s">
        <v>298</v>
      </c>
      <c r="E63" s="48" t="s">
        <v>83</v>
      </c>
      <c r="F63" s="205">
        <f ca="1">IF($S$1&lt;DATE(2025,1,1)," ",COUNTIFS('2025数据'!$D$3:$D$181,"&gt;="&amp;DATE(2024,1,1),'2025数据'!$D$3:$D$181,"&lt;="&amp;DATE(2025,1,31),'2025数据'!$AG$3:$AG$181,$E63))</f>
        <v>1</v>
      </c>
      <c r="G63" s="205">
        <f ca="1">IF($S$1&lt;DATE(2025,2,1)," ",COUNTIFS('2025数据'!$D$3:$D$181,"&gt;="&amp;DATE(2025,2,1),'2025数据'!$D$3:$D$181,"&lt;="&amp;DATE(2025,2,28),'2025数据'!$AG$3:$AG$181,$E63))</f>
        <v>0</v>
      </c>
      <c r="H63" s="205">
        <f ca="1">IF($S$1&lt;DATE(2025,3,1)," ",COUNTIFS('2025数据'!$D$3:$D$181,"&gt;="&amp;DATE(2025,3,1),'2025数据'!$D$3:$D$181,"&lt;="&amp;DATE(2025,3,31),'2025数据'!$AG$3:$AG$181,$E63))</f>
        <v>0</v>
      </c>
      <c r="I63" s="205">
        <f ca="1">IF($S$1&lt;DATE(2025,4,1)," ",COUNTIFS('2025数据'!$D$3:$D$181,"&gt;="&amp;DATE(2025,4,1),'2025数据'!$D$3:$D$181,"&lt;="&amp;DATE(2025,4,30),'2025数据'!$AG$3:$AG$181,$E63))</f>
        <v>0</v>
      </c>
      <c r="J63" s="205">
        <f ca="1">IF($S$1&lt;DATE(2025,5,1)," ",COUNTIFS('2025数据'!$D$3:$D$181,"&gt;="&amp;DATE(2025,5,1),'2025数据'!$D$3:$D$181,"&lt;="&amp;DATE(2025,5,31),'2025数据'!$AG$3:$AG$181,$E63))</f>
        <v>1</v>
      </c>
      <c r="K63" s="205">
        <f ca="1">IF($S$1&lt;DATE(2025,6,1)," ",COUNTIFS('2025数据'!$D$3:$D$181,"&gt;="&amp;DATE(2025,6,1),'2025数据'!$D$3:$D$181,"&lt;="&amp;DATE(2025,6,30),'2025数据'!$AG$3:$AG$181,$E63))</f>
        <v>0</v>
      </c>
      <c r="L63" s="205">
        <f ca="1">IF($S$1&lt;DATE(2025,7,1)," ",COUNTIFS('2025数据'!$D$3:$D$181,"&gt;="&amp;DATE(2025,7,1),'2025数据'!$D$3:$D$181,"&lt;="&amp;DATE(2025,7,31),'2025数据'!$AG$3:$AG$181,$E63))</f>
        <v>0</v>
      </c>
      <c r="M63" s="205">
        <f ca="1">IF($S$1&lt;DATE(2025,8,1)," ",COUNTIFS('2025数据'!$D$3:$D$181,"&gt;="&amp;DATE(2025,8,1),'2025数据'!$D$3:$D$181,"&lt;="&amp;DATE(2025,8,31),'2025数据'!$AG$3:$AG$181,$E63))</f>
        <v>0</v>
      </c>
      <c r="N63" s="205">
        <f ca="1">IF($S$1&lt;DATE(2025,9,1)," ",COUNTIFS('2025数据'!$D$3:$D$181,"&gt;="&amp;DATE(2025,9,1),'2025数据'!$D$3:$D$181,"&lt;="&amp;DATE(2025,9,30),'2025数据'!$AG$3:$AG$181,$E63))</f>
        <v>0</v>
      </c>
      <c r="O63" s="205">
        <f ca="1">IF($S$1&lt;DATE(2025,10,1)," ",COUNTIFS('2025数据'!$D$3:$D$181,"&gt;="&amp;DATE(2025,10,1),'2025数据'!$D$3:$D$181,"&lt;="&amp;DATE(2025,10,31),'2025数据'!$AG$3:$AG$181,$E63))</f>
        <v>1</v>
      </c>
      <c r="P63" s="207">
        <f ca="1">IF($S$1&lt;DATE(2025,11,1)," ",COUNTIFS('2025数据'!$D$3:$D$181,"&gt;="&amp;DATE(2025,11,1),'2025数据'!$D$3:$D$181,"&lt;="&amp;DATE(2025,11,30),'2025数据'!$AG$3:$AG$181,$E63))</f>
        <v>1</v>
      </c>
      <c r="Q63" s="207">
        <f ca="1">IF($S$1&lt;DATE(2025,12,1)," ",COUNTIFS('2025数据'!$D$3:$D$181,"&gt;="&amp;DATE(2025,12,1),'2025数据'!$D$3:$D$181,"&lt;="&amp;DATE(2025,12,31),'2025数据'!$AG$3:$AG$181,$E63))</f>
        <v>0</v>
      </c>
    </row>
    <row r="64" ht="24" customHeight="1" spans="1:17">
      <c r="A64" s="99" t="s">
        <v>289</v>
      </c>
      <c r="B64" s="99" t="s">
        <v>308</v>
      </c>
      <c r="C64" s="99" t="s">
        <v>309</v>
      </c>
      <c r="D64" s="100" t="s">
        <v>292</v>
      </c>
      <c r="E64" s="211" t="s">
        <v>310</v>
      </c>
      <c r="F64" s="204">
        <f ca="1">IF($S$1&lt;DATE(2025,1,1)," ",IF((SUM(F65:F71)-MAX(F84,F91))&lt;0,"ERR",SUM(F65:F71)))</f>
        <v>2</v>
      </c>
      <c r="G64" s="204">
        <f ca="1">IF($S$1&lt;DATE(2025,2,1)," ",IF((SUM(G65:G71)-MAX(G84,G91))&lt;0,"ERR",SUM(G65:G71)))</f>
        <v>1</v>
      </c>
      <c r="H64" s="204">
        <f ca="1">IF($S$1&lt;DATE(2025,3,1)," ",IF((SUM(H65:H71)-MAX(H84,H91))&lt;0,"ERR",SUM(H65:H71)))</f>
        <v>4</v>
      </c>
      <c r="I64" s="204">
        <f ca="1">IF($S$1&lt;DATE(2025,4,1)," ",IF((SUM(I65:I71)-MAX(I84,I91))&lt;0,"ERR",SUM(I65:I71)))</f>
        <v>4</v>
      </c>
      <c r="J64" s="204">
        <f ca="1">IF($S$1&lt;DATE(2025,5,1)," ",IF((SUM(J65:J71)-MAX(J84,J91))&lt;0,"ERR",SUM(J65:J71)))</f>
        <v>0</v>
      </c>
      <c r="K64" s="204">
        <f ca="1">IF($S$1&lt;DATE(2025,6,1)," ",IF((SUM(K65:K71)-MAX(K84,K91))&lt;0,"ERR",SUM(K65:K71)))</f>
        <v>3</v>
      </c>
      <c r="L64" s="204">
        <f ca="1">IF($S$1&lt;DATE(2025,7,1)," ",IF((SUM(L65:L71)-MAX(L84,L91))&lt;0,"ERR",SUM(L65:L71)))</f>
        <v>3</v>
      </c>
      <c r="M64" s="204">
        <f ca="1">IF($S$1&lt;DATE(2025,8,1)," ",IF((SUM(M65:M71)-MAX(M84,M91))&lt;0,"ERR",SUM(M65:M71)))</f>
        <v>4</v>
      </c>
      <c r="N64" s="204">
        <f ca="1">IF($S$1&lt;DATE(2025,9,1)," ",IF((SUM(N65:N71)-MAX(N84,N91))&lt;0,"ERR",SUM(N65:N71)))</f>
        <v>5</v>
      </c>
      <c r="O64" s="204">
        <f ca="1">IF($S$1&lt;DATE(2025,10,1)," ",IF((SUM(O65:O71)-MAX(O84,O91))&lt;0,"ERR",SUM(O65:O71)))</f>
        <v>11</v>
      </c>
      <c r="P64" s="204">
        <f ca="1">IF($S$1&lt;DATE(2025,11,1)," ",IF((SUM(P65:P71)-MAX(P84,P91))&lt;0,"ERR",SUM(P65:P71)))</f>
        <v>13</v>
      </c>
      <c r="Q64" s="204">
        <f ca="1">IF($S$1&lt;DATE(2025,12,1)," ",IF((SUM(Q65:Q71)-MAX(Q84,Q91))&lt;0,"ERR",SUM(Q65:Q71)))</f>
        <v>13</v>
      </c>
    </row>
    <row r="65" ht="24" customHeight="1" spans="1:35">
      <c r="A65" s="99" t="s">
        <v>289</v>
      </c>
      <c r="B65" s="99" t="s">
        <v>308</v>
      </c>
      <c r="C65" s="99" t="s">
        <v>309</v>
      </c>
      <c r="D65" s="48" t="s">
        <v>31</v>
      </c>
      <c r="E65" s="48" t="s">
        <v>90</v>
      </c>
      <c r="F65" s="205">
        <f ca="1" t="shared" ref="F65:F71" si="0">IF($S$1&lt;DATE(2025,1,1)," ",F101-F123)</f>
        <v>0</v>
      </c>
      <c r="G65" s="205">
        <f ca="1" t="shared" ref="G65:G71" si="1">IF($S$1&lt;DATE(2025,2,1)," ",G101-G123)</f>
        <v>1</v>
      </c>
      <c r="H65" s="205">
        <f ca="1" t="shared" ref="H65:H71" si="2">IF($S$1&lt;DATE(2025,3,1)," ",H101-H123)</f>
        <v>1</v>
      </c>
      <c r="I65" s="205">
        <f ca="1" t="shared" ref="I65:I71" si="3">IF($S$1&lt;DATE(2025,4,1)," ",I101-I123)</f>
        <v>2</v>
      </c>
      <c r="J65" s="205">
        <f ca="1" t="shared" ref="J65:J71" si="4">IF($S$1&lt;DATE(2025,5,1)," ",J101-J123)</f>
        <v>0</v>
      </c>
      <c r="K65" s="205">
        <f ca="1" t="shared" ref="K65:K71" si="5">IF($S$1&lt;DATE(2025,6,1)," ",K101-K123)</f>
        <v>1</v>
      </c>
      <c r="L65" s="205">
        <f ca="1" t="shared" ref="L65:L71" si="6">IF($S$1&lt;DATE(2025,7,1)," ",L101-L123)</f>
        <v>1</v>
      </c>
      <c r="M65" s="205">
        <f ca="1" t="shared" ref="M65:M71" si="7">IF($S$1&lt;DATE(2025,8,1)," ",M101-M123)</f>
        <v>1</v>
      </c>
      <c r="N65" s="205">
        <f ca="1" t="shared" ref="N65:N71" si="8">IF($S$1&lt;DATE(2025,9,1)," ",N101-N123)</f>
        <v>2</v>
      </c>
      <c r="O65" s="205">
        <f ca="1" t="shared" ref="O65:O71" si="9">IF($S$1&lt;DATE(2025,10,1)," ",O101-O123)</f>
        <v>1</v>
      </c>
      <c r="P65" s="205">
        <f ca="1" t="shared" ref="P65:P71" si="10">IF($S$1&lt;DATE(2025,11,1)," ",P101-P123)</f>
        <v>1</v>
      </c>
      <c r="Q65" s="205">
        <f ca="1" t="shared" ref="Q65:Q71" si="11">IF($S$1&lt;DATE(2025,12,1)," ",Q101-Q123)</f>
        <v>2</v>
      </c>
      <c r="R65" s="109"/>
      <c r="S65" s="109"/>
      <c r="T65" s="109"/>
      <c r="U65" s="109"/>
      <c r="V65" s="109"/>
      <c r="W65" s="109"/>
      <c r="X65" s="109"/>
      <c r="Y65" s="109"/>
      <c r="Z65" s="109"/>
      <c r="AA65" s="109"/>
      <c r="AB65" s="109"/>
      <c r="AC65" s="109"/>
      <c r="AD65" s="109"/>
      <c r="AE65" s="109"/>
      <c r="AF65" s="109"/>
      <c r="AG65" s="109"/>
      <c r="AH65" s="109"/>
      <c r="AI65" s="109"/>
    </row>
    <row r="66" ht="24" customHeight="1" spans="1:17">
      <c r="A66" s="99" t="s">
        <v>289</v>
      </c>
      <c r="B66" s="99" t="s">
        <v>308</v>
      </c>
      <c r="C66" s="99" t="s">
        <v>309</v>
      </c>
      <c r="D66" s="48" t="s">
        <v>31</v>
      </c>
      <c r="E66" s="48" t="s">
        <v>82</v>
      </c>
      <c r="F66" s="205">
        <f ca="1" t="shared" si="0"/>
        <v>1</v>
      </c>
      <c r="G66" s="205">
        <f ca="1" t="shared" si="1"/>
        <v>0</v>
      </c>
      <c r="H66" s="205">
        <f ca="1" t="shared" si="2"/>
        <v>3</v>
      </c>
      <c r="I66" s="205">
        <f ca="1" t="shared" si="3"/>
        <v>1</v>
      </c>
      <c r="J66" s="205">
        <f ca="1" t="shared" si="4"/>
        <v>0</v>
      </c>
      <c r="K66" s="205">
        <f ca="1" t="shared" si="5"/>
        <v>1</v>
      </c>
      <c r="L66" s="205">
        <f ca="1" t="shared" si="6"/>
        <v>0</v>
      </c>
      <c r="M66" s="205">
        <f ca="1" t="shared" si="7"/>
        <v>1</v>
      </c>
      <c r="N66" s="205">
        <f ca="1" t="shared" si="8"/>
        <v>0</v>
      </c>
      <c r="O66" s="205">
        <f ca="1" t="shared" si="9"/>
        <v>5</v>
      </c>
      <c r="P66" s="205">
        <f ca="1" t="shared" si="10"/>
        <v>3</v>
      </c>
      <c r="Q66" s="205">
        <f ca="1" t="shared" si="11"/>
        <v>4</v>
      </c>
    </row>
    <row r="67" ht="24" customHeight="1" spans="1:17">
      <c r="A67" s="99" t="s">
        <v>289</v>
      </c>
      <c r="B67" s="99" t="s">
        <v>308</v>
      </c>
      <c r="C67" s="99" t="s">
        <v>309</v>
      </c>
      <c r="D67" s="48" t="s">
        <v>31</v>
      </c>
      <c r="E67" s="48" t="s">
        <v>86</v>
      </c>
      <c r="F67" s="205">
        <f ca="1" t="shared" si="0"/>
        <v>0</v>
      </c>
      <c r="G67" s="205">
        <f ca="1" t="shared" si="1"/>
        <v>0</v>
      </c>
      <c r="H67" s="205">
        <f ca="1" t="shared" si="2"/>
        <v>0</v>
      </c>
      <c r="I67" s="205">
        <f ca="1" t="shared" si="3"/>
        <v>0</v>
      </c>
      <c r="J67" s="205">
        <f ca="1" t="shared" si="4"/>
        <v>0</v>
      </c>
      <c r="K67" s="205">
        <f ca="1" t="shared" si="5"/>
        <v>1</v>
      </c>
      <c r="L67" s="205">
        <f ca="1" t="shared" si="6"/>
        <v>1</v>
      </c>
      <c r="M67" s="205">
        <f ca="1" t="shared" si="7"/>
        <v>0</v>
      </c>
      <c r="N67" s="205">
        <f ca="1" t="shared" si="8"/>
        <v>2</v>
      </c>
      <c r="O67" s="205">
        <f ca="1" t="shared" si="9"/>
        <v>3</v>
      </c>
      <c r="P67" s="205">
        <f ca="1" t="shared" si="10"/>
        <v>6</v>
      </c>
      <c r="Q67" s="205">
        <f ca="1" t="shared" si="11"/>
        <v>5</v>
      </c>
    </row>
    <row r="68" ht="24" customHeight="1" spans="1:17">
      <c r="A68" s="99" t="s">
        <v>289</v>
      </c>
      <c r="B68" s="99" t="s">
        <v>308</v>
      </c>
      <c r="C68" s="99" t="s">
        <v>309</v>
      </c>
      <c r="D68" s="48" t="s">
        <v>31</v>
      </c>
      <c r="E68" s="48" t="s">
        <v>97</v>
      </c>
      <c r="F68" s="205">
        <f ca="1" t="shared" si="0"/>
        <v>1</v>
      </c>
      <c r="G68" s="205">
        <f ca="1" t="shared" si="1"/>
        <v>0</v>
      </c>
      <c r="H68" s="205">
        <f ca="1" t="shared" si="2"/>
        <v>0</v>
      </c>
      <c r="I68" s="205">
        <f ca="1" t="shared" si="3"/>
        <v>1</v>
      </c>
      <c r="J68" s="205">
        <f ca="1" t="shared" si="4"/>
        <v>0</v>
      </c>
      <c r="K68" s="205">
        <f ca="1" t="shared" si="5"/>
        <v>0</v>
      </c>
      <c r="L68" s="205">
        <f ca="1" t="shared" si="6"/>
        <v>1</v>
      </c>
      <c r="M68" s="205">
        <f ca="1" t="shared" si="7"/>
        <v>0</v>
      </c>
      <c r="N68" s="205">
        <f ca="1" t="shared" si="8"/>
        <v>0</v>
      </c>
      <c r="O68" s="205">
        <f ca="1" t="shared" si="9"/>
        <v>1</v>
      </c>
      <c r="P68" s="205">
        <f ca="1" t="shared" si="10"/>
        <v>1</v>
      </c>
      <c r="Q68" s="205">
        <f ca="1" t="shared" si="11"/>
        <v>0</v>
      </c>
    </row>
    <row r="69" ht="24" customHeight="1" spans="1:17">
      <c r="A69" s="99" t="s">
        <v>289</v>
      </c>
      <c r="B69" s="99" t="s">
        <v>308</v>
      </c>
      <c r="C69" s="99" t="s">
        <v>309</v>
      </c>
      <c r="D69" s="48" t="s">
        <v>31</v>
      </c>
      <c r="E69" s="48" t="s">
        <v>87</v>
      </c>
      <c r="F69" s="205">
        <f ca="1" t="shared" si="0"/>
        <v>0</v>
      </c>
      <c r="G69" s="205">
        <f ca="1" t="shared" si="1"/>
        <v>0</v>
      </c>
      <c r="H69" s="205">
        <f ca="1" t="shared" si="2"/>
        <v>0</v>
      </c>
      <c r="I69" s="205">
        <f ca="1" t="shared" si="3"/>
        <v>0</v>
      </c>
      <c r="J69" s="205">
        <f ca="1" t="shared" si="4"/>
        <v>0</v>
      </c>
      <c r="K69" s="205">
        <f ca="1" t="shared" si="5"/>
        <v>0</v>
      </c>
      <c r="L69" s="205">
        <f ca="1" t="shared" si="6"/>
        <v>0</v>
      </c>
      <c r="M69" s="205">
        <f ca="1" t="shared" si="7"/>
        <v>1</v>
      </c>
      <c r="N69" s="205">
        <f ca="1" t="shared" si="8"/>
        <v>0</v>
      </c>
      <c r="O69" s="205">
        <f ca="1" t="shared" si="9"/>
        <v>0</v>
      </c>
      <c r="P69" s="205">
        <f ca="1" t="shared" si="10"/>
        <v>1</v>
      </c>
      <c r="Q69" s="205">
        <f ca="1" t="shared" si="11"/>
        <v>1</v>
      </c>
    </row>
    <row r="70" ht="24" customHeight="1" spans="1:17">
      <c r="A70" s="99" t="s">
        <v>289</v>
      </c>
      <c r="B70" s="99" t="s">
        <v>308</v>
      </c>
      <c r="C70" s="99" t="s">
        <v>309</v>
      </c>
      <c r="D70" s="48" t="s">
        <v>31</v>
      </c>
      <c r="E70" s="48" t="s">
        <v>149</v>
      </c>
      <c r="F70" s="205">
        <f ca="1" t="shared" si="0"/>
        <v>0</v>
      </c>
      <c r="G70" s="205">
        <f ca="1" t="shared" si="1"/>
        <v>0</v>
      </c>
      <c r="H70" s="205">
        <f ca="1" t="shared" si="2"/>
        <v>0</v>
      </c>
      <c r="I70" s="205">
        <f ca="1" t="shared" si="3"/>
        <v>0</v>
      </c>
      <c r="J70" s="205">
        <f ca="1" t="shared" si="4"/>
        <v>0</v>
      </c>
      <c r="K70" s="205">
        <f ca="1" t="shared" si="5"/>
        <v>0</v>
      </c>
      <c r="L70" s="205">
        <f ca="1" t="shared" si="6"/>
        <v>0</v>
      </c>
      <c r="M70" s="205">
        <f ca="1" t="shared" si="7"/>
        <v>0</v>
      </c>
      <c r="N70" s="205">
        <f ca="1" t="shared" si="8"/>
        <v>0</v>
      </c>
      <c r="O70" s="205">
        <f ca="1" t="shared" si="9"/>
        <v>0</v>
      </c>
      <c r="P70" s="205">
        <f ca="1" t="shared" si="10"/>
        <v>0</v>
      </c>
      <c r="Q70" s="205">
        <f ca="1" t="shared" si="11"/>
        <v>0</v>
      </c>
    </row>
    <row r="71" ht="24" customHeight="1" spans="1:17">
      <c r="A71" s="99" t="s">
        <v>289</v>
      </c>
      <c r="B71" s="99" t="s">
        <v>308</v>
      </c>
      <c r="C71" s="99" t="s">
        <v>309</v>
      </c>
      <c r="D71" s="48" t="s">
        <v>31</v>
      </c>
      <c r="E71" s="48" t="s">
        <v>83</v>
      </c>
      <c r="F71" s="205">
        <f ca="1" t="shared" si="0"/>
        <v>0</v>
      </c>
      <c r="G71" s="205">
        <f ca="1" t="shared" si="1"/>
        <v>0</v>
      </c>
      <c r="H71" s="205">
        <f ca="1" t="shared" si="2"/>
        <v>0</v>
      </c>
      <c r="I71" s="205">
        <f ca="1" t="shared" si="3"/>
        <v>0</v>
      </c>
      <c r="J71" s="205">
        <f ca="1" t="shared" si="4"/>
        <v>0</v>
      </c>
      <c r="K71" s="205">
        <f ca="1" t="shared" si="5"/>
        <v>0</v>
      </c>
      <c r="L71" s="205">
        <f ca="1" t="shared" si="6"/>
        <v>0</v>
      </c>
      <c r="M71" s="205">
        <f ca="1" t="shared" si="7"/>
        <v>1</v>
      </c>
      <c r="N71" s="205">
        <f ca="1" t="shared" si="8"/>
        <v>1</v>
      </c>
      <c r="O71" s="205">
        <f ca="1" t="shared" si="9"/>
        <v>1</v>
      </c>
      <c r="P71" s="205">
        <f ca="1" t="shared" si="10"/>
        <v>1</v>
      </c>
      <c r="Q71" s="205">
        <f ca="1" t="shared" si="11"/>
        <v>1</v>
      </c>
    </row>
    <row r="72" ht="24" customHeight="1" spans="1:17">
      <c r="A72" s="99" t="s">
        <v>289</v>
      </c>
      <c r="B72" s="99" t="s">
        <v>308</v>
      </c>
      <c r="C72" s="99" t="s">
        <v>309</v>
      </c>
      <c r="D72" s="48" t="s">
        <v>311</v>
      </c>
      <c r="E72" s="48" t="s">
        <v>90</v>
      </c>
      <c r="F72" s="112">
        <f ca="1" t="shared" ref="F72:Q72" si="12">IFERROR(F65/F64," ")</f>
        <v>0</v>
      </c>
      <c r="G72" s="112">
        <f ca="1" t="shared" si="12"/>
        <v>1</v>
      </c>
      <c r="H72" s="112">
        <f ca="1" t="shared" si="12"/>
        <v>0.25</v>
      </c>
      <c r="I72" s="112">
        <f ca="1" t="shared" si="12"/>
        <v>0.5</v>
      </c>
      <c r="J72" s="112" t="str">
        <f ca="1" t="shared" si="12"/>
        <v> </v>
      </c>
      <c r="K72" s="112">
        <f ca="1" t="shared" si="12"/>
        <v>0.333333333333333</v>
      </c>
      <c r="L72" s="112">
        <f ca="1" t="shared" si="12"/>
        <v>0.333333333333333</v>
      </c>
      <c r="M72" s="112">
        <f ca="1" t="shared" si="12"/>
        <v>0.25</v>
      </c>
      <c r="N72" s="112">
        <f ca="1" t="shared" si="12"/>
        <v>0.4</v>
      </c>
      <c r="O72" s="112">
        <f ca="1" t="shared" si="12"/>
        <v>0.0909090909090909</v>
      </c>
      <c r="P72" s="112">
        <f ca="1" t="shared" si="12"/>
        <v>0.0769230769230769</v>
      </c>
      <c r="Q72" s="112">
        <f ca="1" t="shared" si="12"/>
        <v>0.153846153846154</v>
      </c>
    </row>
    <row r="73" ht="24" customHeight="1" spans="1:17">
      <c r="A73" s="99" t="s">
        <v>289</v>
      </c>
      <c r="B73" s="99" t="s">
        <v>308</v>
      </c>
      <c r="C73" s="99" t="s">
        <v>309</v>
      </c>
      <c r="D73" s="48" t="s">
        <v>311</v>
      </c>
      <c r="E73" s="48" t="s">
        <v>82</v>
      </c>
      <c r="F73" s="112">
        <f ca="1" t="shared" ref="F73:Q73" si="13">IFERROR(F66/F64," ")</f>
        <v>0.5</v>
      </c>
      <c r="G73" s="112">
        <f ca="1" t="shared" si="13"/>
        <v>0</v>
      </c>
      <c r="H73" s="112">
        <f ca="1" t="shared" si="13"/>
        <v>0.75</v>
      </c>
      <c r="I73" s="112">
        <f ca="1" t="shared" si="13"/>
        <v>0.25</v>
      </c>
      <c r="J73" s="112" t="str">
        <f ca="1" t="shared" si="13"/>
        <v> </v>
      </c>
      <c r="K73" s="112">
        <f ca="1" t="shared" si="13"/>
        <v>0.333333333333333</v>
      </c>
      <c r="L73" s="112">
        <f ca="1" t="shared" si="13"/>
        <v>0</v>
      </c>
      <c r="M73" s="112">
        <f ca="1" t="shared" si="13"/>
        <v>0.25</v>
      </c>
      <c r="N73" s="112">
        <f ca="1" t="shared" si="13"/>
        <v>0</v>
      </c>
      <c r="O73" s="112">
        <f ca="1" t="shared" si="13"/>
        <v>0.454545454545455</v>
      </c>
      <c r="P73" s="112">
        <f ca="1" t="shared" si="13"/>
        <v>0.230769230769231</v>
      </c>
      <c r="Q73" s="112">
        <f ca="1" t="shared" si="13"/>
        <v>0.307692307692308</v>
      </c>
    </row>
    <row r="74" ht="24" customHeight="1" spans="1:17">
      <c r="A74" s="99" t="s">
        <v>289</v>
      </c>
      <c r="B74" s="99" t="s">
        <v>308</v>
      </c>
      <c r="C74" s="99" t="s">
        <v>309</v>
      </c>
      <c r="D74" s="48" t="s">
        <v>311</v>
      </c>
      <c r="E74" s="48" t="s">
        <v>86</v>
      </c>
      <c r="F74" s="112">
        <f ca="1" t="shared" ref="F74:Q74" si="14">IFERROR(F67/F64," ")</f>
        <v>0</v>
      </c>
      <c r="G74" s="112">
        <f ca="1" t="shared" si="14"/>
        <v>0</v>
      </c>
      <c r="H74" s="112">
        <f ca="1" t="shared" si="14"/>
        <v>0</v>
      </c>
      <c r="I74" s="112">
        <f ca="1" t="shared" si="14"/>
        <v>0</v>
      </c>
      <c r="J74" s="112" t="str">
        <f ca="1" t="shared" si="14"/>
        <v> </v>
      </c>
      <c r="K74" s="112">
        <f ca="1" t="shared" si="14"/>
        <v>0.333333333333333</v>
      </c>
      <c r="L74" s="112">
        <f ca="1" t="shared" si="14"/>
        <v>0.333333333333333</v>
      </c>
      <c r="M74" s="112">
        <f ca="1" t="shared" si="14"/>
        <v>0</v>
      </c>
      <c r="N74" s="112">
        <f ca="1" t="shared" si="14"/>
        <v>0.4</v>
      </c>
      <c r="O74" s="112">
        <f ca="1" t="shared" si="14"/>
        <v>0.272727272727273</v>
      </c>
      <c r="P74" s="112">
        <f ca="1" t="shared" si="14"/>
        <v>0.461538461538462</v>
      </c>
      <c r="Q74" s="112">
        <f ca="1" t="shared" si="14"/>
        <v>0.384615384615385</v>
      </c>
    </row>
    <row r="75" ht="24" customHeight="1" spans="1:17">
      <c r="A75" s="99" t="s">
        <v>289</v>
      </c>
      <c r="B75" s="99" t="s">
        <v>308</v>
      </c>
      <c r="C75" s="99" t="s">
        <v>309</v>
      </c>
      <c r="D75" s="48" t="s">
        <v>311</v>
      </c>
      <c r="E75" s="48" t="s">
        <v>97</v>
      </c>
      <c r="F75" s="112">
        <f ca="1" t="shared" ref="F75:Q75" si="15">IFERROR(F68/F64," ")</f>
        <v>0.5</v>
      </c>
      <c r="G75" s="112">
        <f ca="1" t="shared" si="15"/>
        <v>0</v>
      </c>
      <c r="H75" s="112">
        <f ca="1" t="shared" si="15"/>
        <v>0</v>
      </c>
      <c r="I75" s="112">
        <f ca="1" t="shared" si="15"/>
        <v>0.25</v>
      </c>
      <c r="J75" s="112" t="str">
        <f ca="1" t="shared" si="15"/>
        <v> </v>
      </c>
      <c r="K75" s="112">
        <f ca="1" t="shared" si="15"/>
        <v>0</v>
      </c>
      <c r="L75" s="112">
        <f ca="1" t="shared" si="15"/>
        <v>0.333333333333333</v>
      </c>
      <c r="M75" s="112">
        <f ca="1" t="shared" si="15"/>
        <v>0</v>
      </c>
      <c r="N75" s="112">
        <f ca="1" t="shared" si="15"/>
        <v>0</v>
      </c>
      <c r="O75" s="112">
        <f ca="1" t="shared" si="15"/>
        <v>0.0909090909090909</v>
      </c>
      <c r="P75" s="112">
        <f ca="1" t="shared" si="15"/>
        <v>0.0769230769230769</v>
      </c>
      <c r="Q75" s="112">
        <f ca="1" t="shared" si="15"/>
        <v>0</v>
      </c>
    </row>
    <row r="76" ht="24" customHeight="1" spans="1:17">
      <c r="A76" s="99" t="s">
        <v>289</v>
      </c>
      <c r="B76" s="99" t="s">
        <v>308</v>
      </c>
      <c r="C76" s="99" t="s">
        <v>309</v>
      </c>
      <c r="D76" s="48" t="s">
        <v>311</v>
      </c>
      <c r="E76" s="48" t="s">
        <v>87</v>
      </c>
      <c r="F76" s="112">
        <f ca="1" t="shared" ref="F76:Q76" si="16">IFERROR(F69/F64," ")</f>
        <v>0</v>
      </c>
      <c r="G76" s="112">
        <f ca="1" t="shared" si="16"/>
        <v>0</v>
      </c>
      <c r="H76" s="112">
        <f ca="1" t="shared" si="16"/>
        <v>0</v>
      </c>
      <c r="I76" s="112">
        <f ca="1" t="shared" si="16"/>
        <v>0</v>
      </c>
      <c r="J76" s="112" t="str">
        <f ca="1" t="shared" si="16"/>
        <v> </v>
      </c>
      <c r="K76" s="112">
        <f ca="1" t="shared" si="16"/>
        <v>0</v>
      </c>
      <c r="L76" s="112">
        <f ca="1" t="shared" si="16"/>
        <v>0</v>
      </c>
      <c r="M76" s="112">
        <f ca="1" t="shared" si="16"/>
        <v>0.25</v>
      </c>
      <c r="N76" s="112">
        <f ca="1" t="shared" si="16"/>
        <v>0</v>
      </c>
      <c r="O76" s="112">
        <f ca="1" t="shared" si="16"/>
        <v>0</v>
      </c>
      <c r="P76" s="112">
        <f ca="1" t="shared" si="16"/>
        <v>0.0769230769230769</v>
      </c>
      <c r="Q76" s="112">
        <f ca="1" t="shared" si="16"/>
        <v>0.0769230769230769</v>
      </c>
    </row>
    <row r="77" ht="24" customHeight="1" spans="1:17">
      <c r="A77" s="99" t="s">
        <v>289</v>
      </c>
      <c r="B77" s="99" t="s">
        <v>308</v>
      </c>
      <c r="C77" s="99" t="s">
        <v>309</v>
      </c>
      <c r="D77" s="48" t="s">
        <v>311</v>
      </c>
      <c r="E77" s="48" t="s">
        <v>149</v>
      </c>
      <c r="F77" s="112">
        <f ca="1" t="shared" ref="F77:Q77" si="17">IFERROR(F70/F64," ")</f>
        <v>0</v>
      </c>
      <c r="G77" s="112">
        <f ca="1" t="shared" si="17"/>
        <v>0</v>
      </c>
      <c r="H77" s="112">
        <f ca="1" t="shared" si="17"/>
        <v>0</v>
      </c>
      <c r="I77" s="112">
        <f ca="1" t="shared" si="17"/>
        <v>0</v>
      </c>
      <c r="J77" s="112" t="str">
        <f ca="1" t="shared" si="17"/>
        <v> </v>
      </c>
      <c r="K77" s="112">
        <f ca="1" t="shared" si="17"/>
        <v>0</v>
      </c>
      <c r="L77" s="112">
        <f ca="1" t="shared" si="17"/>
        <v>0</v>
      </c>
      <c r="M77" s="112">
        <f ca="1" t="shared" si="17"/>
        <v>0</v>
      </c>
      <c r="N77" s="112">
        <f ca="1" t="shared" si="17"/>
        <v>0</v>
      </c>
      <c r="O77" s="112">
        <f ca="1" t="shared" si="17"/>
        <v>0</v>
      </c>
      <c r="P77" s="112">
        <f ca="1" t="shared" si="17"/>
        <v>0</v>
      </c>
      <c r="Q77" s="112">
        <f ca="1" t="shared" si="17"/>
        <v>0</v>
      </c>
    </row>
    <row r="78" ht="24" customHeight="1" spans="1:17">
      <c r="A78" s="99" t="s">
        <v>289</v>
      </c>
      <c r="B78" s="99" t="s">
        <v>308</v>
      </c>
      <c r="C78" s="99" t="s">
        <v>309</v>
      </c>
      <c r="D78" s="48" t="s">
        <v>311</v>
      </c>
      <c r="E78" s="48" t="s">
        <v>83</v>
      </c>
      <c r="F78" s="112">
        <f ca="1" t="shared" ref="F78:Q78" si="18">IFERROR(F71/F64," ")</f>
        <v>0</v>
      </c>
      <c r="G78" s="112">
        <f ca="1" t="shared" si="18"/>
        <v>0</v>
      </c>
      <c r="H78" s="112">
        <f ca="1" t="shared" si="18"/>
        <v>0</v>
      </c>
      <c r="I78" s="112">
        <f ca="1" t="shared" si="18"/>
        <v>0</v>
      </c>
      <c r="J78" s="112" t="str">
        <f ca="1" t="shared" si="18"/>
        <v> </v>
      </c>
      <c r="K78" s="112">
        <f ca="1" t="shared" si="18"/>
        <v>0</v>
      </c>
      <c r="L78" s="112">
        <f ca="1" t="shared" si="18"/>
        <v>0</v>
      </c>
      <c r="M78" s="112">
        <f ca="1" t="shared" si="18"/>
        <v>0.25</v>
      </c>
      <c r="N78" s="112">
        <f ca="1" t="shared" si="18"/>
        <v>0.2</v>
      </c>
      <c r="O78" s="112">
        <f ca="1" t="shared" si="18"/>
        <v>0.0909090909090909</v>
      </c>
      <c r="P78" s="112">
        <f ca="1" t="shared" si="18"/>
        <v>0.0769230769230769</v>
      </c>
      <c r="Q78" s="112">
        <f ca="1" t="shared" si="18"/>
        <v>0.0769230769230769</v>
      </c>
    </row>
    <row r="79" ht="24" customHeight="1" spans="1:17">
      <c r="A79" s="99" t="s">
        <v>289</v>
      </c>
      <c r="B79" s="99" t="s">
        <v>308</v>
      </c>
      <c r="C79" s="99" t="s">
        <v>309</v>
      </c>
      <c r="D79" s="47" t="s">
        <v>294</v>
      </c>
      <c r="E79" s="47" t="s">
        <v>93</v>
      </c>
      <c r="F79" s="206">
        <f ca="1" t="shared" ref="F79:F83" si="19">IF($S$1&lt;DATE(2025,1,1)," ",F108-F137)</f>
        <v>0</v>
      </c>
      <c r="G79" s="206">
        <f ca="1" t="shared" ref="G79:G83" si="20">IF($S$1&lt;DATE(2025,2,1)," ",G108-G137)</f>
        <v>4</v>
      </c>
      <c r="H79" s="206">
        <f ca="1" t="shared" ref="H79:H83" si="21">IF($S$1&lt;DATE(2025,3,1)," ",H108-H137)</f>
        <v>6</v>
      </c>
      <c r="I79" s="206">
        <f ca="1" t="shared" ref="I79:I83" si="22">IF($S$1&lt;DATE(2025,4,1)," ",I108-I137)</f>
        <v>7</v>
      </c>
      <c r="J79" s="206">
        <f ca="1" t="shared" ref="J79:J83" si="23">IF($S$1&lt;DATE(2025,5,1)," ",J108-J137)</f>
        <v>7</v>
      </c>
      <c r="K79" s="206">
        <f ca="1" t="shared" ref="K79:K83" si="24">IF($S$1&lt;DATE(2025,6,1)," ",K108-K137)</f>
        <v>8</v>
      </c>
      <c r="L79" s="206">
        <f ca="1" t="shared" ref="L79:L83" si="25">IF($S$1&lt;DATE(2025,7,1)," ",L108-L137)</f>
        <v>10</v>
      </c>
      <c r="M79" s="206">
        <f ca="1" t="shared" ref="M79:M83" si="26">IF($S$1&lt;DATE(2025,8,1)," ",M108-M137)</f>
        <v>11</v>
      </c>
      <c r="N79" s="206">
        <f ca="1" t="shared" ref="N79:N83" si="27">IF($S$1&lt;DATE(2025,9,1)," ",N108-N137)</f>
        <v>16</v>
      </c>
      <c r="O79" s="206">
        <f ca="1" t="shared" ref="O79:O83" si="28">IF($S$1&lt;DATE(2025,10,1)," ",O108-O137)</f>
        <v>17</v>
      </c>
      <c r="P79" s="206">
        <f ca="1" t="shared" ref="P79:P83" si="29">IF($S$1&lt;DATE(2025,11,1)," ",P108-P137)</f>
        <v>19</v>
      </c>
      <c r="Q79" s="206">
        <f ca="1" t="shared" ref="Q79:Q83" si="30">IF($S$1&lt;DATE(2025,12,1)," ",Q108-Q137)</f>
        <v>22</v>
      </c>
    </row>
    <row r="80" ht="24" customHeight="1" spans="1:17">
      <c r="A80" s="99" t="s">
        <v>289</v>
      </c>
      <c r="B80" s="99" t="s">
        <v>308</v>
      </c>
      <c r="C80" s="99" t="s">
        <v>309</v>
      </c>
      <c r="D80" s="47" t="s">
        <v>294</v>
      </c>
      <c r="E80" s="47" t="s">
        <v>85</v>
      </c>
      <c r="F80" s="206">
        <f ca="1" t="shared" si="19"/>
        <v>1</v>
      </c>
      <c r="G80" s="206">
        <f ca="1" t="shared" si="20"/>
        <v>2</v>
      </c>
      <c r="H80" s="206">
        <f ca="1" t="shared" si="21"/>
        <v>3</v>
      </c>
      <c r="I80" s="206">
        <f ca="1" t="shared" si="22"/>
        <v>3</v>
      </c>
      <c r="J80" s="206">
        <f ca="1" t="shared" si="23"/>
        <v>5</v>
      </c>
      <c r="K80" s="206">
        <f ca="1" t="shared" si="24"/>
        <v>9</v>
      </c>
      <c r="L80" s="206">
        <f ca="1" t="shared" si="25"/>
        <v>8</v>
      </c>
      <c r="M80" s="206">
        <f ca="1" t="shared" si="26"/>
        <v>13</v>
      </c>
      <c r="N80" s="206">
        <f ca="1" t="shared" si="27"/>
        <v>15</v>
      </c>
      <c r="O80" s="206">
        <f ca="1" t="shared" si="28"/>
        <v>17</v>
      </c>
      <c r="P80" s="206">
        <f ca="1" t="shared" si="29"/>
        <v>17</v>
      </c>
      <c r="Q80" s="206">
        <f ca="1" t="shared" si="30"/>
        <v>18</v>
      </c>
    </row>
    <row r="81" ht="24" customHeight="1" spans="1:17">
      <c r="A81" s="99" t="s">
        <v>289</v>
      </c>
      <c r="B81" s="99" t="s">
        <v>308</v>
      </c>
      <c r="C81" s="99" t="s">
        <v>309</v>
      </c>
      <c r="D81" s="47" t="s">
        <v>294</v>
      </c>
      <c r="E81" s="47" t="s">
        <v>81</v>
      </c>
      <c r="F81" s="206">
        <f ca="1" t="shared" si="19"/>
        <v>0</v>
      </c>
      <c r="G81" s="206">
        <f ca="1" t="shared" si="20"/>
        <v>0</v>
      </c>
      <c r="H81" s="206">
        <f ca="1" t="shared" si="21"/>
        <v>1</v>
      </c>
      <c r="I81" s="206">
        <f ca="1" t="shared" si="22"/>
        <v>2</v>
      </c>
      <c r="J81" s="206">
        <f ca="1" t="shared" si="23"/>
        <v>2</v>
      </c>
      <c r="K81" s="206">
        <f ca="1" t="shared" si="24"/>
        <v>3</v>
      </c>
      <c r="L81" s="206">
        <f ca="1" t="shared" si="25"/>
        <v>4</v>
      </c>
      <c r="M81" s="206">
        <f ca="1" t="shared" si="26"/>
        <v>5</v>
      </c>
      <c r="N81" s="206">
        <f ca="1" t="shared" si="27"/>
        <v>4</v>
      </c>
      <c r="O81" s="206">
        <f ca="1" t="shared" si="28"/>
        <v>10</v>
      </c>
      <c r="P81" s="206">
        <f ca="1" t="shared" si="29"/>
        <v>10</v>
      </c>
      <c r="Q81" s="206">
        <f ca="1" t="shared" si="30"/>
        <v>12</v>
      </c>
    </row>
    <row r="82" ht="24" customHeight="1" spans="1:17">
      <c r="A82" s="99" t="s">
        <v>289</v>
      </c>
      <c r="B82" s="99" t="s">
        <v>308</v>
      </c>
      <c r="C82" s="99" t="s">
        <v>309</v>
      </c>
      <c r="D82" s="47" t="s">
        <v>294</v>
      </c>
      <c r="E82" s="47" t="s">
        <v>96</v>
      </c>
      <c r="F82" s="206">
        <f ca="1" t="shared" si="19"/>
        <v>1</v>
      </c>
      <c r="G82" s="206">
        <f ca="1" t="shared" si="20"/>
        <v>0</v>
      </c>
      <c r="H82" s="206">
        <f ca="1" t="shared" si="21"/>
        <v>1</v>
      </c>
      <c r="I82" s="206">
        <f ca="1" t="shared" si="22"/>
        <v>1</v>
      </c>
      <c r="J82" s="206">
        <f ca="1" t="shared" si="23"/>
        <v>1</v>
      </c>
      <c r="K82" s="206">
        <f ca="1" t="shared" si="24"/>
        <v>1</v>
      </c>
      <c r="L82" s="206">
        <f ca="1" t="shared" si="25"/>
        <v>1</v>
      </c>
      <c r="M82" s="206">
        <f ca="1" t="shared" si="26"/>
        <v>1</v>
      </c>
      <c r="N82" s="206">
        <f ca="1" t="shared" si="27"/>
        <v>1</v>
      </c>
      <c r="O82" s="206">
        <f ca="1" t="shared" si="28"/>
        <v>1</v>
      </c>
      <c r="P82" s="206">
        <f ca="1" t="shared" si="29"/>
        <v>1</v>
      </c>
      <c r="Q82" s="206">
        <f ca="1" t="shared" si="30"/>
        <v>1</v>
      </c>
    </row>
    <row r="83" ht="24" customHeight="1" spans="1:17">
      <c r="A83" s="99" t="s">
        <v>289</v>
      </c>
      <c r="B83" s="99" t="s">
        <v>308</v>
      </c>
      <c r="C83" s="99" t="s">
        <v>309</v>
      </c>
      <c r="D83" s="47" t="s">
        <v>294</v>
      </c>
      <c r="E83" s="47" t="s">
        <v>160</v>
      </c>
      <c r="F83" s="206">
        <f ca="1" t="shared" si="19"/>
        <v>0</v>
      </c>
      <c r="G83" s="206">
        <f ca="1" t="shared" si="20"/>
        <v>0</v>
      </c>
      <c r="H83" s="206">
        <f ca="1" t="shared" si="21"/>
        <v>0</v>
      </c>
      <c r="I83" s="206">
        <f ca="1" t="shared" si="22"/>
        <v>0</v>
      </c>
      <c r="J83" s="206">
        <f ca="1" t="shared" si="23"/>
        <v>0</v>
      </c>
      <c r="K83" s="206">
        <f ca="1" t="shared" si="24"/>
        <v>0</v>
      </c>
      <c r="L83" s="206">
        <f ca="1" t="shared" si="25"/>
        <v>0</v>
      </c>
      <c r="M83" s="206">
        <f ca="1" t="shared" si="26"/>
        <v>0</v>
      </c>
      <c r="N83" s="206">
        <f ca="1" t="shared" si="27"/>
        <v>0</v>
      </c>
      <c r="O83" s="206">
        <f ca="1" t="shared" si="28"/>
        <v>0</v>
      </c>
      <c r="P83" s="206">
        <f ca="1" t="shared" si="29"/>
        <v>0</v>
      </c>
      <c r="Q83" s="206">
        <f ca="1" t="shared" si="30"/>
        <v>0</v>
      </c>
    </row>
    <row r="84" ht="24" customHeight="1" spans="1:17">
      <c r="A84" s="99" t="s">
        <v>289</v>
      </c>
      <c r="B84" s="99" t="s">
        <v>308</v>
      </c>
      <c r="C84" s="99" t="s">
        <v>309</v>
      </c>
      <c r="D84" s="100" t="s">
        <v>292</v>
      </c>
      <c r="E84" s="100" t="s">
        <v>312</v>
      </c>
      <c r="F84" s="204">
        <f ca="1">IF($S$1&lt;DATE(2025,1,1)," ",SUM(F85:F87))</f>
        <v>2</v>
      </c>
      <c r="G84" s="204">
        <f ca="1">IF($S$1&lt;DATE(2025,2,1)," ",SUM(G85:G87))</f>
        <v>1</v>
      </c>
      <c r="H84" s="204">
        <f ca="1">IF($S$1&lt;DATE(2025,3,1)," ",SUM(H85:H87))</f>
        <v>4</v>
      </c>
      <c r="I84" s="204">
        <f ca="1">IF($S$1&lt;DATE(2025,4,1)," ",SUM(I85:I87))</f>
        <v>3</v>
      </c>
      <c r="J84" s="204">
        <f ca="1">IF($S$1&lt;DATE(2025,5,1)," ",SUM(J85:J87))</f>
        <v>0</v>
      </c>
      <c r="K84" s="204">
        <f ca="1">IF($S$1&lt;DATE(2025,6,1)," ",SUM(K85:K87))</f>
        <v>3</v>
      </c>
      <c r="L84" s="204">
        <f ca="1">IF($S$1&lt;DATE(2025,7,1)," ",SUM(L85:L87))</f>
        <v>3</v>
      </c>
      <c r="M84" s="204">
        <f ca="1">IF($S$1&lt;DATE(2025,8,1)," ",SUM(M85:M87))</f>
        <v>4</v>
      </c>
      <c r="N84" s="204">
        <f ca="1">IF($S$1&lt;DATE(2025,9,1)," ",SUM(N85:N87))</f>
        <v>5</v>
      </c>
      <c r="O84" s="204">
        <f ca="1">IF($S$1&lt;DATE(2025,10,1)," ",SUM(O85:O87))</f>
        <v>11</v>
      </c>
      <c r="P84" s="204">
        <f ca="1">IF($S$1&lt;DATE(2025,11,1)," ",SUM(P85:P87))</f>
        <v>13</v>
      </c>
      <c r="Q84" s="204">
        <f ca="1">IF($S$1&lt;DATE(2025,12,1)," ",SUM(Q85:Q87))</f>
        <v>13</v>
      </c>
    </row>
    <row r="85" ht="24" customHeight="1" spans="1:35">
      <c r="A85" s="99" t="s">
        <v>289</v>
      </c>
      <c r="B85" s="99" t="s">
        <v>308</v>
      </c>
      <c r="C85" s="99" t="s">
        <v>309</v>
      </c>
      <c r="D85" s="48" t="s">
        <v>296</v>
      </c>
      <c r="E85" s="48" t="s">
        <v>90</v>
      </c>
      <c r="F85" s="205">
        <f ca="1" t="shared" ref="F85:F87" si="31">IF($S$1&lt;DATE(2025,1,1)," ",F114-F143)</f>
        <v>1</v>
      </c>
      <c r="G85" s="205">
        <f ca="1" t="shared" ref="G85:G87" si="32">IF($S$1&lt;DATE(2025,2,1)," ",G114-G143)</f>
        <v>1</v>
      </c>
      <c r="H85" s="205">
        <f ca="1" t="shared" ref="H85:H87" si="33">IF($S$1&lt;DATE(2025,3,1)," ",H114-H143)</f>
        <v>1</v>
      </c>
      <c r="I85" s="205">
        <f ca="1" t="shared" ref="I85:I87" si="34">IF($S$1&lt;DATE(2025,4,1)," ",I114-I143)</f>
        <v>2</v>
      </c>
      <c r="J85" s="205">
        <f ca="1" t="shared" ref="J85:J87" si="35">IF($S$1&lt;DATE(2025,5,1)," ",J114-J143)</f>
        <v>0</v>
      </c>
      <c r="K85" s="205">
        <f ca="1" t="shared" ref="K85:K87" si="36">IF($S$1&lt;DATE(2025,6,1)," ",K114-K143)</f>
        <v>1</v>
      </c>
      <c r="L85" s="205">
        <f ca="1" t="shared" ref="L85:L87" si="37">IF($S$1&lt;DATE(2025,7,1)," ",L114-L143)</f>
        <v>2</v>
      </c>
      <c r="M85" s="205">
        <f ca="1" t="shared" ref="M85:M87" si="38">IF($S$1&lt;DATE(2025,8,1)," ",M114-M143)</f>
        <v>1</v>
      </c>
      <c r="N85" s="205">
        <f ca="1" t="shared" ref="N85:N87" si="39">IF($S$1&lt;DATE(2025,9,1)," ",N114-N143)</f>
        <v>2</v>
      </c>
      <c r="O85" s="205">
        <f ca="1" t="shared" ref="O85:O87" si="40">IF($S$1&lt;DATE(2025,10,1)," ",O114-O143)</f>
        <v>1</v>
      </c>
      <c r="P85" s="205">
        <f ca="1" t="shared" ref="P85:P87" si="41">IF($S$1&lt;DATE(2025,11,1)," ",P114-P143)</f>
        <v>1</v>
      </c>
      <c r="Q85" s="205">
        <f ca="1" t="shared" ref="Q85:Q87" si="42">IF($S$1&lt;DATE(2025,12,1)," ",Q114-Q143)</f>
        <v>2</v>
      </c>
      <c r="R85" s="109"/>
      <c r="S85" s="109"/>
      <c r="T85" s="109"/>
      <c r="U85" s="109"/>
      <c r="V85" s="109"/>
      <c r="W85" s="109"/>
      <c r="X85" s="109"/>
      <c r="Y85" s="109"/>
      <c r="Z85" s="109"/>
      <c r="AA85" s="109"/>
      <c r="AB85" s="109"/>
      <c r="AC85" s="109"/>
      <c r="AD85" s="109"/>
      <c r="AE85" s="109"/>
      <c r="AF85" s="109"/>
      <c r="AG85" s="109"/>
      <c r="AH85" s="109"/>
      <c r="AI85" s="109"/>
    </row>
    <row r="86" ht="24" customHeight="1" spans="1:17">
      <c r="A86" s="99" t="s">
        <v>289</v>
      </c>
      <c r="B86" s="99" t="s">
        <v>308</v>
      </c>
      <c r="C86" s="99" t="s">
        <v>309</v>
      </c>
      <c r="D86" s="48" t="s">
        <v>296</v>
      </c>
      <c r="E86" s="48" t="s">
        <v>82</v>
      </c>
      <c r="F86" s="205">
        <f ca="1" t="shared" si="31"/>
        <v>1</v>
      </c>
      <c r="G86" s="205">
        <f ca="1" t="shared" si="32"/>
        <v>0</v>
      </c>
      <c r="H86" s="205">
        <f ca="1" t="shared" si="33"/>
        <v>3</v>
      </c>
      <c r="I86" s="205">
        <f ca="1" t="shared" si="34"/>
        <v>1</v>
      </c>
      <c r="J86" s="205">
        <f ca="1" t="shared" si="35"/>
        <v>0</v>
      </c>
      <c r="K86" s="205">
        <f ca="1" t="shared" si="36"/>
        <v>1</v>
      </c>
      <c r="L86" s="205">
        <f ca="1" t="shared" si="37"/>
        <v>0</v>
      </c>
      <c r="M86" s="205">
        <f ca="1" t="shared" si="38"/>
        <v>2</v>
      </c>
      <c r="N86" s="205">
        <f ca="1" t="shared" si="39"/>
        <v>0</v>
      </c>
      <c r="O86" s="205">
        <f ca="1" t="shared" si="40"/>
        <v>5</v>
      </c>
      <c r="P86" s="205">
        <f ca="1" t="shared" si="41"/>
        <v>4</v>
      </c>
      <c r="Q86" s="205">
        <f ca="1" t="shared" si="42"/>
        <v>5</v>
      </c>
    </row>
    <row r="87" ht="24" customHeight="1" spans="1:17">
      <c r="A87" s="99" t="s">
        <v>289</v>
      </c>
      <c r="B87" s="99" t="s">
        <v>308</v>
      </c>
      <c r="C87" s="99" t="s">
        <v>309</v>
      </c>
      <c r="D87" s="48" t="s">
        <v>296</v>
      </c>
      <c r="E87" s="48" t="s">
        <v>86</v>
      </c>
      <c r="F87" s="205">
        <f ca="1" t="shared" si="31"/>
        <v>0</v>
      </c>
      <c r="G87" s="205">
        <f ca="1" t="shared" si="32"/>
        <v>0</v>
      </c>
      <c r="H87" s="205">
        <f ca="1" t="shared" si="33"/>
        <v>0</v>
      </c>
      <c r="I87" s="205">
        <f ca="1" t="shared" si="34"/>
        <v>0</v>
      </c>
      <c r="J87" s="205">
        <f ca="1" t="shared" si="35"/>
        <v>0</v>
      </c>
      <c r="K87" s="205">
        <f ca="1" t="shared" si="36"/>
        <v>1</v>
      </c>
      <c r="L87" s="205">
        <f ca="1" t="shared" si="37"/>
        <v>1</v>
      </c>
      <c r="M87" s="205">
        <f ca="1" t="shared" si="38"/>
        <v>1</v>
      </c>
      <c r="N87" s="205">
        <f ca="1" t="shared" si="39"/>
        <v>3</v>
      </c>
      <c r="O87" s="205">
        <f ca="1" t="shared" si="40"/>
        <v>5</v>
      </c>
      <c r="P87" s="205">
        <f ca="1" t="shared" si="41"/>
        <v>8</v>
      </c>
      <c r="Q87" s="205">
        <f ca="1" t="shared" si="42"/>
        <v>6</v>
      </c>
    </row>
    <row r="88" ht="24" customHeight="1" spans="1:17">
      <c r="A88" s="99" t="s">
        <v>289</v>
      </c>
      <c r="B88" s="99" t="s">
        <v>308</v>
      </c>
      <c r="C88" s="99" t="s">
        <v>309</v>
      </c>
      <c r="D88" s="48" t="s">
        <v>313</v>
      </c>
      <c r="E88" s="48" t="s">
        <v>90</v>
      </c>
      <c r="F88" s="112">
        <f ca="1" t="shared" ref="F88:Q88" si="43">IFERROR(F85/F84," ")</f>
        <v>0.5</v>
      </c>
      <c r="G88" s="112">
        <f ca="1" t="shared" si="43"/>
        <v>1</v>
      </c>
      <c r="H88" s="112">
        <f ca="1" t="shared" si="43"/>
        <v>0.25</v>
      </c>
      <c r="I88" s="112">
        <f ca="1" t="shared" si="43"/>
        <v>0.666666666666667</v>
      </c>
      <c r="J88" s="112" t="str">
        <f ca="1" t="shared" si="43"/>
        <v> </v>
      </c>
      <c r="K88" s="112">
        <f ca="1" t="shared" si="43"/>
        <v>0.333333333333333</v>
      </c>
      <c r="L88" s="112">
        <f ca="1" t="shared" si="43"/>
        <v>0.666666666666667</v>
      </c>
      <c r="M88" s="112">
        <f ca="1" t="shared" si="43"/>
        <v>0.25</v>
      </c>
      <c r="N88" s="112">
        <f ca="1" t="shared" si="43"/>
        <v>0.4</v>
      </c>
      <c r="O88" s="112">
        <f ca="1" t="shared" si="43"/>
        <v>0.0909090909090909</v>
      </c>
      <c r="P88" s="112">
        <f ca="1" t="shared" si="43"/>
        <v>0.0769230769230769</v>
      </c>
      <c r="Q88" s="112">
        <f ca="1" t="shared" si="43"/>
        <v>0.153846153846154</v>
      </c>
    </row>
    <row r="89" ht="24" customHeight="1" spans="1:17">
      <c r="A89" s="99" t="s">
        <v>289</v>
      </c>
      <c r="B89" s="99" t="s">
        <v>308</v>
      </c>
      <c r="C89" s="99" t="s">
        <v>309</v>
      </c>
      <c r="D89" s="48" t="s">
        <v>313</v>
      </c>
      <c r="E89" s="48" t="s">
        <v>82</v>
      </c>
      <c r="F89" s="112">
        <f ca="1" t="shared" ref="F89:Q89" si="44">IFERROR(F86/F84," ")</f>
        <v>0.5</v>
      </c>
      <c r="G89" s="112">
        <f ca="1" t="shared" si="44"/>
        <v>0</v>
      </c>
      <c r="H89" s="112">
        <f ca="1" t="shared" si="44"/>
        <v>0.75</v>
      </c>
      <c r="I89" s="112">
        <f ca="1" t="shared" si="44"/>
        <v>0.333333333333333</v>
      </c>
      <c r="J89" s="112" t="str">
        <f ca="1" t="shared" si="44"/>
        <v> </v>
      </c>
      <c r="K89" s="112">
        <f ca="1" t="shared" si="44"/>
        <v>0.333333333333333</v>
      </c>
      <c r="L89" s="112">
        <f ca="1" t="shared" si="44"/>
        <v>0</v>
      </c>
      <c r="M89" s="112">
        <f ca="1" t="shared" si="44"/>
        <v>0.5</v>
      </c>
      <c r="N89" s="112">
        <f ca="1" t="shared" si="44"/>
        <v>0</v>
      </c>
      <c r="O89" s="112">
        <f ca="1" t="shared" si="44"/>
        <v>0.454545454545455</v>
      </c>
      <c r="P89" s="112">
        <f ca="1" t="shared" si="44"/>
        <v>0.307692307692308</v>
      </c>
      <c r="Q89" s="112">
        <f ca="1" t="shared" si="44"/>
        <v>0.384615384615385</v>
      </c>
    </row>
    <row r="90" ht="24" customHeight="1" spans="1:17">
      <c r="A90" s="99" t="s">
        <v>289</v>
      </c>
      <c r="B90" s="99" t="s">
        <v>308</v>
      </c>
      <c r="C90" s="99" t="s">
        <v>309</v>
      </c>
      <c r="D90" s="48" t="s">
        <v>313</v>
      </c>
      <c r="E90" s="48" t="s">
        <v>86</v>
      </c>
      <c r="F90" s="112">
        <f ca="1" t="shared" ref="F90:Q90" si="45">IFERROR(F87/F84," ")</f>
        <v>0</v>
      </c>
      <c r="G90" s="112">
        <f ca="1" t="shared" si="45"/>
        <v>0</v>
      </c>
      <c r="H90" s="112">
        <f ca="1" t="shared" si="45"/>
        <v>0</v>
      </c>
      <c r="I90" s="112">
        <f ca="1" t="shared" si="45"/>
        <v>0</v>
      </c>
      <c r="J90" s="112" t="str">
        <f ca="1" t="shared" si="45"/>
        <v> </v>
      </c>
      <c r="K90" s="112">
        <f ca="1" t="shared" si="45"/>
        <v>0.333333333333333</v>
      </c>
      <c r="L90" s="112">
        <f ca="1" t="shared" si="45"/>
        <v>0.333333333333333</v>
      </c>
      <c r="M90" s="112">
        <f ca="1" t="shared" si="45"/>
        <v>0.25</v>
      </c>
      <c r="N90" s="112">
        <f ca="1" t="shared" si="45"/>
        <v>0.6</v>
      </c>
      <c r="O90" s="112">
        <f ca="1" t="shared" si="45"/>
        <v>0.454545454545455</v>
      </c>
      <c r="P90" s="112">
        <f ca="1" t="shared" si="45"/>
        <v>0.615384615384615</v>
      </c>
      <c r="Q90" s="112">
        <f ca="1" t="shared" si="45"/>
        <v>0.461538461538462</v>
      </c>
    </row>
    <row r="91" ht="24" customHeight="1" spans="1:17">
      <c r="A91" s="99" t="s">
        <v>289</v>
      </c>
      <c r="B91" s="99" t="s">
        <v>308</v>
      </c>
      <c r="C91" s="99" t="s">
        <v>309</v>
      </c>
      <c r="D91" s="100" t="s">
        <v>292</v>
      </c>
      <c r="E91" s="100" t="s">
        <v>314</v>
      </c>
      <c r="F91" s="204">
        <f ca="1">IF($S$1&lt;DATE(2025,1,1)," ",SUM(F92:F95))</f>
        <v>1</v>
      </c>
      <c r="G91" s="204">
        <f ca="1">IF($S$1&lt;DATE(2025,2,1)," ",SUM(G92:G95))</f>
        <v>1</v>
      </c>
      <c r="H91" s="204">
        <f ca="1">IF($S$1&lt;DATE(2025,3,1)," ",SUM(H92:H95))</f>
        <v>4</v>
      </c>
      <c r="I91" s="204">
        <f ca="1">IF($S$1&lt;DATE(2025,4,1)," ",SUM(I92:I95))</f>
        <v>4</v>
      </c>
      <c r="J91" s="204">
        <f ca="1">IF($S$1&lt;DATE(2025,5,1)," ",SUM(J92:J95))</f>
        <v>0</v>
      </c>
      <c r="K91" s="204">
        <f ca="1">IF($S$1&lt;DATE(2025,6,1)," ",SUM(K92:K95))</f>
        <v>2</v>
      </c>
      <c r="L91" s="204">
        <f ca="1">IF($S$1&lt;DATE(2025,7,1)," ",SUM(L92:L95))</f>
        <v>3</v>
      </c>
      <c r="M91" s="204">
        <f ca="1">IF($S$1&lt;DATE(2025,8,1)," ",SUM(M92:M95))</f>
        <v>4</v>
      </c>
      <c r="N91" s="204">
        <f ca="1">IF($S$1&lt;DATE(2025,9,1)," ",SUM(N92:N95))</f>
        <v>5</v>
      </c>
      <c r="O91" s="204">
        <f ca="1">IF($S$1&lt;DATE(2025,10,1)," ",SUM(O92:O95))</f>
        <v>11</v>
      </c>
      <c r="P91" s="204">
        <f ca="1">IF($S$1&lt;DATE(2025,11,1)," ",SUM(P92:P95))</f>
        <v>13</v>
      </c>
      <c r="Q91" s="204">
        <f ca="1">IF($S$1&lt;DATE(2025,12,1)," ",SUM(Q92:Q95))</f>
        <v>13</v>
      </c>
    </row>
    <row r="92" ht="24" customHeight="1" spans="1:35">
      <c r="A92" s="99" t="s">
        <v>289</v>
      </c>
      <c r="B92" s="99" t="s">
        <v>308</v>
      </c>
      <c r="C92" s="99" t="s">
        <v>309</v>
      </c>
      <c r="D92" s="48" t="s">
        <v>298</v>
      </c>
      <c r="E92" s="48" t="s">
        <v>97</v>
      </c>
      <c r="F92" s="205">
        <f ca="1" t="shared" ref="F92:F95" si="46">IF($S$1&lt;DATE(2025,1,1)," ",F118-F150)</f>
        <v>1</v>
      </c>
      <c r="G92" s="205">
        <f ca="1" t="shared" ref="G92:G95" si="47">IF($S$1&lt;DATE(2025,2,1)," ",G118-G150)</f>
        <v>0</v>
      </c>
      <c r="H92" s="205">
        <f ca="1" t="shared" ref="H92:H95" si="48">IF($S$1&lt;DATE(2025,3,1)," ",H118-H150)</f>
        <v>1</v>
      </c>
      <c r="I92" s="205">
        <f ca="1" t="shared" ref="I92:I95" si="49">IF($S$1&lt;DATE(2025,4,1)," ",I118-I150)</f>
        <v>1</v>
      </c>
      <c r="J92" s="205">
        <f ca="1" t="shared" ref="J92:J95" si="50">IF($S$1&lt;DATE(2025,5,1)," ",J118-J150)</f>
        <v>0</v>
      </c>
      <c r="K92" s="205">
        <f ca="1" t="shared" ref="K92:K95" si="51">IF($S$1&lt;DATE(2025,6,1)," ",K118-K150)</f>
        <v>0</v>
      </c>
      <c r="L92" s="205">
        <f ca="1" t="shared" ref="L92:L95" si="52">IF($S$1&lt;DATE(2025,7,1)," ",L118-L150)</f>
        <v>1</v>
      </c>
      <c r="M92" s="205">
        <f ca="1" t="shared" ref="M92:M95" si="53">IF($S$1&lt;DATE(2025,8,1)," ",M118-M150)</f>
        <v>0</v>
      </c>
      <c r="N92" s="205">
        <f ca="1" t="shared" ref="N92:N95" si="54">IF($S$1&lt;DATE(2025,9,1)," ",N118-N150)</f>
        <v>0</v>
      </c>
      <c r="O92" s="205">
        <f ca="1" t="shared" ref="O92:O95" si="55">IF($S$1&lt;DATE(2025,10,1)," ",O118-O150)</f>
        <v>3</v>
      </c>
      <c r="P92" s="205">
        <f ca="1" t="shared" ref="P92:P95" si="56">IF($S$1&lt;DATE(2025,11,1)," ",P118-P150)</f>
        <v>4</v>
      </c>
      <c r="Q92" s="205">
        <f ca="1" t="shared" ref="Q92:Q95" si="57">IF($S$1&lt;DATE(2025,12,1)," ",Q118-Q150)</f>
        <v>2</v>
      </c>
      <c r="R92" s="109"/>
      <c r="S92" s="109"/>
      <c r="T92" s="109"/>
      <c r="U92" s="109"/>
      <c r="V92" s="109"/>
      <c r="W92" s="109"/>
      <c r="X92" s="109"/>
      <c r="Y92" s="109"/>
      <c r="Z92" s="109"/>
      <c r="AA92" s="109"/>
      <c r="AB92" s="109"/>
      <c r="AC92" s="109"/>
      <c r="AD92" s="109"/>
      <c r="AE92" s="109"/>
      <c r="AF92" s="109"/>
      <c r="AG92" s="109"/>
      <c r="AH92" s="109"/>
      <c r="AI92" s="109"/>
    </row>
    <row r="93" ht="24" customHeight="1" spans="1:17">
      <c r="A93" s="99" t="s">
        <v>289</v>
      </c>
      <c r="B93" s="99" t="s">
        <v>308</v>
      </c>
      <c r="C93" s="99" t="s">
        <v>309</v>
      </c>
      <c r="D93" s="48" t="s">
        <v>298</v>
      </c>
      <c r="E93" s="48" t="s">
        <v>87</v>
      </c>
      <c r="F93" s="205">
        <f ca="1" t="shared" si="46"/>
        <v>0</v>
      </c>
      <c r="G93" s="205">
        <f ca="1" t="shared" si="47"/>
        <v>1</v>
      </c>
      <c r="H93" s="205">
        <f ca="1" t="shared" si="48"/>
        <v>3</v>
      </c>
      <c r="I93" s="205">
        <f ca="1" t="shared" si="49"/>
        <v>2</v>
      </c>
      <c r="J93" s="205">
        <f ca="1" t="shared" si="50"/>
        <v>0</v>
      </c>
      <c r="K93" s="205">
        <f ca="1" t="shared" si="51"/>
        <v>2</v>
      </c>
      <c r="L93" s="205">
        <f ca="1" t="shared" si="52"/>
        <v>2</v>
      </c>
      <c r="M93" s="205">
        <f ca="1" t="shared" si="53"/>
        <v>3</v>
      </c>
      <c r="N93" s="205">
        <f ca="1" t="shared" si="54"/>
        <v>2</v>
      </c>
      <c r="O93" s="205">
        <f ca="1" t="shared" si="55"/>
        <v>4</v>
      </c>
      <c r="P93" s="205">
        <f ca="1" t="shared" si="56"/>
        <v>4</v>
      </c>
      <c r="Q93" s="205">
        <f ca="1" t="shared" si="57"/>
        <v>5</v>
      </c>
    </row>
    <row r="94" ht="24" customHeight="1" spans="1:17">
      <c r="A94" s="99" t="s">
        <v>289</v>
      </c>
      <c r="B94" s="99" t="s">
        <v>308</v>
      </c>
      <c r="C94" s="99" t="s">
        <v>309</v>
      </c>
      <c r="D94" s="48" t="s">
        <v>298</v>
      </c>
      <c r="E94" s="48" t="s">
        <v>149</v>
      </c>
      <c r="F94" s="205">
        <f ca="1" t="shared" si="46"/>
        <v>0</v>
      </c>
      <c r="G94" s="205">
        <f ca="1" t="shared" si="47"/>
        <v>0</v>
      </c>
      <c r="H94" s="205">
        <f ca="1" t="shared" si="48"/>
        <v>0</v>
      </c>
      <c r="I94" s="205">
        <f ca="1" t="shared" si="49"/>
        <v>0</v>
      </c>
      <c r="J94" s="205">
        <f ca="1" t="shared" si="50"/>
        <v>0</v>
      </c>
      <c r="K94" s="205">
        <f ca="1" t="shared" si="51"/>
        <v>0</v>
      </c>
      <c r="L94" s="205">
        <f ca="1" t="shared" si="52"/>
        <v>0</v>
      </c>
      <c r="M94" s="205">
        <f ca="1" t="shared" si="53"/>
        <v>0</v>
      </c>
      <c r="N94" s="205">
        <f ca="1" t="shared" si="54"/>
        <v>0</v>
      </c>
      <c r="O94" s="205">
        <f ca="1" t="shared" si="55"/>
        <v>0</v>
      </c>
      <c r="P94" s="205">
        <f ca="1" t="shared" si="56"/>
        <v>0</v>
      </c>
      <c r="Q94" s="205">
        <f ca="1" t="shared" si="57"/>
        <v>0</v>
      </c>
    </row>
    <row r="95" ht="24" customHeight="1" spans="1:17">
      <c r="A95" s="99" t="s">
        <v>289</v>
      </c>
      <c r="B95" s="99" t="s">
        <v>308</v>
      </c>
      <c r="C95" s="99" t="s">
        <v>309</v>
      </c>
      <c r="D95" s="48" t="s">
        <v>298</v>
      </c>
      <c r="E95" s="48" t="s">
        <v>83</v>
      </c>
      <c r="F95" s="205">
        <f ca="1" t="shared" si="46"/>
        <v>0</v>
      </c>
      <c r="G95" s="205">
        <f ca="1" t="shared" si="47"/>
        <v>0</v>
      </c>
      <c r="H95" s="205">
        <f ca="1" t="shared" si="48"/>
        <v>0</v>
      </c>
      <c r="I95" s="205">
        <f ca="1" t="shared" si="49"/>
        <v>1</v>
      </c>
      <c r="J95" s="205">
        <f ca="1" t="shared" si="50"/>
        <v>0</v>
      </c>
      <c r="K95" s="205">
        <f ca="1" t="shared" si="51"/>
        <v>0</v>
      </c>
      <c r="L95" s="205">
        <f ca="1" t="shared" si="52"/>
        <v>0</v>
      </c>
      <c r="M95" s="205">
        <f ca="1" t="shared" si="53"/>
        <v>1</v>
      </c>
      <c r="N95" s="205">
        <f ca="1" t="shared" si="54"/>
        <v>3</v>
      </c>
      <c r="O95" s="205">
        <f ca="1" t="shared" si="55"/>
        <v>4</v>
      </c>
      <c r="P95" s="205">
        <f ca="1" t="shared" si="56"/>
        <v>5</v>
      </c>
      <c r="Q95" s="205">
        <f ca="1" t="shared" si="57"/>
        <v>6</v>
      </c>
    </row>
    <row r="96" ht="24" customHeight="1" spans="1:17">
      <c r="A96" s="99" t="s">
        <v>289</v>
      </c>
      <c r="B96" s="99" t="s">
        <v>308</v>
      </c>
      <c r="C96" s="99" t="s">
        <v>309</v>
      </c>
      <c r="D96" s="48" t="s">
        <v>315</v>
      </c>
      <c r="E96" s="48" t="s">
        <v>97</v>
      </c>
      <c r="F96" s="112">
        <f ca="1">IF($S$1&lt;DATE(2025,1,1)," ",F92/F91)</f>
        <v>1</v>
      </c>
      <c r="G96" s="112">
        <f ca="1">IF($S$1&lt;DATE(2025,2,1)," ",G92/G91)</f>
        <v>0</v>
      </c>
      <c r="H96" s="112">
        <f ca="1">IF($S$1&lt;DATE(2025,3,1)," ",H92/H91)</f>
        <v>0.25</v>
      </c>
      <c r="I96" s="112">
        <f ca="1">IF($S$1&lt;DATE(2025,4,1)," ",I92/I91)</f>
        <v>0.25</v>
      </c>
      <c r="J96" s="112" t="str">
        <f ca="1" t="shared" ref="J96:J99" si="58">IFERROR(J92/$J$91," ")</f>
        <v> </v>
      </c>
      <c r="K96" s="112">
        <f ca="1">IF($S$1&lt;DATE(2025,6,1)," ",K92/K91)</f>
        <v>0</v>
      </c>
      <c r="L96" s="112">
        <f ca="1">IF($S$1&lt;DATE(2025,7,1)," ",L92/L91)</f>
        <v>0.333333333333333</v>
      </c>
      <c r="M96" s="112">
        <f ca="1">IF($S$1&lt;DATE(2025,8,1)," ",M92/M91)</f>
        <v>0</v>
      </c>
      <c r="N96" s="112">
        <f ca="1">IF($S$1&lt;DATE(2025,9,1)," ",N92/N91)</f>
        <v>0</v>
      </c>
      <c r="O96" s="112">
        <f ca="1">IF($S$1&lt;DATE(2025,10,1)," ",O92/O91)</f>
        <v>0.272727272727273</v>
      </c>
      <c r="P96" s="112">
        <f ca="1">IF($S$1&lt;DATE(2025,11,1)," ",P92/P91)</f>
        <v>0.307692307692308</v>
      </c>
      <c r="Q96" s="112">
        <f ca="1">IF($S$1&lt;DATE(2025,12,1)," ",Q92/Q91)</f>
        <v>0.153846153846154</v>
      </c>
    </row>
    <row r="97" ht="24" customHeight="1" spans="1:17">
      <c r="A97" s="99" t="s">
        <v>289</v>
      </c>
      <c r="B97" s="99" t="s">
        <v>308</v>
      </c>
      <c r="C97" s="99" t="s">
        <v>309</v>
      </c>
      <c r="D97" s="48" t="s">
        <v>315</v>
      </c>
      <c r="E97" s="48" t="s">
        <v>87</v>
      </c>
      <c r="F97" s="112">
        <f ca="1">IF($S$1&lt;DATE(2025,1,1)," ",F93/F91)</f>
        <v>0</v>
      </c>
      <c r="G97" s="112">
        <f ca="1">IF($S$1&lt;DATE(2025,2,1)," ",G93/G91)</f>
        <v>1</v>
      </c>
      <c r="H97" s="112">
        <f ca="1">IF($S$1&lt;DATE(2025,3,1)," ",H93/H91)</f>
        <v>0.75</v>
      </c>
      <c r="I97" s="112">
        <f ca="1">IF($S$1&lt;DATE(2025,4,1)," ",I93/I91)</f>
        <v>0.5</v>
      </c>
      <c r="J97" s="112" t="str">
        <f ca="1" t="shared" si="58"/>
        <v> </v>
      </c>
      <c r="K97" s="112">
        <f ca="1">IF($S$1&lt;DATE(2025,6,1)," ",K93/K91)</f>
        <v>1</v>
      </c>
      <c r="L97" s="112">
        <f ca="1">IF($S$1&lt;DATE(2025,7,1)," ",L93/L91)</f>
        <v>0.666666666666667</v>
      </c>
      <c r="M97" s="112">
        <f ca="1">IF($S$1&lt;DATE(2025,8,1)," ",M93/M91)</f>
        <v>0.75</v>
      </c>
      <c r="N97" s="112">
        <f ca="1">IF($S$1&lt;DATE(2025,9,1)," ",N93/N91)</f>
        <v>0.4</v>
      </c>
      <c r="O97" s="112">
        <f ca="1">IF($S$1&lt;DATE(2025,10,1)," ",O93/O91)</f>
        <v>0.363636363636364</v>
      </c>
      <c r="P97" s="112">
        <f ca="1">IF($S$1&lt;DATE(2025,11,1)," ",P93/P91)</f>
        <v>0.307692307692308</v>
      </c>
      <c r="Q97" s="112">
        <f ca="1">IF($S$1&lt;DATE(2025,12,1)," ",Q93/Q91)</f>
        <v>0.384615384615385</v>
      </c>
    </row>
    <row r="98" ht="24" customHeight="1" spans="1:17">
      <c r="A98" s="99" t="s">
        <v>289</v>
      </c>
      <c r="B98" s="99" t="s">
        <v>308</v>
      </c>
      <c r="C98" s="99" t="s">
        <v>309</v>
      </c>
      <c r="D98" s="48" t="s">
        <v>315</v>
      </c>
      <c r="E98" s="48" t="s">
        <v>149</v>
      </c>
      <c r="F98" s="112">
        <f ca="1">IF($S$1&lt;DATE(2025,1,1)," ",F94/F91)</f>
        <v>0</v>
      </c>
      <c r="G98" s="112">
        <f ca="1">IF($S$1&lt;DATE(2025,2,1)," ",G94/G91)</f>
        <v>0</v>
      </c>
      <c r="H98" s="112">
        <f ca="1">IF($S$1&lt;DATE(2025,3,1)," ",H94/H91)</f>
        <v>0</v>
      </c>
      <c r="I98" s="112">
        <f ca="1">IF($S$1&lt;DATE(2025,4,1)," ",I94/I91)</f>
        <v>0</v>
      </c>
      <c r="J98" s="112" t="str">
        <f ca="1" t="shared" si="58"/>
        <v> </v>
      </c>
      <c r="K98" s="112">
        <f ca="1">IF($S$1&lt;DATE(2025,6,1)," ",K94/K91)</f>
        <v>0</v>
      </c>
      <c r="L98" s="112">
        <f ca="1">IF($S$1&lt;DATE(2025,7,1)," ",L94/L91)</f>
        <v>0</v>
      </c>
      <c r="M98" s="112">
        <f ca="1">IF($S$1&lt;DATE(2025,8,1)," ",M94/M91)</f>
        <v>0</v>
      </c>
      <c r="N98" s="112">
        <f ca="1">IF($S$1&lt;DATE(2025,9,1)," ",N94/N91)</f>
        <v>0</v>
      </c>
      <c r="O98" s="112">
        <f ca="1">IF($S$1&lt;DATE(2025,10,1)," ",O94/O91)</f>
        <v>0</v>
      </c>
      <c r="P98" s="112">
        <f ca="1">IF($S$1&lt;DATE(2025,11,1)," ",P94/P91)</f>
        <v>0</v>
      </c>
      <c r="Q98" s="112">
        <f ca="1">IF($S$1&lt;DATE(2025,12,1)," ",Q94/Q91)</f>
        <v>0</v>
      </c>
    </row>
    <row r="99" ht="24" customHeight="1" spans="1:17">
      <c r="A99" s="99" t="s">
        <v>289</v>
      </c>
      <c r="B99" s="99" t="s">
        <v>308</v>
      </c>
      <c r="C99" s="99" t="s">
        <v>309</v>
      </c>
      <c r="D99" s="48" t="s">
        <v>315</v>
      </c>
      <c r="E99" s="48" t="s">
        <v>83</v>
      </c>
      <c r="F99" s="112">
        <f ca="1">IF($S$1&lt;DATE(2025,1,1)," ",F95/F91)</f>
        <v>0</v>
      </c>
      <c r="G99" s="112">
        <f ca="1">IF($S$1&lt;DATE(2025,2,1)," ",G95/G91)</f>
        <v>0</v>
      </c>
      <c r="H99" s="112">
        <f ca="1">IF($S$1&lt;DATE(2025,3,1)," ",H95/H91)</f>
        <v>0</v>
      </c>
      <c r="I99" s="112">
        <f ca="1">IF($S$1&lt;DATE(2025,4,1)," ",I95/I91)</f>
        <v>0.25</v>
      </c>
      <c r="J99" s="112" t="str">
        <f ca="1" t="shared" si="58"/>
        <v> </v>
      </c>
      <c r="K99" s="112">
        <f ca="1">IF($S$1&lt;DATE(2025,6,1)," ",K95/K91)</f>
        <v>0</v>
      </c>
      <c r="L99" s="112">
        <f ca="1">IF($S$1&lt;DATE(2025,7,1)," ",L95/L91)</f>
        <v>0</v>
      </c>
      <c r="M99" s="112">
        <f ca="1">IF($S$1&lt;DATE(2025,8,1)," ",M95/M91)</f>
        <v>0.25</v>
      </c>
      <c r="N99" s="112">
        <f ca="1">IF($S$1&lt;DATE(2025,9,1)," ",N95/N91)</f>
        <v>0.6</v>
      </c>
      <c r="O99" s="112">
        <f ca="1">IF($S$1&lt;DATE(2025,10,1)," ",O95/O91)</f>
        <v>0.363636363636364</v>
      </c>
      <c r="P99" s="112">
        <f ca="1">IF($S$1&lt;DATE(2025,11,1)," ",P95/P91)</f>
        <v>0.384615384615385</v>
      </c>
      <c r="Q99" s="112">
        <f ca="1">IF($S$1&lt;DATE(2025,12,1)," ",Q95/Q91)</f>
        <v>0.461538461538462</v>
      </c>
    </row>
    <row r="100" ht="24" customHeight="1" spans="1:17">
      <c r="A100" s="99" t="s">
        <v>289</v>
      </c>
      <c r="B100" s="99" t="s">
        <v>290</v>
      </c>
      <c r="C100" s="99" t="s">
        <v>316</v>
      </c>
      <c r="D100" s="100" t="s">
        <v>292</v>
      </c>
      <c r="E100" s="100" t="s">
        <v>317</v>
      </c>
      <c r="F100" s="204">
        <f ca="1">IF($S$1&lt;DATE(2025,1,1)," ",IF((SUM(F101:F107)-MAX(F113,F117))&lt;0,"ERR",SUM(F101:F107)))</f>
        <v>6</v>
      </c>
      <c r="G100" s="204">
        <f ca="1">IF($S$1&lt;DATE(2025,2,1)," ",IF((SUM(G101:G107)-MAX(G113,G117))&lt;0,"ERR",SUM(G101:G107)))</f>
        <v>7</v>
      </c>
      <c r="H100" s="204">
        <f ca="1">IF($S$1&lt;DATE(2025,3,1)," ",IF((SUM(H101:H107)-MAX(H113,H117))&lt;0,"ERR",SUM(H101:H107)))</f>
        <v>11</v>
      </c>
      <c r="I100" s="204">
        <f ca="1">IF($S$1&lt;DATE(2025,4,1)," ",IF((SUM(I101:I107)-MAX(I113,I117))&lt;0,"ERR",SUM(I101:I107)))</f>
        <v>16</v>
      </c>
      <c r="J100" s="204">
        <f ca="1">IF($S$1&lt;DATE(2025,5,1)," ",IF((SUM(J101:J107)-MAX(J113,J117))&lt;0,"ERR",SUM(J101:J107)))</f>
        <v>17</v>
      </c>
      <c r="K100" s="204">
        <f ca="1">IF($S$1&lt;DATE(2025,6,1)," ",IF((SUM(K101:K107)-MAX(K113,K117))&lt;0,"ERR",SUM(K101:K107)))</f>
        <v>22</v>
      </c>
      <c r="L100" s="204">
        <f ca="1">IF($S$1&lt;DATE(2025,7,1)," ",IF((SUM(L101:L107)-MAX(L113,L117))&lt;0,"ERR",SUM(L101:L107)))</f>
        <v>28</v>
      </c>
      <c r="M100" s="204">
        <f ca="1">IF($S$1&lt;DATE(2025,8,1)," ",IF((SUM(M101:M107)-MAX(M113,M117))&lt;0,"ERR",SUM(M101:M107)))</f>
        <v>33</v>
      </c>
      <c r="N100" s="204">
        <f ca="1">IF($S$1&lt;DATE(2025,9,1)," ",IF((SUM(N101:N107)-MAX(N113,N117))&lt;0,"ERR",SUM(N101:N107)))</f>
        <v>38</v>
      </c>
      <c r="O100" s="204">
        <f ca="1">IF($S$1&lt;DATE(2025,10,1)," ",IF((SUM(O101:O107)-MAX(O113,O117))&lt;0,"ERR",SUM(O101:O107)))</f>
        <v>45</v>
      </c>
      <c r="P100" s="204">
        <f ca="1">IF($S$1&lt;DATE(2025,11,1)," ",IF((SUM(P101:P107)-MAX(P113,P117))&lt;0,"ERR",SUM(P101:P107)))</f>
        <v>53</v>
      </c>
      <c r="Q100" s="204">
        <f ca="1">IF($S$1&lt;DATE(2025,12,1)," ",IF((SUM(Q101:Q107)-MAX(Q113,Q117))&lt;0,"ERR",SUM(Q101:Q107)))</f>
        <v>56</v>
      </c>
    </row>
    <row r="101" ht="24" customHeight="1" spans="1:35">
      <c r="A101" s="99" t="s">
        <v>289</v>
      </c>
      <c r="B101" s="99" t="s">
        <v>290</v>
      </c>
      <c r="C101" s="99" t="s">
        <v>316</v>
      </c>
      <c r="D101" s="48" t="s">
        <v>31</v>
      </c>
      <c r="E101" s="48" t="s">
        <v>90</v>
      </c>
      <c r="F101" s="205">
        <f ca="1" t="shared" ref="F101:F112" si="59">IF($S$1&lt;DATE(2025,1,1)," ",F3)</f>
        <v>0</v>
      </c>
      <c r="G101" s="205">
        <f ca="1" t="shared" ref="G101:G112" si="60">IF($S$1&lt;DATE(2025,2,1)," ",G3+F101)</f>
        <v>1</v>
      </c>
      <c r="H101" s="205">
        <f ca="1" t="shared" ref="H101:H112" si="61">IF($S$1&lt;DATE(2025,3,1)," ",H3+G101)</f>
        <v>2</v>
      </c>
      <c r="I101" s="205">
        <f ca="1" t="shared" ref="I101:I112" si="62">IF($S$1&lt;DATE(2025,4,1)," ",I3+H101)</f>
        <v>5</v>
      </c>
      <c r="J101" s="205">
        <f ca="1" t="shared" ref="J101:J112" si="63">IF($S$1&lt;DATE(2025,5,1)," ",J3+I101)</f>
        <v>5</v>
      </c>
      <c r="K101" s="205">
        <f ca="1" t="shared" ref="K101:K112" si="64">IF($S$1&lt;DATE(2025,6,1)," ",K3+J101)</f>
        <v>7</v>
      </c>
      <c r="L101" s="205">
        <f ca="1" t="shared" ref="L101:L112" si="65">IF($S$1&lt;DATE(2025,7,1)," ",L3+K101)</f>
        <v>8</v>
      </c>
      <c r="M101" s="205">
        <f ca="1" t="shared" ref="M101:M112" si="66">IF($S$1&lt;DATE(2025,8,1)," ",M3+L101)</f>
        <v>10</v>
      </c>
      <c r="N101" s="205">
        <f ca="1" t="shared" ref="N101:N112" si="67">IF($S$1&lt;DATE(2025,9,1)," ",N3+M101)</f>
        <v>13</v>
      </c>
      <c r="O101" s="205">
        <f ca="1" t="shared" ref="O101:O112" si="68">IF($S$1&lt;DATE(2025,10,1)," ",O3+N101)</f>
        <v>13</v>
      </c>
      <c r="P101" s="205">
        <f ca="1" t="shared" ref="P101:P112" si="69">IF($S$1&lt;DATE(2025,11,1)," ",P3+O101)</f>
        <v>14</v>
      </c>
      <c r="Q101" s="205">
        <f ca="1" t="shared" ref="Q101:Q112" si="70">IF($S$1&lt;DATE(2025,12,1)," ",Q3+P101)</f>
        <v>16</v>
      </c>
      <c r="R101" s="109"/>
      <c r="S101" s="109"/>
      <c r="T101" s="109"/>
      <c r="U101" s="109"/>
      <c r="V101" s="109"/>
      <c r="W101" s="109"/>
      <c r="X101" s="109"/>
      <c r="Y101" s="109"/>
      <c r="Z101" s="109"/>
      <c r="AA101" s="109"/>
      <c r="AB101" s="109"/>
      <c r="AC101" s="109"/>
      <c r="AD101" s="109"/>
      <c r="AE101" s="109"/>
      <c r="AF101" s="109"/>
      <c r="AG101" s="109"/>
      <c r="AH101" s="109"/>
      <c r="AI101" s="109"/>
    </row>
    <row r="102" ht="24" customHeight="1" spans="1:17">
      <c r="A102" s="99" t="s">
        <v>289</v>
      </c>
      <c r="B102" s="99" t="s">
        <v>290</v>
      </c>
      <c r="C102" s="99" t="s">
        <v>316</v>
      </c>
      <c r="D102" s="48" t="s">
        <v>31</v>
      </c>
      <c r="E102" s="48" t="s">
        <v>82</v>
      </c>
      <c r="F102" s="205">
        <f ca="1" t="shared" si="59"/>
        <v>2</v>
      </c>
      <c r="G102" s="205">
        <f ca="1" t="shared" si="60"/>
        <v>2</v>
      </c>
      <c r="H102" s="205">
        <f ca="1" t="shared" si="61"/>
        <v>5</v>
      </c>
      <c r="I102" s="205">
        <f ca="1" t="shared" si="62"/>
        <v>6</v>
      </c>
      <c r="J102" s="205">
        <f ca="1" t="shared" si="63"/>
        <v>6</v>
      </c>
      <c r="K102" s="205">
        <f ca="1" t="shared" si="64"/>
        <v>7</v>
      </c>
      <c r="L102" s="205">
        <f ca="1" t="shared" si="65"/>
        <v>7</v>
      </c>
      <c r="M102" s="205">
        <f ca="1" t="shared" si="66"/>
        <v>8</v>
      </c>
      <c r="N102" s="205">
        <f ca="1" t="shared" si="67"/>
        <v>8</v>
      </c>
      <c r="O102" s="205">
        <f ca="1" t="shared" si="68"/>
        <v>13</v>
      </c>
      <c r="P102" s="205">
        <f ca="1" t="shared" si="69"/>
        <v>14</v>
      </c>
      <c r="Q102" s="205">
        <f ca="1" t="shared" si="70"/>
        <v>15</v>
      </c>
    </row>
    <row r="103" ht="24" customHeight="1" spans="1:17">
      <c r="A103" s="99" t="s">
        <v>289</v>
      </c>
      <c r="B103" s="99" t="s">
        <v>290</v>
      </c>
      <c r="C103" s="99" t="s">
        <v>316</v>
      </c>
      <c r="D103" s="48" t="s">
        <v>31</v>
      </c>
      <c r="E103" s="48" t="s">
        <v>86</v>
      </c>
      <c r="F103" s="205">
        <f ca="1" t="shared" si="59"/>
        <v>0</v>
      </c>
      <c r="G103" s="205">
        <f ca="1" t="shared" si="60"/>
        <v>0</v>
      </c>
      <c r="H103" s="205">
        <f ca="1" t="shared" si="61"/>
        <v>0</v>
      </c>
      <c r="I103" s="205">
        <f ca="1" t="shared" si="62"/>
        <v>0</v>
      </c>
      <c r="J103" s="205">
        <f ca="1" t="shared" si="63"/>
        <v>1</v>
      </c>
      <c r="K103" s="205">
        <f ca="1" t="shared" si="64"/>
        <v>2</v>
      </c>
      <c r="L103" s="205">
        <f ca="1" t="shared" si="65"/>
        <v>5</v>
      </c>
      <c r="M103" s="205">
        <f ca="1" t="shared" si="66"/>
        <v>5</v>
      </c>
      <c r="N103" s="205">
        <f ca="1" t="shared" si="67"/>
        <v>7</v>
      </c>
      <c r="O103" s="205">
        <f ca="1" t="shared" si="68"/>
        <v>8</v>
      </c>
      <c r="P103" s="205">
        <f ca="1" t="shared" si="69"/>
        <v>12</v>
      </c>
      <c r="Q103" s="205">
        <f ca="1" t="shared" si="70"/>
        <v>12</v>
      </c>
    </row>
    <row r="104" ht="24" customHeight="1" spans="1:17">
      <c r="A104" s="99" t="s">
        <v>289</v>
      </c>
      <c r="B104" s="99" t="s">
        <v>290</v>
      </c>
      <c r="C104" s="99" t="s">
        <v>316</v>
      </c>
      <c r="D104" s="48" t="s">
        <v>31</v>
      </c>
      <c r="E104" s="48" t="s">
        <v>97</v>
      </c>
      <c r="F104" s="205">
        <f ca="1" t="shared" si="59"/>
        <v>2</v>
      </c>
      <c r="G104" s="205">
        <f ca="1" t="shared" si="60"/>
        <v>2</v>
      </c>
      <c r="H104" s="205">
        <f ca="1" t="shared" si="61"/>
        <v>2</v>
      </c>
      <c r="I104" s="205">
        <f ca="1" t="shared" si="62"/>
        <v>3</v>
      </c>
      <c r="J104" s="205">
        <f ca="1" t="shared" si="63"/>
        <v>3</v>
      </c>
      <c r="K104" s="205">
        <f ca="1" t="shared" si="64"/>
        <v>3</v>
      </c>
      <c r="L104" s="205">
        <f ca="1" t="shared" si="65"/>
        <v>4</v>
      </c>
      <c r="M104" s="205">
        <f ca="1" t="shared" si="66"/>
        <v>4</v>
      </c>
      <c r="N104" s="205">
        <f ca="1" t="shared" si="67"/>
        <v>4</v>
      </c>
      <c r="O104" s="205">
        <f ca="1" t="shared" si="68"/>
        <v>5</v>
      </c>
      <c r="P104" s="205">
        <f ca="1" t="shared" si="69"/>
        <v>6</v>
      </c>
      <c r="Q104" s="205">
        <f ca="1" t="shared" si="70"/>
        <v>6</v>
      </c>
    </row>
    <row r="105" ht="24" customHeight="1" spans="1:17">
      <c r="A105" s="99" t="s">
        <v>289</v>
      </c>
      <c r="B105" s="99" t="s">
        <v>290</v>
      </c>
      <c r="C105" s="99" t="s">
        <v>316</v>
      </c>
      <c r="D105" s="48" t="s">
        <v>31</v>
      </c>
      <c r="E105" s="48" t="s">
        <v>87</v>
      </c>
      <c r="F105" s="205">
        <f ca="1" t="shared" si="59"/>
        <v>1</v>
      </c>
      <c r="G105" s="205">
        <f ca="1" t="shared" si="60"/>
        <v>1</v>
      </c>
      <c r="H105" s="205">
        <f ca="1" t="shared" si="61"/>
        <v>1</v>
      </c>
      <c r="I105" s="205">
        <f ca="1" t="shared" si="62"/>
        <v>1</v>
      </c>
      <c r="J105" s="205">
        <f ca="1" t="shared" si="63"/>
        <v>1</v>
      </c>
      <c r="K105" s="205">
        <f ca="1" t="shared" si="64"/>
        <v>1</v>
      </c>
      <c r="L105" s="205">
        <f ca="1" t="shared" si="65"/>
        <v>2</v>
      </c>
      <c r="M105" s="205">
        <f ca="1" t="shared" si="66"/>
        <v>3</v>
      </c>
      <c r="N105" s="205">
        <f ca="1" t="shared" si="67"/>
        <v>3</v>
      </c>
      <c r="O105" s="205">
        <f ca="1" t="shared" si="68"/>
        <v>3</v>
      </c>
      <c r="P105" s="205">
        <f ca="1" t="shared" si="69"/>
        <v>4</v>
      </c>
      <c r="Q105" s="205">
        <f ca="1" t="shared" si="70"/>
        <v>4</v>
      </c>
    </row>
    <row r="106" ht="24" customHeight="1" spans="1:17">
      <c r="A106" s="99" t="s">
        <v>289</v>
      </c>
      <c r="B106" s="99" t="s">
        <v>290</v>
      </c>
      <c r="C106" s="99" t="s">
        <v>316</v>
      </c>
      <c r="D106" s="48" t="s">
        <v>31</v>
      </c>
      <c r="E106" s="48" t="s">
        <v>149</v>
      </c>
      <c r="F106" s="205">
        <f ca="1" t="shared" si="59"/>
        <v>0</v>
      </c>
      <c r="G106" s="205">
        <f ca="1" t="shared" si="60"/>
        <v>0</v>
      </c>
      <c r="H106" s="205">
        <f ca="1" t="shared" si="61"/>
        <v>0</v>
      </c>
      <c r="I106" s="205">
        <f ca="1" t="shared" si="62"/>
        <v>0</v>
      </c>
      <c r="J106" s="205">
        <f ca="1" t="shared" si="63"/>
        <v>0</v>
      </c>
      <c r="K106" s="205">
        <f ca="1" t="shared" si="64"/>
        <v>1</v>
      </c>
      <c r="L106" s="205">
        <f ca="1" t="shared" si="65"/>
        <v>1</v>
      </c>
      <c r="M106" s="205">
        <f ca="1" t="shared" si="66"/>
        <v>1</v>
      </c>
      <c r="N106" s="205">
        <f ca="1" t="shared" si="67"/>
        <v>1</v>
      </c>
      <c r="O106" s="205">
        <f ca="1" t="shared" si="68"/>
        <v>1</v>
      </c>
      <c r="P106" s="205">
        <f ca="1" t="shared" si="69"/>
        <v>1</v>
      </c>
      <c r="Q106" s="205">
        <f ca="1" t="shared" si="70"/>
        <v>1</v>
      </c>
    </row>
    <row r="107" ht="24" customHeight="1" spans="1:17">
      <c r="A107" s="99" t="s">
        <v>289</v>
      </c>
      <c r="B107" s="99" t="s">
        <v>290</v>
      </c>
      <c r="C107" s="99" t="s">
        <v>316</v>
      </c>
      <c r="D107" s="48" t="s">
        <v>31</v>
      </c>
      <c r="E107" s="48" t="s">
        <v>83</v>
      </c>
      <c r="F107" s="205">
        <f ca="1" t="shared" si="59"/>
        <v>1</v>
      </c>
      <c r="G107" s="205">
        <f ca="1" t="shared" si="60"/>
        <v>1</v>
      </c>
      <c r="H107" s="205">
        <f ca="1" t="shared" si="61"/>
        <v>1</v>
      </c>
      <c r="I107" s="205">
        <f ca="1" t="shared" si="62"/>
        <v>1</v>
      </c>
      <c r="J107" s="205">
        <f ca="1" t="shared" si="63"/>
        <v>1</v>
      </c>
      <c r="K107" s="205">
        <f ca="1" t="shared" si="64"/>
        <v>1</v>
      </c>
      <c r="L107" s="205">
        <f ca="1" t="shared" si="65"/>
        <v>1</v>
      </c>
      <c r="M107" s="205">
        <f ca="1" t="shared" si="66"/>
        <v>2</v>
      </c>
      <c r="N107" s="205">
        <f ca="1" t="shared" si="67"/>
        <v>2</v>
      </c>
      <c r="O107" s="205">
        <f ca="1" t="shared" si="68"/>
        <v>2</v>
      </c>
      <c r="P107" s="205">
        <f ca="1" t="shared" si="69"/>
        <v>2</v>
      </c>
      <c r="Q107" s="205">
        <f ca="1" t="shared" si="70"/>
        <v>2</v>
      </c>
    </row>
    <row r="108" ht="24" customHeight="1" spans="1:17">
      <c r="A108" s="99" t="s">
        <v>289</v>
      </c>
      <c r="B108" s="99" t="s">
        <v>290</v>
      </c>
      <c r="C108" s="99" t="s">
        <v>316</v>
      </c>
      <c r="D108" s="47" t="s">
        <v>294</v>
      </c>
      <c r="E108" s="47" t="s">
        <v>93</v>
      </c>
      <c r="F108" s="206">
        <f ca="1" t="shared" si="59"/>
        <v>4</v>
      </c>
      <c r="G108" s="206">
        <f ca="1" t="shared" si="60"/>
        <v>4</v>
      </c>
      <c r="H108" s="206">
        <f ca="1" t="shared" si="61"/>
        <v>6</v>
      </c>
      <c r="I108" s="206">
        <f ca="1" t="shared" si="62"/>
        <v>7</v>
      </c>
      <c r="J108" s="206">
        <f ca="1" t="shared" si="63"/>
        <v>7</v>
      </c>
      <c r="K108" s="206">
        <f ca="1" t="shared" si="64"/>
        <v>9</v>
      </c>
      <c r="L108" s="206">
        <f ca="1" t="shared" si="65"/>
        <v>11</v>
      </c>
      <c r="M108" s="206">
        <f ca="1" t="shared" si="66"/>
        <v>13</v>
      </c>
      <c r="N108" s="206">
        <f ca="1" t="shared" si="67"/>
        <v>17</v>
      </c>
      <c r="O108" s="206">
        <f ca="1" t="shared" si="68"/>
        <v>17</v>
      </c>
      <c r="P108" s="206">
        <f ca="1" t="shared" si="69"/>
        <v>21</v>
      </c>
      <c r="Q108" s="206">
        <f ca="1" t="shared" si="70"/>
        <v>22</v>
      </c>
    </row>
    <row r="109" ht="24" customHeight="1" spans="1:17">
      <c r="A109" s="99" t="s">
        <v>289</v>
      </c>
      <c r="B109" s="99" t="s">
        <v>290</v>
      </c>
      <c r="C109" s="99" t="s">
        <v>316</v>
      </c>
      <c r="D109" s="47" t="s">
        <v>294</v>
      </c>
      <c r="E109" s="47" t="s">
        <v>85</v>
      </c>
      <c r="F109" s="206">
        <f ca="1" t="shared" si="59"/>
        <v>1</v>
      </c>
      <c r="G109" s="206">
        <f ca="1" t="shared" si="60"/>
        <v>2</v>
      </c>
      <c r="H109" s="206">
        <f ca="1" t="shared" si="61"/>
        <v>3</v>
      </c>
      <c r="I109" s="206">
        <f ca="1" t="shared" si="62"/>
        <v>5</v>
      </c>
      <c r="J109" s="206">
        <f ca="1" t="shared" si="63"/>
        <v>6</v>
      </c>
      <c r="K109" s="206">
        <f ca="1" t="shared" si="64"/>
        <v>9</v>
      </c>
      <c r="L109" s="206">
        <f ca="1" t="shared" si="65"/>
        <v>12</v>
      </c>
      <c r="M109" s="206">
        <f ca="1" t="shared" si="66"/>
        <v>14</v>
      </c>
      <c r="N109" s="206">
        <f ca="1" t="shared" si="67"/>
        <v>15</v>
      </c>
      <c r="O109" s="206">
        <f ca="1" t="shared" si="68"/>
        <v>17</v>
      </c>
      <c r="P109" s="206">
        <f ca="1" t="shared" si="69"/>
        <v>19</v>
      </c>
      <c r="Q109" s="206">
        <f ca="1" t="shared" si="70"/>
        <v>21</v>
      </c>
    </row>
    <row r="110" ht="24" customHeight="1" spans="1:17">
      <c r="A110" s="99" t="s">
        <v>289</v>
      </c>
      <c r="B110" s="99" t="s">
        <v>290</v>
      </c>
      <c r="C110" s="99" t="s">
        <v>316</v>
      </c>
      <c r="D110" s="47" t="s">
        <v>294</v>
      </c>
      <c r="E110" s="47" t="s">
        <v>81</v>
      </c>
      <c r="F110" s="206">
        <f ca="1" t="shared" si="59"/>
        <v>0</v>
      </c>
      <c r="G110" s="206">
        <f ca="1" t="shared" si="60"/>
        <v>0</v>
      </c>
      <c r="H110" s="206">
        <f ca="1" t="shared" si="61"/>
        <v>1</v>
      </c>
      <c r="I110" s="206">
        <f ca="1" t="shared" si="62"/>
        <v>3</v>
      </c>
      <c r="J110" s="206">
        <f ca="1" t="shared" si="63"/>
        <v>3</v>
      </c>
      <c r="K110" s="206">
        <f ca="1" t="shared" si="64"/>
        <v>3</v>
      </c>
      <c r="L110" s="206">
        <f ca="1" t="shared" si="65"/>
        <v>4</v>
      </c>
      <c r="M110" s="206">
        <f ca="1" t="shared" si="66"/>
        <v>5</v>
      </c>
      <c r="N110" s="206">
        <f ca="1" t="shared" si="67"/>
        <v>5</v>
      </c>
      <c r="O110" s="206">
        <f ca="1" t="shared" si="68"/>
        <v>10</v>
      </c>
      <c r="P110" s="206">
        <f ca="1" t="shared" si="69"/>
        <v>12</v>
      </c>
      <c r="Q110" s="206">
        <f ca="1" t="shared" si="70"/>
        <v>12</v>
      </c>
    </row>
    <row r="111" ht="24" customHeight="1" spans="1:17">
      <c r="A111" s="99" t="s">
        <v>289</v>
      </c>
      <c r="B111" s="99" t="s">
        <v>290</v>
      </c>
      <c r="C111" s="99" t="s">
        <v>316</v>
      </c>
      <c r="D111" s="47" t="s">
        <v>294</v>
      </c>
      <c r="E111" s="47" t="s">
        <v>96</v>
      </c>
      <c r="F111" s="206">
        <f ca="1" t="shared" si="59"/>
        <v>1</v>
      </c>
      <c r="G111" s="206">
        <f ca="1" t="shared" si="60"/>
        <v>1</v>
      </c>
      <c r="H111" s="206">
        <f ca="1" t="shared" si="61"/>
        <v>1</v>
      </c>
      <c r="I111" s="206">
        <f ca="1" t="shared" si="62"/>
        <v>1</v>
      </c>
      <c r="J111" s="206">
        <f ca="1" t="shared" si="63"/>
        <v>1</v>
      </c>
      <c r="K111" s="206">
        <f ca="1" t="shared" si="64"/>
        <v>1</v>
      </c>
      <c r="L111" s="206">
        <f ca="1" t="shared" si="65"/>
        <v>1</v>
      </c>
      <c r="M111" s="206">
        <f ca="1" t="shared" si="66"/>
        <v>1</v>
      </c>
      <c r="N111" s="206">
        <f ca="1" t="shared" si="67"/>
        <v>1</v>
      </c>
      <c r="O111" s="206">
        <f ca="1" t="shared" si="68"/>
        <v>1</v>
      </c>
      <c r="P111" s="206">
        <f ca="1" t="shared" si="69"/>
        <v>1</v>
      </c>
      <c r="Q111" s="206">
        <f ca="1" t="shared" si="70"/>
        <v>1</v>
      </c>
    </row>
    <row r="112" ht="24" customHeight="1" spans="1:17">
      <c r="A112" s="99" t="s">
        <v>289</v>
      </c>
      <c r="B112" s="99" t="s">
        <v>290</v>
      </c>
      <c r="C112" s="99" t="s">
        <v>316</v>
      </c>
      <c r="D112" s="47" t="s">
        <v>294</v>
      </c>
      <c r="E112" s="47" t="s">
        <v>160</v>
      </c>
      <c r="F112" s="206">
        <f ca="1" t="shared" si="59"/>
        <v>0</v>
      </c>
      <c r="G112" s="206">
        <f ca="1" t="shared" si="60"/>
        <v>0</v>
      </c>
      <c r="H112" s="206">
        <f ca="1" t="shared" si="61"/>
        <v>0</v>
      </c>
      <c r="I112" s="206">
        <f ca="1" t="shared" si="62"/>
        <v>0</v>
      </c>
      <c r="J112" s="206">
        <f ca="1" t="shared" si="63"/>
        <v>0</v>
      </c>
      <c r="K112" s="206">
        <f ca="1" t="shared" si="64"/>
        <v>0</v>
      </c>
      <c r="L112" s="206">
        <f ca="1" t="shared" si="65"/>
        <v>0</v>
      </c>
      <c r="M112" s="206">
        <f ca="1" t="shared" si="66"/>
        <v>0</v>
      </c>
      <c r="N112" s="206">
        <f ca="1" t="shared" si="67"/>
        <v>0</v>
      </c>
      <c r="O112" s="206">
        <f ca="1" t="shared" si="68"/>
        <v>0</v>
      </c>
      <c r="P112" s="206">
        <f ca="1" t="shared" si="69"/>
        <v>0</v>
      </c>
      <c r="Q112" s="206">
        <f ca="1" t="shared" si="70"/>
        <v>0</v>
      </c>
    </row>
    <row r="113" ht="24" customHeight="1" spans="1:17">
      <c r="A113" s="99" t="s">
        <v>289</v>
      </c>
      <c r="B113" s="99" t="s">
        <v>290</v>
      </c>
      <c r="C113" s="99" t="s">
        <v>316</v>
      </c>
      <c r="D113" s="100" t="s">
        <v>292</v>
      </c>
      <c r="E113" s="100" t="s">
        <v>318</v>
      </c>
      <c r="F113" s="204">
        <f ca="1">IF($S$1&lt;DATE(2025,1,1)," ",SUM(F114:F116))</f>
        <v>6</v>
      </c>
      <c r="G113" s="204">
        <f ca="1">IF($S$1&lt;DATE(2025,2,1)," ",SUM(G114:G116))</f>
        <v>7</v>
      </c>
      <c r="H113" s="204">
        <f ca="1">IF($S$1&lt;DATE(2025,3,1)," ",SUM(H114:H116))</f>
        <v>11</v>
      </c>
      <c r="I113" s="204">
        <f ca="1">IF($S$1&lt;DATE(2025,4,1)," ",SUM(I114:I116))</f>
        <v>15</v>
      </c>
      <c r="J113" s="204">
        <f ca="1">IF($S$1&lt;DATE(2025,5,1)," ",SUM(J114:J116))</f>
        <v>16</v>
      </c>
      <c r="K113" s="204">
        <f ca="1">IF($S$1&lt;DATE(2025,6,1)," ",SUM(K114:K116))</f>
        <v>20</v>
      </c>
      <c r="L113" s="204">
        <f ca="1">IF($S$1&lt;DATE(2025,7,1)," ",SUM(L114:L116))</f>
        <v>25</v>
      </c>
      <c r="M113" s="204">
        <f ca="1">IF($S$1&lt;DATE(2025,8,1)," ",SUM(M114:M116))</f>
        <v>30</v>
      </c>
      <c r="N113" s="204">
        <f ca="1">IF($S$1&lt;DATE(2025,9,1)," ",SUM(N114:N116))</f>
        <v>35</v>
      </c>
      <c r="O113" s="204">
        <f ca="1">IF($S$1&lt;DATE(2025,10,1)," ",SUM(O114:O116))</f>
        <v>42</v>
      </c>
      <c r="P113" s="204">
        <f ca="1">IF($S$1&lt;DATE(2025,11,1)," ",SUM(P114:P116))</f>
        <v>49</v>
      </c>
      <c r="Q113" s="204">
        <f ca="1">IF($S$1&lt;DATE(2025,12,1)," ",SUM(Q114:Q116))</f>
        <v>52</v>
      </c>
    </row>
    <row r="114" ht="24" customHeight="1" spans="1:35">
      <c r="A114" s="99" t="s">
        <v>289</v>
      </c>
      <c r="B114" s="99" t="s">
        <v>290</v>
      </c>
      <c r="C114" s="99" t="s">
        <v>316</v>
      </c>
      <c r="D114" s="48" t="s">
        <v>296</v>
      </c>
      <c r="E114" s="48" t="s">
        <v>90</v>
      </c>
      <c r="F114" s="205">
        <f ca="1" t="shared" ref="F114:F116" si="71">IF($S$1&lt;DATE(2025,1,1)," ",F16)</f>
        <v>1</v>
      </c>
      <c r="G114" s="205">
        <f ca="1" t="shared" ref="G114:G116" si="72">IF($S$1&lt;DATE(2025,2,1)," ",G16+F114)</f>
        <v>2</v>
      </c>
      <c r="H114" s="205">
        <f ca="1" t="shared" ref="H114:H116" si="73">IF($S$1&lt;DATE(2025,3,1)," ",H16+G114)</f>
        <v>3</v>
      </c>
      <c r="I114" s="205">
        <f ca="1" t="shared" ref="I114:I116" si="74">IF($S$1&lt;DATE(2025,4,1)," ",I16+H114)</f>
        <v>6</v>
      </c>
      <c r="J114" s="205">
        <f ca="1" t="shared" ref="J114:J116" si="75">IF($S$1&lt;DATE(2025,5,1)," ",J16+I114)</f>
        <v>6</v>
      </c>
      <c r="K114" s="205">
        <f ca="1" t="shared" ref="K114:K116" si="76">IF($S$1&lt;DATE(2025,6,1)," ",K16+J114)</f>
        <v>8</v>
      </c>
      <c r="L114" s="205">
        <f ca="1" t="shared" ref="L114:L116" si="77">IF($S$1&lt;DATE(2025,7,1)," ",L16+K114)</f>
        <v>10</v>
      </c>
      <c r="M114" s="205">
        <f ca="1" t="shared" ref="M114:M116" si="78">IF($S$1&lt;DATE(2025,8,1)," ",M16+L114)</f>
        <v>12</v>
      </c>
      <c r="N114" s="205">
        <f ca="1" t="shared" ref="N114:N116" si="79">IF($S$1&lt;DATE(2025,9,1)," ",N16+M114)</f>
        <v>15</v>
      </c>
      <c r="O114" s="205">
        <f ca="1" t="shared" ref="O114:O116" si="80">IF($S$1&lt;DATE(2025,10,1)," ",O16+N114)</f>
        <v>15</v>
      </c>
      <c r="P114" s="205">
        <f ca="1" t="shared" ref="P114:P116" si="81">IF($S$1&lt;DATE(2025,11,1)," ",P16+O114)</f>
        <v>16</v>
      </c>
      <c r="Q114" s="205">
        <f ca="1" t="shared" ref="Q114:Q116" si="82">IF($S$1&lt;DATE(2025,12,1)," ",Q16+P114)</f>
        <v>18</v>
      </c>
      <c r="R114" s="109"/>
      <c r="S114" s="109"/>
      <c r="T114" s="109"/>
      <c r="U114" s="109"/>
      <c r="V114" s="109"/>
      <c r="W114" s="109"/>
      <c r="X114" s="109"/>
      <c r="Y114" s="109"/>
      <c r="Z114" s="109"/>
      <c r="AA114" s="109"/>
      <c r="AB114" s="109"/>
      <c r="AC114" s="109"/>
      <c r="AD114" s="109"/>
      <c r="AE114" s="109"/>
      <c r="AF114" s="109"/>
      <c r="AG114" s="109"/>
      <c r="AH114" s="109"/>
      <c r="AI114" s="109"/>
    </row>
    <row r="115" ht="24" customHeight="1" spans="1:17">
      <c r="A115" s="99" t="s">
        <v>289</v>
      </c>
      <c r="B115" s="99" t="s">
        <v>290</v>
      </c>
      <c r="C115" s="99" t="s">
        <v>316</v>
      </c>
      <c r="D115" s="48" t="s">
        <v>296</v>
      </c>
      <c r="E115" s="48" t="s">
        <v>82</v>
      </c>
      <c r="F115" s="205">
        <f ca="1" t="shared" si="71"/>
        <v>3</v>
      </c>
      <c r="G115" s="205">
        <f ca="1" t="shared" si="72"/>
        <v>3</v>
      </c>
      <c r="H115" s="205">
        <f ca="1" t="shared" si="73"/>
        <v>6</v>
      </c>
      <c r="I115" s="205">
        <f ca="1" t="shared" si="74"/>
        <v>7</v>
      </c>
      <c r="J115" s="205">
        <f ca="1" t="shared" si="75"/>
        <v>7</v>
      </c>
      <c r="K115" s="205">
        <f ca="1" t="shared" si="76"/>
        <v>8</v>
      </c>
      <c r="L115" s="205">
        <f ca="1" t="shared" si="77"/>
        <v>8</v>
      </c>
      <c r="M115" s="205">
        <f ca="1" t="shared" si="78"/>
        <v>10</v>
      </c>
      <c r="N115" s="205">
        <f ca="1" t="shared" si="79"/>
        <v>10</v>
      </c>
      <c r="O115" s="205">
        <f ca="1" t="shared" si="80"/>
        <v>15</v>
      </c>
      <c r="P115" s="205">
        <f ca="1" t="shared" si="81"/>
        <v>17</v>
      </c>
      <c r="Q115" s="205">
        <f ca="1" t="shared" si="82"/>
        <v>18</v>
      </c>
    </row>
    <row r="116" ht="24" customHeight="1" spans="1:17">
      <c r="A116" s="99" t="s">
        <v>289</v>
      </c>
      <c r="B116" s="99" t="s">
        <v>290</v>
      </c>
      <c r="C116" s="99" t="s">
        <v>316</v>
      </c>
      <c r="D116" s="48" t="s">
        <v>296</v>
      </c>
      <c r="E116" s="48" t="s">
        <v>86</v>
      </c>
      <c r="F116" s="205">
        <f ca="1" t="shared" si="71"/>
        <v>2</v>
      </c>
      <c r="G116" s="205">
        <f ca="1" t="shared" si="72"/>
        <v>2</v>
      </c>
      <c r="H116" s="205">
        <f ca="1" t="shared" si="73"/>
        <v>2</v>
      </c>
      <c r="I116" s="205">
        <f ca="1" t="shared" si="74"/>
        <v>2</v>
      </c>
      <c r="J116" s="205">
        <f ca="1" t="shared" si="75"/>
        <v>3</v>
      </c>
      <c r="K116" s="205">
        <f ca="1" t="shared" si="76"/>
        <v>4</v>
      </c>
      <c r="L116" s="205">
        <f ca="1" t="shared" si="77"/>
        <v>7</v>
      </c>
      <c r="M116" s="205">
        <f ca="1" t="shared" si="78"/>
        <v>8</v>
      </c>
      <c r="N116" s="205">
        <f ca="1" t="shared" si="79"/>
        <v>10</v>
      </c>
      <c r="O116" s="205">
        <f ca="1" t="shared" si="80"/>
        <v>12</v>
      </c>
      <c r="P116" s="205">
        <f ca="1" t="shared" si="81"/>
        <v>16</v>
      </c>
      <c r="Q116" s="205">
        <f ca="1" t="shared" si="82"/>
        <v>16</v>
      </c>
    </row>
    <row r="117" ht="24" customHeight="1" spans="1:17">
      <c r="A117" s="99" t="s">
        <v>289</v>
      </c>
      <c r="B117" s="99" t="s">
        <v>290</v>
      </c>
      <c r="C117" s="99" t="s">
        <v>316</v>
      </c>
      <c r="D117" s="100" t="s">
        <v>292</v>
      </c>
      <c r="E117" s="100" t="s">
        <v>319</v>
      </c>
      <c r="F117" s="204">
        <f ca="1">IF($S$1&lt;DATE(2025,1,1)," ",SUM(F118:F121))</f>
        <v>4</v>
      </c>
      <c r="G117" s="204">
        <f ca="1">IF($S$1&lt;DATE(2025,2,1)," ",SUM(G118:G121))</f>
        <v>5</v>
      </c>
      <c r="H117" s="204">
        <f ca="1">IF($S$1&lt;DATE(2025,3,1)," ",SUM(H118:H121))</f>
        <v>9</v>
      </c>
      <c r="I117" s="204">
        <f ca="1">IF($S$1&lt;DATE(2025,4,1)," ",SUM(I118:I121))</f>
        <v>13</v>
      </c>
      <c r="J117" s="204">
        <f ca="1">IF($S$1&lt;DATE(2025,5,1)," ",SUM(J118:J121))</f>
        <v>13</v>
      </c>
      <c r="K117" s="204">
        <f ca="1">IF($S$1&lt;DATE(2025,6,1)," ",SUM(K118:K121))</f>
        <v>17</v>
      </c>
      <c r="L117" s="204">
        <f ca="1">IF($S$1&lt;DATE(2025,7,1)," ",SUM(L118:L121))</f>
        <v>23</v>
      </c>
      <c r="M117" s="204">
        <f ca="1">IF($S$1&lt;DATE(2025,8,1)," ",SUM(M118:M121))</f>
        <v>27</v>
      </c>
      <c r="N117" s="204">
        <f ca="1">IF($S$1&lt;DATE(2025,9,1)," ",SUM(N118:N121))</f>
        <v>32</v>
      </c>
      <c r="O117" s="204">
        <f ca="1">IF($S$1&lt;DATE(2025,10,1)," ",SUM(O118:O121))</f>
        <v>39</v>
      </c>
      <c r="P117" s="204">
        <f ca="1">IF($S$1&lt;DATE(2025,11,1)," ",SUM(P118:P121))</f>
        <v>47</v>
      </c>
      <c r="Q117" s="204">
        <f ca="1">IF($S$1&lt;DATE(2025,12,1)," ",SUM(Q118:Q121))</f>
        <v>49</v>
      </c>
    </row>
    <row r="118" ht="24" customHeight="1" spans="1:35">
      <c r="A118" s="99" t="s">
        <v>289</v>
      </c>
      <c r="B118" s="99" t="s">
        <v>290</v>
      </c>
      <c r="C118" s="99" t="s">
        <v>316</v>
      </c>
      <c r="D118" s="48" t="s">
        <v>298</v>
      </c>
      <c r="E118" s="48" t="s">
        <v>97</v>
      </c>
      <c r="F118" s="205">
        <f ca="1" t="shared" ref="F118:F121" si="83">IF($S$1&lt;DATE(2025,1,1)," ",F20)</f>
        <v>2</v>
      </c>
      <c r="G118" s="205">
        <f ca="1" t="shared" ref="G118:G121" si="84">IF($S$1&lt;DATE(2025,2,1)," ",G20+F118)</f>
        <v>2</v>
      </c>
      <c r="H118" s="205">
        <f ca="1" t="shared" ref="H118:H121" si="85">IF($S$1&lt;DATE(2025,3,1)," ",H20+G118)</f>
        <v>3</v>
      </c>
      <c r="I118" s="205">
        <f ca="1" t="shared" ref="I118:I121" si="86">IF($S$1&lt;DATE(2025,4,1)," ",I20+H118)</f>
        <v>4</v>
      </c>
      <c r="J118" s="205">
        <f ca="1" t="shared" ref="J118:J121" si="87">IF($S$1&lt;DATE(2025,5,1)," ",J20+I118)</f>
        <v>4</v>
      </c>
      <c r="K118" s="205">
        <f ca="1" t="shared" ref="K118:K121" si="88">IF($S$1&lt;DATE(2025,6,1)," ",K20+J118)</f>
        <v>4</v>
      </c>
      <c r="L118" s="205">
        <f ca="1" t="shared" ref="L118:L121" si="89">IF($S$1&lt;DATE(2025,7,1)," ",L20+K118)</f>
        <v>5</v>
      </c>
      <c r="M118" s="205">
        <f ca="1" t="shared" ref="M118:M121" si="90">IF($S$1&lt;DATE(2025,8,1)," ",M20+L118)</f>
        <v>5</v>
      </c>
      <c r="N118" s="205">
        <f ca="1" t="shared" ref="N118:N121" si="91">IF($S$1&lt;DATE(2025,9,1)," ",N20+M118)</f>
        <v>5</v>
      </c>
      <c r="O118" s="205">
        <f ca="1" t="shared" ref="O118:O121" si="92">IF($S$1&lt;DATE(2025,10,1)," ",O20+N118)</f>
        <v>8</v>
      </c>
      <c r="P118" s="205">
        <f ca="1" t="shared" ref="P118:P121" si="93">IF($S$1&lt;DATE(2025,11,1)," ",P20+O118)</f>
        <v>10</v>
      </c>
      <c r="Q118" s="205">
        <f ca="1" t="shared" ref="Q118:Q121" si="94">IF($S$1&lt;DATE(2025,12,1)," ",Q20+P118)</f>
        <v>10</v>
      </c>
      <c r="R118" s="109"/>
      <c r="S118" s="109"/>
      <c r="T118" s="109"/>
      <c r="U118" s="109"/>
      <c r="V118" s="109"/>
      <c r="W118" s="109"/>
      <c r="X118" s="109"/>
      <c r="Y118" s="109"/>
      <c r="Z118" s="109"/>
      <c r="AA118" s="109"/>
      <c r="AB118" s="109"/>
      <c r="AC118" s="109"/>
      <c r="AD118" s="109"/>
      <c r="AE118" s="109"/>
      <c r="AF118" s="109"/>
      <c r="AG118" s="109"/>
      <c r="AH118" s="109"/>
      <c r="AI118" s="109"/>
    </row>
    <row r="119" ht="24" customHeight="1" spans="1:17">
      <c r="A119" s="99" t="s">
        <v>289</v>
      </c>
      <c r="B119" s="99" t="s">
        <v>290</v>
      </c>
      <c r="C119" s="99" t="s">
        <v>316</v>
      </c>
      <c r="D119" s="48" t="s">
        <v>298</v>
      </c>
      <c r="E119" s="48" t="s">
        <v>87</v>
      </c>
      <c r="F119" s="205">
        <f ca="1" t="shared" si="83"/>
        <v>1</v>
      </c>
      <c r="G119" s="205">
        <f ca="1" t="shared" si="84"/>
        <v>2</v>
      </c>
      <c r="H119" s="205">
        <f ca="1" t="shared" si="85"/>
        <v>5</v>
      </c>
      <c r="I119" s="205">
        <f ca="1" t="shared" si="86"/>
        <v>7</v>
      </c>
      <c r="J119" s="205">
        <f ca="1" t="shared" si="87"/>
        <v>7</v>
      </c>
      <c r="K119" s="205">
        <f ca="1" t="shared" si="88"/>
        <v>10</v>
      </c>
      <c r="L119" s="205">
        <f ca="1" t="shared" si="89"/>
        <v>15</v>
      </c>
      <c r="M119" s="205">
        <f ca="1" t="shared" si="90"/>
        <v>18</v>
      </c>
      <c r="N119" s="205">
        <f ca="1" t="shared" si="91"/>
        <v>21</v>
      </c>
      <c r="O119" s="205">
        <f ca="1" t="shared" si="92"/>
        <v>23</v>
      </c>
      <c r="P119" s="205">
        <f ca="1" t="shared" si="93"/>
        <v>27</v>
      </c>
      <c r="Q119" s="205">
        <f ca="1" t="shared" si="94"/>
        <v>28</v>
      </c>
    </row>
    <row r="120" ht="24" customHeight="1" spans="1:17">
      <c r="A120" s="99" t="s">
        <v>289</v>
      </c>
      <c r="B120" s="99" t="s">
        <v>290</v>
      </c>
      <c r="C120" s="99" t="s">
        <v>316</v>
      </c>
      <c r="D120" s="48" t="s">
        <v>298</v>
      </c>
      <c r="E120" s="48" t="s">
        <v>149</v>
      </c>
      <c r="F120" s="205">
        <f ca="1" t="shared" si="83"/>
        <v>0</v>
      </c>
      <c r="G120" s="205">
        <f ca="1" t="shared" si="84"/>
        <v>0</v>
      </c>
      <c r="H120" s="205">
        <f ca="1" t="shared" si="85"/>
        <v>0</v>
      </c>
      <c r="I120" s="205">
        <f ca="1" t="shared" si="86"/>
        <v>0</v>
      </c>
      <c r="J120" s="205">
        <f ca="1" t="shared" si="87"/>
        <v>0</v>
      </c>
      <c r="K120" s="205">
        <f ca="1" t="shared" si="88"/>
        <v>1</v>
      </c>
      <c r="L120" s="205">
        <f ca="1" t="shared" si="89"/>
        <v>1</v>
      </c>
      <c r="M120" s="205">
        <f ca="1" t="shared" si="90"/>
        <v>1</v>
      </c>
      <c r="N120" s="205">
        <f ca="1" t="shared" si="91"/>
        <v>1</v>
      </c>
      <c r="O120" s="205">
        <f ca="1" t="shared" si="92"/>
        <v>1</v>
      </c>
      <c r="P120" s="205">
        <f ca="1" t="shared" si="93"/>
        <v>1</v>
      </c>
      <c r="Q120" s="205">
        <f ca="1" t="shared" si="94"/>
        <v>1</v>
      </c>
    </row>
    <row r="121" ht="24" customHeight="1" spans="1:17">
      <c r="A121" s="99" t="s">
        <v>289</v>
      </c>
      <c r="B121" s="99" t="s">
        <v>290</v>
      </c>
      <c r="C121" s="99" t="s">
        <v>316</v>
      </c>
      <c r="D121" s="48" t="s">
        <v>298</v>
      </c>
      <c r="E121" s="48" t="s">
        <v>83</v>
      </c>
      <c r="F121" s="205">
        <f ca="1" t="shared" si="83"/>
        <v>1</v>
      </c>
      <c r="G121" s="205">
        <f ca="1" t="shared" si="84"/>
        <v>1</v>
      </c>
      <c r="H121" s="205">
        <f ca="1" t="shared" si="85"/>
        <v>1</v>
      </c>
      <c r="I121" s="205">
        <f ca="1" t="shared" si="86"/>
        <v>2</v>
      </c>
      <c r="J121" s="205">
        <f ca="1" t="shared" si="87"/>
        <v>2</v>
      </c>
      <c r="K121" s="205">
        <f ca="1" t="shared" si="88"/>
        <v>2</v>
      </c>
      <c r="L121" s="205">
        <f ca="1" t="shared" si="89"/>
        <v>2</v>
      </c>
      <c r="M121" s="205">
        <f ca="1" t="shared" si="90"/>
        <v>3</v>
      </c>
      <c r="N121" s="205">
        <f ca="1" t="shared" si="91"/>
        <v>5</v>
      </c>
      <c r="O121" s="205">
        <f ca="1" t="shared" si="92"/>
        <v>7</v>
      </c>
      <c r="P121" s="205">
        <f ca="1" t="shared" si="93"/>
        <v>9</v>
      </c>
      <c r="Q121" s="205">
        <f ca="1" t="shared" si="94"/>
        <v>10</v>
      </c>
    </row>
    <row r="122" ht="24" customHeight="1" spans="1:17">
      <c r="A122" s="99" t="s">
        <v>289</v>
      </c>
      <c r="B122" s="99" t="s">
        <v>299</v>
      </c>
      <c r="C122" s="99" t="s">
        <v>316</v>
      </c>
      <c r="D122" s="100" t="s">
        <v>292</v>
      </c>
      <c r="E122" s="100" t="s">
        <v>320</v>
      </c>
      <c r="F122" s="204">
        <f ca="1">IF($S$1&lt;DATE(2025,1,1)," ",IF((SUM(F123:F129)-MAX(F142,F149))&lt;0,"ERR",SUM(F123:F129)))</f>
        <v>4</v>
      </c>
      <c r="G122" s="204">
        <f ca="1">IF($S$1&lt;DATE(2025,2,1)," ",IF((SUM(G123:G129)-MAX(G142,G149))&lt;0,"ERR",SUM(G123:G129)))</f>
        <v>6</v>
      </c>
      <c r="H122" s="204">
        <f ca="1">IF($S$1&lt;DATE(2025,3,1)," ",IF((SUM(H123:H129)-MAX(H142,H149))&lt;0,"ERR",SUM(H123:H129)))</f>
        <v>7</v>
      </c>
      <c r="I122" s="204">
        <f ca="1">IF($S$1&lt;DATE(2025,4,1)," ",IF((SUM(I123:I129)-MAX(I142,I149))&lt;0,"ERR",SUM(I123:I129)))</f>
        <v>12</v>
      </c>
      <c r="J122" s="204">
        <f ca="1">IF($S$1&lt;DATE(2025,5,1)," ",IF((SUM(J123:J129)-MAX(J142,J149))&lt;0,"ERR",SUM(J123:J129)))</f>
        <v>17</v>
      </c>
      <c r="K122" s="204">
        <f ca="1">IF($S$1&lt;DATE(2025,6,1)," ",IF((SUM(K123:K129)-MAX(K142,K149))&lt;0,"ERR",SUM(K123:K129)))</f>
        <v>19</v>
      </c>
      <c r="L122" s="204">
        <f ca="1">IF($S$1&lt;DATE(2025,7,1)," ",IF((SUM(L123:L129)-MAX(L142,L149))&lt;0,"ERR",SUM(L123:L129)))</f>
        <v>25</v>
      </c>
      <c r="M122" s="204">
        <f ca="1">IF($S$1&lt;DATE(2025,8,1)," ",IF((SUM(M123:M129)-MAX(M142,M149))&lt;0,"ERR",SUM(M123:M129)))</f>
        <v>29</v>
      </c>
      <c r="N122" s="204">
        <f ca="1">IF($S$1&lt;DATE(2025,9,1)," ",IF((SUM(N123:N129)-MAX(N142,N149))&lt;0,"ERR",SUM(N123:N129)))</f>
        <v>33</v>
      </c>
      <c r="O122" s="204">
        <f ca="1">IF($S$1&lt;DATE(2025,10,1)," ",IF((SUM(O123:O129)-MAX(O142,O149))&lt;0,"ERR",SUM(O123:O129)))</f>
        <v>34</v>
      </c>
      <c r="P122" s="204">
        <f ca="1">IF($S$1&lt;DATE(2025,11,1)," ",IF((SUM(P123:P129)-MAX(P142,P149))&lt;0,"ERR",SUM(P123:P129)))</f>
        <v>40</v>
      </c>
      <c r="Q122" s="204">
        <f ca="1">IF($S$1&lt;DATE(2025,12,1)," ",IF((SUM(Q123:Q129)-MAX(Q142,Q149))&lt;0,"ERR",SUM(Q123:Q129)))</f>
        <v>43</v>
      </c>
    </row>
    <row r="123" ht="24" customHeight="1" spans="1:35">
      <c r="A123" s="99" t="s">
        <v>289</v>
      </c>
      <c r="B123" s="99" t="s">
        <v>299</v>
      </c>
      <c r="C123" s="99" t="s">
        <v>316</v>
      </c>
      <c r="D123" s="48" t="s">
        <v>31</v>
      </c>
      <c r="E123" s="48" t="s">
        <v>90</v>
      </c>
      <c r="F123" s="205">
        <f ca="1" t="shared" ref="F123:F129" si="95">IF($S$1&lt;DATE(2025,1,1)," ",F25)</f>
        <v>0</v>
      </c>
      <c r="G123" s="205">
        <f ca="1" t="shared" ref="G123:G129" si="96">IF($S$1&lt;DATE(2025,2,1)," ",G25+F123)</f>
        <v>0</v>
      </c>
      <c r="H123" s="205">
        <f ca="1" t="shared" ref="H123:H129" si="97">IF($S$1&lt;DATE(2025,3,1)," ",H25+G123)</f>
        <v>1</v>
      </c>
      <c r="I123" s="205">
        <f ca="1" t="shared" ref="I123:I129" si="98">IF($S$1&lt;DATE(2025,4,1)," ",I25+H123)</f>
        <v>3</v>
      </c>
      <c r="J123" s="205">
        <f ca="1" t="shared" ref="J123:J129" si="99">IF($S$1&lt;DATE(2025,5,1)," ",J25+I123)</f>
        <v>5</v>
      </c>
      <c r="K123" s="205">
        <f ca="1" t="shared" ref="K123:K129" si="100">IF($S$1&lt;DATE(2025,6,1)," ",K25+J123)</f>
        <v>6</v>
      </c>
      <c r="L123" s="205">
        <f ca="1" t="shared" ref="L123:L129" si="101">IF($S$1&lt;DATE(2025,7,1)," ",L25+K123)</f>
        <v>7</v>
      </c>
      <c r="M123" s="205">
        <f ca="1" t="shared" ref="M123:M129" si="102">IF($S$1&lt;DATE(2025,8,1)," ",M25+L123)</f>
        <v>9</v>
      </c>
      <c r="N123" s="205">
        <f ca="1" t="shared" ref="N123:N129" si="103">IF($S$1&lt;DATE(2025,9,1)," ",N25+M123)</f>
        <v>11</v>
      </c>
      <c r="O123" s="205">
        <f ca="1" t="shared" ref="O123:O129" si="104">IF($S$1&lt;DATE(2025,10,1)," ",O25+N123)</f>
        <v>12</v>
      </c>
      <c r="P123" s="205">
        <f ca="1" t="shared" ref="P123:P129" si="105">IF($S$1&lt;DATE(2025,11,1)," ",P25+O123)</f>
        <v>13</v>
      </c>
      <c r="Q123" s="205">
        <f ca="1" t="shared" ref="Q123:Q129" si="106">IF($S$1&lt;DATE(2025,12,1)," ",Q25+P123)</f>
        <v>14</v>
      </c>
      <c r="R123" s="109"/>
      <c r="S123" s="109"/>
      <c r="T123" s="109"/>
      <c r="U123" s="109"/>
      <c r="V123" s="109"/>
      <c r="W123" s="109"/>
      <c r="X123" s="109"/>
      <c r="Y123" s="109"/>
      <c r="Z123" s="109"/>
      <c r="AA123" s="109"/>
      <c r="AB123" s="109"/>
      <c r="AC123" s="109"/>
      <c r="AD123" s="109"/>
      <c r="AE123" s="109"/>
      <c r="AF123" s="109"/>
      <c r="AG123" s="109"/>
      <c r="AH123" s="109"/>
      <c r="AI123" s="109"/>
    </row>
    <row r="124" ht="24" customHeight="1" spans="1:17">
      <c r="A124" s="99" t="s">
        <v>289</v>
      </c>
      <c r="B124" s="99" t="s">
        <v>299</v>
      </c>
      <c r="C124" s="99" t="s">
        <v>316</v>
      </c>
      <c r="D124" s="48" t="s">
        <v>31</v>
      </c>
      <c r="E124" s="48" t="s">
        <v>82</v>
      </c>
      <c r="F124" s="205">
        <f ca="1" t="shared" si="95"/>
        <v>1</v>
      </c>
      <c r="G124" s="205">
        <f ca="1" t="shared" si="96"/>
        <v>2</v>
      </c>
      <c r="H124" s="205">
        <f ca="1" t="shared" si="97"/>
        <v>2</v>
      </c>
      <c r="I124" s="205">
        <f ca="1" t="shared" si="98"/>
        <v>5</v>
      </c>
      <c r="J124" s="205">
        <f ca="1" t="shared" si="99"/>
        <v>6</v>
      </c>
      <c r="K124" s="205">
        <f ca="1" t="shared" si="100"/>
        <v>6</v>
      </c>
      <c r="L124" s="205">
        <f ca="1" t="shared" si="101"/>
        <v>7</v>
      </c>
      <c r="M124" s="205">
        <f ca="1" t="shared" si="102"/>
        <v>7</v>
      </c>
      <c r="N124" s="205">
        <f ca="1" t="shared" si="103"/>
        <v>8</v>
      </c>
      <c r="O124" s="205">
        <f ca="1" t="shared" si="104"/>
        <v>8</v>
      </c>
      <c r="P124" s="205">
        <f ca="1" t="shared" si="105"/>
        <v>11</v>
      </c>
      <c r="Q124" s="205">
        <f ca="1" t="shared" si="106"/>
        <v>11</v>
      </c>
    </row>
    <row r="125" ht="24" customHeight="1" spans="1:17">
      <c r="A125" s="99" t="s">
        <v>289</v>
      </c>
      <c r="B125" s="99" t="s">
        <v>299</v>
      </c>
      <c r="C125" s="99" t="s">
        <v>316</v>
      </c>
      <c r="D125" s="48" t="s">
        <v>31</v>
      </c>
      <c r="E125" s="48" t="s">
        <v>86</v>
      </c>
      <c r="F125" s="205">
        <f ca="1" t="shared" si="95"/>
        <v>0</v>
      </c>
      <c r="G125" s="205">
        <f ca="1" t="shared" si="96"/>
        <v>0</v>
      </c>
      <c r="H125" s="205">
        <f ca="1" t="shared" si="97"/>
        <v>0</v>
      </c>
      <c r="I125" s="205">
        <f ca="1" t="shared" si="98"/>
        <v>0</v>
      </c>
      <c r="J125" s="205">
        <f ca="1" t="shared" si="99"/>
        <v>1</v>
      </c>
      <c r="K125" s="205">
        <f ca="1" t="shared" si="100"/>
        <v>1</v>
      </c>
      <c r="L125" s="205">
        <f ca="1" t="shared" si="101"/>
        <v>4</v>
      </c>
      <c r="M125" s="205">
        <f ca="1" t="shared" si="102"/>
        <v>5</v>
      </c>
      <c r="N125" s="205">
        <f ca="1" t="shared" si="103"/>
        <v>5</v>
      </c>
      <c r="O125" s="205">
        <f ca="1" t="shared" si="104"/>
        <v>5</v>
      </c>
      <c r="P125" s="205">
        <f ca="1" t="shared" si="105"/>
        <v>6</v>
      </c>
      <c r="Q125" s="205">
        <f ca="1" t="shared" si="106"/>
        <v>7</v>
      </c>
    </row>
    <row r="126" ht="24" customHeight="1" spans="1:17">
      <c r="A126" s="99" t="s">
        <v>289</v>
      </c>
      <c r="B126" s="99" t="s">
        <v>299</v>
      </c>
      <c r="C126" s="99" t="s">
        <v>316</v>
      </c>
      <c r="D126" s="48" t="s">
        <v>31</v>
      </c>
      <c r="E126" s="48" t="s">
        <v>97</v>
      </c>
      <c r="F126" s="205">
        <f ca="1" t="shared" si="95"/>
        <v>1</v>
      </c>
      <c r="G126" s="205">
        <f ca="1" t="shared" si="96"/>
        <v>2</v>
      </c>
      <c r="H126" s="205">
        <f ca="1" t="shared" si="97"/>
        <v>2</v>
      </c>
      <c r="I126" s="205">
        <f ca="1" t="shared" si="98"/>
        <v>2</v>
      </c>
      <c r="J126" s="205">
        <f ca="1" t="shared" si="99"/>
        <v>3</v>
      </c>
      <c r="K126" s="205">
        <f ca="1" t="shared" si="100"/>
        <v>3</v>
      </c>
      <c r="L126" s="205">
        <f ca="1" t="shared" si="101"/>
        <v>3</v>
      </c>
      <c r="M126" s="205">
        <f ca="1" t="shared" si="102"/>
        <v>4</v>
      </c>
      <c r="N126" s="205">
        <f ca="1" t="shared" si="103"/>
        <v>4</v>
      </c>
      <c r="O126" s="205">
        <f ca="1" t="shared" si="104"/>
        <v>4</v>
      </c>
      <c r="P126" s="205">
        <f ca="1" t="shared" si="105"/>
        <v>5</v>
      </c>
      <c r="Q126" s="205">
        <f ca="1" t="shared" si="106"/>
        <v>6</v>
      </c>
    </row>
    <row r="127" ht="24" customHeight="1" spans="1:17">
      <c r="A127" s="99" t="s">
        <v>289</v>
      </c>
      <c r="B127" s="99" t="s">
        <v>299</v>
      </c>
      <c r="C127" s="99" t="s">
        <v>316</v>
      </c>
      <c r="D127" s="48" t="s">
        <v>31</v>
      </c>
      <c r="E127" s="48" t="s">
        <v>87</v>
      </c>
      <c r="F127" s="205">
        <f ca="1" t="shared" si="95"/>
        <v>1</v>
      </c>
      <c r="G127" s="205">
        <f ca="1" t="shared" si="96"/>
        <v>1</v>
      </c>
      <c r="H127" s="205">
        <f ca="1" t="shared" si="97"/>
        <v>1</v>
      </c>
      <c r="I127" s="205">
        <f ca="1" t="shared" si="98"/>
        <v>1</v>
      </c>
      <c r="J127" s="205">
        <f ca="1" t="shared" si="99"/>
        <v>1</v>
      </c>
      <c r="K127" s="205">
        <f ca="1" t="shared" si="100"/>
        <v>1</v>
      </c>
      <c r="L127" s="205">
        <f ca="1" t="shared" si="101"/>
        <v>2</v>
      </c>
      <c r="M127" s="205">
        <f ca="1" t="shared" si="102"/>
        <v>2</v>
      </c>
      <c r="N127" s="205">
        <f ca="1" t="shared" si="103"/>
        <v>3</v>
      </c>
      <c r="O127" s="205">
        <f ca="1" t="shared" si="104"/>
        <v>3</v>
      </c>
      <c r="P127" s="205">
        <f ca="1" t="shared" si="105"/>
        <v>3</v>
      </c>
      <c r="Q127" s="205">
        <f ca="1" t="shared" si="106"/>
        <v>3</v>
      </c>
    </row>
    <row r="128" ht="24" customHeight="1" spans="1:17">
      <c r="A128" s="99" t="s">
        <v>289</v>
      </c>
      <c r="B128" s="99" t="s">
        <v>299</v>
      </c>
      <c r="C128" s="99" t="s">
        <v>316</v>
      </c>
      <c r="D128" s="48" t="s">
        <v>31</v>
      </c>
      <c r="E128" s="48" t="s">
        <v>149</v>
      </c>
      <c r="F128" s="205">
        <f ca="1" t="shared" si="95"/>
        <v>0</v>
      </c>
      <c r="G128" s="205">
        <f ca="1" t="shared" si="96"/>
        <v>0</v>
      </c>
      <c r="H128" s="205">
        <f ca="1" t="shared" si="97"/>
        <v>0</v>
      </c>
      <c r="I128" s="205">
        <f ca="1" t="shared" si="98"/>
        <v>0</v>
      </c>
      <c r="J128" s="205">
        <f ca="1" t="shared" si="99"/>
        <v>0</v>
      </c>
      <c r="K128" s="205">
        <f ca="1" t="shared" si="100"/>
        <v>1</v>
      </c>
      <c r="L128" s="205">
        <f ca="1" t="shared" si="101"/>
        <v>1</v>
      </c>
      <c r="M128" s="205">
        <f ca="1" t="shared" si="102"/>
        <v>1</v>
      </c>
      <c r="N128" s="205">
        <f ca="1" t="shared" si="103"/>
        <v>1</v>
      </c>
      <c r="O128" s="205">
        <f ca="1" t="shared" si="104"/>
        <v>1</v>
      </c>
      <c r="P128" s="205">
        <f ca="1" t="shared" si="105"/>
        <v>1</v>
      </c>
      <c r="Q128" s="205">
        <f ca="1" t="shared" si="106"/>
        <v>1</v>
      </c>
    </row>
    <row r="129" ht="24" customHeight="1" spans="1:17">
      <c r="A129" s="99" t="s">
        <v>289</v>
      </c>
      <c r="B129" s="99" t="s">
        <v>299</v>
      </c>
      <c r="C129" s="99" t="s">
        <v>316</v>
      </c>
      <c r="D129" s="48" t="s">
        <v>31</v>
      </c>
      <c r="E129" s="48" t="s">
        <v>83</v>
      </c>
      <c r="F129" s="205">
        <f ca="1" t="shared" si="95"/>
        <v>1</v>
      </c>
      <c r="G129" s="205">
        <f ca="1" t="shared" si="96"/>
        <v>1</v>
      </c>
      <c r="H129" s="205">
        <f ca="1" t="shared" si="97"/>
        <v>1</v>
      </c>
      <c r="I129" s="205">
        <f ca="1" t="shared" si="98"/>
        <v>1</v>
      </c>
      <c r="J129" s="205">
        <f ca="1" t="shared" si="99"/>
        <v>1</v>
      </c>
      <c r="K129" s="205">
        <f ca="1" t="shared" si="100"/>
        <v>1</v>
      </c>
      <c r="L129" s="205">
        <f ca="1" t="shared" si="101"/>
        <v>1</v>
      </c>
      <c r="M129" s="205">
        <f ca="1" t="shared" si="102"/>
        <v>1</v>
      </c>
      <c r="N129" s="205">
        <f ca="1" t="shared" si="103"/>
        <v>1</v>
      </c>
      <c r="O129" s="205">
        <f ca="1" t="shared" si="104"/>
        <v>1</v>
      </c>
      <c r="P129" s="205">
        <f ca="1" t="shared" si="105"/>
        <v>1</v>
      </c>
      <c r="Q129" s="205">
        <f ca="1" t="shared" si="106"/>
        <v>1</v>
      </c>
    </row>
    <row r="130" ht="24" customHeight="1" spans="1:17">
      <c r="A130" s="99" t="s">
        <v>289</v>
      </c>
      <c r="B130" s="99" t="s">
        <v>299</v>
      </c>
      <c r="C130" s="99" t="s">
        <v>316</v>
      </c>
      <c r="D130" s="48" t="s">
        <v>321</v>
      </c>
      <c r="E130" s="48" t="s">
        <v>90</v>
      </c>
      <c r="F130" s="112">
        <f ca="1" t="shared" ref="F130:Q130" si="107">IFERROR(F123/F122," ")</f>
        <v>0</v>
      </c>
      <c r="G130" s="112">
        <f ca="1" t="shared" si="107"/>
        <v>0</v>
      </c>
      <c r="H130" s="112">
        <f ca="1" t="shared" si="107"/>
        <v>0.142857142857143</v>
      </c>
      <c r="I130" s="112">
        <f ca="1" t="shared" si="107"/>
        <v>0.25</v>
      </c>
      <c r="J130" s="112">
        <f ca="1" t="shared" si="107"/>
        <v>0.294117647058824</v>
      </c>
      <c r="K130" s="112">
        <f ca="1" t="shared" si="107"/>
        <v>0.315789473684211</v>
      </c>
      <c r="L130" s="112">
        <f ca="1" t="shared" si="107"/>
        <v>0.28</v>
      </c>
      <c r="M130" s="112">
        <f ca="1" t="shared" si="107"/>
        <v>0.310344827586207</v>
      </c>
      <c r="N130" s="112">
        <f ca="1" t="shared" si="107"/>
        <v>0.333333333333333</v>
      </c>
      <c r="O130" s="112">
        <f ca="1" t="shared" si="107"/>
        <v>0.352941176470588</v>
      </c>
      <c r="P130" s="112">
        <f ca="1" t="shared" si="107"/>
        <v>0.325</v>
      </c>
      <c r="Q130" s="112">
        <f ca="1" t="shared" si="107"/>
        <v>0.325581395348837</v>
      </c>
    </row>
    <row r="131" ht="24" customHeight="1" spans="1:17">
      <c r="A131" s="99" t="s">
        <v>289</v>
      </c>
      <c r="B131" s="99" t="s">
        <v>299</v>
      </c>
      <c r="C131" s="99" t="s">
        <v>316</v>
      </c>
      <c r="D131" s="48" t="s">
        <v>321</v>
      </c>
      <c r="E131" s="48" t="s">
        <v>82</v>
      </c>
      <c r="F131" s="112">
        <f ca="1" t="shared" ref="F131:Q131" si="108">IFERROR(F124/F122," ")</f>
        <v>0.25</v>
      </c>
      <c r="G131" s="112">
        <f ca="1" t="shared" si="108"/>
        <v>0.333333333333333</v>
      </c>
      <c r="H131" s="112">
        <f ca="1" t="shared" si="108"/>
        <v>0.285714285714286</v>
      </c>
      <c r="I131" s="112">
        <f ca="1" t="shared" si="108"/>
        <v>0.416666666666667</v>
      </c>
      <c r="J131" s="112">
        <f ca="1" t="shared" si="108"/>
        <v>0.352941176470588</v>
      </c>
      <c r="K131" s="112">
        <f ca="1" t="shared" si="108"/>
        <v>0.315789473684211</v>
      </c>
      <c r="L131" s="112">
        <f ca="1" t="shared" si="108"/>
        <v>0.28</v>
      </c>
      <c r="M131" s="112">
        <f ca="1" t="shared" si="108"/>
        <v>0.241379310344828</v>
      </c>
      <c r="N131" s="112">
        <f ca="1" t="shared" si="108"/>
        <v>0.242424242424242</v>
      </c>
      <c r="O131" s="112">
        <f ca="1" t="shared" si="108"/>
        <v>0.235294117647059</v>
      </c>
      <c r="P131" s="112">
        <f ca="1" t="shared" si="108"/>
        <v>0.275</v>
      </c>
      <c r="Q131" s="112">
        <f ca="1" t="shared" si="108"/>
        <v>0.255813953488372</v>
      </c>
    </row>
    <row r="132" ht="24" customHeight="1" spans="1:17">
      <c r="A132" s="99" t="s">
        <v>289</v>
      </c>
      <c r="B132" s="99" t="s">
        <v>299</v>
      </c>
      <c r="C132" s="99" t="s">
        <v>316</v>
      </c>
      <c r="D132" s="48" t="s">
        <v>321</v>
      </c>
      <c r="E132" s="48" t="s">
        <v>86</v>
      </c>
      <c r="F132" s="112">
        <f ca="1" t="shared" ref="F132:Q132" si="109">IFERROR(F125/F122," ")</f>
        <v>0</v>
      </c>
      <c r="G132" s="112">
        <f ca="1" t="shared" si="109"/>
        <v>0</v>
      </c>
      <c r="H132" s="112">
        <f ca="1" t="shared" si="109"/>
        <v>0</v>
      </c>
      <c r="I132" s="112">
        <f ca="1" t="shared" si="109"/>
        <v>0</v>
      </c>
      <c r="J132" s="112">
        <f ca="1" t="shared" si="109"/>
        <v>0.0588235294117647</v>
      </c>
      <c r="K132" s="112">
        <f ca="1" t="shared" si="109"/>
        <v>0.0526315789473684</v>
      </c>
      <c r="L132" s="112">
        <f ca="1" t="shared" si="109"/>
        <v>0.16</v>
      </c>
      <c r="M132" s="112">
        <f ca="1" t="shared" si="109"/>
        <v>0.172413793103448</v>
      </c>
      <c r="N132" s="112">
        <f ca="1" t="shared" si="109"/>
        <v>0.151515151515152</v>
      </c>
      <c r="O132" s="112">
        <f ca="1" t="shared" si="109"/>
        <v>0.147058823529412</v>
      </c>
      <c r="P132" s="112">
        <f ca="1" t="shared" si="109"/>
        <v>0.15</v>
      </c>
      <c r="Q132" s="112">
        <f ca="1" t="shared" si="109"/>
        <v>0.162790697674419</v>
      </c>
    </row>
    <row r="133" ht="24" customHeight="1" spans="1:17">
      <c r="A133" s="99" t="s">
        <v>289</v>
      </c>
      <c r="B133" s="99" t="s">
        <v>299</v>
      </c>
      <c r="C133" s="99" t="s">
        <v>316</v>
      </c>
      <c r="D133" s="48" t="s">
        <v>321</v>
      </c>
      <c r="E133" s="48" t="s">
        <v>97</v>
      </c>
      <c r="F133" s="112">
        <f ca="1" t="shared" ref="F133:Q133" si="110">IFERROR(F126/F122," ")</f>
        <v>0.25</v>
      </c>
      <c r="G133" s="112">
        <f ca="1" t="shared" si="110"/>
        <v>0.333333333333333</v>
      </c>
      <c r="H133" s="112">
        <f ca="1" t="shared" si="110"/>
        <v>0.285714285714286</v>
      </c>
      <c r="I133" s="112">
        <f ca="1" t="shared" si="110"/>
        <v>0.166666666666667</v>
      </c>
      <c r="J133" s="112">
        <f ca="1" t="shared" si="110"/>
        <v>0.176470588235294</v>
      </c>
      <c r="K133" s="112">
        <f ca="1" t="shared" si="110"/>
        <v>0.157894736842105</v>
      </c>
      <c r="L133" s="112">
        <f ca="1" t="shared" si="110"/>
        <v>0.12</v>
      </c>
      <c r="M133" s="112">
        <f ca="1" t="shared" si="110"/>
        <v>0.137931034482759</v>
      </c>
      <c r="N133" s="112">
        <f ca="1" t="shared" si="110"/>
        <v>0.121212121212121</v>
      </c>
      <c r="O133" s="112">
        <f ca="1" t="shared" si="110"/>
        <v>0.117647058823529</v>
      </c>
      <c r="P133" s="112">
        <f ca="1" t="shared" si="110"/>
        <v>0.125</v>
      </c>
      <c r="Q133" s="112">
        <f ca="1" t="shared" si="110"/>
        <v>0.13953488372093</v>
      </c>
    </row>
    <row r="134" ht="24" customHeight="1" spans="1:17">
      <c r="A134" s="99" t="s">
        <v>289</v>
      </c>
      <c r="B134" s="99" t="s">
        <v>299</v>
      </c>
      <c r="C134" s="99" t="s">
        <v>316</v>
      </c>
      <c r="D134" s="48" t="s">
        <v>321</v>
      </c>
      <c r="E134" s="48" t="s">
        <v>87</v>
      </c>
      <c r="F134" s="112">
        <f ca="1" t="shared" ref="F134:Q134" si="111">IFERROR(F127/F122," ")</f>
        <v>0.25</v>
      </c>
      <c r="G134" s="112">
        <f ca="1" t="shared" si="111"/>
        <v>0.166666666666667</v>
      </c>
      <c r="H134" s="112">
        <f ca="1" t="shared" si="111"/>
        <v>0.142857142857143</v>
      </c>
      <c r="I134" s="112">
        <f ca="1" t="shared" si="111"/>
        <v>0.0833333333333333</v>
      </c>
      <c r="J134" s="112">
        <f ca="1" t="shared" si="111"/>
        <v>0.0588235294117647</v>
      </c>
      <c r="K134" s="112">
        <f ca="1" t="shared" si="111"/>
        <v>0.0526315789473684</v>
      </c>
      <c r="L134" s="112">
        <f ca="1" t="shared" si="111"/>
        <v>0.08</v>
      </c>
      <c r="M134" s="112">
        <f ca="1" t="shared" si="111"/>
        <v>0.0689655172413793</v>
      </c>
      <c r="N134" s="112">
        <f ca="1" t="shared" si="111"/>
        <v>0.0909090909090909</v>
      </c>
      <c r="O134" s="112">
        <f ca="1" t="shared" si="111"/>
        <v>0.0882352941176471</v>
      </c>
      <c r="P134" s="112">
        <f ca="1" t="shared" si="111"/>
        <v>0.075</v>
      </c>
      <c r="Q134" s="112">
        <f ca="1" t="shared" si="111"/>
        <v>0.0697674418604651</v>
      </c>
    </row>
    <row r="135" ht="24" customHeight="1" spans="1:17">
      <c r="A135" s="99" t="s">
        <v>289</v>
      </c>
      <c r="B135" s="99" t="s">
        <v>299</v>
      </c>
      <c r="C135" s="99" t="s">
        <v>316</v>
      </c>
      <c r="D135" s="48" t="s">
        <v>321</v>
      </c>
      <c r="E135" s="48" t="s">
        <v>149</v>
      </c>
      <c r="F135" s="112">
        <f ca="1" t="shared" ref="F135:Q135" si="112">IFERROR(F128/F121," ")</f>
        <v>0</v>
      </c>
      <c r="G135" s="112">
        <f ca="1" t="shared" si="112"/>
        <v>0</v>
      </c>
      <c r="H135" s="112">
        <f ca="1" t="shared" si="112"/>
        <v>0</v>
      </c>
      <c r="I135" s="112">
        <f ca="1" t="shared" si="112"/>
        <v>0</v>
      </c>
      <c r="J135" s="112">
        <f ca="1" t="shared" si="112"/>
        <v>0</v>
      </c>
      <c r="K135" s="112">
        <f ca="1" t="shared" si="112"/>
        <v>0.5</v>
      </c>
      <c r="L135" s="112">
        <f ca="1" t="shared" si="112"/>
        <v>0.5</v>
      </c>
      <c r="M135" s="112">
        <f ca="1" t="shared" si="112"/>
        <v>0.333333333333333</v>
      </c>
      <c r="N135" s="112">
        <f ca="1" t="shared" si="112"/>
        <v>0.2</v>
      </c>
      <c r="O135" s="112">
        <f ca="1" t="shared" si="112"/>
        <v>0.142857142857143</v>
      </c>
      <c r="P135" s="112">
        <f ca="1" t="shared" si="112"/>
        <v>0.111111111111111</v>
      </c>
      <c r="Q135" s="112">
        <f ca="1" t="shared" si="112"/>
        <v>0.1</v>
      </c>
    </row>
    <row r="136" ht="24" customHeight="1" spans="1:17">
      <c r="A136" s="99" t="s">
        <v>289</v>
      </c>
      <c r="B136" s="99" t="s">
        <v>299</v>
      </c>
      <c r="C136" s="99" t="s">
        <v>316</v>
      </c>
      <c r="D136" s="48" t="s">
        <v>321</v>
      </c>
      <c r="E136" s="48" t="s">
        <v>83</v>
      </c>
      <c r="F136" s="112">
        <f ca="1" t="shared" ref="F136:Q136" si="113">IFERROR(F129/F122," ")</f>
        <v>0.25</v>
      </c>
      <c r="G136" s="112">
        <f ca="1" t="shared" si="113"/>
        <v>0.166666666666667</v>
      </c>
      <c r="H136" s="112">
        <f ca="1" t="shared" si="113"/>
        <v>0.142857142857143</v>
      </c>
      <c r="I136" s="112">
        <f ca="1" t="shared" si="113"/>
        <v>0.0833333333333333</v>
      </c>
      <c r="J136" s="112">
        <f ca="1" t="shared" si="113"/>
        <v>0.0588235294117647</v>
      </c>
      <c r="K136" s="112">
        <f ca="1" t="shared" si="113"/>
        <v>0.0526315789473684</v>
      </c>
      <c r="L136" s="112">
        <f ca="1" t="shared" si="113"/>
        <v>0.04</v>
      </c>
      <c r="M136" s="112">
        <f ca="1" t="shared" si="113"/>
        <v>0.0344827586206897</v>
      </c>
      <c r="N136" s="112">
        <f ca="1" t="shared" si="113"/>
        <v>0.0303030303030303</v>
      </c>
      <c r="O136" s="112">
        <f ca="1" t="shared" si="113"/>
        <v>0.0294117647058824</v>
      </c>
      <c r="P136" s="112">
        <f ca="1" t="shared" si="113"/>
        <v>0.025</v>
      </c>
      <c r="Q136" s="112">
        <f ca="1" t="shared" si="113"/>
        <v>0.0232558139534884</v>
      </c>
    </row>
    <row r="137" ht="24" customHeight="1" spans="1:17">
      <c r="A137" s="99" t="s">
        <v>289</v>
      </c>
      <c r="B137" s="99" t="s">
        <v>299</v>
      </c>
      <c r="C137" s="99" t="s">
        <v>316</v>
      </c>
      <c r="D137" s="47" t="s">
        <v>294</v>
      </c>
      <c r="E137" s="47" t="s">
        <v>93</v>
      </c>
      <c r="F137" s="206">
        <f ca="1" t="shared" ref="F137:Q137" si="114">IF($S$1&lt;DATE(2025,1,1)," ",F40)</f>
        <v>4</v>
      </c>
      <c r="G137" s="206">
        <f ca="1" t="shared" si="114"/>
        <v>0</v>
      </c>
      <c r="H137" s="206">
        <f ca="1" t="shared" si="114"/>
        <v>0</v>
      </c>
      <c r="I137" s="206">
        <f ca="1" t="shared" si="114"/>
        <v>0</v>
      </c>
      <c r="J137" s="206">
        <f ca="1" t="shared" si="114"/>
        <v>0</v>
      </c>
      <c r="K137" s="206">
        <f ca="1" t="shared" si="114"/>
        <v>1</v>
      </c>
      <c r="L137" s="206">
        <f ca="1" t="shared" si="114"/>
        <v>1</v>
      </c>
      <c r="M137" s="206">
        <f ca="1" t="shared" si="114"/>
        <v>2</v>
      </c>
      <c r="N137" s="206">
        <f ca="1" t="shared" si="114"/>
        <v>1</v>
      </c>
      <c r="O137" s="206">
        <f ca="1" t="shared" si="114"/>
        <v>0</v>
      </c>
      <c r="P137" s="206">
        <f ca="1" t="shared" si="114"/>
        <v>2</v>
      </c>
      <c r="Q137" s="206">
        <f ca="1" t="shared" si="114"/>
        <v>0</v>
      </c>
    </row>
    <row r="138" ht="24" customHeight="1" spans="1:17">
      <c r="A138" s="99" t="s">
        <v>289</v>
      </c>
      <c r="B138" s="99" t="s">
        <v>299</v>
      </c>
      <c r="C138" s="99" t="s">
        <v>316</v>
      </c>
      <c r="D138" s="47" t="s">
        <v>294</v>
      </c>
      <c r="E138" s="47" t="s">
        <v>85</v>
      </c>
      <c r="F138" s="206">
        <f ca="1" t="shared" ref="F138:Q138" si="115">IF($S$1&lt;DATE(2025,1,1)," ",F41)</f>
        <v>0</v>
      </c>
      <c r="G138" s="206">
        <f ca="1" t="shared" si="115"/>
        <v>0</v>
      </c>
      <c r="H138" s="206">
        <f ca="1" t="shared" si="115"/>
        <v>0</v>
      </c>
      <c r="I138" s="206">
        <f ca="1" t="shared" si="115"/>
        <v>2</v>
      </c>
      <c r="J138" s="206">
        <f ca="1" t="shared" si="115"/>
        <v>1</v>
      </c>
      <c r="K138" s="206">
        <f ca="1" t="shared" si="115"/>
        <v>0</v>
      </c>
      <c r="L138" s="206">
        <f ca="1" t="shared" si="115"/>
        <v>4</v>
      </c>
      <c r="M138" s="206">
        <f ca="1" t="shared" si="115"/>
        <v>1</v>
      </c>
      <c r="N138" s="206">
        <f ca="1" t="shared" si="115"/>
        <v>0</v>
      </c>
      <c r="O138" s="206">
        <f ca="1" t="shared" si="115"/>
        <v>0</v>
      </c>
      <c r="P138" s="206">
        <f ca="1" t="shared" si="115"/>
        <v>2</v>
      </c>
      <c r="Q138" s="206">
        <f ca="1" t="shared" si="115"/>
        <v>3</v>
      </c>
    </row>
    <row r="139" ht="24" customHeight="1" spans="1:17">
      <c r="A139" s="99" t="s">
        <v>289</v>
      </c>
      <c r="B139" s="99" t="s">
        <v>299</v>
      </c>
      <c r="C139" s="99" t="s">
        <v>316</v>
      </c>
      <c r="D139" s="47" t="s">
        <v>294</v>
      </c>
      <c r="E139" s="47" t="s">
        <v>81</v>
      </c>
      <c r="F139" s="206">
        <f ca="1" t="shared" ref="F139:Q139" si="116">IF($S$1&lt;DATE(2025,1,1)," ",F42)</f>
        <v>0</v>
      </c>
      <c r="G139" s="206">
        <f ca="1" t="shared" si="116"/>
        <v>0</v>
      </c>
      <c r="H139" s="206">
        <f ca="1" t="shared" si="116"/>
        <v>0</v>
      </c>
      <c r="I139" s="206">
        <f ca="1" t="shared" si="116"/>
        <v>1</v>
      </c>
      <c r="J139" s="206">
        <f ca="1" t="shared" si="116"/>
        <v>1</v>
      </c>
      <c r="K139" s="206">
        <f ca="1" t="shared" si="116"/>
        <v>0</v>
      </c>
      <c r="L139" s="206">
        <f ca="1" t="shared" si="116"/>
        <v>0</v>
      </c>
      <c r="M139" s="206">
        <f ca="1" t="shared" si="116"/>
        <v>0</v>
      </c>
      <c r="N139" s="206">
        <f ca="1" t="shared" si="116"/>
        <v>1</v>
      </c>
      <c r="O139" s="206">
        <f ca="1" t="shared" si="116"/>
        <v>0</v>
      </c>
      <c r="P139" s="206">
        <f ca="1" t="shared" si="116"/>
        <v>2</v>
      </c>
      <c r="Q139" s="206">
        <f ca="1" t="shared" si="116"/>
        <v>0</v>
      </c>
    </row>
    <row r="140" ht="24" customHeight="1" spans="1:17">
      <c r="A140" s="99" t="s">
        <v>289</v>
      </c>
      <c r="B140" s="99" t="s">
        <v>299</v>
      </c>
      <c r="C140" s="99" t="s">
        <v>316</v>
      </c>
      <c r="D140" s="47" t="s">
        <v>294</v>
      </c>
      <c r="E140" s="47" t="s">
        <v>96</v>
      </c>
      <c r="F140" s="206">
        <f ca="1" t="shared" ref="F140:Q140" si="117">IF($S$1&lt;DATE(2025,1,1)," ",F43)</f>
        <v>0</v>
      </c>
      <c r="G140" s="206">
        <f ca="1" t="shared" si="117"/>
        <v>1</v>
      </c>
      <c r="H140" s="206">
        <f ca="1" t="shared" si="117"/>
        <v>0</v>
      </c>
      <c r="I140" s="206">
        <f ca="1" t="shared" si="117"/>
        <v>0</v>
      </c>
      <c r="J140" s="206">
        <f ca="1" t="shared" si="117"/>
        <v>0</v>
      </c>
      <c r="K140" s="206">
        <f ca="1" t="shared" si="117"/>
        <v>0</v>
      </c>
      <c r="L140" s="206">
        <f ca="1" t="shared" si="117"/>
        <v>0</v>
      </c>
      <c r="M140" s="206">
        <f ca="1" t="shared" si="117"/>
        <v>0</v>
      </c>
      <c r="N140" s="206">
        <f ca="1" t="shared" si="117"/>
        <v>0</v>
      </c>
      <c r="O140" s="206">
        <f ca="1" t="shared" si="117"/>
        <v>0</v>
      </c>
      <c r="P140" s="206">
        <f ca="1" t="shared" si="117"/>
        <v>0</v>
      </c>
      <c r="Q140" s="206">
        <f ca="1" t="shared" si="117"/>
        <v>0</v>
      </c>
    </row>
    <row r="141" ht="24" customHeight="1" spans="1:17">
      <c r="A141" s="99" t="s">
        <v>289</v>
      </c>
      <c r="B141" s="99" t="s">
        <v>299</v>
      </c>
      <c r="C141" s="99" t="s">
        <v>316</v>
      </c>
      <c r="D141" s="47" t="s">
        <v>294</v>
      </c>
      <c r="E141" s="47" t="s">
        <v>160</v>
      </c>
      <c r="F141" s="206">
        <f ca="1" t="shared" ref="F141:Q141" si="118">IF($S$1&lt;DATE(2025,1,1)," ",F44)</f>
        <v>0</v>
      </c>
      <c r="G141" s="206">
        <f ca="1" t="shared" si="118"/>
        <v>0</v>
      </c>
      <c r="H141" s="206">
        <f ca="1" t="shared" si="118"/>
        <v>0</v>
      </c>
      <c r="I141" s="206">
        <f ca="1" t="shared" si="118"/>
        <v>0</v>
      </c>
      <c r="J141" s="206">
        <f ca="1" t="shared" si="118"/>
        <v>0</v>
      </c>
      <c r="K141" s="206">
        <f ca="1" t="shared" si="118"/>
        <v>0</v>
      </c>
      <c r="L141" s="206">
        <f ca="1" t="shared" si="118"/>
        <v>0</v>
      </c>
      <c r="M141" s="206">
        <f ca="1" t="shared" si="118"/>
        <v>0</v>
      </c>
      <c r="N141" s="206">
        <f ca="1" t="shared" si="118"/>
        <v>0</v>
      </c>
      <c r="O141" s="206">
        <f ca="1" t="shared" si="118"/>
        <v>0</v>
      </c>
      <c r="P141" s="206">
        <f ca="1" t="shared" si="118"/>
        <v>0</v>
      </c>
      <c r="Q141" s="206">
        <f ca="1" t="shared" si="118"/>
        <v>0</v>
      </c>
    </row>
    <row r="142" ht="24" customHeight="1" spans="1:17">
      <c r="A142" s="99" t="s">
        <v>289</v>
      </c>
      <c r="B142" s="99" t="s">
        <v>299</v>
      </c>
      <c r="C142" s="99" t="s">
        <v>316</v>
      </c>
      <c r="D142" s="100" t="s">
        <v>292</v>
      </c>
      <c r="E142" s="100" t="s">
        <v>322</v>
      </c>
      <c r="F142" s="204">
        <f ca="1">IF($S$1&lt;DATE(2025,1,1)," ",SUM(F143:F145))</f>
        <v>4</v>
      </c>
      <c r="G142" s="204">
        <f ca="1">IF($S$1&lt;DATE(2025,2,1)," ",SUM(G143:G145))</f>
        <v>6</v>
      </c>
      <c r="H142" s="204">
        <f ca="1">IF($S$1&lt;DATE(2025,3,1)," ",SUM(H143:H145))</f>
        <v>7</v>
      </c>
      <c r="I142" s="204">
        <f ca="1">IF($S$1&lt;DATE(2025,4,1)," ",SUM(I143:I145))</f>
        <v>12</v>
      </c>
      <c r="J142" s="204">
        <f ca="1">IF($S$1&lt;DATE(2025,5,1)," ",SUM(J143:J145))</f>
        <v>16</v>
      </c>
      <c r="K142" s="204">
        <f ca="1">IF($S$1&lt;DATE(2025,6,1)," ",SUM(K143:K145))</f>
        <v>17</v>
      </c>
      <c r="L142" s="204">
        <f ca="1">IF($S$1&lt;DATE(2025,7,1)," ",SUM(L143:L145))</f>
        <v>22</v>
      </c>
      <c r="M142" s="204">
        <f ca="1">IF($S$1&lt;DATE(2025,8,1)," ",SUM(M143:M145))</f>
        <v>26</v>
      </c>
      <c r="N142" s="204">
        <f ca="1">IF($S$1&lt;DATE(2025,9,1)," ",SUM(N143:N145))</f>
        <v>30</v>
      </c>
      <c r="O142" s="204">
        <f ca="1">IF($S$1&lt;DATE(2025,10,1)," ",SUM(O143:O145))</f>
        <v>31</v>
      </c>
      <c r="P142" s="204">
        <f ca="1">IF($S$1&lt;DATE(2025,11,1)," ",SUM(P143:P145))</f>
        <v>36</v>
      </c>
      <c r="Q142" s="204">
        <f ca="1">IF($S$1&lt;DATE(2025,12,1)," ",SUM(Q143:Q145))</f>
        <v>39</v>
      </c>
    </row>
    <row r="143" ht="24" customHeight="1" spans="1:35">
      <c r="A143" s="99" t="s">
        <v>289</v>
      </c>
      <c r="B143" s="99" t="s">
        <v>299</v>
      </c>
      <c r="C143" s="99" t="s">
        <v>316</v>
      </c>
      <c r="D143" s="48" t="s">
        <v>296</v>
      </c>
      <c r="E143" s="48" t="s">
        <v>90</v>
      </c>
      <c r="F143" s="205">
        <f ca="1" t="shared" ref="F143:F145" si="119">IF($S$1&lt;DATE(2025,1,1)," ",F56)</f>
        <v>0</v>
      </c>
      <c r="G143" s="205">
        <f ca="1" t="shared" ref="G143:G145" si="120">IF($S$1&lt;DATE(2025,2,1)," ",G56+F143)</f>
        <v>1</v>
      </c>
      <c r="H143" s="205">
        <f ca="1" t="shared" ref="H143:H145" si="121">IF($S$1&lt;DATE(2025,3,1)," ",H56+G143)</f>
        <v>2</v>
      </c>
      <c r="I143" s="205">
        <f ca="1" t="shared" ref="I143:I145" si="122">IF($S$1&lt;DATE(2025,4,1)," ",I56+H143)</f>
        <v>4</v>
      </c>
      <c r="J143" s="205">
        <f ca="1" t="shared" ref="J143:J145" si="123">IF($S$1&lt;DATE(2025,5,1)," ",J56+I143)</f>
        <v>6</v>
      </c>
      <c r="K143" s="205">
        <f ca="1" t="shared" ref="K143:K145" si="124">IF($S$1&lt;DATE(2025,6,1)," ",K56+J143)</f>
        <v>7</v>
      </c>
      <c r="L143" s="205">
        <f ca="1" t="shared" ref="L143:L145" si="125">IF($S$1&lt;DATE(2025,7,1)," ",L56+K143)</f>
        <v>8</v>
      </c>
      <c r="M143" s="205">
        <f ca="1" t="shared" ref="M143:M145" si="126">IF($S$1&lt;DATE(2025,8,1)," ",M56+L143)</f>
        <v>11</v>
      </c>
      <c r="N143" s="205">
        <f ca="1" t="shared" ref="N143:N145" si="127">IF($S$1&lt;DATE(2025,9,1)," ",N56+M143)</f>
        <v>13</v>
      </c>
      <c r="O143" s="205">
        <f ca="1" t="shared" ref="O143:O145" si="128">IF($S$1&lt;DATE(2025,10,1)," ",O56+N143)</f>
        <v>14</v>
      </c>
      <c r="P143" s="205">
        <f ca="1" t="shared" ref="P143:P145" si="129">IF($S$1&lt;DATE(2025,11,1)," ",P56+O143)</f>
        <v>15</v>
      </c>
      <c r="Q143" s="205">
        <f ca="1" t="shared" ref="Q143:Q145" si="130">IF($S$1&lt;DATE(2025,12,1)," ",Q56+P143)</f>
        <v>16</v>
      </c>
      <c r="R143" s="109"/>
      <c r="S143" s="109"/>
      <c r="T143" s="109"/>
      <c r="U143" s="109"/>
      <c r="V143" s="109"/>
      <c r="W143" s="109"/>
      <c r="X143" s="109"/>
      <c r="Y143" s="109"/>
      <c r="Z143" s="109"/>
      <c r="AA143" s="109"/>
      <c r="AB143" s="109"/>
      <c r="AC143" s="109"/>
      <c r="AD143" s="109"/>
      <c r="AE143" s="109"/>
      <c r="AF143" s="109"/>
      <c r="AG143" s="109"/>
      <c r="AH143" s="109"/>
      <c r="AI143" s="109"/>
    </row>
    <row r="144" ht="24" customHeight="1" spans="1:17">
      <c r="A144" s="99" t="s">
        <v>289</v>
      </c>
      <c r="B144" s="99" t="s">
        <v>299</v>
      </c>
      <c r="C144" s="99" t="s">
        <v>316</v>
      </c>
      <c r="D144" s="48" t="s">
        <v>296</v>
      </c>
      <c r="E144" s="48" t="s">
        <v>82</v>
      </c>
      <c r="F144" s="205">
        <f ca="1" t="shared" si="119"/>
        <v>2</v>
      </c>
      <c r="G144" s="205">
        <f ca="1" t="shared" si="120"/>
        <v>3</v>
      </c>
      <c r="H144" s="205">
        <f ca="1" t="shared" si="121"/>
        <v>3</v>
      </c>
      <c r="I144" s="205">
        <f ca="1" t="shared" si="122"/>
        <v>6</v>
      </c>
      <c r="J144" s="205">
        <f ca="1" t="shared" si="123"/>
        <v>7</v>
      </c>
      <c r="K144" s="205">
        <f ca="1" t="shared" si="124"/>
        <v>7</v>
      </c>
      <c r="L144" s="205">
        <f ca="1" t="shared" si="125"/>
        <v>8</v>
      </c>
      <c r="M144" s="205">
        <f ca="1" t="shared" si="126"/>
        <v>8</v>
      </c>
      <c r="N144" s="205">
        <f ca="1" t="shared" si="127"/>
        <v>10</v>
      </c>
      <c r="O144" s="205">
        <f ca="1" t="shared" si="128"/>
        <v>10</v>
      </c>
      <c r="P144" s="205">
        <f ca="1" t="shared" si="129"/>
        <v>13</v>
      </c>
      <c r="Q144" s="205">
        <f ca="1" t="shared" si="130"/>
        <v>13</v>
      </c>
    </row>
    <row r="145" ht="24" customHeight="1" spans="1:17">
      <c r="A145" s="99" t="s">
        <v>289</v>
      </c>
      <c r="B145" s="99" t="s">
        <v>299</v>
      </c>
      <c r="C145" s="99" t="s">
        <v>316</v>
      </c>
      <c r="D145" s="48" t="s">
        <v>296</v>
      </c>
      <c r="E145" s="48" t="s">
        <v>86</v>
      </c>
      <c r="F145" s="205">
        <f ca="1" t="shared" si="119"/>
        <v>2</v>
      </c>
      <c r="G145" s="205">
        <f ca="1" t="shared" si="120"/>
        <v>2</v>
      </c>
      <c r="H145" s="205">
        <f ca="1" t="shared" si="121"/>
        <v>2</v>
      </c>
      <c r="I145" s="205">
        <f ca="1" t="shared" si="122"/>
        <v>2</v>
      </c>
      <c r="J145" s="205">
        <f ca="1" t="shared" si="123"/>
        <v>3</v>
      </c>
      <c r="K145" s="205">
        <f ca="1" t="shared" si="124"/>
        <v>3</v>
      </c>
      <c r="L145" s="205">
        <f ca="1" t="shared" si="125"/>
        <v>6</v>
      </c>
      <c r="M145" s="205">
        <f ca="1" t="shared" si="126"/>
        <v>7</v>
      </c>
      <c r="N145" s="205">
        <f ca="1" t="shared" si="127"/>
        <v>7</v>
      </c>
      <c r="O145" s="205">
        <f ca="1" t="shared" si="128"/>
        <v>7</v>
      </c>
      <c r="P145" s="205">
        <f ca="1" t="shared" si="129"/>
        <v>8</v>
      </c>
      <c r="Q145" s="205">
        <f ca="1" t="shared" si="130"/>
        <v>10</v>
      </c>
    </row>
    <row r="146" ht="24" customHeight="1" spans="1:17">
      <c r="A146" s="99" t="s">
        <v>289</v>
      </c>
      <c r="B146" s="99" t="s">
        <v>299</v>
      </c>
      <c r="C146" s="99" t="s">
        <v>316</v>
      </c>
      <c r="D146" s="48" t="s">
        <v>323</v>
      </c>
      <c r="E146" s="48" t="s">
        <v>90</v>
      </c>
      <c r="F146" s="112">
        <f ca="1" t="shared" ref="F146:Q146" si="131">IFERROR(F143/F142," ")</f>
        <v>0</v>
      </c>
      <c r="G146" s="112">
        <f ca="1" t="shared" si="131"/>
        <v>0.166666666666667</v>
      </c>
      <c r="H146" s="112">
        <f ca="1" t="shared" si="131"/>
        <v>0.285714285714286</v>
      </c>
      <c r="I146" s="112">
        <f ca="1" t="shared" si="131"/>
        <v>0.333333333333333</v>
      </c>
      <c r="J146" s="112">
        <f ca="1" t="shared" si="131"/>
        <v>0.375</v>
      </c>
      <c r="K146" s="112">
        <f ca="1" t="shared" si="131"/>
        <v>0.411764705882353</v>
      </c>
      <c r="L146" s="112">
        <f ca="1" t="shared" si="131"/>
        <v>0.363636363636364</v>
      </c>
      <c r="M146" s="112">
        <f ca="1" t="shared" si="131"/>
        <v>0.423076923076923</v>
      </c>
      <c r="N146" s="112">
        <f ca="1" t="shared" si="131"/>
        <v>0.433333333333333</v>
      </c>
      <c r="O146" s="112">
        <f ca="1" t="shared" si="131"/>
        <v>0.451612903225806</v>
      </c>
      <c r="P146" s="112">
        <f ca="1" t="shared" si="131"/>
        <v>0.416666666666667</v>
      </c>
      <c r="Q146" s="112">
        <f ca="1" t="shared" si="131"/>
        <v>0.41025641025641</v>
      </c>
    </row>
    <row r="147" ht="24" customHeight="1" spans="1:17">
      <c r="A147" s="99" t="s">
        <v>289</v>
      </c>
      <c r="B147" s="99" t="s">
        <v>299</v>
      </c>
      <c r="C147" s="99" t="s">
        <v>316</v>
      </c>
      <c r="D147" s="48" t="s">
        <v>323</v>
      </c>
      <c r="E147" s="48" t="s">
        <v>82</v>
      </c>
      <c r="F147" s="112">
        <f ca="1" t="shared" ref="F147:Q147" si="132">IFERROR(F144/F142," ")</f>
        <v>0.5</v>
      </c>
      <c r="G147" s="112">
        <f ca="1" t="shared" si="132"/>
        <v>0.5</v>
      </c>
      <c r="H147" s="112">
        <f ca="1" t="shared" si="132"/>
        <v>0.428571428571429</v>
      </c>
      <c r="I147" s="112">
        <f ca="1" t="shared" si="132"/>
        <v>0.5</v>
      </c>
      <c r="J147" s="112">
        <f ca="1" t="shared" si="132"/>
        <v>0.4375</v>
      </c>
      <c r="K147" s="112">
        <f ca="1" t="shared" si="132"/>
        <v>0.411764705882353</v>
      </c>
      <c r="L147" s="112">
        <f ca="1" t="shared" si="132"/>
        <v>0.363636363636364</v>
      </c>
      <c r="M147" s="112">
        <f ca="1" t="shared" si="132"/>
        <v>0.307692307692308</v>
      </c>
      <c r="N147" s="112">
        <f ca="1" t="shared" si="132"/>
        <v>0.333333333333333</v>
      </c>
      <c r="O147" s="112">
        <f ca="1" t="shared" si="132"/>
        <v>0.32258064516129</v>
      </c>
      <c r="P147" s="112">
        <f ca="1" t="shared" si="132"/>
        <v>0.361111111111111</v>
      </c>
      <c r="Q147" s="112">
        <f ca="1" t="shared" si="132"/>
        <v>0.333333333333333</v>
      </c>
    </row>
    <row r="148" ht="24" customHeight="1" spans="1:17">
      <c r="A148" s="99" t="s">
        <v>289</v>
      </c>
      <c r="B148" s="99" t="s">
        <v>299</v>
      </c>
      <c r="C148" s="99" t="s">
        <v>316</v>
      </c>
      <c r="D148" s="48" t="s">
        <v>323</v>
      </c>
      <c r="E148" s="48" t="s">
        <v>86</v>
      </c>
      <c r="F148" s="112">
        <f ca="1" t="shared" ref="F148:Q148" si="133">IFERROR(F145/F142," ")</f>
        <v>0.5</v>
      </c>
      <c r="G148" s="112">
        <f ca="1" t="shared" si="133"/>
        <v>0.333333333333333</v>
      </c>
      <c r="H148" s="112">
        <f ca="1" t="shared" si="133"/>
        <v>0.285714285714286</v>
      </c>
      <c r="I148" s="112">
        <f ca="1" t="shared" si="133"/>
        <v>0.166666666666667</v>
      </c>
      <c r="J148" s="112">
        <f ca="1" t="shared" si="133"/>
        <v>0.1875</v>
      </c>
      <c r="K148" s="112">
        <f ca="1" t="shared" si="133"/>
        <v>0.176470588235294</v>
      </c>
      <c r="L148" s="112">
        <f ca="1" t="shared" si="133"/>
        <v>0.272727272727273</v>
      </c>
      <c r="M148" s="112">
        <f ca="1" t="shared" si="133"/>
        <v>0.269230769230769</v>
      </c>
      <c r="N148" s="112">
        <f ca="1" t="shared" si="133"/>
        <v>0.233333333333333</v>
      </c>
      <c r="O148" s="112">
        <f ca="1" t="shared" si="133"/>
        <v>0.225806451612903</v>
      </c>
      <c r="P148" s="112">
        <f ca="1" t="shared" si="133"/>
        <v>0.222222222222222</v>
      </c>
      <c r="Q148" s="112">
        <f ca="1" t="shared" si="133"/>
        <v>0.256410256410256</v>
      </c>
    </row>
    <row r="149" ht="24" customHeight="1" spans="1:17">
      <c r="A149" s="99" t="s">
        <v>289</v>
      </c>
      <c r="B149" s="99" t="s">
        <v>299</v>
      </c>
      <c r="C149" s="99" t="s">
        <v>316</v>
      </c>
      <c r="D149" s="100" t="s">
        <v>292</v>
      </c>
      <c r="E149" s="100" t="s">
        <v>324</v>
      </c>
      <c r="F149" s="204">
        <f ca="1">IF($S$1&lt;DATE(2025,1,1)," ",SUM(F150:F153))</f>
        <v>3</v>
      </c>
      <c r="G149" s="204">
        <f ca="1">IF($S$1&lt;DATE(2025,2,1)," ",SUM(G150:G153))</f>
        <v>4</v>
      </c>
      <c r="H149" s="204">
        <f ca="1">IF($S$1&lt;DATE(2025,3,1)," ",SUM(H150:H153))</f>
        <v>5</v>
      </c>
      <c r="I149" s="204">
        <f ca="1">IF($S$1&lt;DATE(2025,4,1)," ",SUM(I150:I153))</f>
        <v>9</v>
      </c>
      <c r="J149" s="204">
        <f ca="1">IF($S$1&lt;DATE(2025,5,1)," ",SUM(J150:J153))</f>
        <v>13</v>
      </c>
      <c r="K149" s="204">
        <f ca="1">IF($S$1&lt;DATE(2025,6,1)," ",SUM(K150:K153))</f>
        <v>15</v>
      </c>
      <c r="L149" s="204">
        <f ca="1">IF($S$1&lt;DATE(2025,7,1)," ",SUM(L150:L153))</f>
        <v>20</v>
      </c>
      <c r="M149" s="204">
        <f ca="1">IF($S$1&lt;DATE(2025,8,1)," ",SUM(M150:M153))</f>
        <v>23</v>
      </c>
      <c r="N149" s="204">
        <f ca="1">IF($S$1&lt;DATE(2025,9,1)," ",SUM(N150:N153))</f>
        <v>27</v>
      </c>
      <c r="O149" s="204">
        <f ca="1">IF($S$1&lt;DATE(2025,10,1)," ",SUM(O150:O153))</f>
        <v>28</v>
      </c>
      <c r="P149" s="204">
        <f ca="1">IF($S$1&lt;DATE(2025,11,1)," ",SUM(P150:P153))</f>
        <v>34</v>
      </c>
      <c r="Q149" s="204">
        <f ca="1">IF($S$1&lt;DATE(2025,12,1)," ",SUM(Q150:Q153))</f>
        <v>36</v>
      </c>
    </row>
    <row r="150" ht="24" customHeight="1" spans="1:35">
      <c r="A150" s="99" t="s">
        <v>289</v>
      </c>
      <c r="B150" s="99" t="s">
        <v>299</v>
      </c>
      <c r="C150" s="99" t="s">
        <v>316</v>
      </c>
      <c r="D150" s="48" t="s">
        <v>298</v>
      </c>
      <c r="E150" s="48" t="s">
        <v>97</v>
      </c>
      <c r="F150" s="205">
        <f ca="1" t="shared" ref="F150:F153" si="134">IF($S$1&lt;DATE(2025,1,1)," ",F60)</f>
        <v>1</v>
      </c>
      <c r="G150" s="205">
        <f ca="1" t="shared" ref="G150:G153" si="135">IF($S$1&lt;DATE(2025,2,1)," ",G60+F150)</f>
        <v>2</v>
      </c>
      <c r="H150" s="205">
        <f ca="1" t="shared" ref="H150:H153" si="136">IF($S$1&lt;DATE(2025,3,1)," ",H60+G150)</f>
        <v>2</v>
      </c>
      <c r="I150" s="205">
        <f ca="1" t="shared" ref="I150:I153" si="137">IF($S$1&lt;DATE(2025,4,1)," ",I60+H150)</f>
        <v>3</v>
      </c>
      <c r="J150" s="205">
        <f ca="1" t="shared" ref="J150:J153" si="138">IF($S$1&lt;DATE(2025,5,1)," ",J60+I150)</f>
        <v>4</v>
      </c>
      <c r="K150" s="205">
        <f ca="1" t="shared" ref="K150:K153" si="139">IF($S$1&lt;DATE(2025,6,1)," ",K60+J150)</f>
        <v>4</v>
      </c>
      <c r="L150" s="205">
        <f ca="1" t="shared" ref="L150:L153" si="140">IF($S$1&lt;DATE(2025,7,1)," ",L60+K150)</f>
        <v>4</v>
      </c>
      <c r="M150" s="205">
        <f ca="1" t="shared" ref="M150:M153" si="141">IF($S$1&lt;DATE(2025,8,1)," ",M60+L150)</f>
        <v>5</v>
      </c>
      <c r="N150" s="205">
        <f ca="1" t="shared" ref="N150:N153" si="142">IF($S$1&lt;DATE(2025,9,1)," ",N60+M150)</f>
        <v>5</v>
      </c>
      <c r="O150" s="205">
        <f ca="1" t="shared" ref="O150:O153" si="143">IF($S$1&lt;DATE(2025,10,1)," ",O60+N150)</f>
        <v>5</v>
      </c>
      <c r="P150" s="205">
        <f ca="1" t="shared" ref="P150:P153" si="144">IF($S$1&lt;DATE(2025,11,1)," ",P60+O150)</f>
        <v>6</v>
      </c>
      <c r="Q150" s="205">
        <f ca="1" t="shared" ref="Q150:Q153" si="145">IF($S$1&lt;DATE(2025,12,1)," ",Q60+P150)</f>
        <v>8</v>
      </c>
      <c r="R150" s="109"/>
      <c r="S150" s="109"/>
      <c r="T150" s="109"/>
      <c r="U150" s="109"/>
      <c r="V150" s="109"/>
      <c r="W150" s="109"/>
      <c r="X150" s="109"/>
      <c r="Y150" s="109"/>
      <c r="Z150" s="109"/>
      <c r="AA150" s="109"/>
      <c r="AB150" s="109"/>
      <c r="AC150" s="109"/>
      <c r="AD150" s="109"/>
      <c r="AE150" s="109"/>
      <c r="AF150" s="109"/>
      <c r="AG150" s="109"/>
      <c r="AH150" s="109"/>
      <c r="AI150" s="109"/>
    </row>
    <row r="151" ht="24" customHeight="1" spans="1:17">
      <c r="A151" s="99" t="s">
        <v>289</v>
      </c>
      <c r="B151" s="99" t="s">
        <v>299</v>
      </c>
      <c r="C151" s="99" t="s">
        <v>316</v>
      </c>
      <c r="D151" s="48" t="s">
        <v>298</v>
      </c>
      <c r="E151" s="48" t="s">
        <v>87</v>
      </c>
      <c r="F151" s="205">
        <f ca="1" t="shared" si="134"/>
        <v>1</v>
      </c>
      <c r="G151" s="205">
        <f ca="1" t="shared" si="135"/>
        <v>1</v>
      </c>
      <c r="H151" s="205">
        <f ca="1" t="shared" si="136"/>
        <v>2</v>
      </c>
      <c r="I151" s="205">
        <f ca="1" t="shared" si="137"/>
        <v>5</v>
      </c>
      <c r="J151" s="205">
        <f ca="1" t="shared" si="138"/>
        <v>7</v>
      </c>
      <c r="K151" s="205">
        <f ca="1" t="shared" si="139"/>
        <v>8</v>
      </c>
      <c r="L151" s="205">
        <f ca="1" t="shared" si="140"/>
        <v>13</v>
      </c>
      <c r="M151" s="205">
        <f ca="1" t="shared" si="141"/>
        <v>15</v>
      </c>
      <c r="N151" s="205">
        <f ca="1" t="shared" si="142"/>
        <v>19</v>
      </c>
      <c r="O151" s="205">
        <f ca="1" t="shared" si="143"/>
        <v>19</v>
      </c>
      <c r="P151" s="205">
        <f ca="1" t="shared" si="144"/>
        <v>23</v>
      </c>
      <c r="Q151" s="205">
        <f ca="1" t="shared" si="145"/>
        <v>23</v>
      </c>
    </row>
    <row r="152" ht="24" customHeight="1" spans="1:17">
      <c r="A152" s="99" t="s">
        <v>289</v>
      </c>
      <c r="B152" s="99" t="s">
        <v>299</v>
      </c>
      <c r="C152" s="99" t="s">
        <v>316</v>
      </c>
      <c r="D152" s="48" t="s">
        <v>298</v>
      </c>
      <c r="E152" s="48" t="s">
        <v>149</v>
      </c>
      <c r="F152" s="205">
        <f ca="1" t="shared" si="134"/>
        <v>0</v>
      </c>
      <c r="G152" s="205">
        <f ca="1" t="shared" si="135"/>
        <v>0</v>
      </c>
      <c r="H152" s="205">
        <f ca="1" t="shared" si="136"/>
        <v>0</v>
      </c>
      <c r="I152" s="205">
        <f ca="1" t="shared" si="137"/>
        <v>0</v>
      </c>
      <c r="J152" s="205">
        <f ca="1" t="shared" si="138"/>
        <v>0</v>
      </c>
      <c r="K152" s="205">
        <f ca="1" t="shared" si="139"/>
        <v>1</v>
      </c>
      <c r="L152" s="205">
        <f ca="1" t="shared" si="140"/>
        <v>1</v>
      </c>
      <c r="M152" s="205">
        <f ca="1" t="shared" si="141"/>
        <v>1</v>
      </c>
      <c r="N152" s="205">
        <f ca="1" t="shared" si="142"/>
        <v>1</v>
      </c>
      <c r="O152" s="205">
        <f ca="1" t="shared" si="143"/>
        <v>1</v>
      </c>
      <c r="P152" s="205">
        <f ca="1" t="shared" si="144"/>
        <v>1</v>
      </c>
      <c r="Q152" s="205">
        <f ca="1" t="shared" si="145"/>
        <v>1</v>
      </c>
    </row>
    <row r="153" ht="24" customHeight="1" spans="1:17">
      <c r="A153" s="99" t="s">
        <v>289</v>
      </c>
      <c r="B153" s="99" t="s">
        <v>299</v>
      </c>
      <c r="C153" s="99" t="s">
        <v>316</v>
      </c>
      <c r="D153" s="48" t="s">
        <v>298</v>
      </c>
      <c r="E153" s="48" t="s">
        <v>83</v>
      </c>
      <c r="F153" s="205">
        <f ca="1" t="shared" si="134"/>
        <v>1</v>
      </c>
      <c r="G153" s="205">
        <f ca="1" t="shared" si="135"/>
        <v>1</v>
      </c>
      <c r="H153" s="205">
        <f ca="1" t="shared" si="136"/>
        <v>1</v>
      </c>
      <c r="I153" s="205">
        <f ca="1" t="shared" si="137"/>
        <v>1</v>
      </c>
      <c r="J153" s="205">
        <f ca="1" t="shared" si="138"/>
        <v>2</v>
      </c>
      <c r="K153" s="205">
        <f ca="1" t="shared" si="139"/>
        <v>2</v>
      </c>
      <c r="L153" s="205">
        <f ca="1" t="shared" si="140"/>
        <v>2</v>
      </c>
      <c r="M153" s="205">
        <f ca="1" t="shared" si="141"/>
        <v>2</v>
      </c>
      <c r="N153" s="205">
        <f ca="1" t="shared" si="142"/>
        <v>2</v>
      </c>
      <c r="O153" s="205">
        <f ca="1" t="shared" si="143"/>
        <v>3</v>
      </c>
      <c r="P153" s="205">
        <f ca="1" t="shared" si="144"/>
        <v>4</v>
      </c>
      <c r="Q153" s="205">
        <f ca="1" t="shared" si="145"/>
        <v>4</v>
      </c>
    </row>
    <row r="154" ht="24" customHeight="1" spans="1:17">
      <c r="A154" s="99" t="s">
        <v>289</v>
      </c>
      <c r="B154" s="99" t="s">
        <v>299</v>
      </c>
      <c r="C154" s="99" t="s">
        <v>316</v>
      </c>
      <c r="D154" s="48" t="s">
        <v>325</v>
      </c>
      <c r="E154" s="48" t="s">
        <v>97</v>
      </c>
      <c r="F154" s="112">
        <f ca="1" t="shared" ref="F154:Q154" si="146">IFERROR(F150/F149," ")</f>
        <v>0.333333333333333</v>
      </c>
      <c r="G154" s="112">
        <f ca="1" t="shared" si="146"/>
        <v>0.5</v>
      </c>
      <c r="H154" s="112">
        <f ca="1" t="shared" si="146"/>
        <v>0.4</v>
      </c>
      <c r="I154" s="112">
        <f ca="1" t="shared" si="146"/>
        <v>0.333333333333333</v>
      </c>
      <c r="J154" s="112">
        <f ca="1" t="shared" si="146"/>
        <v>0.307692307692308</v>
      </c>
      <c r="K154" s="112">
        <f ca="1" t="shared" si="146"/>
        <v>0.266666666666667</v>
      </c>
      <c r="L154" s="112">
        <f ca="1" t="shared" si="146"/>
        <v>0.2</v>
      </c>
      <c r="M154" s="112">
        <f ca="1" t="shared" si="146"/>
        <v>0.217391304347826</v>
      </c>
      <c r="N154" s="112">
        <f ca="1" t="shared" si="146"/>
        <v>0.185185185185185</v>
      </c>
      <c r="O154" s="112">
        <f ca="1" t="shared" si="146"/>
        <v>0.178571428571429</v>
      </c>
      <c r="P154" s="112">
        <f ca="1" t="shared" si="146"/>
        <v>0.176470588235294</v>
      </c>
      <c r="Q154" s="112">
        <f ca="1" t="shared" si="146"/>
        <v>0.222222222222222</v>
      </c>
    </row>
    <row r="155" ht="24" customHeight="1" spans="1:17">
      <c r="A155" s="99" t="s">
        <v>289</v>
      </c>
      <c r="B155" s="99" t="s">
        <v>299</v>
      </c>
      <c r="C155" s="99" t="s">
        <v>316</v>
      </c>
      <c r="D155" s="48" t="s">
        <v>325</v>
      </c>
      <c r="E155" s="48" t="s">
        <v>87</v>
      </c>
      <c r="F155" s="112">
        <f ca="1" t="shared" ref="F155:Q155" si="147">IFERROR(F151/F149," ")</f>
        <v>0.333333333333333</v>
      </c>
      <c r="G155" s="112">
        <f ca="1" t="shared" si="147"/>
        <v>0.25</v>
      </c>
      <c r="H155" s="112">
        <f ca="1" t="shared" si="147"/>
        <v>0.4</v>
      </c>
      <c r="I155" s="112">
        <f ca="1" t="shared" si="147"/>
        <v>0.555555555555556</v>
      </c>
      <c r="J155" s="112">
        <f ca="1" t="shared" si="147"/>
        <v>0.538461538461538</v>
      </c>
      <c r="K155" s="112">
        <f ca="1" t="shared" si="147"/>
        <v>0.533333333333333</v>
      </c>
      <c r="L155" s="112">
        <f ca="1" t="shared" si="147"/>
        <v>0.65</v>
      </c>
      <c r="M155" s="112">
        <f ca="1" t="shared" si="147"/>
        <v>0.652173913043478</v>
      </c>
      <c r="N155" s="112">
        <f ca="1" t="shared" si="147"/>
        <v>0.703703703703704</v>
      </c>
      <c r="O155" s="112">
        <f ca="1" t="shared" si="147"/>
        <v>0.678571428571429</v>
      </c>
      <c r="P155" s="112">
        <f ca="1" t="shared" si="147"/>
        <v>0.676470588235294</v>
      </c>
      <c r="Q155" s="112">
        <f ca="1" t="shared" si="147"/>
        <v>0.638888888888889</v>
      </c>
    </row>
    <row r="156" ht="24" customHeight="1" spans="1:17">
      <c r="A156" s="99" t="s">
        <v>289</v>
      </c>
      <c r="B156" s="99" t="s">
        <v>299</v>
      </c>
      <c r="C156" s="99" t="s">
        <v>316</v>
      </c>
      <c r="D156" s="48" t="s">
        <v>325</v>
      </c>
      <c r="E156" s="48" t="s">
        <v>149</v>
      </c>
      <c r="F156" s="112">
        <f ca="1" t="shared" ref="F156:Q156" si="148">IFERROR(F152/F148," ")</f>
        <v>0</v>
      </c>
      <c r="G156" s="112">
        <f ca="1" t="shared" si="148"/>
        <v>0</v>
      </c>
      <c r="H156" s="112">
        <f ca="1" t="shared" si="148"/>
        <v>0</v>
      </c>
      <c r="I156" s="112">
        <f ca="1" t="shared" si="148"/>
        <v>0</v>
      </c>
      <c r="J156" s="112">
        <f ca="1" t="shared" si="148"/>
        <v>0</v>
      </c>
      <c r="K156" s="112">
        <f ca="1" t="shared" si="148"/>
        <v>5.66666666666667</v>
      </c>
      <c r="L156" s="112">
        <f ca="1" t="shared" si="148"/>
        <v>3.66666666666667</v>
      </c>
      <c r="M156" s="112">
        <f ca="1" t="shared" si="148"/>
        <v>3.71428571428571</v>
      </c>
      <c r="N156" s="112">
        <f ca="1" t="shared" si="148"/>
        <v>4.28571428571429</v>
      </c>
      <c r="O156" s="112">
        <f ca="1" t="shared" si="148"/>
        <v>4.42857142857143</v>
      </c>
      <c r="P156" s="112">
        <f ca="1" t="shared" si="148"/>
        <v>4.5</v>
      </c>
      <c r="Q156" s="112">
        <f ca="1" t="shared" si="148"/>
        <v>3.9</v>
      </c>
    </row>
    <row r="157" ht="24" customHeight="1" spans="1:17">
      <c r="A157" s="99" t="s">
        <v>289</v>
      </c>
      <c r="B157" s="99" t="s">
        <v>299</v>
      </c>
      <c r="C157" s="99" t="s">
        <v>316</v>
      </c>
      <c r="D157" s="48" t="s">
        <v>325</v>
      </c>
      <c r="E157" s="48" t="s">
        <v>83</v>
      </c>
      <c r="F157" s="112">
        <f ca="1" t="shared" ref="F157:Q157" si="149">IFERROR(F153/F149," ")</f>
        <v>0.333333333333333</v>
      </c>
      <c r="G157" s="112">
        <f ca="1" t="shared" si="149"/>
        <v>0.25</v>
      </c>
      <c r="H157" s="112">
        <f ca="1" t="shared" si="149"/>
        <v>0.2</v>
      </c>
      <c r="I157" s="112">
        <f ca="1" t="shared" si="149"/>
        <v>0.111111111111111</v>
      </c>
      <c r="J157" s="112">
        <f ca="1" t="shared" si="149"/>
        <v>0.153846153846154</v>
      </c>
      <c r="K157" s="112">
        <f ca="1" t="shared" si="149"/>
        <v>0.133333333333333</v>
      </c>
      <c r="L157" s="112">
        <f ca="1" t="shared" si="149"/>
        <v>0.1</v>
      </c>
      <c r="M157" s="112">
        <f ca="1" t="shared" si="149"/>
        <v>0.0869565217391304</v>
      </c>
      <c r="N157" s="112">
        <f ca="1" t="shared" si="149"/>
        <v>0.0740740740740741</v>
      </c>
      <c r="O157" s="112">
        <f ca="1" t="shared" si="149"/>
        <v>0.107142857142857</v>
      </c>
      <c r="P157" s="112">
        <f ca="1" t="shared" si="149"/>
        <v>0.117647058823529</v>
      </c>
      <c r="Q157" s="112">
        <f ca="1" t="shared" si="149"/>
        <v>0.111111111111111</v>
      </c>
    </row>
    <row r="158" ht="24" customHeight="1" spans="1:17">
      <c r="A158" s="99" t="s">
        <v>289</v>
      </c>
      <c r="B158" s="99" t="s">
        <v>299</v>
      </c>
      <c r="C158" s="99" t="s">
        <v>316</v>
      </c>
      <c r="D158" s="100" t="s">
        <v>292</v>
      </c>
      <c r="E158" s="53" t="s">
        <v>326</v>
      </c>
      <c r="F158" s="210">
        <f ca="1">IF($S$1&lt;DATE(2025,1,1)," ",IF((F37-F161-F162-F163-F164-F165)&lt;&gt;0,"ERR",F37))</f>
        <v>4</v>
      </c>
      <c r="G158" s="210">
        <f ca="1">IF($S$1&lt;DATE(2025,2,1)," ",IF((G37+F158-G161-G162-G163-G164-G165)&lt;&gt;0,"ERR",G37+F158))</f>
        <v>5</v>
      </c>
      <c r="H158" s="210">
        <f ca="1">IF($S$1&lt;DATE(2025,3,1)," ",IF((H37+G158-H161-H162-H163-H164-H165)&lt;&gt;0,"ERR",H37+G158))</f>
        <v>5</v>
      </c>
      <c r="I158" s="210">
        <f ca="1">IF($S$1&lt;DATE(2025,4,1)," ",IF((I37+H158-I161-I162-I163-I164-I165)&lt;&gt;0,"ERR",I37+H158))</f>
        <v>8</v>
      </c>
      <c r="J158" s="210">
        <f ca="1">IF($S$1&lt;DATE(2025,5,1)," ",IF((J37+I158-J161-J162-J163-J164-J165)&lt;&gt;0,"ERR",J37+I158))</f>
        <v>10</v>
      </c>
      <c r="K158" s="210">
        <f ca="1">IF($S$1&lt;DATE(2025,6,1)," ",IF((K37+J158-K161-K162-K163-K164-K165)&lt;&gt;0,"ERR",K37+J158))</f>
        <v>11</v>
      </c>
      <c r="L158" s="210">
        <f ca="1">IF($S$1&lt;DATE(2025,7,1)," ",IF((L37+K158-L161-L162-L163-L164-L165)&lt;&gt;0,"ERR",L37+K158))</f>
        <v>16</v>
      </c>
      <c r="M158" s="210">
        <f ca="1">IF($S$1&lt;DATE(2025,8,1)," ",IF((M37+L158-M161-M162-M163-M164-M165)&lt;&gt;0,"ERR",M37+L158))</f>
        <v>19</v>
      </c>
      <c r="N158" s="210">
        <f ca="1">IF($S$1&lt;DATE(2025,9,1)," ",IF((N37+M158-N161-N162-N163-N164-N165)&lt;&gt;0,"ERR",N37+M158))</f>
        <v>21</v>
      </c>
      <c r="O158" s="210">
        <f ca="1">IF($S$1&lt;DATE(2025,10,1)," ",IF((O37+N158-O161-O162-O163-O164-O165)&lt;&gt;0,"ERR",O37+N158))</f>
        <v>21</v>
      </c>
      <c r="P158" s="210">
        <f ca="1">IF($S$1&lt;DATE(2025,11,1)," ",IF((P37+O158-P161-P162-P163-P164-P165)&lt;&gt;0,"ERR",P37+O158))</f>
        <v>27</v>
      </c>
      <c r="Q158" s="210">
        <f ca="1">IF($S$1&lt;DATE(2025,12,1)," ",IF((Q37+P158-Q161-Q162-Q163-Q164-Q165)&lt;&gt;0,"ERR",Q37+P158))</f>
        <v>30</v>
      </c>
    </row>
    <row r="159" ht="24" customHeight="1" spans="1:17">
      <c r="A159" s="99" t="s">
        <v>289</v>
      </c>
      <c r="B159" s="99" t="s">
        <v>299</v>
      </c>
      <c r="C159" s="99" t="s">
        <v>316</v>
      </c>
      <c r="D159" s="100" t="s">
        <v>292</v>
      </c>
      <c r="E159" s="53" t="s">
        <v>327</v>
      </c>
      <c r="F159" s="210">
        <f ca="1">IF($S$1&lt;DATE(2025,1,1)," ",IF((F38-F166-F167-F168-F169-F170)&lt;&gt;0,"ERR",F38))</f>
        <v>0</v>
      </c>
      <c r="G159" s="210">
        <f ca="1">IF($S$1&lt;DATE(2025,2,1)," ",IF((G38+F159-G166-G167-G168-G169-G170)&lt;&gt;0,"ERR",G38+F159))</f>
        <v>1</v>
      </c>
      <c r="H159" s="210">
        <f ca="1">IF($S$1&lt;DATE(2025,3,1)," ",IF((H38+G159-H166-H167-H168-H169-H170)&lt;&gt;0,"ERR",H38+G159))</f>
        <v>2</v>
      </c>
      <c r="I159" s="210">
        <f ca="1">IF($S$1&lt;DATE(2025,4,1)," ",IF((I38+H159-I166-I167-I168-I169-I170)&lt;&gt;0,"ERR",I38+H159))</f>
        <v>4</v>
      </c>
      <c r="J159" s="210">
        <f ca="1">IF($S$1&lt;DATE(2025,5,1)," ",IF((J38+I159-J166-J167-J168-J169-J170)&lt;&gt;0,"ERR",J38+I159))</f>
        <v>7</v>
      </c>
      <c r="K159" s="210">
        <f ca="1">IF($S$1&lt;DATE(2025,6,1)," ",IF((K38+J159-K166-K167-K168-K169-K170)&lt;&gt;0,"ERR",K38+J159))</f>
        <v>8</v>
      </c>
      <c r="L159" s="210">
        <f ca="1">IF($S$1&lt;DATE(2025,7,1)," ",IF((L38+K159-SUM(L166:L170))&lt;&gt;0,"ERR",L38+K159))</f>
        <v>9</v>
      </c>
      <c r="M159" s="210">
        <f ca="1">IF($S$1&lt;DATE(2025,8,1)," ",IF((M38+L159-M166-M167-M168-M169-M170)&lt;&gt;0,"ERR",M38+L159))</f>
        <v>10</v>
      </c>
      <c r="N159" s="210">
        <f ca="1">IF($S$1&lt;DATE(2025,9,1)," ",IF((N38+M159-N166-N167-N168-N169-N170)&lt;&gt;0,"ERR",N38+M159))</f>
        <v>12</v>
      </c>
      <c r="O159" s="210">
        <f ca="1">IF($S$1&lt;DATE(2025,10,1)," ",IF((O38+N159-O166-O167-O168-O169-O170)&lt;&gt;0,"ERR",O38+N159))</f>
        <v>13</v>
      </c>
      <c r="P159" s="210">
        <f ca="1">IF($S$1&lt;DATE(2025,11,1)," ",IF((P38+O159-P166-P167-P168-P169-P170)&lt;&gt;0,"ERR",P38+O159))</f>
        <v>13</v>
      </c>
      <c r="Q159" s="210">
        <f ca="1">IF($S$1&lt;DATE(2025,12,1)," ",IF((Q38+P159-Q166-Q167-Q168-Q169-Q170)&lt;&gt;0,"ERR",Q38+P159))</f>
        <v>13</v>
      </c>
    </row>
    <row r="160" ht="24" customHeight="1" spans="1:17">
      <c r="A160" s="99" t="s">
        <v>289</v>
      </c>
      <c r="B160" s="99" t="s">
        <v>299</v>
      </c>
      <c r="C160" s="99" t="s">
        <v>316</v>
      </c>
      <c r="D160" s="100" t="s">
        <v>292</v>
      </c>
      <c r="E160" s="53" t="s">
        <v>328</v>
      </c>
      <c r="F160" s="210">
        <f ca="1">IF($S$1&lt;DATE(2025,1,1)," ",IF((F39-F171-F172-F173-F174-F175)&lt;&gt;0,"ERR",F39))</f>
        <v>0</v>
      </c>
      <c r="G160" s="210">
        <f ca="1">IF($S$1&lt;DATE(2025,2,1)," ",IF((G39+F160-G171-G172-G173-G174-G175)&lt;&gt;0,"ERR",G39+F160))</f>
        <v>0</v>
      </c>
      <c r="H160" s="210">
        <f ca="1">IF($S$1&lt;DATE(2025,3,1)," ",IF((H39+G160-H171-H172-H173-H174-H175)&lt;&gt;0,"ERR",H39+G160))</f>
        <v>0</v>
      </c>
      <c r="I160" s="210">
        <f ca="1">IF($S$1&lt;DATE(2025,4,1)," ",IF((I39+H160-I171-I172-I173-I174-I175)&lt;&gt;0,"ERR",I39+H160))</f>
        <v>0</v>
      </c>
      <c r="J160" s="210">
        <f ca="1">IF($S$1&lt;DATE(2025,5,1)," ",IF((J39+I160-J171-J172-J173-J174-J175)&lt;&gt;0,"ERR",J39+I160))</f>
        <v>0</v>
      </c>
      <c r="K160" s="210">
        <f ca="1">IF($S$1&lt;DATE(2025,6,1)," ",IF((K39+J160-K171-K172-K173-K174-K175)&lt;&gt;0,"ERR",K39+J160))</f>
        <v>0</v>
      </c>
      <c r="L160" s="210">
        <f ca="1">IF($S$1&lt;DATE(2025,7,1)," ",IF((L39+K160-L171-L172-L173-L174-L175)&lt;&gt;0,"ERR",L39+K160))</f>
        <v>0</v>
      </c>
      <c r="M160" s="210">
        <f ca="1">IF($S$1&lt;DATE(2025,8,1)," ",IF((M39+L160-M171-M172-M173-M174-M175)&lt;&gt;0,"ERR",M39+L160))</f>
        <v>0</v>
      </c>
      <c r="N160" s="210">
        <f ca="1">IF($S$1&lt;DATE(2025,9,1)," ",IF((N39+M160-N171-N172-N173-N174-N175)&lt;&gt;0,"ERR",N39+M160))</f>
        <v>0</v>
      </c>
      <c r="O160" s="210">
        <f ca="1">IF($S$1&lt;DATE(2025,10,1)," ",IF((O39+N160-O171-O172-O173-O174-O175)&lt;&gt;0,"ERR",O39+N160))</f>
        <v>0</v>
      </c>
      <c r="P160" s="210">
        <f ca="1">IF($S$1&lt;DATE(2025,11,1)," ",IF((P39+O160-P171-P172-P173-P174-P175)&lt;&gt;0,"ERR",P39+O160))</f>
        <v>0</v>
      </c>
      <c r="Q160" s="210">
        <f ca="1">IF($S$1&lt;DATE(2025,12,1)," ",IF((Q39+P160-Q171-Q172-Q173-Q174-Q175)&lt;&gt;0,"ERR",Q39+P160))</f>
        <v>0</v>
      </c>
    </row>
    <row r="161" ht="24" customHeight="1" spans="1:17">
      <c r="A161" s="99" t="s">
        <v>289</v>
      </c>
      <c r="B161" s="99" t="s">
        <v>299</v>
      </c>
      <c r="C161" s="99" t="s">
        <v>316</v>
      </c>
      <c r="D161" s="53" t="s">
        <v>326</v>
      </c>
      <c r="E161" s="53" t="s">
        <v>93</v>
      </c>
      <c r="F161" s="210">
        <f ca="1" t="shared" ref="F161:F175" si="150">IF($S$1&lt;DATE(2025,1,1)," ",F40)</f>
        <v>4</v>
      </c>
      <c r="G161" s="210">
        <f ca="1" t="shared" ref="G161:G175" si="151">IF($S$1&lt;DATE(2025,2,1)," ",G40+F161)</f>
        <v>4</v>
      </c>
      <c r="H161" s="210">
        <f ca="1" t="shared" ref="H161:H175" si="152">IF($S$1&lt;DATE(2025,3,1)," ",H40+G161)</f>
        <v>4</v>
      </c>
      <c r="I161" s="210">
        <f ca="1" t="shared" ref="I161:I175" si="153">IF($S$1&lt;DATE(2025,4,1)," ",I40+H161)</f>
        <v>4</v>
      </c>
      <c r="J161" s="210">
        <f ca="1" t="shared" ref="J161:J175" si="154">IF($S$1&lt;DATE(2025,5,1)," ",J40+I161)</f>
        <v>4</v>
      </c>
      <c r="K161" s="210">
        <f ca="1" t="shared" ref="K161:K175" si="155">IF($S$1&lt;DATE(2025,6,1)," ",K40+J161)</f>
        <v>5</v>
      </c>
      <c r="L161" s="210">
        <f ca="1" t="shared" ref="L161:L175" si="156">IF($S$1&lt;DATE(2025,7,1)," ",L40+K161)</f>
        <v>6</v>
      </c>
      <c r="M161" s="210">
        <f ca="1" t="shared" ref="M161:M175" si="157">IF($S$1&lt;DATE(2025,8,1)," ",M40+L161)</f>
        <v>8</v>
      </c>
      <c r="N161" s="210">
        <f ca="1" t="shared" ref="N161:N175" si="158">IF($S$1&lt;DATE(2025,9,1)," ",N40+M161)</f>
        <v>9</v>
      </c>
      <c r="O161" s="210">
        <f ca="1" t="shared" ref="O161:O175" si="159">IF($S$1&lt;DATE(2025,10,1)," ",O40+N161)</f>
        <v>9</v>
      </c>
      <c r="P161" s="210">
        <f ca="1" t="shared" ref="P161:P175" si="160">IF($S$1&lt;DATE(2025,11,1)," ",P40+O161)</f>
        <v>11</v>
      </c>
      <c r="Q161" s="210">
        <f ca="1" t="shared" ref="Q161:Q175" si="161">IF($S$1&lt;DATE(2025,12,1)," ",Q40+P161)</f>
        <v>11</v>
      </c>
    </row>
    <row r="162" ht="24" customHeight="1" spans="1:17">
      <c r="A162" s="99" t="s">
        <v>289</v>
      </c>
      <c r="B162" s="99" t="s">
        <v>299</v>
      </c>
      <c r="C162" s="99" t="s">
        <v>316</v>
      </c>
      <c r="D162" s="53" t="s">
        <v>326</v>
      </c>
      <c r="E162" s="53" t="s">
        <v>85</v>
      </c>
      <c r="F162" s="210">
        <f ca="1" t="shared" si="150"/>
        <v>0</v>
      </c>
      <c r="G162" s="210">
        <f ca="1" t="shared" si="151"/>
        <v>0</v>
      </c>
      <c r="H162" s="210">
        <f ca="1" t="shared" si="152"/>
        <v>0</v>
      </c>
      <c r="I162" s="210">
        <f ca="1" t="shared" si="153"/>
        <v>2</v>
      </c>
      <c r="J162" s="210">
        <f ca="1" t="shared" si="154"/>
        <v>3</v>
      </c>
      <c r="K162" s="210">
        <f ca="1" t="shared" si="155"/>
        <v>3</v>
      </c>
      <c r="L162" s="210">
        <f ca="1" t="shared" si="156"/>
        <v>7</v>
      </c>
      <c r="M162" s="210">
        <f ca="1" t="shared" si="157"/>
        <v>8</v>
      </c>
      <c r="N162" s="210">
        <f ca="1" t="shared" si="158"/>
        <v>8</v>
      </c>
      <c r="O162" s="210">
        <f ca="1" t="shared" si="159"/>
        <v>8</v>
      </c>
      <c r="P162" s="210">
        <f ca="1" t="shared" si="160"/>
        <v>10</v>
      </c>
      <c r="Q162" s="210">
        <f ca="1" t="shared" si="161"/>
        <v>13</v>
      </c>
    </row>
    <row r="163" ht="24" customHeight="1" spans="1:17">
      <c r="A163" s="99" t="s">
        <v>289</v>
      </c>
      <c r="B163" s="99" t="s">
        <v>299</v>
      </c>
      <c r="C163" s="99" t="s">
        <v>316</v>
      </c>
      <c r="D163" s="53" t="s">
        <v>326</v>
      </c>
      <c r="E163" s="53" t="s">
        <v>81</v>
      </c>
      <c r="F163" s="210">
        <f ca="1" t="shared" si="150"/>
        <v>0</v>
      </c>
      <c r="G163" s="210">
        <f ca="1" t="shared" si="151"/>
        <v>0</v>
      </c>
      <c r="H163" s="210">
        <f ca="1" t="shared" si="152"/>
        <v>0</v>
      </c>
      <c r="I163" s="210">
        <f ca="1" t="shared" si="153"/>
        <v>1</v>
      </c>
      <c r="J163" s="210">
        <f ca="1" t="shared" si="154"/>
        <v>2</v>
      </c>
      <c r="K163" s="210">
        <f ca="1" t="shared" si="155"/>
        <v>2</v>
      </c>
      <c r="L163" s="210">
        <f ca="1" t="shared" si="156"/>
        <v>2</v>
      </c>
      <c r="M163" s="210">
        <f ca="1" t="shared" si="157"/>
        <v>2</v>
      </c>
      <c r="N163" s="210">
        <f ca="1" t="shared" si="158"/>
        <v>3</v>
      </c>
      <c r="O163" s="210">
        <f ca="1" t="shared" si="159"/>
        <v>3</v>
      </c>
      <c r="P163" s="210">
        <f ca="1" t="shared" si="160"/>
        <v>5</v>
      </c>
      <c r="Q163" s="210">
        <f ca="1" t="shared" si="161"/>
        <v>5</v>
      </c>
    </row>
    <row r="164" ht="24" customHeight="1" spans="1:17">
      <c r="A164" s="99" t="s">
        <v>289</v>
      </c>
      <c r="B164" s="99" t="s">
        <v>299</v>
      </c>
      <c r="C164" s="99" t="s">
        <v>316</v>
      </c>
      <c r="D164" s="53" t="s">
        <v>326</v>
      </c>
      <c r="E164" s="53" t="s">
        <v>96</v>
      </c>
      <c r="F164" s="210">
        <f ca="1" t="shared" si="150"/>
        <v>0</v>
      </c>
      <c r="G164" s="210">
        <f ca="1" t="shared" si="151"/>
        <v>1</v>
      </c>
      <c r="H164" s="210">
        <f ca="1" t="shared" si="152"/>
        <v>1</v>
      </c>
      <c r="I164" s="210">
        <f ca="1" t="shared" si="153"/>
        <v>1</v>
      </c>
      <c r="J164" s="210">
        <f ca="1" t="shared" si="154"/>
        <v>1</v>
      </c>
      <c r="K164" s="210">
        <f ca="1" t="shared" si="155"/>
        <v>1</v>
      </c>
      <c r="L164" s="210">
        <f ca="1" t="shared" si="156"/>
        <v>1</v>
      </c>
      <c r="M164" s="210">
        <f ca="1" t="shared" si="157"/>
        <v>1</v>
      </c>
      <c r="N164" s="210">
        <f ca="1" t="shared" si="158"/>
        <v>1</v>
      </c>
      <c r="O164" s="210">
        <f ca="1" t="shared" si="159"/>
        <v>1</v>
      </c>
      <c r="P164" s="210">
        <f ca="1" t="shared" si="160"/>
        <v>1</v>
      </c>
      <c r="Q164" s="210">
        <f ca="1" t="shared" si="161"/>
        <v>1</v>
      </c>
    </row>
    <row r="165" ht="24" customHeight="1" spans="1:17">
      <c r="A165" s="99" t="s">
        <v>289</v>
      </c>
      <c r="B165" s="99" t="s">
        <v>299</v>
      </c>
      <c r="C165" s="99" t="s">
        <v>316</v>
      </c>
      <c r="D165" s="53" t="s">
        <v>326</v>
      </c>
      <c r="E165" s="53" t="s">
        <v>160</v>
      </c>
      <c r="F165" s="210">
        <f ca="1" t="shared" si="150"/>
        <v>0</v>
      </c>
      <c r="G165" s="210">
        <f ca="1" t="shared" si="151"/>
        <v>0</v>
      </c>
      <c r="H165" s="210">
        <f ca="1" t="shared" si="152"/>
        <v>0</v>
      </c>
      <c r="I165" s="210">
        <f ca="1" t="shared" si="153"/>
        <v>0</v>
      </c>
      <c r="J165" s="210">
        <f ca="1" t="shared" si="154"/>
        <v>0</v>
      </c>
      <c r="K165" s="210">
        <f ca="1" t="shared" si="155"/>
        <v>0</v>
      </c>
      <c r="L165" s="210">
        <f ca="1" t="shared" si="156"/>
        <v>0</v>
      </c>
      <c r="M165" s="210">
        <f ca="1" t="shared" si="157"/>
        <v>0</v>
      </c>
      <c r="N165" s="210">
        <f ca="1" t="shared" si="158"/>
        <v>0</v>
      </c>
      <c r="O165" s="210">
        <f ca="1" t="shared" si="159"/>
        <v>0</v>
      </c>
      <c r="P165" s="210">
        <f ca="1" t="shared" si="160"/>
        <v>0</v>
      </c>
      <c r="Q165" s="210">
        <f ca="1" t="shared" si="161"/>
        <v>0</v>
      </c>
    </row>
    <row r="166" ht="24" customHeight="1" spans="1:17">
      <c r="A166" s="99" t="s">
        <v>289</v>
      </c>
      <c r="B166" s="99" t="s">
        <v>299</v>
      </c>
      <c r="C166" s="99" t="s">
        <v>316</v>
      </c>
      <c r="D166" s="53" t="s">
        <v>327</v>
      </c>
      <c r="E166" s="53" t="s">
        <v>93</v>
      </c>
      <c r="F166" s="210">
        <f ca="1" t="shared" si="150"/>
        <v>0</v>
      </c>
      <c r="G166" s="210">
        <f ca="1" t="shared" si="151"/>
        <v>0</v>
      </c>
      <c r="H166" s="210">
        <f ca="1" t="shared" si="152"/>
        <v>0</v>
      </c>
      <c r="I166" s="210">
        <f ca="1" t="shared" si="153"/>
        <v>2</v>
      </c>
      <c r="J166" s="210">
        <f ca="1" t="shared" si="154"/>
        <v>3</v>
      </c>
      <c r="K166" s="210">
        <f ca="1" t="shared" si="155"/>
        <v>3</v>
      </c>
      <c r="L166" s="210">
        <f ca="1" t="shared" si="156"/>
        <v>3</v>
      </c>
      <c r="M166" s="210">
        <f ca="1" t="shared" si="157"/>
        <v>3</v>
      </c>
      <c r="N166" s="210">
        <f ca="1" t="shared" si="158"/>
        <v>4</v>
      </c>
      <c r="O166" s="210">
        <f ca="1" t="shared" si="159"/>
        <v>5</v>
      </c>
      <c r="P166" s="210">
        <f ca="1" t="shared" si="160"/>
        <v>5</v>
      </c>
      <c r="Q166" s="210">
        <f ca="1" t="shared" si="161"/>
        <v>5</v>
      </c>
    </row>
    <row r="167" ht="24" customHeight="1" spans="1:17">
      <c r="A167" s="99" t="s">
        <v>289</v>
      </c>
      <c r="B167" s="99" t="s">
        <v>299</v>
      </c>
      <c r="C167" s="99" t="s">
        <v>316</v>
      </c>
      <c r="D167" s="53" t="s">
        <v>327</v>
      </c>
      <c r="E167" s="53" t="s">
        <v>85</v>
      </c>
      <c r="F167" s="210">
        <f ca="1" t="shared" si="150"/>
        <v>0</v>
      </c>
      <c r="G167" s="210">
        <f ca="1" t="shared" si="151"/>
        <v>1</v>
      </c>
      <c r="H167" s="210">
        <f ca="1" t="shared" si="152"/>
        <v>2</v>
      </c>
      <c r="I167" s="210">
        <f ca="1" t="shared" si="153"/>
        <v>2</v>
      </c>
      <c r="J167" s="210">
        <f ca="1" t="shared" si="154"/>
        <v>3</v>
      </c>
      <c r="K167" s="210">
        <f ca="1" t="shared" si="155"/>
        <v>4</v>
      </c>
      <c r="L167" s="210">
        <f ca="1" t="shared" si="156"/>
        <v>5</v>
      </c>
      <c r="M167" s="210">
        <f ca="1" t="shared" si="157"/>
        <v>5</v>
      </c>
      <c r="N167" s="210">
        <f ca="1" t="shared" si="158"/>
        <v>6</v>
      </c>
      <c r="O167" s="210">
        <f ca="1" t="shared" si="159"/>
        <v>6</v>
      </c>
      <c r="P167" s="210">
        <f ca="1" t="shared" si="160"/>
        <v>6</v>
      </c>
      <c r="Q167" s="210">
        <f ca="1" t="shared" si="161"/>
        <v>6</v>
      </c>
    </row>
    <row r="168" ht="24" customHeight="1" spans="1:17">
      <c r="A168" s="99" t="s">
        <v>289</v>
      </c>
      <c r="B168" s="99" t="s">
        <v>299</v>
      </c>
      <c r="C168" s="99" t="s">
        <v>316</v>
      </c>
      <c r="D168" s="53" t="s">
        <v>327</v>
      </c>
      <c r="E168" s="53" t="s">
        <v>81</v>
      </c>
      <c r="F168" s="210">
        <f ca="1" t="shared" si="150"/>
        <v>0</v>
      </c>
      <c r="G168" s="210">
        <f ca="1" t="shared" si="151"/>
        <v>0</v>
      </c>
      <c r="H168" s="210">
        <f ca="1" t="shared" si="152"/>
        <v>0</v>
      </c>
      <c r="I168" s="210">
        <f ca="1" t="shared" si="153"/>
        <v>0</v>
      </c>
      <c r="J168" s="210">
        <f ca="1" t="shared" si="154"/>
        <v>1</v>
      </c>
      <c r="K168" s="210">
        <f ca="1" t="shared" si="155"/>
        <v>1</v>
      </c>
      <c r="L168" s="210">
        <f ca="1" t="shared" si="156"/>
        <v>1</v>
      </c>
      <c r="M168" s="210">
        <f ca="1" t="shared" si="157"/>
        <v>2</v>
      </c>
      <c r="N168" s="210">
        <f ca="1" t="shared" si="158"/>
        <v>2</v>
      </c>
      <c r="O168" s="210">
        <f ca="1" t="shared" si="159"/>
        <v>2</v>
      </c>
      <c r="P168" s="210">
        <f ca="1" t="shared" si="160"/>
        <v>2</v>
      </c>
      <c r="Q168" s="210">
        <f ca="1" t="shared" si="161"/>
        <v>2</v>
      </c>
    </row>
    <row r="169" ht="24" customHeight="1" spans="1:17">
      <c r="A169" s="99" t="s">
        <v>289</v>
      </c>
      <c r="B169" s="99" t="s">
        <v>299</v>
      </c>
      <c r="C169" s="99" t="s">
        <v>316</v>
      </c>
      <c r="D169" s="53" t="s">
        <v>327</v>
      </c>
      <c r="E169" s="53" t="s">
        <v>96</v>
      </c>
      <c r="F169" s="210">
        <f ca="1" t="shared" si="150"/>
        <v>0</v>
      </c>
      <c r="G169" s="210">
        <f ca="1" t="shared" si="151"/>
        <v>0</v>
      </c>
      <c r="H169" s="210">
        <f ca="1" t="shared" si="152"/>
        <v>0</v>
      </c>
      <c r="I169" s="210">
        <f ca="1" t="shared" si="153"/>
        <v>0</v>
      </c>
      <c r="J169" s="210">
        <f ca="1" t="shared" si="154"/>
        <v>0</v>
      </c>
      <c r="K169" s="210">
        <f ca="1" t="shared" si="155"/>
        <v>0</v>
      </c>
      <c r="L169" s="210">
        <f ca="1" t="shared" si="156"/>
        <v>0</v>
      </c>
      <c r="M169" s="210">
        <f ca="1" t="shared" si="157"/>
        <v>0</v>
      </c>
      <c r="N169" s="210">
        <f ca="1" t="shared" si="158"/>
        <v>0</v>
      </c>
      <c r="O169" s="210">
        <f ca="1" t="shared" si="159"/>
        <v>0</v>
      </c>
      <c r="P169" s="210">
        <f ca="1" t="shared" si="160"/>
        <v>0</v>
      </c>
      <c r="Q169" s="210">
        <f ca="1" t="shared" si="161"/>
        <v>0</v>
      </c>
    </row>
    <row r="170" ht="24" customHeight="1" spans="1:17">
      <c r="A170" s="99" t="s">
        <v>289</v>
      </c>
      <c r="B170" s="99" t="s">
        <v>299</v>
      </c>
      <c r="C170" s="99" t="s">
        <v>316</v>
      </c>
      <c r="D170" s="53" t="s">
        <v>327</v>
      </c>
      <c r="E170" s="53" t="s">
        <v>160</v>
      </c>
      <c r="F170" s="210">
        <f ca="1" t="shared" si="150"/>
        <v>0</v>
      </c>
      <c r="G170" s="210">
        <f ca="1" t="shared" si="151"/>
        <v>0</v>
      </c>
      <c r="H170" s="210">
        <f ca="1" t="shared" si="152"/>
        <v>0</v>
      </c>
      <c r="I170" s="210">
        <f ca="1" t="shared" si="153"/>
        <v>0</v>
      </c>
      <c r="J170" s="210">
        <f ca="1" t="shared" si="154"/>
        <v>0</v>
      </c>
      <c r="K170" s="210">
        <f ca="1" t="shared" si="155"/>
        <v>0</v>
      </c>
      <c r="L170" s="210">
        <f ca="1" t="shared" si="156"/>
        <v>0</v>
      </c>
      <c r="M170" s="210">
        <f ca="1" t="shared" si="157"/>
        <v>0</v>
      </c>
      <c r="N170" s="210">
        <f ca="1" t="shared" si="158"/>
        <v>0</v>
      </c>
      <c r="O170" s="210">
        <f ca="1" t="shared" si="159"/>
        <v>0</v>
      </c>
      <c r="P170" s="210">
        <f ca="1" t="shared" si="160"/>
        <v>0</v>
      </c>
      <c r="Q170" s="210">
        <f ca="1" t="shared" si="161"/>
        <v>0</v>
      </c>
    </row>
    <row r="171" ht="24" customHeight="1" spans="1:17">
      <c r="A171" s="99" t="s">
        <v>289</v>
      </c>
      <c r="B171" s="99" t="s">
        <v>299</v>
      </c>
      <c r="C171" s="99" t="s">
        <v>316</v>
      </c>
      <c r="D171" s="53" t="s">
        <v>328</v>
      </c>
      <c r="E171" s="53" t="s">
        <v>93</v>
      </c>
      <c r="F171" s="210">
        <f ca="1" t="shared" si="150"/>
        <v>0</v>
      </c>
      <c r="G171" s="210">
        <f ca="1" t="shared" si="151"/>
        <v>0</v>
      </c>
      <c r="H171" s="210">
        <f ca="1" t="shared" si="152"/>
        <v>0</v>
      </c>
      <c r="I171" s="210">
        <f ca="1" t="shared" si="153"/>
        <v>0</v>
      </c>
      <c r="J171" s="210">
        <f ca="1" t="shared" si="154"/>
        <v>0</v>
      </c>
      <c r="K171" s="210">
        <f ca="1" t="shared" si="155"/>
        <v>0</v>
      </c>
      <c r="L171" s="210">
        <f ca="1" t="shared" si="156"/>
        <v>0</v>
      </c>
      <c r="M171" s="210">
        <f ca="1" t="shared" si="157"/>
        <v>0</v>
      </c>
      <c r="N171" s="210">
        <f ca="1" t="shared" si="158"/>
        <v>0</v>
      </c>
      <c r="O171" s="210">
        <f ca="1" t="shared" si="159"/>
        <v>0</v>
      </c>
      <c r="P171" s="210">
        <f ca="1" t="shared" si="160"/>
        <v>0</v>
      </c>
      <c r="Q171" s="210">
        <f ca="1" t="shared" si="161"/>
        <v>0</v>
      </c>
    </row>
    <row r="172" ht="24" customHeight="1" spans="1:17">
      <c r="A172" s="99" t="s">
        <v>289</v>
      </c>
      <c r="B172" s="99" t="s">
        <v>299</v>
      </c>
      <c r="C172" s="99" t="s">
        <v>316</v>
      </c>
      <c r="D172" s="53" t="s">
        <v>328</v>
      </c>
      <c r="E172" s="53" t="s">
        <v>85</v>
      </c>
      <c r="F172" s="210">
        <f ca="1" t="shared" si="150"/>
        <v>0</v>
      </c>
      <c r="G172" s="210">
        <f ca="1" t="shared" si="151"/>
        <v>0</v>
      </c>
      <c r="H172" s="210">
        <f ca="1" t="shared" si="152"/>
        <v>0</v>
      </c>
      <c r="I172" s="210">
        <f ca="1" t="shared" si="153"/>
        <v>0</v>
      </c>
      <c r="J172" s="210">
        <f ca="1" t="shared" si="154"/>
        <v>0</v>
      </c>
      <c r="K172" s="210">
        <f ca="1" t="shared" si="155"/>
        <v>0</v>
      </c>
      <c r="L172" s="210">
        <f ca="1" t="shared" si="156"/>
        <v>0</v>
      </c>
      <c r="M172" s="210">
        <f ca="1" t="shared" si="157"/>
        <v>0</v>
      </c>
      <c r="N172" s="210">
        <f ca="1" t="shared" si="158"/>
        <v>0</v>
      </c>
      <c r="O172" s="210">
        <f ca="1" t="shared" si="159"/>
        <v>0</v>
      </c>
      <c r="P172" s="210">
        <f ca="1" t="shared" si="160"/>
        <v>0</v>
      </c>
      <c r="Q172" s="210">
        <f ca="1" t="shared" si="161"/>
        <v>0</v>
      </c>
    </row>
    <row r="173" ht="24" customHeight="1" spans="1:17">
      <c r="A173" s="99" t="s">
        <v>289</v>
      </c>
      <c r="B173" s="99" t="s">
        <v>299</v>
      </c>
      <c r="C173" s="99" t="s">
        <v>316</v>
      </c>
      <c r="D173" s="53" t="s">
        <v>328</v>
      </c>
      <c r="E173" s="53" t="s">
        <v>81</v>
      </c>
      <c r="F173" s="210">
        <f ca="1" t="shared" si="150"/>
        <v>0</v>
      </c>
      <c r="G173" s="210">
        <f ca="1" t="shared" si="151"/>
        <v>0</v>
      </c>
      <c r="H173" s="210">
        <f ca="1" t="shared" si="152"/>
        <v>0</v>
      </c>
      <c r="I173" s="210">
        <f ca="1" t="shared" si="153"/>
        <v>0</v>
      </c>
      <c r="J173" s="210">
        <f ca="1" t="shared" si="154"/>
        <v>0</v>
      </c>
      <c r="K173" s="210">
        <f ca="1" t="shared" si="155"/>
        <v>0</v>
      </c>
      <c r="L173" s="210">
        <f ca="1" t="shared" si="156"/>
        <v>0</v>
      </c>
      <c r="M173" s="210">
        <f ca="1" t="shared" si="157"/>
        <v>0</v>
      </c>
      <c r="N173" s="210">
        <f ca="1" t="shared" si="158"/>
        <v>0</v>
      </c>
      <c r="O173" s="210">
        <f ca="1" t="shared" si="159"/>
        <v>0</v>
      </c>
      <c r="P173" s="210">
        <f ca="1" t="shared" si="160"/>
        <v>0</v>
      </c>
      <c r="Q173" s="210">
        <f ca="1" t="shared" si="161"/>
        <v>0</v>
      </c>
    </row>
    <row r="174" ht="24" customHeight="1" spans="1:17">
      <c r="A174" s="99" t="s">
        <v>289</v>
      </c>
      <c r="B174" s="99" t="s">
        <v>299</v>
      </c>
      <c r="C174" s="99" t="s">
        <v>316</v>
      </c>
      <c r="D174" s="53" t="s">
        <v>328</v>
      </c>
      <c r="E174" s="53" t="s">
        <v>96</v>
      </c>
      <c r="F174" s="210">
        <f ca="1" t="shared" si="150"/>
        <v>0</v>
      </c>
      <c r="G174" s="210">
        <f ca="1" t="shared" si="151"/>
        <v>0</v>
      </c>
      <c r="H174" s="210">
        <f ca="1" t="shared" si="152"/>
        <v>0</v>
      </c>
      <c r="I174" s="210">
        <f ca="1" t="shared" si="153"/>
        <v>0</v>
      </c>
      <c r="J174" s="210">
        <f ca="1" t="shared" si="154"/>
        <v>0</v>
      </c>
      <c r="K174" s="210">
        <f ca="1" t="shared" si="155"/>
        <v>0</v>
      </c>
      <c r="L174" s="210">
        <f ca="1" t="shared" si="156"/>
        <v>0</v>
      </c>
      <c r="M174" s="210">
        <f ca="1" t="shared" si="157"/>
        <v>0</v>
      </c>
      <c r="N174" s="210">
        <f ca="1" t="shared" si="158"/>
        <v>0</v>
      </c>
      <c r="O174" s="210">
        <f ca="1" t="shared" si="159"/>
        <v>0</v>
      </c>
      <c r="P174" s="210">
        <f ca="1" t="shared" si="160"/>
        <v>0</v>
      </c>
      <c r="Q174" s="210">
        <f ca="1" t="shared" si="161"/>
        <v>0</v>
      </c>
    </row>
    <row r="175" ht="24" customHeight="1" spans="1:17">
      <c r="A175" s="99" t="s">
        <v>289</v>
      </c>
      <c r="B175" s="99" t="s">
        <v>299</v>
      </c>
      <c r="C175" s="99" t="s">
        <v>316</v>
      </c>
      <c r="D175" s="53" t="s">
        <v>328</v>
      </c>
      <c r="E175" s="53" t="s">
        <v>160</v>
      </c>
      <c r="F175" s="210">
        <f ca="1" t="shared" si="150"/>
        <v>0</v>
      </c>
      <c r="G175" s="210">
        <f ca="1" t="shared" si="151"/>
        <v>0</v>
      </c>
      <c r="H175" s="210">
        <f ca="1" t="shared" si="152"/>
        <v>0</v>
      </c>
      <c r="I175" s="210">
        <f ca="1" t="shared" si="153"/>
        <v>0</v>
      </c>
      <c r="J175" s="210">
        <f ca="1" t="shared" si="154"/>
        <v>0</v>
      </c>
      <c r="K175" s="210">
        <f ca="1" t="shared" si="155"/>
        <v>0</v>
      </c>
      <c r="L175" s="210">
        <f ca="1" t="shared" si="156"/>
        <v>0</v>
      </c>
      <c r="M175" s="210">
        <f ca="1" t="shared" si="157"/>
        <v>0</v>
      </c>
      <c r="N175" s="210">
        <f ca="1" t="shared" si="158"/>
        <v>0</v>
      </c>
      <c r="O175" s="210">
        <f ca="1" t="shared" si="159"/>
        <v>0</v>
      </c>
      <c r="P175" s="210">
        <f ca="1" t="shared" si="160"/>
        <v>0</v>
      </c>
      <c r="Q175" s="210">
        <f ca="1" t="shared" si="161"/>
        <v>0</v>
      </c>
    </row>
    <row r="176" ht="24" customHeight="1" spans="1:17">
      <c r="A176" s="99" t="s">
        <v>289</v>
      </c>
      <c r="B176" s="99" t="s">
        <v>299</v>
      </c>
      <c r="C176" s="99" t="s">
        <v>329</v>
      </c>
      <c r="D176" s="113" t="s">
        <v>292</v>
      </c>
      <c r="E176" s="113" t="s">
        <v>330</v>
      </c>
      <c r="F176" s="115">
        <f ca="1" t="shared" ref="F176:Q176" si="162">IFERROR(IF(F100=" "," ",F122/F100)," ")</f>
        <v>0.666666666666667</v>
      </c>
      <c r="G176" s="115">
        <f ca="1" t="shared" si="162"/>
        <v>0.857142857142857</v>
      </c>
      <c r="H176" s="115">
        <f ca="1" t="shared" si="162"/>
        <v>0.636363636363636</v>
      </c>
      <c r="I176" s="115">
        <f ca="1" t="shared" si="162"/>
        <v>0.75</v>
      </c>
      <c r="J176" s="115">
        <f ca="1" t="shared" si="162"/>
        <v>1</v>
      </c>
      <c r="K176" s="115">
        <f ca="1" t="shared" si="162"/>
        <v>0.863636363636364</v>
      </c>
      <c r="L176" s="115">
        <f ca="1" t="shared" si="162"/>
        <v>0.892857142857143</v>
      </c>
      <c r="M176" s="115">
        <f ca="1" t="shared" si="162"/>
        <v>0.878787878787879</v>
      </c>
      <c r="N176" s="115">
        <f ca="1" t="shared" si="162"/>
        <v>0.868421052631579</v>
      </c>
      <c r="O176" s="115">
        <f ca="1" t="shared" si="162"/>
        <v>0.755555555555556</v>
      </c>
      <c r="P176" s="115">
        <f ca="1" t="shared" si="162"/>
        <v>0.754716981132076</v>
      </c>
      <c r="Q176" s="115">
        <f ca="1" t="shared" si="162"/>
        <v>0.767857142857143</v>
      </c>
    </row>
    <row r="177" ht="24" customHeight="1" spans="1:17">
      <c r="A177" s="99" t="s">
        <v>289</v>
      </c>
      <c r="B177" s="99" t="s">
        <v>299</v>
      </c>
      <c r="C177" s="99" t="s">
        <v>329</v>
      </c>
      <c r="D177" s="48" t="s">
        <v>296</v>
      </c>
      <c r="E177" s="116" t="s">
        <v>90</v>
      </c>
      <c r="F177" s="117" t="str">
        <f ca="1">IFERROR(IF(F101=" "," ",F123/F101),"")</f>
        <v/>
      </c>
      <c r="G177" s="117">
        <f ca="1" t="shared" ref="G177:Q177" si="163">IF(G101=" "," ",G123/G101)</f>
        <v>0</v>
      </c>
      <c r="H177" s="117">
        <f ca="1" t="shared" si="163"/>
        <v>0.5</v>
      </c>
      <c r="I177" s="117">
        <f ca="1" t="shared" si="163"/>
        <v>0.6</v>
      </c>
      <c r="J177" s="117">
        <f ca="1" t="shared" si="163"/>
        <v>1</v>
      </c>
      <c r="K177" s="117">
        <f ca="1" t="shared" si="163"/>
        <v>0.857142857142857</v>
      </c>
      <c r="L177" s="117">
        <f ca="1" t="shared" si="163"/>
        <v>0.875</v>
      </c>
      <c r="M177" s="117">
        <f ca="1" t="shared" si="163"/>
        <v>0.9</v>
      </c>
      <c r="N177" s="117">
        <f ca="1" t="shared" si="163"/>
        <v>0.846153846153846</v>
      </c>
      <c r="O177" s="117">
        <f ca="1" t="shared" si="163"/>
        <v>0.923076923076923</v>
      </c>
      <c r="P177" s="117">
        <f ca="1" t="shared" si="163"/>
        <v>0.928571428571429</v>
      </c>
      <c r="Q177" s="117">
        <f ca="1" t="shared" si="163"/>
        <v>0.875</v>
      </c>
    </row>
    <row r="178" ht="24" customHeight="1" spans="1:17">
      <c r="A178" s="99" t="s">
        <v>289</v>
      </c>
      <c r="B178" s="99" t="s">
        <v>299</v>
      </c>
      <c r="C178" s="99" t="s">
        <v>329</v>
      </c>
      <c r="D178" s="48" t="s">
        <v>296</v>
      </c>
      <c r="E178" s="116" t="s">
        <v>82</v>
      </c>
      <c r="F178" s="117">
        <f ca="1" t="shared" ref="F178:Q178" si="164">IF(F102=" "," ",F124/F102)</f>
        <v>0.5</v>
      </c>
      <c r="G178" s="117">
        <f ca="1" t="shared" si="164"/>
        <v>1</v>
      </c>
      <c r="H178" s="117">
        <f ca="1" t="shared" si="164"/>
        <v>0.4</v>
      </c>
      <c r="I178" s="117">
        <f ca="1" t="shared" si="164"/>
        <v>0.833333333333333</v>
      </c>
      <c r="J178" s="117">
        <f ca="1" t="shared" si="164"/>
        <v>1</v>
      </c>
      <c r="K178" s="117">
        <f ca="1" t="shared" si="164"/>
        <v>0.857142857142857</v>
      </c>
      <c r="L178" s="117">
        <f ca="1" t="shared" si="164"/>
        <v>1</v>
      </c>
      <c r="M178" s="117">
        <f ca="1" t="shared" si="164"/>
        <v>0.875</v>
      </c>
      <c r="N178" s="117">
        <f ca="1" t="shared" si="164"/>
        <v>1</v>
      </c>
      <c r="O178" s="117">
        <f ca="1" t="shared" si="164"/>
        <v>0.615384615384615</v>
      </c>
      <c r="P178" s="117">
        <f ca="1" t="shared" si="164"/>
        <v>0.785714285714286</v>
      </c>
      <c r="Q178" s="117">
        <f ca="1" t="shared" si="164"/>
        <v>0.733333333333333</v>
      </c>
    </row>
    <row r="179" ht="24" customHeight="1" spans="1:17">
      <c r="A179" s="99" t="s">
        <v>289</v>
      </c>
      <c r="B179" s="99" t="s">
        <v>299</v>
      </c>
      <c r="C179" s="99" t="s">
        <v>329</v>
      </c>
      <c r="D179" s="48" t="s">
        <v>296</v>
      </c>
      <c r="E179" s="116" t="s">
        <v>86</v>
      </c>
      <c r="F179" s="117" t="str">
        <f ca="1" t="shared" ref="F179:I179" si="165">IF(F103=0," ",F125/F103)</f>
        <v> </v>
      </c>
      <c r="G179" s="117" t="str">
        <f ca="1" t="shared" si="165"/>
        <v> </v>
      </c>
      <c r="H179" s="117" t="str">
        <f ca="1" t="shared" si="165"/>
        <v> </v>
      </c>
      <c r="I179" s="117" t="str">
        <f ca="1" t="shared" si="165"/>
        <v> </v>
      </c>
      <c r="J179" s="117">
        <f ca="1" t="shared" ref="J179:Q179" si="166">IF(J103=" "," ",J125/J103)</f>
        <v>1</v>
      </c>
      <c r="K179" s="117">
        <f ca="1" t="shared" si="166"/>
        <v>0.5</v>
      </c>
      <c r="L179" s="117">
        <f ca="1" t="shared" si="166"/>
        <v>0.8</v>
      </c>
      <c r="M179" s="117">
        <f ca="1" t="shared" si="166"/>
        <v>1</v>
      </c>
      <c r="N179" s="117">
        <f ca="1" t="shared" si="166"/>
        <v>0.714285714285714</v>
      </c>
      <c r="O179" s="117">
        <f ca="1" t="shared" si="166"/>
        <v>0.625</v>
      </c>
      <c r="P179" s="117">
        <f ca="1" t="shared" si="166"/>
        <v>0.5</v>
      </c>
      <c r="Q179" s="117">
        <f ca="1" t="shared" si="166"/>
        <v>0.583333333333333</v>
      </c>
    </row>
    <row r="180" ht="24" customHeight="1" spans="1:17">
      <c r="A180" s="99" t="s">
        <v>289</v>
      </c>
      <c r="B180" s="99" t="s">
        <v>299</v>
      </c>
      <c r="C180" s="99" t="s">
        <v>329</v>
      </c>
      <c r="D180" s="48" t="s">
        <v>298</v>
      </c>
      <c r="E180" s="116" t="s">
        <v>97</v>
      </c>
      <c r="F180" s="117">
        <f ca="1" t="shared" ref="F180:Q180" si="167">IF(F104=" "," ",F126/F104)</f>
        <v>0.5</v>
      </c>
      <c r="G180" s="117">
        <f ca="1" t="shared" si="167"/>
        <v>1</v>
      </c>
      <c r="H180" s="117">
        <f ca="1" t="shared" si="167"/>
        <v>1</v>
      </c>
      <c r="I180" s="117">
        <f ca="1" t="shared" si="167"/>
        <v>0.666666666666667</v>
      </c>
      <c r="J180" s="117">
        <f ca="1" t="shared" si="167"/>
        <v>1</v>
      </c>
      <c r="K180" s="117">
        <f ca="1" t="shared" si="167"/>
        <v>1</v>
      </c>
      <c r="L180" s="117">
        <f ca="1" t="shared" si="167"/>
        <v>0.75</v>
      </c>
      <c r="M180" s="117">
        <f ca="1" t="shared" si="167"/>
        <v>1</v>
      </c>
      <c r="N180" s="117">
        <f ca="1" t="shared" si="167"/>
        <v>1</v>
      </c>
      <c r="O180" s="117">
        <f ca="1" t="shared" si="167"/>
        <v>0.8</v>
      </c>
      <c r="P180" s="117">
        <f ca="1" t="shared" si="167"/>
        <v>0.833333333333333</v>
      </c>
      <c r="Q180" s="117">
        <f ca="1" t="shared" si="167"/>
        <v>1</v>
      </c>
    </row>
    <row r="181" ht="24" customHeight="1" spans="1:17">
      <c r="A181" s="99" t="s">
        <v>289</v>
      </c>
      <c r="B181" s="99" t="s">
        <v>299</v>
      </c>
      <c r="C181" s="99" t="s">
        <v>329</v>
      </c>
      <c r="D181" s="48" t="s">
        <v>298</v>
      </c>
      <c r="E181" s="116" t="s">
        <v>87</v>
      </c>
      <c r="F181" s="117">
        <f ca="1" t="shared" ref="F181:Q181" si="168">IF(F105=" "," ",F127/F105)</f>
        <v>1</v>
      </c>
      <c r="G181" s="117">
        <f ca="1" t="shared" si="168"/>
        <v>1</v>
      </c>
      <c r="H181" s="117">
        <f ca="1" t="shared" si="168"/>
        <v>1</v>
      </c>
      <c r="I181" s="117">
        <f ca="1" t="shared" si="168"/>
        <v>1</v>
      </c>
      <c r="J181" s="117">
        <f ca="1" t="shared" si="168"/>
        <v>1</v>
      </c>
      <c r="K181" s="117">
        <f ca="1" t="shared" si="168"/>
        <v>1</v>
      </c>
      <c r="L181" s="117">
        <f ca="1" t="shared" si="168"/>
        <v>1</v>
      </c>
      <c r="M181" s="117">
        <f ca="1" t="shared" si="168"/>
        <v>0.666666666666667</v>
      </c>
      <c r="N181" s="117">
        <f ca="1" t="shared" si="168"/>
        <v>1</v>
      </c>
      <c r="O181" s="117">
        <f ca="1" t="shared" si="168"/>
        <v>1</v>
      </c>
      <c r="P181" s="117">
        <f ca="1" t="shared" si="168"/>
        <v>0.75</v>
      </c>
      <c r="Q181" s="117">
        <f ca="1" t="shared" si="168"/>
        <v>0.75</v>
      </c>
    </row>
    <row r="182" ht="24" customHeight="1" spans="1:17">
      <c r="A182" s="99" t="s">
        <v>289</v>
      </c>
      <c r="B182" s="99" t="s">
        <v>299</v>
      </c>
      <c r="C182" s="99" t="s">
        <v>329</v>
      </c>
      <c r="D182" s="48" t="s">
        <v>298</v>
      </c>
      <c r="E182" s="116" t="s">
        <v>149</v>
      </c>
      <c r="F182" s="117" t="str">
        <f ca="1" t="shared" ref="F182:J182" si="169">IF(F106=0," ",F128/F106)</f>
        <v> </v>
      </c>
      <c r="G182" s="117" t="str">
        <f ca="1" t="shared" si="169"/>
        <v> </v>
      </c>
      <c r="H182" s="117" t="str">
        <f ca="1" t="shared" si="169"/>
        <v> </v>
      </c>
      <c r="I182" s="117" t="str">
        <f ca="1" t="shared" si="169"/>
        <v> </v>
      </c>
      <c r="J182" s="117" t="str">
        <f ca="1" t="shared" si="169"/>
        <v> </v>
      </c>
      <c r="K182" s="117">
        <f ca="1" t="shared" ref="K182:Q182" si="170">IF(K106=" "," ",K128/K106)</f>
        <v>1</v>
      </c>
      <c r="L182" s="117">
        <f ca="1" t="shared" si="170"/>
        <v>1</v>
      </c>
      <c r="M182" s="117">
        <f ca="1" t="shared" si="170"/>
        <v>1</v>
      </c>
      <c r="N182" s="117">
        <f ca="1" t="shared" si="170"/>
        <v>1</v>
      </c>
      <c r="O182" s="117">
        <f ca="1" t="shared" si="170"/>
        <v>1</v>
      </c>
      <c r="P182" s="117">
        <f ca="1" t="shared" si="170"/>
        <v>1</v>
      </c>
      <c r="Q182" s="117">
        <f ca="1" t="shared" si="170"/>
        <v>1</v>
      </c>
    </row>
    <row r="183" ht="24" customHeight="1" spans="1:17">
      <c r="A183" s="99" t="s">
        <v>289</v>
      </c>
      <c r="B183" s="99" t="s">
        <v>299</v>
      </c>
      <c r="C183" s="99" t="s">
        <v>329</v>
      </c>
      <c r="D183" s="48" t="s">
        <v>298</v>
      </c>
      <c r="E183" s="116" t="s">
        <v>83</v>
      </c>
      <c r="F183" s="117">
        <f ca="1" t="shared" ref="F183:Q183" si="171">IF(F107=" "," ",F129/F107)</f>
        <v>1</v>
      </c>
      <c r="G183" s="117">
        <f ca="1" t="shared" si="171"/>
        <v>1</v>
      </c>
      <c r="H183" s="117">
        <f ca="1" t="shared" si="171"/>
        <v>1</v>
      </c>
      <c r="I183" s="117">
        <f ca="1" t="shared" si="171"/>
        <v>1</v>
      </c>
      <c r="J183" s="117">
        <f ca="1" t="shared" si="171"/>
        <v>1</v>
      </c>
      <c r="K183" s="117">
        <f ca="1" t="shared" si="171"/>
        <v>1</v>
      </c>
      <c r="L183" s="117">
        <f ca="1" t="shared" si="171"/>
        <v>1</v>
      </c>
      <c r="M183" s="117">
        <f ca="1" t="shared" si="171"/>
        <v>0.5</v>
      </c>
      <c r="N183" s="117">
        <f ca="1" t="shared" si="171"/>
        <v>0.5</v>
      </c>
      <c r="O183" s="117">
        <f ca="1" t="shared" si="171"/>
        <v>0.5</v>
      </c>
      <c r="P183" s="117">
        <f ca="1" t="shared" si="171"/>
        <v>0.5</v>
      </c>
      <c r="Q183" s="117">
        <f ca="1" t="shared" si="171"/>
        <v>0.5</v>
      </c>
    </row>
    <row r="184" ht="24" customHeight="1" spans="1:17">
      <c r="A184" s="99" t="s">
        <v>289</v>
      </c>
      <c r="B184" s="99" t="s">
        <v>299</v>
      </c>
      <c r="C184" s="99" t="s">
        <v>329</v>
      </c>
      <c r="D184" s="47" t="s">
        <v>294</v>
      </c>
      <c r="E184" s="118" t="s">
        <v>93</v>
      </c>
      <c r="F184" s="119">
        <f ca="1" t="shared" ref="F184:Q184" si="172">IF(F108=" "," ",F137/F108)</f>
        <v>1</v>
      </c>
      <c r="G184" s="119">
        <f ca="1" t="shared" si="172"/>
        <v>0</v>
      </c>
      <c r="H184" s="119">
        <f ca="1" t="shared" si="172"/>
        <v>0</v>
      </c>
      <c r="I184" s="119">
        <f ca="1" t="shared" si="172"/>
        <v>0</v>
      </c>
      <c r="J184" s="119">
        <f ca="1" t="shared" si="172"/>
        <v>0</v>
      </c>
      <c r="K184" s="119">
        <f ca="1" t="shared" si="172"/>
        <v>0.111111111111111</v>
      </c>
      <c r="L184" s="119">
        <f ca="1" t="shared" si="172"/>
        <v>0.0909090909090909</v>
      </c>
      <c r="M184" s="119">
        <f ca="1" t="shared" si="172"/>
        <v>0.153846153846154</v>
      </c>
      <c r="N184" s="119">
        <f ca="1" t="shared" si="172"/>
        <v>0.0588235294117647</v>
      </c>
      <c r="O184" s="119">
        <f ca="1" t="shared" si="172"/>
        <v>0</v>
      </c>
      <c r="P184" s="119">
        <f ca="1" t="shared" si="172"/>
        <v>0.0952380952380952</v>
      </c>
      <c r="Q184" s="119">
        <f ca="1" t="shared" si="172"/>
        <v>0</v>
      </c>
    </row>
    <row r="185" ht="24" customHeight="1" spans="1:17">
      <c r="A185" s="99" t="s">
        <v>289</v>
      </c>
      <c r="B185" s="99" t="s">
        <v>299</v>
      </c>
      <c r="C185" s="99" t="s">
        <v>329</v>
      </c>
      <c r="D185" s="47" t="s">
        <v>294</v>
      </c>
      <c r="E185" s="118" t="s">
        <v>85</v>
      </c>
      <c r="F185" s="119">
        <f ca="1" t="shared" ref="F185:Q185" si="173">IF(F109=" "," ",F138/F109)</f>
        <v>0</v>
      </c>
      <c r="G185" s="119">
        <f ca="1" t="shared" si="173"/>
        <v>0</v>
      </c>
      <c r="H185" s="119">
        <f ca="1" t="shared" si="173"/>
        <v>0</v>
      </c>
      <c r="I185" s="119">
        <f ca="1" t="shared" si="173"/>
        <v>0.4</v>
      </c>
      <c r="J185" s="119">
        <f ca="1" t="shared" si="173"/>
        <v>0.166666666666667</v>
      </c>
      <c r="K185" s="119">
        <f ca="1" t="shared" si="173"/>
        <v>0</v>
      </c>
      <c r="L185" s="119">
        <f ca="1" t="shared" si="173"/>
        <v>0.333333333333333</v>
      </c>
      <c r="M185" s="119">
        <f ca="1" t="shared" si="173"/>
        <v>0.0714285714285714</v>
      </c>
      <c r="N185" s="119">
        <f ca="1" t="shared" si="173"/>
        <v>0</v>
      </c>
      <c r="O185" s="119">
        <f ca="1" t="shared" si="173"/>
        <v>0</v>
      </c>
      <c r="P185" s="119">
        <f ca="1" t="shared" si="173"/>
        <v>0.105263157894737</v>
      </c>
      <c r="Q185" s="119">
        <f ca="1" t="shared" si="173"/>
        <v>0.142857142857143</v>
      </c>
    </row>
    <row r="186" ht="24" customHeight="1" spans="1:17">
      <c r="A186" s="99" t="s">
        <v>289</v>
      </c>
      <c r="B186" s="99" t="s">
        <v>299</v>
      </c>
      <c r="C186" s="99" t="s">
        <v>329</v>
      </c>
      <c r="D186" s="47" t="s">
        <v>294</v>
      </c>
      <c r="E186" s="118" t="s">
        <v>81</v>
      </c>
      <c r="F186" s="119" t="str">
        <f ca="1" t="shared" ref="F186:H186" si="174">IF(F110=0," ",F139/F110)</f>
        <v> </v>
      </c>
      <c r="G186" s="119" t="str">
        <f ca="1" t="shared" si="174"/>
        <v> </v>
      </c>
      <c r="H186" s="119">
        <f ca="1" t="shared" si="174"/>
        <v>0</v>
      </c>
      <c r="I186" s="119">
        <f ca="1" t="shared" ref="I186:Q186" si="175">IF(I110=" "," ",I139/I110)</f>
        <v>0.333333333333333</v>
      </c>
      <c r="J186" s="119">
        <f ca="1" t="shared" si="175"/>
        <v>0.333333333333333</v>
      </c>
      <c r="K186" s="119">
        <f ca="1" t="shared" si="175"/>
        <v>0</v>
      </c>
      <c r="L186" s="119">
        <f ca="1" t="shared" si="175"/>
        <v>0</v>
      </c>
      <c r="M186" s="119">
        <f ca="1" t="shared" si="175"/>
        <v>0</v>
      </c>
      <c r="N186" s="119">
        <f ca="1" t="shared" si="175"/>
        <v>0.2</v>
      </c>
      <c r="O186" s="119">
        <f ca="1" t="shared" si="175"/>
        <v>0</v>
      </c>
      <c r="P186" s="119">
        <f ca="1" t="shared" si="175"/>
        <v>0.166666666666667</v>
      </c>
      <c r="Q186" s="119">
        <f ca="1" t="shared" si="175"/>
        <v>0</v>
      </c>
    </row>
    <row r="187" ht="24" customHeight="1" spans="1:17">
      <c r="A187" s="99" t="s">
        <v>289</v>
      </c>
      <c r="B187" s="99" t="s">
        <v>299</v>
      </c>
      <c r="C187" s="99" t="s">
        <v>329</v>
      </c>
      <c r="D187" s="47" t="s">
        <v>294</v>
      </c>
      <c r="E187" s="118" t="s">
        <v>96</v>
      </c>
      <c r="F187" s="119">
        <f ca="1" t="shared" ref="F187:Q187" si="176">IF(F111=" "," ",F140/F111)</f>
        <v>0</v>
      </c>
      <c r="G187" s="119">
        <f ca="1" t="shared" si="176"/>
        <v>1</v>
      </c>
      <c r="H187" s="119">
        <f ca="1" t="shared" si="176"/>
        <v>0</v>
      </c>
      <c r="I187" s="119">
        <f ca="1" t="shared" si="176"/>
        <v>0</v>
      </c>
      <c r="J187" s="119">
        <f ca="1" t="shared" si="176"/>
        <v>0</v>
      </c>
      <c r="K187" s="119">
        <f ca="1" t="shared" si="176"/>
        <v>0</v>
      </c>
      <c r="L187" s="119">
        <f ca="1" t="shared" si="176"/>
        <v>0</v>
      </c>
      <c r="M187" s="119">
        <f ca="1" t="shared" si="176"/>
        <v>0</v>
      </c>
      <c r="N187" s="119">
        <f ca="1" t="shared" si="176"/>
        <v>0</v>
      </c>
      <c r="O187" s="119">
        <f ca="1" t="shared" si="176"/>
        <v>0</v>
      </c>
      <c r="P187" s="119">
        <f ca="1" t="shared" si="176"/>
        <v>0</v>
      </c>
      <c r="Q187" s="119">
        <f ca="1" t="shared" si="176"/>
        <v>0</v>
      </c>
    </row>
    <row r="188" ht="24" customHeight="1" spans="1:17">
      <c r="A188" s="99" t="s">
        <v>289</v>
      </c>
      <c r="B188" s="99" t="s">
        <v>299</v>
      </c>
      <c r="C188" s="99" t="s">
        <v>329</v>
      </c>
      <c r="D188" s="47" t="s">
        <v>294</v>
      </c>
      <c r="E188" s="118" t="s">
        <v>160</v>
      </c>
      <c r="F188" s="119" t="str">
        <f ca="1" t="shared" ref="F188:Q188" si="177">IFERROR(IF(F112=" "," ",F141/F112)," ")</f>
        <v> </v>
      </c>
      <c r="G188" s="119" t="str">
        <f ca="1" t="shared" si="177"/>
        <v> </v>
      </c>
      <c r="H188" s="119" t="str">
        <f ca="1" t="shared" si="177"/>
        <v> </v>
      </c>
      <c r="I188" s="119" t="str">
        <f ca="1" t="shared" si="177"/>
        <v> </v>
      </c>
      <c r="J188" s="119" t="str">
        <f ca="1" t="shared" si="177"/>
        <v> </v>
      </c>
      <c r="K188" s="119" t="str">
        <f ca="1" t="shared" si="177"/>
        <v> </v>
      </c>
      <c r="L188" s="119" t="str">
        <f ca="1" t="shared" si="177"/>
        <v> </v>
      </c>
      <c r="M188" s="119" t="str">
        <f ca="1" t="shared" si="177"/>
        <v> </v>
      </c>
      <c r="N188" s="119" t="str">
        <f ca="1" t="shared" si="177"/>
        <v> </v>
      </c>
      <c r="O188" s="119" t="str">
        <f ca="1" t="shared" si="177"/>
        <v> </v>
      </c>
      <c r="P188" s="119" t="str">
        <f ca="1" t="shared" si="177"/>
        <v> </v>
      </c>
      <c r="Q188" s="119" t="str">
        <f ca="1" t="shared" si="177"/>
        <v> </v>
      </c>
    </row>
    <row r="189" ht="24" customHeight="1" spans="1:17">
      <c r="A189" s="99" t="s">
        <v>289</v>
      </c>
      <c r="B189" s="99" t="s">
        <v>299</v>
      </c>
      <c r="C189" s="99" t="s">
        <v>329</v>
      </c>
      <c r="D189" s="113" t="s">
        <v>292</v>
      </c>
      <c r="E189" s="113" t="s">
        <v>331</v>
      </c>
      <c r="F189" s="115">
        <f ca="1" t="shared" ref="F189:Q189" si="178">IFERROR(IF(F113=" "," ",F142/F113)," ")</f>
        <v>0.666666666666667</v>
      </c>
      <c r="G189" s="115">
        <f ca="1" t="shared" si="178"/>
        <v>0.857142857142857</v>
      </c>
      <c r="H189" s="115">
        <f ca="1" t="shared" si="178"/>
        <v>0.636363636363636</v>
      </c>
      <c r="I189" s="115">
        <f ca="1" t="shared" si="178"/>
        <v>0.8</v>
      </c>
      <c r="J189" s="115">
        <f ca="1" t="shared" si="178"/>
        <v>1</v>
      </c>
      <c r="K189" s="115">
        <f ca="1" t="shared" si="178"/>
        <v>0.85</v>
      </c>
      <c r="L189" s="115">
        <f ca="1" t="shared" si="178"/>
        <v>0.88</v>
      </c>
      <c r="M189" s="115">
        <f ca="1" t="shared" si="178"/>
        <v>0.866666666666667</v>
      </c>
      <c r="N189" s="115">
        <f ca="1" t="shared" si="178"/>
        <v>0.857142857142857</v>
      </c>
      <c r="O189" s="115">
        <f ca="1" t="shared" si="178"/>
        <v>0.738095238095238</v>
      </c>
      <c r="P189" s="115">
        <f ca="1" t="shared" si="178"/>
        <v>0.73469387755102</v>
      </c>
      <c r="Q189" s="115">
        <f ca="1" t="shared" si="178"/>
        <v>0.75</v>
      </c>
    </row>
    <row r="190" ht="24" customHeight="1" spans="1:17">
      <c r="A190" s="99" t="s">
        <v>289</v>
      </c>
      <c r="B190" s="99" t="s">
        <v>299</v>
      </c>
      <c r="C190" s="99" t="s">
        <v>329</v>
      </c>
      <c r="D190" s="48" t="s">
        <v>296</v>
      </c>
      <c r="E190" s="116" t="s">
        <v>90</v>
      </c>
      <c r="F190" s="117">
        <f ca="1" t="shared" ref="F190:Q190" si="179">IF(F114=" "," ",F143/F114)</f>
        <v>0</v>
      </c>
      <c r="G190" s="117">
        <f ca="1" t="shared" si="179"/>
        <v>0.5</v>
      </c>
      <c r="H190" s="117">
        <f ca="1" t="shared" si="179"/>
        <v>0.666666666666667</v>
      </c>
      <c r="I190" s="117">
        <f ca="1" t="shared" si="179"/>
        <v>0.666666666666667</v>
      </c>
      <c r="J190" s="117">
        <f ca="1" t="shared" si="179"/>
        <v>1</v>
      </c>
      <c r="K190" s="117">
        <f ca="1" t="shared" si="179"/>
        <v>0.875</v>
      </c>
      <c r="L190" s="117">
        <f ca="1" t="shared" si="179"/>
        <v>0.8</v>
      </c>
      <c r="M190" s="117">
        <f ca="1" t="shared" si="179"/>
        <v>0.916666666666667</v>
      </c>
      <c r="N190" s="117">
        <f ca="1" t="shared" si="179"/>
        <v>0.866666666666667</v>
      </c>
      <c r="O190" s="117">
        <f ca="1" t="shared" si="179"/>
        <v>0.933333333333333</v>
      </c>
      <c r="P190" s="117">
        <f ca="1" t="shared" si="179"/>
        <v>0.9375</v>
      </c>
      <c r="Q190" s="117">
        <f ca="1" t="shared" si="179"/>
        <v>0.888888888888889</v>
      </c>
    </row>
    <row r="191" ht="24" customHeight="1" spans="1:17">
      <c r="A191" s="99" t="s">
        <v>289</v>
      </c>
      <c r="B191" s="99" t="s">
        <v>299</v>
      </c>
      <c r="C191" s="99" t="s">
        <v>329</v>
      </c>
      <c r="D191" s="48" t="s">
        <v>296</v>
      </c>
      <c r="E191" s="116" t="s">
        <v>82</v>
      </c>
      <c r="F191" s="117">
        <f ca="1" t="shared" ref="F191:Q191" si="180">IF(F115=" "," ",F144/F115)</f>
        <v>0.666666666666667</v>
      </c>
      <c r="G191" s="117">
        <f ca="1" t="shared" si="180"/>
        <v>1</v>
      </c>
      <c r="H191" s="117">
        <f ca="1" t="shared" si="180"/>
        <v>0.5</v>
      </c>
      <c r="I191" s="117">
        <f ca="1" t="shared" si="180"/>
        <v>0.857142857142857</v>
      </c>
      <c r="J191" s="117">
        <f ca="1" t="shared" si="180"/>
        <v>1</v>
      </c>
      <c r="K191" s="117">
        <f ca="1" t="shared" si="180"/>
        <v>0.875</v>
      </c>
      <c r="L191" s="117">
        <f ca="1" t="shared" si="180"/>
        <v>1</v>
      </c>
      <c r="M191" s="117">
        <f ca="1" t="shared" si="180"/>
        <v>0.8</v>
      </c>
      <c r="N191" s="117">
        <f ca="1" t="shared" si="180"/>
        <v>1</v>
      </c>
      <c r="O191" s="117">
        <f ca="1" t="shared" si="180"/>
        <v>0.666666666666667</v>
      </c>
      <c r="P191" s="117">
        <f ca="1" t="shared" si="180"/>
        <v>0.764705882352941</v>
      </c>
      <c r="Q191" s="117">
        <f ca="1" t="shared" si="180"/>
        <v>0.722222222222222</v>
      </c>
    </row>
    <row r="192" ht="24" customHeight="1" spans="1:17">
      <c r="A192" s="99" t="s">
        <v>289</v>
      </c>
      <c r="B192" s="99" t="s">
        <v>299</v>
      </c>
      <c r="C192" s="99" t="s">
        <v>329</v>
      </c>
      <c r="D192" s="48" t="s">
        <v>296</v>
      </c>
      <c r="E192" s="116" t="s">
        <v>86</v>
      </c>
      <c r="F192" s="117">
        <f ca="1" t="shared" ref="F192:Q192" si="181">IF(F116=" "," ",F145/F116)</f>
        <v>1</v>
      </c>
      <c r="G192" s="117">
        <f ca="1" t="shared" si="181"/>
        <v>1</v>
      </c>
      <c r="H192" s="117">
        <f ca="1" t="shared" si="181"/>
        <v>1</v>
      </c>
      <c r="I192" s="117">
        <f ca="1" t="shared" si="181"/>
        <v>1</v>
      </c>
      <c r="J192" s="117">
        <f ca="1" t="shared" si="181"/>
        <v>1</v>
      </c>
      <c r="K192" s="117">
        <f ca="1" t="shared" si="181"/>
        <v>0.75</v>
      </c>
      <c r="L192" s="117">
        <f ca="1" t="shared" si="181"/>
        <v>0.857142857142857</v>
      </c>
      <c r="M192" s="117">
        <f ca="1" t="shared" si="181"/>
        <v>0.875</v>
      </c>
      <c r="N192" s="117">
        <f ca="1" t="shared" si="181"/>
        <v>0.7</v>
      </c>
      <c r="O192" s="117">
        <f ca="1" t="shared" si="181"/>
        <v>0.583333333333333</v>
      </c>
      <c r="P192" s="117">
        <f ca="1" t="shared" si="181"/>
        <v>0.5</v>
      </c>
      <c r="Q192" s="117">
        <f ca="1" t="shared" si="181"/>
        <v>0.625</v>
      </c>
    </row>
    <row r="193" ht="24" customHeight="1" spans="1:17">
      <c r="A193" s="99" t="s">
        <v>289</v>
      </c>
      <c r="B193" s="99" t="s">
        <v>299</v>
      </c>
      <c r="C193" s="99" t="s">
        <v>329</v>
      </c>
      <c r="D193" s="113" t="s">
        <v>292</v>
      </c>
      <c r="E193" s="113" t="s">
        <v>332</v>
      </c>
      <c r="F193" s="115">
        <f ca="1" t="shared" ref="F193:Q193" si="182">IFERROR(IF(F117=" "," ",F149/F117)," ")</f>
        <v>0.75</v>
      </c>
      <c r="G193" s="115">
        <f ca="1" t="shared" si="182"/>
        <v>0.8</v>
      </c>
      <c r="H193" s="115">
        <f ca="1" t="shared" si="182"/>
        <v>0.555555555555556</v>
      </c>
      <c r="I193" s="115">
        <f ca="1" t="shared" si="182"/>
        <v>0.692307692307692</v>
      </c>
      <c r="J193" s="115">
        <f ca="1" t="shared" si="182"/>
        <v>1</v>
      </c>
      <c r="K193" s="115">
        <f ca="1" t="shared" si="182"/>
        <v>0.882352941176471</v>
      </c>
      <c r="L193" s="115">
        <f ca="1" t="shared" si="182"/>
        <v>0.869565217391304</v>
      </c>
      <c r="M193" s="115">
        <f ca="1" t="shared" si="182"/>
        <v>0.851851851851852</v>
      </c>
      <c r="N193" s="115">
        <f ca="1" t="shared" si="182"/>
        <v>0.84375</v>
      </c>
      <c r="O193" s="115">
        <f ca="1" t="shared" si="182"/>
        <v>0.717948717948718</v>
      </c>
      <c r="P193" s="115">
        <f ca="1" t="shared" si="182"/>
        <v>0.723404255319149</v>
      </c>
      <c r="Q193" s="115">
        <f ca="1" t="shared" si="182"/>
        <v>0.73469387755102</v>
      </c>
    </row>
    <row r="194" ht="24" customHeight="1" spans="1:17">
      <c r="A194" s="99" t="s">
        <v>289</v>
      </c>
      <c r="B194" s="99" t="s">
        <v>299</v>
      </c>
      <c r="C194" s="99" t="s">
        <v>329</v>
      </c>
      <c r="D194" s="48" t="s">
        <v>298</v>
      </c>
      <c r="E194" s="116" t="s">
        <v>97</v>
      </c>
      <c r="F194" s="117">
        <f ca="1" t="shared" ref="F194:Q194" si="183">IF(F118=" "," ",F150/F118)</f>
        <v>0.5</v>
      </c>
      <c r="G194" s="117">
        <f ca="1" t="shared" si="183"/>
        <v>1</v>
      </c>
      <c r="H194" s="117">
        <f ca="1" t="shared" si="183"/>
        <v>0.666666666666667</v>
      </c>
      <c r="I194" s="117">
        <f ca="1" t="shared" si="183"/>
        <v>0.75</v>
      </c>
      <c r="J194" s="117">
        <f ca="1" t="shared" si="183"/>
        <v>1</v>
      </c>
      <c r="K194" s="117">
        <f ca="1" t="shared" si="183"/>
        <v>1</v>
      </c>
      <c r="L194" s="117">
        <f ca="1" t="shared" si="183"/>
        <v>0.8</v>
      </c>
      <c r="M194" s="117">
        <f ca="1" t="shared" si="183"/>
        <v>1</v>
      </c>
      <c r="N194" s="117">
        <f ca="1" t="shared" si="183"/>
        <v>1</v>
      </c>
      <c r="O194" s="117">
        <f ca="1" t="shared" si="183"/>
        <v>0.625</v>
      </c>
      <c r="P194" s="117">
        <f ca="1" t="shared" si="183"/>
        <v>0.6</v>
      </c>
      <c r="Q194" s="117">
        <f ca="1" t="shared" si="183"/>
        <v>0.8</v>
      </c>
    </row>
    <row r="195" ht="24" customHeight="1" spans="1:17">
      <c r="A195" s="99" t="s">
        <v>289</v>
      </c>
      <c r="B195" s="99" t="s">
        <v>299</v>
      </c>
      <c r="C195" s="99" t="s">
        <v>329</v>
      </c>
      <c r="D195" s="48" t="s">
        <v>298</v>
      </c>
      <c r="E195" s="116" t="s">
        <v>87</v>
      </c>
      <c r="F195" s="117">
        <f ca="1" t="shared" ref="F195:Q195" si="184">IF(F119=" "," ",F151/F119)</f>
        <v>1</v>
      </c>
      <c r="G195" s="117">
        <f ca="1" t="shared" si="184"/>
        <v>0.5</v>
      </c>
      <c r="H195" s="117">
        <f ca="1" t="shared" si="184"/>
        <v>0.4</v>
      </c>
      <c r="I195" s="117">
        <f ca="1" t="shared" si="184"/>
        <v>0.714285714285714</v>
      </c>
      <c r="J195" s="117">
        <f ca="1" t="shared" si="184"/>
        <v>1</v>
      </c>
      <c r="K195" s="117">
        <f ca="1" t="shared" si="184"/>
        <v>0.8</v>
      </c>
      <c r="L195" s="117">
        <f ca="1" t="shared" si="184"/>
        <v>0.866666666666667</v>
      </c>
      <c r="M195" s="117">
        <f ca="1" t="shared" si="184"/>
        <v>0.833333333333333</v>
      </c>
      <c r="N195" s="117">
        <f ca="1" t="shared" si="184"/>
        <v>0.904761904761905</v>
      </c>
      <c r="O195" s="117">
        <f ca="1" t="shared" si="184"/>
        <v>0.826086956521739</v>
      </c>
      <c r="P195" s="117">
        <f ca="1" t="shared" si="184"/>
        <v>0.851851851851852</v>
      </c>
      <c r="Q195" s="117">
        <f ca="1" t="shared" si="184"/>
        <v>0.821428571428571</v>
      </c>
    </row>
    <row r="196" ht="24" customHeight="1" spans="1:17">
      <c r="A196" s="99" t="s">
        <v>289</v>
      </c>
      <c r="B196" s="99" t="s">
        <v>299</v>
      </c>
      <c r="C196" s="99" t="s">
        <v>329</v>
      </c>
      <c r="D196" s="48" t="s">
        <v>298</v>
      </c>
      <c r="E196" s="116" t="s">
        <v>149</v>
      </c>
      <c r="F196" s="117" t="str">
        <f ca="1" t="shared" ref="F196:J196" si="185">IF(F120=0," ",F152/F120)</f>
        <v> </v>
      </c>
      <c r="G196" s="117" t="str">
        <f ca="1" t="shared" si="185"/>
        <v> </v>
      </c>
      <c r="H196" s="117" t="str">
        <f ca="1" t="shared" si="185"/>
        <v> </v>
      </c>
      <c r="I196" s="117" t="str">
        <f ca="1" t="shared" si="185"/>
        <v> </v>
      </c>
      <c r="J196" s="117" t="str">
        <f ca="1" t="shared" si="185"/>
        <v> </v>
      </c>
      <c r="K196" s="117">
        <f ca="1" t="shared" ref="K196:Q196" si="186">IF(K120=" "," ",K152/K120)</f>
        <v>1</v>
      </c>
      <c r="L196" s="117">
        <f ca="1" t="shared" si="186"/>
        <v>1</v>
      </c>
      <c r="M196" s="117">
        <f ca="1" t="shared" si="186"/>
        <v>1</v>
      </c>
      <c r="N196" s="117">
        <f ca="1" t="shared" si="186"/>
        <v>1</v>
      </c>
      <c r="O196" s="117">
        <f ca="1" t="shared" si="186"/>
        <v>1</v>
      </c>
      <c r="P196" s="117">
        <f ca="1" t="shared" si="186"/>
        <v>1</v>
      </c>
      <c r="Q196" s="117">
        <f ca="1" t="shared" si="186"/>
        <v>1</v>
      </c>
    </row>
    <row r="197" ht="24" customHeight="1" spans="1:17">
      <c r="A197" s="99" t="s">
        <v>289</v>
      </c>
      <c r="B197" s="99" t="s">
        <v>299</v>
      </c>
      <c r="C197" s="99" t="s">
        <v>329</v>
      </c>
      <c r="D197" s="48" t="s">
        <v>298</v>
      </c>
      <c r="E197" s="116" t="s">
        <v>83</v>
      </c>
      <c r="F197" s="117">
        <f ca="1" t="shared" ref="F197:Q197" si="187">IF(F121=" "," ",F153/F121)</f>
        <v>1</v>
      </c>
      <c r="G197" s="117">
        <f ca="1" t="shared" si="187"/>
        <v>1</v>
      </c>
      <c r="H197" s="117">
        <f ca="1" t="shared" si="187"/>
        <v>1</v>
      </c>
      <c r="I197" s="117">
        <f ca="1" t="shared" si="187"/>
        <v>0.5</v>
      </c>
      <c r="J197" s="117">
        <f ca="1" t="shared" si="187"/>
        <v>1</v>
      </c>
      <c r="K197" s="117">
        <f ca="1" t="shared" si="187"/>
        <v>1</v>
      </c>
      <c r="L197" s="117">
        <f ca="1" t="shared" si="187"/>
        <v>1</v>
      </c>
      <c r="M197" s="117">
        <f ca="1" t="shared" si="187"/>
        <v>0.666666666666667</v>
      </c>
      <c r="N197" s="117">
        <f ca="1" t="shared" si="187"/>
        <v>0.4</v>
      </c>
      <c r="O197" s="117">
        <f ca="1" t="shared" si="187"/>
        <v>0.428571428571429</v>
      </c>
      <c r="P197" s="117">
        <f ca="1" t="shared" si="187"/>
        <v>0.444444444444444</v>
      </c>
      <c r="Q197" s="117">
        <f ca="1" t="shared" si="187"/>
        <v>0.4</v>
      </c>
    </row>
    <row r="198" ht="24" customHeight="1" spans="1:17">
      <c r="A198" s="99" t="s">
        <v>289</v>
      </c>
      <c r="B198" s="99" t="s">
        <v>299</v>
      </c>
      <c r="C198" s="99" t="s">
        <v>333</v>
      </c>
      <c r="D198" s="114" t="s">
        <v>292</v>
      </c>
      <c r="E198" s="114" t="s">
        <v>300</v>
      </c>
      <c r="F198" s="215">
        <f ca="1">IF($S$1&lt;DATE(2025,1,1)," ",SUM(F199:F205))</f>
        <v>8.458133</v>
      </c>
      <c r="G198" s="215">
        <f ca="1">IF($S$1&lt;DATE(2025,2,1)," ",SUM(G199:G205))</f>
        <v>9.386569</v>
      </c>
      <c r="H198" s="215">
        <f ca="1">IF($S$1&lt;DATE(2025,3,1)," ",SUM(H199:H205))</f>
        <v>0.202224</v>
      </c>
      <c r="I198" s="215">
        <f ca="1">IF($S$1&lt;DATE(2025,4,1)," ",SUM(I199:I205))</f>
        <v>2.851476</v>
      </c>
      <c r="J198" s="215">
        <f ca="1">IF($S$1&lt;DATE(2025,5,1)," ",SUM(J199:J205))</f>
        <v>9.27285</v>
      </c>
      <c r="K198" s="215">
        <f ca="1">IF($S$1&lt;DATE(2025,6,1)," ",SUM(K199:K205))</f>
        <v>0.476784</v>
      </c>
      <c r="L198" s="215">
        <f ca="1">IF($S$1&lt;DATE(2025,7,1)," ",SUM(L199:L205))</f>
        <v>5.873912</v>
      </c>
      <c r="M198" s="215">
        <f ca="1">IF($S$1&lt;DATE(2025,8,1)," ",SUM(M199:M205))</f>
        <v>7.574789</v>
      </c>
      <c r="N198" s="215">
        <f ca="1">IF($S$1&lt;DATE(2025,9,1)," ",SUM(N199:N205))</f>
        <v>4.446956</v>
      </c>
      <c r="O198" s="215">
        <f ca="1">IF($S$1&lt;DATE(2025,10,1)," ",SUM(O199:O205))</f>
        <v>0.205245</v>
      </c>
      <c r="P198" s="215">
        <f ca="1">IF($S$1&lt;DATE(2025,11,1)," ",SUM(P199:P205))</f>
        <v>4.038872</v>
      </c>
      <c r="Q198" s="215">
        <f ca="1">IF($S$1&lt;DATE(2025,12,1)," ",SUM(Q199:Q205))</f>
        <v>2.427892</v>
      </c>
    </row>
    <row r="199" ht="24" customHeight="1" spans="1:17">
      <c r="A199" s="99" t="s">
        <v>289</v>
      </c>
      <c r="B199" s="99" t="s">
        <v>299</v>
      </c>
      <c r="C199" s="99" t="s">
        <v>333</v>
      </c>
      <c r="D199" s="48" t="s">
        <v>31</v>
      </c>
      <c r="E199" s="48" t="s">
        <v>90</v>
      </c>
      <c r="F199" s="51">
        <f ca="1">IF($S$1&lt;DATE(2025,1,1)," ",SUMIFS('2025数据'!$AK$3:$AK$181,'2025数据'!$D$3:$D$181,"&gt;="&amp;DATE(2025,1,1),'2025数据'!$D$3:$D$181,"&lt;="&amp;DATE(2025,1,31),'2025数据'!$AE$3:$AE$181,$E199)/10000)</f>
        <v>0</v>
      </c>
      <c r="G199" s="51">
        <f ca="1">IF($S$1&lt;DATE(2025,2,1)," ",SUMIFS('2025数据'!$AK$3:$AK$181,'2025数据'!$D$3:$D$181,"&gt;="&amp;DATE(2025,2,1),'2025数据'!$D$3:$D$181,"&lt;="&amp;DATE(2025,2,28),'2025数据'!$AE$3:$AE$181,$E199)/10000)</f>
        <v>0</v>
      </c>
      <c r="H199" s="51">
        <f ca="1">IF($S$1&lt;DATE(2025,3,1)," ",SUMIFS('2025数据'!$AK$3:$AK$181,'2025数据'!$D$3:$D$181,"&gt;="&amp;DATE(2025,3,1),'2025数据'!$D$3:$D$181,"&lt;="&amp;DATE(2025,3,31),'2025数据'!$AE$3:$AE$181,$E199)/10000)</f>
        <v>0.202224</v>
      </c>
      <c r="I199" s="51">
        <f ca="1">IF($S$1&lt;DATE(2025,4,1)," ",SUMIFS('2025数据'!$AK$3:$AK$181,'2025数据'!$D$3:$D$181,"&gt;="&amp;DATE(2025,4,1),'2025数据'!$D$3:$D$181,"&lt;="&amp;DATE(2025,4,30),'2025数据'!$AE$3:$AE$181,$E199)/10000)</f>
        <v>0.743634</v>
      </c>
      <c r="J199" s="51">
        <f ca="1">IF($S$1&lt;DATE(2025,5,1)," ",SUMIFS('2025数据'!$AK$3:$AK$181,'2025数据'!$D$3:$D$181,"&gt;="&amp;DATE(2025,5,1),'2025数据'!$D$3:$D$181,"&lt;="&amp;DATE(2025,5,31),'2025数据'!$AE$3:$AE$181,$E199)/10000)</f>
        <v>2.807139</v>
      </c>
      <c r="K199" s="51">
        <f ca="1">IF($S$1&lt;DATE(2025,6,1)," ",SUMIFS('2025数据'!$AK$3:$AK$181,'2025数据'!$D$3:$D$181,"&gt;="&amp;DATE(2025,6,1),'2025数据'!$D$3:$D$181,"&lt;="&amp;DATE(2025,6,30),'2025数据'!$AE$3:$AE$181,$E199)/10000)</f>
        <v>0.440851</v>
      </c>
      <c r="L199" s="51">
        <f ca="1">IF($S$1&lt;DATE(2025,7,1)," ",SUMIFS('2025数据'!$AK$3:$AK$181,'2025数据'!$D$3:$D$181,"&gt;="&amp;DATE(2025,7,1),'2025数据'!$D$3:$D$181,"&lt;="&amp;DATE(2025,7,31),'2025数据'!$AE$3:$AE$181,$E199)/10000)</f>
        <v>0.361341</v>
      </c>
      <c r="M199" s="51">
        <f ca="1">IF($S$1&lt;DATE(2025,8,1)," ",SUMIFS('2025数据'!$AK$3:$AK$181,'2025数据'!$D$3:$D$181,"&gt;="&amp;DATE(2025,8,1),'2025数据'!$D$3:$D$181,"&lt;="&amp;DATE(2025,8,31),'2025数据'!$AE$3:$AE$181,$E199)/10000)</f>
        <v>5.230054</v>
      </c>
      <c r="N199" s="51">
        <f ca="1">IF($S$1&lt;DATE(2025,9,1)," ",SUMIFS('2025数据'!$AK$3:$AK$181,'2025数据'!$D$3:$D$181,"&gt;="&amp;DATE(2025,9,1),'2025数据'!$D$3:$D$181,"&lt;="&amp;DATE(2025,9,30),'2025数据'!$AE$3:$AE$181,$E199)/10000)</f>
        <v>2.53191</v>
      </c>
      <c r="O199" s="51">
        <f ca="1">IF($S$1&lt;DATE(2025,10,1)," ",SUMIFS('2025数据'!$AK$3:$AK$181,'2025数据'!$D$3:$D$181,"&gt;="&amp;DATE(2025,10,1),'2025数据'!$D$3:$D$181,"&lt;="&amp;DATE(2025,10,31),'2025数据'!$AE$3:$AE$181,$E199)/10000)</f>
        <v>0.205245</v>
      </c>
      <c r="P199" s="217">
        <f ca="1">IF($S$1&lt;DATE(2025,11,1)," ",SUMIFS('2025数据'!$AK$3:$AK$181,'2025数据'!$D$3:$D$181,"&gt;="&amp;DATE(2025,11,1),'2025数据'!$D$3:$D$181,"&lt;="&amp;DATE(2025,11,30),'2025数据'!$AE$3:$AE$181,$E199)/10000)</f>
        <v>0.374192</v>
      </c>
      <c r="Q199" s="217">
        <f ca="1">IF($S$1&lt;DATE(2025,12,1)," ",SUMIFS('2025数据'!$AK$3:$AK$181,'2025数据'!$D$3:$D$181,"&gt;="&amp;DATE(2025,12,1),'2025数据'!$D$3:$D$181,"&lt;="&amp;DATE(2025,12,31),'2025数据'!$AE$3:$AE$181,$E199)/10000)</f>
        <v>0.402546</v>
      </c>
    </row>
    <row r="200" ht="24" customHeight="1" spans="1:17">
      <c r="A200" s="99" t="s">
        <v>289</v>
      </c>
      <c r="B200" s="99" t="s">
        <v>299</v>
      </c>
      <c r="C200" s="99" t="s">
        <v>333</v>
      </c>
      <c r="D200" s="48" t="s">
        <v>31</v>
      </c>
      <c r="E200" s="48" t="s">
        <v>82</v>
      </c>
      <c r="F200" s="51">
        <f ca="1">IF($S$1&lt;DATE(2025,1,1)," ",SUMIFS('2025数据'!$AK$3:$AK$181,'2025数据'!$D$3:$D$181,"&gt;="&amp;DATE(2025,1,1),'2025数据'!$D$3:$D$181,"&lt;="&amp;DATE(2025,1,31),'2025数据'!$AE$3:$AE$181,$E200)/10000)</f>
        <v>0.064518</v>
      </c>
      <c r="G200" s="51">
        <f ca="1">IF($S$1&lt;DATE(2025,2,1)," ",SUMIFS('2025数据'!$AK$3:$AK$181,'2025数据'!$D$3:$D$181,"&gt;="&amp;DATE(2025,2,1),'2025数据'!$D$3:$D$181,"&lt;="&amp;DATE(2025,2,28),'2025数据'!$AE$3:$AE$181,$E200)/10000)</f>
        <v>0.793369</v>
      </c>
      <c r="H200" s="51">
        <f ca="1">IF($S$1&lt;DATE(2025,3,1)," ",SUMIFS('2025数据'!$AK$3:$AK$181,'2025数据'!$D$3:$D$181,"&gt;="&amp;DATE(2025,3,1),'2025数据'!$D$3:$D$181,"&lt;="&amp;DATE(2025,3,31),'2025数据'!$AE$3:$AE$181,$E200)/10000)</f>
        <v>0</v>
      </c>
      <c r="I200" s="51">
        <f ca="1">IF($S$1&lt;DATE(2025,4,1)," ",SUMIFS('2025数据'!$AK$3:$AK$181,'2025数据'!$D$3:$D$181,"&gt;="&amp;DATE(2025,4,1),'2025数据'!$D$3:$D$181,"&lt;="&amp;DATE(2025,4,30),'2025数据'!$AE$3:$AE$181,$E200)/10000)</f>
        <v>2.107842</v>
      </c>
      <c r="J200" s="51">
        <f ca="1">IF($S$1&lt;DATE(2025,5,1)," ",SUMIFS('2025数据'!$AK$3:$AK$181,'2025数据'!$D$3:$D$181,"&gt;="&amp;DATE(2025,5,1),'2025数据'!$D$3:$D$181,"&lt;="&amp;DATE(2025,5,31),'2025数据'!$AE$3:$AE$181,$E200)/10000)</f>
        <v>0.433065</v>
      </c>
      <c r="K200" s="51">
        <f ca="1">IF($S$1&lt;DATE(2025,6,1)," ",SUMIFS('2025数据'!$AK$3:$AK$181,'2025数据'!$D$3:$D$181,"&gt;="&amp;DATE(2025,6,1),'2025数据'!$D$3:$D$181,"&lt;="&amp;DATE(2025,6,30),'2025数据'!$AE$3:$AE$181,$E200)/10000)</f>
        <v>0</v>
      </c>
      <c r="L200" s="51">
        <f ca="1">IF($S$1&lt;DATE(2025,7,1)," ",SUMIFS('2025数据'!$AK$3:$AK$181,'2025数据'!$D$3:$D$181,"&gt;="&amp;DATE(2025,7,1),'2025数据'!$D$3:$D$181,"&lt;="&amp;DATE(2025,7,31),'2025数据'!$AE$3:$AE$181,$E200)/10000)</f>
        <v>1.421204</v>
      </c>
      <c r="M200" s="51">
        <f ca="1">IF($S$1&lt;DATE(2025,8,1)," ",SUMIFS('2025数据'!$AK$3:$AK$181,'2025数据'!$D$3:$D$181,"&gt;="&amp;DATE(2025,8,1),'2025数据'!$D$3:$D$181,"&lt;="&amp;DATE(2025,8,31),'2025数据'!$AE$3:$AE$181,$E200)/10000)</f>
        <v>0</v>
      </c>
      <c r="N200" s="51">
        <f ca="1">IF($S$1&lt;DATE(2025,9,1)," ",SUMIFS('2025数据'!$AK$3:$AK$181,'2025数据'!$D$3:$D$181,"&gt;="&amp;DATE(2025,9,1),'2025数据'!$D$3:$D$181,"&lt;="&amp;DATE(2025,9,30),'2025数据'!$AE$3:$AE$181,$E200)/10000)</f>
        <v>1.344588</v>
      </c>
      <c r="O200" s="51">
        <f ca="1">IF($S$1&lt;DATE(2025,10,1)," ",SUMIFS('2025数据'!$AK$3:$AK$181,'2025数据'!$D$3:$D$181,"&gt;="&amp;DATE(2025,10,1),'2025数据'!$D$3:$D$181,"&lt;="&amp;DATE(2025,10,31),'2025数据'!$AE$3:$AE$181,$E200)/10000)</f>
        <v>0</v>
      </c>
      <c r="P200" s="217">
        <f ca="1">IF($S$1&lt;DATE(2025,11,1)," ",SUMIFS('2025数据'!$AK$3:$AK$181,'2025数据'!$D$3:$D$181,"&gt;="&amp;DATE(2025,11,1),'2025数据'!$D$3:$D$181,"&lt;="&amp;DATE(2025,11,30),'2025数据'!$AE$3:$AE$181,$E200)/10000)</f>
        <v>2.699172</v>
      </c>
      <c r="Q200" s="217">
        <f ca="1">IF($S$1&lt;DATE(2025,12,1)," ",SUMIFS('2025数据'!$AK$3:$AK$181,'2025数据'!$D$3:$D$181,"&gt;="&amp;DATE(2025,12,1),'2025数据'!$D$3:$D$181,"&lt;="&amp;DATE(2025,12,31),'2025数据'!$AE$3:$AE$181,$E200)/10000)</f>
        <v>0</v>
      </c>
    </row>
    <row r="201" ht="24" customHeight="1" spans="1:17">
      <c r="A201" s="99" t="s">
        <v>289</v>
      </c>
      <c r="B201" s="99" t="s">
        <v>299</v>
      </c>
      <c r="C201" s="99" t="s">
        <v>333</v>
      </c>
      <c r="D201" s="48" t="s">
        <v>31</v>
      </c>
      <c r="E201" s="48" t="s">
        <v>86</v>
      </c>
      <c r="F201" s="51">
        <f ca="1">IF($S$1&lt;DATE(2025,1,1)," ",SUMIFS('2025数据'!$AK$3:$AK$181,'2025数据'!$D$3:$D$181,"&gt;="&amp;DATE(2025,1,1),'2025数据'!$D$3:$D$181,"&lt;="&amp;DATE(2025,1,31),'2025数据'!$AE$3:$AE$181,$E201)/10000)</f>
        <v>0</v>
      </c>
      <c r="G201" s="51">
        <f ca="1">IF($S$1&lt;DATE(2025,2,1)," ",SUMIFS('2025数据'!$AK$3:$AK$181,'2025数据'!$D$3:$D$181,"&gt;="&amp;DATE(2025,2,1),'2025数据'!$D$3:$D$181,"&lt;="&amp;DATE(2025,2,28),'2025数据'!$AE$3:$AE$181,$E201)/10000)</f>
        <v>0</v>
      </c>
      <c r="H201" s="51">
        <f ca="1">IF($S$1&lt;DATE(2025,3,1)," ",SUMIFS('2025数据'!$AK$3:$AK$181,'2025数据'!$D$3:$D$181,"&gt;="&amp;DATE(2025,3,1),'2025数据'!$D$3:$D$181,"&lt;="&amp;DATE(2025,3,31),'2025数据'!$AE$3:$AE$181,$E201)/10000)</f>
        <v>0</v>
      </c>
      <c r="I201" s="51">
        <f ca="1">IF($S$1&lt;DATE(2025,4,1)," ",SUMIFS('2025数据'!$AK$3:$AK$181,'2025数据'!$D$3:$D$181,"&gt;="&amp;DATE(2025,4,1),'2025数据'!$D$3:$D$181,"&lt;="&amp;DATE(2025,4,30),'2025数据'!$AE$3:$AE$181,$E201)/10000)</f>
        <v>0</v>
      </c>
      <c r="J201" s="51">
        <f ca="1">IF($S$1&lt;DATE(2025,5,1)," ",SUMIFS('2025数据'!$AK$3:$AK$181,'2025数据'!$D$3:$D$181,"&gt;="&amp;DATE(2025,5,1),'2025数据'!$D$3:$D$181,"&lt;="&amp;DATE(2025,5,31),'2025数据'!$AE$3:$AE$181,$E201)/10000)</f>
        <v>0.473359</v>
      </c>
      <c r="K201" s="51">
        <f ca="1">IF($S$1&lt;DATE(2025,6,1)," ",SUMIFS('2025数据'!$AK$3:$AK$181,'2025数据'!$D$3:$D$181,"&gt;="&amp;DATE(2025,6,1),'2025数据'!$D$3:$D$181,"&lt;="&amp;DATE(2025,6,30),'2025数据'!$AE$3:$AE$181,$E201)/10000)</f>
        <v>0</v>
      </c>
      <c r="L201" s="51">
        <f ca="1">IF($S$1&lt;DATE(2025,7,1)," ",SUMIFS('2025数据'!$AK$3:$AK$181,'2025数据'!$D$3:$D$181,"&gt;="&amp;DATE(2025,7,1),'2025数据'!$D$3:$D$181,"&lt;="&amp;DATE(2025,7,31),'2025数据'!$AE$3:$AE$181,$E201)/10000)</f>
        <v>3.908334</v>
      </c>
      <c r="M201" s="51">
        <f ca="1">IF($S$1&lt;DATE(2025,8,1)," ",SUMIFS('2025数据'!$AK$3:$AK$181,'2025数据'!$D$3:$D$181,"&gt;="&amp;DATE(2025,8,1),'2025数据'!$D$3:$D$181,"&lt;="&amp;DATE(2025,8,31),'2025数据'!$AE$3:$AE$181,$E201)/10000)</f>
        <v>2.032191</v>
      </c>
      <c r="N201" s="51">
        <f ca="1">IF($S$1&lt;DATE(2025,9,1)," ",SUMIFS('2025数据'!$AK$3:$AK$181,'2025数据'!$D$3:$D$181,"&gt;="&amp;DATE(2025,9,1),'2025数据'!$D$3:$D$181,"&lt;="&amp;DATE(2025,9,30),'2025数据'!$AE$3:$AE$181,$E201)/10000)</f>
        <v>0</v>
      </c>
      <c r="O201" s="51">
        <f ca="1">IF($S$1&lt;DATE(2025,10,1)," ",SUMIFS('2025数据'!$AK$3:$AK$181,'2025数据'!$D$3:$D$181,"&gt;="&amp;DATE(2025,10,1),'2025数据'!$D$3:$D$181,"&lt;="&amp;DATE(2025,10,31),'2025数据'!$AE$3:$AE$181,$E201)/10000)</f>
        <v>0</v>
      </c>
      <c r="P201" s="217">
        <f ca="1">IF($S$1&lt;DATE(2025,11,1)," ",SUMIFS('2025数据'!$AK$3:$AK$181,'2025数据'!$D$3:$D$181,"&gt;="&amp;DATE(2025,11,1),'2025数据'!$D$3:$D$181,"&lt;="&amp;DATE(2025,11,30),'2025数据'!$AE$3:$AE$181,$E201)/10000)</f>
        <v>0.443772</v>
      </c>
      <c r="Q201" s="217">
        <f ca="1">IF($S$1&lt;DATE(2025,12,1)," ",SUMIFS('2025数据'!$AK$3:$AK$181,'2025数据'!$D$3:$D$181,"&gt;="&amp;DATE(2025,12,1),'2025数据'!$D$3:$D$181,"&lt;="&amp;DATE(2025,12,31),'2025数据'!$AE$3:$AE$181,$E201)/10000)</f>
        <v>0.884921</v>
      </c>
    </row>
    <row r="202" ht="24" customHeight="1" spans="1:17">
      <c r="A202" s="99" t="s">
        <v>289</v>
      </c>
      <c r="B202" s="99" t="s">
        <v>299</v>
      </c>
      <c r="C202" s="99" t="s">
        <v>333</v>
      </c>
      <c r="D202" s="48" t="s">
        <v>31</v>
      </c>
      <c r="E202" s="48" t="s">
        <v>97</v>
      </c>
      <c r="F202" s="51">
        <f ca="1">IF($S$1&lt;DATE(2025,1,1)," ",SUMIFS('2025数据'!$AK$3:$AK$181,'2025数据'!$D$3:$D$181,"&gt;="&amp;DATE(2025,1,1),'2025数据'!$D$3:$D$181,"&lt;="&amp;DATE(2025,1,31),'2025数据'!$AE$3:$AE$181,$E202)/10000)</f>
        <v>4.430437</v>
      </c>
      <c r="G202" s="51">
        <f ca="1">IF($S$1&lt;DATE(2025,2,1)," ",SUMIFS('2025数据'!$AK$3:$AK$181,'2025数据'!$D$3:$D$181,"&gt;="&amp;DATE(2025,2,1),'2025数据'!$D$3:$D$181,"&lt;="&amp;DATE(2025,2,28),'2025数据'!$AE$3:$AE$181,$E202)/10000)</f>
        <v>8.5932</v>
      </c>
      <c r="H202" s="51">
        <f ca="1">IF($S$1&lt;DATE(2025,3,1)," ",SUMIFS('2025数据'!$AK$3:$AK$181,'2025数据'!$D$3:$D$181,"&gt;="&amp;DATE(2025,3,1),'2025数据'!$D$3:$D$181,"&lt;="&amp;DATE(2025,3,31),'2025数据'!$AE$3:$AE$181,$E202)/10000)</f>
        <v>0</v>
      </c>
      <c r="I202" s="51">
        <f ca="1">IF($S$1&lt;DATE(2025,4,1)," ",SUMIFS('2025数据'!$AK$3:$AK$181,'2025数据'!$D$3:$D$181,"&gt;="&amp;DATE(2025,4,1),'2025数据'!$D$3:$D$181,"&lt;="&amp;DATE(2025,4,30),'2025数据'!$AE$3:$AE$181,$E202)/10000)</f>
        <v>0</v>
      </c>
      <c r="J202" s="51">
        <f ca="1">IF($S$1&lt;DATE(2025,5,1)," ",SUMIFS('2025数据'!$AK$3:$AK$181,'2025数据'!$D$3:$D$181,"&gt;="&amp;DATE(2025,5,1),'2025数据'!$D$3:$D$181,"&lt;="&amp;DATE(2025,5,31),'2025数据'!$AE$3:$AE$181,$E202)/10000)</f>
        <v>5.559287</v>
      </c>
      <c r="K202" s="51">
        <f ca="1">IF($S$1&lt;DATE(2025,6,1)," ",SUMIFS('2025数据'!$AK$3:$AK$181,'2025数据'!$D$3:$D$181,"&gt;="&amp;DATE(2025,6,1),'2025数据'!$D$3:$D$181,"&lt;="&amp;DATE(2025,6,30),'2025数据'!$AE$3:$AE$181,$E202)/10000)</f>
        <v>0</v>
      </c>
      <c r="L202" s="51">
        <f ca="1">IF($S$1&lt;DATE(2025,7,1)," ",SUMIFS('2025数据'!$AK$3:$AK$181,'2025数据'!$D$3:$D$181,"&gt;="&amp;DATE(2025,7,1),'2025数据'!$D$3:$D$181,"&lt;="&amp;DATE(2025,7,31),'2025数据'!$AE$3:$AE$181,$E202)/10000)</f>
        <v>0</v>
      </c>
      <c r="M202" s="51">
        <f ca="1">IF($S$1&lt;DATE(2025,8,1)," ",SUMIFS('2025数据'!$AK$3:$AK$181,'2025数据'!$D$3:$D$181,"&gt;="&amp;DATE(2025,8,1),'2025数据'!$D$3:$D$181,"&lt;="&amp;DATE(2025,8,31),'2025数据'!$AE$3:$AE$181,$E202)/10000)</f>
        <v>0.312544</v>
      </c>
      <c r="N202" s="51">
        <f ca="1">IF($S$1&lt;DATE(2025,9,1)," ",SUMIFS('2025数据'!$AK$3:$AK$181,'2025数据'!$D$3:$D$181,"&gt;="&amp;DATE(2025,9,1),'2025数据'!$D$3:$D$181,"&lt;="&amp;DATE(2025,9,30),'2025数据'!$AE$3:$AE$181,$E202)/10000)</f>
        <v>0</v>
      </c>
      <c r="O202" s="51">
        <f ca="1">IF($S$1&lt;DATE(2025,10,1)," ",SUMIFS('2025数据'!$AK$3:$AK$181,'2025数据'!$D$3:$D$181,"&gt;="&amp;DATE(2025,10,1),'2025数据'!$D$3:$D$181,"&lt;="&amp;DATE(2025,10,31),'2025数据'!$AE$3:$AE$181,$E202)/10000)</f>
        <v>0</v>
      </c>
      <c r="P202" s="217">
        <f ca="1">IF($S$1&lt;DATE(2025,11,1)," ",SUMIFS('2025数据'!$AK$3:$AK$181,'2025数据'!$D$3:$D$181,"&gt;="&amp;DATE(2025,11,1),'2025数据'!$D$3:$D$181,"&lt;="&amp;DATE(2025,11,30),'2025数据'!$AE$3:$AE$181,$E202)/10000)</f>
        <v>0.521736</v>
      </c>
      <c r="Q202" s="217">
        <f ca="1">IF($S$1&lt;DATE(2025,12,1)," ",SUMIFS('2025数据'!$AK$3:$AK$181,'2025数据'!$D$3:$D$181,"&gt;="&amp;DATE(2025,12,1),'2025数据'!$D$3:$D$181,"&lt;="&amp;DATE(2025,12,31),'2025数据'!$AE$3:$AE$181,$E202)/10000)</f>
        <v>1.140425</v>
      </c>
    </row>
    <row r="203" ht="24" customHeight="1" spans="1:17">
      <c r="A203" s="99" t="s">
        <v>289</v>
      </c>
      <c r="B203" s="99" t="s">
        <v>299</v>
      </c>
      <c r="C203" s="99" t="s">
        <v>333</v>
      </c>
      <c r="D203" s="48" t="s">
        <v>31</v>
      </c>
      <c r="E203" s="48" t="s">
        <v>87</v>
      </c>
      <c r="F203" s="51">
        <f ca="1">IF($S$1&lt;DATE(2025,1,1)," ",SUMIFS('2025数据'!$AK$3:$AK$181,'2025数据'!$D$3:$D$181,"&gt;="&amp;DATE(2025,1,1),'2025数据'!$D$3:$D$181,"&lt;="&amp;DATE(2025,1,31),'2025数据'!$AE$3:$AE$181,$E203)/10000)</f>
        <v>1.266791</v>
      </c>
      <c r="G203" s="51">
        <f ca="1">IF($S$1&lt;DATE(2025,2,1)," ",SUMIFS('2025数据'!$AK$3:$AK$181,'2025数据'!$D$3:$D$181,"&gt;="&amp;DATE(2025,2,1),'2025数据'!$D$3:$D$181,"&lt;="&amp;DATE(2025,2,28),'2025数据'!$AE$3:$AE$181,$E203)/10000)</f>
        <v>0</v>
      </c>
      <c r="H203" s="51">
        <f ca="1">IF($S$1&lt;DATE(2025,3,1)," ",SUMIFS('2025数据'!$AK$3:$AK$181,'2025数据'!$D$3:$D$181,"&gt;="&amp;DATE(2025,3,1),'2025数据'!$D$3:$D$181,"&lt;="&amp;DATE(2025,3,31),'2025数据'!$AE$3:$AE$181,$E203)/10000)</f>
        <v>0</v>
      </c>
      <c r="I203" s="51">
        <f ca="1">IF($S$1&lt;DATE(2025,4,1)," ",SUMIFS('2025数据'!$AK$3:$AK$181,'2025数据'!$D$3:$D$181,"&gt;="&amp;DATE(2025,4,1),'2025数据'!$D$3:$D$181,"&lt;="&amp;DATE(2025,4,30),'2025数据'!$AE$3:$AE$181,$E203)/10000)</f>
        <v>0</v>
      </c>
      <c r="J203" s="51">
        <f ca="1">IF($S$1&lt;DATE(2025,5,1)," ",SUMIFS('2025数据'!$AK$3:$AK$181,'2025数据'!$D$3:$D$181,"&gt;="&amp;DATE(2025,5,1),'2025数据'!$D$3:$D$181,"&lt;="&amp;DATE(2025,5,31),'2025数据'!$AE$3:$AE$181,$E203)/10000)</f>
        <v>0</v>
      </c>
      <c r="K203" s="51">
        <f ca="1">IF($S$1&lt;DATE(2025,6,1)," ",SUMIFS('2025数据'!$AK$3:$AK$181,'2025数据'!$D$3:$D$181,"&gt;="&amp;DATE(2025,6,1),'2025数据'!$D$3:$D$181,"&lt;="&amp;DATE(2025,6,30),'2025数据'!$AE$3:$AE$181,$E203)/10000)</f>
        <v>0</v>
      </c>
      <c r="L203" s="51">
        <f ca="1">IF($S$1&lt;DATE(2025,7,1)," ",SUMIFS('2025数据'!$AK$3:$AK$181,'2025数据'!$D$3:$D$181,"&gt;="&amp;DATE(2025,7,1),'2025数据'!$D$3:$D$181,"&lt;="&amp;DATE(2025,7,31),'2025数据'!$AE$3:$AE$181,$E203)/10000)</f>
        <v>0.183033</v>
      </c>
      <c r="M203" s="51">
        <f ca="1">IF($S$1&lt;DATE(2025,8,1)," ",SUMIFS('2025数据'!$AK$3:$AK$181,'2025数据'!$D$3:$D$181,"&gt;="&amp;DATE(2025,8,1),'2025数据'!$D$3:$D$181,"&lt;="&amp;DATE(2025,8,31),'2025数据'!$AE$3:$AE$181,$E203)/10000)</f>
        <v>0</v>
      </c>
      <c r="N203" s="51">
        <f ca="1">IF($S$1&lt;DATE(2025,9,1)," ",SUMIFS('2025数据'!$AK$3:$AK$181,'2025数据'!$D$3:$D$181,"&gt;="&amp;DATE(2025,9,1),'2025数据'!$D$3:$D$181,"&lt;="&amp;DATE(2025,9,30),'2025数据'!$AE$3:$AE$181,$E203)/10000)</f>
        <v>0.570458</v>
      </c>
      <c r="O203" s="51">
        <f ca="1">IF($S$1&lt;DATE(2025,10,1)," ",SUMIFS('2025数据'!$AK$3:$AK$181,'2025数据'!$D$3:$D$181,"&gt;="&amp;DATE(2025,10,1),'2025数据'!$D$3:$D$181,"&lt;="&amp;DATE(2025,10,31),'2025数据'!$AE$3:$AE$181,$E203)/10000)</f>
        <v>0</v>
      </c>
      <c r="P203" s="217">
        <f ca="1">IF($S$1&lt;DATE(2025,11,1)," ",SUMIFS('2025数据'!$AK$3:$AK$181,'2025数据'!$D$3:$D$181,"&gt;="&amp;DATE(2025,11,1),'2025数据'!$D$3:$D$181,"&lt;="&amp;DATE(2025,11,30),'2025数据'!$AE$3:$AE$181,$E203)/10000)</f>
        <v>0</v>
      </c>
      <c r="Q203" s="217">
        <f ca="1">IF($S$1&lt;DATE(2025,12,1)," ",SUMIFS('2025数据'!$AK$3:$AK$181,'2025数据'!$D$3:$D$181,"&gt;="&amp;DATE(2025,12,1),'2025数据'!$D$3:$D$181,"&lt;="&amp;DATE(2025,12,31),'2025数据'!$AE$3:$AE$181,$E203)/10000)</f>
        <v>0</v>
      </c>
    </row>
    <row r="204" ht="24" customHeight="1" spans="1:17">
      <c r="A204" s="99" t="s">
        <v>289</v>
      </c>
      <c r="B204" s="99" t="s">
        <v>299</v>
      </c>
      <c r="C204" s="99" t="s">
        <v>333</v>
      </c>
      <c r="D204" s="48" t="s">
        <v>31</v>
      </c>
      <c r="E204" s="48" t="s">
        <v>149</v>
      </c>
      <c r="F204" s="51">
        <f ca="1">IF($S$1&lt;DATE(2025,1,1)," ",SUMIFS('2025数据'!$AK$3:$AK$181,'2025数据'!$D$3:$D$181,"&gt;="&amp;DATE(2025,1,1),'2025数据'!$D$3:$D$181,"&lt;="&amp;DATE(2025,1,31),'2025数据'!$AE$3:$AE$181,$E204)/10000)</f>
        <v>0</v>
      </c>
      <c r="G204" s="51">
        <f ca="1">IF($S$1&lt;DATE(2025,2,1)," ",SUMIFS('2025数据'!$AK$3:$AK$181,'2025数据'!$D$3:$D$181,"&gt;="&amp;DATE(2025,2,1),'2025数据'!$D$3:$D$181,"&lt;="&amp;DATE(2025,2,28),'2025数据'!$AE$3:$AE$181,$E204)/10000)</f>
        <v>0</v>
      </c>
      <c r="H204" s="51">
        <f ca="1">IF($S$1&lt;DATE(2025,3,1)," ",SUMIFS('2025数据'!$AK$3:$AK$181,'2025数据'!$D$3:$D$181,"&gt;="&amp;DATE(2025,3,1),'2025数据'!$D$3:$D$181,"&lt;="&amp;DATE(2025,3,31),'2025数据'!$AE$3:$AE$181,$E204)/10000)</f>
        <v>0</v>
      </c>
      <c r="I204" s="51">
        <f ca="1">IF($S$1&lt;DATE(2025,4,1)," ",SUMIFS('2025数据'!$AK$3:$AK$181,'2025数据'!$D$3:$D$181,"&gt;="&amp;DATE(2025,4,1),'2025数据'!$D$3:$D$181,"&lt;="&amp;DATE(2025,4,30),'2025数据'!$AE$3:$AE$181,$E204)/10000)</f>
        <v>0</v>
      </c>
      <c r="J204" s="51">
        <f ca="1">IF($S$1&lt;DATE(2025,5,1)," ",SUMIFS('2025数据'!$AK$3:$AK$181,'2025数据'!$D$3:$D$181,"&gt;="&amp;DATE(2025,5,1),'2025数据'!$D$3:$D$181,"&lt;="&amp;DATE(2025,5,31),'2025数据'!$AE$3:$AE$181,$E204)/10000)</f>
        <v>0</v>
      </c>
      <c r="K204" s="51">
        <f ca="1">IF($S$1&lt;DATE(2025,6,1)," ",SUMIFS('2025数据'!$AK$3:$AK$181,'2025数据'!$D$3:$D$181,"&gt;="&amp;DATE(2025,6,1),'2025数据'!$D$3:$D$181,"&lt;="&amp;DATE(2025,6,30),'2025数据'!$AE$3:$AE$181,$E204)/10000)</f>
        <v>0.035933</v>
      </c>
      <c r="L204" s="51">
        <f ca="1">IF($S$1&lt;DATE(2025,7,1)," ",SUMIFS('2025数据'!$AK$3:$AK$181,'2025数据'!$D$3:$D$181,"&gt;="&amp;DATE(2025,7,1),'2025数据'!$D$3:$D$181,"&lt;="&amp;DATE(2025,7,31),'2025数据'!$AE$3:$AE$181,$E204)/10000)</f>
        <v>0</v>
      </c>
      <c r="M204" s="51">
        <f ca="1">IF($S$1&lt;DATE(2025,8,1)," ",SUMIFS('2025数据'!$AK$3:$AK$181,'2025数据'!$D$3:$D$181,"&gt;="&amp;DATE(2025,8,1),'2025数据'!$D$3:$D$181,"&lt;="&amp;DATE(2025,8,31),'2025数据'!$AE$3:$AE$181,$E204)/10000)</f>
        <v>0</v>
      </c>
      <c r="N204" s="51">
        <f ca="1">IF($S$1&lt;DATE(2025,9,1)," ",SUMIFS('2025数据'!$AK$3:$AK$181,'2025数据'!$D$3:$D$181,"&gt;="&amp;DATE(2025,9,1),'2025数据'!$D$3:$D$181,"&lt;="&amp;DATE(2025,9,30),'2025数据'!$AE$3:$AE$181,$E204)/10000)</f>
        <v>0</v>
      </c>
      <c r="O204" s="51">
        <f ca="1">IF($S$1&lt;DATE(2025,10,1)," ",SUMIFS('2025数据'!$AK$3:$AK$181,'2025数据'!$D$3:$D$181,"&gt;="&amp;DATE(2025,10,1),'2025数据'!$D$3:$D$181,"&lt;="&amp;DATE(2025,10,31),'2025数据'!$AE$3:$AE$181,$E204)/10000)</f>
        <v>0</v>
      </c>
      <c r="P204" s="217">
        <f ca="1">IF($S$1&lt;DATE(2025,11,1)," ",SUMIFS('2025数据'!$AK$3:$AK$181,'2025数据'!$D$3:$D$181,"&gt;="&amp;DATE(2025,11,1),'2025数据'!$D$3:$D$181,"&lt;="&amp;DATE(2025,11,30),'2025数据'!$AE$3:$AE$181,$E204)/10000)</f>
        <v>0</v>
      </c>
      <c r="Q204" s="217">
        <f ca="1">IF($S$1&lt;DATE(2025,12,1)," ",SUMIFS('2025数据'!$AK$3:$AK$181,'2025数据'!$D$3:$D$181,"&gt;="&amp;DATE(2025,12,1),'2025数据'!$D$3:$D$181,"&lt;="&amp;DATE(2025,12,31),'2025数据'!$AE$3:$AE$181,$E204)/10000)</f>
        <v>0</v>
      </c>
    </row>
    <row r="205" ht="24" customHeight="1" spans="1:17">
      <c r="A205" s="99" t="s">
        <v>289</v>
      </c>
      <c r="B205" s="99" t="s">
        <v>299</v>
      </c>
      <c r="C205" s="99" t="s">
        <v>333</v>
      </c>
      <c r="D205" s="48" t="s">
        <v>31</v>
      </c>
      <c r="E205" s="48" t="s">
        <v>83</v>
      </c>
      <c r="F205" s="51">
        <f ca="1">IF($S$1&lt;DATE(2025,1,1)," ",SUMIFS('2025数据'!$AK$3:$AK$181,'2025数据'!$D$3:$D$181,"&gt;="&amp;DATE(2025,1,1),'2025数据'!$D$3:$D$181,"&lt;="&amp;DATE(2025,1,31),'2025数据'!$AE$3:$AE$181,$E205)/10000)</f>
        <v>2.696387</v>
      </c>
      <c r="G205" s="51">
        <f ca="1">IF($S$1&lt;DATE(2025,2,1)," ",SUMIFS('2025数据'!$AK$3:$AK$181,'2025数据'!$D$3:$D$181,"&gt;="&amp;DATE(2025,2,1),'2025数据'!$D$3:$D$181,"&lt;="&amp;DATE(2025,2,28),'2025数据'!$AE$3:$AE$181,$E205)/10000)</f>
        <v>0</v>
      </c>
      <c r="H205" s="51">
        <f ca="1">IF($S$1&lt;DATE(2025,3,1)," ",SUMIFS('2025数据'!$AK$3:$AK$181,'2025数据'!$D$3:$D$181,"&gt;="&amp;DATE(2025,3,1),'2025数据'!$D$3:$D$181,"&lt;="&amp;DATE(2025,3,31),'2025数据'!$AE$3:$AE$181,$E205)/10000)</f>
        <v>0</v>
      </c>
      <c r="I205" s="51">
        <f ca="1">IF($S$1&lt;DATE(2025,4,1)," ",SUMIFS('2025数据'!$AK$3:$AK$181,'2025数据'!$D$3:$D$181,"&gt;="&amp;DATE(2025,4,1),'2025数据'!$D$3:$D$181,"&lt;="&amp;DATE(2025,4,30),'2025数据'!$AE$3:$AE$181,$E205)/10000)</f>
        <v>0</v>
      </c>
      <c r="J205" s="51">
        <f ca="1">IF($S$1&lt;DATE(2025,5,1)," ",SUMIFS('2025数据'!$AK$3:$AK$181,'2025数据'!$D$3:$D$181,"&gt;="&amp;DATE(2025,5,1),'2025数据'!$D$3:$D$181,"&lt;="&amp;DATE(2025,5,31),'2025数据'!$AE$3:$AE$181,$E205)/10000)</f>
        <v>0</v>
      </c>
      <c r="K205" s="51">
        <f ca="1">IF($S$1&lt;DATE(2025,6,1)," ",SUMIFS('2025数据'!$AK$3:$AK$181,'2025数据'!$D$3:$D$181,"&gt;="&amp;DATE(2025,6,1),'2025数据'!$D$3:$D$181,"&lt;="&amp;DATE(2025,6,30),'2025数据'!$AE$3:$AE$181,$E205)/10000)</f>
        <v>0</v>
      </c>
      <c r="L205" s="51">
        <f ca="1">IF($S$1&lt;DATE(2025,7,1)," ",SUMIFS('2025数据'!$AK$3:$AK$181,'2025数据'!$D$3:$D$181,"&gt;="&amp;DATE(2025,7,1),'2025数据'!$D$3:$D$181,"&lt;="&amp;DATE(2025,7,31),'2025数据'!$AE$3:$AE$181,$E205)/10000)</f>
        <v>0</v>
      </c>
      <c r="M205" s="51">
        <f ca="1">IF($S$1&lt;DATE(2025,8,1)," ",SUMIFS('2025数据'!$AK$3:$AK$181,'2025数据'!$D$3:$D$181,"&gt;="&amp;DATE(2025,8,1),'2025数据'!$D$3:$D$181,"&lt;="&amp;DATE(2025,8,31),'2025数据'!$AE$3:$AE$181,$E205)/10000)</f>
        <v>0</v>
      </c>
      <c r="N205" s="51">
        <f ca="1">IF($S$1&lt;DATE(2025,9,1)," ",SUMIFS('2025数据'!$AK$3:$AK$181,'2025数据'!$D$3:$D$181,"&gt;="&amp;DATE(2025,9,1),'2025数据'!$D$3:$D$181,"&lt;="&amp;DATE(2025,9,30),'2025数据'!$AE$3:$AE$181,$E205)/10000)</f>
        <v>0</v>
      </c>
      <c r="O205" s="51">
        <f ca="1">IF($S$1&lt;DATE(2025,10,1)," ",SUMIFS('2025数据'!$AK$3:$AK$181,'2025数据'!$D$3:$D$181,"&gt;="&amp;DATE(2025,10,1),'2025数据'!$D$3:$D$181,"&lt;="&amp;DATE(2025,10,31),'2025数据'!$AE$3:$AE$181,$E205)/10000)</f>
        <v>0</v>
      </c>
      <c r="P205" s="217">
        <f ca="1">IF($S$1&lt;DATE(2025,11,1)," ",SUMIFS('2025数据'!$AK$3:$AK$181,'2025数据'!$D$3:$D$181,"&gt;="&amp;DATE(2025,11,1),'2025数据'!$D$3:$D$181,"&lt;="&amp;DATE(2025,11,30),'2025数据'!$AE$3:$AE$181,$E205)/10000)</f>
        <v>0</v>
      </c>
      <c r="Q205" s="217">
        <f ca="1">IF($S$1&lt;DATE(2025,12,1)," ",SUMIFS('2025数据'!$AK$3:$AK$181,'2025数据'!$D$3:$D$181,"&gt;="&amp;DATE(2025,12,1),'2025数据'!$D$3:$D$181,"&lt;="&amp;DATE(2025,12,31),'2025数据'!$AE$3:$AE$181,$E205)/10000)</f>
        <v>0</v>
      </c>
    </row>
    <row r="206" ht="24" customHeight="1" spans="1:17">
      <c r="A206" s="99" t="s">
        <v>289</v>
      </c>
      <c r="B206" s="99" t="s">
        <v>299</v>
      </c>
      <c r="C206" s="99" t="s">
        <v>333</v>
      </c>
      <c r="D206" s="47" t="s">
        <v>294</v>
      </c>
      <c r="E206" s="47" t="s">
        <v>93</v>
      </c>
      <c r="F206" s="51">
        <f ca="1">IF($S$1&lt;DATE(2025,1,1)," ",SUMIFS('2025数据'!$AK$3:$AK$181,'2025数据'!$D$3:$D$181,"&gt;="&amp;DATE(2025,1,1),'2025数据'!$D$3:$D$181,"&lt;="&amp;DATE(2025,1,31),'2025数据'!$B$3:$B$181,$E206)/10000)</f>
        <v>8.458133</v>
      </c>
      <c r="G206" s="51">
        <f ca="1">IF($S$1&lt;DATE(2025,2,1)," ",SUMIFS('2025数据'!$AK$3:$AK$181,'2025数据'!$D$3:$D$181,"&gt;="&amp;DATE(2025,2,1),'2025数据'!$D$3:$D$181,"&lt;="&amp;DATE(2025,2,28),'2025数据'!$B$3:$B$181,$E206)/10000)</f>
        <v>0</v>
      </c>
      <c r="H206" s="51">
        <f ca="1">IF($S$1&lt;DATE(2025,3,1)," ",SUMIFS('2025数据'!$AK$3:$AK$181,'2025数据'!$D$3:$D$181,"&gt;="&amp;DATE(2025,3,1),'2025数据'!$D$3:$D$181,"&lt;="&amp;DATE(2025,3,31),'2025数据'!$B$3:$B$181,$E206)/10000)</f>
        <v>0</v>
      </c>
      <c r="I206" s="51">
        <f ca="1">IF($S$1&lt;DATE(2025,4,1)," ",SUMIFS('2025数据'!$AK$3:$AK$181,'2025数据'!$D$3:$D$181,"&gt;="&amp;DATE(2025,4,1),'2025数据'!$D$3:$D$181,"&lt;="&amp;DATE(2025,4,30),'2025数据'!$B$3:$B$181,$E206)/10000)</f>
        <v>1.163956</v>
      </c>
      <c r="J206" s="51">
        <f ca="1">IF($S$1&lt;DATE(2025,5,1)," ",SUMIFS('2025数据'!$AK$3:$AK$181,'2025数据'!$D$3:$D$181,"&gt;="&amp;DATE(2025,5,1),'2025数据'!$D$3:$D$181,"&lt;="&amp;DATE(2025,5,31),'2025数据'!$B$3:$B$181,$E206)/10000)</f>
        <v>1.731024</v>
      </c>
      <c r="K206" s="51">
        <f ca="1">IF($S$1&lt;DATE(2025,6,1)," ",SUMIFS('2025数据'!$AK$3:$AK$181,'2025数据'!$D$3:$D$181,"&gt;="&amp;DATE(2025,6,1),'2025数据'!$D$3:$D$181,"&lt;="&amp;DATE(2025,6,30),'2025数据'!$B$3:$B$181,$E206)/10000)</f>
        <v>0.440851</v>
      </c>
      <c r="L206" s="51">
        <f ca="1">IF($S$1&lt;DATE(2025,7,1)," ",SUMIFS('2025数据'!$AK$3:$AK$181,'2025数据'!$D$3:$D$181,"&gt;="&amp;DATE(2025,7,1),'2025数据'!$D$3:$D$181,"&lt;="&amp;DATE(2025,7,31),'2025数据'!$B$3:$B$181,$E206)/10000)</f>
        <v>1.421204</v>
      </c>
      <c r="M206" s="51">
        <f ca="1">IF($S$1&lt;DATE(2025,8,1)," ",SUMIFS('2025数据'!$AK$3:$AK$181,'2025数据'!$D$3:$D$181,"&gt;="&amp;DATE(2025,8,1),'2025数据'!$D$3:$D$181,"&lt;="&amp;DATE(2025,8,31),'2025数据'!$B$3:$B$181,$E206)/10000)</f>
        <v>7.001647</v>
      </c>
      <c r="N206" s="51">
        <f ca="1">IF($S$1&lt;DATE(2025,9,1)," ",SUMIFS('2025数据'!$AK$3:$AK$181,'2025数据'!$D$3:$D$181,"&gt;="&amp;DATE(2025,9,1),'2025数据'!$D$3:$D$181,"&lt;="&amp;DATE(2025,9,30),'2025数据'!$B$3:$B$181,$E206)/10000)</f>
        <v>2.820375</v>
      </c>
      <c r="O206" s="51">
        <f ca="1">IF($S$1&lt;DATE(2025,10,1)," ",SUMIFS('2025数据'!$AK$3:$AK$181,'2025数据'!$D$3:$D$181,"&gt;="&amp;DATE(2025,10,1),'2025数据'!$D$3:$D$181,"&lt;="&amp;DATE(2025,10,31),'2025数据'!$B$3:$B$181,$E206)/10000)</f>
        <v>0.205245</v>
      </c>
      <c r="P206" s="217">
        <f ca="1">IF($S$1&lt;DATE(2025,11,1)," ",SUMIFS('2025数据'!$AK$3:$AK$181,'2025数据'!$D$3:$D$181,"&gt;="&amp;DATE(2025,11,1),'2025数据'!$D$3:$D$181,"&lt;="&amp;DATE(2025,11,30),'2025数据'!$B$3:$B$181,$E206)/10000)</f>
        <v>0.895928</v>
      </c>
      <c r="Q206" s="217">
        <f ca="1">IF($S$1&lt;DATE(2025,12,1)," ",SUMIFS('2025数据'!$AK$3:$AK$181,'2025数据'!$D$3:$D$181,"&gt;="&amp;DATE(2025,12,1),'2025数据'!$D$3:$D$181,"&lt;="&amp;DATE(2025,12,31),'2025数据'!$B$3:$B$181,$E206)/10000)</f>
        <v>0</v>
      </c>
    </row>
    <row r="207" ht="24" customHeight="1" spans="1:17">
      <c r="A207" s="99" t="s">
        <v>289</v>
      </c>
      <c r="B207" s="99" t="s">
        <v>299</v>
      </c>
      <c r="C207" s="99" t="s">
        <v>333</v>
      </c>
      <c r="D207" s="47" t="s">
        <v>294</v>
      </c>
      <c r="E207" s="47" t="s">
        <v>85</v>
      </c>
      <c r="F207" s="51">
        <f ca="1">IF($S$1&lt;DATE(2025,1,1)," ",SUMIFS('2025数据'!$AK$3:$AK$181,'2025数据'!$D$3:$D$181,"&gt;="&amp;DATE(2025,1,1),'2025数据'!$D$3:$D$181,"&lt;="&amp;DATE(2025,1,31),'2025数据'!$B$3:$B$181,$E207)/10000)</f>
        <v>0</v>
      </c>
      <c r="G207" s="51">
        <f ca="1">IF($S$1&lt;DATE(2025,2,1)," ",SUMIFS('2025数据'!$AK$3:$AK$181,'2025数据'!$D$3:$D$181,"&gt;="&amp;DATE(2025,2,1),'2025数据'!$D$3:$D$181,"&lt;="&amp;DATE(2025,2,28),'2025数据'!$B$3:$B$181,$E207)/10000)</f>
        <v>0.793369</v>
      </c>
      <c r="H207" s="51">
        <f ca="1">IF($S$1&lt;DATE(2025,3,1)," ",SUMIFS('2025数据'!$AK$3:$AK$181,'2025数据'!$D$3:$D$181,"&gt;="&amp;DATE(2025,3,1),'2025数据'!$D$3:$D$181,"&lt;="&amp;DATE(2025,3,31),'2025数据'!$B$3:$B$181,$E207)/10000)</f>
        <v>0.202224</v>
      </c>
      <c r="I207" s="51">
        <f ca="1">IF($S$1&lt;DATE(2025,4,1)," ",SUMIFS('2025数据'!$AK$3:$AK$181,'2025数据'!$D$3:$D$181,"&gt;="&amp;DATE(2025,4,1),'2025数据'!$D$3:$D$181,"&lt;="&amp;DATE(2025,4,30),'2025数据'!$B$3:$B$181,$E207)/10000)</f>
        <v>0.743634</v>
      </c>
      <c r="J207" s="51">
        <f ca="1">IF($S$1&lt;DATE(2025,5,1)," ",SUMIFS('2025数据'!$AK$3:$AK$181,'2025数据'!$D$3:$D$181,"&gt;="&amp;DATE(2025,5,1),'2025数据'!$D$3:$D$181,"&lt;="&amp;DATE(2025,5,31),'2025数据'!$B$3:$B$181,$E207)/10000)</f>
        <v>6.032646</v>
      </c>
      <c r="K207" s="51">
        <f ca="1">IF($S$1&lt;DATE(2025,6,1)," ",SUMIFS('2025数据'!$AK$3:$AK$181,'2025数据'!$D$3:$D$181,"&gt;="&amp;DATE(2025,6,1),'2025数据'!$D$3:$D$181,"&lt;="&amp;DATE(2025,6,30),'2025数据'!$B$3:$B$181,$E207)/10000)</f>
        <v>0.035933</v>
      </c>
      <c r="L207" s="51">
        <f ca="1">IF($S$1&lt;DATE(2025,7,1)," ",SUMIFS('2025数据'!$AK$3:$AK$181,'2025数据'!$D$3:$D$181,"&gt;="&amp;DATE(2025,7,1),'2025数据'!$D$3:$D$181,"&lt;="&amp;DATE(2025,7,31),'2025数据'!$B$3:$B$181,$E207)/10000)</f>
        <v>4.452708</v>
      </c>
      <c r="M207" s="51">
        <f ca="1">IF($S$1&lt;DATE(2025,8,1)," ",SUMIFS('2025数据'!$AK$3:$AK$181,'2025数据'!$D$3:$D$181,"&gt;="&amp;DATE(2025,8,1),'2025数据'!$D$3:$D$181,"&lt;="&amp;DATE(2025,8,31),'2025数据'!$B$3:$B$181,$E207)/10000)</f>
        <v>0.260598</v>
      </c>
      <c r="N207" s="51">
        <f ca="1">IF($S$1&lt;DATE(2025,9,1)," ",SUMIFS('2025数据'!$AK$3:$AK$181,'2025数据'!$D$3:$D$181,"&gt;="&amp;DATE(2025,9,1),'2025数据'!$D$3:$D$181,"&lt;="&amp;DATE(2025,9,30),'2025数据'!$B$3:$B$181,$E207)/10000)</f>
        <v>1.056123</v>
      </c>
      <c r="O207" s="51">
        <f ca="1">IF($S$1&lt;DATE(2025,10,1)," ",SUMIFS('2025数据'!$AK$3:$AK$181,'2025数据'!$D$3:$D$181,"&gt;="&amp;DATE(2025,10,1),'2025数据'!$D$3:$D$181,"&lt;="&amp;DATE(2025,10,31),'2025数据'!$B$3:$B$181,$E207)/10000)</f>
        <v>0</v>
      </c>
      <c r="P207" s="217">
        <f ca="1">IF($S$1&lt;DATE(2025,11,1)," ",SUMIFS('2025数据'!$AK$3:$AK$181,'2025数据'!$D$3:$D$181,"&gt;="&amp;DATE(2025,11,1),'2025数据'!$D$3:$D$181,"&lt;="&amp;DATE(2025,11,30),'2025数据'!$B$3:$B$181,$E207)/10000)</f>
        <v>2.462406</v>
      </c>
      <c r="Q207" s="217">
        <f ca="1">IF($S$1&lt;DATE(2025,12,1)," ",SUMIFS('2025数据'!$AK$3:$AK$181,'2025数据'!$D$3:$D$181,"&gt;="&amp;DATE(2025,12,1),'2025数据'!$D$3:$D$181,"&lt;="&amp;DATE(2025,12,31),'2025数据'!$B$3:$B$181,$E207)/10000)</f>
        <v>2.427892</v>
      </c>
    </row>
    <row r="208" ht="24" customHeight="1" spans="1:17">
      <c r="A208" s="99" t="s">
        <v>289</v>
      </c>
      <c r="B208" s="99" t="s">
        <v>299</v>
      </c>
      <c r="C208" s="99" t="s">
        <v>333</v>
      </c>
      <c r="D208" s="47" t="s">
        <v>294</v>
      </c>
      <c r="E208" s="47" t="s">
        <v>81</v>
      </c>
      <c r="F208" s="51">
        <f ca="1">IF($S$1&lt;DATE(2025,1,1)," ",SUMIFS('2025数据'!$AK$3:$AK$181,'2025数据'!$D$3:$D$181,"&gt;="&amp;DATE(2025,1,1),'2025数据'!$D$3:$D$181,"&lt;="&amp;DATE(2025,1,31),'2025数据'!$B$3:$B$181,$E208)/10000)</f>
        <v>0</v>
      </c>
      <c r="G208" s="51">
        <f ca="1">IF($S$1&lt;DATE(2025,2,1)," ",SUMIFS('2025数据'!$AK$3:$AK$181,'2025数据'!$D$3:$D$181,"&gt;="&amp;DATE(2025,2,1),'2025数据'!$D$3:$D$181,"&lt;="&amp;DATE(2025,2,28),'2025数据'!$B$3:$B$181,$E208)/10000)</f>
        <v>0</v>
      </c>
      <c r="H208" s="51">
        <f ca="1">IF($S$1&lt;DATE(2025,3,1)," ",SUMIFS('2025数据'!$AK$3:$AK$181,'2025数据'!$D$3:$D$181,"&gt;="&amp;DATE(2025,3,1),'2025数据'!$D$3:$D$181,"&lt;="&amp;DATE(2025,3,31),'2025数据'!$B$3:$B$181,$E208)/10000)</f>
        <v>0</v>
      </c>
      <c r="I208" s="51">
        <f ca="1">IF($S$1&lt;DATE(2025,4,1)," ",SUMIFS('2025数据'!$AK$3:$AK$181,'2025数据'!$D$3:$D$181,"&gt;="&amp;DATE(2025,4,1),'2025数据'!$D$3:$D$181,"&lt;="&amp;DATE(2025,4,30),'2025数据'!$B$3:$B$181,$E208)/10000)</f>
        <v>0.943886</v>
      </c>
      <c r="J208" s="51">
        <f ca="1">IF($S$1&lt;DATE(2025,5,1)," ",SUMIFS('2025数据'!$AK$3:$AK$181,'2025数据'!$D$3:$D$181,"&gt;="&amp;DATE(2025,5,1),'2025数据'!$D$3:$D$181,"&lt;="&amp;DATE(2025,5,31),'2025数据'!$B$3:$B$181,$E208)/10000)</f>
        <v>1.50918</v>
      </c>
      <c r="K208" s="51">
        <f ca="1">IF($S$1&lt;DATE(2025,6,1)," ",SUMIFS('2025数据'!$AK$3:$AK$181,'2025数据'!$D$3:$D$181,"&gt;="&amp;DATE(2025,6,1),'2025数据'!$D$3:$D$181,"&lt;="&amp;DATE(2025,6,30),'2025数据'!$B$3:$B$181,$E208)/10000)</f>
        <v>0</v>
      </c>
      <c r="L208" s="51">
        <f ca="1">IF($S$1&lt;DATE(2025,7,1)," ",SUMIFS('2025数据'!$AK$3:$AK$181,'2025数据'!$D$3:$D$181,"&gt;="&amp;DATE(2025,7,1),'2025数据'!$D$3:$D$181,"&lt;="&amp;DATE(2025,7,31),'2025数据'!$B$3:$B$181,$E208)/10000)</f>
        <v>0</v>
      </c>
      <c r="M208" s="51">
        <f ca="1">IF($S$1&lt;DATE(2025,8,1)," ",SUMIFS('2025数据'!$AK$3:$AK$181,'2025数据'!$D$3:$D$181,"&gt;="&amp;DATE(2025,8,1),'2025数据'!$D$3:$D$181,"&lt;="&amp;DATE(2025,8,31),'2025数据'!$B$3:$B$181,$E208)/10000)</f>
        <v>0.312544</v>
      </c>
      <c r="N208" s="51">
        <f ca="1">IF($S$1&lt;DATE(2025,9,1)," ",SUMIFS('2025数据'!$AK$3:$AK$181,'2025数据'!$D$3:$D$181,"&gt;="&amp;DATE(2025,9,1),'2025数据'!$D$3:$D$181,"&lt;="&amp;DATE(2025,9,30),'2025数据'!$B$3:$B$181,$E208)/10000)</f>
        <v>0.570458</v>
      </c>
      <c r="O208" s="51">
        <f ca="1">IF($S$1&lt;DATE(2025,10,1)," ",SUMIFS('2025数据'!$AK$3:$AK$181,'2025数据'!$D$3:$D$181,"&gt;="&amp;DATE(2025,10,1),'2025数据'!$D$3:$D$181,"&lt;="&amp;DATE(2025,10,31),'2025数据'!$B$3:$B$181,$E208)/10000)</f>
        <v>0</v>
      </c>
      <c r="P208" s="217">
        <f ca="1">IF($S$1&lt;DATE(2025,11,1)," ",SUMIFS('2025数据'!$AK$3:$AK$181,'2025数据'!$D$3:$D$181,"&gt;="&amp;DATE(2025,11,1),'2025数据'!$D$3:$D$181,"&lt;="&amp;DATE(2025,11,30),'2025数据'!$B$3:$B$181,$E208)/10000)</f>
        <v>0.680538</v>
      </c>
      <c r="Q208" s="217">
        <f ca="1">IF($S$1&lt;DATE(2025,12,1)," ",SUMIFS('2025数据'!$AK$3:$AK$181,'2025数据'!$D$3:$D$181,"&gt;="&amp;DATE(2025,12,1),'2025数据'!$D$3:$D$181,"&lt;="&amp;DATE(2025,12,31),'2025数据'!$B$3:$B$181,$E208)/10000)</f>
        <v>0</v>
      </c>
    </row>
    <row r="209" ht="24" customHeight="1" spans="1:17">
      <c r="A209" s="99" t="s">
        <v>289</v>
      </c>
      <c r="B209" s="99" t="s">
        <v>299</v>
      </c>
      <c r="C209" s="99" t="s">
        <v>333</v>
      </c>
      <c r="D209" s="47" t="s">
        <v>294</v>
      </c>
      <c r="E209" s="47" t="s">
        <v>96</v>
      </c>
      <c r="F209" s="51">
        <f ca="1">IF($S$1&lt;DATE(2025,1,1)," ",SUMIFS('2025数据'!$AK$3:$AK$181,'2025数据'!$D$3:$D$181,"&gt;="&amp;DATE(2025,1,1),'2025数据'!$D$3:$D$181,"&lt;="&amp;DATE(2025,1,31),'2025数据'!$B$3:$B$181,$E209)/10000)</f>
        <v>0</v>
      </c>
      <c r="G209" s="51">
        <f ca="1">IF($S$1&lt;DATE(2025,2,1)," ",SUMIFS('2025数据'!$AK$3:$AK$181,'2025数据'!$D$3:$D$181,"&gt;="&amp;DATE(2025,2,1),'2025数据'!$D$3:$D$181,"&lt;="&amp;DATE(2025,2,28),'2025数据'!$B$3:$B$181,$E209)/10000)</f>
        <v>8.5932</v>
      </c>
      <c r="H209" s="51">
        <f ca="1">IF($S$1&lt;DATE(2025,3,1)," ",SUMIFS('2025数据'!$AK$3:$AK$181,'2025数据'!$D$3:$D$181,"&gt;="&amp;DATE(2025,3,1),'2025数据'!$D$3:$D$181,"&lt;="&amp;DATE(2025,3,31),'2025数据'!$B$3:$B$181,$E209)/10000)</f>
        <v>0</v>
      </c>
      <c r="I209" s="51">
        <f ca="1">IF($S$1&lt;DATE(2025,4,1)," ",SUMIFS('2025数据'!$AK$3:$AK$181,'2025数据'!$D$3:$D$181,"&gt;="&amp;DATE(2025,4,1),'2025数据'!$D$3:$D$181,"&lt;="&amp;DATE(2025,4,30),'2025数据'!$B$3:$B$181,$E209)/10000)</f>
        <v>0</v>
      </c>
      <c r="J209" s="51">
        <f ca="1">IF($S$1&lt;DATE(2025,5,1)," ",SUMIFS('2025数据'!$AK$3:$AK$181,'2025数据'!$D$3:$D$181,"&gt;="&amp;DATE(2025,5,1),'2025数据'!$D$3:$D$181,"&lt;="&amp;DATE(2025,5,31),'2025数据'!$B$3:$B$181,$E209)/10000)</f>
        <v>0</v>
      </c>
      <c r="K209" s="51">
        <f ca="1">IF($S$1&lt;DATE(2025,6,1)," ",SUMIFS('2025数据'!$AK$3:$AK$181,'2025数据'!$D$3:$D$181,"&gt;="&amp;DATE(2025,6,1),'2025数据'!$D$3:$D$181,"&lt;="&amp;DATE(2025,6,30),'2025数据'!$B$3:$B$181,$E209)/10000)</f>
        <v>0</v>
      </c>
      <c r="L209" s="51">
        <f ca="1">IF($S$1&lt;DATE(2025,7,1)," ",SUMIFS('2025数据'!$AK$3:$AK$181,'2025数据'!$D$3:$D$181,"&gt;="&amp;DATE(2025,7,1),'2025数据'!$D$3:$D$181,"&lt;="&amp;DATE(2025,7,31),'2025数据'!$B$3:$B$181,$E209)/10000)</f>
        <v>0</v>
      </c>
      <c r="M209" s="51">
        <f ca="1">IF($S$1&lt;DATE(2025,8,1)," ",SUMIFS('2025数据'!$AK$3:$AK$181,'2025数据'!$D$3:$D$181,"&gt;="&amp;DATE(2025,8,1),'2025数据'!$D$3:$D$181,"&lt;="&amp;DATE(2025,8,31),'2025数据'!$B$3:$B$181,$E209)/10000)</f>
        <v>0</v>
      </c>
      <c r="N209" s="51">
        <f ca="1">IF($S$1&lt;DATE(2025,9,1)," ",SUMIFS('2025数据'!$AK$3:$AK$181,'2025数据'!$D$3:$D$181,"&gt;="&amp;DATE(2025,9,1),'2025数据'!$D$3:$D$181,"&lt;="&amp;DATE(2025,9,30),'2025数据'!$B$3:$B$181,$E209)/10000)</f>
        <v>0</v>
      </c>
      <c r="O209" s="51">
        <f ca="1">IF($S$1&lt;DATE(2025,10,1)," ",SUMIFS('2025数据'!$AK$3:$AK$181,'2025数据'!$D$3:$D$181,"&gt;="&amp;DATE(2025,10,1),'2025数据'!$D$3:$D$181,"&lt;="&amp;DATE(2025,10,31),'2025数据'!$B$3:$B$181,$E209)/10000)</f>
        <v>0</v>
      </c>
      <c r="P209" s="217">
        <f ca="1">IF($S$1&lt;DATE(2025,11,1)," ",SUMIFS('2025数据'!$AK$3:$AK$181,'2025数据'!$D$3:$D$181,"&gt;="&amp;DATE(2025,11,1),'2025数据'!$D$3:$D$181,"&lt;="&amp;DATE(2025,11,30),'2025数据'!$B$3:$B$181,$E209)/10000)</f>
        <v>0</v>
      </c>
      <c r="Q209" s="217">
        <f ca="1">IF($S$1&lt;DATE(2025,12,1)," ",SUMIFS('2025数据'!$AK$3:$AK$181,'2025数据'!$D$3:$D$181,"&gt;="&amp;DATE(2025,12,1),'2025数据'!$D$3:$D$181,"&lt;="&amp;DATE(2025,12,31),'2025数据'!$B$3:$B$181,$E209)/10000)</f>
        <v>0</v>
      </c>
    </row>
    <row r="210" ht="24" customHeight="1" spans="1:17">
      <c r="A210" s="99" t="s">
        <v>289</v>
      </c>
      <c r="B210" s="99" t="s">
        <v>299</v>
      </c>
      <c r="C210" s="99" t="s">
        <v>333</v>
      </c>
      <c r="D210" s="47" t="s">
        <v>294</v>
      </c>
      <c r="E210" s="47" t="s">
        <v>160</v>
      </c>
      <c r="F210" s="51">
        <f ca="1">IF($S$1&lt;DATE(2025,1,1)," ",SUMIFS('2025数据'!$AK$3:$AK$181,'2025数据'!$D$3:$D$181,"&gt;="&amp;DATE(2025,1,1),'2025数据'!$D$3:$D$181,"&lt;="&amp;DATE(2025,1,31),'2025数据'!$B$3:$B$181,$E210)/10000)</f>
        <v>0</v>
      </c>
      <c r="G210" s="51">
        <f ca="1">IF($S$1&lt;DATE(2025,2,1)," ",SUMIFS('2025数据'!$AK$3:$AK$181,'2025数据'!$D$3:$D$181,"&gt;="&amp;DATE(2025,2,1),'2025数据'!$D$3:$D$181,"&lt;="&amp;DATE(2025,2,28),'2025数据'!$B$3:$B$181,$E210)/10000)</f>
        <v>0</v>
      </c>
      <c r="H210" s="51">
        <f ca="1">IF($S$1&lt;DATE(2025,3,1)," ",SUMIFS('2025数据'!$AK$3:$AK$181,'2025数据'!$D$3:$D$181,"&gt;="&amp;DATE(2025,3,1),'2025数据'!$D$3:$D$181,"&lt;="&amp;DATE(2025,3,31),'2025数据'!$B$3:$B$181,$E210)/10000)</f>
        <v>0</v>
      </c>
      <c r="I210" s="51">
        <f ca="1">IF($S$1&lt;DATE(2025,4,1)," ",SUMIFS('2025数据'!$AK$3:$AK$181,'2025数据'!$D$3:$D$181,"&gt;="&amp;DATE(2025,4,1),'2025数据'!$D$3:$D$181,"&lt;="&amp;DATE(2025,4,30),'2025数据'!$B$3:$B$181,$E210)/10000)</f>
        <v>0</v>
      </c>
      <c r="J210" s="51">
        <f ca="1">IF($S$1&lt;DATE(2025,5,1)," ",SUMIFS('2025数据'!$AK$3:$AK$181,'2025数据'!$D$3:$D$181,"&gt;="&amp;DATE(2025,5,1),'2025数据'!$D$3:$D$181,"&lt;="&amp;DATE(2025,5,31),'2025数据'!$B$3:$B$181,$E210)/10000)</f>
        <v>0</v>
      </c>
      <c r="K210" s="51">
        <f ca="1">IF($S$1&lt;DATE(2025,6,1)," ",SUMIFS('2025数据'!$AK$3:$AK$181,'2025数据'!$D$3:$D$181,"&gt;="&amp;DATE(2025,6,1),'2025数据'!$D$3:$D$181,"&lt;="&amp;DATE(2025,6,30),'2025数据'!$B$3:$B$181,$E210)/10000)</f>
        <v>0</v>
      </c>
      <c r="L210" s="51">
        <f ca="1">IF($S$1&lt;DATE(2025,7,1)," ",SUMIFS('2025数据'!$AK$3:$AK$181,'2025数据'!$D$3:$D$181,"&gt;="&amp;DATE(2025,7,1),'2025数据'!$D$3:$D$181,"&lt;="&amp;DATE(2025,7,31),'2025数据'!$B$3:$B$181,$E210)/10000)</f>
        <v>0</v>
      </c>
      <c r="M210" s="51">
        <f ca="1">IF($S$1&lt;DATE(2025,8,1)," ",SUMIFS('2025数据'!$AK$3:$AK$181,'2025数据'!$D$3:$D$181,"&gt;="&amp;DATE(2025,8,1),'2025数据'!$D$3:$D$181,"&lt;="&amp;DATE(2025,8,31),'2025数据'!$B$3:$B$181,$E210)/10000)</f>
        <v>0</v>
      </c>
      <c r="N210" s="51">
        <f ca="1">IF($S$1&lt;DATE(2025,9,1)," ",SUMIFS('2025数据'!$AK$3:$AK$181,'2025数据'!$D$3:$D$181,"&gt;="&amp;DATE(2025,9,1),'2025数据'!$D$3:$D$181,"&lt;="&amp;DATE(2025,9,30),'2025数据'!$B$3:$B$181,$E210)/10000)</f>
        <v>0</v>
      </c>
      <c r="O210" s="51">
        <f ca="1">IF($S$1&lt;DATE(2025,10,1)," ",SUMIFS('2025数据'!$AK$3:$AK$181,'2025数据'!$D$3:$D$181,"&gt;="&amp;DATE(2025,10,1),'2025数据'!$D$3:$D$181,"&lt;="&amp;DATE(2025,10,31),'2025数据'!$B$3:$B$181,$E210)/10000)</f>
        <v>0</v>
      </c>
      <c r="P210" s="217">
        <f ca="1">IF($S$1&lt;DATE(2025,11,1)," ",SUMIFS('2025数据'!$AK$3:$AK$181,'2025数据'!$D$3:$D$181,"&gt;="&amp;DATE(2025,11,1),'2025数据'!$D$3:$D$181,"&lt;="&amp;DATE(2025,11,30),'2025数据'!$B$3:$B$181,$E210)/10000)</f>
        <v>0</v>
      </c>
      <c r="Q210" s="217">
        <f ca="1">IF($S$1&lt;DATE(2025,12,1)," ",SUMIFS('2025数据'!$AK$3:$AK$181,'2025数据'!$D$3:$D$181,"&gt;="&amp;DATE(2025,12,1),'2025数据'!$D$3:$D$181,"&lt;="&amp;DATE(2025,12,31),'2025数据'!$B$3:$B$181,$E210)/10000)</f>
        <v>0</v>
      </c>
    </row>
    <row r="211" ht="24" customHeight="1" spans="1:17">
      <c r="A211" s="99" t="s">
        <v>289</v>
      </c>
      <c r="B211" s="99" t="s">
        <v>299</v>
      </c>
      <c r="C211" s="99" t="s">
        <v>334</v>
      </c>
      <c r="D211" s="213" t="s">
        <v>292</v>
      </c>
      <c r="E211" s="213" t="s">
        <v>300</v>
      </c>
      <c r="F211" s="216">
        <f ca="1">IF($S$1&lt;DATE(2025,1,1)," ",SUM(F212:F216))</f>
        <v>10.481073</v>
      </c>
      <c r="G211" s="216">
        <f ca="1">IF($S$1&lt;DATE(2025,2,1)," ",SUM(G212:G216))</f>
        <v>9.711115</v>
      </c>
      <c r="H211" s="216">
        <f ca="1">IF($S$1&lt;DATE(2025,3,1)," ",SUM(H212:H216))</f>
        <v>0.199991</v>
      </c>
      <c r="I211" s="216">
        <f ca="1">IF($S$1&lt;DATE(2025,4,1)," ",SUM(I212:I216))</f>
        <v>2.806773</v>
      </c>
      <c r="J211" s="216">
        <f ca="1">IF($S$1&lt;DATE(2025,5,1)," ",SUM(J212:J216))</f>
        <v>13.228555</v>
      </c>
      <c r="K211" s="216">
        <f ca="1">IF($S$1&lt;DATE(2025,6,1)," ",SUM(K212:K216))</f>
        <v>0.470273</v>
      </c>
      <c r="L211" s="216">
        <f ca="1">IF($S$1&lt;DATE(2025,7,1)," ",SUM(L212:L216))</f>
        <v>6.098132</v>
      </c>
      <c r="M211" s="216">
        <f ca="1">IF($S$1&lt;DATE(2025,8,1)," ",SUM(M212:M216))</f>
        <v>7.93138</v>
      </c>
      <c r="N211" s="216">
        <f ca="1">IF($S$1&lt;DATE(2025,9,1)," ",SUM(N212:N216))</f>
        <v>4.580866</v>
      </c>
      <c r="O211" s="216">
        <f ca="1">IF($S$1&lt;DATE(2025,10,1)," ",SUM(O212:O216))</f>
        <v>0.205017</v>
      </c>
      <c r="P211" s="216">
        <f ca="1">IF($S$1&lt;DATE(2025,11,1)," ",SUM(P212:P216))</f>
        <v>4.283561</v>
      </c>
      <c r="Q211" s="216">
        <f ca="1">IF($S$1&lt;DATE(2025,12,1)," ",SUM(Q212:Q216))</f>
        <v>3.482096</v>
      </c>
    </row>
    <row r="212" ht="24" customHeight="1" spans="1:17">
      <c r="A212" s="99" t="s">
        <v>289</v>
      </c>
      <c r="B212" s="99" t="s">
        <v>299</v>
      </c>
      <c r="C212" s="99" t="s">
        <v>334</v>
      </c>
      <c r="D212" s="214" t="s">
        <v>294</v>
      </c>
      <c r="E212" s="214" t="s">
        <v>93</v>
      </c>
      <c r="F212" s="51">
        <f ca="1">IF($S$1&lt;DATE(2025,1,1)," ",SUMIFS('2025数据'!$AJ$3:$AJ$181,'2025数据'!$D$3:$D$181,"&gt;="&amp;DATE(2025,1,1),'2025数据'!$D$3:$D$181,"&lt;="&amp;DATE(2025,1,31),'2025数据'!$B$3:$B$181,$E212)/10000)</f>
        <v>10.481073</v>
      </c>
      <c r="G212" s="51">
        <f ca="1">IF($S$1&lt;DATE(2025,2,1)," ",SUMIFS('2025数据'!$AJ$3:$AJ$181,'2025数据'!$D$3:$D$181,"&gt;="&amp;DATE(2025,2,1),'2025数据'!$D$3:$D$181,"&lt;="&amp;DATE(2025,2,28),'2025数据'!$B$3:$B$181,$E212)/10000)</f>
        <v>0</v>
      </c>
      <c r="H212" s="51">
        <f ca="1">IF($S$1&lt;DATE(2025,3,1)," ",SUMIFS('2025数据'!$AJ$3:$AJ$181,'2025数据'!$D$3:$D$181,"&gt;="&amp;DATE(2025,3,1),'2025数据'!$D$3:$D$181,"&lt;="&amp;DATE(2025,3,31),'2025数据'!$B$3:$B$181,$E212)/10000)</f>
        <v>0</v>
      </c>
      <c r="I212" s="51">
        <f ca="1">IF($S$1&lt;DATE(2025,4,1)," ",SUMIFS('2025数据'!$AJ$3:$AJ$181,'2025数据'!$D$3:$D$181,"&gt;="&amp;DATE(2025,4,1),'2025数据'!$D$3:$D$181,"&lt;="&amp;DATE(2025,4,30),'2025数据'!$B$3:$B$181,$E212)/10000)</f>
        <v>1.086653</v>
      </c>
      <c r="J212" s="51">
        <f ca="1">IF($S$1&lt;DATE(2025,5,1)," ",SUMIFS('2025数据'!$AJ$3:$AJ$181,'2025数据'!$D$3:$D$181,"&gt;="&amp;DATE(2025,5,1),'2025数据'!$D$3:$D$181,"&lt;="&amp;DATE(2025,5,31),'2025数据'!$B$3:$B$181,$E212)/10000)</f>
        <v>1.718586</v>
      </c>
      <c r="K212" s="51">
        <f ca="1">IF($S$1&lt;DATE(2025,6,1)," ",SUMIFS('2025数据'!$AJ$3:$AJ$181,'2025数据'!$D$3:$D$181,"&gt;="&amp;DATE(2025,6,1),'2025数据'!$D$3:$D$181,"&lt;="&amp;DATE(2025,6,30),'2025数据'!$B$3:$B$181,$E212)/10000)</f>
        <v>0.443831</v>
      </c>
      <c r="L212" s="51">
        <f ca="1">IF($S$1&lt;DATE(2025,7,1)," ",SUMIFS('2025数据'!$AJ$3:$AJ$181,'2025数据'!$D$3:$D$181,"&gt;="&amp;DATE(2025,7,1),'2025数据'!$D$3:$D$181,"&lt;="&amp;DATE(2025,7,31),'2025数据'!$B$3:$B$181,$E212)/10000)</f>
        <v>1.437914</v>
      </c>
      <c r="M212" s="51">
        <f ca="1">IF($S$1&lt;DATE(2025,8,1)," ",SUMIFS('2025数据'!$AJ$3:$AJ$181,'2025数据'!$D$3:$D$181,"&gt;="&amp;DATE(2025,8,1),'2025数据'!$D$3:$D$181,"&lt;="&amp;DATE(2025,8,31),'2025数据'!$B$3:$B$181,$E212)/10000)</f>
        <v>7.353602</v>
      </c>
      <c r="N212" s="51">
        <f ca="1">IF($S$1&lt;DATE(2025,9,1)," ",SUMIFS('2025数据'!$AJ$3:$AJ$181,'2025数据'!$D$3:$D$181,"&gt;="&amp;DATE(2025,9,1),'2025数据'!$D$3:$D$181,"&lt;="&amp;DATE(2025,9,30),'2025数据'!$B$3:$B$181,$E212)/10000)</f>
        <v>2.904875</v>
      </c>
      <c r="O212" s="51">
        <f ca="1">IF($S$1&lt;DATE(2025,10,1)," ",SUMIFS('2025数据'!$AJ$3:$AJ$181,'2025数据'!$D$3:$D$181,"&gt;="&amp;DATE(2025,10,1),'2025数据'!$D$3:$D$181,"&lt;="&amp;DATE(2025,10,31),'2025数据'!$B$3:$B$181,$E212)/10000)</f>
        <v>0.205017</v>
      </c>
      <c r="P212" s="217">
        <f ca="1">IF($S$1&lt;DATE(2025,11,1)," ",SUMIFS('2025数据'!$AJ$3:$AJ$181,'2025数据'!$D$3:$D$181,"&gt;="&amp;DATE(2025,11,1),'2025数据'!$D$3:$D$181,"&lt;="&amp;DATE(2025,11,30),'2025数据'!$B$3:$B$181,$E212)/10000)</f>
        <v>1.058298</v>
      </c>
      <c r="Q212" s="217">
        <f ca="1">IF($S$1&lt;DATE(2025,12,1)," ",SUMIFS('2025数据'!$AJ$3:$AJ$181,'2025数据'!$D$3:$D$181,"&gt;="&amp;DATE(2025,12,1),'2025数据'!$D$3:$D$181,"&lt;="&amp;DATE(2025,12,31),'2025数据'!$B$3:$B$181,$E212)/10000)</f>
        <v>0</v>
      </c>
    </row>
    <row r="213" ht="24" customHeight="1" spans="1:17">
      <c r="A213" s="99" t="s">
        <v>289</v>
      </c>
      <c r="B213" s="99" t="s">
        <v>299</v>
      </c>
      <c r="C213" s="99" t="s">
        <v>334</v>
      </c>
      <c r="D213" s="214" t="s">
        <v>294</v>
      </c>
      <c r="E213" s="214" t="s">
        <v>85</v>
      </c>
      <c r="F213" s="51">
        <f ca="1">IF($S$1&lt;DATE(2025,1,1)," ",SUMIFS('2025数据'!$AJ$3:$AJ$181,'2025数据'!$D$3:$D$181,"&gt;="&amp;DATE(2025,1,1),'2025数据'!$D$3:$D$181,"&lt;="&amp;DATE(2025,1,31),'2025数据'!$B$3:$B$181,$E213)/10000)</f>
        <v>0</v>
      </c>
      <c r="G213" s="51">
        <f ca="1">IF($S$1&lt;DATE(2025,2,1)," ",SUMIFS('2025数据'!$AJ$3:$AJ$181,'2025数据'!$D$3:$D$181,"&gt;="&amp;DATE(2025,2,1),'2025数据'!$D$3:$D$181,"&lt;="&amp;DATE(2025,2,28),'2025数据'!$B$3:$B$181,$E213)/10000)</f>
        <v>0.783327</v>
      </c>
      <c r="H213" s="51">
        <f ca="1">IF($S$1&lt;DATE(2025,3,1)," ",SUMIFS('2025数据'!$AJ$3:$AJ$181,'2025数据'!$D$3:$D$181,"&gt;="&amp;DATE(2025,3,1),'2025数据'!$D$3:$D$181,"&lt;="&amp;DATE(2025,3,31),'2025数据'!$B$3:$B$181,$E213)/10000)</f>
        <v>0.199991</v>
      </c>
      <c r="I213" s="51">
        <f ca="1">IF($S$1&lt;DATE(2025,4,1)," ",SUMIFS('2025数据'!$AJ$3:$AJ$181,'2025数据'!$D$3:$D$181,"&gt;="&amp;DATE(2025,4,1),'2025数据'!$D$3:$D$181,"&lt;="&amp;DATE(2025,4,30),'2025数据'!$B$3:$B$181,$E213)/10000)</f>
        <v>0.775616</v>
      </c>
      <c r="J213" s="51">
        <f ca="1">IF($S$1&lt;DATE(2025,5,1)," ",SUMIFS('2025数据'!$AJ$3:$AJ$181,'2025数据'!$D$3:$D$181,"&gt;="&amp;DATE(2025,5,1),'2025数据'!$D$3:$D$181,"&lt;="&amp;DATE(2025,5,31),'2025数据'!$B$3:$B$181,$E213)/10000)</f>
        <v>9.975021</v>
      </c>
      <c r="K213" s="51">
        <f ca="1">IF($S$1&lt;DATE(2025,6,1)," ",SUMIFS('2025数据'!$AJ$3:$AJ$181,'2025数据'!$D$3:$D$181,"&gt;="&amp;DATE(2025,6,1),'2025数据'!$D$3:$D$181,"&lt;="&amp;DATE(2025,6,30),'2025数据'!$B$3:$B$181,$E213)/10000)</f>
        <v>0.026442</v>
      </c>
      <c r="L213" s="51">
        <f ca="1">IF($S$1&lt;DATE(2025,7,1)," ",SUMIFS('2025数据'!$AJ$3:$AJ$181,'2025数据'!$D$3:$D$181,"&gt;="&amp;DATE(2025,7,1),'2025数据'!$D$3:$D$181,"&lt;="&amp;DATE(2025,7,31),'2025数据'!$B$3:$B$181,$E213)/10000)</f>
        <v>4.660218</v>
      </c>
      <c r="M213" s="51">
        <f ca="1">IF($S$1&lt;DATE(2025,8,1)," ",SUMIFS('2025数据'!$AJ$3:$AJ$181,'2025数据'!$D$3:$D$181,"&gt;="&amp;DATE(2025,8,1),'2025数据'!$D$3:$D$181,"&lt;="&amp;DATE(2025,8,31),'2025数据'!$B$3:$B$181,$E213)/10000)</f>
        <v>0.265512</v>
      </c>
      <c r="N213" s="51">
        <f ca="1">IF($S$1&lt;DATE(2025,9,1)," ",SUMIFS('2025数据'!$AJ$3:$AJ$181,'2025数据'!$D$3:$D$181,"&gt;="&amp;DATE(2025,9,1),'2025数据'!$D$3:$D$181,"&lt;="&amp;DATE(2025,9,30),'2025数据'!$B$3:$B$181,$E213)/10000)</f>
        <v>1.043273</v>
      </c>
      <c r="O213" s="51">
        <f ca="1">IF($S$1&lt;DATE(2025,10,1)," ",SUMIFS('2025数据'!$AJ$3:$AJ$181,'2025数据'!$D$3:$D$181,"&gt;="&amp;DATE(2025,10,1),'2025数据'!$D$3:$D$181,"&lt;="&amp;DATE(2025,10,31),'2025数据'!$B$3:$B$181,$E213)/10000)</f>
        <v>0</v>
      </c>
      <c r="P213" s="217">
        <f ca="1">IF($S$1&lt;DATE(2025,11,1)," ",SUMIFS('2025数据'!$AJ$3:$AJ$181,'2025数据'!$D$3:$D$181,"&gt;="&amp;DATE(2025,11,1),'2025数据'!$D$3:$D$181,"&lt;="&amp;DATE(2025,11,30),'2025数据'!$B$3:$B$181,$E213)/10000)</f>
        <v>2.506663</v>
      </c>
      <c r="Q213" s="217">
        <f ca="1">IF($S$1&lt;DATE(2025,12,1)," ",SUMIFS('2025数据'!$AJ$3:$AJ$181,'2025数据'!$D$3:$D$181,"&gt;="&amp;DATE(2025,12,1),'2025数据'!$D$3:$D$181,"&lt;="&amp;DATE(2025,12,31),'2025数据'!$B$3:$B$181,$E213)/10000)</f>
        <v>3.482096</v>
      </c>
    </row>
    <row r="214" ht="24" customHeight="1" spans="1:17">
      <c r="A214" s="99" t="s">
        <v>289</v>
      </c>
      <c r="B214" s="99" t="s">
        <v>299</v>
      </c>
      <c r="C214" s="99" t="s">
        <v>334</v>
      </c>
      <c r="D214" s="214" t="s">
        <v>294</v>
      </c>
      <c r="E214" s="214" t="s">
        <v>81</v>
      </c>
      <c r="F214" s="51">
        <f ca="1">IF($S$1&lt;DATE(2025,1,1)," ",SUMIFS('2025数据'!$AJ$3:$AJ$181,'2025数据'!$D$3:$D$181,"&gt;="&amp;DATE(2025,1,1),'2025数据'!$D$3:$D$181,"&lt;="&amp;DATE(2025,1,31),'2025数据'!$B$3:$B$181,$E214)/10000)</f>
        <v>0</v>
      </c>
      <c r="G214" s="51">
        <f ca="1">IF($S$1&lt;DATE(2025,2,1)," ",SUMIFS('2025数据'!$AJ$3:$AJ$181,'2025数据'!$D$3:$D$181,"&gt;="&amp;DATE(2025,2,1),'2025数据'!$D$3:$D$181,"&lt;="&amp;DATE(2025,2,28),'2025数据'!$B$3:$B$181,$E214)/10000)</f>
        <v>0</v>
      </c>
      <c r="H214" s="51">
        <f ca="1">IF($S$1&lt;DATE(2025,3,1)," ",SUMIFS('2025数据'!$AJ$3:$AJ$181,'2025数据'!$D$3:$D$181,"&gt;="&amp;DATE(2025,3,1),'2025数据'!$D$3:$D$181,"&lt;="&amp;DATE(2025,3,31),'2025数据'!$B$3:$B$181,$E214)/10000)</f>
        <v>0</v>
      </c>
      <c r="I214" s="51">
        <f ca="1">IF($S$1&lt;DATE(2025,4,1)," ",SUMIFS('2025数据'!$AJ$3:$AJ$181,'2025数据'!$D$3:$D$181,"&gt;="&amp;DATE(2025,4,1),'2025数据'!$D$3:$D$181,"&lt;="&amp;DATE(2025,4,30),'2025数据'!$B$3:$B$181,$E214)/10000)</f>
        <v>0.944504</v>
      </c>
      <c r="J214" s="51">
        <f ca="1">IF($S$1&lt;DATE(2025,5,1)," ",SUMIFS('2025数据'!$AJ$3:$AJ$181,'2025数据'!$D$3:$D$181,"&gt;="&amp;DATE(2025,5,1),'2025数据'!$D$3:$D$181,"&lt;="&amp;DATE(2025,5,31),'2025数据'!$B$3:$B$181,$E214)/10000)</f>
        <v>1.534948</v>
      </c>
      <c r="K214" s="51">
        <f ca="1">IF($S$1&lt;DATE(2025,6,1)," ",SUMIFS('2025数据'!$AJ$3:$AJ$181,'2025数据'!$D$3:$D$181,"&gt;="&amp;DATE(2025,6,1),'2025数据'!$D$3:$D$181,"&lt;="&amp;DATE(2025,6,30),'2025数据'!$B$3:$B$181,$E214)/10000)</f>
        <v>0</v>
      </c>
      <c r="L214" s="51">
        <f ca="1">IF($S$1&lt;DATE(2025,7,1)," ",SUMIFS('2025数据'!$AJ$3:$AJ$181,'2025数据'!$D$3:$D$181,"&gt;="&amp;DATE(2025,7,1),'2025数据'!$D$3:$D$181,"&lt;="&amp;DATE(2025,7,31),'2025数据'!$B$3:$B$181,$E214)/10000)</f>
        <v>0</v>
      </c>
      <c r="M214" s="51">
        <f ca="1">IF($S$1&lt;DATE(2025,8,1)," ",SUMIFS('2025数据'!$AJ$3:$AJ$181,'2025数据'!$D$3:$D$181,"&gt;="&amp;DATE(2025,8,1),'2025数据'!$D$3:$D$181,"&lt;="&amp;DATE(2025,8,31),'2025数据'!$B$3:$B$181,$E214)/10000)</f>
        <v>0.312266</v>
      </c>
      <c r="N214" s="51">
        <f ca="1">IF($S$1&lt;DATE(2025,9,1)," ",SUMIFS('2025数据'!$AJ$3:$AJ$181,'2025数据'!$D$3:$D$181,"&gt;="&amp;DATE(2025,9,1),'2025数据'!$D$3:$D$181,"&lt;="&amp;DATE(2025,9,30),'2025数据'!$B$3:$B$181,$E214)/10000)</f>
        <v>0.632718</v>
      </c>
      <c r="O214" s="51">
        <f ca="1">IF($S$1&lt;DATE(2025,10,1)," ",SUMIFS('2025数据'!$AJ$3:$AJ$181,'2025数据'!$D$3:$D$181,"&gt;="&amp;DATE(2025,10,1),'2025数据'!$D$3:$D$181,"&lt;="&amp;DATE(2025,10,31),'2025数据'!$B$3:$B$181,$E214)/10000)</f>
        <v>0</v>
      </c>
      <c r="P214" s="217">
        <f ca="1">IF($S$1&lt;DATE(2025,11,1)," ",SUMIFS('2025数据'!$AJ$3:$AJ$181,'2025数据'!$D$3:$D$181,"&gt;="&amp;DATE(2025,11,1),'2025数据'!$D$3:$D$181,"&lt;="&amp;DATE(2025,11,30),'2025数据'!$B$3:$B$181,$E214)/10000)</f>
        <v>0.7186</v>
      </c>
      <c r="Q214" s="217">
        <f ca="1">IF($S$1&lt;DATE(2025,12,1)," ",SUMIFS('2025数据'!$AJ$3:$AJ$181,'2025数据'!$D$3:$D$181,"&gt;="&amp;DATE(2025,12,1),'2025数据'!$D$3:$D$181,"&lt;="&amp;DATE(2025,12,31),'2025数据'!$B$3:$B$181,$E214)/10000)</f>
        <v>0</v>
      </c>
    </row>
    <row r="215" ht="24" customHeight="1" spans="1:17">
      <c r="A215" s="99" t="s">
        <v>289</v>
      </c>
      <c r="B215" s="99" t="s">
        <v>299</v>
      </c>
      <c r="C215" s="99" t="s">
        <v>334</v>
      </c>
      <c r="D215" s="214" t="s">
        <v>294</v>
      </c>
      <c r="E215" s="214" t="s">
        <v>96</v>
      </c>
      <c r="F215" s="51">
        <f ca="1">IF($S$1&lt;DATE(2025,1,1)," ",SUMIFS('2025数据'!$AJ$3:$AJ$181,'2025数据'!$D$3:$D$181,"&gt;="&amp;DATE(2025,1,1),'2025数据'!$D$3:$D$181,"&lt;="&amp;DATE(2025,1,31),'2025数据'!$B$3:$B$181,$E215)/10000)</f>
        <v>0</v>
      </c>
      <c r="G215" s="51">
        <f ca="1">IF($S$1&lt;DATE(2025,2,1)," ",SUMIFS('2025数据'!$AJ$3:$AJ$181,'2025数据'!$D$3:$D$181,"&gt;="&amp;DATE(2025,2,1),'2025数据'!$D$3:$D$181,"&lt;="&amp;DATE(2025,2,28),'2025数据'!$B$3:$B$181,$E215)/10000)</f>
        <v>8.927788</v>
      </c>
      <c r="H215" s="51">
        <f ca="1">IF($S$1&lt;DATE(2025,3,1)," ",SUMIFS('2025数据'!$AJ$3:$AJ$181,'2025数据'!$D$3:$D$181,"&gt;="&amp;DATE(2025,3,1),'2025数据'!$D$3:$D$181,"&lt;="&amp;DATE(2025,3,31),'2025数据'!$B$3:$B$181,$E215)/10000)</f>
        <v>0</v>
      </c>
      <c r="I215" s="51">
        <f ca="1">IF($S$1&lt;DATE(2025,4,1)," ",SUMIFS('2025数据'!$AJ$3:$AJ$181,'2025数据'!$D$3:$D$181,"&gt;="&amp;DATE(2025,4,1),'2025数据'!$D$3:$D$181,"&lt;="&amp;DATE(2025,4,30),'2025数据'!$B$3:$B$181,$E215)/10000)</f>
        <v>0</v>
      </c>
      <c r="J215" s="51">
        <f ca="1">IF($S$1&lt;DATE(2025,5,1)," ",SUMIFS('2025数据'!$AJ$3:$AJ$181,'2025数据'!$D$3:$D$181,"&gt;="&amp;DATE(2025,5,1),'2025数据'!$D$3:$D$181,"&lt;="&amp;DATE(2025,5,31),'2025数据'!$B$3:$B$181,$E215)/10000)</f>
        <v>0</v>
      </c>
      <c r="K215" s="51">
        <f ca="1">IF($S$1&lt;DATE(2025,6,1)," ",SUMIFS('2025数据'!$AJ$3:$AJ$181,'2025数据'!$D$3:$D$181,"&gt;="&amp;DATE(2025,6,1),'2025数据'!$D$3:$D$181,"&lt;="&amp;DATE(2025,6,30),'2025数据'!$B$3:$B$181,$E215)/10000)</f>
        <v>0</v>
      </c>
      <c r="L215" s="51">
        <f ca="1">IF($S$1&lt;DATE(2025,7,1)," ",SUMIFS('2025数据'!$AJ$3:$AJ$181,'2025数据'!$D$3:$D$181,"&gt;="&amp;DATE(2025,7,1),'2025数据'!$D$3:$D$181,"&lt;="&amp;DATE(2025,7,31),'2025数据'!$B$3:$B$181,$E215)/10000)</f>
        <v>0</v>
      </c>
      <c r="M215" s="51">
        <f ca="1">IF($S$1&lt;DATE(2025,8,1)," ",SUMIFS('2025数据'!$AJ$3:$AJ$181,'2025数据'!$D$3:$D$181,"&gt;="&amp;DATE(2025,8,1),'2025数据'!$D$3:$D$181,"&lt;="&amp;DATE(2025,8,31),'2025数据'!$B$3:$B$181,$E215)/10000)</f>
        <v>0</v>
      </c>
      <c r="N215" s="51">
        <f ca="1">IF($S$1&lt;DATE(2025,9,1)," ",SUMIFS('2025数据'!$AJ$3:$AJ$181,'2025数据'!$D$3:$D$181,"&gt;="&amp;DATE(2025,9,1),'2025数据'!$D$3:$D$181,"&lt;="&amp;DATE(2025,9,30),'2025数据'!$B$3:$B$181,$E215)/10000)</f>
        <v>0</v>
      </c>
      <c r="O215" s="51">
        <f ca="1">IF($S$1&lt;DATE(2025,10,1)," ",SUMIFS('2025数据'!$AJ$3:$AJ$181,'2025数据'!$D$3:$D$181,"&gt;="&amp;DATE(2025,10,1),'2025数据'!$D$3:$D$181,"&lt;="&amp;DATE(2025,10,31),'2025数据'!$B$3:$B$181,$E215)/10000)</f>
        <v>0</v>
      </c>
      <c r="P215" s="217">
        <f ca="1">IF($S$1&lt;DATE(2025,11,1)," ",SUMIFS('2025数据'!$AJ$3:$AJ$181,'2025数据'!$D$3:$D$181,"&gt;="&amp;DATE(2025,11,1),'2025数据'!$D$3:$D$181,"&lt;="&amp;DATE(2025,11,30),'2025数据'!$B$3:$B$181,$E215)/10000)</f>
        <v>0</v>
      </c>
      <c r="Q215" s="217">
        <f ca="1">IF($S$1&lt;DATE(2025,12,1)," ",SUMIFS('2025数据'!$AJ$3:$AJ$181,'2025数据'!$D$3:$D$181,"&gt;="&amp;DATE(2025,12,1),'2025数据'!$D$3:$D$181,"&lt;="&amp;DATE(2025,12,31),'2025数据'!$B$3:$B$181,$E215)/10000)</f>
        <v>0</v>
      </c>
    </row>
    <row r="216" ht="24" customHeight="1" spans="1:17">
      <c r="A216" s="99" t="s">
        <v>289</v>
      </c>
      <c r="B216" s="99" t="s">
        <v>299</v>
      </c>
      <c r="C216" s="99" t="s">
        <v>334</v>
      </c>
      <c r="D216" s="214" t="s">
        <v>294</v>
      </c>
      <c r="E216" s="214" t="s">
        <v>160</v>
      </c>
      <c r="F216" s="51">
        <f ca="1">IF($S$1&lt;DATE(2025,1,1)," ",SUMIFS('2025数据'!$AJ$3:$AJ$181,'2025数据'!$D$3:$D$181,"&gt;="&amp;DATE(2025,1,1),'2025数据'!$D$3:$D$181,"&lt;="&amp;DATE(2025,1,31),'2025数据'!$B$3:$B$181,$E216)/10000)</f>
        <v>0</v>
      </c>
      <c r="G216" s="51">
        <f ca="1">IF($S$1&lt;DATE(2025,2,1)," ",SUMIFS('2025数据'!$AJ$3:$AJ$181,'2025数据'!$D$3:$D$181,"&gt;="&amp;DATE(2025,2,1),'2025数据'!$D$3:$D$181,"&lt;="&amp;DATE(2025,2,28),'2025数据'!$B$3:$B$181,$E216)/10000)</f>
        <v>0</v>
      </c>
      <c r="H216" s="51">
        <f ca="1">IF($S$1&lt;DATE(2025,3,1)," ",SUMIFS('2025数据'!$AJ$3:$AJ$181,'2025数据'!$D$3:$D$181,"&gt;="&amp;DATE(2025,3,1),'2025数据'!$D$3:$D$181,"&lt;="&amp;DATE(2025,3,31),'2025数据'!$B$3:$B$181,$E216)/10000)</f>
        <v>0</v>
      </c>
      <c r="I216" s="51">
        <f ca="1">IF($S$1&lt;DATE(2025,4,1)," ",SUMIFS('2025数据'!$AJ$3:$AJ$181,'2025数据'!$D$3:$D$181,"&gt;="&amp;DATE(2025,4,1),'2025数据'!$D$3:$D$181,"&lt;="&amp;DATE(2025,4,30),'2025数据'!$B$3:$B$181,$E216)/10000)</f>
        <v>0</v>
      </c>
      <c r="J216" s="51">
        <f ca="1">IF($S$1&lt;DATE(2025,5,1)," ",SUMIFS('2025数据'!$AJ$3:$AJ$181,'2025数据'!$D$3:$D$181,"&gt;="&amp;DATE(2025,5,1),'2025数据'!$D$3:$D$181,"&lt;="&amp;DATE(2025,5,31),'2025数据'!$B$3:$B$181,$E216)/10000)</f>
        <v>0</v>
      </c>
      <c r="K216" s="51">
        <f ca="1">IF($S$1&lt;DATE(2025,6,1)," ",SUMIFS('2025数据'!$AJ$3:$AJ$181,'2025数据'!$D$3:$D$181,"&gt;="&amp;DATE(2025,6,1),'2025数据'!$D$3:$D$181,"&lt;="&amp;DATE(2025,6,30),'2025数据'!$B$3:$B$181,$E216)/10000)</f>
        <v>0</v>
      </c>
      <c r="L216" s="51">
        <f ca="1">IF($S$1&lt;DATE(2025,7,1)," ",SUMIFS('2025数据'!$AJ$3:$AJ$181,'2025数据'!$D$3:$D$181,"&gt;="&amp;DATE(2025,7,1),'2025数据'!$D$3:$D$181,"&lt;="&amp;DATE(2025,7,31),'2025数据'!$B$3:$B$181,$E216)/10000)</f>
        <v>0</v>
      </c>
      <c r="M216" s="51">
        <f ca="1">IF($S$1&lt;DATE(2025,8,1)," ",SUMIFS('2025数据'!$AJ$3:$AJ$181,'2025数据'!$D$3:$D$181,"&gt;="&amp;DATE(2025,8,1),'2025数据'!$D$3:$D$181,"&lt;="&amp;DATE(2025,8,31),'2025数据'!$B$3:$B$181,$E216)/10000)</f>
        <v>0</v>
      </c>
      <c r="N216" s="51">
        <f ca="1">IF($S$1&lt;DATE(2025,9,1)," ",SUMIFS('2025数据'!$AJ$3:$AJ$181,'2025数据'!$D$3:$D$181,"&gt;="&amp;DATE(2025,9,1),'2025数据'!$D$3:$D$181,"&lt;="&amp;DATE(2025,9,30),'2025数据'!$B$3:$B$181,$E216)/10000)</f>
        <v>0</v>
      </c>
      <c r="O216" s="51">
        <f ca="1">IF($S$1&lt;DATE(2025,10,1)," ",SUMIFS('2025数据'!$AJ$3:$AJ$181,'2025数据'!$D$3:$D$181,"&gt;="&amp;DATE(2025,10,1),'2025数据'!$D$3:$D$181,"&lt;="&amp;DATE(2025,10,31),'2025数据'!$B$3:$B$181,$E216)/10000)</f>
        <v>0</v>
      </c>
      <c r="P216" s="217">
        <f ca="1">IF($S$1&lt;DATE(2025,11,1)," ",SUMIFS('2025数据'!$AJ$3:$AJ$181,'2025数据'!$D$3:$D$181,"&gt;="&amp;DATE(2025,11,1),'2025数据'!$D$3:$D$181,"&lt;="&amp;DATE(2025,11,30),'2025数据'!$B$3:$B$181,$E216)/10000)</f>
        <v>0</v>
      </c>
      <c r="Q216" s="217">
        <f ca="1">IF($S$1&lt;DATE(2025,12,1)," ",SUMIFS('2025数据'!$AJ$3:$AJ$181,'2025数据'!$D$3:$D$181,"&gt;="&amp;DATE(2025,12,1),'2025数据'!$D$3:$D$181,"&lt;="&amp;DATE(2025,12,31),'2025数据'!$B$3:$B$181,$E216)/10000)</f>
        <v>0</v>
      </c>
    </row>
    <row r="217" ht="24" customHeight="1" spans="1:17">
      <c r="A217" s="99" t="s">
        <v>289</v>
      </c>
      <c r="B217" s="99" t="s">
        <v>299</v>
      </c>
      <c r="C217" s="99" t="s">
        <v>335</v>
      </c>
      <c r="D217" s="213" t="s">
        <v>292</v>
      </c>
      <c r="E217" s="213" t="s">
        <v>300</v>
      </c>
      <c r="F217" s="216">
        <f ca="1">IF($S$1&lt;DATE(2025,1,1)," ",F211)</f>
        <v>10.481073</v>
      </c>
      <c r="G217" s="216">
        <f ca="1">IF($S$1&lt;DATE(2025,2,1)," ",F217+G211)</f>
        <v>20.192188</v>
      </c>
      <c r="H217" s="216">
        <f ca="1">IF($S$1&lt;DATE(2025,3,1)," ",G217+H211)</f>
        <v>20.392179</v>
      </c>
      <c r="I217" s="216">
        <f ca="1">IF($S$1&lt;DATE(2025,4,1)," ",H217+I211)</f>
        <v>23.198952</v>
      </c>
      <c r="J217" s="216">
        <f ca="1">IF($S$1&lt;DATE(2025,5,1)," ",I217+J211)</f>
        <v>36.427507</v>
      </c>
      <c r="K217" s="216">
        <f ca="1">IF($S$1&lt;DATE(2025,6,1)," ",J217+K211)</f>
        <v>36.89778</v>
      </c>
      <c r="L217" s="216">
        <f ca="1">IF($S$1&lt;DATE(2025,7,1)," ",K217+L211)</f>
        <v>42.995912</v>
      </c>
      <c r="M217" s="216">
        <f ca="1">IF($S$1&lt;DATE(2025,8,1)," ",L217+M211)</f>
        <v>50.927292</v>
      </c>
      <c r="N217" s="216">
        <f ca="1">IF($S$1&lt;DATE(2025,9,1)," ",M217+N211)</f>
        <v>55.508158</v>
      </c>
      <c r="O217" s="216">
        <f ca="1">IF($S$1&lt;DATE(2025,10,1)," ",N217+O211)</f>
        <v>55.713175</v>
      </c>
      <c r="P217" s="216">
        <f ca="1">IF($S$1&lt;DATE(2025,11,1)," ",O217+P211)</f>
        <v>59.996736</v>
      </c>
      <c r="Q217" s="216">
        <f ca="1">IF($S$1&lt;DATE(2025,12,1)," ",P217+Q211)</f>
        <v>63.478832</v>
      </c>
    </row>
    <row r="218" ht="24" customHeight="1" spans="1:17">
      <c r="A218" s="99" t="s">
        <v>289</v>
      </c>
      <c r="B218" s="99" t="s">
        <v>299</v>
      </c>
      <c r="C218" s="99" t="s">
        <v>336</v>
      </c>
      <c r="D218" s="114" t="s">
        <v>292</v>
      </c>
      <c r="E218" s="114" t="s">
        <v>300</v>
      </c>
      <c r="F218" s="215">
        <f ca="1">IF($S$1&lt;DATE(2025,1,1)," ",SUM(F219:F225))</f>
        <v>8.578148</v>
      </c>
      <c r="G218" s="215">
        <f ca="1">IF($S$1&lt;DATE(2025,2,1)," ",SUM(G219:G225))</f>
        <v>9.503101</v>
      </c>
      <c r="H218" s="215">
        <f ca="1">IF($S$1&lt;DATE(2025,3,1)," ",SUM(H219:H225))</f>
        <v>0.204122</v>
      </c>
      <c r="I218" s="215">
        <f ca="1">IF($S$1&lt;DATE(2025,4,1)," ",SUM(I219:I225))</f>
        <v>2.89938</v>
      </c>
      <c r="J218" s="215">
        <f ca="1">IF($S$1&lt;DATE(2025,5,1)," ",SUM(J219:J225))</f>
        <v>9.336079</v>
      </c>
      <c r="K218" s="215">
        <f ca="1">IF($S$1&lt;DATE(2025,6,1)," ",SUM(K219:K225))</f>
        <v>0.484432</v>
      </c>
      <c r="L218" s="215">
        <f ca="1">IF($S$1&lt;DATE(2025,7,1)," ",SUM(L219:L225))</f>
        <v>5.956095</v>
      </c>
      <c r="M218" s="215">
        <f ca="1">IF($S$1&lt;DATE(2025,8,1)," ",SUM(M219:M225))</f>
        <v>7.672919</v>
      </c>
      <c r="N218" s="215">
        <f ca="1">IF($S$1&lt;DATE(2025,9,1)," ",SUM(N219:N225))</f>
        <v>4.523436</v>
      </c>
      <c r="O218" s="215">
        <f ca="1">IF($S$1&lt;DATE(2025,10,1)," ",SUM(O219:O225))</f>
        <v>0.207209</v>
      </c>
      <c r="P218" s="215">
        <f ca="1">IF($S$1&lt;DATE(2025,11,1)," ",SUM(P219:P225))</f>
        <v>4.093256</v>
      </c>
      <c r="Q218" s="215">
        <f ca="1">IF($S$1&lt;DATE(2025,12,1)," ",SUM(Q219:Q225))</f>
        <v>2.472058</v>
      </c>
    </row>
    <row r="219" ht="24" customHeight="1" spans="1:17">
      <c r="A219" s="99" t="s">
        <v>289</v>
      </c>
      <c r="B219" s="99" t="s">
        <v>299</v>
      </c>
      <c r="C219" s="99" t="s">
        <v>336</v>
      </c>
      <c r="D219" s="48" t="s">
        <v>31</v>
      </c>
      <c r="E219" s="48" t="s">
        <v>90</v>
      </c>
      <c r="F219" s="51">
        <f ca="1">IF($S$1&lt;DATE(2025,1,1)," ",SUMIFS('2025数据'!$AI$3:$AI$181,'2025数据'!$D$3:$D$181,"&gt;="&amp;DATE(2025,1,1),'2025数据'!$D$3:$D$181,"&lt;="&amp;DATE(2025,1,31),'2025数据'!$AE$3:$AE$181,$E219)/10000)</f>
        <v>0</v>
      </c>
      <c r="G219" s="51">
        <f ca="1">IF($S$1&lt;DATE(2025,2,1)," ",SUMIFS('2025数据'!$AI$3:$AI$181,'2025数据'!$D$3:$D$181,"&gt;="&amp;DATE(2025,2,1),'2025数据'!$D$3:$D$181,"&lt;="&amp;DATE(2025,2,28),'2025数据'!$AE$3:$AE$181,$E219)/10000)</f>
        <v>0</v>
      </c>
      <c r="H219" s="51">
        <f ca="1">IF($S$1&lt;DATE(2025,3,1)," ",SUMIFS('2025数据'!$AI$3:$AI$181,'2025数据'!$D$3:$D$181,"&gt;="&amp;DATE(2025,3,1),'2025数据'!$D$3:$D$181,"&lt;="&amp;DATE(2025,3,31),'2025数据'!$AE$3:$AE$181,$E219)/10000)</f>
        <v>0.204122</v>
      </c>
      <c r="I219" s="51">
        <f ca="1">IF($S$1&lt;DATE(2025,4,1)," ",SUMIFS('2025数据'!$AI$3:$AI$181,'2025数据'!$D$3:$D$181,"&gt;="&amp;DATE(2025,4,1),'2025数据'!$D$3:$D$181,"&lt;="&amp;DATE(2025,4,30),'2025数据'!$AE$3:$AE$181,$E219)/10000)</f>
        <v>0.755196</v>
      </c>
      <c r="J219" s="51">
        <f ca="1">IF($S$1&lt;DATE(2025,5,1)," ",SUMIFS('2025数据'!$AI$3:$AI$181,'2025数据'!$D$3:$D$181,"&gt;="&amp;DATE(2025,5,1),'2025数据'!$D$3:$D$181,"&lt;="&amp;DATE(2025,5,31),'2025数据'!$AE$3:$AE$181,$E219)/10000)</f>
        <v>2.856043</v>
      </c>
      <c r="K219" s="51">
        <f ca="1">IF($S$1&lt;DATE(2025,6,1)," ",SUMIFS('2025数据'!$AI$3:$AI$181,'2025数据'!$D$3:$D$181,"&gt;="&amp;DATE(2025,6,1),'2025数据'!$D$3:$D$181,"&lt;="&amp;DATE(2025,6,30),'2025数据'!$AE$3:$AE$181,$E219)/10000)</f>
        <v>0.448499</v>
      </c>
      <c r="L219" s="51">
        <f ca="1">IF($S$1&lt;DATE(2025,7,1)," ",SUMIFS('2025数据'!$AI$3:$AI$181,'2025数据'!$D$3:$D$181,"&gt;="&amp;DATE(2025,7,1),'2025数据'!$D$3:$D$181,"&lt;="&amp;DATE(2025,7,31),'2025数据'!$AE$3:$AE$181,$E219)/10000)</f>
        <v>0.367652</v>
      </c>
      <c r="M219" s="51">
        <f ca="1">IF($S$1&lt;DATE(2025,8,1)," ",SUMIFS('2025数据'!$AI$3:$AI$181,'2025数据'!$D$3:$D$181,"&gt;="&amp;DATE(2025,8,1),'2025数据'!$D$3:$D$181,"&lt;="&amp;DATE(2025,8,31),'2025数据'!$AE$3:$AE$181,$E219)/10000)</f>
        <v>5.323008</v>
      </c>
      <c r="N219" s="51">
        <f ca="1">IF($S$1&lt;DATE(2025,9,1)," ",SUMIFS('2025数据'!$AI$3:$AI$181,'2025数据'!$D$3:$D$181,"&gt;="&amp;DATE(2025,9,1),'2025数据'!$D$3:$D$181,"&lt;="&amp;DATE(2025,9,30),'2025数据'!$AE$3:$AE$181,$E219)/10000)</f>
        <v>2.575715</v>
      </c>
      <c r="O219" s="51">
        <f ca="1">IF($S$1&lt;DATE(2025,10,1)," ",SUMIFS('2025数据'!$AI$3:$AI$181,'2025数据'!$D$3:$D$181,"&gt;="&amp;DATE(2025,10,1),'2025数据'!$D$3:$D$181,"&lt;="&amp;DATE(2025,10,31),'2025数据'!$AE$3:$AE$181,$E219)/10000)</f>
        <v>0.207209</v>
      </c>
      <c r="P219" s="217">
        <f ca="1">IF($S$1&lt;DATE(2025,11,1)," ",SUMIFS('2025数据'!$AI$3:$AI$181,'2025数据'!$D$3:$D$181,"&gt;="&amp;DATE(2025,11,1),'2025数据'!$D$3:$D$181,"&lt;="&amp;DATE(2025,11,30),'2025数据'!$AE$3:$AE$181,$E219)/10000)</f>
        <v>0.378718</v>
      </c>
      <c r="Q219" s="217">
        <f ca="1">IF($S$1&lt;DATE(2025,12,1)," ",SUMIFS('2025数据'!$AI$3:$AI$181,'2025数据'!$D$3:$D$181,"&gt;="&amp;DATE(2025,12,1),'2025数据'!$D$3:$D$181,"&lt;="&amp;DATE(2025,12,31),'2025数据'!$AE$3:$AE$181,$E219)/10000)</f>
        <v>0.409576</v>
      </c>
    </row>
    <row r="220" ht="24" customHeight="1" spans="1:17">
      <c r="A220" s="99" t="s">
        <v>289</v>
      </c>
      <c r="B220" s="99" t="s">
        <v>299</v>
      </c>
      <c r="C220" s="99" t="s">
        <v>336</v>
      </c>
      <c r="D220" s="48" t="s">
        <v>31</v>
      </c>
      <c r="E220" s="48" t="s">
        <v>82</v>
      </c>
      <c r="F220" s="51">
        <f ca="1">IF($S$1&lt;DATE(2025,1,1)," ",SUMIFS('2025数据'!$AI$3:$AI$181,'2025数据'!$D$3:$D$181,"&gt;="&amp;DATE(2025,1,1),'2025数据'!$D$3:$D$181,"&lt;="&amp;DATE(2025,1,31),'2025数据'!$AE$3:$AE$181,$E220)/10000)</f>
        <v>0.064518</v>
      </c>
      <c r="G220" s="51">
        <f ca="1">IF($S$1&lt;DATE(2025,2,1)," ",SUMIFS('2025数据'!$AI$3:$AI$181,'2025数据'!$D$3:$D$181,"&gt;="&amp;DATE(2025,2,1),'2025数据'!$D$3:$D$181,"&lt;="&amp;DATE(2025,2,28),'2025数据'!$AE$3:$AE$181,$E220)/10000)</f>
        <v>0.793369</v>
      </c>
      <c r="H220" s="51">
        <f ca="1">IF($S$1&lt;DATE(2025,3,1)," ",SUMIFS('2025数据'!$AI$3:$AI$181,'2025数据'!$D$3:$D$181,"&gt;="&amp;DATE(2025,3,1),'2025数据'!$D$3:$D$181,"&lt;="&amp;DATE(2025,3,31),'2025数据'!$AE$3:$AE$181,$E220)/10000)</f>
        <v>0</v>
      </c>
      <c r="I220" s="51">
        <f ca="1">IF($S$1&lt;DATE(2025,4,1)," ",SUMIFS('2025数据'!$AI$3:$AI$181,'2025数据'!$D$3:$D$181,"&gt;="&amp;DATE(2025,4,1),'2025数据'!$D$3:$D$181,"&lt;="&amp;DATE(2025,4,30),'2025数据'!$AE$3:$AE$181,$E220)/10000)</f>
        <v>2.144184</v>
      </c>
      <c r="J220" s="51">
        <f ca="1">IF($S$1&lt;DATE(2025,5,1)," ",SUMIFS('2025数据'!$AI$3:$AI$181,'2025数据'!$D$3:$D$181,"&gt;="&amp;DATE(2025,5,1),'2025数据'!$D$3:$D$181,"&lt;="&amp;DATE(2025,5,31),'2025数据'!$AE$3:$AE$181,$E220)/10000)</f>
        <v>0.439123</v>
      </c>
      <c r="K220" s="51">
        <f ca="1">IF($S$1&lt;DATE(2025,6,1)," ",SUMIFS('2025数据'!$AI$3:$AI$181,'2025数据'!$D$3:$D$181,"&gt;="&amp;DATE(2025,6,1),'2025数据'!$D$3:$D$181,"&lt;="&amp;DATE(2025,6,30),'2025数据'!$AE$3:$AE$181,$E220)/10000)</f>
        <v>0</v>
      </c>
      <c r="L220" s="51">
        <f ca="1">IF($S$1&lt;DATE(2025,7,1)," ",SUMIFS('2025数据'!$AI$3:$AI$181,'2025数据'!$D$3:$D$181,"&gt;="&amp;DATE(2025,7,1),'2025数据'!$D$3:$D$181,"&lt;="&amp;DATE(2025,7,31),'2025数据'!$AE$3:$AE$181,$E220)/10000)</f>
        <v>1.434424</v>
      </c>
      <c r="M220" s="51">
        <f ca="1">IF($S$1&lt;DATE(2025,8,1)," ",SUMIFS('2025数据'!$AI$3:$AI$181,'2025数据'!$D$3:$D$181,"&gt;="&amp;DATE(2025,8,1),'2025数据'!$D$3:$D$181,"&lt;="&amp;DATE(2025,8,31),'2025数据'!$AE$3:$AE$181,$E220)/10000)</f>
        <v>0</v>
      </c>
      <c r="N220" s="51">
        <f ca="1">IF($S$1&lt;DATE(2025,9,1)," ",SUMIFS('2025数据'!$AI$3:$AI$181,'2025数据'!$D$3:$D$181,"&gt;="&amp;DATE(2025,9,1),'2025数据'!$D$3:$D$181,"&lt;="&amp;DATE(2025,9,30),'2025数据'!$AE$3:$AE$181,$E220)/10000)</f>
        <v>1.367634</v>
      </c>
      <c r="O220" s="51">
        <f ca="1">IF($S$1&lt;DATE(2025,10,1)," ",SUMIFS('2025数据'!$AI$3:$AI$181,'2025数据'!$D$3:$D$181,"&gt;="&amp;DATE(2025,10,1),'2025数据'!$D$3:$D$181,"&lt;="&amp;DATE(2025,10,31),'2025数据'!$AE$3:$AE$181,$E220)/10000)</f>
        <v>0</v>
      </c>
      <c r="P220" s="217">
        <f ca="1">IF($S$1&lt;DATE(2025,11,1)," ",SUMIFS('2025数据'!$AI$3:$AI$181,'2025数据'!$D$3:$D$181,"&gt;="&amp;DATE(2025,11,1),'2025数据'!$D$3:$D$181,"&lt;="&amp;DATE(2025,11,30),'2025数据'!$AE$3:$AE$181,$E220)/10000)</f>
        <v>2.742797</v>
      </c>
      <c r="Q220" s="217">
        <f ca="1">IF($S$1&lt;DATE(2025,12,1)," ",SUMIFS('2025数据'!$AI$3:$AI$181,'2025数据'!$D$3:$D$181,"&gt;="&amp;DATE(2025,12,1),'2025数据'!$D$3:$D$181,"&lt;="&amp;DATE(2025,12,31),'2025数据'!$AE$3:$AE$181,$E220)/10000)</f>
        <v>0</v>
      </c>
    </row>
    <row r="221" ht="24" customHeight="1" spans="1:17">
      <c r="A221" s="99" t="s">
        <v>289</v>
      </c>
      <c r="B221" s="99" t="s">
        <v>299</v>
      </c>
      <c r="C221" s="99" t="s">
        <v>336</v>
      </c>
      <c r="D221" s="48" t="s">
        <v>31</v>
      </c>
      <c r="E221" s="48" t="s">
        <v>86</v>
      </c>
      <c r="F221" s="51">
        <f ca="1">IF($S$1&lt;DATE(2025,1,1)," ",SUMIFS('2025数据'!$AI$3:$AI$181,'2025数据'!$D$3:$D$181,"&gt;="&amp;DATE(2025,1,1),'2025数据'!$D$3:$D$181,"&lt;="&amp;DATE(2025,1,31),'2025数据'!$AE$3:$AE$181,$E221)/10000)</f>
        <v>0</v>
      </c>
      <c r="G221" s="51">
        <f ca="1">IF($S$1&lt;DATE(2025,2,1)," ",SUMIFS('2025数据'!$AI$3:$AI$181,'2025数据'!$D$3:$D$181,"&gt;="&amp;DATE(2025,2,1),'2025数据'!$D$3:$D$181,"&lt;="&amp;DATE(2025,2,28),'2025数据'!$AE$3:$AE$181,$E221)/10000)</f>
        <v>0</v>
      </c>
      <c r="H221" s="51">
        <f ca="1">IF($S$1&lt;DATE(2025,3,1)," ",SUMIFS('2025数据'!$AI$3:$AI$181,'2025数据'!$D$3:$D$181,"&gt;="&amp;DATE(2025,3,1),'2025数据'!$D$3:$D$181,"&lt;="&amp;DATE(2025,3,31),'2025数据'!$AE$3:$AE$181,$E221)/10000)</f>
        <v>0</v>
      </c>
      <c r="I221" s="51">
        <f ca="1">IF($S$1&lt;DATE(2025,4,1)," ",SUMIFS('2025数据'!$AI$3:$AI$181,'2025数据'!$D$3:$D$181,"&gt;="&amp;DATE(2025,4,1),'2025数据'!$D$3:$D$181,"&lt;="&amp;DATE(2025,4,30),'2025数据'!$AE$3:$AE$181,$E221)/10000)</f>
        <v>0</v>
      </c>
      <c r="J221" s="51">
        <f ca="1">IF($S$1&lt;DATE(2025,5,1)," ",SUMIFS('2025数据'!$AI$3:$AI$181,'2025数据'!$D$3:$D$181,"&gt;="&amp;DATE(2025,5,1),'2025数据'!$D$3:$D$181,"&lt;="&amp;DATE(2025,5,31),'2025数据'!$AE$3:$AE$181,$E221)/10000)</f>
        <v>0.481626</v>
      </c>
      <c r="K221" s="51">
        <f ca="1">IF($S$1&lt;DATE(2025,6,1)," ",SUMIFS('2025数据'!$AI$3:$AI$181,'2025数据'!$D$3:$D$181,"&gt;="&amp;DATE(2025,6,1),'2025数据'!$D$3:$D$181,"&lt;="&amp;DATE(2025,6,30),'2025数据'!$AE$3:$AE$181,$E221)/10000)</f>
        <v>0</v>
      </c>
      <c r="L221" s="51">
        <f ca="1">IF($S$1&lt;DATE(2025,7,1)," ",SUMIFS('2025数据'!$AI$3:$AI$181,'2025数据'!$D$3:$D$181,"&gt;="&amp;DATE(2025,7,1),'2025数据'!$D$3:$D$181,"&lt;="&amp;DATE(2025,7,31),'2025数据'!$AE$3:$AE$181,$E221)/10000)</f>
        <v>3.970986</v>
      </c>
      <c r="M221" s="51">
        <f ca="1">IF($S$1&lt;DATE(2025,8,1)," ",SUMIFS('2025数据'!$AI$3:$AI$181,'2025数据'!$D$3:$D$181,"&gt;="&amp;DATE(2025,8,1),'2025数据'!$D$3:$D$181,"&lt;="&amp;DATE(2025,8,31),'2025数据'!$AE$3:$AE$181,$E221)/10000)</f>
        <v>2.032191</v>
      </c>
      <c r="N221" s="51">
        <f ca="1">IF($S$1&lt;DATE(2025,9,1)," ",SUMIFS('2025数据'!$AI$3:$AI$181,'2025数据'!$D$3:$D$181,"&gt;="&amp;DATE(2025,9,1),'2025数据'!$D$3:$D$181,"&lt;="&amp;DATE(2025,9,30),'2025数据'!$AE$3:$AE$181,$E221)/10000)</f>
        <v>0</v>
      </c>
      <c r="O221" s="51">
        <f ca="1">IF($S$1&lt;DATE(2025,10,1)," ",SUMIFS('2025数据'!$AI$3:$AI$181,'2025数据'!$D$3:$D$181,"&gt;="&amp;DATE(2025,10,1),'2025数据'!$D$3:$D$181,"&lt;="&amp;DATE(2025,10,31),'2025数据'!$AE$3:$AE$181,$E221)/10000)</f>
        <v>0</v>
      </c>
      <c r="P221" s="217">
        <f ca="1">IF($S$1&lt;DATE(2025,11,1)," ",SUMIFS('2025数据'!$AI$3:$AI$181,'2025数据'!$D$3:$D$181,"&gt;="&amp;DATE(2025,11,1),'2025数据'!$D$3:$D$181,"&lt;="&amp;DATE(2025,11,30),'2025数据'!$AE$3:$AE$181,$E221)/10000)</f>
        <v>0.450005</v>
      </c>
      <c r="Q221" s="217">
        <f ca="1">IF($S$1&lt;DATE(2025,12,1)," ",SUMIFS('2025数据'!$AI$3:$AI$181,'2025数据'!$D$3:$D$181,"&gt;="&amp;DATE(2025,12,1),'2025数据'!$D$3:$D$181,"&lt;="&amp;DATE(2025,12,31),'2025数据'!$AE$3:$AE$181,$E221)/10000)</f>
        <v>0.90003</v>
      </c>
    </row>
    <row r="222" ht="24" customHeight="1" spans="1:17">
      <c r="A222" s="99" t="s">
        <v>289</v>
      </c>
      <c r="B222" s="99" t="s">
        <v>299</v>
      </c>
      <c r="C222" s="99" t="s">
        <v>336</v>
      </c>
      <c r="D222" s="48" t="s">
        <v>31</v>
      </c>
      <c r="E222" s="48" t="s">
        <v>97</v>
      </c>
      <c r="F222" s="51">
        <f ca="1">IF($S$1&lt;DATE(2025,1,1)," ",SUMIFS('2025数据'!$AI$3:$AI$181,'2025数据'!$D$3:$D$181,"&gt;="&amp;DATE(2025,1,1),'2025数据'!$D$3:$D$181,"&lt;="&amp;DATE(2025,1,31),'2025数据'!$AE$3:$AE$181,$E222)/10000)</f>
        <v>4.479246</v>
      </c>
      <c r="G222" s="51">
        <f ca="1">IF($S$1&lt;DATE(2025,2,1)," ",SUMIFS('2025数据'!$AI$3:$AI$181,'2025数据'!$D$3:$D$181,"&gt;="&amp;DATE(2025,2,1),'2025数据'!$D$3:$D$181,"&lt;="&amp;DATE(2025,2,28),'2025数据'!$AE$3:$AE$181,$E222)/10000)</f>
        <v>8.709732</v>
      </c>
      <c r="H222" s="51">
        <f ca="1">IF($S$1&lt;DATE(2025,3,1)," ",SUMIFS('2025数据'!$AI$3:$AI$181,'2025数据'!$D$3:$D$181,"&gt;="&amp;DATE(2025,3,1),'2025数据'!$D$3:$D$181,"&lt;="&amp;DATE(2025,3,31),'2025数据'!$AE$3:$AE$181,$E222)/10000)</f>
        <v>0</v>
      </c>
      <c r="I222" s="51">
        <f ca="1">IF($S$1&lt;DATE(2025,4,1)," ",SUMIFS('2025数据'!$AI$3:$AI$181,'2025数据'!$D$3:$D$181,"&gt;="&amp;DATE(2025,4,1),'2025数据'!$D$3:$D$181,"&lt;="&amp;DATE(2025,4,30),'2025数据'!$AE$3:$AE$181,$E222)/10000)</f>
        <v>0</v>
      </c>
      <c r="J222" s="51">
        <f ca="1">IF($S$1&lt;DATE(2025,5,1)," ",SUMIFS('2025数据'!$AI$3:$AI$181,'2025数据'!$D$3:$D$181,"&gt;="&amp;DATE(2025,5,1),'2025数据'!$D$3:$D$181,"&lt;="&amp;DATE(2025,5,31),'2025数据'!$AE$3:$AE$181,$E222)/10000)</f>
        <v>5.559287</v>
      </c>
      <c r="K222" s="51">
        <f ca="1">IF($S$1&lt;DATE(2025,6,1)," ",SUMIFS('2025数据'!$AI$3:$AI$181,'2025数据'!$D$3:$D$181,"&gt;="&amp;DATE(2025,6,1),'2025数据'!$D$3:$D$181,"&lt;="&amp;DATE(2025,6,30),'2025数据'!$AE$3:$AE$181,$E222)/10000)</f>
        <v>0</v>
      </c>
      <c r="L222" s="51">
        <f ca="1">IF($S$1&lt;DATE(2025,7,1)," ",SUMIFS('2025数据'!$AI$3:$AI$181,'2025数据'!$D$3:$D$181,"&gt;="&amp;DATE(2025,7,1),'2025数据'!$D$3:$D$181,"&lt;="&amp;DATE(2025,7,31),'2025数据'!$AE$3:$AE$181,$E222)/10000)</f>
        <v>0</v>
      </c>
      <c r="M222" s="51">
        <f ca="1">IF($S$1&lt;DATE(2025,8,1)," ",SUMIFS('2025数据'!$AI$3:$AI$181,'2025数据'!$D$3:$D$181,"&gt;="&amp;DATE(2025,8,1),'2025数据'!$D$3:$D$181,"&lt;="&amp;DATE(2025,8,31),'2025数据'!$AE$3:$AE$181,$E222)/10000)</f>
        <v>0.31772</v>
      </c>
      <c r="N222" s="51">
        <f ca="1">IF($S$1&lt;DATE(2025,9,1)," ",SUMIFS('2025数据'!$AI$3:$AI$181,'2025数据'!$D$3:$D$181,"&gt;="&amp;DATE(2025,9,1),'2025数据'!$D$3:$D$181,"&lt;="&amp;DATE(2025,9,30),'2025数据'!$AE$3:$AE$181,$E222)/10000)</f>
        <v>0</v>
      </c>
      <c r="O222" s="51">
        <f ca="1">IF($S$1&lt;DATE(2025,10,1)," ",SUMIFS('2025数据'!$AI$3:$AI$181,'2025数据'!$D$3:$D$181,"&gt;="&amp;DATE(2025,10,1),'2025数据'!$D$3:$D$181,"&lt;="&amp;DATE(2025,10,31),'2025数据'!$AE$3:$AE$181,$E222)/10000)</f>
        <v>0</v>
      </c>
      <c r="P222" s="217">
        <f ca="1">IF($S$1&lt;DATE(2025,11,1)," ",SUMIFS('2025数据'!$AI$3:$AI$181,'2025数据'!$D$3:$D$181,"&gt;="&amp;DATE(2025,11,1),'2025数据'!$D$3:$D$181,"&lt;="&amp;DATE(2025,11,30),'2025数据'!$AE$3:$AE$181,$E222)/10000)</f>
        <v>0.521736</v>
      </c>
      <c r="Q222" s="217">
        <f ca="1">IF($S$1&lt;DATE(2025,12,1)," ",SUMIFS('2025数据'!$AI$3:$AI$181,'2025数据'!$D$3:$D$181,"&gt;="&amp;DATE(2025,12,1),'2025数据'!$D$3:$D$181,"&lt;="&amp;DATE(2025,12,31),'2025数据'!$AE$3:$AE$181,$E222)/10000)</f>
        <v>1.162452</v>
      </c>
    </row>
    <row r="223" ht="24" customHeight="1" spans="1:17">
      <c r="A223" s="99" t="s">
        <v>289</v>
      </c>
      <c r="B223" s="99" t="s">
        <v>299</v>
      </c>
      <c r="C223" s="99" t="s">
        <v>336</v>
      </c>
      <c r="D223" s="48" t="s">
        <v>31</v>
      </c>
      <c r="E223" s="48" t="s">
        <v>87</v>
      </c>
      <c r="F223" s="51">
        <f ca="1">IF($S$1&lt;DATE(2025,1,1)," ",SUMIFS('2025数据'!$AI$3:$AI$181,'2025数据'!$D$3:$D$181,"&gt;="&amp;DATE(2025,1,1),'2025数据'!$D$3:$D$181,"&lt;="&amp;DATE(2025,1,31),'2025数据'!$AE$3:$AE$181,$E223)/10000)</f>
        <v>1.288458</v>
      </c>
      <c r="G223" s="51">
        <f ca="1">IF($S$1&lt;DATE(2025,2,1)," ",SUMIFS('2025数据'!$AI$3:$AI$181,'2025数据'!$D$3:$D$181,"&gt;="&amp;DATE(2025,2,1),'2025数据'!$D$3:$D$181,"&lt;="&amp;DATE(2025,2,28),'2025数据'!$AE$3:$AE$181,$E223)/10000)</f>
        <v>0</v>
      </c>
      <c r="H223" s="51">
        <f ca="1">IF($S$1&lt;DATE(2025,3,1)," ",SUMIFS('2025数据'!$AI$3:$AI$181,'2025数据'!$D$3:$D$181,"&gt;="&amp;DATE(2025,3,1),'2025数据'!$D$3:$D$181,"&lt;="&amp;DATE(2025,3,31),'2025数据'!$AE$3:$AE$181,$E223)/10000)</f>
        <v>0</v>
      </c>
      <c r="I223" s="51">
        <f ca="1">IF($S$1&lt;DATE(2025,4,1)," ",SUMIFS('2025数据'!$AI$3:$AI$181,'2025数据'!$D$3:$D$181,"&gt;="&amp;DATE(2025,4,1),'2025数据'!$D$3:$D$181,"&lt;="&amp;DATE(2025,4,30),'2025数据'!$AE$3:$AE$181,$E223)/10000)</f>
        <v>0</v>
      </c>
      <c r="J223" s="51">
        <f ca="1">IF($S$1&lt;DATE(2025,5,1)," ",SUMIFS('2025数据'!$AI$3:$AI$181,'2025数据'!$D$3:$D$181,"&gt;="&amp;DATE(2025,5,1),'2025数据'!$D$3:$D$181,"&lt;="&amp;DATE(2025,5,31),'2025数据'!$AE$3:$AE$181,$E223)/10000)</f>
        <v>0</v>
      </c>
      <c r="K223" s="51">
        <f ca="1">IF($S$1&lt;DATE(2025,6,1)," ",SUMIFS('2025数据'!$AI$3:$AI$181,'2025数据'!$D$3:$D$181,"&gt;="&amp;DATE(2025,6,1),'2025数据'!$D$3:$D$181,"&lt;="&amp;DATE(2025,6,30),'2025数据'!$AE$3:$AE$181,$E223)/10000)</f>
        <v>0</v>
      </c>
      <c r="L223" s="51">
        <f ca="1">IF($S$1&lt;DATE(2025,7,1)," ",SUMIFS('2025数据'!$AI$3:$AI$181,'2025数据'!$D$3:$D$181,"&gt;="&amp;DATE(2025,7,1),'2025数据'!$D$3:$D$181,"&lt;="&amp;DATE(2025,7,31),'2025数据'!$AE$3:$AE$181,$E223)/10000)</f>
        <v>0.183033</v>
      </c>
      <c r="M223" s="51">
        <f ca="1">IF($S$1&lt;DATE(2025,8,1)," ",SUMIFS('2025数据'!$AI$3:$AI$181,'2025数据'!$D$3:$D$181,"&gt;="&amp;DATE(2025,8,1),'2025数据'!$D$3:$D$181,"&lt;="&amp;DATE(2025,8,31),'2025数据'!$AE$3:$AE$181,$E223)/10000)</f>
        <v>0</v>
      </c>
      <c r="N223" s="51">
        <f ca="1">IF($S$1&lt;DATE(2025,9,1)," ",SUMIFS('2025数据'!$AI$3:$AI$181,'2025数据'!$D$3:$D$181,"&gt;="&amp;DATE(2025,9,1),'2025数据'!$D$3:$D$181,"&lt;="&amp;DATE(2025,9,30),'2025数据'!$AE$3:$AE$181,$E223)/10000)</f>
        <v>0.580087</v>
      </c>
      <c r="O223" s="51">
        <f ca="1">IF($S$1&lt;DATE(2025,10,1)," ",SUMIFS('2025数据'!$AI$3:$AI$181,'2025数据'!$D$3:$D$181,"&gt;="&amp;DATE(2025,10,1),'2025数据'!$D$3:$D$181,"&lt;="&amp;DATE(2025,10,31),'2025数据'!$AE$3:$AE$181,$E223)/10000)</f>
        <v>0</v>
      </c>
      <c r="P223" s="217">
        <f ca="1">IF($S$1&lt;DATE(2025,11,1)," ",SUMIFS('2025数据'!$AI$3:$AI$181,'2025数据'!$D$3:$D$181,"&gt;="&amp;DATE(2025,11,1),'2025数据'!$D$3:$D$181,"&lt;="&amp;DATE(2025,11,30),'2025数据'!$AE$3:$AE$181,$E223)/10000)</f>
        <v>0</v>
      </c>
      <c r="Q223" s="217">
        <f ca="1">IF($S$1&lt;DATE(2025,12,1)," ",SUMIFS('2025数据'!$AI$3:$AI$181,'2025数据'!$D$3:$D$181,"&gt;="&amp;DATE(2025,12,1),'2025数据'!$D$3:$D$181,"&lt;="&amp;DATE(2025,12,31),'2025数据'!$AE$3:$AE$181,$E223)/10000)</f>
        <v>0</v>
      </c>
    </row>
    <row r="224" ht="24" customHeight="1" spans="1:17">
      <c r="A224" s="99" t="s">
        <v>289</v>
      </c>
      <c r="B224" s="99" t="s">
        <v>299</v>
      </c>
      <c r="C224" s="99" t="s">
        <v>336</v>
      </c>
      <c r="D224" s="48" t="s">
        <v>31</v>
      </c>
      <c r="E224" s="48" t="s">
        <v>149</v>
      </c>
      <c r="F224" s="51">
        <f ca="1">IF($S$1&lt;DATE(2025,1,1)," ",SUMIFS('2025数据'!$AI$3:$AI$181,'2025数据'!$D$3:$D$181,"&gt;="&amp;DATE(2025,1,1),'2025数据'!$D$3:$D$181,"&lt;="&amp;DATE(2025,1,31),'2025数据'!$AE$3:$AE$181,$E224)/10000)</f>
        <v>0</v>
      </c>
      <c r="G224" s="51">
        <f ca="1">IF($S$1&lt;DATE(2025,2,1)," ",SUMIFS('2025数据'!$AI$3:$AI$181,'2025数据'!$D$3:$D$181,"&gt;="&amp;DATE(2025,2,1),'2025数据'!$D$3:$D$181,"&lt;="&amp;DATE(2025,2,28),'2025数据'!$AE$3:$AE$181,$E224)/10000)</f>
        <v>0</v>
      </c>
      <c r="H224" s="51">
        <f ca="1">IF($S$1&lt;DATE(2025,3,1)," ",SUMIFS('2025数据'!$AI$3:$AI$181,'2025数据'!$D$3:$D$181,"&gt;="&amp;DATE(2025,3,1),'2025数据'!$D$3:$D$181,"&lt;="&amp;DATE(2025,3,31),'2025数据'!$AE$3:$AE$181,$E224)/10000)</f>
        <v>0</v>
      </c>
      <c r="I224" s="51">
        <f ca="1">IF($S$1&lt;DATE(2025,4,1)," ",SUMIFS('2025数据'!$AI$3:$AI$181,'2025数据'!$D$3:$D$181,"&gt;="&amp;DATE(2025,4,1),'2025数据'!$D$3:$D$181,"&lt;="&amp;DATE(2025,4,30),'2025数据'!$AE$3:$AE$181,$E224)/10000)</f>
        <v>0</v>
      </c>
      <c r="J224" s="51">
        <f ca="1">IF($S$1&lt;DATE(2025,5,1)," ",SUMIFS('2025数据'!$AI$3:$AI$181,'2025数据'!$D$3:$D$181,"&gt;="&amp;DATE(2025,5,1),'2025数据'!$D$3:$D$181,"&lt;="&amp;DATE(2025,5,31),'2025数据'!$AE$3:$AE$181,$E224)/10000)</f>
        <v>0</v>
      </c>
      <c r="K224" s="51">
        <f ca="1">IF($S$1&lt;DATE(2025,6,1)," ",SUMIFS('2025数据'!$AI$3:$AI$181,'2025数据'!$D$3:$D$181,"&gt;="&amp;DATE(2025,6,1),'2025数据'!$D$3:$D$181,"&lt;="&amp;DATE(2025,6,30),'2025数据'!$AE$3:$AE$181,$E224)/10000)</f>
        <v>0.035933</v>
      </c>
      <c r="L224" s="51">
        <f ca="1">IF($S$1&lt;DATE(2025,7,1)," ",SUMIFS('2025数据'!$AI$3:$AI$181,'2025数据'!$D$3:$D$181,"&gt;="&amp;DATE(2025,7,1),'2025数据'!$D$3:$D$181,"&lt;="&amp;DATE(2025,7,31),'2025数据'!$AE$3:$AE$181,$E224)/10000)</f>
        <v>0</v>
      </c>
      <c r="M224" s="51">
        <f ca="1">IF($S$1&lt;DATE(2025,8,1)," ",SUMIFS('2025数据'!$AI$3:$AI$181,'2025数据'!$D$3:$D$181,"&gt;="&amp;DATE(2025,8,1),'2025数据'!$D$3:$D$181,"&lt;="&amp;DATE(2025,8,31),'2025数据'!$AE$3:$AE$181,$E224)/10000)</f>
        <v>0</v>
      </c>
      <c r="N224" s="51">
        <f ca="1">IF($S$1&lt;DATE(2025,9,1)," ",SUMIFS('2025数据'!$AI$3:$AI$181,'2025数据'!$D$3:$D$181,"&gt;="&amp;DATE(2025,9,1),'2025数据'!$D$3:$D$181,"&lt;="&amp;DATE(2025,9,30),'2025数据'!$AE$3:$AE$181,$E224)/10000)</f>
        <v>0</v>
      </c>
      <c r="O224" s="51">
        <f ca="1">IF($S$1&lt;DATE(2025,10,1)," ",SUMIFS('2025数据'!$AI$3:$AI$181,'2025数据'!$D$3:$D$181,"&gt;="&amp;DATE(2025,10,1),'2025数据'!$D$3:$D$181,"&lt;="&amp;DATE(2025,10,31),'2025数据'!$AE$3:$AE$181,$E224)/10000)</f>
        <v>0</v>
      </c>
      <c r="P224" s="217">
        <f ca="1">IF($S$1&lt;DATE(2025,11,1)," ",SUMIFS('2025数据'!$AI$3:$AI$181,'2025数据'!$D$3:$D$181,"&gt;="&amp;DATE(2025,11,1),'2025数据'!$D$3:$D$181,"&lt;="&amp;DATE(2025,11,30),'2025数据'!$AE$3:$AE$181,$E224)/10000)</f>
        <v>0</v>
      </c>
      <c r="Q224" s="217">
        <f ca="1">IF($S$1&lt;DATE(2025,12,1)," ",SUMIFS('2025数据'!$AI$3:$AI$181,'2025数据'!$D$3:$D$181,"&gt;="&amp;DATE(2025,12,1),'2025数据'!$D$3:$D$181,"&lt;="&amp;DATE(2025,12,31),'2025数据'!$AE$3:$AE$181,$E224)/10000)</f>
        <v>0</v>
      </c>
    </row>
    <row r="225" ht="24" customHeight="1" spans="1:17">
      <c r="A225" s="99" t="s">
        <v>289</v>
      </c>
      <c r="B225" s="99" t="s">
        <v>299</v>
      </c>
      <c r="C225" s="99" t="s">
        <v>336</v>
      </c>
      <c r="D225" s="48" t="s">
        <v>31</v>
      </c>
      <c r="E225" s="48" t="s">
        <v>83</v>
      </c>
      <c r="F225" s="51">
        <f ca="1">IF($S$1&lt;DATE(2025,1,1)," ",SUMIFS('2025数据'!$AI$3:$AI$181,'2025数据'!$D$3:$D$181,"&gt;="&amp;DATE(2025,1,1),'2025数据'!$D$3:$D$181,"&lt;="&amp;DATE(2025,1,31),'2025数据'!$AE$3:$AE$181,$E225)/10000)</f>
        <v>2.745926</v>
      </c>
      <c r="G225" s="51">
        <f ca="1">IF($S$1&lt;DATE(2025,2,1)," ",SUMIFS('2025数据'!$AI$3:$AI$181,'2025数据'!$D$3:$D$181,"&gt;="&amp;DATE(2025,2,1),'2025数据'!$D$3:$D$181,"&lt;="&amp;DATE(2025,2,28),'2025数据'!$AE$3:$AE$181,$E225)/10000)</f>
        <v>0</v>
      </c>
      <c r="H225" s="51">
        <f ca="1">IF($S$1&lt;DATE(2025,3,1)," ",SUMIFS('2025数据'!$AI$3:$AI$181,'2025数据'!$D$3:$D$181,"&gt;="&amp;DATE(2025,3,1),'2025数据'!$D$3:$D$181,"&lt;="&amp;DATE(2025,3,31),'2025数据'!$AE$3:$AE$181,$E225)/10000)</f>
        <v>0</v>
      </c>
      <c r="I225" s="51">
        <f ca="1">IF($S$1&lt;DATE(2025,4,1)," ",SUMIFS('2025数据'!$AI$3:$AI$181,'2025数据'!$D$3:$D$181,"&gt;="&amp;DATE(2025,4,1),'2025数据'!$D$3:$D$181,"&lt;="&amp;DATE(2025,4,30),'2025数据'!$AE$3:$AE$181,$E225)/10000)</f>
        <v>0</v>
      </c>
      <c r="J225" s="51">
        <f ca="1">IF($S$1&lt;DATE(2025,5,1)," ",SUMIFS('2025数据'!$AI$3:$AI$181,'2025数据'!$D$3:$D$181,"&gt;="&amp;DATE(2025,5,1),'2025数据'!$D$3:$D$181,"&lt;="&amp;DATE(2025,5,31),'2025数据'!$AE$3:$AE$181,$E225)/10000)</f>
        <v>0</v>
      </c>
      <c r="K225" s="51">
        <f ca="1">IF($S$1&lt;DATE(2025,6,1)," ",SUMIFS('2025数据'!$AI$3:$AI$181,'2025数据'!$D$3:$D$181,"&gt;="&amp;DATE(2025,6,1),'2025数据'!$D$3:$D$181,"&lt;="&amp;DATE(2025,6,30),'2025数据'!$AE$3:$AE$181,$E225)/10000)</f>
        <v>0</v>
      </c>
      <c r="L225" s="51">
        <f ca="1">IF($S$1&lt;DATE(2025,7,1)," ",SUMIFS('2025数据'!$AI$3:$AI$181,'2025数据'!$D$3:$D$181,"&gt;="&amp;DATE(2025,7,1),'2025数据'!$D$3:$D$181,"&lt;="&amp;DATE(2025,7,31),'2025数据'!$AE$3:$AE$181,$E225)/10000)</f>
        <v>0</v>
      </c>
      <c r="M225" s="51">
        <f ca="1">IF($S$1&lt;DATE(2025,8,1)," ",SUMIFS('2025数据'!$AI$3:$AI$181,'2025数据'!$D$3:$D$181,"&gt;="&amp;DATE(2025,8,1),'2025数据'!$D$3:$D$181,"&lt;="&amp;DATE(2025,8,31),'2025数据'!$AE$3:$AE$181,$E225)/10000)</f>
        <v>0</v>
      </c>
      <c r="N225" s="51">
        <f ca="1">IF($S$1&lt;DATE(2025,9,1)," ",SUMIFS('2025数据'!$AI$3:$AI$181,'2025数据'!$D$3:$D$181,"&gt;="&amp;DATE(2025,9,1),'2025数据'!$D$3:$D$181,"&lt;="&amp;DATE(2025,9,30),'2025数据'!$AE$3:$AE$181,$E225)/10000)</f>
        <v>0</v>
      </c>
      <c r="O225" s="51">
        <f ca="1">IF($S$1&lt;DATE(2025,10,1)," ",SUMIFS('2025数据'!$AI$3:$AI$181,'2025数据'!$D$3:$D$181,"&gt;="&amp;DATE(2025,10,1),'2025数据'!$D$3:$D$181,"&lt;="&amp;DATE(2025,10,31),'2025数据'!$AE$3:$AE$181,$E225)/10000)</f>
        <v>0</v>
      </c>
      <c r="P225" s="217">
        <f ca="1">IF($S$1&lt;DATE(2025,11,1)," ",SUMIFS('2025数据'!$AI$3:$AI$181,'2025数据'!$D$3:$D$181,"&gt;="&amp;DATE(2025,11,1),'2025数据'!$D$3:$D$181,"&lt;="&amp;DATE(2025,11,30),'2025数据'!$AE$3:$AE$181,$E225)/10000)</f>
        <v>0</v>
      </c>
      <c r="Q225" s="217">
        <f ca="1">IF($S$1&lt;DATE(2025,12,1)," ",SUMIFS('2025数据'!$AI$3:$AI$181,'2025数据'!$D$3:$D$181,"&gt;="&amp;DATE(2025,12,1),'2025数据'!$D$3:$D$181,"&lt;="&amp;DATE(2025,12,31),'2025数据'!$AE$3:$AE$181,$E225)/10000)</f>
        <v>0</v>
      </c>
    </row>
    <row r="226" ht="24" customHeight="1" spans="1:17">
      <c r="A226" s="99" t="s">
        <v>289</v>
      </c>
      <c r="B226" s="99" t="s">
        <v>299</v>
      </c>
      <c r="C226" s="99" t="s">
        <v>336</v>
      </c>
      <c r="D226" s="47" t="s">
        <v>294</v>
      </c>
      <c r="E226" s="47" t="s">
        <v>93</v>
      </c>
      <c r="F226" s="51">
        <f ca="1">IF($S$1&lt;DATE(2025,1,1)," ",SUMIFS('2025数据'!$AI$3:$AI$181,'2025数据'!$D$3:$D$181,"&gt;="&amp;DATE(2025,1,1),'2025数据'!$D$3:$D$181,"&lt;="&amp;DATE(2025,1,31),'2025数据'!$B$3:$B$181,$E226)/10000)</f>
        <v>8.578148</v>
      </c>
      <c r="G226" s="51">
        <f ca="1">IF($S$1&lt;DATE(2025,2,1)," ",SUMIFS('2025数据'!$AI$3:$AI$181,'2025数据'!$D$3:$D$181,"&gt;="&amp;DATE(2025,2,1),'2025数据'!$D$3:$D$181,"&lt;="&amp;DATE(2025,2,28),'2025数据'!$B$3:$B$181,$E226)/10000)</f>
        <v>0</v>
      </c>
      <c r="H226" s="51">
        <f ca="1">IF($S$1&lt;DATE(2025,3,1)," ",SUMIFS('2025数据'!$AI$3:$AI$181,'2025数据'!$D$3:$D$181,"&gt;="&amp;DATE(2025,3,1),'2025数据'!$D$3:$D$181,"&lt;="&amp;DATE(2025,3,31),'2025数据'!$B$3:$B$181,$E226)/10000)</f>
        <v>0</v>
      </c>
      <c r="I226" s="51">
        <f ca="1">IF($S$1&lt;DATE(2025,4,1)," ",SUMIFS('2025数据'!$AI$3:$AI$181,'2025数据'!$D$3:$D$181,"&gt;="&amp;DATE(2025,4,1),'2025数据'!$D$3:$D$181,"&lt;="&amp;DATE(2025,4,30),'2025数据'!$B$3:$B$181,$E226)/10000)</f>
        <v>1.18405</v>
      </c>
      <c r="J226" s="51">
        <f ca="1">IF($S$1&lt;DATE(2025,5,1)," ",SUMIFS('2025数据'!$AI$3:$AI$181,'2025数据'!$D$3:$D$181,"&gt;="&amp;DATE(2025,5,1),'2025数据'!$D$3:$D$181,"&lt;="&amp;DATE(2025,5,31),'2025数据'!$B$3:$B$181,$E226)/10000)</f>
        <v>1.761186</v>
      </c>
      <c r="K226" s="51">
        <f ca="1">IF($S$1&lt;DATE(2025,6,1)," ",SUMIFS('2025数据'!$AI$3:$AI$181,'2025数据'!$D$3:$D$181,"&gt;="&amp;DATE(2025,6,1),'2025数据'!$D$3:$D$181,"&lt;="&amp;DATE(2025,6,30),'2025数据'!$B$3:$B$181,$E226)/10000)</f>
        <v>0.448499</v>
      </c>
      <c r="L226" s="51">
        <f ca="1">IF($S$1&lt;DATE(2025,7,1)," ",SUMIFS('2025数据'!$AI$3:$AI$181,'2025数据'!$D$3:$D$181,"&gt;="&amp;DATE(2025,7,1),'2025数据'!$D$3:$D$181,"&lt;="&amp;DATE(2025,7,31),'2025数据'!$B$3:$B$181,$E226)/10000)</f>
        <v>1.434424</v>
      </c>
      <c r="M226" s="51">
        <f ca="1">IF($S$1&lt;DATE(2025,8,1)," ",SUMIFS('2025数据'!$AI$3:$AI$181,'2025数据'!$D$3:$D$181,"&gt;="&amp;DATE(2025,8,1),'2025数据'!$D$3:$D$181,"&lt;="&amp;DATE(2025,8,31),'2025数据'!$B$3:$B$181,$E226)/10000)</f>
        <v>7.092325</v>
      </c>
      <c r="N226" s="51">
        <f ca="1">IF($S$1&lt;DATE(2025,9,1)," ",SUMIFS('2025数据'!$AI$3:$AI$181,'2025数据'!$D$3:$D$181,"&gt;="&amp;DATE(2025,9,1),'2025数据'!$D$3:$D$181,"&lt;="&amp;DATE(2025,9,30),'2025数据'!$B$3:$B$181,$E226)/10000)</f>
        <v>2.868932</v>
      </c>
      <c r="O226" s="51">
        <f ca="1">IF($S$1&lt;DATE(2025,10,1)," ",SUMIFS('2025数据'!$AI$3:$AI$181,'2025数据'!$D$3:$D$181,"&gt;="&amp;DATE(2025,10,1),'2025数据'!$D$3:$D$181,"&lt;="&amp;DATE(2025,10,31),'2025数据'!$B$3:$B$181,$E226)/10000)</f>
        <v>0.207209</v>
      </c>
      <c r="P226" s="217">
        <f ca="1">IF($S$1&lt;DATE(2025,11,1)," ",SUMIFS('2025数据'!$AI$3:$AI$181,'2025数据'!$D$3:$D$181,"&gt;="&amp;DATE(2025,11,1),'2025数据'!$D$3:$D$181,"&lt;="&amp;DATE(2025,11,30),'2025数据'!$B$3:$B$181,$E226)/10000)</f>
        <v>0.900454</v>
      </c>
      <c r="Q226" s="217">
        <f ca="1">IF($S$1&lt;DATE(2025,12,1)," ",SUMIFS('2025数据'!$AI$3:$AI$181,'2025数据'!$D$3:$D$181,"&gt;="&amp;DATE(2025,12,1),'2025数据'!$D$3:$D$181,"&lt;="&amp;DATE(2025,12,31),'2025数据'!$B$3:$B$181,$E226)/10000)</f>
        <v>0</v>
      </c>
    </row>
    <row r="227" ht="24" customHeight="1" spans="1:17">
      <c r="A227" s="99" t="s">
        <v>289</v>
      </c>
      <c r="B227" s="99" t="s">
        <v>299</v>
      </c>
      <c r="C227" s="99" t="s">
        <v>336</v>
      </c>
      <c r="D227" s="47" t="s">
        <v>294</v>
      </c>
      <c r="E227" s="47" t="s">
        <v>85</v>
      </c>
      <c r="F227" s="51">
        <f ca="1">IF($S$1&lt;DATE(2025,1,1)," ",SUMIFS('2025数据'!$AI$3:$AI$181,'2025数据'!$D$3:$D$181,"&gt;="&amp;DATE(2025,1,1),'2025数据'!$D$3:$D$181,"&lt;="&amp;DATE(2025,1,31),'2025数据'!$B$3:$B$181,$E227)/10000)</f>
        <v>0</v>
      </c>
      <c r="G227" s="51">
        <f ca="1">IF($S$1&lt;DATE(2025,2,1)," ",SUMIFS('2025数据'!$AI$3:$AI$181,'2025数据'!$D$3:$D$181,"&gt;="&amp;DATE(2025,2,1),'2025数据'!$D$3:$D$181,"&lt;="&amp;DATE(2025,2,28),'2025数据'!$B$3:$B$181,$E227)/10000)</f>
        <v>0.793369</v>
      </c>
      <c r="H227" s="51">
        <f ca="1">IF($S$1&lt;DATE(2025,3,1)," ",SUMIFS('2025数据'!$AI$3:$AI$181,'2025数据'!$D$3:$D$181,"&gt;="&amp;DATE(2025,3,1),'2025数据'!$D$3:$D$181,"&lt;="&amp;DATE(2025,3,31),'2025数据'!$B$3:$B$181,$E227)/10000)</f>
        <v>0.204122</v>
      </c>
      <c r="I227" s="51">
        <f ca="1">IF($S$1&lt;DATE(2025,4,1)," ",SUMIFS('2025数据'!$AI$3:$AI$181,'2025数据'!$D$3:$D$181,"&gt;="&amp;DATE(2025,4,1),'2025数据'!$D$3:$D$181,"&lt;="&amp;DATE(2025,4,30),'2025数据'!$B$3:$B$181,$E227)/10000)</f>
        <v>0.755196</v>
      </c>
      <c r="J227" s="51">
        <f ca="1">IF($S$1&lt;DATE(2025,5,1)," ",SUMIFS('2025数据'!$AI$3:$AI$181,'2025数据'!$D$3:$D$181,"&gt;="&amp;DATE(2025,5,1),'2025数据'!$D$3:$D$181,"&lt;="&amp;DATE(2025,5,31),'2025数据'!$B$3:$B$181,$E227)/10000)</f>
        <v>6.040913</v>
      </c>
      <c r="K227" s="51">
        <f ca="1">IF($S$1&lt;DATE(2025,6,1)," ",SUMIFS('2025数据'!$AI$3:$AI$181,'2025数据'!$D$3:$D$181,"&gt;="&amp;DATE(2025,6,1),'2025数据'!$D$3:$D$181,"&lt;="&amp;DATE(2025,6,30),'2025数据'!$B$3:$B$181,$E227)/10000)</f>
        <v>0.035933</v>
      </c>
      <c r="L227" s="51">
        <f ca="1">IF($S$1&lt;DATE(2025,7,1)," ",SUMIFS('2025数据'!$AI$3:$AI$181,'2025数据'!$D$3:$D$181,"&gt;="&amp;DATE(2025,7,1),'2025数据'!$D$3:$D$181,"&lt;="&amp;DATE(2025,7,31),'2025数据'!$B$3:$B$181,$E227)/10000)</f>
        <v>4.521671</v>
      </c>
      <c r="M227" s="51">
        <f ca="1">IF($S$1&lt;DATE(2025,8,1)," ",SUMIFS('2025数据'!$AI$3:$AI$181,'2025数据'!$D$3:$D$181,"&gt;="&amp;DATE(2025,8,1),'2025数据'!$D$3:$D$181,"&lt;="&amp;DATE(2025,8,31),'2025数据'!$B$3:$B$181,$E227)/10000)</f>
        <v>0.262874</v>
      </c>
      <c r="N227" s="51">
        <f ca="1">IF($S$1&lt;DATE(2025,9,1)," ",SUMIFS('2025数据'!$AI$3:$AI$181,'2025数据'!$D$3:$D$181,"&gt;="&amp;DATE(2025,9,1),'2025数据'!$D$3:$D$181,"&lt;="&amp;DATE(2025,9,30),'2025数据'!$B$3:$B$181,$E227)/10000)</f>
        <v>1.074417</v>
      </c>
      <c r="O227" s="51">
        <f ca="1">IF($S$1&lt;DATE(2025,10,1)," ",SUMIFS('2025数据'!$AI$3:$AI$181,'2025数据'!$D$3:$D$181,"&gt;="&amp;DATE(2025,10,1),'2025数据'!$D$3:$D$181,"&lt;="&amp;DATE(2025,10,31),'2025数据'!$B$3:$B$181,$E227)/10000)</f>
        <v>0</v>
      </c>
      <c r="P227" s="217">
        <f ca="1">IF($S$1&lt;DATE(2025,11,1)," ",SUMIFS('2025数据'!$AI$3:$AI$181,'2025数据'!$D$3:$D$181,"&gt;="&amp;DATE(2025,11,1),'2025数据'!$D$3:$D$181,"&lt;="&amp;DATE(2025,11,30),'2025数据'!$B$3:$B$181,$E227)/10000)</f>
        <v>2.504472</v>
      </c>
      <c r="Q227" s="217">
        <f ca="1">IF($S$1&lt;DATE(2025,12,1)," ",SUMIFS('2025数据'!$AI$3:$AI$181,'2025数据'!$D$3:$D$181,"&gt;="&amp;DATE(2025,12,1),'2025数据'!$D$3:$D$181,"&lt;="&amp;DATE(2025,12,31),'2025数据'!$B$3:$B$181,$E227)/10000)</f>
        <v>2.472058</v>
      </c>
    </row>
    <row r="228" ht="24" customHeight="1" spans="1:17">
      <c r="A228" s="99" t="s">
        <v>289</v>
      </c>
      <c r="B228" s="99" t="s">
        <v>299</v>
      </c>
      <c r="C228" s="99" t="s">
        <v>336</v>
      </c>
      <c r="D228" s="47" t="s">
        <v>294</v>
      </c>
      <c r="E228" s="47" t="s">
        <v>81</v>
      </c>
      <c r="F228" s="51">
        <f ca="1">IF($S$1&lt;DATE(2025,1,1)," ",SUMIFS('2025数据'!$AI$3:$AI$181,'2025数据'!$D$3:$D$181,"&gt;="&amp;DATE(2025,1,1),'2025数据'!$D$3:$D$181,"&lt;="&amp;DATE(2025,1,31),'2025数据'!$B$3:$B$181,$E228)/10000)</f>
        <v>0</v>
      </c>
      <c r="G228" s="51">
        <f ca="1">IF($S$1&lt;DATE(2025,2,1)," ",SUMIFS('2025数据'!$AI$3:$AI$181,'2025数据'!$D$3:$D$181,"&gt;="&amp;DATE(2025,2,1),'2025数据'!$D$3:$D$181,"&lt;="&amp;DATE(2025,2,28),'2025数据'!$B$3:$B$181,$E228)/10000)</f>
        <v>0</v>
      </c>
      <c r="H228" s="51">
        <f ca="1">IF($S$1&lt;DATE(2025,3,1)," ",SUMIFS('2025数据'!$AI$3:$AI$181,'2025数据'!$D$3:$D$181,"&gt;="&amp;DATE(2025,3,1),'2025数据'!$D$3:$D$181,"&lt;="&amp;DATE(2025,3,31),'2025数据'!$B$3:$B$181,$E228)/10000)</f>
        <v>0</v>
      </c>
      <c r="I228" s="51">
        <f ca="1">IF($S$1&lt;DATE(2025,4,1)," ",SUMIFS('2025数据'!$AI$3:$AI$181,'2025数据'!$D$3:$D$181,"&gt;="&amp;DATE(2025,4,1),'2025数据'!$D$3:$D$181,"&lt;="&amp;DATE(2025,4,30),'2025数据'!$B$3:$B$181,$E228)/10000)</f>
        <v>0.960134</v>
      </c>
      <c r="J228" s="51">
        <f ca="1">IF($S$1&lt;DATE(2025,5,1)," ",SUMIFS('2025数据'!$AI$3:$AI$181,'2025数据'!$D$3:$D$181,"&gt;="&amp;DATE(2025,5,1),'2025数据'!$D$3:$D$181,"&lt;="&amp;DATE(2025,5,31),'2025数据'!$B$3:$B$181,$E228)/10000)</f>
        <v>1.53398</v>
      </c>
      <c r="K228" s="51">
        <f ca="1">IF($S$1&lt;DATE(2025,6,1)," ",SUMIFS('2025数据'!$AI$3:$AI$181,'2025数据'!$D$3:$D$181,"&gt;="&amp;DATE(2025,6,1),'2025数据'!$D$3:$D$181,"&lt;="&amp;DATE(2025,6,30),'2025数据'!$B$3:$B$181,$E228)/10000)</f>
        <v>0</v>
      </c>
      <c r="L228" s="51">
        <f ca="1">IF($S$1&lt;DATE(2025,7,1)," ",SUMIFS('2025数据'!$AI$3:$AI$181,'2025数据'!$D$3:$D$181,"&gt;="&amp;DATE(2025,7,1),'2025数据'!$D$3:$D$181,"&lt;="&amp;DATE(2025,7,31),'2025数据'!$B$3:$B$181,$E228)/10000)</f>
        <v>0</v>
      </c>
      <c r="M228" s="51">
        <f ca="1">IF($S$1&lt;DATE(2025,8,1)," ",SUMIFS('2025数据'!$AI$3:$AI$181,'2025数据'!$D$3:$D$181,"&gt;="&amp;DATE(2025,8,1),'2025数据'!$D$3:$D$181,"&lt;="&amp;DATE(2025,8,31),'2025数据'!$B$3:$B$181,$E228)/10000)</f>
        <v>0.31772</v>
      </c>
      <c r="N228" s="51">
        <f ca="1">IF($S$1&lt;DATE(2025,9,1)," ",SUMIFS('2025数据'!$AI$3:$AI$181,'2025数据'!$D$3:$D$181,"&gt;="&amp;DATE(2025,9,1),'2025数据'!$D$3:$D$181,"&lt;="&amp;DATE(2025,9,30),'2025数据'!$B$3:$B$181,$E228)/10000)</f>
        <v>0.580087</v>
      </c>
      <c r="O228" s="51">
        <f ca="1">IF($S$1&lt;DATE(2025,10,1)," ",SUMIFS('2025数据'!$AI$3:$AI$181,'2025数据'!$D$3:$D$181,"&gt;="&amp;DATE(2025,10,1),'2025数据'!$D$3:$D$181,"&lt;="&amp;DATE(2025,10,31),'2025数据'!$B$3:$B$181,$E228)/10000)</f>
        <v>0</v>
      </c>
      <c r="P228" s="217">
        <f ca="1">IF($S$1&lt;DATE(2025,11,1)," ",SUMIFS('2025数据'!$AI$3:$AI$181,'2025数据'!$D$3:$D$181,"&gt;="&amp;DATE(2025,11,1),'2025数据'!$D$3:$D$181,"&lt;="&amp;DATE(2025,11,30),'2025数据'!$B$3:$B$181,$E228)/10000)</f>
        <v>0.68833</v>
      </c>
      <c r="Q228" s="217">
        <f ca="1">IF($S$1&lt;DATE(2025,12,1)," ",SUMIFS('2025数据'!$AI$3:$AI$181,'2025数据'!$D$3:$D$181,"&gt;="&amp;DATE(2025,12,1),'2025数据'!$D$3:$D$181,"&lt;="&amp;DATE(2025,12,31),'2025数据'!$B$3:$B$181,$E228)/10000)</f>
        <v>0</v>
      </c>
    </row>
    <row r="229" ht="24" customHeight="1" spans="1:17">
      <c r="A229" s="99" t="s">
        <v>289</v>
      </c>
      <c r="B229" s="99" t="s">
        <v>299</v>
      </c>
      <c r="C229" s="99" t="s">
        <v>336</v>
      </c>
      <c r="D229" s="47" t="s">
        <v>294</v>
      </c>
      <c r="E229" s="47" t="s">
        <v>96</v>
      </c>
      <c r="F229" s="51">
        <f ca="1">IF($S$1&lt;DATE(2025,1,1)," ",SUMIFS('2025数据'!$AI$3:$AI$181,'2025数据'!$D$3:$D$181,"&gt;="&amp;DATE(2025,1,1),'2025数据'!$D$3:$D$181,"&lt;="&amp;DATE(2025,1,31),'2025数据'!$B$3:$B$181,$E229)/10000)</f>
        <v>0</v>
      </c>
      <c r="G229" s="51">
        <f ca="1">IF($S$1&lt;DATE(2025,2,1)," ",SUMIFS('2025数据'!$AI$3:$AI$181,'2025数据'!$D$3:$D$181,"&gt;="&amp;DATE(2025,2,1),'2025数据'!$D$3:$D$181,"&lt;="&amp;DATE(2025,2,28),'2025数据'!$B$3:$B$181,$E229)/10000)</f>
        <v>8.709732</v>
      </c>
      <c r="H229" s="51">
        <f ca="1">IF($S$1&lt;DATE(2025,3,1)," ",SUMIFS('2025数据'!$AI$3:$AI$181,'2025数据'!$D$3:$D$181,"&gt;="&amp;DATE(2025,3,1),'2025数据'!$D$3:$D$181,"&lt;="&amp;DATE(2025,3,31),'2025数据'!$B$3:$B$181,$E229)/10000)</f>
        <v>0</v>
      </c>
      <c r="I229" s="51">
        <f ca="1">IF($S$1&lt;DATE(2025,4,1)," ",SUMIFS('2025数据'!$AI$3:$AI$181,'2025数据'!$D$3:$D$181,"&gt;="&amp;DATE(2025,4,1),'2025数据'!$D$3:$D$181,"&lt;="&amp;DATE(2025,4,30),'2025数据'!$B$3:$B$181,$E229)/10000)</f>
        <v>0</v>
      </c>
      <c r="J229" s="51">
        <f ca="1">IF($S$1&lt;DATE(2025,5,1)," ",SUMIFS('2025数据'!$AI$3:$AI$181,'2025数据'!$D$3:$D$181,"&gt;="&amp;DATE(2025,5,1),'2025数据'!$D$3:$D$181,"&lt;="&amp;DATE(2025,5,31),'2025数据'!$B$3:$B$181,$E229)/10000)</f>
        <v>0</v>
      </c>
      <c r="K229" s="51">
        <f ca="1">IF($S$1&lt;DATE(2025,6,1)," ",SUMIFS('2025数据'!$AI$3:$AI$181,'2025数据'!$D$3:$D$181,"&gt;="&amp;DATE(2025,6,1),'2025数据'!$D$3:$D$181,"&lt;="&amp;DATE(2025,6,30),'2025数据'!$B$3:$B$181,$E229)/10000)</f>
        <v>0</v>
      </c>
      <c r="L229" s="51">
        <f ca="1">IF($S$1&lt;DATE(2025,7,1)," ",SUMIFS('2025数据'!$AI$3:$AI$181,'2025数据'!$D$3:$D$181,"&gt;="&amp;DATE(2025,7,1),'2025数据'!$D$3:$D$181,"&lt;="&amp;DATE(2025,7,31),'2025数据'!$B$3:$B$181,$E229)/10000)</f>
        <v>0</v>
      </c>
      <c r="M229" s="51">
        <f ca="1">IF($S$1&lt;DATE(2025,8,1)," ",SUMIFS('2025数据'!$AI$3:$AI$181,'2025数据'!$D$3:$D$181,"&gt;="&amp;DATE(2025,8,1),'2025数据'!$D$3:$D$181,"&lt;="&amp;DATE(2025,8,31),'2025数据'!$B$3:$B$181,$E229)/10000)</f>
        <v>0</v>
      </c>
      <c r="N229" s="51">
        <f ca="1">IF($S$1&lt;DATE(2025,9,1)," ",SUMIFS('2025数据'!$AI$3:$AI$181,'2025数据'!$D$3:$D$181,"&gt;="&amp;DATE(2025,9,1),'2025数据'!$D$3:$D$181,"&lt;="&amp;DATE(2025,9,30),'2025数据'!$B$3:$B$181,$E229)/10000)</f>
        <v>0</v>
      </c>
      <c r="O229" s="51">
        <f ca="1">IF($S$1&lt;DATE(2025,10,1)," ",SUMIFS('2025数据'!$AI$3:$AI$181,'2025数据'!$D$3:$D$181,"&gt;="&amp;DATE(2025,10,1),'2025数据'!$D$3:$D$181,"&lt;="&amp;DATE(2025,10,31),'2025数据'!$B$3:$B$181,$E229)/10000)</f>
        <v>0</v>
      </c>
      <c r="P229" s="217">
        <f ca="1">IF($S$1&lt;DATE(2025,11,1)," ",SUMIFS('2025数据'!$AI$3:$AI$181,'2025数据'!$D$3:$D$181,"&gt;="&amp;DATE(2025,11,1),'2025数据'!$D$3:$D$181,"&lt;="&amp;DATE(2025,11,30),'2025数据'!$B$3:$B$181,$E229)/10000)</f>
        <v>0</v>
      </c>
      <c r="Q229" s="217">
        <f ca="1">IF($S$1&lt;DATE(2025,12,1)," ",SUMIFS('2025数据'!$AI$3:$AI$181,'2025数据'!$D$3:$D$181,"&gt;="&amp;DATE(2025,12,1),'2025数据'!$D$3:$D$181,"&lt;="&amp;DATE(2025,12,31),'2025数据'!$B$3:$B$181,$E229)/10000)</f>
        <v>0</v>
      </c>
    </row>
    <row r="230" ht="24" customHeight="1" spans="1:17">
      <c r="A230" s="99" t="s">
        <v>289</v>
      </c>
      <c r="B230" s="99" t="s">
        <v>299</v>
      </c>
      <c r="C230" s="99" t="s">
        <v>336</v>
      </c>
      <c r="D230" s="47" t="s">
        <v>294</v>
      </c>
      <c r="E230" s="47" t="s">
        <v>160</v>
      </c>
      <c r="F230" s="51">
        <f ca="1">IF($S$1&lt;DATE(2025,1,1)," ",SUMIFS('2025数据'!$AI$3:$AI$181,'2025数据'!$D$3:$D$181,"&gt;="&amp;DATE(2025,1,1),'2025数据'!$D$3:$D$181,"&lt;="&amp;DATE(2025,1,31),'2025数据'!$B$3:$B$181,$E230)/10000)</f>
        <v>0</v>
      </c>
      <c r="G230" s="51">
        <f ca="1">IF($S$1&lt;DATE(2025,2,1)," ",SUMIFS('2025数据'!$AI$3:$AI$181,'2025数据'!$D$3:$D$181,"&gt;="&amp;DATE(2025,2,1),'2025数据'!$D$3:$D$181,"&lt;="&amp;DATE(2025,2,28),'2025数据'!$B$3:$B$181,$E230)/10000)</f>
        <v>0</v>
      </c>
      <c r="H230" s="51">
        <f ca="1">IF($S$1&lt;DATE(2025,3,1)," ",SUMIFS('2025数据'!$AI$3:$AI$181,'2025数据'!$D$3:$D$181,"&gt;="&amp;DATE(2025,3,1),'2025数据'!$D$3:$D$181,"&lt;="&amp;DATE(2025,3,31),'2025数据'!$B$3:$B$181,$E230)/10000)</f>
        <v>0</v>
      </c>
      <c r="I230" s="51">
        <f ca="1">IF($S$1&lt;DATE(2025,4,1)," ",SUMIFS('2025数据'!$AI$3:$AI$181,'2025数据'!$D$3:$D$181,"&gt;="&amp;DATE(2025,4,1),'2025数据'!$D$3:$D$181,"&lt;="&amp;DATE(2025,4,30),'2025数据'!$B$3:$B$181,$E230)/10000)</f>
        <v>0</v>
      </c>
      <c r="J230" s="51">
        <f ca="1">IF($S$1&lt;DATE(2025,5,1)," ",SUMIFS('2025数据'!$AI$3:$AI$181,'2025数据'!$D$3:$D$181,"&gt;="&amp;DATE(2025,5,1),'2025数据'!$D$3:$D$181,"&lt;="&amp;DATE(2025,5,31),'2025数据'!$B$3:$B$181,$E230)/10000)</f>
        <v>0</v>
      </c>
      <c r="K230" s="51">
        <f ca="1">IF($S$1&lt;DATE(2025,6,1)," ",SUMIFS('2025数据'!$AI$3:$AI$181,'2025数据'!$D$3:$D$181,"&gt;="&amp;DATE(2025,6,1),'2025数据'!$D$3:$D$181,"&lt;="&amp;DATE(2025,6,30),'2025数据'!$B$3:$B$181,$E230)/10000)</f>
        <v>0</v>
      </c>
      <c r="L230" s="51">
        <f ca="1">IF($S$1&lt;DATE(2025,7,1)," ",SUMIFS('2025数据'!$AI$3:$AI$181,'2025数据'!$D$3:$D$181,"&gt;="&amp;DATE(2025,7,1),'2025数据'!$D$3:$D$181,"&lt;="&amp;DATE(2025,7,31),'2025数据'!$B$3:$B$181,$E230)/10000)</f>
        <v>0</v>
      </c>
      <c r="M230" s="51">
        <f ca="1">IF($S$1&lt;DATE(2025,8,1)," ",SUMIFS('2025数据'!$AI$3:$AI$181,'2025数据'!$D$3:$D$181,"&gt;="&amp;DATE(2025,8,1),'2025数据'!$D$3:$D$181,"&lt;="&amp;DATE(2025,8,31),'2025数据'!$B$3:$B$181,$E230)/10000)</f>
        <v>0</v>
      </c>
      <c r="N230" s="51">
        <f ca="1">IF($S$1&lt;DATE(2025,9,1)," ",SUMIFS('2025数据'!$AI$3:$AI$181,'2025数据'!$D$3:$D$181,"&gt;="&amp;DATE(2025,9,1),'2025数据'!$D$3:$D$181,"&lt;="&amp;DATE(2025,9,30),'2025数据'!$B$3:$B$181,$E230)/10000)</f>
        <v>0</v>
      </c>
      <c r="O230" s="51">
        <f ca="1">IF($S$1&lt;DATE(2025,10,1)," ",SUMIFS('2025数据'!$AI$3:$AI$181,'2025数据'!$D$3:$D$181,"&gt;="&amp;DATE(2025,10,1),'2025数据'!$D$3:$D$181,"&lt;="&amp;DATE(2025,10,31),'2025数据'!$B$3:$B$181,$E230)/10000)</f>
        <v>0</v>
      </c>
      <c r="P230" s="217">
        <f ca="1">IF($S$1&lt;DATE(2025,11,1)," ",SUMIFS('2025数据'!$AI$3:$AI$181,'2025数据'!$D$3:$D$181,"&gt;="&amp;DATE(2025,11,1),'2025数据'!$D$3:$D$181,"&lt;="&amp;DATE(2025,11,30),'2025数据'!$B$3:$B$181,$E230)/10000)</f>
        <v>0</v>
      </c>
      <c r="Q230" s="217">
        <f ca="1">IF($S$1&lt;DATE(2025,12,1)," ",SUMIFS('2025数据'!$AI$3:$AI$181,'2025数据'!$D$3:$D$181,"&gt;="&amp;DATE(2025,12,1),'2025数据'!$D$3:$D$181,"&lt;="&amp;DATE(2025,12,31),'2025数据'!$B$3:$B$181,$E230)/10000)</f>
        <v>0</v>
      </c>
    </row>
    <row r="231" ht="24" customHeight="1" spans="1:17">
      <c r="A231" s="99" t="s">
        <v>289</v>
      </c>
      <c r="B231" s="99" t="s">
        <v>299</v>
      </c>
      <c r="C231" s="99" t="s">
        <v>333</v>
      </c>
      <c r="D231" s="114" t="s">
        <v>292</v>
      </c>
      <c r="E231" s="53" t="s">
        <v>337</v>
      </c>
      <c r="F231" s="219">
        <f ca="1">IF($S$1&lt;DATE(2025,1,1)," ",SUMIFS('2025数据'!$AN$3:$AN$181,'2025数据'!$D$3:$D$181,"&gt;="&amp;DATE(2025,1,1),'2025数据'!$D$3:$D$181,"&lt;="&amp;DATE(2025,1,31),'2025数据'!$AL$3:$AL$181,$E37)/10000)</f>
        <v>2.02294</v>
      </c>
      <c r="G231" s="219">
        <f ca="1">IF($S$1&lt;DATE(2025,2,1)," ",SUMIFS('2025数据'!$AN$3:$AN$181,'2025数据'!$D$3:$D$181,"&gt;="&amp;DATE(2025,2,1),'2025数据'!$D$3:$D$181,"&lt;="&amp;DATE(2025,2,28),'2025数据'!$AL$3:$AL$181,$E37)/10000)</f>
        <v>0.334588</v>
      </c>
      <c r="H231" s="219">
        <f ca="1">IF($S$1&lt;DATE(2025,3,1)," ",SUMIFS('2025数据'!$AN$3:$AN$181,'2025数据'!$D$3:$D$181,"&gt;="&amp;DATE(2025,3,1),'2025数据'!$D$3:$D$181,"&lt;="&amp;DATE(2025,3,31),'2025数据'!$AL$3:$AL$181,$E37)/10000)</f>
        <v>0</v>
      </c>
      <c r="I231" s="219">
        <f ca="1">IF($S$1&lt;DATE(2025,4,1)," ",SUMIFS('2025数据'!$AN$3:$AN$181,'2025数据'!$D$3:$D$181,"&gt;="&amp;DATE(2025,4,1),'2025数据'!$D$3:$D$181,"&lt;="&amp;DATE(2025,4,30),'2025数据'!$AL$3:$AL$181,$E37)/10000)</f>
        <v>0.0326</v>
      </c>
      <c r="J231" s="219">
        <f ca="1">IF($S$1&lt;DATE(2025,5,1)," ",SUMIFS('2025数据'!$AN$3:$AN$181,'2025数据'!$D$3:$D$181,"&gt;="&amp;DATE(2025,5,1),'2025数据'!$D$3:$D$181,"&lt;="&amp;DATE(2025,5,31),'2025数据'!$AL$3:$AL$181,$E37)/10000)</f>
        <v>4.011593</v>
      </c>
      <c r="K231" s="219">
        <f ca="1">IF($S$1&lt;DATE(2025,6,1)," ",SUMIFS('2025数据'!$AN$3:$AN$181,'2025数据'!$D$3:$D$181,"&gt;="&amp;DATE(2025,6,1),'2025数据'!$D$3:$D$181,"&lt;="&amp;DATE(2025,6,30),'2025数据'!$AL$3:$AL$181,$E37)/10000)</f>
        <v>0.00298000000000002</v>
      </c>
      <c r="L231" s="219">
        <f ca="1">IF($S$1&lt;DATE(2025,7,1)," ",SUMIFS('2025数据'!$AN$3:$AN$181,'2025数据'!$D$3:$D$181,"&gt;="&amp;DATE(2025,7,1),'2025数据'!$D$3:$D$181,"&lt;="&amp;DATE(2025,7,31),'2025数据'!$AL$3:$AL$181,$E37)/10000)</f>
        <v>0.240443</v>
      </c>
      <c r="M231" s="219">
        <f ca="1">IF($S$1&lt;DATE(2025,8,1)," ",SUMIFS('2025数据'!$AN$3:$AN$181,'2025数据'!$D$3:$D$181,"&gt;="&amp;DATE(2025,8,1),'2025数据'!$D$3:$D$181,"&lt;="&amp;DATE(2025,8,31),'2025数据'!$AL$3:$AL$181,$E37)/10000)</f>
        <v>0.356869000000001</v>
      </c>
      <c r="N231" s="219">
        <f ca="1">IF($S$1&lt;DATE(2025,9,1)," ",SUMIFS('2025数据'!$AN$3:$AN$181,'2025数据'!$D$3:$D$181,"&gt;="&amp;DATE(2025,9,1),'2025数据'!$D$3:$D$181,"&lt;="&amp;DATE(2025,9,30),'2025数据'!$AL$3:$AL$181,$E37)/10000)</f>
        <v>0.195578</v>
      </c>
      <c r="O231" s="219">
        <f ca="1">IF($S$1&lt;DATE(2025,10,1)," ",SUMIFS('2025数据'!$AN$3:$AN$181,'2025数据'!$D$3:$D$181,"&gt;="&amp;DATE(2025,10,1),'2025数据'!$D$3:$D$181,"&lt;="&amp;DATE(2025,10,31),'2025数据'!$AL$3:$AL$181,$E37)/10000)</f>
        <v>0</v>
      </c>
      <c r="P231" s="224">
        <f ca="1">IF($S$1&lt;DATE(2025,11,1)," ",SUMIFS('2025数据'!$AN$3:$AN$181,'2025数据'!$D$3:$D$181,"&gt;="&amp;DATE(2025,11,1),'2025数据'!$D$3:$D$181,"&lt;="&amp;DATE(2025,11,30),'2025数据'!$AL$3:$AL$181,$E37)/10000)</f>
        <v>0.244689</v>
      </c>
      <c r="Q231" s="224">
        <f ca="1">IF($S$1&lt;DATE(2025,12,1)," ",SUMIFS('2025数据'!$AN$3:$AN$181,'2025数据'!$D$3:$D$181,"&gt;="&amp;DATE(2025,12,1),'2025数据'!$D$3:$D$181,"&lt;="&amp;DATE(2025,12,31),'2025数据'!$AL$3:$AL$181,$E37)/10000)</f>
        <v>1.054204</v>
      </c>
    </row>
    <row r="232" ht="24" customHeight="1" spans="1:17">
      <c r="A232" s="99" t="s">
        <v>289</v>
      </c>
      <c r="B232" s="99" t="s">
        <v>299</v>
      </c>
      <c r="C232" s="99" t="s">
        <v>333</v>
      </c>
      <c r="D232" s="114" t="s">
        <v>292</v>
      </c>
      <c r="E232" s="53" t="s">
        <v>338</v>
      </c>
      <c r="F232" s="219">
        <f ca="1">IF($S$1&lt;DATE(2025,1,1)," ",SUMIFS('2025数据'!$AN$3:$AN$181,'2025数据'!$D$3:$D$181,"&gt;="&amp;DATE(2025,1,1),'2025数据'!$D$3:$D$181,"&lt;="&amp;DATE(2025,1,31),'2025数据'!$AL$3:$AL$181,$E38)/10000)</f>
        <v>0</v>
      </c>
      <c r="G232" s="219">
        <f ca="1">IF($S$1&lt;DATE(2025,2,1)," ",SUMIFS('2025数据'!$AN$3:$AN$181,'2025数据'!$D$3:$D$181,"&gt;="&amp;DATE(2025,2,1),'2025数据'!$D$3:$D$181,"&lt;="&amp;DATE(2025,2,28),'2025数据'!$AL$3:$AL$181,$E38)/10000)</f>
        <v>0.0100419999999999</v>
      </c>
      <c r="H232" s="219">
        <f ca="1">IF($S$1&lt;DATE(2025,3,1)," ",SUMIFS('2025数据'!$AN$3:$AN$181,'2025数据'!$D$3:$D$181,"&gt;="&amp;DATE(2025,3,1),'2025数据'!$D$3:$D$181,"&lt;="&amp;DATE(2025,3,31),'2025数据'!$AL$3:$AL$181,$E38)/10000)</f>
        <v>0.00223299999999999</v>
      </c>
      <c r="I232" s="219">
        <f ca="1">IF($S$1&lt;DATE(2025,4,1)," ",SUMIFS('2025数据'!$AN$3:$AN$181,'2025数据'!$D$3:$D$181,"&gt;="&amp;DATE(2025,4,1),'2025数据'!$D$3:$D$181,"&lt;="&amp;DATE(2025,4,30),'2025数据'!$AL$3:$AL$181,$E38)/10000)</f>
        <v>0.0773030000000001</v>
      </c>
      <c r="J232" s="219">
        <f ca="1">IF($S$1&lt;DATE(2025,5,1)," ",SUMIFS('2025数据'!$AN$3:$AN$181,'2025数据'!$D$3:$D$181,"&gt;="&amp;DATE(2025,5,1),'2025数据'!$D$3:$D$181,"&lt;="&amp;DATE(2025,5,31),'2025数据'!$AL$3:$AL$181,$E38)/10000)</f>
        <v>0.055888</v>
      </c>
      <c r="K232" s="219">
        <f ca="1">IF($S$1&lt;DATE(2025,6,1)," ",SUMIFS('2025数据'!$AN$3:$AN$181,'2025数据'!$D$3:$D$181,"&gt;="&amp;DATE(2025,6,1),'2025数据'!$D$3:$D$181,"&lt;="&amp;DATE(2025,6,30),'2025数据'!$AL$3:$AL$181,$E38)/10000)</f>
        <v>0.009491</v>
      </c>
      <c r="L232" s="219">
        <f ca="1">IF($S$1&lt;DATE(2025,7,1)," ",SUMIFS('2025数据'!$AN$3:$AN$181,'2025数据'!$D$3:$D$181,"&gt;="&amp;DATE(2025,7,1),'2025数据'!$D$3:$D$181,"&lt;="&amp;DATE(2025,7,31),'2025数据'!$AL$3:$AL$181,$E38)/10000)</f>
        <v>0.016223</v>
      </c>
      <c r="M232" s="219">
        <f ca="1">IF($S$1&lt;DATE(2025,8,1)," ",SUMIFS('2025数据'!$AN$3:$AN$181,'2025数据'!$D$3:$D$181,"&gt;="&amp;DATE(2025,8,1),'2025数据'!$D$3:$D$181,"&lt;="&amp;DATE(2025,8,31),'2025数据'!$AL$3:$AL$181,$E38)/10000)</f>
        <v>0.00027800000000002</v>
      </c>
      <c r="N232" s="219">
        <f ca="1">IF($S$1&lt;DATE(2025,9,1)," ",SUMIFS('2025数据'!$AN$3:$AN$181,'2025数据'!$D$3:$D$181,"&gt;="&amp;DATE(2025,9,1),'2025数据'!$D$3:$D$181,"&lt;="&amp;DATE(2025,9,30),'2025数据'!$AL$3:$AL$181,$E38)/10000)</f>
        <v>0.0616679999999998</v>
      </c>
      <c r="O232" s="219">
        <f ca="1">IF($S$1&lt;DATE(2025,10,1)," ",SUMIFS('2025数据'!$AN$3:$AN$181,'2025数据'!$D$3:$D$181,"&gt;="&amp;DATE(2025,10,1),'2025数据'!$D$3:$D$181,"&lt;="&amp;DATE(2025,10,31),'2025数据'!$AL$3:$AL$181,$E38)/10000)</f>
        <v>0.000227999999999975</v>
      </c>
      <c r="P232" s="224">
        <f ca="1">IF($S$1&lt;DATE(2025,11,1)," ",SUMIFS('2025数据'!$AN$3:$AN$181,'2025数据'!$D$3:$D$181,"&gt;="&amp;DATE(2025,11,1),'2025数据'!$D$3:$D$181,"&lt;="&amp;DATE(2025,11,30),'2025数据'!$AL$3:$AL$181,$E38)/10000)</f>
        <v>0</v>
      </c>
      <c r="Q232" s="224">
        <f ca="1">IF($S$1&lt;DATE(2025,12,1)," ",SUMIFS('2025数据'!$AN$3:$AN$181,'2025数据'!$D$3:$D$181,"&gt;="&amp;DATE(2025,12,1),'2025数据'!$D$3:$D$181,"&lt;="&amp;DATE(2025,12,31),'2025数据'!$AL$3:$AL$181,$E38)/10000)</f>
        <v>0</v>
      </c>
    </row>
    <row r="233" ht="24" customHeight="1" spans="1:17">
      <c r="A233" s="99" t="s">
        <v>289</v>
      </c>
      <c r="B233" s="99" t="s">
        <v>299</v>
      </c>
      <c r="C233" s="99" t="s">
        <v>333</v>
      </c>
      <c r="D233" s="114" t="s">
        <v>292</v>
      </c>
      <c r="E233" s="53" t="s">
        <v>339</v>
      </c>
      <c r="F233" s="219">
        <f ca="1">IF($S$1&lt;DATE(2025,1,1)," ",SUMIFS('2025数据'!$AN$3:$AN$181,'2025数据'!$D$3:$D$181,"&gt;="&amp;DATE(2025,1,1),'2025数据'!$D$3:$D$181,"&lt;="&amp;DATE(2025,1,31),'2025数据'!$AL$3:$AL$181,$E39)/10000)</f>
        <v>0</v>
      </c>
      <c r="G233" s="219">
        <f ca="1">IF($S$1&lt;DATE(2025,2,1)," ",SUMIFS('2025数据'!$AN$3:$AN$181,'2025数据'!$D$3:$D$181,"&gt;="&amp;DATE(2025,2,1),'2025数据'!$D$3:$D$181,"&lt;="&amp;DATE(2025,2,28),'2025数据'!$AL$3:$AL$181,$E39)/10000)</f>
        <v>0</v>
      </c>
      <c r="H233" s="219">
        <f ca="1">IF($S$1&lt;DATE(2025,3,1)," ",SUMIFS('2025数据'!$AN$3:$AN$181,'2025数据'!$D$3:$D$181,"&gt;="&amp;DATE(2025,3,1),'2025数据'!$D$3:$D$181,"&lt;="&amp;DATE(2025,3,31),'2025数据'!$AL$3:$AL$181,$E39)/10000)</f>
        <v>0</v>
      </c>
      <c r="I233" s="219">
        <f ca="1">IF($S$1&lt;DATE(2025,4,1)," ",SUMIFS('2025数据'!$AN$3:$AN$181,'2025数据'!$D$3:$D$181,"&gt;="&amp;DATE(2025,4,1),'2025数据'!$D$3:$D$181,"&lt;="&amp;DATE(2025,4,30),'2025数据'!$AL$3:$AL$181,$E39)/10000)</f>
        <v>0</v>
      </c>
      <c r="J233" s="219">
        <f ca="1">IF($S$1&lt;DATE(2025,5,1)," ",SUMIFS('2025数据'!$AN$3:$AN$181,'2025数据'!$D$3:$D$181,"&gt;="&amp;DATE(2025,5,1),'2025数据'!$D$3:$D$181,"&lt;="&amp;DATE(2025,5,31),'2025数据'!$AL$3:$AL$181,$E39)/10000)</f>
        <v>0</v>
      </c>
      <c r="K233" s="219">
        <f ca="1">IF($S$1&lt;DATE(2025,6,1)," ",SUMIFS('2025数据'!$AN$3:$AN$181,'2025数据'!$D$3:$D$181,"&gt;="&amp;DATE(2025,6,1),'2025数据'!$D$3:$D$181,"&lt;="&amp;DATE(2025,6,30),'2025数据'!$AL$3:$AL$181,$E39)/10000)</f>
        <v>0</v>
      </c>
      <c r="L233" s="219">
        <f ca="1">IF($S$1&lt;DATE(2025,7,1)," ",SUMIFS('2025数据'!$AN$3:$AN$181,'2025数据'!$D$3:$D$181,"&gt;="&amp;DATE(2025,7,1),'2025数据'!$D$3:$D$181,"&lt;="&amp;DATE(2025,7,31),'2025数据'!$AL$3:$AL$181,$E39)/10000)</f>
        <v>0</v>
      </c>
      <c r="M233" s="219">
        <f ca="1">IF($S$1&lt;DATE(2025,8,1)," ",SUMIFS('2025数据'!$AN$3:$AN$181,'2025数据'!$D$3:$D$181,"&gt;="&amp;DATE(2025,8,1),'2025数据'!$D$3:$D$181,"&lt;="&amp;DATE(2025,8,31),'2025数据'!$AL$3:$AL$181,$E39)/10000)</f>
        <v>0</v>
      </c>
      <c r="N233" s="219">
        <f ca="1">IF($S$1&lt;DATE(2025,9,1)," ",SUMIFS('2025数据'!$AN$3:$AN$181,'2025数据'!$D$3:$D$181,"&gt;="&amp;DATE(2025,9,1),'2025数据'!$D$3:$D$181,"&lt;="&amp;DATE(2025,9,30),'2025数据'!$AL$3:$AL$181,$E39)/10000)</f>
        <v>0</v>
      </c>
      <c r="O233" s="219">
        <f ca="1">IF($S$1&lt;DATE(2025,10,1)," ",SUMIFS('2025数据'!$AN$3:$AN$181,'2025数据'!$D$3:$D$181,"&gt;="&amp;DATE(2025,10,1),'2025数据'!$D$3:$D$181,"&lt;="&amp;DATE(2025,10,31),'2025数据'!$AL$3:$AL$181,$E39)/10000)</f>
        <v>0</v>
      </c>
      <c r="P233" s="224">
        <f ca="1">IF($S$1&lt;DATE(2025,11,1)," ",SUMIFS('2025数据'!$AN$3:$AN$181,'2025数据'!$D$3:$D$181,"&gt;="&amp;DATE(2025,11,1),'2025数据'!$D$3:$D$181,"&lt;="&amp;DATE(2025,11,30),'2025数据'!$AL$3:$AL$181,$E39)/10000)</f>
        <v>0</v>
      </c>
      <c r="Q233" s="224">
        <f ca="1">IF($S$1&lt;DATE(2025,12,1)," ",SUMIFS('2025数据'!$AN$3:$AN$181,'2025数据'!$D$3:$D$181,"&gt;="&amp;DATE(2025,12,1),'2025数据'!$D$3:$D$181,"&lt;="&amp;DATE(2025,12,31),'2025数据'!$AL$3:$AL$181,$E39)/10000)</f>
        <v>0</v>
      </c>
    </row>
    <row r="234" ht="24" customHeight="1" spans="1:17">
      <c r="A234" s="99" t="s">
        <v>289</v>
      </c>
      <c r="B234" s="99" t="s">
        <v>299</v>
      </c>
      <c r="C234" s="99" t="s">
        <v>333</v>
      </c>
      <c r="D234" s="53" t="s">
        <v>303</v>
      </c>
      <c r="E234" s="53" t="s">
        <v>93</v>
      </c>
      <c r="F234" s="219">
        <f ca="1">IF($S$1&lt;DATE(2025,1,1)," ",SUMIFS('2025数据'!$AN$3:$AN$181,'2025数据'!$D$3:$D$181,"&gt;="&amp;DATE(2025,1,1),'2025数据'!$D$3:$D$181,"&lt;="&amp;DATE(2025,1,31),'2025数据'!$AL$3:$AL$181,$E$37,'2025数据'!$B$3:$B$181,E234)/10000)</f>
        <v>2.02294</v>
      </c>
      <c r="G234" s="219">
        <f ca="1">IF($S$1&lt;DATE(2025,2,1)," ",SUMIFS('2025数据'!$AN$3:$AN$181,'2025数据'!$D$3:$D$181,"&gt;="&amp;DATE(2025,2,1),'2025数据'!$D$3:$D$181,"&lt;="&amp;DATE(2025,2,28),'2025数据'!$AL$3:$AL$181,$E$37,'2025数据'!$B$3:$B$181,E234)/10000)</f>
        <v>0</v>
      </c>
      <c r="H234" s="219">
        <f ca="1">IF($S$1&lt;DATE(2025,3,1)," ",SUMIFS('2025数据'!$AN$3:$AN$181,'2025数据'!$D$3:$D$181,"&gt;="&amp;DATE(2025,3,1),'2025数据'!$D$3:$D$181,"&lt;="&amp;DATE(2025,3,31),'2025数据'!$AL$3:$AL$181,$E$37,'2025数据'!$B$3:$B$181,E234)/10000)</f>
        <v>0</v>
      </c>
      <c r="I234" s="219">
        <f ca="1">IF($S$1&lt;DATE(2025,4,1)," ",SUMIFS('2025数据'!$AN$3:$AN$181,'2025数据'!$D$3:$D$181,"&gt;="&amp;DATE(2025,4,1),'2025数据'!$D$3:$D$181,"&lt;="&amp;DATE(2025,4,30),'2025数据'!$AL$3:$AL$181,$E$37,'2025数据'!$B$3:$B$181,E234)/10000)</f>
        <v>0</v>
      </c>
      <c r="J234" s="219">
        <f ca="1">IF($S$1&lt;DATE(2025,5,1)," ",SUMIFS('2025数据'!$AN$3:$AN$181,'2025数据'!$D$3:$D$181,"&gt;="&amp;DATE(2025,5,1),'2025数据'!$D$3:$D$181,"&lt;="&amp;DATE(2025,5,31),'2025数据'!$AL$3:$AL$181,$E$37,'2025数据'!$B$3:$B$181,E234)/10000)</f>
        <v>0</v>
      </c>
      <c r="K234" s="219">
        <f ca="1">IF($S$1&lt;DATE(2025,6,1)," ",SUMIFS('2025数据'!$AN$3:$AN$181,'2025数据'!$D$3:$D$181,"&gt;="&amp;DATE(2025,6,1),'2025数据'!$D$3:$D$181,"&lt;="&amp;DATE(2025,6,30),'2025数据'!$AL$3:$AL$181,$E$37,'2025数据'!$B$3:$B$181,E234)/10000)</f>
        <v>0.00298000000000002</v>
      </c>
      <c r="L234" s="219">
        <f ca="1">IF($S$1&lt;DATE(2025,7,1)," ",SUMIFS('2025数据'!$AN$3:$AN$181,'2025数据'!$D$3:$D$181,"&gt;="&amp;DATE(2025,7,1),'2025数据'!$D$3:$D$181,"&lt;="&amp;DATE(2025,7,31),'2025数据'!$AL$3:$AL$181,$E$37,'2025数据'!$B$3:$B$181,E234)/10000)</f>
        <v>0.0167099999999999</v>
      </c>
      <c r="M234" s="219">
        <f ca="1">IF($S$1&lt;DATE(2025,8,1)," ",SUMIFS('2025数据'!$AN$3:$AN$181,'2025数据'!$D$3:$D$181,"&gt;="&amp;DATE(2025,8,1),'2025数据'!$D$3:$D$181,"&lt;="&amp;DATE(2025,8,31),'2025数据'!$AL$3:$AL$181,$E$37,'2025数据'!$B$3:$B$181,E234)/10000)</f>
        <v>0.351955000000001</v>
      </c>
      <c r="N234" s="219">
        <f ca="1">IF($S$1&lt;DATE(2025,9,1)," ",SUMIFS('2025数据'!$AN$3:$AN$181,'2025数据'!$D$3:$D$181,"&gt;="&amp;DATE(2025,9,1),'2025数据'!$D$3:$D$181,"&lt;="&amp;DATE(2025,9,30),'2025数据'!$AL$3:$AL$181,$E$37,'2025数据'!$B$3:$B$181,E234)/10000)</f>
        <v>0.133318</v>
      </c>
      <c r="O234" s="219">
        <f ca="1">IF($S$1&lt;DATE(2025,10,1)," ",SUMIFS('2025数据'!$AN$3:$AN$181,'2025数据'!$D$3:$D$181,"&gt;="&amp;DATE(2025,10,1),'2025数据'!$D$3:$D$181,"&lt;="&amp;DATE(2025,10,31),'2025数据'!$AL$3:$AL$181,$E$37,'2025数据'!$B$3:$B$181,E234)/10000)</f>
        <v>0</v>
      </c>
      <c r="P234" s="224">
        <f ca="1">IF($S$1&lt;DATE(2025,11,1)," ",SUMIFS('2025数据'!$AN$3:$AN$181,'2025数据'!$D$3:$D$181,"&gt;="&amp;DATE(2025,11,1),'2025数据'!$D$3:$D$181,"&lt;="&amp;DATE(2025,11,30),'2025数据'!$AL$3:$AL$181,$E$37,'2025数据'!$B$3:$B$181,E234)/10000)</f>
        <v>0.16237</v>
      </c>
      <c r="Q234" s="224">
        <f ca="1">IF($S$1&lt;DATE(2025,12,1)," ",SUMIFS('2025数据'!$AN$3:$AN$181,'2025数据'!$D$3:$D$181,"&gt;="&amp;DATE(2025,12,1),'2025数据'!$D$3:$D$181,"&lt;="&amp;DATE(2025,12,31),'2025数据'!$AL$3:$AL$181,$E$37,'2025数据'!$B$3:$B$181,E234)/10000)</f>
        <v>0</v>
      </c>
    </row>
    <row r="235" ht="24" customHeight="1" spans="1:17">
      <c r="A235" s="99" t="s">
        <v>289</v>
      </c>
      <c r="B235" s="99" t="s">
        <v>299</v>
      </c>
      <c r="C235" s="99" t="s">
        <v>333</v>
      </c>
      <c r="D235" s="53" t="s">
        <v>303</v>
      </c>
      <c r="E235" s="53" t="s">
        <v>85</v>
      </c>
      <c r="F235" s="219">
        <f ca="1">IF($S$1&lt;DATE(2025,1,1)," ",SUMIFS('2025数据'!$AN$3:$AN$181,'2025数据'!$D$3:$D$181,"&gt;="&amp;DATE(2025,1,1),'2025数据'!$D$3:$D$181,"&lt;="&amp;DATE(2025,1,31),'2025数据'!$AL$3:$AL$181,$E$37,'2025数据'!$B$3:$B$181,E235)/10000)</f>
        <v>0</v>
      </c>
      <c r="G235" s="219">
        <f ca="1">IF($S$1&lt;DATE(2025,2,1)," ",SUMIFS('2025数据'!$AN$3:$AN$181,'2025数据'!$D$3:$D$181,"&gt;="&amp;DATE(2025,2,1),'2025数据'!$D$3:$D$181,"&lt;="&amp;DATE(2025,2,28),'2025数据'!$AL$3:$AL$181,$E$37,'2025数据'!$B$3:$B$181,E235)/10000)</f>
        <v>0</v>
      </c>
      <c r="H235" s="219">
        <f ca="1">IF($S$1&lt;DATE(2025,3,1)," ",SUMIFS('2025数据'!$AN$3:$AN$181,'2025数据'!$D$3:$D$181,"&gt;="&amp;DATE(2025,3,1),'2025数据'!$D$3:$D$181,"&lt;="&amp;DATE(2025,3,31),'2025数据'!$AL$3:$AL$181,$E$37,'2025数据'!$B$3:$B$181,E235)/10000)</f>
        <v>0</v>
      </c>
      <c r="I235" s="219">
        <f ca="1">IF($S$1&lt;DATE(2025,4,1)," ",SUMIFS('2025数据'!$AN$3:$AN$181,'2025数据'!$D$3:$D$181,"&gt;="&amp;DATE(2025,4,1),'2025数据'!$D$3:$D$181,"&lt;="&amp;DATE(2025,4,30),'2025数据'!$AL$3:$AL$181,$E$37,'2025数据'!$B$3:$B$181,E235)/10000)</f>
        <v>0.031982</v>
      </c>
      <c r="J235" s="219">
        <f ca="1">IF($S$1&lt;DATE(2025,5,1)," ",SUMIFS('2025数据'!$AN$3:$AN$181,'2025数据'!$D$3:$D$181,"&gt;="&amp;DATE(2025,5,1),'2025数据'!$D$3:$D$181,"&lt;="&amp;DATE(2025,5,31),'2025数据'!$AL$3:$AL$181,$E$37,'2025数据'!$B$3:$B$181,E235)/10000)</f>
        <v>3.975937</v>
      </c>
      <c r="K235" s="219">
        <f ca="1">IF($S$1&lt;DATE(2025,6,1)," ",SUMIFS('2025数据'!$AN$3:$AN$181,'2025数据'!$D$3:$D$181,"&gt;="&amp;DATE(2025,6,1),'2025数据'!$D$3:$D$181,"&lt;="&amp;DATE(2025,6,30),'2025数据'!$AL$3:$AL$181,$E$37,'2025数据'!$B$3:$B$181,E235)/10000)</f>
        <v>0</v>
      </c>
      <c r="L235" s="219">
        <f ca="1">IF($S$1&lt;DATE(2025,7,1)," ",SUMIFS('2025数据'!$AN$3:$AN$181,'2025数据'!$D$3:$D$181,"&gt;="&amp;DATE(2025,7,1),'2025数据'!$D$3:$D$181,"&lt;="&amp;DATE(2025,7,31),'2025数据'!$AL$3:$AL$181,$E$37,'2025数据'!$B$3:$B$181,E235)/10000)</f>
        <v>0.223733</v>
      </c>
      <c r="M235" s="219">
        <f ca="1">IF($S$1&lt;DATE(2025,8,1)," ",SUMIFS('2025数据'!$AN$3:$AN$181,'2025数据'!$D$3:$D$181,"&gt;="&amp;DATE(2025,8,1),'2025数据'!$D$3:$D$181,"&lt;="&amp;DATE(2025,8,31),'2025数据'!$AL$3:$AL$181,$E$37,'2025数据'!$B$3:$B$181,E235)/10000)</f>
        <v>0.00491399999999999</v>
      </c>
      <c r="N235" s="219">
        <f ca="1">IF($S$1&lt;DATE(2025,9,1)," ",SUMIFS('2025数据'!$AN$3:$AN$181,'2025数据'!$D$3:$D$181,"&gt;="&amp;DATE(2025,9,1),'2025数据'!$D$3:$D$181,"&lt;="&amp;DATE(2025,9,30),'2025数据'!$AL$3:$AL$181,$E$37,'2025数据'!$B$3:$B$181,E235)/10000)</f>
        <v>0</v>
      </c>
      <c r="O235" s="219">
        <f ca="1">IF($S$1&lt;DATE(2025,10,1)," ",SUMIFS('2025数据'!$AN$3:$AN$181,'2025数据'!$D$3:$D$181,"&gt;="&amp;DATE(2025,10,1),'2025数据'!$D$3:$D$181,"&lt;="&amp;DATE(2025,10,31),'2025数据'!$AL$3:$AL$181,$E$37,'2025数据'!$B$3:$B$181,E235)/10000)</f>
        <v>0</v>
      </c>
      <c r="P235" s="224">
        <f ca="1">IF($S$1&lt;DATE(2025,11,1)," ",SUMIFS('2025数据'!$AN$3:$AN$181,'2025数据'!$D$3:$D$181,"&gt;="&amp;DATE(2025,11,1),'2025数据'!$D$3:$D$181,"&lt;="&amp;DATE(2025,11,30),'2025数据'!$AL$3:$AL$181,$E$37,'2025数据'!$B$3:$B$181,E235)/10000)</f>
        <v>0.0442570000000001</v>
      </c>
      <c r="Q235" s="224">
        <f ca="1">IF($S$1&lt;DATE(2025,12,1)," ",SUMIFS('2025数据'!$AN$3:$AN$181,'2025数据'!$D$3:$D$181,"&gt;="&amp;DATE(2025,12,1),'2025数据'!$D$3:$D$181,"&lt;="&amp;DATE(2025,12,31),'2025数据'!$AL$3:$AL$181,$E$37,'2025数据'!$B$3:$B$181,E235)/10000)</f>
        <v>1.054204</v>
      </c>
    </row>
    <row r="236" ht="24" customHeight="1" spans="1:17">
      <c r="A236" s="99" t="s">
        <v>289</v>
      </c>
      <c r="B236" s="99" t="s">
        <v>299</v>
      </c>
      <c r="C236" s="99" t="s">
        <v>333</v>
      </c>
      <c r="D236" s="53" t="s">
        <v>303</v>
      </c>
      <c r="E236" s="53" t="s">
        <v>81</v>
      </c>
      <c r="F236" s="219">
        <f ca="1">IF($S$1&lt;DATE(2025,1,1)," ",SUMIFS('2025数据'!$AN$3:$AN$181,'2025数据'!$D$3:$D$181,"&gt;="&amp;DATE(2025,1,1),'2025数据'!$D$3:$D$181,"&lt;="&amp;DATE(2025,1,31),'2025数据'!$AL$3:$AL$181,$E$37,'2025数据'!$B$3:$B$181,E236)/10000)</f>
        <v>0</v>
      </c>
      <c r="G236" s="219">
        <f ca="1">IF($S$1&lt;DATE(2025,2,1)," ",SUMIFS('2025数据'!$AN$3:$AN$181,'2025数据'!$D$3:$D$181,"&gt;="&amp;DATE(2025,2,1),'2025数据'!$D$3:$D$181,"&lt;="&amp;DATE(2025,2,28),'2025数据'!$AL$3:$AL$181,$E$37,'2025数据'!$B$3:$B$181,E236)/10000)</f>
        <v>0</v>
      </c>
      <c r="H236" s="219">
        <f ca="1">IF($S$1&lt;DATE(2025,3,1)," ",SUMIFS('2025数据'!$AN$3:$AN$181,'2025数据'!$D$3:$D$181,"&gt;="&amp;DATE(2025,3,1),'2025数据'!$D$3:$D$181,"&lt;="&amp;DATE(2025,3,31),'2025数据'!$AL$3:$AL$181,$E$37,'2025数据'!$B$3:$B$181,E236)/10000)</f>
        <v>0</v>
      </c>
      <c r="I236" s="219">
        <f ca="1">IF($S$1&lt;DATE(2025,4,1)," ",SUMIFS('2025数据'!$AN$3:$AN$181,'2025数据'!$D$3:$D$181,"&gt;="&amp;DATE(2025,4,1),'2025数据'!$D$3:$D$181,"&lt;="&amp;DATE(2025,4,30),'2025数据'!$AL$3:$AL$181,$E$37,'2025数据'!$B$3:$B$181,E236)/10000)</f>
        <v>0.000618000000000029</v>
      </c>
      <c r="J236" s="219">
        <f ca="1">IF($S$1&lt;DATE(2025,5,1)," ",SUMIFS('2025数据'!$AN$3:$AN$181,'2025数据'!$D$3:$D$181,"&gt;="&amp;DATE(2025,5,1),'2025数据'!$D$3:$D$181,"&lt;="&amp;DATE(2025,5,31),'2025数据'!$AL$3:$AL$181,$E$37,'2025数据'!$B$3:$B$181,E236)/10000)</f>
        <v>0.0356559999999999</v>
      </c>
      <c r="K236" s="219">
        <f ca="1">IF($S$1&lt;DATE(2025,6,1)," ",SUMIFS('2025数据'!$AN$3:$AN$181,'2025数据'!$D$3:$D$181,"&gt;="&amp;DATE(2025,6,1),'2025数据'!$D$3:$D$181,"&lt;="&amp;DATE(2025,6,30),'2025数据'!$AL$3:$AL$181,$E$37,'2025数据'!$B$3:$B$181,E236)/10000)</f>
        <v>0</v>
      </c>
      <c r="L236" s="219">
        <f ca="1">IF($S$1&lt;DATE(2025,7,1)," ",SUMIFS('2025数据'!$AN$3:$AN$181,'2025数据'!$D$3:$D$181,"&gt;="&amp;DATE(2025,7,1),'2025数据'!$D$3:$D$181,"&lt;="&amp;DATE(2025,7,31),'2025数据'!$AL$3:$AL$181,$E$37,'2025数据'!$B$3:$B$181,E236)/10000)</f>
        <v>0</v>
      </c>
      <c r="M236" s="219">
        <f ca="1">IF($S$1&lt;DATE(2025,8,1)," ",SUMIFS('2025数据'!$AN$3:$AN$181,'2025数据'!$D$3:$D$181,"&gt;="&amp;DATE(2025,8,1),'2025数据'!$D$3:$D$181,"&lt;="&amp;DATE(2025,8,31),'2025数据'!$AL$3:$AL$181,$E$37,'2025数据'!$B$3:$B$181,E236)/10000)</f>
        <v>0</v>
      </c>
      <c r="N236" s="219">
        <f ca="1">IF($S$1&lt;DATE(2025,9,1)," ",SUMIFS('2025数据'!$AN$3:$AN$181,'2025数据'!$D$3:$D$181,"&gt;="&amp;DATE(2025,9,1),'2025数据'!$D$3:$D$181,"&lt;="&amp;DATE(2025,9,30),'2025数据'!$AL$3:$AL$181,$E$37,'2025数据'!$B$3:$B$181,E236)/10000)</f>
        <v>0.06226</v>
      </c>
      <c r="O236" s="219">
        <f ca="1">IF($S$1&lt;DATE(2025,10,1)," ",SUMIFS('2025数据'!$AN$3:$AN$181,'2025数据'!$D$3:$D$181,"&gt;="&amp;DATE(2025,10,1),'2025数据'!$D$3:$D$181,"&lt;="&amp;DATE(2025,10,31),'2025数据'!$AL$3:$AL$181,$E$37,'2025数据'!$B$3:$B$181,E236)/10000)</f>
        <v>0</v>
      </c>
      <c r="P236" s="224">
        <f ca="1">IF($S$1&lt;DATE(2025,11,1)," ",SUMIFS('2025数据'!$AN$3:$AN$181,'2025数据'!$D$3:$D$181,"&gt;="&amp;DATE(2025,11,1),'2025数据'!$D$3:$D$181,"&lt;="&amp;DATE(2025,11,30),'2025数据'!$AL$3:$AL$181,$E$37,'2025数据'!$B$3:$B$181,E236)/10000)</f>
        <v>0.038062</v>
      </c>
      <c r="Q236" s="224">
        <f ca="1">IF($S$1&lt;DATE(2025,12,1)," ",SUMIFS('2025数据'!$AN$3:$AN$181,'2025数据'!$D$3:$D$181,"&gt;="&amp;DATE(2025,12,1),'2025数据'!$D$3:$D$181,"&lt;="&amp;DATE(2025,12,31),'2025数据'!$AL$3:$AL$181,$E$37,'2025数据'!$B$3:$B$181,E236)/10000)</f>
        <v>0</v>
      </c>
    </row>
    <row r="237" ht="24" customHeight="1" spans="1:17">
      <c r="A237" s="99" t="s">
        <v>289</v>
      </c>
      <c r="B237" s="99" t="s">
        <v>299</v>
      </c>
      <c r="C237" s="99" t="s">
        <v>333</v>
      </c>
      <c r="D237" s="53" t="s">
        <v>303</v>
      </c>
      <c r="E237" s="53" t="s">
        <v>96</v>
      </c>
      <c r="F237" s="219">
        <f ca="1">IF($S$1&lt;DATE(2025,1,1)," ",SUMIFS('2025数据'!$AN$3:$AN$181,'2025数据'!$D$3:$D$181,"&gt;="&amp;DATE(2025,1,1),'2025数据'!$D$3:$D$181,"&lt;="&amp;DATE(2025,1,31),'2025数据'!$AL$3:$AL$181,$E$37,'2025数据'!$B$3:$B$181,E237)/10000)</f>
        <v>0</v>
      </c>
      <c r="G237" s="219">
        <f ca="1">IF($S$1&lt;DATE(2025,2,1)," ",SUMIFS('2025数据'!$AN$3:$AN$181,'2025数据'!$D$3:$D$181,"&gt;="&amp;DATE(2025,2,1),'2025数据'!$D$3:$D$181,"&lt;="&amp;DATE(2025,2,28),'2025数据'!$AL$3:$AL$181,$E$37,'2025数据'!$B$3:$B$181,E237)/10000)</f>
        <v>0.334588</v>
      </c>
      <c r="H237" s="219">
        <f ca="1">IF($S$1&lt;DATE(2025,3,1)," ",SUMIFS('2025数据'!$AN$3:$AN$181,'2025数据'!$D$3:$D$181,"&gt;="&amp;DATE(2025,3,1),'2025数据'!$D$3:$D$181,"&lt;="&amp;DATE(2025,3,31),'2025数据'!$AL$3:$AL$181,$E$37,'2025数据'!$B$3:$B$181,E237)/10000)</f>
        <v>0</v>
      </c>
      <c r="I237" s="219">
        <f ca="1">IF($S$1&lt;DATE(2025,4,1)," ",SUMIFS('2025数据'!$AN$3:$AN$181,'2025数据'!$D$3:$D$181,"&gt;="&amp;DATE(2025,4,1),'2025数据'!$D$3:$D$181,"&lt;="&amp;DATE(2025,4,30),'2025数据'!$AL$3:$AL$181,$E$37,'2025数据'!$B$3:$B$181,E237)/10000)</f>
        <v>0</v>
      </c>
      <c r="J237" s="219">
        <f ca="1">IF($S$1&lt;DATE(2025,5,1)," ",SUMIFS('2025数据'!$AN$3:$AN$181,'2025数据'!$D$3:$D$181,"&gt;="&amp;DATE(2025,5,1),'2025数据'!$D$3:$D$181,"&lt;="&amp;DATE(2025,5,31),'2025数据'!$AL$3:$AL$181,$E$37,'2025数据'!$B$3:$B$181,E237)/10000)</f>
        <v>0</v>
      </c>
      <c r="K237" s="219">
        <f ca="1">IF($S$1&lt;DATE(2025,6,1)," ",SUMIFS('2025数据'!$AN$3:$AN$181,'2025数据'!$D$3:$D$181,"&gt;="&amp;DATE(2025,6,1),'2025数据'!$D$3:$D$181,"&lt;="&amp;DATE(2025,6,30),'2025数据'!$AL$3:$AL$181,$E$37,'2025数据'!$B$3:$B$181,E237)/10000)</f>
        <v>0</v>
      </c>
      <c r="L237" s="219">
        <f ca="1">IF($S$1&lt;DATE(2025,7,1)," ",SUMIFS('2025数据'!$AN$3:$AN$181,'2025数据'!$D$3:$D$181,"&gt;="&amp;DATE(2025,7,1),'2025数据'!$D$3:$D$181,"&lt;="&amp;DATE(2025,7,31),'2025数据'!$AL$3:$AL$181,$E$37,'2025数据'!$B$3:$B$181,E237)/10000)</f>
        <v>0</v>
      </c>
      <c r="M237" s="219">
        <f ca="1">IF($S$1&lt;DATE(2025,8,1)," ",SUMIFS('2025数据'!$AN$3:$AN$181,'2025数据'!$D$3:$D$181,"&gt;="&amp;DATE(2025,8,1),'2025数据'!$D$3:$D$181,"&lt;="&amp;DATE(2025,8,31),'2025数据'!$AL$3:$AL$181,$E$37,'2025数据'!$B$3:$B$181,E237)/10000)</f>
        <v>0</v>
      </c>
      <c r="N237" s="219">
        <f ca="1">IF($S$1&lt;DATE(2025,9,1)," ",SUMIFS('2025数据'!$AN$3:$AN$181,'2025数据'!$D$3:$D$181,"&gt;="&amp;DATE(2025,9,1),'2025数据'!$D$3:$D$181,"&lt;="&amp;DATE(2025,9,30),'2025数据'!$AL$3:$AL$181,$E$37,'2025数据'!$B$3:$B$181,E237)/10000)</f>
        <v>0</v>
      </c>
      <c r="O237" s="219">
        <f ca="1">IF($S$1&lt;DATE(2025,10,1)," ",SUMIFS('2025数据'!$AN$3:$AN$181,'2025数据'!$D$3:$D$181,"&gt;="&amp;DATE(2025,10,1),'2025数据'!$D$3:$D$181,"&lt;="&amp;DATE(2025,10,31),'2025数据'!$AL$3:$AL$181,$E$37,'2025数据'!$B$3:$B$181,E237)/10000)</f>
        <v>0</v>
      </c>
      <c r="P237" s="224">
        <f ca="1">IF($S$1&lt;DATE(2025,11,1)," ",SUMIFS('2025数据'!$AN$3:$AN$181,'2025数据'!$D$3:$D$181,"&gt;="&amp;DATE(2025,11,1),'2025数据'!$D$3:$D$181,"&lt;="&amp;DATE(2025,11,30),'2025数据'!$AL$3:$AL$181,$E$37,'2025数据'!$B$3:$B$181,E237)/10000)</f>
        <v>0</v>
      </c>
      <c r="Q237" s="224">
        <f ca="1">IF($S$1&lt;DATE(2025,12,1)," ",SUMIFS('2025数据'!$AN$3:$AN$181,'2025数据'!$D$3:$D$181,"&gt;="&amp;DATE(2025,12,1),'2025数据'!$D$3:$D$181,"&lt;="&amp;DATE(2025,12,31),'2025数据'!$AL$3:$AL$181,$E$37,'2025数据'!$B$3:$B$181,E237)/10000)</f>
        <v>0</v>
      </c>
    </row>
    <row r="238" ht="24" customHeight="1" spans="1:17">
      <c r="A238" s="99" t="s">
        <v>289</v>
      </c>
      <c r="B238" s="99" t="s">
        <v>299</v>
      </c>
      <c r="C238" s="99" t="s">
        <v>333</v>
      </c>
      <c r="D238" s="53" t="s">
        <v>303</v>
      </c>
      <c r="E238" s="53" t="s">
        <v>160</v>
      </c>
      <c r="F238" s="219">
        <f ca="1">IF($S$1&lt;DATE(2025,1,1)," ",SUMIFS('2025数据'!$AN$3:$AN$181,'2025数据'!$D$3:$D$181,"&gt;="&amp;DATE(2025,1,1),'2025数据'!$D$3:$D$181,"&lt;="&amp;DATE(2025,1,31),'2025数据'!$AL$3:$AL$181,$E$37,'2025数据'!$B$3:$B$181,E238)/10000)</f>
        <v>0</v>
      </c>
      <c r="G238" s="219">
        <f ca="1">IF($S$1&lt;DATE(2025,2,1)," ",SUMIFS('2025数据'!$AN$3:$AN$181,'2025数据'!$D$3:$D$181,"&gt;="&amp;DATE(2025,2,1),'2025数据'!$D$3:$D$181,"&lt;="&amp;DATE(2025,2,28),'2025数据'!$AL$3:$AL$181,$E$37,'2025数据'!$B$3:$B$181,E238)/10000)</f>
        <v>0</v>
      </c>
      <c r="H238" s="219">
        <f ca="1">IF($S$1&lt;DATE(2025,3,1)," ",SUMIFS('2025数据'!$AN$3:$AN$181,'2025数据'!$D$3:$D$181,"&gt;="&amp;DATE(2025,3,1),'2025数据'!$D$3:$D$181,"&lt;="&amp;DATE(2025,3,31),'2025数据'!$AL$3:$AL$181,$E$37,'2025数据'!$B$3:$B$181,E238)/10000)</f>
        <v>0</v>
      </c>
      <c r="I238" s="219">
        <f ca="1">IF($S$1&lt;DATE(2025,4,1)," ",SUMIFS('2025数据'!$AN$3:$AN$181,'2025数据'!$D$3:$D$181,"&gt;="&amp;DATE(2025,4,1),'2025数据'!$D$3:$D$181,"&lt;="&amp;DATE(2025,4,30),'2025数据'!$AL$3:$AL$181,$E$37,'2025数据'!$B$3:$B$181,E238)/10000)</f>
        <v>0</v>
      </c>
      <c r="J238" s="219">
        <f ca="1">IF($S$1&lt;DATE(2025,5,1)," ",SUMIFS('2025数据'!$AN$3:$AN$181,'2025数据'!$D$3:$D$181,"&gt;="&amp;DATE(2025,5,1),'2025数据'!$D$3:$D$181,"&lt;="&amp;DATE(2025,5,31),'2025数据'!$AL$3:$AL$181,$E$37,'2025数据'!$B$3:$B$181,E238)/10000)</f>
        <v>0</v>
      </c>
      <c r="K238" s="219">
        <f ca="1">IF($S$1&lt;DATE(2025,6,1)," ",SUMIFS('2025数据'!$AN$3:$AN$181,'2025数据'!$D$3:$D$181,"&gt;="&amp;DATE(2025,6,1),'2025数据'!$D$3:$D$181,"&lt;="&amp;DATE(2025,6,30),'2025数据'!$AL$3:$AL$181,$E$37,'2025数据'!$B$3:$B$181,E238)/10000)</f>
        <v>0</v>
      </c>
      <c r="L238" s="219">
        <f ca="1">IF($S$1&lt;DATE(2025,7,1)," ",SUMIFS('2025数据'!$AN$3:$AN$181,'2025数据'!$D$3:$D$181,"&gt;="&amp;DATE(2025,7,1),'2025数据'!$D$3:$D$181,"&lt;="&amp;DATE(2025,7,31),'2025数据'!$AL$3:$AL$181,$E$37,'2025数据'!$B$3:$B$181,E238)/10000)</f>
        <v>0</v>
      </c>
      <c r="M238" s="219">
        <f ca="1">IF($S$1&lt;DATE(2025,8,1)," ",SUMIFS('2025数据'!$AN$3:$AN$181,'2025数据'!$D$3:$D$181,"&gt;="&amp;DATE(2025,8,1),'2025数据'!$D$3:$D$181,"&lt;="&amp;DATE(2025,8,31),'2025数据'!$AL$3:$AL$181,$E$37,'2025数据'!$B$3:$B$181,E238)/10000)</f>
        <v>0</v>
      </c>
      <c r="N238" s="219">
        <f ca="1">IF($S$1&lt;DATE(2025,9,1)," ",SUMIFS('2025数据'!$AN$3:$AN$181,'2025数据'!$D$3:$D$181,"&gt;="&amp;DATE(2025,9,1),'2025数据'!$D$3:$D$181,"&lt;="&amp;DATE(2025,9,30),'2025数据'!$AL$3:$AL$181,$E$37,'2025数据'!$B$3:$B$181,E238)/10000)</f>
        <v>0</v>
      </c>
      <c r="O238" s="219">
        <f ca="1">IF($S$1&lt;DATE(2025,10,1)," ",SUMIFS('2025数据'!$AN$3:$AN$181,'2025数据'!$D$3:$D$181,"&gt;="&amp;DATE(2025,10,1),'2025数据'!$D$3:$D$181,"&lt;="&amp;DATE(2025,10,31),'2025数据'!$AL$3:$AL$181,$E$37,'2025数据'!$B$3:$B$181,E238)/10000)</f>
        <v>0</v>
      </c>
      <c r="P238" s="224">
        <f ca="1">IF($S$1&lt;DATE(2025,11,1)," ",SUMIFS('2025数据'!$AN$3:$AN$181,'2025数据'!$D$3:$D$181,"&gt;="&amp;DATE(2025,11,1),'2025数据'!$D$3:$D$181,"&lt;="&amp;DATE(2025,11,30),'2025数据'!$AL$3:$AL$181,$E$37,'2025数据'!$B$3:$B$181,E238)/10000)</f>
        <v>0</v>
      </c>
      <c r="Q238" s="224">
        <f ca="1">IF($S$1&lt;DATE(2025,12,1)," ",SUMIFS('2025数据'!$AN$3:$AN$181,'2025数据'!$D$3:$D$181,"&gt;="&amp;DATE(2025,12,1),'2025数据'!$D$3:$D$181,"&lt;="&amp;DATE(2025,12,31),'2025数据'!$AL$3:$AL$181,$E$37,'2025数据'!$B$3:$B$181,E238)/10000)</f>
        <v>0</v>
      </c>
    </row>
    <row r="239" ht="24" customHeight="1" spans="1:17">
      <c r="A239" s="99" t="s">
        <v>289</v>
      </c>
      <c r="B239" s="99" t="s">
        <v>299</v>
      </c>
      <c r="C239" s="99" t="s">
        <v>333</v>
      </c>
      <c r="D239" s="53" t="s">
        <v>304</v>
      </c>
      <c r="E239" s="53" t="s">
        <v>93</v>
      </c>
      <c r="F239" s="219">
        <f ca="1">IF($S$1&lt;DATE(2025,1,1)," ",SUMIFS('2025数据'!$AN$3:$AN$181,'2025数据'!$D$3:$D$181,"&gt;="&amp;DATE(2025,1,1),'2025数据'!$D$3:$D$181,"&lt;="&amp;DATE(2025,1,31),'2025数据'!$AL$3:$AL$181,$E$38,'2025数据'!$B$3:$B$181,E239)/10000)</f>
        <v>0</v>
      </c>
      <c r="G239" s="219">
        <f ca="1">IF($S$1&lt;DATE(2025,2,1)," ",SUMIFS('2025数据'!$AN$3:$AN$181,'2025数据'!$D$3:$D$181,"&gt;="&amp;DATE(2025,2,1),'2025数据'!$D$3:$D$181,"&lt;="&amp;DATE(2025,2,28),'2025数据'!$AL$3:$AL$181,$E$38,'2025数据'!$B$3:$B$181,E239)/10000)</f>
        <v>0</v>
      </c>
      <c r="H239" s="219">
        <f ca="1">IF($S$1&lt;DATE(2025,3,1)," ",SUMIFS('2025数据'!$AN$3:$AN$181,'2025数据'!$D$3:$D$181,"&gt;="&amp;DATE(2025,3,1),'2025数据'!$D$3:$D$181,"&lt;="&amp;DATE(2025,3,31),'2025数据'!$AL$3:$AL$181,$E$38,'2025数据'!$B$3:$B$181,E239)/10000)</f>
        <v>0</v>
      </c>
      <c r="I239" s="219">
        <f ca="1">IF($S$1&lt;DATE(2025,4,1)," ",SUMIFS('2025数据'!$AN$3:$AN$181,'2025数据'!$D$3:$D$181,"&gt;="&amp;DATE(2025,4,1),'2025数据'!$D$3:$D$181,"&lt;="&amp;DATE(2025,4,30),'2025数据'!$AL$3:$AL$181,$E$38,'2025数据'!$B$3:$B$181,E239)/10000)</f>
        <v>0.0773030000000001</v>
      </c>
      <c r="J239" s="219">
        <f ca="1">IF($S$1&lt;DATE(2025,5,1)," ",SUMIFS('2025数据'!$AN$3:$AN$181,'2025数据'!$D$3:$D$181,"&gt;="&amp;DATE(2025,5,1),'2025数据'!$D$3:$D$181,"&lt;="&amp;DATE(2025,5,31),'2025数据'!$AL$3:$AL$181,$E$38,'2025数据'!$B$3:$B$181,E239)/10000)</f>
        <v>0.0124380000000001</v>
      </c>
      <c r="K239" s="219">
        <f ca="1">IF($S$1&lt;DATE(2025,6,1)," ",SUMIFS('2025数据'!$AN$3:$AN$181,'2025数据'!$D$3:$D$181,"&gt;="&amp;DATE(2025,6,1),'2025数据'!$D$3:$D$181,"&lt;="&amp;DATE(2025,6,30),'2025数据'!$AL$3:$AL$181,$E$38,'2025数据'!$B$3:$B$181,E239)/10000)</f>
        <v>0</v>
      </c>
      <c r="L239" s="219">
        <f ca="1">IF($S$1&lt;DATE(2025,7,1)," ",SUMIFS('2025数据'!$AN$3:$AN$181,'2025数据'!$D$3:$D$181,"&gt;="&amp;DATE(2025,7,1),'2025数据'!$D$3:$D$181,"&lt;="&amp;DATE(2025,7,31),'2025数据'!$AL$3:$AL$181,$E$38,'2025数据'!$B$3:$B$181,E239)/10000)</f>
        <v>0</v>
      </c>
      <c r="M239" s="219">
        <f ca="1">IF($S$1&lt;DATE(2025,8,1)," ",SUMIFS('2025数据'!$AN$3:$AN$181,'2025数据'!$D$3:$D$181,"&gt;="&amp;DATE(2025,8,1),'2025数据'!$D$3:$D$181,"&lt;="&amp;DATE(2025,8,31),'2025数据'!$AL$3:$AL$181,$E$38,'2025数据'!$B$3:$B$181,E239)/10000)</f>
        <v>0</v>
      </c>
      <c r="N239" s="219">
        <f ca="1">IF($S$1&lt;DATE(2025,9,1)," ",SUMIFS('2025数据'!$AN$3:$AN$181,'2025数据'!$D$3:$D$181,"&gt;="&amp;DATE(2025,9,1),'2025数据'!$D$3:$D$181,"&lt;="&amp;DATE(2025,9,30),'2025数据'!$AL$3:$AL$181,$E$38,'2025数据'!$B$3:$B$181,E239)/10000)</f>
        <v>0.0488179999999998</v>
      </c>
      <c r="O239" s="219">
        <f ca="1">IF($S$1&lt;DATE(2025,10,1)," ",SUMIFS('2025数据'!$AN$3:$AN$181,'2025数据'!$D$3:$D$181,"&gt;="&amp;DATE(2025,10,1),'2025数据'!$D$3:$D$181,"&lt;="&amp;DATE(2025,10,31),'2025数据'!$AL$3:$AL$181,$E$38,'2025数据'!$B$3:$B$181,E239)/10000)</f>
        <v>0.000227999999999975</v>
      </c>
      <c r="P239" s="224">
        <f ca="1">IF($S$1&lt;DATE(2025,11,1)," ",SUMIFS('2025数据'!$AN$3:$AN$181,'2025数据'!$D$3:$D$181,"&gt;="&amp;DATE(2025,11,1),'2025数据'!$D$3:$D$181,"&lt;="&amp;DATE(2025,11,30),'2025数据'!$AL$3:$AL$181,$E$38,'2025数据'!$B$3:$B$181,E239)/10000)</f>
        <v>0</v>
      </c>
      <c r="Q239" s="224">
        <f ca="1">IF($S$1&lt;DATE(2025,12,1)," ",SUMIFS('2025数据'!$AN$3:$AN$181,'2025数据'!$D$3:$D$181,"&gt;="&amp;DATE(2025,12,1),'2025数据'!$D$3:$D$181,"&lt;="&amp;DATE(2025,12,31),'2025数据'!$AL$3:$AL$181,$E$38,'2025数据'!$B$3:$B$181,E239)/10000)</f>
        <v>0</v>
      </c>
    </row>
    <row r="240" ht="24" customHeight="1" spans="1:17">
      <c r="A240" s="99" t="s">
        <v>289</v>
      </c>
      <c r="B240" s="99" t="s">
        <v>299</v>
      </c>
      <c r="C240" s="99" t="s">
        <v>333</v>
      </c>
      <c r="D240" s="53" t="s">
        <v>304</v>
      </c>
      <c r="E240" s="53" t="s">
        <v>85</v>
      </c>
      <c r="F240" s="219">
        <f ca="1">IF($S$1&lt;DATE(2025,1,1)," ",SUMIFS('2025数据'!$AN$3:$AN$181,'2025数据'!$D$3:$D$181,"&gt;="&amp;DATE(2025,1,1),'2025数据'!$D$3:$D$181,"&lt;="&amp;DATE(2025,1,31),'2025数据'!$AL$3:$AL$181,$E$38,'2025数据'!$B$3:$B$181,E240)/10000)</f>
        <v>0</v>
      </c>
      <c r="G240" s="219">
        <f ca="1">IF($S$1&lt;DATE(2025,2,1)," ",SUMIFS('2025数据'!$AN$3:$AN$181,'2025数据'!$D$3:$D$181,"&gt;="&amp;DATE(2025,2,1),'2025数据'!$D$3:$D$181,"&lt;="&amp;DATE(2025,2,28),'2025数据'!$AL$3:$AL$181,$E$38,'2025数据'!$B$3:$B$181,E240)/10000)</f>
        <v>0.0100419999999999</v>
      </c>
      <c r="H240" s="219">
        <f ca="1">IF($S$1&lt;DATE(2025,3,1)," ",SUMIFS('2025数据'!$AN$3:$AN$181,'2025数据'!$D$3:$D$181,"&gt;="&amp;DATE(2025,3,1),'2025数据'!$D$3:$D$181,"&lt;="&amp;DATE(2025,3,31),'2025数据'!$AL$3:$AL$181,$E$38,'2025数据'!$B$3:$B$181,E240)/10000)</f>
        <v>0.00223299999999999</v>
      </c>
      <c r="I240" s="219">
        <f ca="1">IF($S$1&lt;DATE(2025,4,1)," ",SUMIFS('2025数据'!$AN$3:$AN$181,'2025数据'!$D$3:$D$181,"&gt;="&amp;DATE(2025,4,1),'2025数据'!$D$3:$D$181,"&lt;="&amp;DATE(2025,4,30),'2025数据'!$AL$3:$AL$181,$E$38,'2025数据'!$B$3:$B$181,E240)/10000)</f>
        <v>0</v>
      </c>
      <c r="J240" s="219">
        <f ca="1">IF($S$1&lt;DATE(2025,5,1)," ",SUMIFS('2025数据'!$AN$3:$AN$181,'2025数据'!$D$3:$D$181,"&gt;="&amp;DATE(2025,5,1),'2025数据'!$D$3:$D$181,"&lt;="&amp;DATE(2025,5,31),'2025数据'!$AL$3:$AL$181,$E$38,'2025数据'!$B$3:$B$181,E240)/10000)</f>
        <v>0.033562</v>
      </c>
      <c r="K240" s="219">
        <f ca="1">IF($S$1&lt;DATE(2025,6,1)," ",SUMIFS('2025数据'!$AN$3:$AN$181,'2025数据'!$D$3:$D$181,"&gt;="&amp;DATE(2025,6,1),'2025数据'!$D$3:$D$181,"&lt;="&amp;DATE(2025,6,30),'2025数据'!$AL$3:$AL$181,$E$38,'2025数据'!$B$3:$B$181,E240)/10000)</f>
        <v>0.009491</v>
      </c>
      <c r="L240" s="219">
        <f ca="1">IF($S$1&lt;DATE(2025,7,1)," ",SUMIFS('2025数据'!$AN$3:$AN$181,'2025数据'!$D$3:$D$181,"&gt;="&amp;DATE(2025,7,1),'2025数据'!$D$3:$D$181,"&lt;="&amp;DATE(2025,7,31),'2025数据'!$AL$3:$AL$181,$E$38,'2025数据'!$B$3:$B$181,E240)/10000)</f>
        <v>0.016223</v>
      </c>
      <c r="M240" s="219">
        <f ca="1">IF($S$1&lt;DATE(2025,8,1)," ",SUMIFS('2025数据'!$AN$3:$AN$181,'2025数据'!$D$3:$D$181,"&gt;="&amp;DATE(2025,8,1),'2025数据'!$D$3:$D$181,"&lt;="&amp;DATE(2025,8,31),'2025数据'!$AL$3:$AL$181,$E$38,'2025数据'!$B$3:$B$181,E240)/10000)</f>
        <v>0</v>
      </c>
      <c r="N240" s="219">
        <f ca="1">IF($S$1&lt;DATE(2025,9,1)," ",SUMIFS('2025数据'!$AN$3:$AN$181,'2025数据'!$D$3:$D$181,"&gt;="&amp;DATE(2025,9,1),'2025数据'!$D$3:$D$181,"&lt;="&amp;DATE(2025,9,30),'2025数据'!$AL$3:$AL$181,$E$38,'2025数据'!$B$3:$B$181,E240)/10000)</f>
        <v>0.01285</v>
      </c>
      <c r="O240" s="219">
        <f ca="1">IF($S$1&lt;DATE(2025,10,1)," ",SUMIFS('2025数据'!$AN$3:$AN$181,'2025数据'!$D$3:$D$181,"&gt;="&amp;DATE(2025,10,1),'2025数据'!$D$3:$D$181,"&lt;="&amp;DATE(2025,10,31),'2025数据'!$AL$3:$AL$181,$E$38,'2025数据'!$B$3:$B$181,E240)/10000)</f>
        <v>0</v>
      </c>
      <c r="P240" s="224">
        <f ca="1">IF($S$1&lt;DATE(2025,11,1)," ",SUMIFS('2025数据'!$AN$3:$AN$181,'2025数据'!$D$3:$D$181,"&gt;="&amp;DATE(2025,11,1),'2025数据'!$D$3:$D$181,"&lt;="&amp;DATE(2025,11,30),'2025数据'!$AL$3:$AL$181,$E$38,'2025数据'!$B$3:$B$181,E240)/10000)</f>
        <v>0</v>
      </c>
      <c r="Q240" s="224">
        <f ca="1">IF($S$1&lt;DATE(2025,12,1)," ",SUMIFS('2025数据'!$AN$3:$AN$181,'2025数据'!$D$3:$D$181,"&gt;="&amp;DATE(2025,12,1),'2025数据'!$D$3:$D$181,"&lt;="&amp;DATE(2025,12,31),'2025数据'!$AL$3:$AL$181,$E$38,'2025数据'!$B$3:$B$181,E240)/10000)</f>
        <v>0</v>
      </c>
    </row>
    <row r="241" ht="24" customHeight="1" spans="1:17">
      <c r="A241" s="99" t="s">
        <v>289</v>
      </c>
      <c r="B241" s="99" t="s">
        <v>299</v>
      </c>
      <c r="C241" s="99" t="s">
        <v>333</v>
      </c>
      <c r="D241" s="53" t="s">
        <v>304</v>
      </c>
      <c r="E241" s="53" t="s">
        <v>81</v>
      </c>
      <c r="F241" s="219">
        <f ca="1">IF($S$1&lt;DATE(2025,1,1)," ",SUMIFS('2025数据'!$AN$3:$AN$181,'2025数据'!$D$3:$D$181,"&gt;="&amp;DATE(2025,1,1),'2025数据'!$D$3:$D$181,"&lt;="&amp;DATE(2025,1,31),'2025数据'!$AL$3:$AL$181,$E$38,'2025数据'!$B$3:$B$181,E241)/10000)</f>
        <v>0</v>
      </c>
      <c r="G241" s="219">
        <f ca="1">IF($S$1&lt;DATE(2025,2,1)," ",SUMIFS('2025数据'!$AN$3:$AN$181,'2025数据'!$D$3:$D$181,"&gt;="&amp;DATE(2025,2,1),'2025数据'!$D$3:$D$181,"&lt;="&amp;DATE(2025,2,28),'2025数据'!$AL$3:$AL$181,$E$38,'2025数据'!$B$3:$B$181,E241)/10000)</f>
        <v>0</v>
      </c>
      <c r="H241" s="219">
        <f ca="1">IF($S$1&lt;DATE(2025,3,1)," ",SUMIFS('2025数据'!$AN$3:$AN$181,'2025数据'!$D$3:$D$181,"&gt;="&amp;DATE(2025,3,1),'2025数据'!$D$3:$D$181,"&lt;="&amp;DATE(2025,3,31),'2025数据'!$AL$3:$AL$181,$E$38,'2025数据'!$B$3:$B$181,E241)/10000)</f>
        <v>0</v>
      </c>
      <c r="I241" s="219">
        <f ca="1">IF($S$1&lt;DATE(2025,4,1)," ",SUMIFS('2025数据'!$AN$3:$AN$181,'2025数据'!$D$3:$D$181,"&gt;="&amp;DATE(2025,4,1),'2025数据'!$D$3:$D$181,"&lt;="&amp;DATE(2025,4,30),'2025数据'!$AL$3:$AL$181,$E$38,'2025数据'!$B$3:$B$181,E241)/10000)</f>
        <v>0</v>
      </c>
      <c r="J241" s="219">
        <f ca="1">IF($S$1&lt;DATE(2025,5,1)," ",SUMIFS('2025数据'!$AN$3:$AN$181,'2025数据'!$D$3:$D$181,"&gt;="&amp;DATE(2025,5,1),'2025数据'!$D$3:$D$181,"&lt;="&amp;DATE(2025,5,31),'2025数据'!$AL$3:$AL$181,$E$38,'2025数据'!$B$3:$B$181,E241)/10000)</f>
        <v>0.00988799999999992</v>
      </c>
      <c r="K241" s="219">
        <f ca="1">IF($S$1&lt;DATE(2025,6,1)," ",SUMIFS('2025数据'!$AN$3:$AN$181,'2025数据'!$D$3:$D$181,"&gt;="&amp;DATE(2025,6,1),'2025数据'!$D$3:$D$181,"&lt;="&amp;DATE(2025,6,30),'2025数据'!$AL$3:$AL$181,$E$38,'2025数据'!$B$3:$B$181,E241)/10000)</f>
        <v>0</v>
      </c>
      <c r="L241" s="219">
        <f ca="1">IF($S$1&lt;DATE(2025,7,1)," ",SUMIFS('2025数据'!$AN$3:$AN$181,'2025数据'!$D$3:$D$181,"&gt;="&amp;DATE(2025,7,1),'2025数据'!$D$3:$D$181,"&lt;="&amp;DATE(2025,7,31),'2025数据'!$AL$3:$AL$181,$E$38,'2025数据'!$B$3:$B$181,E241)/10000)</f>
        <v>0</v>
      </c>
      <c r="M241" s="219">
        <f ca="1">IF($S$1&lt;DATE(2025,8,1)," ",SUMIFS('2025数据'!$AN$3:$AN$181,'2025数据'!$D$3:$D$181,"&gt;="&amp;DATE(2025,8,1),'2025数据'!$D$3:$D$181,"&lt;="&amp;DATE(2025,8,31),'2025数据'!$AL$3:$AL$181,$E$38,'2025数据'!$B$3:$B$181,E241)/10000)</f>
        <v>0.00027800000000002</v>
      </c>
      <c r="N241" s="219">
        <f ca="1">IF($S$1&lt;DATE(2025,9,1)," ",SUMIFS('2025数据'!$AN$3:$AN$181,'2025数据'!$D$3:$D$181,"&gt;="&amp;DATE(2025,9,1),'2025数据'!$D$3:$D$181,"&lt;="&amp;DATE(2025,9,30),'2025数据'!$AL$3:$AL$181,$E$38,'2025数据'!$B$3:$B$181,E241)/10000)</f>
        <v>0</v>
      </c>
      <c r="O241" s="219">
        <f ca="1">IF($S$1&lt;DATE(2025,10,1)," ",SUMIFS('2025数据'!$AN$3:$AN$181,'2025数据'!$D$3:$D$181,"&gt;="&amp;DATE(2025,10,1),'2025数据'!$D$3:$D$181,"&lt;="&amp;DATE(2025,10,31),'2025数据'!$AL$3:$AL$181,$E$38,'2025数据'!$B$3:$B$181,E241)/10000)</f>
        <v>0</v>
      </c>
      <c r="P241" s="224">
        <f ca="1">IF($S$1&lt;DATE(2025,11,1)," ",SUMIFS('2025数据'!$AN$3:$AN$181,'2025数据'!$D$3:$D$181,"&gt;="&amp;DATE(2025,11,1),'2025数据'!$D$3:$D$181,"&lt;="&amp;DATE(2025,11,30),'2025数据'!$AL$3:$AL$181,$E$38,'2025数据'!$B$3:$B$181,E241)/10000)</f>
        <v>0</v>
      </c>
      <c r="Q241" s="224">
        <f ca="1">IF($S$1&lt;DATE(2025,12,1)," ",SUMIFS('2025数据'!$AN$3:$AN$181,'2025数据'!$D$3:$D$181,"&gt;="&amp;DATE(2025,12,1),'2025数据'!$D$3:$D$181,"&lt;="&amp;DATE(2025,12,31),'2025数据'!$AL$3:$AL$181,$E$38,'2025数据'!$B$3:$B$181,E241)/10000)</f>
        <v>0</v>
      </c>
    </row>
    <row r="242" ht="24" customHeight="1" spans="1:17">
      <c r="A242" s="99" t="s">
        <v>289</v>
      </c>
      <c r="B242" s="99" t="s">
        <v>299</v>
      </c>
      <c r="C242" s="99" t="s">
        <v>333</v>
      </c>
      <c r="D242" s="53" t="s">
        <v>304</v>
      </c>
      <c r="E242" s="53" t="s">
        <v>96</v>
      </c>
      <c r="F242" s="219">
        <f ca="1">IF($S$1&lt;DATE(2025,1,1)," ",SUMIFS('2025数据'!$AN$3:$AN$181,'2025数据'!$D$3:$D$181,"&gt;="&amp;DATE(2025,1,1),'2025数据'!$D$3:$D$181,"&lt;="&amp;DATE(2025,1,31),'2025数据'!$AL$3:$AL$181,$E$38,'2025数据'!$B$3:$B$181,E242)/10000)</f>
        <v>0</v>
      </c>
      <c r="G242" s="219">
        <f ca="1">IF($S$1&lt;DATE(2025,2,1)," ",SUMIFS('2025数据'!$AN$3:$AN$181,'2025数据'!$D$3:$D$181,"&gt;="&amp;DATE(2025,2,1),'2025数据'!$D$3:$D$181,"&lt;="&amp;DATE(2025,2,28),'2025数据'!$AL$3:$AL$181,$E$38,'2025数据'!$B$3:$B$181,E242)/10000)</f>
        <v>0</v>
      </c>
      <c r="H242" s="219">
        <f ca="1">IF($S$1&lt;DATE(2025,3,1)," ",SUMIFS('2025数据'!$AN$3:$AN$181,'2025数据'!$D$3:$D$181,"&gt;="&amp;DATE(2025,3,1),'2025数据'!$D$3:$D$181,"&lt;="&amp;DATE(2025,3,31),'2025数据'!$AL$3:$AL$181,$E$38,'2025数据'!$B$3:$B$181,E242)/10000)</f>
        <v>0</v>
      </c>
      <c r="I242" s="219">
        <f ca="1">IF($S$1&lt;DATE(2025,4,1)," ",SUMIFS('2025数据'!$AN$3:$AN$181,'2025数据'!$D$3:$D$181,"&gt;="&amp;DATE(2025,4,1),'2025数据'!$D$3:$D$181,"&lt;="&amp;DATE(2025,4,30),'2025数据'!$AL$3:$AL$181,$E$38,'2025数据'!$B$3:$B$181,E242)/10000)</f>
        <v>0</v>
      </c>
      <c r="J242" s="219">
        <f ca="1">IF($S$1&lt;DATE(2025,5,1)," ",SUMIFS('2025数据'!$AN$3:$AN$181,'2025数据'!$D$3:$D$181,"&gt;="&amp;DATE(2025,5,1),'2025数据'!$D$3:$D$181,"&lt;="&amp;DATE(2025,5,31),'2025数据'!$AL$3:$AL$181,$E$38,'2025数据'!$B$3:$B$181,E242)/10000)</f>
        <v>0</v>
      </c>
      <c r="K242" s="219">
        <f ca="1">IF($S$1&lt;DATE(2025,6,1)," ",SUMIFS('2025数据'!$AN$3:$AN$181,'2025数据'!$D$3:$D$181,"&gt;="&amp;DATE(2025,6,1),'2025数据'!$D$3:$D$181,"&lt;="&amp;DATE(2025,6,30),'2025数据'!$AL$3:$AL$181,$E$38,'2025数据'!$B$3:$B$181,E242)/10000)</f>
        <v>0</v>
      </c>
      <c r="L242" s="219">
        <f ca="1">IF($S$1&lt;DATE(2025,7,1)," ",SUMIFS('2025数据'!$AN$3:$AN$181,'2025数据'!$D$3:$D$181,"&gt;="&amp;DATE(2025,7,1),'2025数据'!$D$3:$D$181,"&lt;="&amp;DATE(2025,7,31),'2025数据'!$AL$3:$AL$181,$E$38,'2025数据'!$B$3:$B$181,E242)/10000)</f>
        <v>0</v>
      </c>
      <c r="M242" s="219">
        <f ca="1">IF($S$1&lt;DATE(2025,8,1)," ",SUMIFS('2025数据'!$AN$3:$AN$181,'2025数据'!$D$3:$D$181,"&gt;="&amp;DATE(2025,8,1),'2025数据'!$D$3:$D$181,"&lt;="&amp;DATE(2025,8,31),'2025数据'!$AL$3:$AL$181,$E$38,'2025数据'!$B$3:$B$181,E242)/10000)</f>
        <v>0</v>
      </c>
      <c r="N242" s="219">
        <f ca="1">IF($S$1&lt;DATE(2025,9,1)," ",SUMIFS('2025数据'!$AN$3:$AN$181,'2025数据'!$D$3:$D$181,"&gt;="&amp;DATE(2025,9,1),'2025数据'!$D$3:$D$181,"&lt;="&amp;DATE(2025,9,30),'2025数据'!$AL$3:$AL$181,$E$38,'2025数据'!$B$3:$B$181,E242)/10000)</f>
        <v>0</v>
      </c>
      <c r="O242" s="219">
        <f ca="1">IF($S$1&lt;DATE(2025,10,1)," ",SUMIFS('2025数据'!$AN$3:$AN$181,'2025数据'!$D$3:$D$181,"&gt;="&amp;DATE(2025,10,1),'2025数据'!$D$3:$D$181,"&lt;="&amp;DATE(2025,10,31),'2025数据'!$AL$3:$AL$181,$E$38,'2025数据'!$B$3:$B$181,E242)/10000)</f>
        <v>0</v>
      </c>
      <c r="P242" s="224">
        <f ca="1">IF($S$1&lt;DATE(2025,11,1)," ",SUMIFS('2025数据'!$AN$3:$AN$181,'2025数据'!$D$3:$D$181,"&gt;="&amp;DATE(2025,11,1),'2025数据'!$D$3:$D$181,"&lt;="&amp;DATE(2025,11,30),'2025数据'!$AL$3:$AL$181,$E$38,'2025数据'!$B$3:$B$181,E242)/10000)</f>
        <v>0</v>
      </c>
      <c r="Q242" s="224">
        <f ca="1">IF($S$1&lt;DATE(2025,12,1)," ",SUMIFS('2025数据'!$AN$3:$AN$181,'2025数据'!$D$3:$D$181,"&gt;="&amp;DATE(2025,12,1),'2025数据'!$D$3:$D$181,"&lt;="&amp;DATE(2025,12,31),'2025数据'!$AL$3:$AL$181,$E$38,'2025数据'!$B$3:$B$181,E242)/10000)</f>
        <v>0</v>
      </c>
    </row>
    <row r="243" ht="24" customHeight="1" spans="1:17">
      <c r="A243" s="99" t="s">
        <v>289</v>
      </c>
      <c r="B243" s="99" t="s">
        <v>299</v>
      </c>
      <c r="C243" s="99" t="s">
        <v>333</v>
      </c>
      <c r="D243" s="53" t="s">
        <v>304</v>
      </c>
      <c r="E243" s="53" t="s">
        <v>160</v>
      </c>
      <c r="F243" s="219">
        <f ca="1">IF($S$1&lt;DATE(2025,1,1)," ",SUMIFS('2025数据'!$AN$3:$AN$181,'2025数据'!$D$3:$D$181,"&gt;="&amp;DATE(2025,1,1),'2025数据'!$D$3:$D$181,"&lt;="&amp;DATE(2025,1,31),'2025数据'!$AL$3:$AL$181,$E$38,'2025数据'!$B$3:$B$181,E243)/10000)</f>
        <v>0</v>
      </c>
      <c r="G243" s="219">
        <f ca="1">IF($S$1&lt;DATE(2025,2,1)," ",SUMIFS('2025数据'!$AN$3:$AN$181,'2025数据'!$D$3:$D$181,"&gt;="&amp;DATE(2025,2,1),'2025数据'!$D$3:$D$181,"&lt;="&amp;DATE(2025,2,28),'2025数据'!$AL$3:$AL$181,$E$38,'2025数据'!$B$3:$B$181,E243)/10000)</f>
        <v>0</v>
      </c>
      <c r="H243" s="219">
        <f ca="1">IF($S$1&lt;DATE(2025,3,1)," ",SUMIFS('2025数据'!$AN$3:$AN$181,'2025数据'!$D$3:$D$181,"&gt;="&amp;DATE(2025,3,1),'2025数据'!$D$3:$D$181,"&lt;="&amp;DATE(2025,3,31),'2025数据'!$AL$3:$AL$181,$E$38,'2025数据'!$B$3:$B$181,E243)/10000)</f>
        <v>0</v>
      </c>
      <c r="I243" s="219">
        <f ca="1">IF($S$1&lt;DATE(2025,4,1)," ",SUMIFS('2025数据'!$AN$3:$AN$181,'2025数据'!$D$3:$D$181,"&gt;="&amp;DATE(2025,4,1),'2025数据'!$D$3:$D$181,"&lt;="&amp;DATE(2025,4,30),'2025数据'!$AL$3:$AL$181,$E$38,'2025数据'!$B$3:$B$181,E243)/10000)</f>
        <v>0</v>
      </c>
      <c r="J243" s="219">
        <f ca="1">IF($S$1&lt;DATE(2025,5,1)," ",SUMIFS('2025数据'!$AN$3:$AN$181,'2025数据'!$D$3:$D$181,"&gt;="&amp;DATE(2025,5,1),'2025数据'!$D$3:$D$181,"&lt;="&amp;DATE(2025,5,31),'2025数据'!$AL$3:$AL$181,$E$38,'2025数据'!$B$3:$B$181,E243)/10000)</f>
        <v>0</v>
      </c>
      <c r="K243" s="219">
        <f ca="1">IF($S$1&lt;DATE(2025,6,1)," ",SUMIFS('2025数据'!$AN$3:$AN$181,'2025数据'!$D$3:$D$181,"&gt;="&amp;DATE(2025,6,1),'2025数据'!$D$3:$D$181,"&lt;="&amp;DATE(2025,6,30),'2025数据'!$AL$3:$AL$181,$E$38,'2025数据'!$B$3:$B$181,E243)/10000)</f>
        <v>0</v>
      </c>
      <c r="L243" s="219">
        <f ca="1">IF($S$1&lt;DATE(2025,7,1)," ",SUMIFS('2025数据'!$AN$3:$AN$181,'2025数据'!$D$3:$D$181,"&gt;="&amp;DATE(2025,7,1),'2025数据'!$D$3:$D$181,"&lt;="&amp;DATE(2025,7,31),'2025数据'!$AL$3:$AL$181,$E$38,'2025数据'!$B$3:$B$181,E243)/10000)</f>
        <v>0</v>
      </c>
      <c r="M243" s="219">
        <f ca="1">IF($S$1&lt;DATE(2025,8,1)," ",SUMIFS('2025数据'!$AN$3:$AN$181,'2025数据'!$D$3:$D$181,"&gt;="&amp;DATE(2025,8,1),'2025数据'!$D$3:$D$181,"&lt;="&amp;DATE(2025,8,31),'2025数据'!$AL$3:$AL$181,$E$38,'2025数据'!$B$3:$B$181,E243)/10000)</f>
        <v>0</v>
      </c>
      <c r="N243" s="219">
        <f ca="1">IF($S$1&lt;DATE(2025,9,1)," ",SUMIFS('2025数据'!$AN$3:$AN$181,'2025数据'!$D$3:$D$181,"&gt;="&amp;DATE(2025,9,1),'2025数据'!$D$3:$D$181,"&lt;="&amp;DATE(2025,9,30),'2025数据'!$AL$3:$AL$181,$E$38,'2025数据'!$B$3:$B$181,E243)/10000)</f>
        <v>0</v>
      </c>
      <c r="O243" s="219">
        <f ca="1">IF($S$1&lt;DATE(2025,10,1)," ",SUMIFS('2025数据'!$AN$3:$AN$181,'2025数据'!$D$3:$D$181,"&gt;="&amp;DATE(2025,10,1),'2025数据'!$D$3:$D$181,"&lt;="&amp;DATE(2025,10,31),'2025数据'!$AL$3:$AL$181,$E$38,'2025数据'!$B$3:$B$181,E243)/10000)</f>
        <v>0</v>
      </c>
      <c r="P243" s="224">
        <f ca="1">IF($S$1&lt;DATE(2025,11,1)," ",SUMIFS('2025数据'!$AN$3:$AN$181,'2025数据'!$D$3:$D$181,"&gt;="&amp;DATE(2025,11,1),'2025数据'!$D$3:$D$181,"&lt;="&amp;DATE(2025,11,30),'2025数据'!$AL$3:$AL$181,$E$38,'2025数据'!$B$3:$B$181,E243)/10000)</f>
        <v>0</v>
      </c>
      <c r="Q243" s="224">
        <f ca="1">IF($S$1&lt;DATE(2025,12,1)," ",SUMIFS('2025数据'!$AN$3:$AN$181,'2025数据'!$D$3:$D$181,"&gt;="&amp;DATE(2025,12,1),'2025数据'!$D$3:$D$181,"&lt;="&amp;DATE(2025,12,31),'2025数据'!$AL$3:$AL$181,$E$38,'2025数据'!$B$3:$B$181,E243)/10000)</f>
        <v>0</v>
      </c>
    </row>
    <row r="244" ht="24" customHeight="1" spans="1:17">
      <c r="A244" s="99" t="s">
        <v>289</v>
      </c>
      <c r="B244" s="99" t="s">
        <v>299</v>
      </c>
      <c r="C244" s="99" t="s">
        <v>333</v>
      </c>
      <c r="D244" s="218" t="s">
        <v>292</v>
      </c>
      <c r="E244" s="220" t="s">
        <v>340</v>
      </c>
      <c r="F244" s="221">
        <f ca="1">IF($S$1&lt;DATE(2025,1,1)," ",SUMIFS('2025数据'!$AJ$3:$AJ$181,'2025数据'!$D$3:$D$181,"&gt;="&amp;DATE(2025,1,1),'2025数据'!$D$3:$D$181,"&lt;="&amp;DATE(2025,1,31),'2025数据'!$AL$3:$AL$181,$E37)/10000)</f>
        <v>10.481073</v>
      </c>
      <c r="G244" s="221">
        <f ca="1">IF($S$1&lt;DATE(2025,2,1)," ",SUMIFS('2025数据'!$AJ$3:$AJ$181,'2025数据'!$D$3:$D$181,"&gt;="&amp;DATE(2025,2,1),'2025数据'!$D$3:$D$181,"&lt;="&amp;DATE(2025,2,28),'2025数据'!$AL$3:$AL$181,$E37)/10000)</f>
        <v>8.927788</v>
      </c>
      <c r="H244" s="221">
        <f ca="1">IF($S$1&lt;DATE(2025,3,1)," ",SUMIFS('2025数据'!$AJ$3:$AJ$181,'2025数据'!$D$3:$D$181,"&gt;="&amp;DATE(2025,3,1),'2025数据'!$D$3:$D$181,"&lt;="&amp;DATE(2025,3,31),'2025数据'!$AL$3:$AL$181,$E37)/10000)</f>
        <v>0</v>
      </c>
      <c r="I244" s="221">
        <f ca="1">IF($S$1&lt;DATE(2025,4,1)," ",SUMIFS('2025数据'!$AJ$3:$AJ$181,'2025数据'!$D$3:$D$181,"&gt;="&amp;DATE(2025,4,1),'2025数据'!$D$3:$D$181,"&lt;="&amp;DATE(2025,4,30),'2025数据'!$AL$3:$AL$181,$E37)/10000)</f>
        <v>1.72012</v>
      </c>
      <c r="J244" s="221">
        <f ca="1">IF($S$1&lt;DATE(2025,5,1)," ",SUMIFS('2025数据'!$AJ$3:$AJ$181,'2025数据'!$D$3:$D$181,"&gt;="&amp;DATE(2025,5,1),'2025数据'!$D$3:$D$181,"&lt;="&amp;DATE(2025,5,31),'2025数据'!$AL$3:$AL$181,$E37)/10000)</f>
        <v>10.646995</v>
      </c>
      <c r="K244" s="221">
        <f ca="1">IF($S$1&lt;DATE(2025,6,1)," ",SUMIFS('2025数据'!$AJ$3:$AJ$181,'2025数据'!$D$3:$D$181,"&gt;="&amp;DATE(2025,6,1),'2025数据'!$D$3:$D$181,"&lt;="&amp;DATE(2025,6,30),'2025数据'!$AL$3:$AL$181,$E37)/10000)</f>
        <v>0.443831</v>
      </c>
      <c r="L244" s="221">
        <f ca="1">IF($S$1&lt;DATE(2025,7,1)," ",SUMIFS('2025数据'!$AJ$3:$AJ$181,'2025数据'!$D$3:$D$181,"&gt;="&amp;DATE(2025,7,1),'2025数据'!$D$3:$D$181,"&lt;="&amp;DATE(2025,7,31),'2025数据'!$AL$3:$AL$181,$E37)/10000)</f>
        <v>5.931322</v>
      </c>
      <c r="M244" s="221">
        <f ca="1">IF($S$1&lt;DATE(2025,8,1)," ",SUMIFS('2025数据'!$AJ$3:$AJ$181,'2025数据'!$D$3:$D$181,"&gt;="&amp;DATE(2025,8,1),'2025数据'!$D$3:$D$181,"&lt;="&amp;DATE(2025,8,31),'2025数据'!$AL$3:$AL$181,$E37)/10000)</f>
        <v>7.619114</v>
      </c>
      <c r="N244" s="221">
        <f ca="1">IF($S$1&lt;DATE(2025,9,1)," ",SUMIFS('2025数据'!$AJ$3:$AJ$181,'2025数据'!$D$3:$D$181,"&gt;="&amp;DATE(2025,9,1),'2025数据'!$D$3:$D$181,"&lt;="&amp;DATE(2025,9,30),'2025数据'!$AL$3:$AL$181,$E37)/10000)</f>
        <v>2.241823</v>
      </c>
      <c r="O244" s="221">
        <f ca="1">IF($S$1&lt;DATE(2025,10,1)," ",SUMIFS('2025数据'!$AJ$3:$AJ$181,'2025数据'!$D$3:$D$181,"&gt;="&amp;DATE(2025,10,1),'2025数据'!$D$3:$D$181,"&lt;="&amp;DATE(2025,10,31),'2025数据'!$AL$3:$AL$181,$E37)/10000)</f>
        <v>0</v>
      </c>
      <c r="P244" s="225">
        <f ca="1">IF($S$1&lt;DATE(2025,11,1)," ",SUMIFS('2025数据'!$AJ$3:$AJ$181,'2025数据'!$D$3:$D$181,"&gt;="&amp;DATE(2025,11,1),'2025数据'!$D$3:$D$181,"&lt;="&amp;DATE(2025,11,30),'2025数据'!$AL$3:$AL$181,$E37)/10000)</f>
        <v>4.283561</v>
      </c>
      <c r="Q244" s="225">
        <f ca="1">IF($S$1&lt;DATE(2025,12,1)," ",SUMIFS('2025数据'!$AJ$3:$AJ$181,'2025数据'!$D$3:$D$181,"&gt;="&amp;DATE(2025,12,1),'2025数据'!$D$3:$D$181,"&lt;="&amp;DATE(2025,12,31),'2025数据'!$AL$3:$AL$181,$E37)/10000)</f>
        <v>3.482096</v>
      </c>
    </row>
    <row r="245" ht="24" customHeight="1" spans="1:17">
      <c r="A245" s="99" t="s">
        <v>289</v>
      </c>
      <c r="B245" s="99" t="s">
        <v>299</v>
      </c>
      <c r="C245" s="99" t="s">
        <v>333</v>
      </c>
      <c r="D245" s="218" t="s">
        <v>292</v>
      </c>
      <c r="E245" s="220" t="s">
        <v>341</v>
      </c>
      <c r="F245" s="221">
        <f ca="1">IF($S$1&lt;DATE(2025,1,1)," ",SUMIFS('2025数据'!$AJ$3:$AJ$181,'2025数据'!$D$3:$D$181,"&gt;="&amp;DATE(2025,1,1),'2025数据'!$D$3:$D$181,"&lt;="&amp;DATE(2025,1,31),'2025数据'!$AL$3:$AL$181,$E38)/10000)</f>
        <v>0</v>
      </c>
      <c r="G245" s="221">
        <f ca="1">IF($S$1&lt;DATE(2025,2,1)," ",SUMIFS('2025数据'!$AJ$3:$AJ$181,'2025数据'!$D$3:$D$181,"&gt;="&amp;DATE(2025,2,1),'2025数据'!$D$3:$D$181,"&lt;="&amp;DATE(2025,2,28),'2025数据'!$AL$3:$AL$181,$E38)/10000)</f>
        <v>0.783327</v>
      </c>
      <c r="H245" s="221">
        <f ca="1">IF($S$1&lt;DATE(2025,3,1)," ",SUMIFS('2025数据'!$AJ$3:$AJ$181,'2025数据'!$D$3:$D$181,"&gt;="&amp;DATE(2025,3,1),'2025数据'!$D$3:$D$181,"&lt;="&amp;DATE(2025,3,31),'2025数据'!$AL$3:$AL$181,$E38)/10000)</f>
        <v>0.199991</v>
      </c>
      <c r="I245" s="221">
        <f ca="1">IF($S$1&lt;DATE(2025,4,1)," ",SUMIFS('2025数据'!$AJ$3:$AJ$181,'2025数据'!$D$3:$D$181,"&gt;="&amp;DATE(2025,4,1),'2025数据'!$D$3:$D$181,"&lt;="&amp;DATE(2025,4,30),'2025数据'!$AL$3:$AL$181,$E38)/10000)</f>
        <v>1.086653</v>
      </c>
      <c r="J245" s="221">
        <f ca="1">IF($S$1&lt;DATE(2025,5,1)," ",SUMIFS('2025数据'!$AJ$3:$AJ$181,'2025数据'!$D$3:$D$181,"&gt;="&amp;DATE(2025,5,1),'2025数据'!$D$3:$D$181,"&lt;="&amp;DATE(2025,5,31),'2025数据'!$AL$3:$AL$181,$E38)/10000)</f>
        <v>2.58156</v>
      </c>
      <c r="K245" s="221">
        <f ca="1">IF($S$1&lt;DATE(2025,6,1)," ",SUMIFS('2025数据'!$AJ$3:$AJ$181,'2025数据'!$D$3:$D$181,"&gt;="&amp;DATE(2025,6,1),'2025数据'!$D$3:$D$181,"&lt;="&amp;DATE(2025,6,30),'2025数据'!$AL$3:$AL$181,$E38)/10000)</f>
        <v>0.026442</v>
      </c>
      <c r="L245" s="221">
        <f ca="1">IF($S$1&lt;DATE(2025,7,1)," ",SUMIFS('2025数据'!$AJ$3:$AJ$181,'2025数据'!$D$3:$D$181,"&gt;="&amp;DATE(2025,7,1),'2025数据'!$D$3:$D$181,"&lt;="&amp;DATE(2025,7,31),'2025数据'!$AL$3:$AL$181,$E38)/10000)</f>
        <v>0.16681</v>
      </c>
      <c r="M245" s="221">
        <f ca="1">IF($S$1&lt;DATE(2025,8,1)," ",SUMIFS('2025数据'!$AJ$3:$AJ$181,'2025数据'!$D$3:$D$181,"&gt;="&amp;DATE(2025,8,1),'2025数据'!$D$3:$D$181,"&lt;="&amp;DATE(2025,8,31),'2025数据'!$AL$3:$AL$181,$E38)/10000)</f>
        <v>0.312266</v>
      </c>
      <c r="N245" s="221">
        <f ca="1">IF($S$1&lt;DATE(2025,9,1)," ",SUMIFS('2025数据'!$AJ$3:$AJ$181,'2025数据'!$D$3:$D$181,"&gt;="&amp;DATE(2025,9,1),'2025数据'!$D$3:$D$181,"&lt;="&amp;DATE(2025,9,30),'2025数据'!$AL$3:$AL$181,$E38)/10000)</f>
        <v>2.339043</v>
      </c>
      <c r="O245" s="221">
        <f ca="1">IF($S$1&lt;DATE(2025,10,1)," ",SUMIFS('2025数据'!$AJ$3:$AJ$181,'2025数据'!$D$3:$D$181,"&gt;="&amp;DATE(2025,10,1),'2025数据'!$D$3:$D$181,"&lt;="&amp;DATE(2025,10,31),'2025数据'!$AL$3:$AL$181,$E38)/10000)</f>
        <v>0.205017</v>
      </c>
      <c r="P245" s="225">
        <f ca="1">IF($S$1&lt;DATE(2025,11,1)," ",SUMIFS('2025数据'!$AJ$3:$AJ$181,'2025数据'!$D$3:$D$181,"&gt;="&amp;DATE(2025,11,1),'2025数据'!$D$3:$D$181,"&lt;="&amp;DATE(2025,11,30),'2025数据'!$AL$3:$AL$181,$E38)/10000)</f>
        <v>0</v>
      </c>
      <c r="Q245" s="225">
        <f ca="1">IF($S$1&lt;DATE(2025,12,1)," ",SUMIFS('2025数据'!$AJ$3:$AJ$181,'2025数据'!$D$3:$D$181,"&gt;="&amp;DATE(2025,12,1),'2025数据'!$D$3:$D$181,"&lt;="&amp;DATE(2025,12,31),'2025数据'!$AL$3:$AL$181,$E38)/10000)</f>
        <v>0</v>
      </c>
    </row>
    <row r="246" ht="24" customHeight="1" spans="1:17">
      <c r="A246" s="99" t="s">
        <v>289</v>
      </c>
      <c r="B246" s="99" t="s">
        <v>299</v>
      </c>
      <c r="C246" s="99" t="s">
        <v>333</v>
      </c>
      <c r="D246" s="218" t="s">
        <v>292</v>
      </c>
      <c r="E246" s="220" t="s">
        <v>342</v>
      </c>
      <c r="F246" s="221">
        <f ca="1">IF($S$1&lt;DATE(2025,1,1)," ",SUMIFS('2025数据'!$AJ$3:$AJ$181,'2025数据'!$D$3:$D$181,"&gt;="&amp;DATE(2025,1,1),'2025数据'!$D$3:$D$181,"&lt;="&amp;DATE(2025,1,31),'2025数据'!$AL$3:$AL$181,$E39)/10000)</f>
        <v>0</v>
      </c>
      <c r="G246" s="221">
        <f ca="1">IF($S$1&lt;DATE(2025,2,1)," ",SUMIFS('2025数据'!$AJ$3:$AJ$181,'2025数据'!$D$3:$D$181,"&gt;="&amp;DATE(2025,2,1),'2025数据'!$D$3:$D$181,"&lt;="&amp;DATE(2025,2,28),'2025数据'!$AL$3:$AL$181,$E39)/10000)</f>
        <v>0</v>
      </c>
      <c r="H246" s="221">
        <f ca="1">IF($S$1&lt;DATE(2025,3,1)," ",SUMIFS('2025数据'!$AJ$3:$AJ$181,'2025数据'!$D$3:$D$181,"&gt;="&amp;DATE(2025,3,1),'2025数据'!$D$3:$D$181,"&lt;="&amp;DATE(2025,3,31),'2025数据'!$AL$3:$AL$181,$E39)/10000)</f>
        <v>0</v>
      </c>
      <c r="I246" s="221">
        <f ca="1">IF($S$1&lt;DATE(2025,4,1)," ",SUMIFS('2025数据'!$AJ$3:$AJ$181,'2025数据'!$D$3:$D$181,"&gt;="&amp;DATE(2025,4,1),'2025数据'!$D$3:$D$181,"&lt;="&amp;DATE(2025,4,30),'2025数据'!$AL$3:$AL$181,$E39)/10000)</f>
        <v>0</v>
      </c>
      <c r="J246" s="221">
        <f ca="1">IF($S$1&lt;DATE(2025,5,1)," ",SUMIFS('2025数据'!$AJ$3:$AJ$181,'2025数据'!$D$3:$D$181,"&gt;="&amp;DATE(2025,5,1),'2025数据'!$D$3:$D$181,"&lt;="&amp;DATE(2025,5,31),'2025数据'!$AL$3:$AL$181,$E39)/10000)</f>
        <v>0</v>
      </c>
      <c r="K246" s="221">
        <f ca="1">IF($S$1&lt;DATE(2025,6,1)," ",SUMIFS('2025数据'!$AJ$3:$AJ$181,'2025数据'!$D$3:$D$181,"&gt;="&amp;DATE(2025,6,1),'2025数据'!$D$3:$D$181,"&lt;="&amp;DATE(2025,6,30),'2025数据'!$AL$3:$AL$181,$E39)/10000)</f>
        <v>0</v>
      </c>
      <c r="L246" s="221">
        <f ca="1">IF($S$1&lt;DATE(2025,7,1)," ",SUMIFS('2025数据'!$AJ$3:$AJ$181,'2025数据'!$D$3:$D$181,"&gt;="&amp;DATE(2025,7,1),'2025数据'!$D$3:$D$181,"&lt;="&amp;DATE(2025,7,31),'2025数据'!$AL$3:$AL$181,$E39)/10000)</f>
        <v>0</v>
      </c>
      <c r="M246" s="221">
        <f ca="1">IF($S$1&lt;DATE(2025,8,1)," ",SUMIFS('2025数据'!$AJ$3:$AJ$181,'2025数据'!$D$3:$D$181,"&gt;="&amp;DATE(2025,8,1),'2025数据'!$D$3:$D$181,"&lt;="&amp;DATE(2025,8,31),'2025数据'!$AL$3:$AL$181,$E39)/10000)</f>
        <v>0</v>
      </c>
      <c r="N246" s="221">
        <f ca="1">IF($S$1&lt;DATE(2025,9,1)," ",SUMIFS('2025数据'!$AJ$3:$AJ$181,'2025数据'!$D$3:$D$181,"&gt;="&amp;DATE(2025,9,1),'2025数据'!$D$3:$D$181,"&lt;="&amp;DATE(2025,9,30),'2025数据'!$AL$3:$AL$181,$E39)/10000)</f>
        <v>0</v>
      </c>
      <c r="O246" s="221">
        <f ca="1">IF($S$1&lt;DATE(2025,10,1)," ",SUMIFS('2025数据'!$AJ$3:$AJ$181,'2025数据'!$D$3:$D$181,"&gt;="&amp;DATE(2025,10,1),'2025数据'!$D$3:$D$181,"&lt;="&amp;DATE(2025,10,31),'2025数据'!$AL$3:$AL$181,$E39)/10000)</f>
        <v>0</v>
      </c>
      <c r="P246" s="225">
        <f ca="1">IF($S$1&lt;DATE(2025,11,1)," ",SUMIFS('2025数据'!$AJ$3:$AJ$181,'2025数据'!$D$3:$D$181,"&gt;="&amp;DATE(2025,11,1),'2025数据'!$D$3:$D$181,"&lt;="&amp;DATE(2025,11,30),'2025数据'!$AL$3:$AL$181,$E39)/10000)</f>
        <v>0</v>
      </c>
      <c r="Q246" s="225">
        <f ca="1">IF($S$1&lt;DATE(2025,12,1)," ",SUMIFS('2025数据'!$AJ$3:$AJ$181,'2025数据'!$D$3:$D$181,"&gt;="&amp;DATE(2025,12,1),'2025数据'!$D$3:$D$181,"&lt;="&amp;DATE(2025,12,31),'2025数据'!$AL$3:$AL$181,$E39)/10000)</f>
        <v>0</v>
      </c>
    </row>
    <row r="247" ht="24" customHeight="1" spans="1:17">
      <c r="A247" s="99" t="s">
        <v>289</v>
      </c>
      <c r="B247" s="99" t="s">
        <v>299</v>
      </c>
      <c r="C247" s="99" t="s">
        <v>343</v>
      </c>
      <c r="D247" s="218" t="s">
        <v>292</v>
      </c>
      <c r="E247" s="220" t="s">
        <v>340</v>
      </c>
      <c r="F247" s="222">
        <f ca="1" t="shared" ref="F247:F249" si="188">IF($S$1&lt;DATE(2025,1,1)," ",F244)</f>
        <v>10.481073</v>
      </c>
      <c r="G247" s="222">
        <f ca="1" t="shared" ref="G247:G249" si="189">IF($S$1&lt;DATE(2025,2,1)," ",F247+G244)</f>
        <v>19.408861</v>
      </c>
      <c r="H247" s="222">
        <f ca="1" t="shared" ref="H247:H249" si="190">IF($S$1&lt;DATE(2025,3,1)," ",G247+H244)</f>
        <v>19.408861</v>
      </c>
      <c r="I247" s="222">
        <f ca="1" t="shared" ref="I247:I249" si="191">IF($S$1&lt;DATE(2025,4,1)," ",H247+I244)</f>
        <v>21.128981</v>
      </c>
      <c r="J247" s="222">
        <f ca="1" t="shared" ref="J247:J249" si="192">IF($S$1&lt;DATE(2025,5,1)," ",I247+J244)</f>
        <v>31.775976</v>
      </c>
      <c r="K247" s="222">
        <f ca="1" t="shared" ref="K247:K249" si="193">IF($S$1&lt;DATE(2025,6,1)," ",J247+K244)</f>
        <v>32.219807</v>
      </c>
      <c r="L247" s="222">
        <f ca="1" t="shared" ref="L247:L249" si="194">IF($S$1&lt;DATE(2025,7,1)," ",K247+L244)</f>
        <v>38.151129</v>
      </c>
      <c r="M247" s="222">
        <f ca="1" t="shared" ref="M247:M249" si="195">IF($S$1&lt;DATE(2025,8,1)," ",L247+M244)</f>
        <v>45.770243</v>
      </c>
      <c r="N247" s="222">
        <f ca="1" t="shared" ref="N247:N249" si="196">IF($S$1&lt;DATE(2025,9,1)," ",M247+N244)</f>
        <v>48.012066</v>
      </c>
      <c r="O247" s="222">
        <f ca="1" t="shared" ref="O247:O249" si="197">IF($S$1&lt;DATE(2025,10,1)," ",N247+O244)</f>
        <v>48.012066</v>
      </c>
      <c r="P247" s="222">
        <f ca="1" t="shared" ref="P247:P249" si="198">IF($S$1&lt;DATE(2025,11,1)," ",O247+P244)</f>
        <v>52.295627</v>
      </c>
      <c r="Q247" s="222">
        <f ca="1" t="shared" ref="Q247:Q249" si="199">IF($S$1&lt;DATE(2025,12,1)," ",P247+Q244)</f>
        <v>55.777723</v>
      </c>
    </row>
    <row r="248" ht="24" customHeight="1" spans="1:17">
      <c r="A248" s="99" t="s">
        <v>289</v>
      </c>
      <c r="B248" s="99" t="s">
        <v>299</v>
      </c>
      <c r="C248" s="99" t="s">
        <v>343</v>
      </c>
      <c r="D248" s="218" t="s">
        <v>292</v>
      </c>
      <c r="E248" s="220" t="s">
        <v>341</v>
      </c>
      <c r="F248" s="222">
        <f ca="1" t="shared" si="188"/>
        <v>0</v>
      </c>
      <c r="G248" s="222">
        <f ca="1" t="shared" si="189"/>
        <v>0.783327</v>
      </c>
      <c r="H248" s="222">
        <f ca="1" t="shared" si="190"/>
        <v>0.983318</v>
      </c>
      <c r="I248" s="222">
        <f ca="1" t="shared" si="191"/>
        <v>2.069971</v>
      </c>
      <c r="J248" s="222">
        <f ca="1" t="shared" si="192"/>
        <v>4.651531</v>
      </c>
      <c r="K248" s="222">
        <f ca="1" t="shared" si="193"/>
        <v>4.677973</v>
      </c>
      <c r="L248" s="222">
        <f ca="1" t="shared" si="194"/>
        <v>4.844783</v>
      </c>
      <c r="M248" s="222">
        <f ca="1" t="shared" si="195"/>
        <v>5.157049</v>
      </c>
      <c r="N248" s="222">
        <f ca="1" t="shared" si="196"/>
        <v>7.496092</v>
      </c>
      <c r="O248" s="222">
        <f ca="1" t="shared" si="197"/>
        <v>7.701109</v>
      </c>
      <c r="P248" s="222">
        <f ca="1" t="shared" si="198"/>
        <v>7.701109</v>
      </c>
      <c r="Q248" s="222">
        <f ca="1" t="shared" si="199"/>
        <v>7.701109</v>
      </c>
    </row>
    <row r="249" ht="24" customHeight="1" spans="1:17">
      <c r="A249" s="99" t="s">
        <v>289</v>
      </c>
      <c r="B249" s="99" t="s">
        <v>299</v>
      </c>
      <c r="C249" s="99" t="s">
        <v>343</v>
      </c>
      <c r="D249" s="218" t="s">
        <v>292</v>
      </c>
      <c r="E249" s="220" t="s">
        <v>342</v>
      </c>
      <c r="F249" s="222">
        <f ca="1" t="shared" si="188"/>
        <v>0</v>
      </c>
      <c r="G249" s="222">
        <f ca="1" t="shared" si="189"/>
        <v>0</v>
      </c>
      <c r="H249" s="222">
        <f ca="1" t="shared" si="190"/>
        <v>0</v>
      </c>
      <c r="I249" s="222">
        <f ca="1" t="shared" si="191"/>
        <v>0</v>
      </c>
      <c r="J249" s="222">
        <f ca="1" t="shared" si="192"/>
        <v>0</v>
      </c>
      <c r="K249" s="222">
        <f ca="1" t="shared" si="193"/>
        <v>0</v>
      </c>
      <c r="L249" s="222">
        <f ca="1" t="shared" si="194"/>
        <v>0</v>
      </c>
      <c r="M249" s="222">
        <f ca="1" t="shared" si="195"/>
        <v>0</v>
      </c>
      <c r="N249" s="222">
        <f ca="1" t="shared" si="196"/>
        <v>0</v>
      </c>
      <c r="O249" s="222">
        <f ca="1" t="shared" si="197"/>
        <v>0</v>
      </c>
      <c r="P249" s="222">
        <f ca="1" t="shared" si="198"/>
        <v>0</v>
      </c>
      <c r="Q249" s="222">
        <f ca="1" t="shared" si="199"/>
        <v>0</v>
      </c>
    </row>
    <row r="250" ht="24" customHeight="1" spans="1:17">
      <c r="A250" s="99" t="s">
        <v>289</v>
      </c>
      <c r="B250" s="99" t="s">
        <v>299</v>
      </c>
      <c r="C250" s="99" t="s">
        <v>336</v>
      </c>
      <c r="D250" s="114" t="s">
        <v>292</v>
      </c>
      <c r="E250" s="122" t="s">
        <v>337</v>
      </c>
      <c r="F250" s="223">
        <f ca="1">IF($S$1&lt;DATE(2025,1,1)," ",SUMIFS('2025数据'!$AM$3:$AM$181,'2025数据'!$D$3:$D$181,"&gt;="&amp;DATE(2025,1,1),'2025数据'!$D$3:$D$181,"&lt;="&amp;DATE(2025,1,31),'2025数据'!$AL$3:$AL$181,$E37)/10000)</f>
        <v>2.091504</v>
      </c>
      <c r="G250" s="223">
        <f ca="1">IF($S$1&lt;DATE(2025,2,1)," ",SUMIFS('2025数据'!$AM$3:$AM$181,'2025数据'!$D$3:$D$181,"&gt;="&amp;DATE(2025,2,1),'2025数据'!$D$3:$D$181,"&lt;="&amp;DATE(2025,2,28),'2025数据'!$AL$3:$AL$181,$E37)/10000)</f>
        <v>0.335912</v>
      </c>
      <c r="H250" s="223">
        <f ca="1">IF($S$1&lt;DATE(2025,3,1)," ",SUMIFS('2025数据'!$AM$3:$AM$181,'2025数据'!$D$3:$D$181,"&gt;="&amp;DATE(2025,3,1),'2025数据'!$D$3:$D$181,"&lt;="&amp;DATE(2025,3,31),'2025数据'!$AL$3:$AL$181,$E37)/10000)</f>
        <v>0</v>
      </c>
      <c r="I250" s="223">
        <f ca="1">IF($S$1&lt;DATE(2025,4,1)," ",SUMIFS('2025数据'!$AM$3:$AM$181,'2025数据'!$D$3:$D$181,"&gt;="&amp;DATE(2025,4,1),'2025数据'!$D$3:$D$181,"&lt;="&amp;DATE(2025,4,30),'2025数据'!$AL$3:$AL$181,$E37)/10000)</f>
        <v>0.0392679999999999</v>
      </c>
      <c r="J250" s="223">
        <f ca="1">IF($S$1&lt;DATE(2025,5,1)," ",SUMIFS('2025数据'!$AM$3:$AM$181,'2025数据'!$D$3:$D$181,"&gt;="&amp;DATE(2025,5,1),'2025数据'!$D$3:$D$181,"&lt;="&amp;DATE(2025,5,31),'2025数据'!$AL$3:$AL$181,$E37)/10000)</f>
        <v>4.012214</v>
      </c>
      <c r="K250" s="223">
        <f ca="1">IF($S$1&lt;DATE(2025,6,1)," ",SUMIFS('2025数据'!$AM$3:$AM$181,'2025数据'!$D$3:$D$181,"&gt;="&amp;DATE(2025,6,1),'2025数据'!$D$3:$D$181,"&lt;="&amp;DATE(2025,6,30),'2025数据'!$AL$3:$AL$181,$E37)/10000)</f>
        <v>0.00303200000000006</v>
      </c>
      <c r="L250" s="223">
        <f ca="1">IF($S$1&lt;DATE(2025,7,1)," ",SUMIFS('2025数据'!$AM$3:$AM$181,'2025数据'!$D$3:$D$181,"&gt;="&amp;DATE(2025,7,1),'2025数据'!$D$3:$D$181,"&lt;="&amp;DATE(2025,7,31),'2025数据'!$AL$3:$AL$181,$E37)/10000)</f>
        <v>0.253312</v>
      </c>
      <c r="M250" s="223">
        <f ca="1">IF($S$1&lt;DATE(2025,8,1)," ",SUMIFS('2025数据'!$AM$3:$AM$181,'2025数据'!$D$3:$D$181,"&gt;="&amp;DATE(2025,8,1),'2025数据'!$D$3:$D$181,"&lt;="&amp;DATE(2025,8,31),'2025数据'!$AL$3:$AL$181,$E37)/10000)</f>
        <v>0.394095000000001</v>
      </c>
      <c r="N250" s="223">
        <f ca="1">IF($S$1&lt;DATE(2025,9,1)," ",SUMIFS('2025数据'!$AM$3:$AM$181,'2025数据'!$D$3:$D$181,"&gt;="&amp;DATE(2025,9,1),'2025数据'!$D$3:$D$181,"&lt;="&amp;DATE(2025,9,30),'2025数据'!$AL$3:$AL$181,$E37)/10000)</f>
        <v>0.198853</v>
      </c>
      <c r="O250" s="223">
        <f ca="1">IF($S$1&lt;DATE(2025,10,1)," ",SUMIFS('2025数据'!$AM$3:$AM$181,'2025数据'!$D$3:$D$181,"&gt;="&amp;DATE(2025,10,1),'2025数据'!$D$3:$D$181,"&lt;="&amp;DATE(2025,10,31),'2025数据'!$AL$3:$AL$181,$E37)/10000)</f>
        <v>0</v>
      </c>
      <c r="P250" s="226">
        <f ca="1">IF($S$1&lt;DATE(2025,11,1)," ",SUMIFS('2025数据'!$AM$3:$AM$181,'2025数据'!$D$3:$D$181,"&gt;="&amp;DATE(2025,11,1),'2025数据'!$D$3:$D$181,"&lt;="&amp;DATE(2025,11,30),'2025数据'!$AL$3:$AL$181,$E37)/10000)</f>
        <v>0.245996</v>
      </c>
      <c r="Q250" s="226">
        <f ca="1">IF($S$1&lt;DATE(2025,12,1)," ",SUMIFS('2025数据'!$AM$3:$AM$181,'2025数据'!$D$3:$D$181,"&gt;="&amp;DATE(2025,12,1),'2025数据'!$D$3:$D$181,"&lt;="&amp;DATE(2025,12,31),'2025数据'!$AL$3:$AL$181,$E37)/10000)</f>
        <v>1.070589</v>
      </c>
    </row>
    <row r="251" ht="24" customHeight="1" spans="1:17">
      <c r="A251" s="99" t="s">
        <v>289</v>
      </c>
      <c r="B251" s="99" t="s">
        <v>299</v>
      </c>
      <c r="C251" s="99" t="s">
        <v>336</v>
      </c>
      <c r="D251" s="114" t="s">
        <v>292</v>
      </c>
      <c r="E251" s="122" t="s">
        <v>338</v>
      </c>
      <c r="F251" s="223">
        <f ca="1">IF($S$1&lt;DATE(2025,1,1)," ",SUMIFS('2025数据'!$AM$3:$AM$181,'2025数据'!$D$3:$D$181,"&gt;="&amp;DATE(2025,1,1),'2025数据'!$D$3:$D$181,"&lt;="&amp;DATE(2025,1,31),'2025数据'!$AL$3:$AL$181,$E38)/10000)</f>
        <v>0</v>
      </c>
      <c r="G251" s="223">
        <f ca="1">IF($S$1&lt;DATE(2025,2,1)," ",SUMIFS('2025数据'!$AM$3:$AM$181,'2025数据'!$D$3:$D$181,"&gt;="&amp;DATE(2025,2,1),'2025数据'!$D$3:$D$181,"&lt;="&amp;DATE(2025,2,28),'2025数据'!$AL$3:$AL$181,$E38)/10000)</f>
        <v>0.0100419999999999</v>
      </c>
      <c r="H251" s="223">
        <f ca="1">IF($S$1&lt;DATE(2025,3,1)," ",SUMIFS('2025数据'!$AM$3:$AM$181,'2025数据'!$D$3:$D$181,"&gt;="&amp;DATE(2025,3,1),'2025数据'!$D$3:$D$181,"&lt;="&amp;DATE(2025,3,31),'2025数据'!$AL$3:$AL$181,$E38)/10000)</f>
        <v>0.002249</v>
      </c>
      <c r="I251" s="223">
        <f ca="1">IF($S$1&lt;DATE(2025,4,1)," ",SUMIFS('2025数据'!$AM$3:$AM$181,'2025数据'!$D$3:$D$181,"&gt;="&amp;DATE(2025,4,1),'2025数据'!$D$3:$D$181,"&lt;="&amp;DATE(2025,4,30),'2025数据'!$AL$3:$AL$181,$E38)/10000)</f>
        <v>0.080227</v>
      </c>
      <c r="J251" s="223">
        <f ca="1">IF($S$1&lt;DATE(2025,5,1)," ",SUMIFS('2025数据'!$AM$3:$AM$181,'2025数据'!$D$3:$D$181,"&gt;="&amp;DATE(2025,5,1),'2025数据'!$D$3:$D$181,"&lt;="&amp;DATE(2025,5,31),'2025数据'!$AL$3:$AL$181,$E38)/10000)</f>
        <v>0.0572159999999999</v>
      </c>
      <c r="K251" s="223">
        <f ca="1">IF($S$1&lt;DATE(2025,6,1)," ",SUMIFS('2025数据'!$AM$3:$AM$181,'2025数据'!$D$3:$D$181,"&gt;="&amp;DATE(2025,6,1),'2025数据'!$D$3:$D$181,"&lt;="&amp;DATE(2025,6,30),'2025数据'!$AL$3:$AL$181,$E38)/10000)</f>
        <v>0.009491</v>
      </c>
      <c r="L251" s="223">
        <f ca="1">IF($S$1&lt;DATE(2025,7,1)," ",SUMIFS('2025数据'!$AM$3:$AM$181,'2025数据'!$D$3:$D$181,"&gt;="&amp;DATE(2025,7,1),'2025数据'!$D$3:$D$181,"&lt;="&amp;DATE(2025,7,31),'2025数据'!$AL$3:$AL$181,$E38)/10000)</f>
        <v>0.016223</v>
      </c>
      <c r="M251" s="223">
        <f ca="1">IF($S$1&lt;DATE(2025,8,1)," ",SUMIFS('2025数据'!$AM$3:$AM$181,'2025数据'!$D$3:$D$181,"&gt;="&amp;DATE(2025,8,1),'2025数据'!$D$3:$D$181,"&lt;="&amp;DATE(2025,8,31),'2025数据'!$AL$3:$AL$181,$E38)/10000)</f>
        <v>0.000280999999999995</v>
      </c>
      <c r="N251" s="223">
        <f ca="1">IF($S$1&lt;DATE(2025,9,1)," ",SUMIFS('2025数据'!$AM$3:$AM$181,'2025数据'!$D$3:$D$181,"&gt;="&amp;DATE(2025,9,1),'2025数据'!$D$3:$D$181,"&lt;="&amp;DATE(2025,9,30),'2025数据'!$AL$3:$AL$181,$E38)/10000)</f>
        <v>0.066649</v>
      </c>
      <c r="O251" s="223">
        <f ca="1">IF($S$1&lt;DATE(2025,10,1)," ",SUMIFS('2025数据'!$AM$3:$AM$181,'2025数据'!$D$3:$D$181,"&gt;="&amp;DATE(2025,10,1),'2025数据'!$D$3:$D$181,"&lt;="&amp;DATE(2025,10,31),'2025数据'!$AL$3:$AL$181,$E38)/10000)</f>
        <v>0.000230000000000018</v>
      </c>
      <c r="P251" s="226">
        <f ca="1">IF($S$1&lt;DATE(2025,11,1)," ",SUMIFS('2025数据'!$AM$3:$AM$181,'2025数据'!$D$3:$D$181,"&gt;="&amp;DATE(2025,11,1),'2025数据'!$D$3:$D$181,"&lt;="&amp;DATE(2025,11,30),'2025数据'!$AL$3:$AL$181,$E38)/10000)</f>
        <v>0</v>
      </c>
      <c r="Q251" s="226">
        <f ca="1">IF($S$1&lt;DATE(2025,12,1)," ",SUMIFS('2025数据'!$AM$3:$AM$181,'2025数据'!$D$3:$D$181,"&gt;="&amp;DATE(2025,12,1),'2025数据'!$D$3:$D$181,"&lt;="&amp;DATE(2025,12,31),'2025数据'!$AL$3:$AL$181,$E38)/10000)</f>
        <v>0</v>
      </c>
    </row>
    <row r="252" ht="24" customHeight="1" spans="1:17">
      <c r="A252" s="99" t="s">
        <v>289</v>
      </c>
      <c r="B252" s="99" t="s">
        <v>299</v>
      </c>
      <c r="C252" s="99" t="s">
        <v>336</v>
      </c>
      <c r="D252" s="114" t="s">
        <v>292</v>
      </c>
      <c r="E252" s="122" t="s">
        <v>339</v>
      </c>
      <c r="F252" s="223">
        <f ca="1">IF($S$1&lt;DATE(2025,1,1)," ",SUMIFS('2025数据'!$AM$3:$AM$181,'2025数据'!$D$3:$D$181,"&gt;="&amp;DATE(2025,1,1),'2025数据'!$D$3:$D$181,"&lt;="&amp;DATE(2025,1,31),'2025数据'!$AL$3:$AL$181,$E39)/10000)</f>
        <v>0</v>
      </c>
      <c r="G252" s="223">
        <f ca="1">IF($S$1&lt;DATE(2025,2,1)," ",SUMIFS('2025数据'!$AM$3:$AM$181,'2025数据'!$D$3:$D$181,"&gt;="&amp;DATE(2025,2,1),'2025数据'!$D$3:$D$181,"&lt;="&amp;DATE(2025,2,28),'2025数据'!$AL$3:$AL$181,$E39)/10000)</f>
        <v>0</v>
      </c>
      <c r="H252" s="223">
        <f ca="1">IF($S$1&lt;DATE(2025,3,1)," ",SUMIFS('2025数据'!$AM$3:$AM$181,'2025数据'!$D$3:$D$181,"&gt;="&amp;DATE(2025,3,1),'2025数据'!$D$3:$D$181,"&lt;="&amp;DATE(2025,3,31),'2025数据'!$AL$3:$AL$181,$E39)/10000)</f>
        <v>0</v>
      </c>
      <c r="I252" s="223">
        <f ca="1">IF($S$1&lt;DATE(2025,4,1)," ",SUMIFS('2025数据'!$AM$3:$AM$181,'2025数据'!$D$3:$D$181,"&gt;="&amp;DATE(2025,4,1),'2025数据'!$D$3:$D$181,"&lt;="&amp;DATE(2025,4,30),'2025数据'!$AL$3:$AL$181,$E39)/10000)</f>
        <v>0</v>
      </c>
      <c r="J252" s="223">
        <f ca="1">IF($S$1&lt;DATE(2025,5,1)," ",SUMIFS('2025数据'!$AM$3:$AM$181,'2025数据'!$D$3:$D$181,"&gt;="&amp;DATE(2025,5,1),'2025数据'!$D$3:$D$181,"&lt;="&amp;DATE(2025,5,31),'2025数据'!$AL$3:$AL$181,$E39)/10000)</f>
        <v>0</v>
      </c>
      <c r="K252" s="223">
        <f ca="1">IF($S$1&lt;DATE(2025,6,1)," ",SUMIFS('2025数据'!$AM$3:$AM$181,'2025数据'!$D$3:$D$181,"&gt;="&amp;DATE(2025,6,1),'2025数据'!$D$3:$D$181,"&lt;="&amp;DATE(2025,6,30),'2025数据'!$AL$3:$AL$181,$E39)/10000)</f>
        <v>0</v>
      </c>
      <c r="L252" s="223">
        <f ca="1">IF($S$1&lt;DATE(2025,7,1)," ",SUMIFS('2025数据'!$AM$3:$AM$181,'2025数据'!$D$3:$D$181,"&gt;="&amp;DATE(2025,7,1),'2025数据'!$D$3:$D$181,"&lt;="&amp;DATE(2025,7,31),'2025数据'!$AL$3:$AL$181,$E39)/10000)</f>
        <v>0</v>
      </c>
      <c r="M252" s="223">
        <f ca="1">IF($S$1&lt;DATE(2025,8,1)," ",SUMIFS('2025数据'!$AM$3:$AM$181,'2025数据'!$D$3:$D$181,"&gt;="&amp;DATE(2025,8,1),'2025数据'!$D$3:$D$181,"&lt;="&amp;DATE(2025,8,31),'2025数据'!$AL$3:$AL$181,$E39)/10000)</f>
        <v>0</v>
      </c>
      <c r="N252" s="223">
        <f ca="1">IF($S$1&lt;DATE(2025,9,1)," ",SUMIFS('2025数据'!$AM$3:$AM$181,'2025数据'!$D$3:$D$181,"&gt;="&amp;DATE(2025,9,1),'2025数据'!$D$3:$D$181,"&lt;="&amp;DATE(2025,9,30),'2025数据'!$AL$3:$AL$181,$E39)/10000)</f>
        <v>0</v>
      </c>
      <c r="O252" s="223">
        <f ca="1">IF($S$1&lt;DATE(2025,10,1)," ",SUMIFS('2025数据'!$AM$3:$AM$181,'2025数据'!$D$3:$D$181,"&gt;="&amp;DATE(2025,10,1),'2025数据'!$D$3:$D$181,"&lt;="&amp;DATE(2025,10,31),'2025数据'!$AL$3:$AL$181,$E39)/10000)</f>
        <v>0</v>
      </c>
      <c r="P252" s="226">
        <f ca="1">IF($S$1&lt;DATE(2025,11,1)," ",SUMIFS('2025数据'!$AM$3:$AM$181,'2025数据'!$D$3:$D$181,"&gt;="&amp;DATE(2025,11,1),'2025数据'!$D$3:$D$181,"&lt;="&amp;DATE(2025,11,30),'2025数据'!$AL$3:$AL$181,$E39)/10000)</f>
        <v>0</v>
      </c>
      <c r="Q252" s="226">
        <f ca="1">IF($S$1&lt;DATE(2025,12,1)," ",SUMIFS('2025数据'!$AM$3:$AM$181,'2025数据'!$D$3:$D$181,"&gt;="&amp;DATE(2025,12,1),'2025数据'!$D$3:$D$181,"&lt;="&amp;DATE(2025,12,31),'2025数据'!$AL$3:$AL$181,$E39)/10000)</f>
        <v>0</v>
      </c>
    </row>
    <row r="253" ht="24" customHeight="1" spans="1:17">
      <c r="A253" s="99" t="s">
        <v>289</v>
      </c>
      <c r="B253" s="99" t="s">
        <v>299</v>
      </c>
      <c r="C253" s="99" t="s">
        <v>336</v>
      </c>
      <c r="D253" s="122" t="s">
        <v>303</v>
      </c>
      <c r="E253" s="122" t="s">
        <v>93</v>
      </c>
      <c r="F253" s="223">
        <f ca="1">IF($S$1&lt;DATE(2025,1,1)," ",SUMIFS('2025数据'!$AM$3:$AM$181,'2025数据'!$D$3:$D$181,"&gt;="&amp;DATE(2025,1,1),'2025数据'!$D$3:$D$181,"&lt;="&amp;DATE(2025,1,31),'2025数据'!$AL$3:$AL$181,$E$37,'2025数据'!$B$3:$B$181,E253)/10000)</f>
        <v>2.091504</v>
      </c>
      <c r="G253" s="223">
        <f ca="1">IF($S$1&lt;DATE(2025,2,1)," ",SUMIFS('2025数据'!$AM$3:$AM$181,'2025数据'!$D$3:$D$181,"&gt;="&amp;DATE(2025,2,1),'2025数据'!$D$3:$D$181,"&lt;="&amp;DATE(2025,2,28),'2025数据'!$AL$3:$AL$181,$E$37,'2025数据'!$B$3:$B$181,E253)/10000)</f>
        <v>0</v>
      </c>
      <c r="H253" s="223">
        <f ca="1">IF($S$1&lt;DATE(2025,3,1)," ",SUMIFS('2025数据'!$AM$3:$AM$181,'2025数据'!$D$3:$D$181,"&gt;="&amp;DATE(2025,3,1),'2025数据'!$D$3:$D$181,"&lt;="&amp;DATE(2025,3,31),'2025数据'!$AL$3:$AL$181,$E$37,'2025数据'!$B$3:$B$181,E253)/10000)</f>
        <v>0</v>
      </c>
      <c r="I253" s="223">
        <f ca="1">IF($S$1&lt;DATE(2025,4,1)," ",SUMIFS('2025数据'!$AM$3:$AM$181,'2025数据'!$D$3:$D$181,"&gt;="&amp;DATE(2025,4,1),'2025数据'!$D$3:$D$181,"&lt;="&amp;DATE(2025,4,30),'2025数据'!$AL$3:$AL$181,$E$37,'2025数据'!$B$3:$B$181,E253)/10000)</f>
        <v>0</v>
      </c>
      <c r="J253" s="223">
        <f ca="1">IF($S$1&lt;DATE(2025,5,1)," ",SUMIFS('2025数据'!$AM$3:$AM$181,'2025数据'!$D$3:$D$181,"&gt;="&amp;DATE(2025,5,1),'2025数据'!$D$3:$D$181,"&lt;="&amp;DATE(2025,5,31),'2025数据'!$AL$3:$AL$181,$E$37,'2025数据'!$B$3:$B$181,E253)/10000)</f>
        <v>0</v>
      </c>
      <c r="K253" s="223">
        <f ca="1">IF($S$1&lt;DATE(2025,6,1)," ",SUMIFS('2025数据'!$AM$3:$AM$181,'2025数据'!$D$3:$D$181,"&gt;="&amp;DATE(2025,6,1),'2025数据'!$D$3:$D$181,"&lt;="&amp;DATE(2025,6,30),'2025数据'!$AL$3:$AL$181,$E$37,'2025数据'!$B$3:$B$181,E253)/10000)</f>
        <v>0.00303200000000006</v>
      </c>
      <c r="L253" s="223">
        <f ca="1">IF($S$1&lt;DATE(2025,7,1)," ",SUMIFS('2025数据'!$AM$3:$AM$181,'2025数据'!$D$3:$D$181,"&gt;="&amp;DATE(2025,7,1),'2025数据'!$D$3:$D$181,"&lt;="&amp;DATE(2025,7,31),'2025数据'!$AL$3:$AL$181,$E$37,'2025数据'!$B$3:$B$181,E253)/10000)</f>
        <v>0.0168610000000001</v>
      </c>
      <c r="M253" s="223">
        <f ca="1">IF($S$1&lt;DATE(2025,8,1)," ",SUMIFS('2025数据'!$AM$3:$AM$181,'2025数据'!$D$3:$D$181,"&gt;="&amp;DATE(2025,8,1),'2025数据'!$D$3:$D$181,"&lt;="&amp;DATE(2025,8,31),'2025数据'!$AL$3:$AL$181,$E$37,'2025数据'!$B$3:$B$181,E253)/10000)</f>
        <v>0.389138000000001</v>
      </c>
      <c r="N253" s="223">
        <f ca="1">IF($S$1&lt;DATE(2025,9,1)," ",SUMIFS('2025数据'!$AM$3:$AM$181,'2025数据'!$D$3:$D$181,"&gt;="&amp;DATE(2025,9,1),'2025数据'!$D$3:$D$181,"&lt;="&amp;DATE(2025,9,30),'2025数据'!$AL$3:$AL$181,$E$37,'2025数据'!$B$3:$B$181,E253)/10000)</f>
        <v>0.135514</v>
      </c>
      <c r="O253" s="223">
        <f ca="1">IF($S$1&lt;DATE(2025,10,1)," ",SUMIFS('2025数据'!$AM$3:$AM$181,'2025数据'!$D$3:$D$181,"&gt;="&amp;DATE(2025,10,1),'2025数据'!$D$3:$D$181,"&lt;="&amp;DATE(2025,10,31),'2025数据'!$AL$3:$AL$181,$E$37,'2025数据'!$B$3:$B$181,E253)/10000)</f>
        <v>0</v>
      </c>
      <c r="P253" s="226">
        <f ca="1">IF($S$1&lt;DATE(2025,11,1)," ",SUMIFS('2025数据'!$AM$3:$AM$181,'2025数据'!$D$3:$D$181,"&gt;="&amp;DATE(2025,11,1),'2025数据'!$D$3:$D$181,"&lt;="&amp;DATE(2025,11,30),'2025数据'!$AL$3:$AL$181,$E$37,'2025数据'!$B$3:$B$181,E253)/10000)</f>
        <v>0.162363</v>
      </c>
      <c r="Q253" s="226">
        <f ca="1">IF($S$1&lt;DATE(2025,12,1)," ",SUMIFS('2025数据'!$AM$3:$AM$181,'2025数据'!$D$3:$D$181,"&gt;="&amp;DATE(2025,12,1),'2025数据'!$D$3:$D$181,"&lt;="&amp;DATE(2025,12,31),'2025数据'!$AL$3:$AL$181,$E$37,'2025数据'!$B$3:$B$181,E253)/10000)</f>
        <v>0</v>
      </c>
    </row>
    <row r="254" ht="24" customHeight="1" spans="1:17">
      <c r="A254" s="99" t="s">
        <v>289</v>
      </c>
      <c r="B254" s="99" t="s">
        <v>299</v>
      </c>
      <c r="C254" s="99" t="s">
        <v>336</v>
      </c>
      <c r="D254" s="122" t="s">
        <v>303</v>
      </c>
      <c r="E254" s="122" t="s">
        <v>85</v>
      </c>
      <c r="F254" s="223">
        <f ca="1">IF($S$1&lt;DATE(2025,1,1)," ",SUMIFS('2025数据'!$AM$3:$AM$181,'2025数据'!$D$3:$D$181,"&gt;="&amp;DATE(2025,1,1),'2025数据'!$D$3:$D$181,"&lt;="&amp;DATE(2025,1,31),'2025数据'!$AL$3:$AL$181,$E$37,'2025数据'!$B$3:$B$181,E254)/10000)</f>
        <v>0</v>
      </c>
      <c r="G254" s="223">
        <f ca="1">IF($S$1&lt;DATE(2025,2,1)," ",SUMIFS('2025数据'!$AM$3:$AM$181,'2025数据'!$D$3:$D$181,"&gt;="&amp;DATE(2025,2,1),'2025数据'!$D$3:$D$181,"&lt;="&amp;DATE(2025,2,28),'2025数据'!$AL$3:$AL$181,$E$37,'2025数据'!$B$3:$B$181,E254)/10000)</f>
        <v>0</v>
      </c>
      <c r="H254" s="223">
        <f ca="1">IF($S$1&lt;DATE(2025,3,1)," ",SUMIFS('2025数据'!$AM$3:$AM$181,'2025数据'!$D$3:$D$181,"&gt;="&amp;DATE(2025,3,1),'2025数据'!$D$3:$D$181,"&lt;="&amp;DATE(2025,3,31),'2025数据'!$AL$3:$AL$181,$E$37,'2025数据'!$B$3:$B$181,E254)/10000)</f>
        <v>0</v>
      </c>
      <c r="I254" s="223">
        <f ca="1">IF($S$1&lt;DATE(2025,4,1)," ",SUMIFS('2025数据'!$AM$3:$AM$181,'2025数据'!$D$3:$D$181,"&gt;="&amp;DATE(2025,4,1),'2025数据'!$D$3:$D$181,"&lt;="&amp;DATE(2025,4,30),'2025数据'!$AL$3:$AL$181,$E$37,'2025数据'!$B$3:$B$181,E254)/10000)</f>
        <v>0.032531</v>
      </c>
      <c r="J254" s="223">
        <f ca="1">IF($S$1&lt;DATE(2025,5,1)," ",SUMIFS('2025数据'!$AM$3:$AM$181,'2025数据'!$D$3:$D$181,"&gt;="&amp;DATE(2025,5,1),'2025数据'!$D$3:$D$181,"&lt;="&amp;DATE(2025,5,31),'2025数据'!$AL$3:$AL$181,$E$37,'2025数据'!$B$3:$B$181,E254)/10000)</f>
        <v>3.975937</v>
      </c>
      <c r="K254" s="223">
        <f ca="1">IF($S$1&lt;DATE(2025,6,1)," ",SUMIFS('2025数据'!$AM$3:$AM$181,'2025数据'!$D$3:$D$181,"&gt;="&amp;DATE(2025,6,1),'2025数据'!$D$3:$D$181,"&lt;="&amp;DATE(2025,6,30),'2025数据'!$AL$3:$AL$181,$E$37,'2025数据'!$B$3:$B$181,E254)/10000)</f>
        <v>0</v>
      </c>
      <c r="L254" s="223">
        <f ca="1">IF($S$1&lt;DATE(2025,7,1)," ",SUMIFS('2025数据'!$AM$3:$AM$181,'2025数据'!$D$3:$D$181,"&gt;="&amp;DATE(2025,7,1),'2025数据'!$D$3:$D$181,"&lt;="&amp;DATE(2025,7,31),'2025数据'!$AL$3:$AL$181,$E$37,'2025数据'!$B$3:$B$181,E254)/10000)</f>
        <v>0.236451</v>
      </c>
      <c r="M254" s="223">
        <f ca="1">IF($S$1&lt;DATE(2025,8,1)," ",SUMIFS('2025数据'!$AM$3:$AM$181,'2025数据'!$D$3:$D$181,"&gt;="&amp;DATE(2025,8,1),'2025数据'!$D$3:$D$181,"&lt;="&amp;DATE(2025,8,31),'2025数据'!$AL$3:$AL$181,$E$37,'2025数据'!$B$3:$B$181,E254)/10000)</f>
        <v>0.00495700000000002</v>
      </c>
      <c r="N254" s="223">
        <f ca="1">IF($S$1&lt;DATE(2025,9,1)," ",SUMIFS('2025数据'!$AM$3:$AM$181,'2025数据'!$D$3:$D$181,"&gt;="&amp;DATE(2025,9,1),'2025数据'!$D$3:$D$181,"&lt;="&amp;DATE(2025,9,30),'2025数据'!$AL$3:$AL$181,$E$37,'2025数据'!$B$3:$B$181,E254)/10000)</f>
        <v>0</v>
      </c>
      <c r="O254" s="223">
        <f ca="1">IF($S$1&lt;DATE(2025,10,1)," ",SUMIFS('2025数据'!$AM$3:$AM$181,'2025数据'!$D$3:$D$181,"&gt;="&amp;DATE(2025,10,1),'2025数据'!$D$3:$D$181,"&lt;="&amp;DATE(2025,10,31),'2025数据'!$AL$3:$AL$181,$E$37,'2025数据'!$B$3:$B$181,E254)/10000)</f>
        <v>0</v>
      </c>
      <c r="P254" s="226">
        <f ca="1">IF($S$1&lt;DATE(2025,11,1)," ",SUMIFS('2025数据'!$AM$3:$AM$181,'2025数据'!$D$3:$D$181,"&gt;="&amp;DATE(2025,11,1),'2025数据'!$D$3:$D$181,"&lt;="&amp;DATE(2025,11,30),'2025数据'!$AL$3:$AL$181,$E$37,'2025数据'!$B$3:$B$181,E254)/10000)</f>
        <v>0.045349</v>
      </c>
      <c r="Q254" s="226">
        <f ca="1">IF($S$1&lt;DATE(2025,12,1)," ",SUMIFS('2025数据'!$AM$3:$AM$181,'2025数据'!$D$3:$D$181,"&gt;="&amp;DATE(2025,12,1),'2025数据'!$D$3:$D$181,"&lt;="&amp;DATE(2025,12,31),'2025数据'!$AL$3:$AL$181,$E$37,'2025数据'!$B$3:$B$181,E254)/10000)</f>
        <v>1.070589</v>
      </c>
    </row>
    <row r="255" ht="24" customHeight="1" spans="1:17">
      <c r="A255" s="99" t="s">
        <v>289</v>
      </c>
      <c r="B255" s="99" t="s">
        <v>299</v>
      </c>
      <c r="C255" s="99" t="s">
        <v>336</v>
      </c>
      <c r="D255" s="122" t="s">
        <v>303</v>
      </c>
      <c r="E255" s="122" t="s">
        <v>81</v>
      </c>
      <c r="F255" s="223">
        <f ca="1">IF($S$1&lt;DATE(2025,1,1)," ",SUMIFS('2025数据'!$AM$3:$AM$181,'2025数据'!$D$3:$D$181,"&gt;="&amp;DATE(2025,1,1),'2025数据'!$D$3:$D$181,"&lt;="&amp;DATE(2025,1,31),'2025数据'!$AL$3:$AL$181,$E$37,'2025数据'!$B$3:$B$181,E255)/10000)</f>
        <v>0</v>
      </c>
      <c r="G255" s="223">
        <f ca="1">IF($S$1&lt;DATE(2025,2,1)," ",SUMIFS('2025数据'!$AM$3:$AM$181,'2025数据'!$D$3:$D$181,"&gt;="&amp;DATE(2025,2,1),'2025数据'!$D$3:$D$181,"&lt;="&amp;DATE(2025,2,28),'2025数据'!$AL$3:$AL$181,$E$37,'2025数据'!$B$3:$B$181,E255)/10000)</f>
        <v>0</v>
      </c>
      <c r="H255" s="223">
        <f ca="1">IF($S$1&lt;DATE(2025,3,1)," ",SUMIFS('2025数据'!$AM$3:$AM$181,'2025数据'!$D$3:$D$181,"&gt;="&amp;DATE(2025,3,1),'2025数据'!$D$3:$D$181,"&lt;="&amp;DATE(2025,3,31),'2025数据'!$AL$3:$AL$181,$E$37,'2025数据'!$B$3:$B$181,E255)/10000)</f>
        <v>0</v>
      </c>
      <c r="I255" s="223">
        <f ca="1">IF($S$1&lt;DATE(2025,4,1)," ",SUMIFS('2025数据'!$AM$3:$AM$181,'2025数据'!$D$3:$D$181,"&gt;="&amp;DATE(2025,4,1),'2025数据'!$D$3:$D$181,"&lt;="&amp;DATE(2025,4,30),'2025数据'!$AL$3:$AL$181,$E$37,'2025数据'!$B$3:$B$181,E255)/10000)</f>
        <v>0.0067369999999999</v>
      </c>
      <c r="J255" s="223">
        <f ca="1">IF($S$1&lt;DATE(2025,5,1)," ",SUMIFS('2025数据'!$AM$3:$AM$181,'2025数据'!$D$3:$D$181,"&gt;="&amp;DATE(2025,5,1),'2025数据'!$D$3:$D$181,"&lt;="&amp;DATE(2025,5,31),'2025数据'!$AL$3:$AL$181,$E$37,'2025数据'!$B$3:$B$181,E255)/10000)</f>
        <v>0.036277</v>
      </c>
      <c r="K255" s="223">
        <f ca="1">IF($S$1&lt;DATE(2025,6,1)," ",SUMIFS('2025数据'!$AM$3:$AM$181,'2025数据'!$D$3:$D$181,"&gt;="&amp;DATE(2025,6,1),'2025数据'!$D$3:$D$181,"&lt;="&amp;DATE(2025,6,30),'2025数据'!$AL$3:$AL$181,$E$37,'2025数据'!$B$3:$B$181,E255)/10000)</f>
        <v>0</v>
      </c>
      <c r="L255" s="223">
        <f ca="1">IF($S$1&lt;DATE(2025,7,1)," ",SUMIFS('2025数据'!$AM$3:$AM$181,'2025数据'!$D$3:$D$181,"&gt;="&amp;DATE(2025,7,1),'2025数据'!$D$3:$D$181,"&lt;="&amp;DATE(2025,7,31),'2025数据'!$AL$3:$AL$181,$E$37,'2025数据'!$B$3:$B$181,E255)/10000)</f>
        <v>0</v>
      </c>
      <c r="M255" s="223">
        <f ca="1">IF($S$1&lt;DATE(2025,8,1)," ",SUMIFS('2025数据'!$AM$3:$AM$181,'2025数据'!$D$3:$D$181,"&gt;="&amp;DATE(2025,8,1),'2025数据'!$D$3:$D$181,"&lt;="&amp;DATE(2025,8,31),'2025数据'!$AL$3:$AL$181,$E$37,'2025数据'!$B$3:$B$181,E255)/10000)</f>
        <v>0</v>
      </c>
      <c r="N255" s="223">
        <f ca="1">IF($S$1&lt;DATE(2025,9,1)," ",SUMIFS('2025数据'!$AM$3:$AM$181,'2025数据'!$D$3:$D$181,"&gt;="&amp;DATE(2025,9,1),'2025数据'!$D$3:$D$181,"&lt;="&amp;DATE(2025,9,30),'2025数据'!$AL$3:$AL$181,$E$37,'2025数据'!$B$3:$B$181,E255)/10000)</f>
        <v>0.063339</v>
      </c>
      <c r="O255" s="223">
        <f ca="1">IF($S$1&lt;DATE(2025,10,1)," ",SUMIFS('2025数据'!$AM$3:$AM$181,'2025数据'!$D$3:$D$181,"&gt;="&amp;DATE(2025,10,1),'2025数据'!$D$3:$D$181,"&lt;="&amp;DATE(2025,10,31),'2025数据'!$AL$3:$AL$181,$E$37,'2025数据'!$B$3:$B$181,E255)/10000)</f>
        <v>0</v>
      </c>
      <c r="P255" s="226">
        <f ca="1">IF($S$1&lt;DATE(2025,11,1)," ",SUMIFS('2025数据'!$AM$3:$AM$181,'2025数据'!$D$3:$D$181,"&gt;="&amp;DATE(2025,11,1),'2025数据'!$D$3:$D$181,"&lt;="&amp;DATE(2025,11,30),'2025数据'!$AL$3:$AL$181,$E$37,'2025数据'!$B$3:$B$181,E255)/10000)</f>
        <v>0.038284</v>
      </c>
      <c r="Q255" s="226">
        <f ca="1">IF($S$1&lt;DATE(2025,12,1)," ",SUMIFS('2025数据'!$AM$3:$AM$181,'2025数据'!$D$3:$D$181,"&gt;="&amp;DATE(2025,12,1),'2025数据'!$D$3:$D$181,"&lt;="&amp;DATE(2025,12,31),'2025数据'!$AL$3:$AL$181,$E$37,'2025数据'!$B$3:$B$181,E255)/10000)</f>
        <v>0</v>
      </c>
    </row>
    <row r="256" ht="24" customHeight="1" spans="1:17">
      <c r="A256" s="99" t="s">
        <v>289</v>
      </c>
      <c r="B256" s="99" t="s">
        <v>299</v>
      </c>
      <c r="C256" s="99" t="s">
        <v>336</v>
      </c>
      <c r="D256" s="122" t="s">
        <v>303</v>
      </c>
      <c r="E256" s="122" t="s">
        <v>96</v>
      </c>
      <c r="F256" s="223">
        <f ca="1">IF($S$1&lt;DATE(2025,1,1)," ",SUMIFS('2025数据'!$AM$3:$AM$181,'2025数据'!$D$3:$D$181,"&gt;="&amp;DATE(2025,1,1),'2025数据'!$D$3:$D$181,"&lt;="&amp;DATE(2025,1,31),'2025数据'!$AL$3:$AL$181,$E$37,'2025数据'!$B$3:$B$181,E256)/10000)</f>
        <v>0</v>
      </c>
      <c r="G256" s="223">
        <f ca="1">IF($S$1&lt;DATE(2025,2,1)," ",SUMIFS('2025数据'!$AM$3:$AM$181,'2025数据'!$D$3:$D$181,"&gt;="&amp;DATE(2025,2,1),'2025数据'!$D$3:$D$181,"&lt;="&amp;DATE(2025,2,28),'2025数据'!$AL$3:$AL$181,$E$37,'2025数据'!$B$3:$B$181,E256)/10000)</f>
        <v>0.335912</v>
      </c>
      <c r="H256" s="223">
        <f ca="1">IF($S$1&lt;DATE(2025,3,1)," ",SUMIFS('2025数据'!$AM$3:$AM$181,'2025数据'!$D$3:$D$181,"&gt;="&amp;DATE(2025,3,1),'2025数据'!$D$3:$D$181,"&lt;="&amp;DATE(2025,3,31),'2025数据'!$AL$3:$AL$181,$E$37,'2025数据'!$B$3:$B$181,E256)/10000)</f>
        <v>0</v>
      </c>
      <c r="I256" s="223">
        <f ca="1">IF($S$1&lt;DATE(2025,4,1)," ",SUMIFS('2025数据'!$AM$3:$AM$181,'2025数据'!$D$3:$D$181,"&gt;="&amp;DATE(2025,4,1),'2025数据'!$D$3:$D$181,"&lt;="&amp;DATE(2025,4,30),'2025数据'!$AL$3:$AL$181,$E$37,'2025数据'!$B$3:$B$181,E256)/10000)</f>
        <v>0</v>
      </c>
      <c r="J256" s="223">
        <f ca="1">IF($S$1&lt;DATE(2025,5,1)," ",SUMIFS('2025数据'!$AM$3:$AM$181,'2025数据'!$D$3:$D$181,"&gt;="&amp;DATE(2025,5,1),'2025数据'!$D$3:$D$181,"&lt;="&amp;DATE(2025,5,31),'2025数据'!$AL$3:$AL$181,$E$37,'2025数据'!$B$3:$B$181,E256)/10000)</f>
        <v>0</v>
      </c>
      <c r="K256" s="223">
        <f ca="1">IF($S$1&lt;DATE(2025,6,1)," ",SUMIFS('2025数据'!$AM$3:$AM$181,'2025数据'!$D$3:$D$181,"&gt;="&amp;DATE(2025,6,1),'2025数据'!$D$3:$D$181,"&lt;="&amp;DATE(2025,6,30),'2025数据'!$AL$3:$AL$181,$E$37,'2025数据'!$B$3:$B$181,E256)/10000)</f>
        <v>0</v>
      </c>
      <c r="L256" s="223">
        <f ca="1">IF($S$1&lt;DATE(2025,7,1)," ",SUMIFS('2025数据'!$AM$3:$AM$181,'2025数据'!$D$3:$D$181,"&gt;="&amp;DATE(2025,7,1),'2025数据'!$D$3:$D$181,"&lt;="&amp;DATE(2025,7,31),'2025数据'!$AL$3:$AL$181,$E$37,'2025数据'!$B$3:$B$181,E256)/10000)</f>
        <v>0</v>
      </c>
      <c r="M256" s="223">
        <f ca="1">IF($S$1&lt;DATE(2025,8,1)," ",SUMIFS('2025数据'!$AM$3:$AM$181,'2025数据'!$D$3:$D$181,"&gt;="&amp;DATE(2025,8,1),'2025数据'!$D$3:$D$181,"&lt;="&amp;DATE(2025,8,31),'2025数据'!$AL$3:$AL$181,$E$37,'2025数据'!$B$3:$B$181,E256)/10000)</f>
        <v>0</v>
      </c>
      <c r="N256" s="223">
        <f ca="1">IF($S$1&lt;DATE(2025,9,1)," ",SUMIFS('2025数据'!$AM$3:$AM$181,'2025数据'!$D$3:$D$181,"&gt;="&amp;DATE(2025,9,1),'2025数据'!$D$3:$D$181,"&lt;="&amp;DATE(2025,9,30),'2025数据'!$AL$3:$AL$181,$E$37,'2025数据'!$B$3:$B$181,E256)/10000)</f>
        <v>0</v>
      </c>
      <c r="O256" s="223">
        <f ca="1">IF($S$1&lt;DATE(2025,10,1)," ",SUMIFS('2025数据'!$AM$3:$AM$181,'2025数据'!$D$3:$D$181,"&gt;="&amp;DATE(2025,10,1),'2025数据'!$D$3:$D$181,"&lt;="&amp;DATE(2025,10,31),'2025数据'!$AL$3:$AL$181,$E$37,'2025数据'!$B$3:$B$181,E256)/10000)</f>
        <v>0</v>
      </c>
      <c r="P256" s="226">
        <f ca="1">IF($S$1&lt;DATE(2025,11,1)," ",SUMIFS('2025数据'!$AM$3:$AM$181,'2025数据'!$D$3:$D$181,"&gt;="&amp;DATE(2025,11,1),'2025数据'!$D$3:$D$181,"&lt;="&amp;DATE(2025,11,30),'2025数据'!$AL$3:$AL$181,$E$37,'2025数据'!$B$3:$B$181,E256)/10000)</f>
        <v>0</v>
      </c>
      <c r="Q256" s="226">
        <f ca="1">IF($S$1&lt;DATE(2025,12,1)," ",SUMIFS('2025数据'!$AM$3:$AM$181,'2025数据'!$D$3:$D$181,"&gt;="&amp;DATE(2025,12,1),'2025数据'!$D$3:$D$181,"&lt;="&amp;DATE(2025,12,31),'2025数据'!$AL$3:$AL$181,$E$37,'2025数据'!$B$3:$B$181,E256)/10000)</f>
        <v>0</v>
      </c>
    </row>
    <row r="257" ht="24" customHeight="1" spans="1:17">
      <c r="A257" s="99" t="s">
        <v>289</v>
      </c>
      <c r="B257" s="99" t="s">
        <v>299</v>
      </c>
      <c r="C257" s="99" t="s">
        <v>336</v>
      </c>
      <c r="D257" s="122" t="s">
        <v>303</v>
      </c>
      <c r="E257" s="122" t="s">
        <v>160</v>
      </c>
      <c r="F257" s="223">
        <f ca="1">IF($S$1&lt;DATE(2025,1,1)," ",SUMIFS('2025数据'!$AM$3:$AM$181,'2025数据'!$D$3:$D$181,"&gt;="&amp;DATE(2025,1,1),'2025数据'!$D$3:$D$181,"&lt;="&amp;DATE(2025,1,31),'2025数据'!$AL$3:$AL$181,$E$37,'2025数据'!$B$3:$B$181,E257)/10000)</f>
        <v>0</v>
      </c>
      <c r="G257" s="223">
        <f ca="1">IF($S$1&lt;DATE(2025,2,1)," ",SUMIFS('2025数据'!$AM$3:$AM$181,'2025数据'!$D$3:$D$181,"&gt;="&amp;DATE(2025,2,1),'2025数据'!$D$3:$D$181,"&lt;="&amp;DATE(2025,2,28),'2025数据'!$AL$3:$AL$181,$E$37,'2025数据'!$B$3:$B$181,E257)/10000)</f>
        <v>0</v>
      </c>
      <c r="H257" s="223">
        <f ca="1">IF($S$1&lt;DATE(2025,3,1)," ",SUMIFS('2025数据'!$AM$3:$AM$181,'2025数据'!$D$3:$D$181,"&gt;="&amp;DATE(2025,3,1),'2025数据'!$D$3:$D$181,"&lt;="&amp;DATE(2025,3,31),'2025数据'!$AL$3:$AL$181,$E$37,'2025数据'!$B$3:$B$181,E257)/10000)</f>
        <v>0</v>
      </c>
      <c r="I257" s="223">
        <f ca="1">IF($S$1&lt;DATE(2025,4,1)," ",SUMIFS('2025数据'!$AM$3:$AM$181,'2025数据'!$D$3:$D$181,"&gt;="&amp;DATE(2025,4,1),'2025数据'!$D$3:$D$181,"&lt;="&amp;DATE(2025,4,30),'2025数据'!$AL$3:$AL$181,$E$37,'2025数据'!$B$3:$B$181,E257)/10000)</f>
        <v>0</v>
      </c>
      <c r="J257" s="223">
        <f ca="1">IF($S$1&lt;DATE(2025,5,1)," ",SUMIFS('2025数据'!$AM$3:$AM$181,'2025数据'!$D$3:$D$181,"&gt;="&amp;DATE(2025,5,1),'2025数据'!$D$3:$D$181,"&lt;="&amp;DATE(2025,5,31),'2025数据'!$AL$3:$AL$181,$E$37,'2025数据'!$B$3:$B$181,E257)/10000)</f>
        <v>0</v>
      </c>
      <c r="K257" s="223">
        <f ca="1">IF($S$1&lt;DATE(2025,6,1)," ",SUMIFS('2025数据'!$AM$3:$AM$181,'2025数据'!$D$3:$D$181,"&gt;="&amp;DATE(2025,6,1),'2025数据'!$D$3:$D$181,"&lt;="&amp;DATE(2025,6,30),'2025数据'!$AL$3:$AL$181,$E$37,'2025数据'!$B$3:$B$181,E257)/10000)</f>
        <v>0</v>
      </c>
      <c r="L257" s="223">
        <f ca="1">IF($S$1&lt;DATE(2025,7,1)," ",SUMIFS('2025数据'!$AM$3:$AM$181,'2025数据'!$D$3:$D$181,"&gt;="&amp;DATE(2025,7,1),'2025数据'!$D$3:$D$181,"&lt;="&amp;DATE(2025,7,31),'2025数据'!$AL$3:$AL$181,$E$37,'2025数据'!$B$3:$B$181,E257)/10000)</f>
        <v>0</v>
      </c>
      <c r="M257" s="223">
        <f ca="1">IF($S$1&lt;DATE(2025,8,1)," ",SUMIFS('2025数据'!$AM$3:$AM$181,'2025数据'!$D$3:$D$181,"&gt;="&amp;DATE(2025,8,1),'2025数据'!$D$3:$D$181,"&lt;="&amp;DATE(2025,8,31),'2025数据'!$AL$3:$AL$181,$E$37,'2025数据'!$B$3:$B$181,E257)/10000)</f>
        <v>0</v>
      </c>
      <c r="N257" s="223">
        <f ca="1">IF($S$1&lt;DATE(2025,9,1)," ",SUMIFS('2025数据'!$AM$3:$AM$181,'2025数据'!$D$3:$D$181,"&gt;="&amp;DATE(2025,9,1),'2025数据'!$D$3:$D$181,"&lt;="&amp;DATE(2025,9,30),'2025数据'!$AL$3:$AL$181,$E$37,'2025数据'!$B$3:$B$181,E257)/10000)</f>
        <v>0</v>
      </c>
      <c r="O257" s="223">
        <f ca="1">IF($S$1&lt;DATE(2025,10,1)," ",SUMIFS('2025数据'!$AM$3:$AM$181,'2025数据'!$D$3:$D$181,"&gt;="&amp;DATE(2025,10,1),'2025数据'!$D$3:$D$181,"&lt;="&amp;DATE(2025,10,31),'2025数据'!$AL$3:$AL$181,$E$37,'2025数据'!$B$3:$B$181,E257)/10000)</f>
        <v>0</v>
      </c>
      <c r="P257" s="226">
        <f ca="1">IF($S$1&lt;DATE(2025,11,1)," ",SUMIFS('2025数据'!$AM$3:$AM$181,'2025数据'!$D$3:$D$181,"&gt;="&amp;DATE(2025,11,1),'2025数据'!$D$3:$D$181,"&lt;="&amp;DATE(2025,11,30),'2025数据'!$AL$3:$AL$181,$E$37,'2025数据'!$B$3:$B$181,E257)/10000)</f>
        <v>0</v>
      </c>
      <c r="Q257" s="226">
        <f ca="1">IF($S$1&lt;DATE(2025,12,1)," ",SUMIFS('2025数据'!$AM$3:$AM$181,'2025数据'!$D$3:$D$181,"&gt;="&amp;DATE(2025,12,1),'2025数据'!$D$3:$D$181,"&lt;="&amp;DATE(2025,12,31),'2025数据'!$AL$3:$AL$181,$E$37,'2025数据'!$B$3:$B$181,E257)/10000)</f>
        <v>0</v>
      </c>
    </row>
    <row r="258" ht="24" customHeight="1" spans="1:17">
      <c r="A258" s="99" t="s">
        <v>289</v>
      </c>
      <c r="B258" s="99" t="s">
        <v>299</v>
      </c>
      <c r="C258" s="99" t="s">
        <v>336</v>
      </c>
      <c r="D258" s="122" t="s">
        <v>304</v>
      </c>
      <c r="E258" s="122" t="s">
        <v>93</v>
      </c>
      <c r="F258" s="223">
        <f ca="1">IF($S$1&lt;DATE(2025,1,1)," ",SUMIFS('2025数据'!$AM$3:$AM$181,'2025数据'!$D$3:$D$181,"&gt;="&amp;DATE(2025,1,1),'2025数据'!$D$3:$D$181,"&lt;="&amp;DATE(2025,1,31),'2025数据'!$AL$3:$AL$181,$E$38,'2025数据'!$B$3:$B$181,E258)/10000)</f>
        <v>0</v>
      </c>
      <c r="G258" s="223">
        <f ca="1">IF($S$1&lt;DATE(2025,2,1)," ",SUMIFS('2025数据'!$AM$3:$AM$181,'2025数据'!$D$3:$D$181,"&gt;="&amp;DATE(2025,2,1),'2025数据'!$D$3:$D$181,"&lt;="&amp;DATE(2025,2,28),'2025数据'!$AL$3:$AL$181,$E$38,'2025数据'!$B$3:$B$181,E258)/10000)</f>
        <v>0</v>
      </c>
      <c r="H258" s="223">
        <f ca="1">IF($S$1&lt;DATE(2025,3,1)," ",SUMIFS('2025数据'!$AM$3:$AM$181,'2025数据'!$D$3:$D$181,"&gt;="&amp;DATE(2025,3,1),'2025数据'!$D$3:$D$181,"&lt;="&amp;DATE(2025,3,31),'2025数据'!$AL$3:$AL$181,$E$38,'2025数据'!$B$3:$B$181,E258)/10000)</f>
        <v>0</v>
      </c>
      <c r="I258" s="223">
        <f ca="1">IF($S$1&lt;DATE(2025,4,1)," ",SUMIFS('2025数据'!$AM$3:$AM$181,'2025数据'!$D$3:$D$181,"&gt;="&amp;DATE(2025,4,1),'2025数据'!$D$3:$D$181,"&lt;="&amp;DATE(2025,4,30),'2025数据'!$AL$3:$AL$181,$E$38,'2025数据'!$B$3:$B$181,E258)/10000)</f>
        <v>0.080227</v>
      </c>
      <c r="J258" s="223">
        <f ca="1">IF($S$1&lt;DATE(2025,5,1)," ",SUMIFS('2025数据'!$AM$3:$AM$181,'2025数据'!$D$3:$D$181,"&gt;="&amp;DATE(2025,5,1),'2025数据'!$D$3:$D$181,"&lt;="&amp;DATE(2025,5,31),'2025数据'!$AL$3:$AL$181,$E$38,'2025数据'!$B$3:$B$181,E258)/10000)</f>
        <v>0.013059</v>
      </c>
      <c r="K258" s="223">
        <f ca="1">IF($S$1&lt;DATE(2025,6,1)," ",SUMIFS('2025数据'!$AM$3:$AM$181,'2025数据'!$D$3:$D$181,"&gt;="&amp;DATE(2025,6,1),'2025数据'!$D$3:$D$181,"&lt;="&amp;DATE(2025,6,30),'2025数据'!$AL$3:$AL$181,$E$38,'2025数据'!$B$3:$B$181,E258)/10000)</f>
        <v>0</v>
      </c>
      <c r="L258" s="223">
        <f ca="1">IF($S$1&lt;DATE(2025,7,1)," ",SUMIFS('2025数据'!$AM$3:$AM$181,'2025数据'!$D$3:$D$181,"&gt;="&amp;DATE(2025,7,1),'2025数据'!$D$3:$D$181,"&lt;="&amp;DATE(2025,7,31),'2025数据'!$AL$3:$AL$181,$E$38,'2025数据'!$B$3:$B$181,E258)/10000)</f>
        <v>0</v>
      </c>
      <c r="M258" s="223">
        <f ca="1">IF($S$1&lt;DATE(2025,8,1)," ",SUMIFS('2025数据'!$AM$3:$AM$181,'2025数据'!$D$3:$D$181,"&gt;="&amp;DATE(2025,8,1),'2025数据'!$D$3:$D$181,"&lt;="&amp;DATE(2025,8,31),'2025数据'!$AL$3:$AL$181,$E$38,'2025数据'!$B$3:$B$181,E258)/10000)</f>
        <v>0</v>
      </c>
      <c r="N258" s="223">
        <f ca="1">IF($S$1&lt;DATE(2025,9,1)," ",SUMIFS('2025数据'!$AM$3:$AM$181,'2025数据'!$D$3:$D$181,"&gt;="&amp;DATE(2025,9,1),'2025数据'!$D$3:$D$181,"&lt;="&amp;DATE(2025,9,30),'2025数据'!$AL$3:$AL$181,$E$38,'2025数据'!$B$3:$B$181,E258)/10000)</f>
        <v>0.0536549999999999</v>
      </c>
      <c r="O258" s="223">
        <f ca="1">IF($S$1&lt;DATE(2025,10,1)," ",SUMIFS('2025数据'!$AM$3:$AM$181,'2025数据'!$D$3:$D$181,"&gt;="&amp;DATE(2025,10,1),'2025数据'!$D$3:$D$181,"&lt;="&amp;DATE(2025,10,31),'2025数据'!$AL$3:$AL$181,$E$38,'2025数据'!$B$3:$B$181,E258)/10000)</f>
        <v>0.000230000000000018</v>
      </c>
      <c r="P258" s="226">
        <f ca="1">IF($S$1&lt;DATE(2025,11,1)," ",SUMIFS('2025数据'!$AM$3:$AM$181,'2025数据'!$D$3:$D$181,"&gt;="&amp;DATE(2025,11,1),'2025数据'!$D$3:$D$181,"&lt;="&amp;DATE(2025,11,30),'2025数据'!$AL$3:$AL$181,$E$38,'2025数据'!$B$3:$B$181,E258)/10000)</f>
        <v>0</v>
      </c>
      <c r="Q258" s="226">
        <f ca="1">IF($S$1&lt;DATE(2025,12,1)," ",SUMIFS('2025数据'!$AM$3:$AM$181,'2025数据'!$D$3:$D$181,"&gt;="&amp;DATE(2025,12,1),'2025数据'!$D$3:$D$181,"&lt;="&amp;DATE(2025,12,31),'2025数据'!$AL$3:$AL$181,$E$38,'2025数据'!$B$3:$B$181,E258)/10000)</f>
        <v>0</v>
      </c>
    </row>
    <row r="259" ht="24" customHeight="1" spans="1:17">
      <c r="A259" s="99" t="s">
        <v>289</v>
      </c>
      <c r="B259" s="99" t="s">
        <v>299</v>
      </c>
      <c r="C259" s="99" t="s">
        <v>336</v>
      </c>
      <c r="D259" s="122" t="s">
        <v>304</v>
      </c>
      <c r="E259" s="122" t="s">
        <v>85</v>
      </c>
      <c r="F259" s="223">
        <f ca="1">IF($S$1&lt;DATE(2025,1,1)," ",SUMIFS('2025数据'!$AM$3:$AM$181,'2025数据'!$D$3:$D$181,"&gt;="&amp;DATE(2025,1,1),'2025数据'!$D$3:$D$181,"&lt;="&amp;DATE(2025,1,31),'2025数据'!$AL$3:$AL$181,$E$38,'2025数据'!$B$3:$B$181,E259)/10000)</f>
        <v>0</v>
      </c>
      <c r="G259" s="223">
        <f ca="1">IF($S$1&lt;DATE(2025,2,1)," ",SUMIFS('2025数据'!$AM$3:$AM$181,'2025数据'!$D$3:$D$181,"&gt;="&amp;DATE(2025,2,1),'2025数据'!$D$3:$D$181,"&lt;="&amp;DATE(2025,2,28),'2025数据'!$AL$3:$AL$181,$E$38,'2025数据'!$B$3:$B$181,E259)/10000)</f>
        <v>0.0100419999999999</v>
      </c>
      <c r="H259" s="223">
        <f ca="1">IF($S$1&lt;DATE(2025,3,1)," ",SUMIFS('2025数据'!$AM$3:$AM$181,'2025数据'!$D$3:$D$181,"&gt;="&amp;DATE(2025,3,1),'2025数据'!$D$3:$D$181,"&lt;="&amp;DATE(2025,3,31),'2025数据'!$AL$3:$AL$181,$E$38,'2025数据'!$B$3:$B$181,E259)/10000)</f>
        <v>0.002249</v>
      </c>
      <c r="I259" s="223">
        <f ca="1">IF($S$1&lt;DATE(2025,4,1)," ",SUMIFS('2025数据'!$AM$3:$AM$181,'2025数据'!$D$3:$D$181,"&gt;="&amp;DATE(2025,4,1),'2025数据'!$D$3:$D$181,"&lt;="&amp;DATE(2025,4,30),'2025数据'!$AL$3:$AL$181,$E$38,'2025数据'!$B$3:$B$181,E259)/10000)</f>
        <v>0</v>
      </c>
      <c r="J259" s="223">
        <f ca="1">IF($S$1&lt;DATE(2025,5,1)," ",SUMIFS('2025数据'!$AM$3:$AM$181,'2025数据'!$D$3:$D$181,"&gt;="&amp;DATE(2025,5,1),'2025数据'!$D$3:$D$181,"&lt;="&amp;DATE(2025,5,31),'2025数据'!$AL$3:$AL$181,$E$38,'2025数据'!$B$3:$B$181,E259)/10000)</f>
        <v>0.034148</v>
      </c>
      <c r="K259" s="223">
        <f ca="1">IF($S$1&lt;DATE(2025,6,1)," ",SUMIFS('2025数据'!$AM$3:$AM$181,'2025数据'!$D$3:$D$181,"&gt;="&amp;DATE(2025,6,1),'2025数据'!$D$3:$D$181,"&lt;="&amp;DATE(2025,6,30),'2025数据'!$AL$3:$AL$181,$E$38,'2025数据'!$B$3:$B$181,E259)/10000)</f>
        <v>0.009491</v>
      </c>
      <c r="L259" s="223">
        <f ca="1">IF($S$1&lt;DATE(2025,7,1)," ",SUMIFS('2025数据'!$AM$3:$AM$181,'2025数据'!$D$3:$D$181,"&gt;="&amp;DATE(2025,7,1),'2025数据'!$D$3:$D$181,"&lt;="&amp;DATE(2025,7,31),'2025数据'!$AL$3:$AL$181,$E$38,'2025数据'!$B$3:$B$181,E259)/10000)</f>
        <v>0.016223</v>
      </c>
      <c r="M259" s="223">
        <f ca="1">IF($S$1&lt;DATE(2025,8,1)," ",SUMIFS('2025数据'!$AM$3:$AM$181,'2025数据'!$D$3:$D$181,"&gt;="&amp;DATE(2025,8,1),'2025数据'!$D$3:$D$181,"&lt;="&amp;DATE(2025,8,31),'2025数据'!$AL$3:$AL$181,$E$38,'2025数据'!$B$3:$B$181,E259)/10000)</f>
        <v>0</v>
      </c>
      <c r="N259" s="223">
        <f ca="1">IF($S$1&lt;DATE(2025,9,1)," ",SUMIFS('2025数据'!$AM$3:$AM$181,'2025数据'!$D$3:$D$181,"&gt;="&amp;DATE(2025,9,1),'2025数据'!$D$3:$D$181,"&lt;="&amp;DATE(2025,9,30),'2025数据'!$AL$3:$AL$181,$E$38,'2025数据'!$B$3:$B$181,E259)/10000)</f>
        <v>0.0129940000000001</v>
      </c>
      <c r="O259" s="223">
        <f ca="1">IF($S$1&lt;DATE(2025,10,1)," ",SUMIFS('2025数据'!$AM$3:$AM$181,'2025数据'!$D$3:$D$181,"&gt;="&amp;DATE(2025,10,1),'2025数据'!$D$3:$D$181,"&lt;="&amp;DATE(2025,10,31),'2025数据'!$AL$3:$AL$181,$E$38,'2025数据'!$B$3:$B$181,E259)/10000)</f>
        <v>0</v>
      </c>
      <c r="P259" s="226">
        <f ca="1">IF($S$1&lt;DATE(2025,11,1)," ",SUMIFS('2025数据'!$AM$3:$AM$181,'2025数据'!$D$3:$D$181,"&gt;="&amp;DATE(2025,11,1),'2025数据'!$D$3:$D$181,"&lt;="&amp;DATE(2025,11,30),'2025数据'!$AL$3:$AL$181,$E$38,'2025数据'!$B$3:$B$181,E259)/10000)</f>
        <v>0</v>
      </c>
      <c r="Q259" s="226">
        <f ca="1">IF($S$1&lt;DATE(2025,12,1)," ",SUMIFS('2025数据'!$AM$3:$AM$181,'2025数据'!$D$3:$D$181,"&gt;="&amp;DATE(2025,12,1),'2025数据'!$D$3:$D$181,"&lt;="&amp;DATE(2025,12,31),'2025数据'!$AL$3:$AL$181,$E$38,'2025数据'!$B$3:$B$181,E259)/10000)</f>
        <v>0</v>
      </c>
    </row>
    <row r="260" ht="24" customHeight="1" spans="1:17">
      <c r="A260" s="99" t="s">
        <v>289</v>
      </c>
      <c r="B260" s="99" t="s">
        <v>299</v>
      </c>
      <c r="C260" s="99" t="s">
        <v>336</v>
      </c>
      <c r="D260" s="122" t="s">
        <v>304</v>
      </c>
      <c r="E260" s="122" t="s">
        <v>81</v>
      </c>
      <c r="F260" s="223">
        <f ca="1">IF($S$1&lt;DATE(2025,1,1)," ",SUMIFS('2025数据'!$AM$3:$AM$181,'2025数据'!$D$3:$D$181,"&gt;="&amp;DATE(2025,1,1),'2025数据'!$D$3:$D$181,"&lt;="&amp;DATE(2025,1,31),'2025数据'!$AL$3:$AL$181,$E$38,'2025数据'!$B$3:$B$181,E260)/10000)</f>
        <v>0</v>
      </c>
      <c r="G260" s="223">
        <f ca="1">IF($S$1&lt;DATE(2025,2,1)," ",SUMIFS('2025数据'!$AM$3:$AM$181,'2025数据'!$D$3:$D$181,"&gt;="&amp;DATE(2025,2,1),'2025数据'!$D$3:$D$181,"&lt;="&amp;DATE(2025,2,28),'2025数据'!$AL$3:$AL$181,$E$38,'2025数据'!$B$3:$B$181,E260)/10000)</f>
        <v>0</v>
      </c>
      <c r="H260" s="223">
        <f ca="1">IF($S$1&lt;DATE(2025,3,1)," ",SUMIFS('2025数据'!$AM$3:$AM$181,'2025数据'!$D$3:$D$181,"&gt;="&amp;DATE(2025,3,1),'2025数据'!$D$3:$D$181,"&lt;="&amp;DATE(2025,3,31),'2025数据'!$AL$3:$AL$181,$E$38,'2025数据'!$B$3:$B$181,E260)/10000)</f>
        <v>0</v>
      </c>
      <c r="I260" s="223">
        <f ca="1">IF($S$1&lt;DATE(2025,4,1)," ",SUMIFS('2025数据'!$AM$3:$AM$181,'2025数据'!$D$3:$D$181,"&gt;="&amp;DATE(2025,4,1),'2025数据'!$D$3:$D$181,"&lt;="&amp;DATE(2025,4,30),'2025数据'!$AL$3:$AL$181,$E$38,'2025数据'!$B$3:$B$181,E260)/10000)</f>
        <v>0</v>
      </c>
      <c r="J260" s="223">
        <f ca="1">IF($S$1&lt;DATE(2025,5,1)," ",SUMIFS('2025数据'!$AM$3:$AM$181,'2025数据'!$D$3:$D$181,"&gt;="&amp;DATE(2025,5,1),'2025数据'!$D$3:$D$181,"&lt;="&amp;DATE(2025,5,31),'2025数据'!$AL$3:$AL$181,$E$38,'2025数据'!$B$3:$B$181,E260)/10000)</f>
        <v>0.0100089999999999</v>
      </c>
      <c r="K260" s="223">
        <f ca="1">IF($S$1&lt;DATE(2025,6,1)," ",SUMIFS('2025数据'!$AM$3:$AM$181,'2025数据'!$D$3:$D$181,"&gt;="&amp;DATE(2025,6,1),'2025数据'!$D$3:$D$181,"&lt;="&amp;DATE(2025,6,30),'2025数据'!$AL$3:$AL$181,$E$38,'2025数据'!$B$3:$B$181,E260)/10000)</f>
        <v>0</v>
      </c>
      <c r="L260" s="223">
        <f ca="1">IF($S$1&lt;DATE(2025,7,1)," ",SUMIFS('2025数据'!$AM$3:$AM$181,'2025数据'!$D$3:$D$181,"&gt;="&amp;DATE(2025,7,1),'2025数据'!$D$3:$D$181,"&lt;="&amp;DATE(2025,7,31),'2025数据'!$AL$3:$AL$181,$E$38,'2025数据'!$B$3:$B$181,E260)/10000)</f>
        <v>0</v>
      </c>
      <c r="M260" s="223">
        <f ca="1">IF($S$1&lt;DATE(2025,8,1)," ",SUMIFS('2025数据'!$AM$3:$AM$181,'2025数据'!$D$3:$D$181,"&gt;="&amp;DATE(2025,8,1),'2025数据'!$D$3:$D$181,"&lt;="&amp;DATE(2025,8,31),'2025数据'!$AL$3:$AL$181,$E$38,'2025数据'!$B$3:$B$181,E260)/10000)</f>
        <v>0.000280999999999995</v>
      </c>
      <c r="N260" s="223">
        <f ca="1">IF($S$1&lt;DATE(2025,9,1)," ",SUMIFS('2025数据'!$AM$3:$AM$181,'2025数据'!$D$3:$D$181,"&gt;="&amp;DATE(2025,9,1),'2025数据'!$D$3:$D$181,"&lt;="&amp;DATE(2025,9,30),'2025数据'!$AL$3:$AL$181,$E$38,'2025数据'!$B$3:$B$181,E260)/10000)</f>
        <v>0</v>
      </c>
      <c r="O260" s="223">
        <f ca="1">IF($S$1&lt;DATE(2025,10,1)," ",SUMIFS('2025数据'!$AM$3:$AM$181,'2025数据'!$D$3:$D$181,"&gt;="&amp;DATE(2025,10,1),'2025数据'!$D$3:$D$181,"&lt;="&amp;DATE(2025,10,31),'2025数据'!$AL$3:$AL$181,$E$38,'2025数据'!$B$3:$B$181,E260)/10000)</f>
        <v>0</v>
      </c>
      <c r="P260" s="226">
        <f ca="1">IF($S$1&lt;DATE(2025,11,1)," ",SUMIFS('2025数据'!$AM$3:$AM$181,'2025数据'!$D$3:$D$181,"&gt;="&amp;DATE(2025,11,1),'2025数据'!$D$3:$D$181,"&lt;="&amp;DATE(2025,11,30),'2025数据'!$AL$3:$AL$181,$E$38,'2025数据'!$B$3:$B$181,E260)/10000)</f>
        <v>0</v>
      </c>
      <c r="Q260" s="226">
        <f ca="1">IF($S$1&lt;DATE(2025,12,1)," ",SUMIFS('2025数据'!$AM$3:$AM$181,'2025数据'!$D$3:$D$181,"&gt;="&amp;DATE(2025,12,1),'2025数据'!$D$3:$D$181,"&lt;="&amp;DATE(2025,12,31),'2025数据'!$AL$3:$AL$181,$E$38,'2025数据'!$B$3:$B$181,E260)/10000)</f>
        <v>0</v>
      </c>
    </row>
    <row r="261" ht="24" customHeight="1" spans="1:17">
      <c r="A261" s="99" t="s">
        <v>289</v>
      </c>
      <c r="B261" s="99" t="s">
        <v>299</v>
      </c>
      <c r="C261" s="99" t="s">
        <v>336</v>
      </c>
      <c r="D261" s="122" t="s">
        <v>304</v>
      </c>
      <c r="E261" s="122" t="s">
        <v>96</v>
      </c>
      <c r="F261" s="223">
        <f ca="1">IF($S$1&lt;DATE(2025,1,1)," ",SUMIFS('2025数据'!$AM$3:$AM$181,'2025数据'!$D$3:$D$181,"&gt;="&amp;DATE(2025,1,1),'2025数据'!$D$3:$D$181,"&lt;="&amp;DATE(2025,1,31),'2025数据'!$AL$3:$AL$181,$E$38,'2025数据'!$B$3:$B$181,E261)/10000)</f>
        <v>0</v>
      </c>
      <c r="G261" s="223">
        <f ca="1">IF($S$1&lt;DATE(2025,2,1)," ",SUMIFS('2025数据'!$AM$3:$AM$181,'2025数据'!$D$3:$D$181,"&gt;="&amp;DATE(2025,2,1),'2025数据'!$D$3:$D$181,"&lt;="&amp;DATE(2025,2,28),'2025数据'!$AL$3:$AL$181,$E$38,'2025数据'!$B$3:$B$181,E261)/10000)</f>
        <v>0</v>
      </c>
      <c r="H261" s="223">
        <f ca="1">IF($S$1&lt;DATE(2025,3,1)," ",SUMIFS('2025数据'!$AM$3:$AM$181,'2025数据'!$D$3:$D$181,"&gt;="&amp;DATE(2025,3,1),'2025数据'!$D$3:$D$181,"&lt;="&amp;DATE(2025,3,31),'2025数据'!$AL$3:$AL$181,$E$38,'2025数据'!$B$3:$B$181,E261)/10000)</f>
        <v>0</v>
      </c>
      <c r="I261" s="223">
        <f ca="1">IF($S$1&lt;DATE(2025,4,1)," ",SUMIFS('2025数据'!$AM$3:$AM$181,'2025数据'!$D$3:$D$181,"&gt;="&amp;DATE(2025,4,1),'2025数据'!$D$3:$D$181,"&lt;="&amp;DATE(2025,4,30),'2025数据'!$AL$3:$AL$181,$E$38,'2025数据'!$B$3:$B$181,E261)/10000)</f>
        <v>0</v>
      </c>
      <c r="J261" s="223">
        <f ca="1">IF($S$1&lt;DATE(2025,5,1)," ",SUMIFS('2025数据'!$AM$3:$AM$181,'2025数据'!$D$3:$D$181,"&gt;="&amp;DATE(2025,5,1),'2025数据'!$D$3:$D$181,"&lt;="&amp;DATE(2025,5,31),'2025数据'!$AL$3:$AL$181,$E$38,'2025数据'!$B$3:$B$181,E261)/10000)</f>
        <v>0</v>
      </c>
      <c r="K261" s="223">
        <f ca="1">IF($S$1&lt;DATE(2025,6,1)," ",SUMIFS('2025数据'!$AM$3:$AM$181,'2025数据'!$D$3:$D$181,"&gt;="&amp;DATE(2025,6,1),'2025数据'!$D$3:$D$181,"&lt;="&amp;DATE(2025,6,30),'2025数据'!$AL$3:$AL$181,$E$38,'2025数据'!$B$3:$B$181,E261)/10000)</f>
        <v>0</v>
      </c>
      <c r="L261" s="223">
        <f ca="1">IF($S$1&lt;DATE(2025,7,1)," ",SUMIFS('2025数据'!$AM$3:$AM$181,'2025数据'!$D$3:$D$181,"&gt;="&amp;DATE(2025,7,1),'2025数据'!$D$3:$D$181,"&lt;="&amp;DATE(2025,7,31),'2025数据'!$AL$3:$AL$181,$E$38,'2025数据'!$B$3:$B$181,E261)/10000)</f>
        <v>0</v>
      </c>
      <c r="M261" s="223">
        <f ca="1">IF($S$1&lt;DATE(2025,8,1)," ",SUMIFS('2025数据'!$AM$3:$AM$181,'2025数据'!$D$3:$D$181,"&gt;="&amp;DATE(2025,8,1),'2025数据'!$D$3:$D$181,"&lt;="&amp;DATE(2025,8,31),'2025数据'!$AL$3:$AL$181,$E$38,'2025数据'!$B$3:$B$181,E261)/10000)</f>
        <v>0</v>
      </c>
      <c r="N261" s="223">
        <f ca="1">IF($S$1&lt;DATE(2025,9,1)," ",SUMIFS('2025数据'!$AM$3:$AM$181,'2025数据'!$D$3:$D$181,"&gt;="&amp;DATE(2025,9,1),'2025数据'!$D$3:$D$181,"&lt;="&amp;DATE(2025,9,30),'2025数据'!$AL$3:$AL$181,$E$38,'2025数据'!$B$3:$B$181,E261)/10000)</f>
        <v>0</v>
      </c>
      <c r="O261" s="223">
        <f ca="1">IF($S$1&lt;DATE(2025,10,1)," ",SUMIFS('2025数据'!$AM$3:$AM$181,'2025数据'!$D$3:$D$181,"&gt;="&amp;DATE(2025,10,1),'2025数据'!$D$3:$D$181,"&lt;="&amp;DATE(2025,10,31),'2025数据'!$AL$3:$AL$181,$E$38,'2025数据'!$B$3:$B$181,E261)/10000)</f>
        <v>0</v>
      </c>
      <c r="P261" s="226">
        <f ca="1">IF($S$1&lt;DATE(2025,11,1)," ",SUMIFS('2025数据'!$AM$3:$AM$181,'2025数据'!$D$3:$D$181,"&gt;="&amp;DATE(2025,11,1),'2025数据'!$D$3:$D$181,"&lt;="&amp;DATE(2025,11,30),'2025数据'!$AL$3:$AL$181,$E$38,'2025数据'!$B$3:$B$181,E261)/10000)</f>
        <v>0</v>
      </c>
      <c r="Q261" s="226">
        <f ca="1">IF($S$1&lt;DATE(2025,12,1)," ",SUMIFS('2025数据'!$AM$3:$AM$181,'2025数据'!$D$3:$D$181,"&gt;="&amp;DATE(2025,12,1),'2025数据'!$D$3:$D$181,"&lt;="&amp;DATE(2025,12,31),'2025数据'!$AL$3:$AL$181,$E$38,'2025数据'!$B$3:$B$181,E261)/10000)</f>
        <v>0</v>
      </c>
    </row>
    <row r="262" ht="24" customHeight="1" spans="1:17">
      <c r="A262" s="99" t="s">
        <v>289</v>
      </c>
      <c r="B262" s="99" t="s">
        <v>299</v>
      </c>
      <c r="C262" s="99" t="s">
        <v>336</v>
      </c>
      <c r="D262" s="122" t="s">
        <v>304</v>
      </c>
      <c r="E262" s="122" t="s">
        <v>160</v>
      </c>
      <c r="F262" s="223">
        <f ca="1">IF($S$1&lt;DATE(2025,1,1)," ",SUMIFS('2025数据'!$AM$3:$AM$181,'2025数据'!$D$3:$D$181,"&gt;="&amp;DATE(2025,1,1),'2025数据'!$D$3:$D$181,"&lt;="&amp;DATE(2025,1,31),'2025数据'!$AL$3:$AL$181,$E$38,'2025数据'!$B$3:$B$181,E262)/10000)</f>
        <v>0</v>
      </c>
      <c r="G262" s="223">
        <f ca="1">IF($S$1&lt;DATE(2025,2,1)," ",SUMIFS('2025数据'!$AM$3:$AM$181,'2025数据'!$D$3:$D$181,"&gt;="&amp;DATE(2025,2,1),'2025数据'!$D$3:$D$181,"&lt;="&amp;DATE(2025,2,28),'2025数据'!$AL$3:$AL$181,$E$38,'2025数据'!$B$3:$B$181,E262)/10000)</f>
        <v>0</v>
      </c>
      <c r="H262" s="223">
        <f ca="1">IF($S$1&lt;DATE(2025,3,1)," ",SUMIFS('2025数据'!$AM$3:$AM$181,'2025数据'!$D$3:$D$181,"&gt;="&amp;DATE(2025,3,1),'2025数据'!$D$3:$D$181,"&lt;="&amp;DATE(2025,3,31),'2025数据'!$AL$3:$AL$181,$E$38,'2025数据'!$B$3:$B$181,E262)/10000)</f>
        <v>0</v>
      </c>
      <c r="I262" s="223">
        <f ca="1">IF($S$1&lt;DATE(2025,4,1)," ",SUMIFS('2025数据'!$AM$3:$AM$181,'2025数据'!$D$3:$D$181,"&gt;="&amp;DATE(2025,4,1),'2025数据'!$D$3:$D$181,"&lt;="&amp;DATE(2025,4,30),'2025数据'!$AL$3:$AL$181,$E$38,'2025数据'!$B$3:$B$181,E262)/10000)</f>
        <v>0</v>
      </c>
      <c r="J262" s="223">
        <f ca="1">IF($S$1&lt;DATE(2025,5,1)," ",SUMIFS('2025数据'!$AM$3:$AM$181,'2025数据'!$D$3:$D$181,"&gt;="&amp;DATE(2025,5,1),'2025数据'!$D$3:$D$181,"&lt;="&amp;DATE(2025,5,31),'2025数据'!$AL$3:$AL$181,$E$38,'2025数据'!$B$3:$B$181,E262)/10000)</f>
        <v>0</v>
      </c>
      <c r="K262" s="223">
        <f ca="1">IF($S$1&lt;DATE(2025,6,1)," ",SUMIFS('2025数据'!$AM$3:$AM$181,'2025数据'!$D$3:$D$181,"&gt;="&amp;DATE(2025,6,1),'2025数据'!$D$3:$D$181,"&lt;="&amp;DATE(2025,6,30),'2025数据'!$AL$3:$AL$181,$E$38,'2025数据'!$B$3:$B$181,E262)/10000)</f>
        <v>0</v>
      </c>
      <c r="L262" s="223">
        <f ca="1">IF($S$1&lt;DATE(2025,7,1)," ",SUMIFS('2025数据'!$AM$3:$AM$181,'2025数据'!$D$3:$D$181,"&gt;="&amp;DATE(2025,7,1),'2025数据'!$D$3:$D$181,"&lt;="&amp;DATE(2025,7,31),'2025数据'!$AL$3:$AL$181,$E$38,'2025数据'!$B$3:$B$181,E262)/10000)</f>
        <v>0</v>
      </c>
      <c r="M262" s="223">
        <f ca="1">IF($S$1&lt;DATE(2025,8,1)," ",SUMIFS('2025数据'!$AM$3:$AM$181,'2025数据'!$D$3:$D$181,"&gt;="&amp;DATE(2025,8,1),'2025数据'!$D$3:$D$181,"&lt;="&amp;DATE(2025,8,31),'2025数据'!$AL$3:$AL$181,$E$38,'2025数据'!$B$3:$B$181,E262)/10000)</f>
        <v>0</v>
      </c>
      <c r="N262" s="223">
        <f ca="1">IF($S$1&lt;DATE(2025,9,1)," ",SUMIFS('2025数据'!$AM$3:$AM$181,'2025数据'!$D$3:$D$181,"&gt;="&amp;DATE(2025,9,1),'2025数据'!$D$3:$D$181,"&lt;="&amp;DATE(2025,9,30),'2025数据'!$AL$3:$AL$181,$E$38,'2025数据'!$B$3:$B$181,E262)/10000)</f>
        <v>0</v>
      </c>
      <c r="O262" s="223">
        <f ca="1">IF($S$1&lt;DATE(2025,10,1)," ",SUMIFS('2025数据'!$AM$3:$AM$181,'2025数据'!$D$3:$D$181,"&gt;="&amp;DATE(2025,10,1),'2025数据'!$D$3:$D$181,"&lt;="&amp;DATE(2025,10,31),'2025数据'!$AL$3:$AL$181,$E$38,'2025数据'!$B$3:$B$181,E262)/10000)</f>
        <v>0</v>
      </c>
      <c r="P262" s="226">
        <f ca="1">IF($S$1&lt;DATE(2025,11,1)," ",SUMIFS('2025数据'!$AM$3:$AM$181,'2025数据'!$D$3:$D$181,"&gt;="&amp;DATE(2025,11,1),'2025数据'!$D$3:$D$181,"&lt;="&amp;DATE(2025,11,30),'2025数据'!$AL$3:$AL$181,$E$38,'2025数据'!$B$3:$B$181,E262)/10000)</f>
        <v>0</v>
      </c>
      <c r="Q262" s="226">
        <f ca="1">IF($S$1&lt;DATE(2025,12,1)," ",SUMIFS('2025数据'!$AM$3:$AM$181,'2025数据'!$D$3:$D$181,"&gt;="&amp;DATE(2025,12,1),'2025数据'!$D$3:$D$181,"&lt;="&amp;DATE(2025,12,31),'2025数据'!$AL$3:$AL$181,$E$38,'2025数据'!$B$3:$B$181,E262)/10000)</f>
        <v>0</v>
      </c>
    </row>
    <row r="263" ht="24" customHeight="1" spans="1:17">
      <c r="A263" s="99" t="s">
        <v>289</v>
      </c>
      <c r="B263" s="99" t="s">
        <v>299</v>
      </c>
      <c r="C263" s="99" t="s">
        <v>343</v>
      </c>
      <c r="D263" s="114" t="s">
        <v>292</v>
      </c>
      <c r="E263" s="114" t="s">
        <v>320</v>
      </c>
      <c r="F263" s="215">
        <f ca="1">IF($S$1&lt;DATE(2025,1,1)," ",IF(SUM(F264:F270)&lt;&gt;SUM(F278:F282),"ERR",SUM(F264:F270)))</f>
        <v>8.458133</v>
      </c>
      <c r="G263" s="215">
        <f ca="1">IF($S$1&lt;DATE(2025,2,1)," ",IF(SUM(G264:G270)&lt;&gt;SUM(G278:G282),"ERR",SUM(G264:G270)))</f>
        <v>17.844702</v>
      </c>
      <c r="H263" s="215">
        <f ca="1">IF($S$1&lt;DATE(2025,3,1)," ",IF(SUM(H264:H270)&lt;&gt;SUM(H278:H282),"ERR",SUM(H264:H270)))</f>
        <v>18.046926</v>
      </c>
      <c r="I263" s="215">
        <f ca="1">IF($S$1&lt;DATE(2025,4,1)," ",IF(SUM(I264:I270)&lt;&gt;SUM(I278:I282),"ERR",SUM(I264:I270)))</f>
        <v>20.898402</v>
      </c>
      <c r="J263" s="215">
        <f ca="1">IF($S$1&lt;DATE(2025,5,1)," ",IF(SUM(J264:J270)&lt;&gt;SUM(J278:J282),"ERR",SUM(J264:J270)))</f>
        <v>30.171252</v>
      </c>
      <c r="K263" s="215">
        <f ca="1">IF($S$1&lt;DATE(2025,6,1)," ",IF(SUM(K264:K270)&lt;&gt;SUM(K278:K282),"ERR",SUM(K264:K270)))</f>
        <v>30.648036</v>
      </c>
      <c r="L263" s="215">
        <f ca="1">IF($S$1&lt;DATE(2025,7,1)," ",IF(SUM(L264:L270)&lt;&gt;SUM(L278:L282),"ERR",SUM(L264:L270)))</f>
        <v>36.521948</v>
      </c>
      <c r="M263" s="215">
        <f ca="1">IF($S$1&lt;DATE(2025,8,1)," ",IF(SUM(M264:M270)&lt;&gt;SUM(M278:M282),"ERR",SUM(M264:M270)))</f>
        <v>44.096737</v>
      </c>
      <c r="N263" s="215">
        <f ca="1">IF($S$1&lt;DATE(2025,9,1)," ",IF(SUM(N264:N270)&lt;&gt;SUM(N278:N282),"ERR",SUM(N264:N270)))</f>
        <v>48.543693</v>
      </c>
      <c r="O263" s="215">
        <f ca="1">IF($S$1&lt;DATE(2025,10,1)," ",IF(SUM(O264:O270)&lt;&gt;SUM(O278:O282),"ERR",SUM(O264:O270)))</f>
        <v>48.748938</v>
      </c>
      <c r="P263" s="215">
        <f ca="1">IF($S$1&lt;DATE(2025,11,1)," ",IF(SUM(P264:P270)&lt;&gt;SUM(P278:P282),"ERR",SUM(P264:P270)))</f>
        <v>52.78781</v>
      </c>
      <c r="Q263" s="215">
        <f ca="1">IF($S$1&lt;DATE(2025,12,1)," ",IF(SUM(Q264:Q270)&lt;&gt;SUM(Q278:Q282),"ERR",SUM(Q264:Q270)))</f>
        <v>55.215702</v>
      </c>
    </row>
    <row r="264" ht="24" customHeight="1" spans="1:17">
      <c r="A264" s="99" t="s">
        <v>289</v>
      </c>
      <c r="B264" s="99" t="s">
        <v>299</v>
      </c>
      <c r="C264" s="99" t="s">
        <v>343</v>
      </c>
      <c r="D264" s="48" t="s">
        <v>31</v>
      </c>
      <c r="E264" s="48" t="s">
        <v>90</v>
      </c>
      <c r="F264" s="51">
        <f ca="1" t="shared" ref="F264:F270" si="200">IF($S$1&lt;DATE(2025,1,1)," ",F199)</f>
        <v>0</v>
      </c>
      <c r="G264" s="51">
        <f ca="1" t="shared" ref="G264:G270" si="201">IF($S$1&lt;DATE(2025,2,1)," ",G199+F264)</f>
        <v>0</v>
      </c>
      <c r="H264" s="51">
        <f ca="1" t="shared" ref="H264:H270" si="202">IF($S$1&lt;DATE(2025,3,1)," ",H199+G264)</f>
        <v>0.202224</v>
      </c>
      <c r="I264" s="51">
        <f ca="1" t="shared" ref="I264:I270" si="203">IF($S$1&lt;DATE(2025,4,1)," ",I199+H264)</f>
        <v>0.945858</v>
      </c>
      <c r="J264" s="51">
        <f ca="1" t="shared" ref="J264:J270" si="204">IF($S$1&lt;DATE(2025,5,1)," ",J199+I264)</f>
        <v>3.752997</v>
      </c>
      <c r="K264" s="51">
        <f ca="1" t="shared" ref="K264:K270" si="205">IF($S$1&lt;DATE(2025,6,1)," ",K199+J264)</f>
        <v>4.193848</v>
      </c>
      <c r="L264" s="51">
        <f ca="1" t="shared" ref="L264:L270" si="206">IF($S$1&lt;DATE(2025,7,1)," ",L199+K264)</f>
        <v>4.555189</v>
      </c>
      <c r="M264" s="51">
        <f ca="1" t="shared" ref="M264:M270" si="207">IF($S$1&lt;DATE(2025,8,1)," ",M199+L264)</f>
        <v>9.785243</v>
      </c>
      <c r="N264" s="51">
        <f ca="1" t="shared" ref="N264:N270" si="208">IF($S$1&lt;DATE(2025,9,1)," ",N199+M264)</f>
        <v>12.317153</v>
      </c>
      <c r="O264" s="51">
        <f ca="1" t="shared" ref="O264:O270" si="209">IF($S$1&lt;DATE(2025,10,1)," ",O199+N264)</f>
        <v>12.522398</v>
      </c>
      <c r="P264" s="51">
        <f ca="1" t="shared" ref="P264:P270" si="210">IF($S$1&lt;DATE(2025,11,1)," ",P199+O264)</f>
        <v>12.89659</v>
      </c>
      <c r="Q264" s="51">
        <f ca="1" t="shared" ref="Q264:Q270" si="211">IF($S$1&lt;DATE(2025,12,1)," ",Q199+P264)</f>
        <v>13.299136</v>
      </c>
    </row>
    <row r="265" ht="24" customHeight="1" spans="1:17">
      <c r="A265" s="99" t="s">
        <v>289</v>
      </c>
      <c r="B265" s="99" t="s">
        <v>299</v>
      </c>
      <c r="C265" s="99" t="s">
        <v>343</v>
      </c>
      <c r="D265" s="48" t="s">
        <v>31</v>
      </c>
      <c r="E265" s="48" t="s">
        <v>82</v>
      </c>
      <c r="F265" s="51">
        <f ca="1" t="shared" si="200"/>
        <v>0.064518</v>
      </c>
      <c r="G265" s="51">
        <f ca="1" t="shared" si="201"/>
        <v>0.857887</v>
      </c>
      <c r="H265" s="51">
        <f ca="1" t="shared" si="202"/>
        <v>0.857887</v>
      </c>
      <c r="I265" s="51">
        <f ca="1" t="shared" si="203"/>
        <v>2.965729</v>
      </c>
      <c r="J265" s="51">
        <f ca="1" t="shared" si="204"/>
        <v>3.398794</v>
      </c>
      <c r="K265" s="51">
        <f ca="1" t="shared" si="205"/>
        <v>3.398794</v>
      </c>
      <c r="L265" s="51">
        <f ca="1" t="shared" si="206"/>
        <v>4.819998</v>
      </c>
      <c r="M265" s="51">
        <f ca="1" t="shared" si="207"/>
        <v>4.819998</v>
      </c>
      <c r="N265" s="51">
        <f ca="1" t="shared" si="208"/>
        <v>6.164586</v>
      </c>
      <c r="O265" s="51">
        <f ca="1" t="shared" si="209"/>
        <v>6.164586</v>
      </c>
      <c r="P265" s="51">
        <f ca="1" t="shared" si="210"/>
        <v>8.863758</v>
      </c>
      <c r="Q265" s="51">
        <f ca="1" t="shared" si="211"/>
        <v>8.863758</v>
      </c>
    </row>
    <row r="266" ht="24" customHeight="1" spans="1:17">
      <c r="A266" s="99" t="s">
        <v>289</v>
      </c>
      <c r="B266" s="99" t="s">
        <v>299</v>
      </c>
      <c r="C266" s="99" t="s">
        <v>343</v>
      </c>
      <c r="D266" s="48" t="s">
        <v>31</v>
      </c>
      <c r="E266" s="48" t="s">
        <v>86</v>
      </c>
      <c r="F266" s="51">
        <f ca="1" t="shared" si="200"/>
        <v>0</v>
      </c>
      <c r="G266" s="51">
        <f ca="1" t="shared" si="201"/>
        <v>0</v>
      </c>
      <c r="H266" s="51">
        <f ca="1" t="shared" si="202"/>
        <v>0</v>
      </c>
      <c r="I266" s="51">
        <f ca="1" t="shared" si="203"/>
        <v>0</v>
      </c>
      <c r="J266" s="51">
        <f ca="1" t="shared" si="204"/>
        <v>0.473359</v>
      </c>
      <c r="K266" s="51">
        <f ca="1" t="shared" si="205"/>
        <v>0.473359</v>
      </c>
      <c r="L266" s="51">
        <f ca="1" t="shared" si="206"/>
        <v>4.381693</v>
      </c>
      <c r="M266" s="51">
        <f ca="1" t="shared" si="207"/>
        <v>6.413884</v>
      </c>
      <c r="N266" s="51">
        <f ca="1" t="shared" si="208"/>
        <v>6.413884</v>
      </c>
      <c r="O266" s="51">
        <f ca="1" t="shared" si="209"/>
        <v>6.413884</v>
      </c>
      <c r="P266" s="51">
        <f ca="1" t="shared" si="210"/>
        <v>6.857656</v>
      </c>
      <c r="Q266" s="51">
        <f ca="1" t="shared" si="211"/>
        <v>7.742577</v>
      </c>
    </row>
    <row r="267" ht="24" customHeight="1" spans="1:17">
      <c r="A267" s="99" t="s">
        <v>289</v>
      </c>
      <c r="B267" s="99" t="s">
        <v>299</v>
      </c>
      <c r="C267" s="99" t="s">
        <v>343</v>
      </c>
      <c r="D267" s="48" t="s">
        <v>31</v>
      </c>
      <c r="E267" s="48" t="s">
        <v>97</v>
      </c>
      <c r="F267" s="51">
        <f ca="1" t="shared" si="200"/>
        <v>4.430437</v>
      </c>
      <c r="G267" s="51">
        <f ca="1" t="shared" si="201"/>
        <v>13.023637</v>
      </c>
      <c r="H267" s="51">
        <f ca="1" t="shared" si="202"/>
        <v>13.023637</v>
      </c>
      <c r="I267" s="51">
        <f ca="1" t="shared" si="203"/>
        <v>13.023637</v>
      </c>
      <c r="J267" s="51">
        <f ca="1" t="shared" si="204"/>
        <v>18.582924</v>
      </c>
      <c r="K267" s="51">
        <f ca="1" t="shared" si="205"/>
        <v>18.582924</v>
      </c>
      <c r="L267" s="51">
        <f ca="1" t="shared" si="206"/>
        <v>18.582924</v>
      </c>
      <c r="M267" s="51">
        <f ca="1" t="shared" si="207"/>
        <v>18.895468</v>
      </c>
      <c r="N267" s="51">
        <f ca="1" t="shared" si="208"/>
        <v>18.895468</v>
      </c>
      <c r="O267" s="51">
        <f ca="1" t="shared" si="209"/>
        <v>18.895468</v>
      </c>
      <c r="P267" s="51">
        <f ca="1" t="shared" si="210"/>
        <v>19.417204</v>
      </c>
      <c r="Q267" s="51">
        <f ca="1" t="shared" si="211"/>
        <v>20.557629</v>
      </c>
    </row>
    <row r="268" ht="24" customHeight="1" spans="1:17">
      <c r="A268" s="99" t="s">
        <v>289</v>
      </c>
      <c r="B268" s="99" t="s">
        <v>299</v>
      </c>
      <c r="C268" s="99" t="s">
        <v>343</v>
      </c>
      <c r="D268" s="48" t="s">
        <v>31</v>
      </c>
      <c r="E268" s="48" t="s">
        <v>87</v>
      </c>
      <c r="F268" s="51">
        <f ca="1" t="shared" si="200"/>
        <v>1.266791</v>
      </c>
      <c r="G268" s="51">
        <f ca="1" t="shared" si="201"/>
        <v>1.266791</v>
      </c>
      <c r="H268" s="51">
        <f ca="1" t="shared" si="202"/>
        <v>1.266791</v>
      </c>
      <c r="I268" s="51">
        <f ca="1" t="shared" si="203"/>
        <v>1.266791</v>
      </c>
      <c r="J268" s="51">
        <f ca="1" t="shared" si="204"/>
        <v>1.266791</v>
      </c>
      <c r="K268" s="51">
        <f ca="1" t="shared" si="205"/>
        <v>1.266791</v>
      </c>
      <c r="L268" s="51">
        <f ca="1" t="shared" si="206"/>
        <v>1.449824</v>
      </c>
      <c r="M268" s="51">
        <f ca="1" t="shared" si="207"/>
        <v>1.449824</v>
      </c>
      <c r="N268" s="51">
        <f ca="1" t="shared" si="208"/>
        <v>2.020282</v>
      </c>
      <c r="O268" s="51">
        <f ca="1" t="shared" si="209"/>
        <v>2.020282</v>
      </c>
      <c r="P268" s="51">
        <f ca="1" t="shared" si="210"/>
        <v>2.020282</v>
      </c>
      <c r="Q268" s="51">
        <f ca="1" t="shared" si="211"/>
        <v>2.020282</v>
      </c>
    </row>
    <row r="269" ht="24" customHeight="1" spans="1:17">
      <c r="A269" s="99" t="s">
        <v>289</v>
      </c>
      <c r="B269" s="99" t="s">
        <v>299</v>
      </c>
      <c r="C269" s="99" t="s">
        <v>343</v>
      </c>
      <c r="D269" s="48" t="s">
        <v>31</v>
      </c>
      <c r="E269" s="48" t="s">
        <v>149</v>
      </c>
      <c r="F269" s="51">
        <f ca="1" t="shared" si="200"/>
        <v>0</v>
      </c>
      <c r="G269" s="51">
        <f ca="1" t="shared" si="201"/>
        <v>0</v>
      </c>
      <c r="H269" s="51">
        <f ca="1" t="shared" si="202"/>
        <v>0</v>
      </c>
      <c r="I269" s="51">
        <f ca="1" t="shared" si="203"/>
        <v>0</v>
      </c>
      <c r="J269" s="51">
        <f ca="1" t="shared" si="204"/>
        <v>0</v>
      </c>
      <c r="K269" s="51">
        <f ca="1" t="shared" si="205"/>
        <v>0.035933</v>
      </c>
      <c r="L269" s="51">
        <f ca="1" t="shared" si="206"/>
        <v>0.035933</v>
      </c>
      <c r="M269" s="51">
        <f ca="1" t="shared" si="207"/>
        <v>0.035933</v>
      </c>
      <c r="N269" s="51">
        <f ca="1" t="shared" si="208"/>
        <v>0.035933</v>
      </c>
      <c r="O269" s="51">
        <f ca="1" t="shared" si="209"/>
        <v>0.035933</v>
      </c>
      <c r="P269" s="51">
        <f ca="1" t="shared" si="210"/>
        <v>0.035933</v>
      </c>
      <c r="Q269" s="51">
        <f ca="1" t="shared" si="211"/>
        <v>0.035933</v>
      </c>
    </row>
    <row r="270" ht="24" customHeight="1" spans="1:17">
      <c r="A270" s="99" t="s">
        <v>289</v>
      </c>
      <c r="B270" s="99" t="s">
        <v>299</v>
      </c>
      <c r="C270" s="99" t="s">
        <v>343</v>
      </c>
      <c r="D270" s="48" t="s">
        <v>31</v>
      </c>
      <c r="E270" s="48" t="s">
        <v>83</v>
      </c>
      <c r="F270" s="51">
        <f ca="1" t="shared" si="200"/>
        <v>2.696387</v>
      </c>
      <c r="G270" s="51">
        <f ca="1" t="shared" si="201"/>
        <v>2.696387</v>
      </c>
      <c r="H270" s="51">
        <f ca="1" t="shared" si="202"/>
        <v>2.696387</v>
      </c>
      <c r="I270" s="51">
        <f ca="1" t="shared" si="203"/>
        <v>2.696387</v>
      </c>
      <c r="J270" s="51">
        <f ca="1" t="shared" si="204"/>
        <v>2.696387</v>
      </c>
      <c r="K270" s="51">
        <f ca="1" t="shared" si="205"/>
        <v>2.696387</v>
      </c>
      <c r="L270" s="51">
        <f ca="1" t="shared" si="206"/>
        <v>2.696387</v>
      </c>
      <c r="M270" s="51">
        <f ca="1" t="shared" si="207"/>
        <v>2.696387</v>
      </c>
      <c r="N270" s="51">
        <f ca="1" t="shared" si="208"/>
        <v>2.696387</v>
      </c>
      <c r="O270" s="51">
        <f ca="1" t="shared" si="209"/>
        <v>2.696387</v>
      </c>
      <c r="P270" s="51">
        <f ca="1" t="shared" si="210"/>
        <v>2.696387</v>
      </c>
      <c r="Q270" s="51">
        <f ca="1" t="shared" si="211"/>
        <v>2.696387</v>
      </c>
    </row>
    <row r="271" ht="24" customHeight="1" spans="1:17">
      <c r="A271" s="99" t="s">
        <v>289</v>
      </c>
      <c r="B271" s="99" t="s">
        <v>299</v>
      </c>
      <c r="C271" s="99" t="s">
        <v>343</v>
      </c>
      <c r="D271" s="48" t="s">
        <v>321</v>
      </c>
      <c r="E271" s="48" t="s">
        <v>90</v>
      </c>
      <c r="F271" s="112">
        <f ca="1" t="shared" ref="F271:Q271" si="212">IFERROR(F264/F$263," ")</f>
        <v>0</v>
      </c>
      <c r="G271" s="112">
        <f ca="1" t="shared" si="212"/>
        <v>0</v>
      </c>
      <c r="H271" s="112">
        <f ca="1" t="shared" si="212"/>
        <v>0.0112054540479636</v>
      </c>
      <c r="I271" s="112">
        <f ca="1" t="shared" si="212"/>
        <v>0.0452598241722022</v>
      </c>
      <c r="J271" s="112">
        <f ca="1" t="shared" si="212"/>
        <v>0.124389833076864</v>
      </c>
      <c r="K271" s="112">
        <f ca="1" t="shared" si="212"/>
        <v>0.136839045738526</v>
      </c>
      <c r="L271" s="112">
        <f ca="1" t="shared" si="212"/>
        <v>0.124724699788741</v>
      </c>
      <c r="M271" s="112">
        <f ca="1" t="shared" si="212"/>
        <v>0.221904015256276</v>
      </c>
      <c r="N271" s="112">
        <f ca="1" t="shared" si="212"/>
        <v>0.253733332567013</v>
      </c>
      <c r="O271" s="112">
        <f ca="1" t="shared" si="212"/>
        <v>0.256875298493682</v>
      </c>
      <c r="P271" s="112">
        <f ca="1" t="shared" si="212"/>
        <v>0.244310002631289</v>
      </c>
      <c r="Q271" s="112">
        <f ca="1" t="shared" si="212"/>
        <v>0.240857863221589</v>
      </c>
    </row>
    <row r="272" ht="24" customHeight="1" spans="1:17">
      <c r="A272" s="99" t="s">
        <v>289</v>
      </c>
      <c r="B272" s="99" t="s">
        <v>299</v>
      </c>
      <c r="C272" s="99" t="s">
        <v>343</v>
      </c>
      <c r="D272" s="48" t="s">
        <v>321</v>
      </c>
      <c r="E272" s="48" t="s">
        <v>82</v>
      </c>
      <c r="F272" s="112">
        <f ca="1" t="shared" ref="F272:Q272" si="213">IFERROR(F265/F$263," ")</f>
        <v>0.00762792450768982</v>
      </c>
      <c r="G272" s="112">
        <f ca="1" t="shared" si="213"/>
        <v>0.0480751653908258</v>
      </c>
      <c r="H272" s="112">
        <f ca="1" t="shared" si="213"/>
        <v>0.0475364613341907</v>
      </c>
      <c r="I272" s="112">
        <f ca="1" t="shared" si="213"/>
        <v>0.141911759568985</v>
      </c>
      <c r="J272" s="112">
        <f ca="1" t="shared" si="213"/>
        <v>0.112650081607485</v>
      </c>
      <c r="K272" s="112">
        <f ca="1" t="shared" si="213"/>
        <v>0.110897611840445</v>
      </c>
      <c r="L272" s="112">
        <f ca="1" t="shared" si="213"/>
        <v>0.131975380940798</v>
      </c>
      <c r="M272" s="112">
        <f ca="1" t="shared" si="213"/>
        <v>0.109305094388276</v>
      </c>
      <c r="N272" s="112">
        <f ca="1" t="shared" si="213"/>
        <v>0.126990461974123</v>
      </c>
      <c r="O272" s="112">
        <f ca="1" t="shared" si="213"/>
        <v>0.126455800944833</v>
      </c>
      <c r="P272" s="112">
        <f ca="1" t="shared" si="213"/>
        <v>0.167912970816558</v>
      </c>
      <c r="Q272" s="112">
        <f ca="1" t="shared" si="213"/>
        <v>0.160529662377561</v>
      </c>
    </row>
    <row r="273" ht="24" customHeight="1" spans="1:17">
      <c r="A273" s="99" t="s">
        <v>289</v>
      </c>
      <c r="B273" s="99" t="s">
        <v>299</v>
      </c>
      <c r="C273" s="99" t="s">
        <v>343</v>
      </c>
      <c r="D273" s="48" t="s">
        <v>321</v>
      </c>
      <c r="E273" s="48" t="s">
        <v>86</v>
      </c>
      <c r="F273" s="112">
        <f ca="1" t="shared" ref="F273:Q273" si="214">IFERROR(F266/F$263," ")</f>
        <v>0</v>
      </c>
      <c r="G273" s="112">
        <f ca="1" t="shared" si="214"/>
        <v>0</v>
      </c>
      <c r="H273" s="112">
        <f ca="1" t="shared" si="214"/>
        <v>0</v>
      </c>
      <c r="I273" s="112">
        <f ca="1" t="shared" si="214"/>
        <v>0</v>
      </c>
      <c r="J273" s="112">
        <f ca="1" t="shared" si="214"/>
        <v>0.0156890738243146</v>
      </c>
      <c r="K273" s="112">
        <f ca="1" t="shared" si="214"/>
        <v>0.015445002740143</v>
      </c>
      <c r="L273" s="112">
        <f ca="1" t="shared" si="214"/>
        <v>0.119974241242554</v>
      </c>
      <c r="M273" s="112">
        <f ca="1" t="shared" si="214"/>
        <v>0.145450308488812</v>
      </c>
      <c r="N273" s="112">
        <f ca="1" t="shared" si="214"/>
        <v>0.132126000384849</v>
      </c>
      <c r="O273" s="112">
        <f ca="1" t="shared" si="214"/>
        <v>0.131569717477743</v>
      </c>
      <c r="P273" s="112">
        <f ca="1" t="shared" si="214"/>
        <v>0.12990984092729</v>
      </c>
      <c r="Q273" s="112">
        <f ca="1" t="shared" si="214"/>
        <v>0.14022418840206</v>
      </c>
    </row>
    <row r="274" ht="24" customHeight="1" spans="1:17">
      <c r="A274" s="99" t="s">
        <v>289</v>
      </c>
      <c r="B274" s="99" t="s">
        <v>299</v>
      </c>
      <c r="C274" s="99" t="s">
        <v>343</v>
      </c>
      <c r="D274" s="48" t="s">
        <v>321</v>
      </c>
      <c r="E274" s="48" t="s">
        <v>97</v>
      </c>
      <c r="F274" s="112">
        <f ca="1" t="shared" ref="F274:Q274" si="215">IFERROR(F267/F$263," ")</f>
        <v>0.523807913637679</v>
      </c>
      <c r="G274" s="112">
        <f ca="1" t="shared" si="215"/>
        <v>0.729832137292066</v>
      </c>
      <c r="H274" s="112">
        <f ca="1" t="shared" si="215"/>
        <v>0.721654036814912</v>
      </c>
      <c r="I274" s="112">
        <f ca="1" t="shared" si="215"/>
        <v>0.623188174866193</v>
      </c>
      <c r="J274" s="112">
        <f ca="1" t="shared" si="215"/>
        <v>0.61591491132022</v>
      </c>
      <c r="K274" s="112">
        <f ca="1" t="shared" si="215"/>
        <v>0.606333273688402</v>
      </c>
      <c r="L274" s="112">
        <f ca="1" t="shared" si="215"/>
        <v>0.508815247204229</v>
      </c>
      <c r="M274" s="112">
        <f ca="1" t="shared" si="215"/>
        <v>0.428500367272073</v>
      </c>
      <c r="N274" s="112">
        <f ca="1" t="shared" si="215"/>
        <v>0.389246611295107</v>
      </c>
      <c r="O274" s="112">
        <f ca="1" t="shared" si="215"/>
        <v>0.387607787476314</v>
      </c>
      <c r="P274" s="112">
        <f ca="1" t="shared" si="215"/>
        <v>0.367834998269487</v>
      </c>
      <c r="Q274" s="112">
        <f ca="1" t="shared" si="215"/>
        <v>0.372314907813723</v>
      </c>
    </row>
    <row r="275" ht="24" customHeight="1" spans="1:17">
      <c r="A275" s="99" t="s">
        <v>289</v>
      </c>
      <c r="B275" s="99" t="s">
        <v>299</v>
      </c>
      <c r="C275" s="99" t="s">
        <v>343</v>
      </c>
      <c r="D275" s="48" t="s">
        <v>321</v>
      </c>
      <c r="E275" s="48" t="s">
        <v>87</v>
      </c>
      <c r="F275" s="112">
        <f ca="1" t="shared" ref="F275:Q275" si="216">IFERROR(F268/F$263," ")</f>
        <v>0.149771941396523</v>
      </c>
      <c r="G275" s="112">
        <f ca="1" t="shared" si="216"/>
        <v>0.0709897537095324</v>
      </c>
      <c r="H275" s="112">
        <f ca="1" t="shared" si="216"/>
        <v>0.070194281286464</v>
      </c>
      <c r="I275" s="112">
        <f ca="1" t="shared" si="216"/>
        <v>0.060616644277395</v>
      </c>
      <c r="J275" s="112">
        <f ca="1" t="shared" si="216"/>
        <v>0.0419866898463478</v>
      </c>
      <c r="K275" s="112">
        <f ca="1" t="shared" si="216"/>
        <v>0.0413335131817256</v>
      </c>
      <c r="L275" s="112">
        <f ca="1" t="shared" si="216"/>
        <v>0.0396973348738134</v>
      </c>
      <c r="M275" s="112">
        <f ca="1" t="shared" si="216"/>
        <v>0.03287826035745</v>
      </c>
      <c r="N275" s="112">
        <f ca="1" t="shared" si="216"/>
        <v>0.0416178060453703</v>
      </c>
      <c r="O275" s="112">
        <f ca="1" t="shared" si="216"/>
        <v>0.0414425848620538</v>
      </c>
      <c r="P275" s="112">
        <f ca="1" t="shared" si="216"/>
        <v>0.0382717525125592</v>
      </c>
      <c r="Q275" s="112">
        <f ca="1" t="shared" si="216"/>
        <v>0.0365889036419387</v>
      </c>
    </row>
    <row r="276" ht="24" customHeight="1" spans="1:17">
      <c r="A276" s="99" t="s">
        <v>289</v>
      </c>
      <c r="B276" s="99" t="s">
        <v>299</v>
      </c>
      <c r="C276" s="99" t="s">
        <v>343</v>
      </c>
      <c r="D276" s="48" t="s">
        <v>321</v>
      </c>
      <c r="E276" s="48" t="s">
        <v>149</v>
      </c>
      <c r="F276" s="112">
        <f ca="1" t="shared" ref="F276:Q276" si="217">IFERROR(F269/F$263," ")</f>
        <v>0</v>
      </c>
      <c r="G276" s="112">
        <f ca="1" t="shared" si="217"/>
        <v>0</v>
      </c>
      <c r="H276" s="112">
        <f ca="1" t="shared" si="217"/>
        <v>0</v>
      </c>
      <c r="I276" s="112">
        <f ca="1" t="shared" si="217"/>
        <v>0</v>
      </c>
      <c r="J276" s="112">
        <f ca="1" t="shared" si="217"/>
        <v>0</v>
      </c>
      <c r="K276" s="112">
        <f ca="1" t="shared" si="217"/>
        <v>0.00117244054398788</v>
      </c>
      <c r="L276" s="112">
        <f ca="1" t="shared" si="217"/>
        <v>0.000983874135081732</v>
      </c>
      <c r="M276" s="112">
        <f ca="1" t="shared" si="217"/>
        <v>0.000814867549043368</v>
      </c>
      <c r="N276" s="112">
        <f ca="1" t="shared" si="217"/>
        <v>0.000740219743891343</v>
      </c>
      <c r="O276" s="112">
        <f ca="1" t="shared" si="217"/>
        <v>0.000737103236997696</v>
      </c>
      <c r="P276" s="112">
        <f ca="1" t="shared" si="217"/>
        <v>0.000680706397935432</v>
      </c>
      <c r="Q276" s="112">
        <f ca="1" t="shared" si="217"/>
        <v>0.000650775027726714</v>
      </c>
    </row>
    <row r="277" ht="24" customHeight="1" spans="1:17">
      <c r="A277" s="99" t="s">
        <v>289</v>
      </c>
      <c r="B277" s="99" t="s">
        <v>299</v>
      </c>
      <c r="C277" s="99" t="s">
        <v>343</v>
      </c>
      <c r="D277" s="48" t="s">
        <v>321</v>
      </c>
      <c r="E277" s="48" t="s">
        <v>83</v>
      </c>
      <c r="F277" s="112">
        <f ca="1" t="shared" ref="F277:Q277" si="218">IFERROR(F270/F$263," ")</f>
        <v>0.318792220458108</v>
      </c>
      <c r="G277" s="112">
        <f ca="1" t="shared" si="218"/>
        <v>0.151102943607576</v>
      </c>
      <c r="H277" s="112">
        <f ca="1" t="shared" si="218"/>
        <v>0.149409766516469</v>
      </c>
      <c r="I277" s="112">
        <f ca="1" t="shared" si="218"/>
        <v>0.129023597115224</v>
      </c>
      <c r="J277" s="112">
        <f ca="1" t="shared" si="218"/>
        <v>0.0893694103247687</v>
      </c>
      <c r="K277" s="112">
        <f ca="1" t="shared" si="218"/>
        <v>0.0879791122667697</v>
      </c>
      <c r="L277" s="112">
        <f ca="1" t="shared" si="218"/>
        <v>0.0738292218147838</v>
      </c>
      <c r="M277" s="112">
        <f ca="1" t="shared" si="218"/>
        <v>0.0611470866880695</v>
      </c>
      <c r="N277" s="112">
        <f ca="1" t="shared" si="218"/>
        <v>0.0555455679896459</v>
      </c>
      <c r="O277" s="112">
        <f ca="1" t="shared" si="218"/>
        <v>0.0553117075083769</v>
      </c>
      <c r="P277" s="112">
        <f ca="1" t="shared" si="218"/>
        <v>0.0510797284448815</v>
      </c>
      <c r="Q277" s="112">
        <f ca="1" t="shared" si="218"/>
        <v>0.0488336995154023</v>
      </c>
    </row>
    <row r="278" ht="24" customHeight="1" spans="1:17">
      <c r="A278" s="99" t="s">
        <v>289</v>
      </c>
      <c r="B278" s="99" t="s">
        <v>299</v>
      </c>
      <c r="C278" s="99" t="s">
        <v>343</v>
      </c>
      <c r="D278" s="47" t="s">
        <v>294</v>
      </c>
      <c r="E278" s="47" t="s">
        <v>93</v>
      </c>
      <c r="F278" s="64">
        <f ca="1" t="shared" ref="F278:F282" si="219">IF($S$1&lt;DATE(2025,1,1)," ",F206)</f>
        <v>8.458133</v>
      </c>
      <c r="G278" s="64">
        <f ca="1" t="shared" ref="G278:G282" si="220">IF($S$1&lt;DATE(2025,2,1)," ",G206+F278)</f>
        <v>8.458133</v>
      </c>
      <c r="H278" s="64">
        <f ca="1" t="shared" ref="H278:H282" si="221">IF($S$1&lt;DATE(2025,3,1)," ",H206+G278)</f>
        <v>8.458133</v>
      </c>
      <c r="I278" s="64">
        <f ca="1" t="shared" ref="I278:I282" si="222">IF($S$1&lt;DATE(2025,4,1)," ",I206+H278)</f>
        <v>9.622089</v>
      </c>
      <c r="J278" s="64">
        <f ca="1" t="shared" ref="J278:J282" si="223">IF($S$1&lt;DATE(2025,5,1)," ",J206+I278)</f>
        <v>11.353113</v>
      </c>
      <c r="K278" s="64">
        <f ca="1" t="shared" ref="K278:K282" si="224">IF($S$1&lt;DATE(2025,6,1)," ",K206+J278)</f>
        <v>11.793964</v>
      </c>
      <c r="L278" s="64">
        <f ca="1" t="shared" ref="L278:L282" si="225">IF($S$1&lt;DATE(2025,7,1)," ",L206+K278)</f>
        <v>13.215168</v>
      </c>
      <c r="M278" s="64">
        <f ca="1" t="shared" ref="M278:M282" si="226">IF($S$1&lt;DATE(2025,8,1)," ",M206+L278)</f>
        <v>20.216815</v>
      </c>
      <c r="N278" s="64">
        <f ca="1" t="shared" ref="N278:N282" si="227">IF($S$1&lt;DATE(2025,9,1)," ",N206+M278)</f>
        <v>23.03719</v>
      </c>
      <c r="O278" s="64">
        <f ca="1" t="shared" ref="O278:O282" si="228">IF($S$1&lt;DATE(2025,10,1)," ",O206+N278)</f>
        <v>23.242435</v>
      </c>
      <c r="P278" s="64">
        <f ca="1" t="shared" ref="P278:P282" si="229">IF($S$1&lt;DATE(2025,11,1)," ",P206+O278)</f>
        <v>24.138363</v>
      </c>
      <c r="Q278" s="64">
        <f ca="1" t="shared" ref="Q278:Q282" si="230">IF($S$1&lt;DATE(2025,12,1)," ",Q206+P278)</f>
        <v>24.138363</v>
      </c>
    </row>
    <row r="279" ht="24" customHeight="1" spans="1:17">
      <c r="A279" s="99" t="s">
        <v>289</v>
      </c>
      <c r="B279" s="99" t="s">
        <v>299</v>
      </c>
      <c r="C279" s="99" t="s">
        <v>343</v>
      </c>
      <c r="D279" s="47" t="s">
        <v>294</v>
      </c>
      <c r="E279" s="47" t="s">
        <v>85</v>
      </c>
      <c r="F279" s="64">
        <f ca="1" t="shared" si="219"/>
        <v>0</v>
      </c>
      <c r="G279" s="64">
        <f ca="1" t="shared" si="220"/>
        <v>0.793369</v>
      </c>
      <c r="H279" s="64">
        <f ca="1" t="shared" si="221"/>
        <v>0.995593</v>
      </c>
      <c r="I279" s="64">
        <f ca="1" t="shared" si="222"/>
        <v>1.739227</v>
      </c>
      <c r="J279" s="64">
        <f ca="1" t="shared" si="223"/>
        <v>7.771873</v>
      </c>
      <c r="K279" s="64">
        <f ca="1" t="shared" si="224"/>
        <v>7.807806</v>
      </c>
      <c r="L279" s="64">
        <f ca="1" t="shared" si="225"/>
        <v>12.260514</v>
      </c>
      <c r="M279" s="64">
        <f ca="1" t="shared" si="226"/>
        <v>12.521112</v>
      </c>
      <c r="N279" s="64">
        <f ca="1" t="shared" si="227"/>
        <v>13.577235</v>
      </c>
      <c r="O279" s="64">
        <f ca="1" t="shared" si="228"/>
        <v>13.577235</v>
      </c>
      <c r="P279" s="64">
        <f ca="1" t="shared" si="229"/>
        <v>16.039641</v>
      </c>
      <c r="Q279" s="64">
        <f ca="1" t="shared" si="230"/>
        <v>18.467533</v>
      </c>
    </row>
    <row r="280" ht="24" customHeight="1" spans="1:17">
      <c r="A280" s="99" t="s">
        <v>289</v>
      </c>
      <c r="B280" s="99" t="s">
        <v>299</v>
      </c>
      <c r="C280" s="99" t="s">
        <v>343</v>
      </c>
      <c r="D280" s="47" t="s">
        <v>294</v>
      </c>
      <c r="E280" s="47" t="s">
        <v>81</v>
      </c>
      <c r="F280" s="64">
        <f ca="1" t="shared" si="219"/>
        <v>0</v>
      </c>
      <c r="G280" s="64">
        <f ca="1" t="shared" si="220"/>
        <v>0</v>
      </c>
      <c r="H280" s="64">
        <f ca="1" t="shared" si="221"/>
        <v>0</v>
      </c>
      <c r="I280" s="64">
        <f ca="1" t="shared" si="222"/>
        <v>0.943886</v>
      </c>
      <c r="J280" s="64">
        <f ca="1" t="shared" si="223"/>
        <v>2.453066</v>
      </c>
      <c r="K280" s="64">
        <f ca="1" t="shared" si="224"/>
        <v>2.453066</v>
      </c>
      <c r="L280" s="64">
        <f ca="1" t="shared" si="225"/>
        <v>2.453066</v>
      </c>
      <c r="M280" s="64">
        <f ca="1" t="shared" si="226"/>
        <v>2.76561</v>
      </c>
      <c r="N280" s="64">
        <f ca="1" t="shared" si="227"/>
        <v>3.336068</v>
      </c>
      <c r="O280" s="64">
        <f ca="1" t="shared" si="228"/>
        <v>3.336068</v>
      </c>
      <c r="P280" s="64">
        <f ca="1" t="shared" si="229"/>
        <v>4.016606</v>
      </c>
      <c r="Q280" s="64">
        <f ca="1" t="shared" si="230"/>
        <v>4.016606</v>
      </c>
    </row>
    <row r="281" ht="24" customHeight="1" spans="1:17">
      <c r="A281" s="99" t="s">
        <v>289</v>
      </c>
      <c r="B281" s="99" t="s">
        <v>299</v>
      </c>
      <c r="C281" s="99" t="s">
        <v>343</v>
      </c>
      <c r="D281" s="47" t="s">
        <v>294</v>
      </c>
      <c r="E281" s="47" t="s">
        <v>96</v>
      </c>
      <c r="F281" s="64">
        <f ca="1" t="shared" si="219"/>
        <v>0</v>
      </c>
      <c r="G281" s="64">
        <f ca="1" t="shared" si="220"/>
        <v>8.5932</v>
      </c>
      <c r="H281" s="64">
        <f ca="1" t="shared" si="221"/>
        <v>8.5932</v>
      </c>
      <c r="I281" s="64">
        <f ca="1" t="shared" si="222"/>
        <v>8.5932</v>
      </c>
      <c r="J281" s="64">
        <f ca="1" t="shared" si="223"/>
        <v>8.5932</v>
      </c>
      <c r="K281" s="64">
        <f ca="1" t="shared" si="224"/>
        <v>8.5932</v>
      </c>
      <c r="L281" s="64">
        <f ca="1" t="shared" si="225"/>
        <v>8.5932</v>
      </c>
      <c r="M281" s="64">
        <f ca="1" t="shared" si="226"/>
        <v>8.5932</v>
      </c>
      <c r="N281" s="64">
        <f ca="1" t="shared" si="227"/>
        <v>8.5932</v>
      </c>
      <c r="O281" s="64">
        <f ca="1" t="shared" si="228"/>
        <v>8.5932</v>
      </c>
      <c r="P281" s="64">
        <f ca="1" t="shared" si="229"/>
        <v>8.5932</v>
      </c>
      <c r="Q281" s="64">
        <f ca="1" t="shared" si="230"/>
        <v>8.5932</v>
      </c>
    </row>
    <row r="282" ht="24" customHeight="1" spans="1:17">
      <c r="A282" s="99" t="s">
        <v>289</v>
      </c>
      <c r="B282" s="99" t="s">
        <v>299</v>
      </c>
      <c r="C282" s="99" t="s">
        <v>343</v>
      </c>
      <c r="D282" s="47" t="s">
        <v>294</v>
      </c>
      <c r="E282" s="47" t="s">
        <v>160</v>
      </c>
      <c r="F282" s="64">
        <f ca="1" t="shared" si="219"/>
        <v>0</v>
      </c>
      <c r="G282" s="64">
        <f ca="1" t="shared" si="220"/>
        <v>0</v>
      </c>
      <c r="H282" s="64">
        <f ca="1" t="shared" si="221"/>
        <v>0</v>
      </c>
      <c r="I282" s="64">
        <f ca="1" t="shared" si="222"/>
        <v>0</v>
      </c>
      <c r="J282" s="64">
        <f ca="1" t="shared" si="223"/>
        <v>0</v>
      </c>
      <c r="K282" s="64">
        <f ca="1" t="shared" si="224"/>
        <v>0</v>
      </c>
      <c r="L282" s="64">
        <f ca="1" t="shared" si="225"/>
        <v>0</v>
      </c>
      <c r="M282" s="64">
        <f ca="1" t="shared" si="226"/>
        <v>0</v>
      </c>
      <c r="N282" s="64">
        <f ca="1" t="shared" si="227"/>
        <v>0</v>
      </c>
      <c r="O282" s="64">
        <f ca="1" t="shared" si="228"/>
        <v>0</v>
      </c>
      <c r="P282" s="64">
        <f ca="1" t="shared" si="229"/>
        <v>0</v>
      </c>
      <c r="Q282" s="64">
        <f ca="1" t="shared" si="230"/>
        <v>0</v>
      </c>
    </row>
    <row r="283" ht="24" customHeight="1" spans="1:17">
      <c r="A283" s="99" t="s">
        <v>289</v>
      </c>
      <c r="B283" s="99" t="s">
        <v>299</v>
      </c>
      <c r="C283" s="99" t="s">
        <v>343</v>
      </c>
      <c r="D283" s="47" t="s">
        <v>321</v>
      </c>
      <c r="E283" s="47" t="s">
        <v>93</v>
      </c>
      <c r="F283" s="126">
        <f ca="1" t="shared" ref="F283:Q283" si="231">IFERROR(F278/F263," ")</f>
        <v>1</v>
      </c>
      <c r="G283" s="126">
        <f ca="1" t="shared" si="231"/>
        <v>0.473985668127156</v>
      </c>
      <c r="H283" s="126">
        <f ca="1" t="shared" si="231"/>
        <v>0.468674443503564</v>
      </c>
      <c r="I283" s="126">
        <f ca="1" t="shared" si="231"/>
        <v>0.460422237068652</v>
      </c>
      <c r="J283" s="126">
        <f ca="1" t="shared" si="231"/>
        <v>0.376289091350932</v>
      </c>
      <c r="K283" s="126">
        <f ca="1" t="shared" si="231"/>
        <v>0.384819568862422</v>
      </c>
      <c r="L283" s="126">
        <f ca="1" t="shared" si="231"/>
        <v>0.361841816323708</v>
      </c>
      <c r="M283" s="126">
        <f ca="1" t="shared" si="231"/>
        <v>0.458465101397412</v>
      </c>
      <c r="N283" s="126">
        <f ca="1" t="shared" si="231"/>
        <v>0.474566078027891</v>
      </c>
      <c r="O283" s="126">
        <f ca="1" t="shared" si="231"/>
        <v>0.476778283867435</v>
      </c>
      <c r="P283" s="126">
        <f ca="1" t="shared" si="231"/>
        <v>0.457271536743047</v>
      </c>
      <c r="Q283" s="126">
        <f ca="1" t="shared" si="231"/>
        <v>0.437164830395528</v>
      </c>
    </row>
    <row r="284" ht="24" customHeight="1" spans="1:17">
      <c r="A284" s="99" t="s">
        <v>289</v>
      </c>
      <c r="B284" s="99" t="s">
        <v>299</v>
      </c>
      <c r="C284" s="99" t="s">
        <v>343</v>
      </c>
      <c r="D284" s="47" t="s">
        <v>321</v>
      </c>
      <c r="E284" s="47" t="s">
        <v>85</v>
      </c>
      <c r="F284" s="126">
        <f ca="1" t="shared" ref="F284:Q284" si="232">IFERROR(F279/F263," ")</f>
        <v>0</v>
      </c>
      <c r="G284" s="126">
        <f ca="1" t="shared" si="232"/>
        <v>0.0444596384966249</v>
      </c>
      <c r="H284" s="126">
        <f ca="1" t="shared" si="232"/>
        <v>0.0551669021084256</v>
      </c>
      <c r="I284" s="126">
        <f ca="1" t="shared" si="232"/>
        <v>0.0832229660430496</v>
      </c>
      <c r="J284" s="126">
        <f ca="1" t="shared" si="232"/>
        <v>0.257591995188002</v>
      </c>
      <c r="K284" s="126">
        <f ca="1" t="shared" si="232"/>
        <v>0.254757140066006</v>
      </c>
      <c r="L284" s="126">
        <f ca="1" t="shared" si="232"/>
        <v>0.335702630100673</v>
      </c>
      <c r="M284" s="126">
        <f ca="1" t="shared" si="232"/>
        <v>0.283946451638814</v>
      </c>
      <c r="N284" s="126">
        <f ca="1" t="shared" si="232"/>
        <v>0.279691019799421</v>
      </c>
      <c r="O284" s="126">
        <f ca="1" t="shared" si="232"/>
        <v>0.278513451923814</v>
      </c>
      <c r="P284" s="126">
        <f ca="1" t="shared" si="232"/>
        <v>0.30385123004724</v>
      </c>
      <c r="Q284" s="126">
        <f ca="1" t="shared" si="232"/>
        <v>0.334461617458019</v>
      </c>
    </row>
    <row r="285" ht="24" customHeight="1" spans="1:17">
      <c r="A285" s="99" t="s">
        <v>289</v>
      </c>
      <c r="B285" s="99" t="s">
        <v>299</v>
      </c>
      <c r="C285" s="99" t="s">
        <v>343</v>
      </c>
      <c r="D285" s="47" t="s">
        <v>321</v>
      </c>
      <c r="E285" s="47" t="s">
        <v>81</v>
      </c>
      <c r="F285" s="126">
        <f ca="1" t="shared" ref="F285:Q285" si="233">IFERROR(F280/F263," ")</f>
        <v>0</v>
      </c>
      <c r="G285" s="126">
        <f ca="1" t="shared" si="233"/>
        <v>0</v>
      </c>
      <c r="H285" s="126">
        <f ca="1" t="shared" si="233"/>
        <v>0</v>
      </c>
      <c r="I285" s="126">
        <f ca="1" t="shared" si="233"/>
        <v>0.0451654628904162</v>
      </c>
      <c r="J285" s="126">
        <f ca="1" t="shared" si="233"/>
        <v>0.0813047466508847</v>
      </c>
      <c r="K285" s="126">
        <f ca="1" t="shared" si="233"/>
        <v>0.080039908593164</v>
      </c>
      <c r="L285" s="126">
        <f ca="1" t="shared" si="233"/>
        <v>0.0671668992026384</v>
      </c>
      <c r="M285" s="126">
        <f ca="1" t="shared" si="233"/>
        <v>0.0627168853786166</v>
      </c>
      <c r="N285" s="126">
        <f ca="1" t="shared" si="233"/>
        <v>0.0687229955907969</v>
      </c>
      <c r="O285" s="126">
        <f ca="1" t="shared" si="233"/>
        <v>0.0684336549034155</v>
      </c>
      <c r="P285" s="126">
        <f ca="1" t="shared" si="233"/>
        <v>0.0760896502431148</v>
      </c>
      <c r="Q285" s="126">
        <f ca="1" t="shared" si="233"/>
        <v>0.072743908969952</v>
      </c>
    </row>
    <row r="286" ht="24" customHeight="1" spans="1:17">
      <c r="A286" s="99" t="s">
        <v>289</v>
      </c>
      <c r="B286" s="99" t="s">
        <v>299</v>
      </c>
      <c r="C286" s="99" t="s">
        <v>343</v>
      </c>
      <c r="D286" s="47" t="s">
        <v>321</v>
      </c>
      <c r="E286" s="47" t="s">
        <v>96</v>
      </c>
      <c r="F286" s="126">
        <f ca="1" t="shared" ref="F286:Q286" si="234">IFERROR(F281/F263," ")</f>
        <v>0</v>
      </c>
      <c r="G286" s="126">
        <f ca="1" t="shared" si="234"/>
        <v>0.481554693376219</v>
      </c>
      <c r="H286" s="126">
        <f ca="1" t="shared" si="234"/>
        <v>0.47615865438801</v>
      </c>
      <c r="I286" s="126">
        <f ca="1" t="shared" si="234"/>
        <v>0.411189333997882</v>
      </c>
      <c r="J286" s="126">
        <f ca="1" t="shared" si="234"/>
        <v>0.284814166810181</v>
      </c>
      <c r="K286" s="126">
        <f ca="1" t="shared" si="234"/>
        <v>0.280383382478407</v>
      </c>
      <c r="L286" s="126">
        <f ca="1" t="shared" si="234"/>
        <v>0.235288654372981</v>
      </c>
      <c r="M286" s="126">
        <f ca="1" t="shared" si="234"/>
        <v>0.194871561585158</v>
      </c>
      <c r="N286" s="126">
        <f ca="1" t="shared" si="234"/>
        <v>0.177019906581891</v>
      </c>
      <c r="O286" s="126">
        <f ca="1" t="shared" si="234"/>
        <v>0.176274609305335</v>
      </c>
      <c r="P286" s="126">
        <f ca="1" t="shared" si="234"/>
        <v>0.162787582966598</v>
      </c>
      <c r="Q286" s="126">
        <f ca="1" t="shared" si="234"/>
        <v>0.155629643176501</v>
      </c>
    </row>
    <row r="287" ht="24" customHeight="1" spans="1:17">
      <c r="A287" s="99" t="s">
        <v>289</v>
      </c>
      <c r="B287" s="99" t="s">
        <v>299</v>
      </c>
      <c r="C287" s="99" t="s">
        <v>343</v>
      </c>
      <c r="D287" s="47" t="s">
        <v>321</v>
      </c>
      <c r="E287" s="47" t="s">
        <v>160</v>
      </c>
      <c r="F287" s="126">
        <f ca="1" t="shared" ref="F287:Q287" si="235">IFERROR(F282/F263," ")</f>
        <v>0</v>
      </c>
      <c r="G287" s="126">
        <f ca="1" t="shared" si="235"/>
        <v>0</v>
      </c>
      <c r="H287" s="126">
        <f ca="1" t="shared" si="235"/>
        <v>0</v>
      </c>
      <c r="I287" s="126">
        <f ca="1" t="shared" si="235"/>
        <v>0</v>
      </c>
      <c r="J287" s="126">
        <f ca="1" t="shared" si="235"/>
        <v>0</v>
      </c>
      <c r="K287" s="126">
        <f ca="1" t="shared" si="235"/>
        <v>0</v>
      </c>
      <c r="L287" s="126">
        <f ca="1" t="shared" si="235"/>
        <v>0</v>
      </c>
      <c r="M287" s="126">
        <f ca="1" t="shared" si="235"/>
        <v>0</v>
      </c>
      <c r="N287" s="126">
        <f ca="1" t="shared" si="235"/>
        <v>0</v>
      </c>
      <c r="O287" s="126">
        <f ca="1" t="shared" si="235"/>
        <v>0</v>
      </c>
      <c r="P287" s="126">
        <f ca="1" t="shared" si="235"/>
        <v>0</v>
      </c>
      <c r="Q287" s="126">
        <f ca="1" t="shared" si="235"/>
        <v>0</v>
      </c>
    </row>
    <row r="288" ht="24" customHeight="1" spans="1:17">
      <c r="A288" s="99" t="s">
        <v>289</v>
      </c>
      <c r="B288" s="99" t="s">
        <v>299</v>
      </c>
      <c r="C288" s="99" t="s">
        <v>344</v>
      </c>
      <c r="D288" s="114" t="s">
        <v>292</v>
      </c>
      <c r="E288" s="114" t="s">
        <v>320</v>
      </c>
      <c r="F288" s="215">
        <f ca="1">IF($S$1&lt;DATE(2025,1,1)," ",IF(SUM(F289:F295)&lt;&gt;SUM(F303:F307),"ERR",SUM(F289:F295)))</f>
        <v>8.578148</v>
      </c>
      <c r="G288" s="215">
        <f ca="1">IF($S$1&lt;DATE(2025,2,1)," ",IF(SUM(G289:G295)&lt;&gt;SUM(G303:G307),"ERR",SUM(G289:G295)))</f>
        <v>18.081249</v>
      </c>
      <c r="H288" s="215">
        <f ca="1">IF($S$1&lt;DATE(2025,3,1)," ",IF(SUM(H289:H295)&lt;&gt;SUM(H303:H307),"ERR",SUM(H289:H295)))</f>
        <v>18.285371</v>
      </c>
      <c r="I288" s="215">
        <f ca="1">IF($S$1&lt;DATE(2025,4,1)," ",IF(SUM(I289:I295)&lt;&gt;SUM(I303:I307),"ERR",SUM(I289:I295)))</f>
        <v>21.184751</v>
      </c>
      <c r="J288" s="215">
        <f ca="1">IF($S$1&lt;DATE(2025,5,1)," ",IF(SUM(J289:J295)&lt;&gt;SUM(J303:J307),"ERR",SUM(J289:J295)))</f>
        <v>30.52083</v>
      </c>
      <c r="K288" s="215">
        <f ca="1">IF($S$1&lt;DATE(2025,6,1)," ",IF(SUM(K289:K295)&lt;&gt;SUM(K303:K307),"ERR",SUM(K289:K295)))</f>
        <v>31.005262</v>
      </c>
      <c r="L288" s="215">
        <f ca="1">IF($S$1&lt;DATE(2025,7,1)," ",IF(SUM(L289:L295)&lt;&gt;SUM(L303:L307),"ERR",SUM(L289:L295)))</f>
        <v>36.961357</v>
      </c>
      <c r="M288" s="215">
        <f ca="1">IF($S$1&lt;DATE(2025,8,1)," ",IF(SUM(M289:M295)&lt;&gt;SUM(M303:M307),"ERR",SUM(M289:M295)))</f>
        <v>44.634276</v>
      </c>
      <c r="N288" s="215">
        <f ca="1">IF($S$1&lt;DATE(2025,9,1)," ",IF(SUM(N289:N295)&lt;&gt;SUM(N303:N307),"ERR",SUM(N289:N295)))</f>
        <v>49.157712</v>
      </c>
      <c r="O288" s="215">
        <f ca="1">IF($S$1&lt;DATE(2025,10,1)," ",IF(SUM(O289:O295)&lt;&gt;SUM(O303:O307),"ERR",SUM(O289:O295)))</f>
        <v>49.364921</v>
      </c>
      <c r="P288" s="215">
        <f ca="1">IF($S$1&lt;DATE(2025,11,1)," ",IF(SUM(P289:P295)&lt;&gt;SUM(P303:P307),"ERR",SUM(P289:P295)))</f>
        <v>53.458177</v>
      </c>
      <c r="Q288" s="215">
        <f ca="1">IF($S$1&lt;DATE(2025,12,1)," ",IF(SUM(Q289:Q295)&lt;&gt;SUM(Q303:Q307),"ERR",SUM(Q289:Q295)))</f>
        <v>55.930235</v>
      </c>
    </row>
    <row r="289" ht="24" customHeight="1" spans="1:17">
      <c r="A289" s="99" t="s">
        <v>289</v>
      </c>
      <c r="B289" s="99" t="s">
        <v>299</v>
      </c>
      <c r="C289" s="99" t="s">
        <v>344</v>
      </c>
      <c r="D289" s="48" t="s">
        <v>31</v>
      </c>
      <c r="E289" s="48" t="s">
        <v>90</v>
      </c>
      <c r="F289" s="51">
        <f ca="1" t="shared" ref="F289:F295" si="236">IF($S$1&lt;DATE(2025,1,1)," ",F219)</f>
        <v>0</v>
      </c>
      <c r="G289" s="51">
        <f ca="1" t="shared" ref="G289:G295" si="237">IF($S$1&lt;DATE(2025,2,1)," ",G219+F289)</f>
        <v>0</v>
      </c>
      <c r="H289" s="51">
        <f ca="1" t="shared" ref="H289:H295" si="238">IF($S$1&lt;DATE(2025,3,1)," ",H219+G289)</f>
        <v>0.204122</v>
      </c>
      <c r="I289" s="51">
        <f ca="1" t="shared" ref="I289:I295" si="239">IF($S$1&lt;DATE(2025,4,1)," ",I219+H289)</f>
        <v>0.959318</v>
      </c>
      <c r="J289" s="51">
        <f ca="1" t="shared" ref="J289:J295" si="240">IF($S$1&lt;DATE(2025,5,1)," ",J219+I289)</f>
        <v>3.815361</v>
      </c>
      <c r="K289" s="51">
        <f ca="1" t="shared" ref="K289:K295" si="241">IF($S$1&lt;DATE(2025,6,1)," ",K219+J289)</f>
        <v>4.26386</v>
      </c>
      <c r="L289" s="51">
        <f ca="1" t="shared" ref="L289:L295" si="242">IF($S$1&lt;DATE(2025,7,1)," ",L219+K289)</f>
        <v>4.631512</v>
      </c>
      <c r="M289" s="51">
        <f ca="1" t="shared" ref="M289:M295" si="243">IF($S$1&lt;DATE(2025,8,1)," ",M219+L289)</f>
        <v>9.95452</v>
      </c>
      <c r="N289" s="51">
        <f ca="1" t="shared" ref="N289:N295" si="244">IF($S$1&lt;DATE(2025,9,1)," ",N219+M289)</f>
        <v>12.530235</v>
      </c>
      <c r="O289" s="51">
        <f ca="1" t="shared" ref="O289:O295" si="245">IF($S$1&lt;DATE(2025,10,1)," ",O219+N289)</f>
        <v>12.737444</v>
      </c>
      <c r="P289" s="51">
        <f ca="1" t="shared" ref="P289:P295" si="246">IF($S$1&lt;DATE(2025,11,1)," ",P219+O289)</f>
        <v>13.116162</v>
      </c>
      <c r="Q289" s="51">
        <f ca="1" t="shared" ref="Q289:Q295" si="247">IF($S$1&lt;DATE(2025,12,1)," ",Q219+P289)</f>
        <v>13.525738</v>
      </c>
    </row>
    <row r="290" ht="24" customHeight="1" spans="1:17">
      <c r="A290" s="99" t="s">
        <v>289</v>
      </c>
      <c r="B290" s="99" t="s">
        <v>299</v>
      </c>
      <c r="C290" s="99" t="s">
        <v>344</v>
      </c>
      <c r="D290" s="48" t="s">
        <v>31</v>
      </c>
      <c r="E290" s="48" t="s">
        <v>82</v>
      </c>
      <c r="F290" s="51">
        <f ca="1" t="shared" si="236"/>
        <v>0.064518</v>
      </c>
      <c r="G290" s="51">
        <f ca="1" t="shared" si="237"/>
        <v>0.857887</v>
      </c>
      <c r="H290" s="51">
        <f ca="1" t="shared" si="238"/>
        <v>0.857887</v>
      </c>
      <c r="I290" s="51">
        <f ca="1" t="shared" si="239"/>
        <v>3.002071</v>
      </c>
      <c r="J290" s="51">
        <f ca="1" t="shared" si="240"/>
        <v>3.441194</v>
      </c>
      <c r="K290" s="51">
        <f ca="1" t="shared" si="241"/>
        <v>3.441194</v>
      </c>
      <c r="L290" s="51">
        <f ca="1" t="shared" si="242"/>
        <v>4.875618</v>
      </c>
      <c r="M290" s="51">
        <f ca="1" t="shared" si="243"/>
        <v>4.875618</v>
      </c>
      <c r="N290" s="51">
        <f ca="1" t="shared" si="244"/>
        <v>6.243252</v>
      </c>
      <c r="O290" s="51">
        <f ca="1" t="shared" si="245"/>
        <v>6.243252</v>
      </c>
      <c r="P290" s="51">
        <f ca="1" t="shared" si="246"/>
        <v>8.986049</v>
      </c>
      <c r="Q290" s="51">
        <f ca="1" t="shared" si="247"/>
        <v>8.986049</v>
      </c>
    </row>
    <row r="291" ht="24" customHeight="1" spans="1:17">
      <c r="A291" s="99" t="s">
        <v>289</v>
      </c>
      <c r="B291" s="99" t="s">
        <v>299</v>
      </c>
      <c r="C291" s="99" t="s">
        <v>344</v>
      </c>
      <c r="D291" s="48" t="s">
        <v>31</v>
      </c>
      <c r="E291" s="48" t="s">
        <v>86</v>
      </c>
      <c r="F291" s="51">
        <f ca="1" t="shared" si="236"/>
        <v>0</v>
      </c>
      <c r="G291" s="51">
        <f ca="1" t="shared" si="237"/>
        <v>0</v>
      </c>
      <c r="H291" s="51">
        <f ca="1" t="shared" si="238"/>
        <v>0</v>
      </c>
      <c r="I291" s="51">
        <f ca="1" t="shared" si="239"/>
        <v>0</v>
      </c>
      <c r="J291" s="51">
        <f ca="1" t="shared" si="240"/>
        <v>0.481626</v>
      </c>
      <c r="K291" s="51">
        <f ca="1" t="shared" si="241"/>
        <v>0.481626</v>
      </c>
      <c r="L291" s="51">
        <f ca="1" t="shared" si="242"/>
        <v>4.452612</v>
      </c>
      <c r="M291" s="51">
        <f ca="1" t="shared" si="243"/>
        <v>6.484803</v>
      </c>
      <c r="N291" s="51">
        <f ca="1" t="shared" si="244"/>
        <v>6.484803</v>
      </c>
      <c r="O291" s="51">
        <f ca="1" t="shared" si="245"/>
        <v>6.484803</v>
      </c>
      <c r="P291" s="51">
        <f ca="1" t="shared" si="246"/>
        <v>6.934808</v>
      </c>
      <c r="Q291" s="51">
        <f ca="1" t="shared" si="247"/>
        <v>7.834838</v>
      </c>
    </row>
    <row r="292" ht="24" customHeight="1" spans="1:17">
      <c r="A292" s="99" t="s">
        <v>289</v>
      </c>
      <c r="B292" s="99" t="s">
        <v>299</v>
      </c>
      <c r="C292" s="99" t="s">
        <v>344</v>
      </c>
      <c r="D292" s="48" t="s">
        <v>31</v>
      </c>
      <c r="E292" s="48" t="s">
        <v>97</v>
      </c>
      <c r="F292" s="51">
        <f ca="1" t="shared" si="236"/>
        <v>4.479246</v>
      </c>
      <c r="G292" s="51">
        <f ca="1" t="shared" si="237"/>
        <v>13.188978</v>
      </c>
      <c r="H292" s="51">
        <f ca="1" t="shared" si="238"/>
        <v>13.188978</v>
      </c>
      <c r="I292" s="51">
        <f ca="1" t="shared" si="239"/>
        <v>13.188978</v>
      </c>
      <c r="J292" s="51">
        <f ca="1" t="shared" si="240"/>
        <v>18.748265</v>
      </c>
      <c r="K292" s="51">
        <f ca="1" t="shared" si="241"/>
        <v>18.748265</v>
      </c>
      <c r="L292" s="51">
        <f ca="1" t="shared" si="242"/>
        <v>18.748265</v>
      </c>
      <c r="M292" s="51">
        <f ca="1" t="shared" si="243"/>
        <v>19.065985</v>
      </c>
      <c r="N292" s="51">
        <f ca="1" t="shared" si="244"/>
        <v>19.065985</v>
      </c>
      <c r="O292" s="51">
        <f ca="1" t="shared" si="245"/>
        <v>19.065985</v>
      </c>
      <c r="P292" s="51">
        <f ca="1" t="shared" si="246"/>
        <v>19.587721</v>
      </c>
      <c r="Q292" s="51">
        <f ca="1" t="shared" si="247"/>
        <v>20.750173</v>
      </c>
    </row>
    <row r="293" ht="24" customHeight="1" spans="1:17">
      <c r="A293" s="99" t="s">
        <v>289</v>
      </c>
      <c r="B293" s="99" t="s">
        <v>299</v>
      </c>
      <c r="C293" s="99" t="s">
        <v>344</v>
      </c>
      <c r="D293" s="48" t="s">
        <v>31</v>
      </c>
      <c r="E293" s="48" t="s">
        <v>87</v>
      </c>
      <c r="F293" s="51">
        <f ca="1" t="shared" si="236"/>
        <v>1.288458</v>
      </c>
      <c r="G293" s="51">
        <f ca="1" t="shared" si="237"/>
        <v>1.288458</v>
      </c>
      <c r="H293" s="51">
        <f ca="1" t="shared" si="238"/>
        <v>1.288458</v>
      </c>
      <c r="I293" s="51">
        <f ca="1" t="shared" si="239"/>
        <v>1.288458</v>
      </c>
      <c r="J293" s="51">
        <f ca="1" t="shared" si="240"/>
        <v>1.288458</v>
      </c>
      <c r="K293" s="51">
        <f ca="1" t="shared" si="241"/>
        <v>1.288458</v>
      </c>
      <c r="L293" s="51">
        <f ca="1" t="shared" si="242"/>
        <v>1.471491</v>
      </c>
      <c r="M293" s="51">
        <f ca="1" t="shared" si="243"/>
        <v>1.471491</v>
      </c>
      <c r="N293" s="51">
        <f ca="1" t="shared" si="244"/>
        <v>2.051578</v>
      </c>
      <c r="O293" s="51">
        <f ca="1" t="shared" si="245"/>
        <v>2.051578</v>
      </c>
      <c r="P293" s="51">
        <f ca="1" t="shared" si="246"/>
        <v>2.051578</v>
      </c>
      <c r="Q293" s="51">
        <f ca="1" t="shared" si="247"/>
        <v>2.051578</v>
      </c>
    </row>
    <row r="294" ht="24" customHeight="1" spans="1:17">
      <c r="A294" s="99" t="s">
        <v>289</v>
      </c>
      <c r="B294" s="99" t="s">
        <v>299</v>
      </c>
      <c r="C294" s="99" t="s">
        <v>344</v>
      </c>
      <c r="D294" s="48" t="s">
        <v>31</v>
      </c>
      <c r="E294" s="48" t="s">
        <v>149</v>
      </c>
      <c r="F294" s="51">
        <f ca="1" t="shared" si="236"/>
        <v>0</v>
      </c>
      <c r="G294" s="51">
        <f ca="1" t="shared" si="237"/>
        <v>0</v>
      </c>
      <c r="H294" s="51">
        <f ca="1" t="shared" si="238"/>
        <v>0</v>
      </c>
      <c r="I294" s="51">
        <f ca="1" t="shared" si="239"/>
        <v>0</v>
      </c>
      <c r="J294" s="51">
        <f ca="1" t="shared" si="240"/>
        <v>0</v>
      </c>
      <c r="K294" s="51">
        <f ca="1" t="shared" si="241"/>
        <v>0.035933</v>
      </c>
      <c r="L294" s="51">
        <f ca="1" t="shared" si="242"/>
        <v>0.035933</v>
      </c>
      <c r="M294" s="51">
        <f ca="1" t="shared" si="243"/>
        <v>0.035933</v>
      </c>
      <c r="N294" s="51">
        <f ca="1" t="shared" si="244"/>
        <v>0.035933</v>
      </c>
      <c r="O294" s="51">
        <f ca="1" t="shared" si="245"/>
        <v>0.035933</v>
      </c>
      <c r="P294" s="51">
        <f ca="1" t="shared" si="246"/>
        <v>0.035933</v>
      </c>
      <c r="Q294" s="51">
        <f ca="1" t="shared" si="247"/>
        <v>0.035933</v>
      </c>
    </row>
    <row r="295" ht="24" customHeight="1" spans="1:17">
      <c r="A295" s="99" t="s">
        <v>289</v>
      </c>
      <c r="B295" s="99" t="s">
        <v>299</v>
      </c>
      <c r="C295" s="99" t="s">
        <v>344</v>
      </c>
      <c r="D295" s="48" t="s">
        <v>31</v>
      </c>
      <c r="E295" s="48" t="s">
        <v>83</v>
      </c>
      <c r="F295" s="51">
        <f ca="1" t="shared" si="236"/>
        <v>2.745926</v>
      </c>
      <c r="G295" s="51">
        <f ca="1" t="shared" si="237"/>
        <v>2.745926</v>
      </c>
      <c r="H295" s="51">
        <f ca="1" t="shared" si="238"/>
        <v>2.745926</v>
      </c>
      <c r="I295" s="51">
        <f ca="1" t="shared" si="239"/>
        <v>2.745926</v>
      </c>
      <c r="J295" s="51">
        <f ca="1" t="shared" si="240"/>
        <v>2.745926</v>
      </c>
      <c r="K295" s="51">
        <f ca="1" t="shared" si="241"/>
        <v>2.745926</v>
      </c>
      <c r="L295" s="51">
        <f ca="1" t="shared" si="242"/>
        <v>2.745926</v>
      </c>
      <c r="M295" s="51">
        <f ca="1" t="shared" si="243"/>
        <v>2.745926</v>
      </c>
      <c r="N295" s="51">
        <f ca="1" t="shared" si="244"/>
        <v>2.745926</v>
      </c>
      <c r="O295" s="51">
        <f ca="1" t="shared" si="245"/>
        <v>2.745926</v>
      </c>
      <c r="P295" s="51">
        <f ca="1" t="shared" si="246"/>
        <v>2.745926</v>
      </c>
      <c r="Q295" s="51">
        <f ca="1" t="shared" si="247"/>
        <v>2.745926</v>
      </c>
    </row>
    <row r="296" ht="24" customHeight="1" spans="1:17">
      <c r="A296" s="99" t="s">
        <v>289</v>
      </c>
      <c r="B296" s="99" t="s">
        <v>299</v>
      </c>
      <c r="C296" s="99" t="s">
        <v>344</v>
      </c>
      <c r="D296" s="48" t="s">
        <v>321</v>
      </c>
      <c r="E296" s="48" t="s">
        <v>90</v>
      </c>
      <c r="F296" s="112">
        <f ca="1" t="shared" ref="F296:Q296" si="248">IFERROR(F289/F288," ")</f>
        <v>0</v>
      </c>
      <c r="G296" s="112">
        <f ca="1" t="shared" si="248"/>
        <v>0</v>
      </c>
      <c r="H296" s="112">
        <f ca="1" t="shared" si="248"/>
        <v>0.0111631314453505</v>
      </c>
      <c r="I296" s="112">
        <f ca="1" t="shared" si="248"/>
        <v>0.0452834210796247</v>
      </c>
      <c r="J296" s="112">
        <f ca="1" t="shared" si="248"/>
        <v>0.125008428669863</v>
      </c>
      <c r="K296" s="112">
        <f ca="1" t="shared" si="248"/>
        <v>0.137520527967156</v>
      </c>
      <c r="L296" s="112">
        <f ca="1" t="shared" si="248"/>
        <v>0.125306871173588</v>
      </c>
      <c r="M296" s="112">
        <f ca="1" t="shared" si="248"/>
        <v>0.223024117160543</v>
      </c>
      <c r="N296" s="112">
        <f ca="1" t="shared" si="248"/>
        <v>0.254898661678965</v>
      </c>
      <c r="O296" s="112">
        <f ca="1" t="shared" si="248"/>
        <v>0.258026220684117</v>
      </c>
      <c r="P296" s="112">
        <f ca="1" t="shared" si="248"/>
        <v>0.245353708937737</v>
      </c>
      <c r="Q296" s="112">
        <f ca="1" t="shared" si="248"/>
        <v>0.241832311271354</v>
      </c>
    </row>
    <row r="297" ht="24" customHeight="1" spans="1:17">
      <c r="A297" s="99" t="s">
        <v>289</v>
      </c>
      <c r="B297" s="99" t="s">
        <v>299</v>
      </c>
      <c r="C297" s="99" t="s">
        <v>344</v>
      </c>
      <c r="D297" s="48" t="s">
        <v>321</v>
      </c>
      <c r="E297" s="48" t="s">
        <v>82</v>
      </c>
      <c r="F297" s="112">
        <f ca="1" t="shared" ref="F297:Q297" si="249">IFERROR(F290/F288," ")</f>
        <v>0.00752120387757357</v>
      </c>
      <c r="G297" s="112">
        <f ca="1" t="shared" si="249"/>
        <v>0.0474462245390238</v>
      </c>
      <c r="H297" s="112">
        <f ca="1" t="shared" si="249"/>
        <v>0.0469165760979091</v>
      </c>
      <c r="I297" s="112">
        <f ca="1" t="shared" si="249"/>
        <v>0.141709052893754</v>
      </c>
      <c r="J297" s="112">
        <f ca="1" t="shared" si="249"/>
        <v>0.112749030743921</v>
      </c>
      <c r="K297" s="112">
        <f ca="1" t="shared" si="249"/>
        <v>0.110987418845227</v>
      </c>
      <c r="L297" s="112">
        <f ca="1" t="shared" si="249"/>
        <v>0.131911228259287</v>
      </c>
      <c r="M297" s="112">
        <f ca="1" t="shared" si="249"/>
        <v>0.109234840058792</v>
      </c>
      <c r="N297" s="112">
        <f ca="1" t="shared" si="249"/>
        <v>0.127004527794133</v>
      </c>
      <c r="O297" s="112">
        <f ca="1" t="shared" si="249"/>
        <v>0.126471426947083</v>
      </c>
      <c r="P297" s="112">
        <f ca="1" t="shared" si="249"/>
        <v>0.16809493896509</v>
      </c>
      <c r="Q297" s="112">
        <f ca="1" t="shared" si="249"/>
        <v>0.160665318141431</v>
      </c>
    </row>
    <row r="298" ht="24" customHeight="1" spans="1:17">
      <c r="A298" s="99" t="s">
        <v>289</v>
      </c>
      <c r="B298" s="99" t="s">
        <v>299</v>
      </c>
      <c r="C298" s="99" t="s">
        <v>344</v>
      </c>
      <c r="D298" s="48" t="s">
        <v>321</v>
      </c>
      <c r="E298" s="48" t="s">
        <v>86</v>
      </c>
      <c r="F298" s="112">
        <f ca="1" t="shared" ref="F298:Q298" si="250">IFERROR(F291/F288," ")</f>
        <v>0</v>
      </c>
      <c r="G298" s="112">
        <f ca="1" t="shared" si="250"/>
        <v>0</v>
      </c>
      <c r="H298" s="112">
        <f ca="1" t="shared" si="250"/>
        <v>0</v>
      </c>
      <c r="I298" s="112">
        <f ca="1" t="shared" si="250"/>
        <v>0</v>
      </c>
      <c r="J298" s="112">
        <f ca="1" t="shared" si="250"/>
        <v>0.0157802392661012</v>
      </c>
      <c r="K298" s="112">
        <f ca="1" t="shared" si="250"/>
        <v>0.0155336858627416</v>
      </c>
      <c r="L298" s="112">
        <f ca="1" t="shared" si="250"/>
        <v>0.120466680917586</v>
      </c>
      <c r="M298" s="112">
        <f ca="1" t="shared" si="250"/>
        <v>0.145287514017254</v>
      </c>
      <c r="N298" s="112">
        <f ca="1" t="shared" si="250"/>
        <v>0.131918324433</v>
      </c>
      <c r="O298" s="112">
        <f ca="1" t="shared" si="250"/>
        <v>0.13136459795003</v>
      </c>
      <c r="P298" s="112">
        <f ca="1" t="shared" si="250"/>
        <v>0.129723989652696</v>
      </c>
      <c r="Q298" s="112">
        <f ca="1" t="shared" si="250"/>
        <v>0.140082336503682</v>
      </c>
    </row>
    <row r="299" ht="24" customHeight="1" spans="1:17">
      <c r="A299" s="99" t="s">
        <v>289</v>
      </c>
      <c r="B299" s="99" t="s">
        <v>299</v>
      </c>
      <c r="C299" s="99" t="s">
        <v>344</v>
      </c>
      <c r="D299" s="48" t="s">
        <v>321</v>
      </c>
      <c r="E299" s="48" t="s">
        <v>97</v>
      </c>
      <c r="F299" s="112">
        <f ca="1" t="shared" ref="F299:Q299" si="251">IFERROR(F292/F288," ")</f>
        <v>0.522169354037725</v>
      </c>
      <c r="G299" s="112">
        <f ca="1" t="shared" si="251"/>
        <v>0.729428481406345</v>
      </c>
      <c r="H299" s="112">
        <f ca="1" t="shared" si="251"/>
        <v>0.721285775388424</v>
      </c>
      <c r="I299" s="112">
        <f ca="1" t="shared" si="251"/>
        <v>0.622569413253901</v>
      </c>
      <c r="J299" s="112">
        <f ca="1" t="shared" si="251"/>
        <v>0.614277691661727</v>
      </c>
      <c r="K299" s="112">
        <f ca="1" t="shared" si="251"/>
        <v>0.60468010236456</v>
      </c>
      <c r="L299" s="112">
        <f ca="1" t="shared" si="251"/>
        <v>0.507239628674889</v>
      </c>
      <c r="M299" s="112">
        <f ca="1" t="shared" si="251"/>
        <v>0.42716017170302</v>
      </c>
      <c r="N299" s="112">
        <f ca="1" t="shared" si="251"/>
        <v>0.387853385039564</v>
      </c>
      <c r="O299" s="112">
        <f ca="1" t="shared" si="251"/>
        <v>0.386225372466412</v>
      </c>
      <c r="P299" s="112">
        <f ca="1" t="shared" si="251"/>
        <v>0.366412064519147</v>
      </c>
      <c r="Q299" s="112">
        <f ca="1" t="shared" si="251"/>
        <v>0.371000997939665</v>
      </c>
    </row>
    <row r="300" ht="24" customHeight="1" spans="1:17">
      <c r="A300" s="99" t="s">
        <v>289</v>
      </c>
      <c r="B300" s="99" t="s">
        <v>299</v>
      </c>
      <c r="C300" s="99" t="s">
        <v>344</v>
      </c>
      <c r="D300" s="48" t="s">
        <v>321</v>
      </c>
      <c r="E300" s="48" t="s">
        <v>87</v>
      </c>
      <c r="F300" s="112">
        <f ca="1" t="shared" ref="F300:Q300" si="252">IFERROR(F293/F288," ")</f>
        <v>0.150202351370016</v>
      </c>
      <c r="G300" s="112">
        <f ca="1" t="shared" si="252"/>
        <v>0.0712593471833721</v>
      </c>
      <c r="H300" s="112">
        <f ca="1" t="shared" si="252"/>
        <v>0.0704638697240543</v>
      </c>
      <c r="I300" s="112">
        <f ca="1" t="shared" si="252"/>
        <v>0.0608200681707328</v>
      </c>
      <c r="J300" s="112">
        <f ca="1" t="shared" si="252"/>
        <v>0.042215693347789</v>
      </c>
      <c r="K300" s="112">
        <f ca="1" t="shared" si="252"/>
        <v>0.0415561074762084</v>
      </c>
      <c r="L300" s="112">
        <f ca="1" t="shared" si="252"/>
        <v>0.0398116064840368</v>
      </c>
      <c r="M300" s="112">
        <f ca="1" t="shared" si="252"/>
        <v>0.032967735378972</v>
      </c>
      <c r="N300" s="112">
        <f ca="1" t="shared" si="252"/>
        <v>0.0417346112447219</v>
      </c>
      <c r="O300" s="112">
        <f ca="1" t="shared" si="252"/>
        <v>0.0415594304303657</v>
      </c>
      <c r="P300" s="112">
        <f ca="1" t="shared" si="252"/>
        <v>0.0383772533058881</v>
      </c>
      <c r="Q300" s="112">
        <f ca="1" t="shared" si="252"/>
        <v>0.0366810187727622</v>
      </c>
    </row>
    <row r="301" ht="24" customHeight="1" spans="1:17">
      <c r="A301" s="99" t="s">
        <v>289</v>
      </c>
      <c r="B301" s="99" t="s">
        <v>299</v>
      </c>
      <c r="C301" s="99" t="s">
        <v>344</v>
      </c>
      <c r="D301" s="48" t="s">
        <v>321</v>
      </c>
      <c r="E301" s="48" t="s">
        <v>149</v>
      </c>
      <c r="F301" s="112">
        <f ca="1" t="shared" ref="F301:Q301" si="253">IFERROR(F294/F288," ")</f>
        <v>0</v>
      </c>
      <c r="G301" s="112">
        <f ca="1" t="shared" si="253"/>
        <v>0</v>
      </c>
      <c r="H301" s="112">
        <f ca="1" t="shared" si="253"/>
        <v>0</v>
      </c>
      <c r="I301" s="112">
        <f ca="1" t="shared" si="253"/>
        <v>0</v>
      </c>
      <c r="J301" s="112">
        <f ca="1" t="shared" si="253"/>
        <v>0</v>
      </c>
      <c r="K301" s="112">
        <f ca="1" t="shared" si="253"/>
        <v>0.00115893231284419</v>
      </c>
      <c r="L301" s="112">
        <f ca="1" t="shared" si="253"/>
        <v>0.000972177509608211</v>
      </c>
      <c r="M301" s="112">
        <f ca="1" t="shared" si="253"/>
        <v>0.000805053945537282</v>
      </c>
      <c r="N301" s="112">
        <f ca="1" t="shared" si="253"/>
        <v>0.000730973809358743</v>
      </c>
      <c r="O301" s="112">
        <f ca="1" t="shared" si="253"/>
        <v>0.000727905550583176</v>
      </c>
      <c r="P301" s="112">
        <f ca="1" t="shared" si="253"/>
        <v>0.000672170321109154</v>
      </c>
      <c r="Q301" s="112">
        <f ca="1" t="shared" si="253"/>
        <v>0.000642461094611886</v>
      </c>
    </row>
    <row r="302" ht="24" customHeight="1" spans="1:17">
      <c r="A302" s="99" t="s">
        <v>289</v>
      </c>
      <c r="B302" s="99" t="s">
        <v>299</v>
      </c>
      <c r="C302" s="99" t="s">
        <v>344</v>
      </c>
      <c r="D302" s="48" t="s">
        <v>321</v>
      </c>
      <c r="E302" s="48" t="s">
        <v>83</v>
      </c>
      <c r="F302" s="112">
        <f ca="1" t="shared" ref="F302:Q302" si="254">IFERROR(F295/F288," ")</f>
        <v>0.320107090714686</v>
      </c>
      <c r="G302" s="112">
        <f ca="1" t="shared" si="254"/>
        <v>0.151865946871259</v>
      </c>
      <c r="H302" s="112">
        <f ca="1" t="shared" si="254"/>
        <v>0.150170647344262</v>
      </c>
      <c r="I302" s="112">
        <f ca="1" t="shared" si="254"/>
        <v>0.129618044601988</v>
      </c>
      <c r="J302" s="112">
        <f ca="1" t="shared" si="254"/>
        <v>0.0899689163105984</v>
      </c>
      <c r="K302" s="112">
        <f ca="1" t="shared" si="254"/>
        <v>0.0885632251712629</v>
      </c>
      <c r="L302" s="112">
        <f ca="1" t="shared" si="254"/>
        <v>0.0742918069810045</v>
      </c>
      <c r="M302" s="112">
        <f ca="1" t="shared" si="254"/>
        <v>0.0615205677358808</v>
      </c>
      <c r="N302" s="112">
        <f ca="1" t="shared" si="254"/>
        <v>0.0558595160002565</v>
      </c>
      <c r="O302" s="112">
        <f ca="1" t="shared" si="254"/>
        <v>0.0556250459714095</v>
      </c>
      <c r="P302" s="112">
        <f ca="1" t="shared" si="254"/>
        <v>0.0513658742983323</v>
      </c>
      <c r="Q302" s="112">
        <f ca="1" t="shared" si="254"/>
        <v>0.0490955562764934</v>
      </c>
    </row>
    <row r="303" ht="24" customHeight="1" spans="1:17">
      <c r="A303" s="99" t="s">
        <v>289</v>
      </c>
      <c r="B303" s="99" t="s">
        <v>299</v>
      </c>
      <c r="C303" s="99" t="s">
        <v>344</v>
      </c>
      <c r="D303" s="47" t="s">
        <v>294</v>
      </c>
      <c r="E303" s="47" t="s">
        <v>93</v>
      </c>
      <c r="F303" s="64">
        <f ca="1" t="shared" ref="F303:F307" si="255">IF($S$1&lt;DATE(2025,1,1)," ",F226)</f>
        <v>8.578148</v>
      </c>
      <c r="G303" s="64">
        <f ca="1" t="shared" ref="G303:G307" si="256">IF($S$1&lt;DATE(2025,2,1)," ",G226+F303)</f>
        <v>8.578148</v>
      </c>
      <c r="H303" s="64">
        <f ca="1" t="shared" ref="H303:H307" si="257">IF($S$1&lt;DATE(2025,3,1)," ",H226+G303)</f>
        <v>8.578148</v>
      </c>
      <c r="I303" s="64">
        <f ca="1" t="shared" ref="I303:I307" si="258">IF($S$1&lt;DATE(2025,4,1)," ",I226+H303)</f>
        <v>9.762198</v>
      </c>
      <c r="J303" s="64">
        <f ca="1" t="shared" ref="J303:J307" si="259">IF($S$1&lt;DATE(2025,5,1)," ",J226+I303)</f>
        <v>11.523384</v>
      </c>
      <c r="K303" s="64">
        <f ca="1" t="shared" ref="K303:K307" si="260">IF($S$1&lt;DATE(2025,6,1)," ",K226+J303)</f>
        <v>11.971883</v>
      </c>
      <c r="L303" s="64">
        <f ca="1" t="shared" ref="L303:L307" si="261">IF($S$1&lt;DATE(2025,7,1)," ",L226+K303)</f>
        <v>13.406307</v>
      </c>
      <c r="M303" s="64">
        <f ca="1" t="shared" ref="M303:M307" si="262">IF($S$1&lt;DATE(2025,8,1)," ",M226+L303)</f>
        <v>20.498632</v>
      </c>
      <c r="N303" s="64">
        <f ca="1" t="shared" ref="N303:N307" si="263">IF($S$1&lt;DATE(2025,9,1)," ",N226+M303)</f>
        <v>23.367564</v>
      </c>
      <c r="O303" s="64">
        <f ca="1" t="shared" ref="O303:O307" si="264">IF($S$1&lt;DATE(2025,10,1)," ",O226+N303)</f>
        <v>23.574773</v>
      </c>
      <c r="P303" s="64">
        <f ca="1" t="shared" ref="P303:P307" si="265">IF($S$1&lt;DATE(2025,11,1)," ",P226+O303)</f>
        <v>24.475227</v>
      </c>
      <c r="Q303" s="64">
        <f ca="1" t="shared" ref="Q303:Q307" si="266">IF($S$1&lt;DATE(2025,12,1)," ",Q226+P303)</f>
        <v>24.475227</v>
      </c>
    </row>
    <row r="304" ht="24" customHeight="1" spans="1:17">
      <c r="A304" s="99" t="s">
        <v>289</v>
      </c>
      <c r="B304" s="99" t="s">
        <v>299</v>
      </c>
      <c r="C304" s="99" t="s">
        <v>344</v>
      </c>
      <c r="D304" s="47" t="s">
        <v>294</v>
      </c>
      <c r="E304" s="47" t="s">
        <v>85</v>
      </c>
      <c r="F304" s="64">
        <f ca="1" t="shared" si="255"/>
        <v>0</v>
      </c>
      <c r="G304" s="64">
        <f ca="1" t="shared" si="256"/>
        <v>0.793369</v>
      </c>
      <c r="H304" s="64">
        <f ca="1" t="shared" si="257"/>
        <v>0.997491</v>
      </c>
      <c r="I304" s="64">
        <f ca="1" t="shared" si="258"/>
        <v>1.752687</v>
      </c>
      <c r="J304" s="64">
        <f ca="1" t="shared" si="259"/>
        <v>7.7936</v>
      </c>
      <c r="K304" s="64">
        <f ca="1" t="shared" si="260"/>
        <v>7.829533</v>
      </c>
      <c r="L304" s="64">
        <f ca="1" t="shared" si="261"/>
        <v>12.351204</v>
      </c>
      <c r="M304" s="64">
        <f ca="1" t="shared" si="262"/>
        <v>12.614078</v>
      </c>
      <c r="N304" s="64">
        <f ca="1" t="shared" si="263"/>
        <v>13.688495</v>
      </c>
      <c r="O304" s="64">
        <f ca="1" t="shared" si="264"/>
        <v>13.688495</v>
      </c>
      <c r="P304" s="64">
        <f ca="1" t="shared" si="265"/>
        <v>16.192967</v>
      </c>
      <c r="Q304" s="64">
        <f ca="1" t="shared" si="266"/>
        <v>18.665025</v>
      </c>
    </row>
    <row r="305" ht="24" customHeight="1" spans="1:17">
      <c r="A305" s="99" t="s">
        <v>289</v>
      </c>
      <c r="B305" s="99" t="s">
        <v>299</v>
      </c>
      <c r="C305" s="99" t="s">
        <v>344</v>
      </c>
      <c r="D305" s="47" t="s">
        <v>294</v>
      </c>
      <c r="E305" s="47" t="s">
        <v>81</v>
      </c>
      <c r="F305" s="64">
        <f ca="1" t="shared" si="255"/>
        <v>0</v>
      </c>
      <c r="G305" s="64">
        <f ca="1" t="shared" si="256"/>
        <v>0</v>
      </c>
      <c r="H305" s="64">
        <f ca="1" t="shared" si="257"/>
        <v>0</v>
      </c>
      <c r="I305" s="64">
        <f ca="1" t="shared" si="258"/>
        <v>0.960134</v>
      </c>
      <c r="J305" s="64">
        <f ca="1" t="shared" si="259"/>
        <v>2.494114</v>
      </c>
      <c r="K305" s="64">
        <f ca="1" t="shared" si="260"/>
        <v>2.494114</v>
      </c>
      <c r="L305" s="64">
        <f ca="1" t="shared" si="261"/>
        <v>2.494114</v>
      </c>
      <c r="M305" s="64">
        <f ca="1" t="shared" si="262"/>
        <v>2.811834</v>
      </c>
      <c r="N305" s="64">
        <f ca="1" t="shared" si="263"/>
        <v>3.391921</v>
      </c>
      <c r="O305" s="64">
        <f ca="1" t="shared" si="264"/>
        <v>3.391921</v>
      </c>
      <c r="P305" s="64">
        <f ca="1" t="shared" si="265"/>
        <v>4.080251</v>
      </c>
      <c r="Q305" s="64">
        <f ca="1" t="shared" si="266"/>
        <v>4.080251</v>
      </c>
    </row>
    <row r="306" ht="24" customHeight="1" spans="1:17">
      <c r="A306" s="99" t="s">
        <v>289</v>
      </c>
      <c r="B306" s="99" t="s">
        <v>299</v>
      </c>
      <c r="C306" s="99" t="s">
        <v>344</v>
      </c>
      <c r="D306" s="47" t="s">
        <v>294</v>
      </c>
      <c r="E306" s="47" t="s">
        <v>96</v>
      </c>
      <c r="F306" s="64">
        <f ca="1" t="shared" si="255"/>
        <v>0</v>
      </c>
      <c r="G306" s="64">
        <f ca="1" t="shared" si="256"/>
        <v>8.709732</v>
      </c>
      <c r="H306" s="64">
        <f ca="1" t="shared" si="257"/>
        <v>8.709732</v>
      </c>
      <c r="I306" s="64">
        <f ca="1" t="shared" si="258"/>
        <v>8.709732</v>
      </c>
      <c r="J306" s="64">
        <f ca="1" t="shared" si="259"/>
        <v>8.709732</v>
      </c>
      <c r="K306" s="64">
        <f ca="1" t="shared" si="260"/>
        <v>8.709732</v>
      </c>
      <c r="L306" s="64">
        <f ca="1" t="shared" si="261"/>
        <v>8.709732</v>
      </c>
      <c r="M306" s="64">
        <f ca="1" t="shared" si="262"/>
        <v>8.709732</v>
      </c>
      <c r="N306" s="64">
        <f ca="1" t="shared" si="263"/>
        <v>8.709732</v>
      </c>
      <c r="O306" s="64">
        <f ca="1" t="shared" si="264"/>
        <v>8.709732</v>
      </c>
      <c r="P306" s="64">
        <f ca="1" t="shared" si="265"/>
        <v>8.709732</v>
      </c>
      <c r="Q306" s="64">
        <f ca="1" t="shared" si="266"/>
        <v>8.709732</v>
      </c>
    </row>
    <row r="307" ht="24" customHeight="1" spans="1:17">
      <c r="A307" s="99" t="s">
        <v>289</v>
      </c>
      <c r="B307" s="99" t="s">
        <v>299</v>
      </c>
      <c r="C307" s="99" t="s">
        <v>344</v>
      </c>
      <c r="D307" s="47" t="s">
        <v>294</v>
      </c>
      <c r="E307" s="47" t="s">
        <v>160</v>
      </c>
      <c r="F307" s="64">
        <f ca="1" t="shared" si="255"/>
        <v>0</v>
      </c>
      <c r="G307" s="64">
        <f ca="1" t="shared" si="256"/>
        <v>0</v>
      </c>
      <c r="H307" s="64">
        <f ca="1" t="shared" si="257"/>
        <v>0</v>
      </c>
      <c r="I307" s="64">
        <f ca="1" t="shared" si="258"/>
        <v>0</v>
      </c>
      <c r="J307" s="64">
        <f ca="1" t="shared" si="259"/>
        <v>0</v>
      </c>
      <c r="K307" s="64">
        <f ca="1" t="shared" si="260"/>
        <v>0</v>
      </c>
      <c r="L307" s="64">
        <f ca="1" t="shared" si="261"/>
        <v>0</v>
      </c>
      <c r="M307" s="64">
        <f ca="1" t="shared" si="262"/>
        <v>0</v>
      </c>
      <c r="N307" s="64">
        <f ca="1" t="shared" si="263"/>
        <v>0</v>
      </c>
      <c r="O307" s="64">
        <f ca="1" t="shared" si="264"/>
        <v>0</v>
      </c>
      <c r="P307" s="64">
        <f ca="1" t="shared" si="265"/>
        <v>0</v>
      </c>
      <c r="Q307" s="64">
        <f ca="1" t="shared" si="266"/>
        <v>0</v>
      </c>
    </row>
    <row r="308" ht="24" customHeight="1" spans="1:17">
      <c r="A308" s="99" t="s">
        <v>289</v>
      </c>
      <c r="B308" s="99" t="s">
        <v>299</v>
      </c>
      <c r="C308" s="99" t="s">
        <v>344</v>
      </c>
      <c r="D308" s="47" t="s">
        <v>321</v>
      </c>
      <c r="E308" s="47" t="s">
        <v>93</v>
      </c>
      <c r="F308" s="126">
        <f ca="1" t="shared" ref="F308:Q308" si="267">IFERROR(F303/F288," ")</f>
        <v>1</v>
      </c>
      <c r="G308" s="126">
        <f ca="1" t="shared" si="267"/>
        <v>0.474422314520418</v>
      </c>
      <c r="H308" s="126">
        <f ca="1" t="shared" si="267"/>
        <v>0.469126275862819</v>
      </c>
      <c r="I308" s="126">
        <f ca="1" t="shared" si="267"/>
        <v>0.460812496686886</v>
      </c>
      <c r="J308" s="126">
        <f ca="1" t="shared" si="267"/>
        <v>0.377558015296438</v>
      </c>
      <c r="K308" s="126">
        <f ca="1" t="shared" si="267"/>
        <v>0.386124232718949</v>
      </c>
      <c r="L308" s="126">
        <f ca="1" t="shared" si="267"/>
        <v>0.362711439409543</v>
      </c>
      <c r="M308" s="126">
        <f ca="1" t="shared" si="267"/>
        <v>0.459257634200228</v>
      </c>
      <c r="N308" s="126">
        <f ca="1" t="shared" si="267"/>
        <v>0.475359064718065</v>
      </c>
      <c r="O308" s="126">
        <f ca="1" t="shared" si="267"/>
        <v>0.477561242324281</v>
      </c>
      <c r="P308" s="126">
        <f ca="1" t="shared" si="267"/>
        <v>0.4578387886291</v>
      </c>
      <c r="Q308" s="126">
        <f ca="1" t="shared" si="267"/>
        <v>0.437602792121292</v>
      </c>
    </row>
    <row r="309" ht="24" customHeight="1" spans="1:17">
      <c r="A309" s="99" t="s">
        <v>289</v>
      </c>
      <c r="B309" s="99" t="s">
        <v>299</v>
      </c>
      <c r="C309" s="99" t="s">
        <v>344</v>
      </c>
      <c r="D309" s="47" t="s">
        <v>321</v>
      </c>
      <c r="E309" s="47" t="s">
        <v>85</v>
      </c>
      <c r="F309" s="126">
        <f ca="1" t="shared" ref="F309:Q309" si="268">IFERROR(F304/F288," ")</f>
        <v>0</v>
      </c>
      <c r="G309" s="126">
        <f ca="1" t="shared" si="268"/>
        <v>0.0438779975874454</v>
      </c>
      <c r="H309" s="126">
        <f ca="1" t="shared" si="268"/>
        <v>0.0545513131781685</v>
      </c>
      <c r="I309" s="126">
        <f ca="1" t="shared" si="268"/>
        <v>0.0827334246222672</v>
      </c>
      <c r="J309" s="126">
        <f ca="1" t="shared" si="268"/>
        <v>0.25535347498741</v>
      </c>
      <c r="K309" s="126">
        <f ca="1" t="shared" si="268"/>
        <v>0.252522716950432</v>
      </c>
      <c r="L309" s="126">
        <f ca="1" t="shared" si="268"/>
        <v>0.334165328399604</v>
      </c>
      <c r="M309" s="126">
        <f ca="1" t="shared" si="268"/>
        <v>0.282609669752457</v>
      </c>
      <c r="N309" s="126">
        <f ca="1" t="shared" si="268"/>
        <v>0.278460783528737</v>
      </c>
      <c r="O309" s="126">
        <f ca="1" t="shared" si="268"/>
        <v>0.277291945833358</v>
      </c>
      <c r="P309" s="126">
        <f ca="1" t="shared" si="268"/>
        <v>0.302909076005342</v>
      </c>
      <c r="Q309" s="126">
        <f ca="1" t="shared" si="268"/>
        <v>0.333719767134896</v>
      </c>
    </row>
    <row r="310" ht="24" customHeight="1" spans="1:17">
      <c r="A310" s="99" t="s">
        <v>289</v>
      </c>
      <c r="B310" s="99" t="s">
        <v>299</v>
      </c>
      <c r="C310" s="99" t="s">
        <v>344</v>
      </c>
      <c r="D310" s="47" t="s">
        <v>321</v>
      </c>
      <c r="E310" s="47" t="s">
        <v>81</v>
      </c>
      <c r="F310" s="126">
        <f ca="1" t="shared" ref="F310:Q310" si="269">IFERROR(F305/F288," ")</f>
        <v>0</v>
      </c>
      <c r="G310" s="126">
        <f ca="1" t="shared" si="269"/>
        <v>0</v>
      </c>
      <c r="H310" s="126">
        <f ca="1" t="shared" si="269"/>
        <v>0</v>
      </c>
      <c r="I310" s="126">
        <f ca="1" t="shared" si="269"/>
        <v>0.0453219393515647</v>
      </c>
      <c r="J310" s="126">
        <f ca="1" t="shared" si="269"/>
        <v>0.0817184198463803</v>
      </c>
      <c r="K310" s="126">
        <f ca="1" t="shared" si="269"/>
        <v>0.0804416360035919</v>
      </c>
      <c r="L310" s="126">
        <f ca="1" t="shared" si="269"/>
        <v>0.0674789618790241</v>
      </c>
      <c r="M310" s="126">
        <f ca="1" t="shared" si="269"/>
        <v>0.0629971907688163</v>
      </c>
      <c r="N310" s="126">
        <f ca="1" t="shared" si="269"/>
        <v>0.0690007907609695</v>
      </c>
      <c r="O310" s="126">
        <f ca="1" t="shared" si="269"/>
        <v>0.0687111602994361</v>
      </c>
      <c r="P310" s="126">
        <f ca="1" t="shared" si="269"/>
        <v>0.0763260408225293</v>
      </c>
      <c r="Q310" s="126">
        <f ca="1" t="shared" si="269"/>
        <v>0.0729525094968759</v>
      </c>
    </row>
    <row r="311" ht="24" customHeight="1" spans="1:17">
      <c r="A311" s="99" t="s">
        <v>289</v>
      </c>
      <c r="B311" s="99" t="s">
        <v>299</v>
      </c>
      <c r="C311" s="99" t="s">
        <v>344</v>
      </c>
      <c r="D311" s="47" t="s">
        <v>321</v>
      </c>
      <c r="E311" s="47" t="s">
        <v>96</v>
      </c>
      <c r="F311" s="126">
        <f ca="1" t="shared" ref="F311:Q311" si="270">IFERROR(F306/F288," ")</f>
        <v>0</v>
      </c>
      <c r="G311" s="126">
        <f ca="1" t="shared" si="270"/>
        <v>0.481699687892136</v>
      </c>
      <c r="H311" s="126">
        <f ca="1" t="shared" si="270"/>
        <v>0.476322410959012</v>
      </c>
      <c r="I311" s="126">
        <f ca="1" t="shared" si="270"/>
        <v>0.411132139339282</v>
      </c>
      <c r="J311" s="126">
        <f ca="1" t="shared" si="270"/>
        <v>0.285370089869771</v>
      </c>
      <c r="K311" s="126">
        <f ca="1" t="shared" si="270"/>
        <v>0.280911414327026</v>
      </c>
      <c r="L311" s="126">
        <f ca="1" t="shared" si="270"/>
        <v>0.235644270311829</v>
      </c>
      <c r="M311" s="126">
        <f ca="1" t="shared" si="270"/>
        <v>0.195135505278499</v>
      </c>
      <c r="N311" s="126">
        <f ca="1" t="shared" si="270"/>
        <v>0.177179360992228</v>
      </c>
      <c r="O311" s="126">
        <f ca="1" t="shared" si="270"/>
        <v>0.176435651542925</v>
      </c>
      <c r="P311" s="126">
        <f ca="1" t="shared" si="270"/>
        <v>0.162926094543029</v>
      </c>
      <c r="Q311" s="126">
        <f ca="1" t="shared" si="270"/>
        <v>0.155724931246936</v>
      </c>
    </row>
    <row r="312" ht="24" customHeight="1" spans="1:17">
      <c r="A312" s="99" t="s">
        <v>289</v>
      </c>
      <c r="B312" s="99" t="s">
        <v>299</v>
      </c>
      <c r="C312" s="99" t="s">
        <v>344</v>
      </c>
      <c r="D312" s="47" t="s">
        <v>321</v>
      </c>
      <c r="E312" s="47" t="s">
        <v>160</v>
      </c>
      <c r="F312" s="126">
        <f ca="1" t="shared" ref="F312:Q312" si="271">IFERROR(F307/F288," ")</f>
        <v>0</v>
      </c>
      <c r="G312" s="126">
        <f ca="1" t="shared" si="271"/>
        <v>0</v>
      </c>
      <c r="H312" s="126">
        <f ca="1" t="shared" si="271"/>
        <v>0</v>
      </c>
      <c r="I312" s="126">
        <f ca="1" t="shared" si="271"/>
        <v>0</v>
      </c>
      <c r="J312" s="126">
        <f ca="1" t="shared" si="271"/>
        <v>0</v>
      </c>
      <c r="K312" s="126">
        <f ca="1" t="shared" si="271"/>
        <v>0</v>
      </c>
      <c r="L312" s="126">
        <f ca="1" t="shared" si="271"/>
        <v>0</v>
      </c>
      <c r="M312" s="126">
        <f ca="1" t="shared" si="271"/>
        <v>0</v>
      </c>
      <c r="N312" s="126">
        <f ca="1" t="shared" si="271"/>
        <v>0</v>
      </c>
      <c r="O312" s="126">
        <f ca="1" t="shared" si="271"/>
        <v>0</v>
      </c>
      <c r="P312" s="126">
        <f ca="1" t="shared" si="271"/>
        <v>0</v>
      </c>
      <c r="Q312" s="126">
        <f ca="1" t="shared" si="271"/>
        <v>0</v>
      </c>
    </row>
    <row r="313" ht="24" customHeight="1" spans="1:17">
      <c r="A313" s="99" t="s">
        <v>289</v>
      </c>
      <c r="B313" s="99" t="s">
        <v>299</v>
      </c>
      <c r="C313" s="99" t="s">
        <v>343</v>
      </c>
      <c r="D313" s="114" t="s">
        <v>292</v>
      </c>
      <c r="E313" s="53" t="s">
        <v>326</v>
      </c>
      <c r="F313" s="219">
        <f ca="1">IF($S$1&lt;DATE(2025,1,1)," ",IF((F231-F315-F316-F317-F318-F319)&lt;&gt;0,"ERR",F231))</f>
        <v>2.02294</v>
      </c>
      <c r="G313" s="219">
        <f ca="1">IF($S$1&lt;DATE(2025,2,1)," ",IF((G231+F313)&lt;&gt;SUM(G315:G319),"ERR",G231+F313))</f>
        <v>2.357528</v>
      </c>
      <c r="H313" s="219">
        <f ca="1">IF($S$1&lt;DATE(2025,3,1)," ",IF((H231+G313)&lt;&gt;SUM(H315:H319),"ERR",H231+G313))</f>
        <v>2.357528</v>
      </c>
      <c r="I313" s="219">
        <f ca="1">IF($S$1&lt;DATE(2025,4,1)," ",IF((I231+H313)&lt;&gt;SUM(I315:I319),"ERR",I231+H313))</f>
        <v>2.390128</v>
      </c>
      <c r="J313" s="219">
        <f ca="1">IF($S$1&lt;DATE(2025,5,1)," ",IF((J231+I313)&lt;&gt;SUM(J315:J319),"ERR",J231+I313))</f>
        <v>6.401721</v>
      </c>
      <c r="K313" s="219">
        <f ca="1">IF($S$1&lt;DATE(2025,6,1)," ",IF((K231+J313)&lt;&gt;SUM(K315:K319),"ERR",K231+J313))</f>
        <v>6.404701</v>
      </c>
      <c r="L313" s="219">
        <f ca="1">IF($S$1&lt;DATE(2025,7,1)," ",IF((L231+K313)&lt;&gt;SUM(L315:L319),"ERR",L231+K313))</f>
        <v>6.645144</v>
      </c>
      <c r="M313" s="219">
        <f ca="1">IF($S$1&lt;DATE(2025,8,1)," ",IF((M231+L313)&lt;&gt;SUM(M315:M319),"ERR",M231+L313))</f>
        <v>7.002013</v>
      </c>
      <c r="N313" s="219">
        <f ca="1">IF($S$1&lt;DATE(2025,9,1)," ",IF((N231+M313)&lt;&gt;SUM(N315:N319),"ERR",N231+M313))</f>
        <v>7.197591</v>
      </c>
      <c r="O313" s="219">
        <f ca="1">IF($S$1&lt;DATE(2025,10,1)," ",IF((O231+N313)&lt;&gt;SUM(O315:O319),"ERR",O231+N313))</f>
        <v>7.197591</v>
      </c>
      <c r="P313" s="219">
        <f ca="1">IF($S$1&lt;DATE(2025,11,1)," ",IF((P231+O313)&lt;&gt;SUM(P315:P319),"ERR",P231+O313))</f>
        <v>7.44228</v>
      </c>
      <c r="Q313" s="219">
        <f ca="1">IF($S$1&lt;DATE(2025,12,1)," ",IF((Q231+P313)&lt;&gt;SUM(Q315:Q319),"ERR",Q231+P313))</f>
        <v>8.496484</v>
      </c>
    </row>
    <row r="314" ht="24" customHeight="1" spans="1:17">
      <c r="A314" s="99" t="s">
        <v>289</v>
      </c>
      <c r="B314" s="99" t="s">
        <v>299</v>
      </c>
      <c r="C314" s="99" t="s">
        <v>343</v>
      </c>
      <c r="D314" s="114" t="s">
        <v>292</v>
      </c>
      <c r="E314" s="53" t="s">
        <v>327</v>
      </c>
      <c r="F314" s="219">
        <f ca="1">IF($S$1&lt;DATE(2025,1,1)," ",IF((F232-SUM(F320:F324))&lt;&gt;0,"ERR",F232))</f>
        <v>0</v>
      </c>
      <c r="G314" s="219">
        <f ca="1">IF($S$1&lt;DATE(2025,2,1)," ",IF((G232+F314-SUM(G320:G324))&lt;&gt;0,"ERR",G232+F314))</f>
        <v>0.0100419999999999</v>
      </c>
      <c r="H314" s="219">
        <f ca="1">IF($S$1&lt;DATE(2025,3,1)," ",IF((H232+G314-SUM(H320:H324))&lt;&gt;0,"ERR",H232+G314))</f>
        <v>0.0122749999999999</v>
      </c>
      <c r="I314" s="219">
        <f ca="1">IF($S$1&lt;DATE(2025,4,1)," ",IF((I232+H314-SUM(I320:I324))&lt;&gt;0,"ERR",I232+H314))</f>
        <v>0.089578</v>
      </c>
      <c r="J314" s="219">
        <f ca="1">IF($S$1&lt;DATE(2025,5,1)," ",IF((J232+I314-SUM(J320:J324))&lt;&gt;0,"ERR",J232+I314))</f>
        <v>0.145466</v>
      </c>
      <c r="K314" s="219">
        <f ca="1">IF($S$1&lt;DATE(2025,6,1)," ",IF((K232+J314-SUM(K320:K324))&lt;&gt;0,"ERR",K232+J314))</f>
        <v>0.154957</v>
      </c>
      <c r="L314" s="219">
        <f ca="1">IF($S$1&lt;DATE(2025,7,1)," ",IF((L232+K314)&lt;&gt;SUM(L320:L324),"ERR",L232+K314))</f>
        <v>0.17118</v>
      </c>
      <c r="M314" s="219">
        <f ca="1">IF($S$1&lt;DATE(2025,8,1)," ",IF((M232+L314)&lt;&gt;SUM(M320:M324),"ERR",M232+L314))</f>
        <v>0.171458</v>
      </c>
      <c r="N314" s="219">
        <f ca="1">IF($S$1&lt;DATE(2025,9,1)," ",IF((N232+M314)&lt;&gt;SUM(N320:N324),"ERR",N232+M314))</f>
        <v>0.233126</v>
      </c>
      <c r="O314" s="219">
        <f ca="1">IF($S$1&lt;DATE(2025,10,1)," ",IF((O232+N314)&lt;&gt;SUM(O320:O324),"ERR",O232+N314))</f>
        <v>0.233354</v>
      </c>
      <c r="P314" s="219">
        <f ca="1">IF($S$1&lt;DATE(2025,11,1)," ",IF((P232+O314)&lt;&gt;SUM(P320:P324),"ERR",P232+O314))</f>
        <v>0.233354</v>
      </c>
      <c r="Q314" s="219">
        <f ca="1">IF($S$1&lt;DATE(2025,12,1)," ",IF((Q232+P314)&lt;&gt;SUM(Q320:Q324),"ERR",Q232+P314))</f>
        <v>0.233354</v>
      </c>
    </row>
    <row r="315" ht="24" customHeight="1" spans="1:17">
      <c r="A315" s="99" t="s">
        <v>289</v>
      </c>
      <c r="B315" s="99" t="s">
        <v>299</v>
      </c>
      <c r="C315" s="99" t="s">
        <v>343</v>
      </c>
      <c r="D315" s="53" t="s">
        <v>326</v>
      </c>
      <c r="E315" s="53" t="s">
        <v>93</v>
      </c>
      <c r="F315" s="219">
        <f ca="1" t="shared" ref="F315:F324" si="272">IF($S$1&lt;DATE(2025,1,1)," ",F234)</f>
        <v>2.02294</v>
      </c>
      <c r="G315" s="219">
        <f ca="1" t="shared" ref="G315:G324" si="273">IF($S$1&lt;DATE(2025,2,1)," ",G234+F315)</f>
        <v>2.02294</v>
      </c>
      <c r="H315" s="219">
        <f ca="1" t="shared" ref="H315:H324" si="274">IF($S$1&lt;DATE(2025,3,1)," ",H234+G315)</f>
        <v>2.02294</v>
      </c>
      <c r="I315" s="219">
        <f ca="1" t="shared" ref="I315:I324" si="275">IF($S$1&lt;DATE(2025,4,1)," ",I234+H315)</f>
        <v>2.02294</v>
      </c>
      <c r="J315" s="219">
        <f ca="1" t="shared" ref="J315:J324" si="276">IF($S$1&lt;DATE(2025,5,1)," ",J234+I315)</f>
        <v>2.02294</v>
      </c>
      <c r="K315" s="219">
        <f ca="1" t="shared" ref="K315:K324" si="277">IF($S$1&lt;DATE(2025,6,1)," ",K234+J315)</f>
        <v>2.02592</v>
      </c>
      <c r="L315" s="219">
        <f ca="1" t="shared" ref="L315:L324" si="278">IF($S$1&lt;DATE(2025,7,1)," ",L234+K315)</f>
        <v>2.04263</v>
      </c>
      <c r="M315" s="219">
        <f ca="1" t="shared" ref="M315:M324" si="279">IF($S$1&lt;DATE(2025,8,1)," ",M234+L315)</f>
        <v>2.394585</v>
      </c>
      <c r="N315" s="219">
        <f ca="1" t="shared" ref="N315:N324" si="280">IF($S$1&lt;DATE(2025,9,1)," ",N234+M315)</f>
        <v>2.527903</v>
      </c>
      <c r="O315" s="219">
        <f ca="1" t="shared" ref="O315:O324" si="281">IF($S$1&lt;DATE(2025,10,1)," ",O234+N315)</f>
        <v>2.527903</v>
      </c>
      <c r="P315" s="219">
        <f ca="1" t="shared" ref="P315:P324" si="282">IF($S$1&lt;DATE(2025,11,1)," ",P234+O315)</f>
        <v>2.690273</v>
      </c>
      <c r="Q315" s="219">
        <f ca="1" t="shared" ref="Q315:Q324" si="283">IF($S$1&lt;DATE(2025,12,1)," ",Q234+P315)</f>
        <v>2.690273</v>
      </c>
    </row>
    <row r="316" ht="24" customHeight="1" spans="1:17">
      <c r="A316" s="99" t="s">
        <v>289</v>
      </c>
      <c r="B316" s="99" t="s">
        <v>299</v>
      </c>
      <c r="C316" s="99" t="s">
        <v>343</v>
      </c>
      <c r="D316" s="53" t="s">
        <v>326</v>
      </c>
      <c r="E316" s="53" t="s">
        <v>85</v>
      </c>
      <c r="F316" s="219">
        <f ca="1" t="shared" si="272"/>
        <v>0</v>
      </c>
      <c r="G316" s="219">
        <f ca="1" t="shared" si="273"/>
        <v>0</v>
      </c>
      <c r="H316" s="219">
        <f ca="1" t="shared" si="274"/>
        <v>0</v>
      </c>
      <c r="I316" s="219">
        <f ca="1" t="shared" si="275"/>
        <v>0.031982</v>
      </c>
      <c r="J316" s="219">
        <f ca="1" t="shared" si="276"/>
        <v>4.007919</v>
      </c>
      <c r="K316" s="219">
        <f ca="1" t="shared" si="277"/>
        <v>4.007919</v>
      </c>
      <c r="L316" s="219">
        <f ca="1" t="shared" si="278"/>
        <v>4.231652</v>
      </c>
      <c r="M316" s="219">
        <f ca="1" t="shared" si="279"/>
        <v>4.236566</v>
      </c>
      <c r="N316" s="219">
        <f ca="1" t="shared" si="280"/>
        <v>4.236566</v>
      </c>
      <c r="O316" s="219">
        <f ca="1" t="shared" si="281"/>
        <v>4.236566</v>
      </c>
      <c r="P316" s="219">
        <f ca="1" t="shared" si="282"/>
        <v>4.280823</v>
      </c>
      <c r="Q316" s="219">
        <f ca="1" t="shared" si="283"/>
        <v>5.335027</v>
      </c>
    </row>
    <row r="317" ht="24" customHeight="1" spans="1:17">
      <c r="A317" s="99" t="s">
        <v>289</v>
      </c>
      <c r="B317" s="99" t="s">
        <v>299</v>
      </c>
      <c r="C317" s="99" t="s">
        <v>343</v>
      </c>
      <c r="D317" s="53" t="s">
        <v>326</v>
      </c>
      <c r="E317" s="53" t="s">
        <v>81</v>
      </c>
      <c r="F317" s="219">
        <f ca="1" t="shared" si="272"/>
        <v>0</v>
      </c>
      <c r="G317" s="219">
        <f ca="1" t="shared" si="273"/>
        <v>0</v>
      </c>
      <c r="H317" s="219">
        <f ca="1" t="shared" si="274"/>
        <v>0</v>
      </c>
      <c r="I317" s="219">
        <f ca="1" t="shared" si="275"/>
        <v>0.000618000000000029</v>
      </c>
      <c r="J317" s="219">
        <f ca="1" t="shared" si="276"/>
        <v>0.0362739999999999</v>
      </c>
      <c r="K317" s="219">
        <f ca="1" t="shared" si="277"/>
        <v>0.0362739999999999</v>
      </c>
      <c r="L317" s="219">
        <f ca="1" t="shared" si="278"/>
        <v>0.0362739999999999</v>
      </c>
      <c r="M317" s="219">
        <f ca="1" t="shared" si="279"/>
        <v>0.0362739999999999</v>
      </c>
      <c r="N317" s="219">
        <f ca="1" t="shared" si="280"/>
        <v>0.0985339999999999</v>
      </c>
      <c r="O317" s="219">
        <f ca="1" t="shared" si="281"/>
        <v>0.0985339999999999</v>
      </c>
      <c r="P317" s="219">
        <f ca="1" t="shared" si="282"/>
        <v>0.136596</v>
      </c>
      <c r="Q317" s="219">
        <f ca="1" t="shared" si="283"/>
        <v>0.136596</v>
      </c>
    </row>
    <row r="318" ht="24" customHeight="1" spans="1:17">
      <c r="A318" s="99" t="s">
        <v>289</v>
      </c>
      <c r="B318" s="99" t="s">
        <v>299</v>
      </c>
      <c r="C318" s="99" t="s">
        <v>343</v>
      </c>
      <c r="D318" s="53" t="s">
        <v>326</v>
      </c>
      <c r="E318" s="53" t="s">
        <v>96</v>
      </c>
      <c r="F318" s="219">
        <f ca="1" t="shared" si="272"/>
        <v>0</v>
      </c>
      <c r="G318" s="219">
        <f ca="1" t="shared" si="273"/>
        <v>0.334588</v>
      </c>
      <c r="H318" s="219">
        <f ca="1" t="shared" si="274"/>
        <v>0.334588</v>
      </c>
      <c r="I318" s="219">
        <f ca="1" t="shared" si="275"/>
        <v>0.334588</v>
      </c>
      <c r="J318" s="219">
        <f ca="1" t="shared" si="276"/>
        <v>0.334588</v>
      </c>
      <c r="K318" s="219">
        <f ca="1" t="shared" si="277"/>
        <v>0.334588</v>
      </c>
      <c r="L318" s="219">
        <f ca="1" t="shared" si="278"/>
        <v>0.334588</v>
      </c>
      <c r="M318" s="219">
        <f ca="1" t="shared" si="279"/>
        <v>0.334588</v>
      </c>
      <c r="N318" s="219">
        <f ca="1" t="shared" si="280"/>
        <v>0.334588</v>
      </c>
      <c r="O318" s="219">
        <f ca="1" t="shared" si="281"/>
        <v>0.334588</v>
      </c>
      <c r="P318" s="219">
        <f ca="1" t="shared" si="282"/>
        <v>0.334588</v>
      </c>
      <c r="Q318" s="219">
        <f ca="1" t="shared" si="283"/>
        <v>0.334588</v>
      </c>
    </row>
    <row r="319" ht="24" customHeight="1" spans="1:17">
      <c r="A319" s="99" t="s">
        <v>289</v>
      </c>
      <c r="B319" s="99" t="s">
        <v>299</v>
      </c>
      <c r="C319" s="99" t="s">
        <v>343</v>
      </c>
      <c r="D319" s="53" t="s">
        <v>326</v>
      </c>
      <c r="E319" s="53" t="s">
        <v>160</v>
      </c>
      <c r="F319" s="219">
        <f ca="1" t="shared" si="272"/>
        <v>0</v>
      </c>
      <c r="G319" s="219">
        <f ca="1" t="shared" si="273"/>
        <v>0</v>
      </c>
      <c r="H319" s="219">
        <f ca="1" t="shared" si="274"/>
        <v>0</v>
      </c>
      <c r="I319" s="219">
        <f ca="1" t="shared" si="275"/>
        <v>0</v>
      </c>
      <c r="J319" s="219">
        <f ca="1" t="shared" si="276"/>
        <v>0</v>
      </c>
      <c r="K319" s="219">
        <f ca="1" t="shared" si="277"/>
        <v>0</v>
      </c>
      <c r="L319" s="219">
        <f ca="1" t="shared" si="278"/>
        <v>0</v>
      </c>
      <c r="M319" s="219">
        <f ca="1" t="shared" si="279"/>
        <v>0</v>
      </c>
      <c r="N319" s="219">
        <f ca="1" t="shared" si="280"/>
        <v>0</v>
      </c>
      <c r="O319" s="219">
        <f ca="1" t="shared" si="281"/>
        <v>0</v>
      </c>
      <c r="P319" s="219">
        <f ca="1" t="shared" si="282"/>
        <v>0</v>
      </c>
      <c r="Q319" s="219">
        <f ca="1" t="shared" si="283"/>
        <v>0</v>
      </c>
    </row>
    <row r="320" ht="24" customHeight="1" spans="1:17">
      <c r="A320" s="99" t="s">
        <v>289</v>
      </c>
      <c r="B320" s="99" t="s">
        <v>299</v>
      </c>
      <c r="C320" s="99" t="s">
        <v>343</v>
      </c>
      <c r="D320" s="53" t="s">
        <v>327</v>
      </c>
      <c r="E320" s="53" t="s">
        <v>93</v>
      </c>
      <c r="F320" s="219">
        <f ca="1" t="shared" si="272"/>
        <v>0</v>
      </c>
      <c r="G320" s="219">
        <f ca="1" t="shared" si="273"/>
        <v>0</v>
      </c>
      <c r="H320" s="219">
        <f ca="1" t="shared" si="274"/>
        <v>0</v>
      </c>
      <c r="I320" s="219">
        <f ca="1" t="shared" si="275"/>
        <v>0.0773030000000001</v>
      </c>
      <c r="J320" s="219">
        <f ca="1" t="shared" si="276"/>
        <v>0.0897410000000002</v>
      </c>
      <c r="K320" s="219">
        <f ca="1" t="shared" si="277"/>
        <v>0.0897410000000002</v>
      </c>
      <c r="L320" s="219">
        <f ca="1" t="shared" si="278"/>
        <v>0.0897410000000002</v>
      </c>
      <c r="M320" s="219">
        <f ca="1" t="shared" si="279"/>
        <v>0.0897410000000002</v>
      </c>
      <c r="N320" s="219">
        <f ca="1" t="shared" si="280"/>
        <v>0.138559</v>
      </c>
      <c r="O320" s="219">
        <f ca="1" t="shared" si="281"/>
        <v>0.138787</v>
      </c>
      <c r="P320" s="219">
        <f ca="1" t="shared" si="282"/>
        <v>0.138787</v>
      </c>
      <c r="Q320" s="219">
        <f ca="1" t="shared" si="283"/>
        <v>0.138787</v>
      </c>
    </row>
    <row r="321" ht="24" customHeight="1" spans="1:17">
      <c r="A321" s="99" t="s">
        <v>289</v>
      </c>
      <c r="B321" s="99" t="s">
        <v>299</v>
      </c>
      <c r="C321" s="99" t="s">
        <v>343</v>
      </c>
      <c r="D321" s="53" t="s">
        <v>327</v>
      </c>
      <c r="E321" s="53" t="s">
        <v>85</v>
      </c>
      <c r="F321" s="219">
        <f ca="1" t="shared" si="272"/>
        <v>0</v>
      </c>
      <c r="G321" s="219">
        <f ca="1" t="shared" si="273"/>
        <v>0.0100419999999999</v>
      </c>
      <c r="H321" s="219">
        <f ca="1" t="shared" si="274"/>
        <v>0.0122749999999999</v>
      </c>
      <c r="I321" s="219">
        <f ca="1" t="shared" si="275"/>
        <v>0.0122749999999999</v>
      </c>
      <c r="J321" s="219">
        <f ca="1" t="shared" si="276"/>
        <v>0.0458369999999999</v>
      </c>
      <c r="K321" s="219">
        <f ca="1" t="shared" si="277"/>
        <v>0.0553279999999999</v>
      </c>
      <c r="L321" s="219">
        <f ca="1" t="shared" si="278"/>
        <v>0.0715509999999999</v>
      </c>
      <c r="M321" s="219">
        <f ca="1" t="shared" si="279"/>
        <v>0.0715509999999999</v>
      </c>
      <c r="N321" s="219">
        <f ca="1" t="shared" si="280"/>
        <v>0.0844009999999999</v>
      </c>
      <c r="O321" s="219">
        <f ca="1" t="shared" si="281"/>
        <v>0.0844009999999999</v>
      </c>
      <c r="P321" s="219">
        <f ca="1" t="shared" si="282"/>
        <v>0.0844009999999999</v>
      </c>
      <c r="Q321" s="219">
        <f ca="1" t="shared" si="283"/>
        <v>0.0844009999999999</v>
      </c>
    </row>
    <row r="322" ht="24" customHeight="1" spans="1:17">
      <c r="A322" s="99" t="s">
        <v>289</v>
      </c>
      <c r="B322" s="99" t="s">
        <v>299</v>
      </c>
      <c r="C322" s="99" t="s">
        <v>343</v>
      </c>
      <c r="D322" s="53" t="s">
        <v>327</v>
      </c>
      <c r="E322" s="53" t="s">
        <v>81</v>
      </c>
      <c r="F322" s="219">
        <f ca="1" t="shared" si="272"/>
        <v>0</v>
      </c>
      <c r="G322" s="219">
        <f ca="1" t="shared" si="273"/>
        <v>0</v>
      </c>
      <c r="H322" s="219">
        <f ca="1" t="shared" si="274"/>
        <v>0</v>
      </c>
      <c r="I322" s="219">
        <f ca="1" t="shared" si="275"/>
        <v>0</v>
      </c>
      <c r="J322" s="219">
        <f ca="1" t="shared" si="276"/>
        <v>0.00988799999999992</v>
      </c>
      <c r="K322" s="219">
        <f ca="1" t="shared" si="277"/>
        <v>0.00988799999999992</v>
      </c>
      <c r="L322" s="219">
        <f ca="1" t="shared" si="278"/>
        <v>0.00988799999999992</v>
      </c>
      <c r="M322" s="219">
        <f ca="1" t="shared" si="279"/>
        <v>0.0101659999999999</v>
      </c>
      <c r="N322" s="219">
        <f ca="1" t="shared" si="280"/>
        <v>0.0101659999999999</v>
      </c>
      <c r="O322" s="219">
        <f ca="1" t="shared" si="281"/>
        <v>0.0101659999999999</v>
      </c>
      <c r="P322" s="219">
        <f ca="1" t="shared" si="282"/>
        <v>0.0101659999999999</v>
      </c>
      <c r="Q322" s="219">
        <f ca="1" t="shared" si="283"/>
        <v>0.0101659999999999</v>
      </c>
    </row>
    <row r="323" ht="24" customHeight="1" spans="1:17">
      <c r="A323" s="99" t="s">
        <v>289</v>
      </c>
      <c r="B323" s="99" t="s">
        <v>299</v>
      </c>
      <c r="C323" s="99" t="s">
        <v>343</v>
      </c>
      <c r="D323" s="53" t="s">
        <v>327</v>
      </c>
      <c r="E323" s="53" t="s">
        <v>96</v>
      </c>
      <c r="F323" s="219">
        <f ca="1" t="shared" si="272"/>
        <v>0</v>
      </c>
      <c r="G323" s="219">
        <f ca="1" t="shared" si="273"/>
        <v>0</v>
      </c>
      <c r="H323" s="219">
        <f ca="1" t="shared" si="274"/>
        <v>0</v>
      </c>
      <c r="I323" s="219">
        <f ca="1" t="shared" si="275"/>
        <v>0</v>
      </c>
      <c r="J323" s="219">
        <f ca="1" t="shared" si="276"/>
        <v>0</v>
      </c>
      <c r="K323" s="219">
        <f ca="1" t="shared" si="277"/>
        <v>0</v>
      </c>
      <c r="L323" s="219">
        <f ca="1" t="shared" si="278"/>
        <v>0</v>
      </c>
      <c r="M323" s="219">
        <f ca="1" t="shared" si="279"/>
        <v>0</v>
      </c>
      <c r="N323" s="219">
        <f ca="1" t="shared" si="280"/>
        <v>0</v>
      </c>
      <c r="O323" s="219">
        <f ca="1" t="shared" si="281"/>
        <v>0</v>
      </c>
      <c r="P323" s="219">
        <f ca="1" t="shared" si="282"/>
        <v>0</v>
      </c>
      <c r="Q323" s="219">
        <f ca="1" t="shared" si="283"/>
        <v>0</v>
      </c>
    </row>
    <row r="324" ht="24" customHeight="1" spans="1:17">
      <c r="A324" s="99" t="s">
        <v>289</v>
      </c>
      <c r="B324" s="99" t="s">
        <v>299</v>
      </c>
      <c r="C324" s="99" t="s">
        <v>343</v>
      </c>
      <c r="D324" s="53" t="s">
        <v>327</v>
      </c>
      <c r="E324" s="53" t="s">
        <v>160</v>
      </c>
      <c r="F324" s="219">
        <f ca="1" t="shared" si="272"/>
        <v>0</v>
      </c>
      <c r="G324" s="219">
        <f ca="1" t="shared" si="273"/>
        <v>0</v>
      </c>
      <c r="H324" s="219">
        <f ca="1" t="shared" si="274"/>
        <v>0</v>
      </c>
      <c r="I324" s="219">
        <f ca="1" t="shared" si="275"/>
        <v>0</v>
      </c>
      <c r="J324" s="219">
        <f ca="1" t="shared" si="276"/>
        <v>0</v>
      </c>
      <c r="K324" s="219">
        <f ca="1" t="shared" si="277"/>
        <v>0</v>
      </c>
      <c r="L324" s="219">
        <f ca="1" t="shared" si="278"/>
        <v>0</v>
      </c>
      <c r="M324" s="219">
        <f ca="1" t="shared" si="279"/>
        <v>0</v>
      </c>
      <c r="N324" s="219">
        <f ca="1" t="shared" si="280"/>
        <v>0</v>
      </c>
      <c r="O324" s="219">
        <f ca="1" t="shared" si="281"/>
        <v>0</v>
      </c>
      <c r="P324" s="219">
        <f ca="1" t="shared" si="282"/>
        <v>0</v>
      </c>
      <c r="Q324" s="219">
        <f ca="1" t="shared" si="283"/>
        <v>0</v>
      </c>
    </row>
    <row r="325" ht="24" customHeight="1" spans="1:17">
      <c r="A325" s="99" t="s">
        <v>289</v>
      </c>
      <c r="B325" s="99" t="s">
        <v>299</v>
      </c>
      <c r="C325" s="99" t="s">
        <v>344</v>
      </c>
      <c r="D325" s="114" t="s">
        <v>292</v>
      </c>
      <c r="E325" s="122" t="s">
        <v>326</v>
      </c>
      <c r="F325" s="223">
        <f ca="1">IF($S$1&lt;DATE(2025,1,1)," ",IF((F250-F327-F328-F329-F330-F331)&lt;&gt;0,"ERR",F250))</f>
        <v>2.091504</v>
      </c>
      <c r="G325" s="223">
        <f ca="1">IF($S$1&lt;DATE(2025,2,1)," ",IF((G250+F325-G327-G328-G329-G330-G331)&lt;&gt;0,"ERR",G250+F325))</f>
        <v>2.427416</v>
      </c>
      <c r="H325" s="223">
        <f ca="1">IF($S$1&lt;DATE(2025,3,1)," ",IF((H250+G325-H327-H328-H329-H330-H331)&lt;&gt;0,"ERR",H250+G325))</f>
        <v>2.427416</v>
      </c>
      <c r="I325" s="223">
        <f ca="1">IF($S$1&lt;DATE(2025,4,1)," ",IF((I250+H325-I327-I328-I329-I330-I331)&lt;&gt;0,"ERR",I250+H325))</f>
        <v>2.466684</v>
      </c>
      <c r="J325" s="223">
        <f ca="1">IF($S$1&lt;DATE(2025,5,1)," ",IF((J250+I325-SUM(J327:J331))&lt;&gt;0,"ERR",J250+I325))</f>
        <v>6.478898</v>
      </c>
      <c r="K325" s="223">
        <f ca="1">IF($S$1&lt;DATE(2025,6,1)," ",IF((K250+J325)&lt;&gt;SUM(K327:K331),"ERR",K250+J325))</f>
        <v>6.48193</v>
      </c>
      <c r="L325" s="223">
        <f ca="1">IF($S$1&lt;DATE(2025,7,1)," ",IF((L250+K325-SUM(L327:L331))&lt;&gt;0,"ERR",L250+K325))</f>
        <v>6.735242</v>
      </c>
      <c r="M325" s="223">
        <f ca="1">IF($S$1&lt;DATE(2025,8,1)," ",IF((M250+L325-SUM(M327:M331))&lt;&gt;0,"ERR",M250+L325))</f>
        <v>7.129337</v>
      </c>
      <c r="N325" s="223">
        <f ca="1">IF($S$1&lt;DATE(2025,9,1)," ",IF((N250+M325)&lt;&gt;SUM(N327:N331),"ERR",N250+M325))</f>
        <v>7.32819</v>
      </c>
      <c r="O325" s="223">
        <f ca="1">IF($S$1&lt;DATE(2025,10,1)," ",IF((O250+N325)&lt;&gt;SUM(O327:O331),"ERR",O250+N325))</f>
        <v>7.32819</v>
      </c>
      <c r="P325" s="223">
        <f ca="1">IF($S$1&lt;DATE(2025,11,1)," ",IF((P250+O325)&lt;&gt;SUM(P327:P331),"ERR",P250+O325))</f>
        <v>7.574186</v>
      </c>
      <c r="Q325" s="223">
        <f ca="1">IF($S$1&lt;DATE(2025,12,1)," ",IF((Q250+P325)&lt;&gt;SUM(Q327:Q331),"ERR",Q250+P325))</f>
        <v>8.644775</v>
      </c>
    </row>
    <row r="326" ht="24" customHeight="1" spans="1:17">
      <c r="A326" s="99" t="s">
        <v>289</v>
      </c>
      <c r="B326" s="99" t="s">
        <v>299</v>
      </c>
      <c r="C326" s="99" t="s">
        <v>344</v>
      </c>
      <c r="D326" s="114" t="s">
        <v>292</v>
      </c>
      <c r="E326" s="122" t="s">
        <v>327</v>
      </c>
      <c r="F326" s="223">
        <f ca="1">IF($S$1&lt;DATE(2025,1,1)," ",IF((F251-SUM(F332:F336))&lt;&gt;0,"ERR",F251))</f>
        <v>0</v>
      </c>
      <c r="G326" s="223">
        <f ca="1">IF($S$1&lt;DATE(2025,2,1)," ",IF((G251+F326-SUM(G332:G336))&lt;&gt;0,"ERR",G251+F326))</f>
        <v>0.0100419999999999</v>
      </c>
      <c r="H326" s="223">
        <f ca="1">IF($S$1&lt;DATE(2025,3,1)," ",IF((H251+G326-SUM(H332:H336))&lt;&gt;0,"ERR",H251+G326))</f>
        <v>0.0122909999999999</v>
      </c>
      <c r="I326" s="223">
        <f ca="1">IF($S$1&lt;DATE(2025,4,1)," ",IF((I251+H326-SUM(I332:I336))&lt;&gt;0,"ERR",I251+H326))</f>
        <v>0.0925179999999999</v>
      </c>
      <c r="J326" s="223">
        <f ca="1">IF($S$1&lt;DATE(2025,5,1)," ",IF((J251+I326)&lt;&gt;SUM(J332:J336),"ERR",J251+I326))</f>
        <v>0.149734</v>
      </c>
      <c r="K326" s="223">
        <f ca="1">IF($S$1&lt;DATE(2025,6,1)," ",IF((K251+J326-SUM(K332:K336))&lt;&gt;0,"ERR",K251+J326))</f>
        <v>0.159225</v>
      </c>
      <c r="L326" s="223">
        <f ca="1">IF($S$1&lt;DATE(2025,7,1)," ",IF((L251+K326)&lt;&gt;SUM(L332:L336),"ERR",L251+K326))</f>
        <v>0.175448</v>
      </c>
      <c r="M326" s="223">
        <f ca="1">IF($S$1&lt;DATE(2025,8,1)," ",IF((M251+L326-SUM(M332:M336))&lt;&gt;0,"ERR",M251+L326))</f>
        <v>0.175729</v>
      </c>
      <c r="N326" s="223">
        <f ca="1">IF($S$1&lt;DATE(2025,9,1)," ",IF((N251+M326-SUM(N332:N336))&lt;&gt;0,"ERR",N251+M326))</f>
        <v>0.242378</v>
      </c>
      <c r="O326" s="223">
        <f ca="1">IF($S$1&lt;DATE(2025,10,1)," ",IF((O251+N326-SUM(O332:O336))&lt;&gt;0,"ERR",O251+N326))</f>
        <v>0.242608</v>
      </c>
      <c r="P326" s="223">
        <f ca="1">IF($S$1&lt;DATE(2025,11,1)," ",IF((P251+O326-SUM(P332:P336))&lt;&gt;0,"ERR",P251+O326))</f>
        <v>0.242608</v>
      </c>
      <c r="Q326" s="223">
        <f ca="1">IF($S$1&lt;DATE(2025,12,1)," ",IF((Q251+P326-SUM(Q332:Q336))&lt;&gt;0,"ERR",Q251+P326))</f>
        <v>0.242608</v>
      </c>
    </row>
    <row r="327" ht="24" customHeight="1" spans="1:17">
      <c r="A327" s="99" t="s">
        <v>289</v>
      </c>
      <c r="B327" s="99" t="s">
        <v>299</v>
      </c>
      <c r="C327" s="99" t="s">
        <v>344</v>
      </c>
      <c r="D327" s="122" t="s">
        <v>326</v>
      </c>
      <c r="E327" s="122" t="s">
        <v>93</v>
      </c>
      <c r="F327" s="223">
        <f ca="1" t="shared" ref="F327:F336" si="284">IF($S$1&lt;DATE(2025,1,1)," ",F253)</f>
        <v>2.091504</v>
      </c>
      <c r="G327" s="223">
        <f ca="1" t="shared" ref="G327:G336" si="285">IF($S$1&lt;DATE(2025,2,1)," ",G253+F327)</f>
        <v>2.091504</v>
      </c>
      <c r="H327" s="223">
        <f ca="1" t="shared" ref="H327:H336" si="286">IF($S$1&lt;DATE(2025,3,1)," ",H253+G327)</f>
        <v>2.091504</v>
      </c>
      <c r="I327" s="223">
        <f ca="1" t="shared" ref="I327:I336" si="287">IF($S$1&lt;DATE(2025,4,1)," ",I253+H327)</f>
        <v>2.091504</v>
      </c>
      <c r="J327" s="223">
        <f ca="1" t="shared" ref="J327:J336" si="288">IF($S$1&lt;DATE(2025,5,1)," ",J253+I327)</f>
        <v>2.091504</v>
      </c>
      <c r="K327" s="223">
        <f ca="1" t="shared" ref="K327:K336" si="289">IF($S$1&lt;DATE(2025,6,1)," ",K253+J327)</f>
        <v>2.094536</v>
      </c>
      <c r="L327" s="223">
        <f ca="1" t="shared" ref="L327:L336" si="290">IF($S$1&lt;DATE(2025,7,1)," ",L253+K327)</f>
        <v>2.111397</v>
      </c>
      <c r="M327" s="223">
        <f ca="1" t="shared" ref="M327:M336" si="291">IF($S$1&lt;DATE(2025,8,1)," ",M253+L327)</f>
        <v>2.500535</v>
      </c>
      <c r="N327" s="223">
        <f ca="1" t="shared" ref="N327:N336" si="292">IF($S$1&lt;DATE(2025,9,1)," ",N253+M327)</f>
        <v>2.636049</v>
      </c>
      <c r="O327" s="223">
        <f ca="1" t="shared" ref="O327:O336" si="293">IF($S$1&lt;DATE(2025,10,1)," ",O253+N327)</f>
        <v>2.636049</v>
      </c>
      <c r="P327" s="223">
        <f ca="1" t="shared" ref="P327:P336" si="294">IF($S$1&lt;DATE(2025,11,1)," ",P253+O327)</f>
        <v>2.798412</v>
      </c>
      <c r="Q327" s="223">
        <f ca="1" t="shared" ref="Q327:Q336" si="295">IF($S$1&lt;DATE(2025,12,1)," ",Q253+P327)</f>
        <v>2.798412</v>
      </c>
    </row>
    <row r="328" ht="24" customHeight="1" spans="1:17">
      <c r="A328" s="99" t="s">
        <v>289</v>
      </c>
      <c r="B328" s="99" t="s">
        <v>299</v>
      </c>
      <c r="C328" s="99" t="s">
        <v>344</v>
      </c>
      <c r="D328" s="122" t="s">
        <v>326</v>
      </c>
      <c r="E328" s="122" t="s">
        <v>85</v>
      </c>
      <c r="F328" s="223">
        <f ca="1" t="shared" si="284"/>
        <v>0</v>
      </c>
      <c r="G328" s="223">
        <f ca="1" t="shared" si="285"/>
        <v>0</v>
      </c>
      <c r="H328" s="223">
        <f ca="1" t="shared" si="286"/>
        <v>0</v>
      </c>
      <c r="I328" s="223">
        <f ca="1" t="shared" si="287"/>
        <v>0.032531</v>
      </c>
      <c r="J328" s="223">
        <f ca="1" t="shared" si="288"/>
        <v>4.008468</v>
      </c>
      <c r="K328" s="223">
        <f ca="1" t="shared" si="289"/>
        <v>4.008468</v>
      </c>
      <c r="L328" s="223">
        <f ca="1" t="shared" si="290"/>
        <v>4.244919</v>
      </c>
      <c r="M328" s="223">
        <f ca="1" t="shared" si="291"/>
        <v>4.249876</v>
      </c>
      <c r="N328" s="223">
        <f ca="1" t="shared" si="292"/>
        <v>4.249876</v>
      </c>
      <c r="O328" s="223">
        <f ca="1" t="shared" si="293"/>
        <v>4.249876</v>
      </c>
      <c r="P328" s="223">
        <f ca="1" t="shared" si="294"/>
        <v>4.295225</v>
      </c>
      <c r="Q328" s="223">
        <f ca="1" t="shared" si="295"/>
        <v>5.365814</v>
      </c>
    </row>
    <row r="329" ht="24" customHeight="1" spans="1:17">
      <c r="A329" s="99" t="s">
        <v>289</v>
      </c>
      <c r="B329" s="99" t="s">
        <v>299</v>
      </c>
      <c r="C329" s="99" t="s">
        <v>344</v>
      </c>
      <c r="D329" s="122" t="s">
        <v>326</v>
      </c>
      <c r="E329" s="122" t="s">
        <v>81</v>
      </c>
      <c r="F329" s="223">
        <f ca="1" t="shared" si="284"/>
        <v>0</v>
      </c>
      <c r="G329" s="223">
        <f ca="1" t="shared" si="285"/>
        <v>0</v>
      </c>
      <c r="H329" s="223">
        <f ca="1" t="shared" si="286"/>
        <v>0</v>
      </c>
      <c r="I329" s="223">
        <f ca="1" t="shared" si="287"/>
        <v>0.0067369999999999</v>
      </c>
      <c r="J329" s="223">
        <f ca="1" t="shared" si="288"/>
        <v>0.0430139999999999</v>
      </c>
      <c r="K329" s="223">
        <f ca="1" t="shared" si="289"/>
        <v>0.0430139999999999</v>
      </c>
      <c r="L329" s="223">
        <f ca="1" t="shared" si="290"/>
        <v>0.0430139999999999</v>
      </c>
      <c r="M329" s="223">
        <f ca="1" t="shared" si="291"/>
        <v>0.0430139999999999</v>
      </c>
      <c r="N329" s="223">
        <f ca="1" t="shared" si="292"/>
        <v>0.106353</v>
      </c>
      <c r="O329" s="223">
        <f ca="1" t="shared" si="293"/>
        <v>0.106353</v>
      </c>
      <c r="P329" s="223">
        <f ca="1" t="shared" si="294"/>
        <v>0.144637</v>
      </c>
      <c r="Q329" s="223">
        <f ca="1" t="shared" si="295"/>
        <v>0.144637</v>
      </c>
    </row>
    <row r="330" ht="24" customHeight="1" spans="1:17">
      <c r="A330" s="99" t="s">
        <v>289</v>
      </c>
      <c r="B330" s="99" t="s">
        <v>299</v>
      </c>
      <c r="C330" s="99" t="s">
        <v>344</v>
      </c>
      <c r="D330" s="122" t="s">
        <v>326</v>
      </c>
      <c r="E330" s="122" t="s">
        <v>96</v>
      </c>
      <c r="F330" s="223">
        <f ca="1" t="shared" si="284"/>
        <v>0</v>
      </c>
      <c r="G330" s="223">
        <f ca="1" t="shared" si="285"/>
        <v>0.335912</v>
      </c>
      <c r="H330" s="223">
        <f ca="1" t="shared" si="286"/>
        <v>0.335912</v>
      </c>
      <c r="I330" s="223">
        <f ca="1" t="shared" si="287"/>
        <v>0.335912</v>
      </c>
      <c r="J330" s="223">
        <f ca="1" t="shared" si="288"/>
        <v>0.335912</v>
      </c>
      <c r="K330" s="223">
        <f ca="1" t="shared" si="289"/>
        <v>0.335912</v>
      </c>
      <c r="L330" s="223">
        <f ca="1" t="shared" si="290"/>
        <v>0.335912</v>
      </c>
      <c r="M330" s="223">
        <f ca="1" t="shared" si="291"/>
        <v>0.335912</v>
      </c>
      <c r="N330" s="223">
        <f ca="1" t="shared" si="292"/>
        <v>0.335912</v>
      </c>
      <c r="O330" s="223">
        <f ca="1" t="shared" si="293"/>
        <v>0.335912</v>
      </c>
      <c r="P330" s="223">
        <f ca="1" t="shared" si="294"/>
        <v>0.335912</v>
      </c>
      <c r="Q330" s="223">
        <f ca="1" t="shared" si="295"/>
        <v>0.335912</v>
      </c>
    </row>
    <row r="331" ht="24" customHeight="1" spans="1:17">
      <c r="A331" s="99" t="s">
        <v>289</v>
      </c>
      <c r="B331" s="99" t="s">
        <v>299</v>
      </c>
      <c r="C331" s="99" t="s">
        <v>344</v>
      </c>
      <c r="D331" s="122" t="s">
        <v>326</v>
      </c>
      <c r="E331" s="122" t="s">
        <v>160</v>
      </c>
      <c r="F331" s="223">
        <f ca="1" t="shared" si="284"/>
        <v>0</v>
      </c>
      <c r="G331" s="223">
        <f ca="1" t="shared" si="285"/>
        <v>0</v>
      </c>
      <c r="H331" s="223">
        <f ca="1" t="shared" si="286"/>
        <v>0</v>
      </c>
      <c r="I331" s="223">
        <f ca="1" t="shared" si="287"/>
        <v>0</v>
      </c>
      <c r="J331" s="223">
        <f ca="1" t="shared" si="288"/>
        <v>0</v>
      </c>
      <c r="K331" s="223">
        <f ca="1" t="shared" si="289"/>
        <v>0</v>
      </c>
      <c r="L331" s="223">
        <f ca="1" t="shared" si="290"/>
        <v>0</v>
      </c>
      <c r="M331" s="223">
        <f ca="1" t="shared" si="291"/>
        <v>0</v>
      </c>
      <c r="N331" s="223">
        <f ca="1" t="shared" si="292"/>
        <v>0</v>
      </c>
      <c r="O331" s="223">
        <f ca="1" t="shared" si="293"/>
        <v>0</v>
      </c>
      <c r="P331" s="223">
        <f ca="1" t="shared" si="294"/>
        <v>0</v>
      </c>
      <c r="Q331" s="223">
        <f ca="1" t="shared" si="295"/>
        <v>0</v>
      </c>
    </row>
    <row r="332" ht="24" customHeight="1" spans="1:17">
      <c r="A332" s="99" t="s">
        <v>289</v>
      </c>
      <c r="B332" s="99" t="s">
        <v>299</v>
      </c>
      <c r="C332" s="99" t="s">
        <v>344</v>
      </c>
      <c r="D332" s="122" t="s">
        <v>327</v>
      </c>
      <c r="E332" s="122" t="s">
        <v>93</v>
      </c>
      <c r="F332" s="223">
        <f ca="1" t="shared" si="284"/>
        <v>0</v>
      </c>
      <c r="G332" s="223">
        <f ca="1" t="shared" si="285"/>
        <v>0</v>
      </c>
      <c r="H332" s="223">
        <f ca="1" t="shared" si="286"/>
        <v>0</v>
      </c>
      <c r="I332" s="223">
        <f ca="1" t="shared" si="287"/>
        <v>0.080227</v>
      </c>
      <c r="J332" s="223">
        <f ca="1" t="shared" si="288"/>
        <v>0.093286</v>
      </c>
      <c r="K332" s="223">
        <f ca="1" t="shared" si="289"/>
        <v>0.093286</v>
      </c>
      <c r="L332" s="223">
        <f ca="1" t="shared" si="290"/>
        <v>0.093286</v>
      </c>
      <c r="M332" s="223">
        <f ca="1" t="shared" si="291"/>
        <v>0.093286</v>
      </c>
      <c r="N332" s="223">
        <f ca="1" t="shared" si="292"/>
        <v>0.146941</v>
      </c>
      <c r="O332" s="223">
        <f ca="1" t="shared" si="293"/>
        <v>0.147171</v>
      </c>
      <c r="P332" s="223">
        <f ca="1" t="shared" si="294"/>
        <v>0.147171</v>
      </c>
      <c r="Q332" s="223">
        <f ca="1" t="shared" si="295"/>
        <v>0.147171</v>
      </c>
    </row>
    <row r="333" ht="24" customHeight="1" spans="1:17">
      <c r="A333" s="99" t="s">
        <v>289</v>
      </c>
      <c r="B333" s="99" t="s">
        <v>299</v>
      </c>
      <c r="C333" s="99" t="s">
        <v>344</v>
      </c>
      <c r="D333" s="122" t="s">
        <v>327</v>
      </c>
      <c r="E333" s="122" t="s">
        <v>85</v>
      </c>
      <c r="F333" s="223">
        <f ca="1" t="shared" si="284"/>
        <v>0</v>
      </c>
      <c r="G333" s="223">
        <f ca="1" t="shared" si="285"/>
        <v>0.0100419999999999</v>
      </c>
      <c r="H333" s="223">
        <f ca="1" t="shared" si="286"/>
        <v>0.0122909999999999</v>
      </c>
      <c r="I333" s="223">
        <f ca="1" t="shared" si="287"/>
        <v>0.0122909999999999</v>
      </c>
      <c r="J333" s="223">
        <f ca="1" t="shared" si="288"/>
        <v>0.0464389999999999</v>
      </c>
      <c r="K333" s="223">
        <f ca="1" t="shared" si="289"/>
        <v>0.0559299999999999</v>
      </c>
      <c r="L333" s="223">
        <f ca="1" t="shared" si="290"/>
        <v>0.0721529999999999</v>
      </c>
      <c r="M333" s="223">
        <f ca="1" t="shared" si="291"/>
        <v>0.0721529999999999</v>
      </c>
      <c r="N333" s="223">
        <f ca="1" t="shared" si="292"/>
        <v>0.085147</v>
      </c>
      <c r="O333" s="223">
        <f ca="1" t="shared" si="293"/>
        <v>0.085147</v>
      </c>
      <c r="P333" s="223">
        <f ca="1" t="shared" si="294"/>
        <v>0.085147</v>
      </c>
      <c r="Q333" s="223">
        <f ca="1" t="shared" si="295"/>
        <v>0.085147</v>
      </c>
    </row>
    <row r="334" ht="24" customHeight="1" spans="1:17">
      <c r="A334" s="99" t="s">
        <v>289</v>
      </c>
      <c r="B334" s="99" t="s">
        <v>299</v>
      </c>
      <c r="C334" s="99" t="s">
        <v>344</v>
      </c>
      <c r="D334" s="122" t="s">
        <v>327</v>
      </c>
      <c r="E334" s="122" t="s">
        <v>81</v>
      </c>
      <c r="F334" s="223">
        <f ca="1" t="shared" si="284"/>
        <v>0</v>
      </c>
      <c r="G334" s="223">
        <f ca="1" t="shared" si="285"/>
        <v>0</v>
      </c>
      <c r="H334" s="223">
        <f ca="1" t="shared" si="286"/>
        <v>0</v>
      </c>
      <c r="I334" s="223">
        <f ca="1" t="shared" si="287"/>
        <v>0</v>
      </c>
      <c r="J334" s="223">
        <f ca="1" t="shared" si="288"/>
        <v>0.0100089999999999</v>
      </c>
      <c r="K334" s="223">
        <f ca="1" t="shared" si="289"/>
        <v>0.0100089999999999</v>
      </c>
      <c r="L334" s="223">
        <f ca="1" t="shared" si="290"/>
        <v>0.0100089999999999</v>
      </c>
      <c r="M334" s="223">
        <f ca="1" t="shared" si="291"/>
        <v>0.0102899999999999</v>
      </c>
      <c r="N334" s="223">
        <f ca="1" t="shared" si="292"/>
        <v>0.0102899999999999</v>
      </c>
      <c r="O334" s="223">
        <f ca="1" t="shared" si="293"/>
        <v>0.0102899999999999</v>
      </c>
      <c r="P334" s="223">
        <f ca="1" t="shared" si="294"/>
        <v>0.0102899999999999</v>
      </c>
      <c r="Q334" s="223">
        <f ca="1" t="shared" si="295"/>
        <v>0.0102899999999999</v>
      </c>
    </row>
    <row r="335" ht="24" customHeight="1" spans="1:17">
      <c r="A335" s="99" t="s">
        <v>289</v>
      </c>
      <c r="B335" s="99" t="s">
        <v>299</v>
      </c>
      <c r="C335" s="99" t="s">
        <v>344</v>
      </c>
      <c r="D335" s="122" t="s">
        <v>327</v>
      </c>
      <c r="E335" s="122" t="s">
        <v>96</v>
      </c>
      <c r="F335" s="223">
        <f ca="1" t="shared" si="284"/>
        <v>0</v>
      </c>
      <c r="G335" s="223">
        <f ca="1" t="shared" si="285"/>
        <v>0</v>
      </c>
      <c r="H335" s="223">
        <f ca="1" t="shared" si="286"/>
        <v>0</v>
      </c>
      <c r="I335" s="223">
        <f ca="1" t="shared" si="287"/>
        <v>0</v>
      </c>
      <c r="J335" s="223">
        <f ca="1" t="shared" si="288"/>
        <v>0</v>
      </c>
      <c r="K335" s="223">
        <f ca="1" t="shared" si="289"/>
        <v>0</v>
      </c>
      <c r="L335" s="223">
        <f ca="1" t="shared" si="290"/>
        <v>0</v>
      </c>
      <c r="M335" s="223">
        <f ca="1" t="shared" si="291"/>
        <v>0</v>
      </c>
      <c r="N335" s="223">
        <f ca="1" t="shared" si="292"/>
        <v>0</v>
      </c>
      <c r="O335" s="223">
        <f ca="1" t="shared" si="293"/>
        <v>0</v>
      </c>
      <c r="P335" s="223">
        <f ca="1" t="shared" si="294"/>
        <v>0</v>
      </c>
      <c r="Q335" s="223">
        <f ca="1" t="shared" si="295"/>
        <v>0</v>
      </c>
    </row>
    <row r="336" ht="24" customHeight="1" spans="1:17">
      <c r="A336" s="99" t="s">
        <v>289</v>
      </c>
      <c r="B336" s="99" t="s">
        <v>299</v>
      </c>
      <c r="C336" s="99" t="s">
        <v>344</v>
      </c>
      <c r="D336" s="122" t="s">
        <v>327</v>
      </c>
      <c r="E336" s="122" t="s">
        <v>160</v>
      </c>
      <c r="F336" s="223">
        <f ca="1" t="shared" si="284"/>
        <v>0</v>
      </c>
      <c r="G336" s="223">
        <f ca="1" t="shared" si="285"/>
        <v>0</v>
      </c>
      <c r="H336" s="223">
        <f ca="1" t="shared" si="286"/>
        <v>0</v>
      </c>
      <c r="I336" s="223">
        <f ca="1" t="shared" si="287"/>
        <v>0</v>
      </c>
      <c r="J336" s="223">
        <f ca="1" t="shared" si="288"/>
        <v>0</v>
      </c>
      <c r="K336" s="223">
        <f ca="1" t="shared" si="289"/>
        <v>0</v>
      </c>
      <c r="L336" s="223">
        <f ca="1" t="shared" si="290"/>
        <v>0</v>
      </c>
      <c r="M336" s="223">
        <f ca="1" t="shared" si="291"/>
        <v>0</v>
      </c>
      <c r="N336" s="223">
        <f ca="1" t="shared" si="292"/>
        <v>0</v>
      </c>
      <c r="O336" s="223">
        <f ca="1" t="shared" si="293"/>
        <v>0</v>
      </c>
      <c r="P336" s="223">
        <f ca="1" t="shared" si="294"/>
        <v>0</v>
      </c>
      <c r="Q336" s="223">
        <f ca="1" t="shared" si="295"/>
        <v>0</v>
      </c>
    </row>
    <row r="337" ht="24" customHeight="1" spans="1:17">
      <c r="A337" s="99" t="s">
        <v>345</v>
      </c>
      <c r="B337" s="99" t="s">
        <v>290</v>
      </c>
      <c r="C337" s="99" t="s">
        <v>291</v>
      </c>
      <c r="D337" s="100" t="s">
        <v>292</v>
      </c>
      <c r="E337" s="100" t="s">
        <v>293</v>
      </c>
      <c r="F337" s="204">
        <f ca="1">IF($S$1&lt;DATE(2025,1,1)," ",IF((SUM(F338:F344)-MAX(F350,F354))&lt;0,"ERR",SUM(F338:F344)))</f>
        <v>1</v>
      </c>
      <c r="G337" s="204">
        <f ca="1">IF($S$1&lt;DATE(2025,2,1)," ",IF((SUM(G338:G344)-MAX(G350,G354))&lt;0,"ERR",SUM(G338:G344)))</f>
        <v>0</v>
      </c>
      <c r="H337" s="204">
        <f ca="1">IF($S$1&lt;DATE(2025,3,1)," ",IF((SUM(H338:H344)-MAX(H350,H354))&lt;0,"ERR",SUM(H338:H344)))</f>
        <v>0</v>
      </c>
      <c r="I337" s="204">
        <f ca="1">IF($S$1&lt;DATE(2025,4,1)," ",IF((SUM(I338:I344)-MAX(I350,I354))&lt;0,"ERR",SUM(I338:I344)))</f>
        <v>0</v>
      </c>
      <c r="J337" s="204">
        <f ca="1">IF($S$1&lt;DATE(2025,5,1)," ",IF((SUM(J338:J344)-MAX(J350,J354))&lt;0,"ERR",SUM(J338:J344)))</f>
        <v>0</v>
      </c>
      <c r="K337" s="204">
        <f ca="1">IF($S$1&lt;DATE(2025,6,1)," ",IF((SUM(K338:K344)-MAX(K350,K354))&lt;0,"ERR",SUM(K338:K344)))</f>
        <v>0</v>
      </c>
      <c r="L337" s="204">
        <f ca="1">IF($S$1&lt;DATE(2025,7,1)," ",IF((SUM(L338:L344)-MAX(L350,L354))&lt;0,"ERR",SUM(L338:L344)))</f>
        <v>0</v>
      </c>
      <c r="M337" s="204">
        <f ca="1">IF($S$1&lt;DATE(2025,8,1)," ",IF((SUM(M338:M344)-MAX(M350,M354))&lt;0,"ERR",SUM(M338:M344)))</f>
        <v>2</v>
      </c>
      <c r="N337" s="204">
        <f ca="1">IF($S$1&lt;DATE(2025,9,1)," ",IF((SUM(N338:N344)-MAX(N350,N354))&lt;0,"ERR",SUM(N338:N344)))</f>
        <v>1</v>
      </c>
      <c r="O337" s="204">
        <f ca="1">IF($S$1&lt;DATE(2025,10,1)," ",IF((SUM(O338:O344)-MAX(O350,O354))&lt;0,"ERR",SUM(O338:O344)))</f>
        <v>1</v>
      </c>
      <c r="P337" s="204">
        <f ca="1">IF($S$1&lt;DATE(2025,11,1)," ",IF((SUM(P338:P344)-MAX(P350,P354))&lt;0,"ERR",SUM(P338:P344)))</f>
        <v>2</v>
      </c>
      <c r="Q337" s="204">
        <f ca="1">IF($S$1&lt;DATE(2025,12,1)," ",IF((SUM(Q338:Q344)-MAX(Q350,Q354))&lt;0,"ERR",SUM(Q338:Q344)))</f>
        <v>4</v>
      </c>
    </row>
    <row r="338" ht="24" customHeight="1" spans="1:35">
      <c r="A338" s="99" t="s">
        <v>345</v>
      </c>
      <c r="B338" s="99" t="s">
        <v>290</v>
      </c>
      <c r="C338" s="99" t="s">
        <v>291</v>
      </c>
      <c r="D338" s="48" t="s">
        <v>31</v>
      </c>
      <c r="E338" s="48" t="s">
        <v>90</v>
      </c>
      <c r="F338" s="205">
        <f ca="1">IF($S$1&lt;DATE(2025,1,1)," ",COUNTIFS('2025数据'!$G$3:$G$181,"&gt;="&amp;DATE(2024,1,1),'2025数据'!$G$3:$G$181,"&lt;="&amp;DATE(2025,1,31),'2025数据'!$AE$3:$AE$181,$E338))</f>
        <v>0</v>
      </c>
      <c r="G338" s="205">
        <f ca="1">IF($S$1&lt;DATE(2025,2,1)," ",COUNTIFS('2025数据'!$G$3:$G$181,"&gt;="&amp;DATE(2025,2,1),'2025数据'!$G$3:$G$181,"&lt;="&amp;DATE(2025,2,28),'2025数据'!$AE$3:$AE$181,$E338))</f>
        <v>0</v>
      </c>
      <c r="H338" s="205">
        <f ca="1">IF($S$1&lt;DATE(2025,3,1)," ",COUNTIFS('2025数据'!$G$3:$G$181,"&gt;="&amp;DATE(2025,3,1),'2025数据'!$G$3:$G$181,"&lt;="&amp;DATE(2025,3,31),'2025数据'!$AE$3:$AE$181,$E338))</f>
        <v>0</v>
      </c>
      <c r="I338" s="205">
        <f ca="1">IF($S$1&lt;DATE(2025,4,1)," ",COUNTIFS('2025数据'!$G$3:$G$181,"&gt;="&amp;DATE(2025,4,1),'2025数据'!$G$3:$G$181,"&lt;="&amp;DATE(2025,4,30),'2025数据'!$AE$3:$AE$181,$E338))</f>
        <v>0</v>
      </c>
      <c r="J338" s="205">
        <f ca="1">IF($S$1&lt;DATE(2025,5,1)," ",COUNTIFS('2025数据'!$G$3:$G$181,"&gt;="&amp;DATE(2025,5,1),'2025数据'!$G$3:$G$181,"&lt;="&amp;DATE(2025,5,31),'2025数据'!$AE$3:$AE$181,$E338))</f>
        <v>0</v>
      </c>
      <c r="K338" s="205">
        <f ca="1">IF($S$1&lt;DATE(2025,6,1)," ",COUNTIFS('2025数据'!$G$3:$G$181,"&gt;="&amp;DATE(2025,6,1),'2025数据'!$G$3:$G$181,"&lt;="&amp;DATE(2025,6,30),'2025数据'!$AE$3:$AE$181,$E338))</f>
        <v>0</v>
      </c>
      <c r="L338" s="205">
        <f ca="1">IF($S$1&lt;DATE(2025,7,1)," ",COUNTIFS('2025数据'!$G$3:$G$181,"&gt;="&amp;DATE(2025,7,1),'2025数据'!$G$3:$G$181,"&lt;="&amp;DATE(2025,7,31),'2025数据'!$AE$3:$AE$181,$E338))</f>
        <v>0</v>
      </c>
      <c r="M338" s="205">
        <f ca="1">IF($S$1&lt;DATE(2025,8,1)," ",COUNTIFS('2025数据'!$G$3:$G$181,"&gt;="&amp;DATE(2025,8,1),'2025数据'!$G$3:$G$181,"&lt;="&amp;DATE(2025,8,31),'2025数据'!$AE$3:$AE$181,$E338))</f>
        <v>1</v>
      </c>
      <c r="N338" s="205">
        <f ca="1">IF($S$1&lt;DATE(2025,9,1)," ",COUNTIFS('2025数据'!$G$3:$G$181,"&gt;="&amp;DATE(2025,9,1),'2025数据'!$G$3:$G$181,"&lt;="&amp;DATE(2025,9,30),'2025数据'!$AE$3:$AE$181,$E338))</f>
        <v>1</v>
      </c>
      <c r="O338" s="205">
        <f ca="1">IF($S$1&lt;DATE(2025,10,1)," ",COUNTIFS('2025数据'!$G$3:$G$181,"&gt;="&amp;DATE(2025,10,1),'2025数据'!$G$3:$G$181,"&lt;="&amp;DATE(2025,10,31),'2025数据'!$AE$3:$AE$181,$E338))</f>
        <v>0</v>
      </c>
      <c r="P338" s="207">
        <f ca="1">IF($S$1&lt;DATE(2025,11,1)," ",COUNTIFS('2025数据'!$G$3:$G$181,"&gt;="&amp;DATE(2025,11,1),'2025数据'!$G$3:$G$181,"&lt;="&amp;DATE(2025,11,30),'2025数据'!$AE$3:$AE$181,$E338))</f>
        <v>0</v>
      </c>
      <c r="Q338" s="207">
        <f ca="1">IF($S$1&lt;DATE(2025,12,1)," ",COUNTIFS('2025数据'!$G$3:$G$181,"&gt;="&amp;DATE(2025,12,1),'2025数据'!$G$3:$G$181,"&lt;="&amp;DATE(2025,12,31),'2025数据'!$AE$3:$AE$181,$E338))</f>
        <v>2</v>
      </c>
      <c r="S338" s="108" t="s">
        <v>272</v>
      </c>
      <c r="T338" s="108" t="s">
        <v>273</v>
      </c>
      <c r="U338" s="108" t="s">
        <v>274</v>
      </c>
      <c r="V338" s="98" t="s">
        <v>275</v>
      </c>
      <c r="W338" s="98" t="s">
        <v>276</v>
      </c>
      <c r="X338" s="102" t="s">
        <v>277</v>
      </c>
      <c r="Y338" s="103" t="s">
        <v>278</v>
      </c>
      <c r="Z338" s="102" t="s">
        <v>279</v>
      </c>
      <c r="AA338" s="103" t="s">
        <v>280</v>
      </c>
      <c r="AB338" s="102" t="s">
        <v>281</v>
      </c>
      <c r="AC338" s="103" t="s">
        <v>282</v>
      </c>
      <c r="AD338" s="102" t="s">
        <v>283</v>
      </c>
      <c r="AE338" s="103" t="s">
        <v>284</v>
      </c>
      <c r="AF338" s="102" t="s">
        <v>285</v>
      </c>
      <c r="AG338" s="103" t="s">
        <v>286</v>
      </c>
      <c r="AH338" s="102" t="s">
        <v>287</v>
      </c>
      <c r="AI338" s="107" t="s">
        <v>288</v>
      </c>
    </row>
    <row r="339" ht="24" customHeight="1" spans="1:17">
      <c r="A339" s="99" t="s">
        <v>345</v>
      </c>
      <c r="B339" s="99" t="s">
        <v>290</v>
      </c>
      <c r="C339" s="99" t="s">
        <v>291</v>
      </c>
      <c r="D339" s="48" t="s">
        <v>31</v>
      </c>
      <c r="E339" s="48" t="s">
        <v>82</v>
      </c>
      <c r="F339" s="205">
        <f ca="1">IF($S$1&lt;DATE(2025,1,1)," ",COUNTIFS('2025数据'!$G$3:$G$181,"&gt;="&amp;DATE(2024,1,1),'2025数据'!$G$3:$G$181,"&lt;="&amp;DATE(2025,1,31),'2025数据'!$AE$3:$AE$181,$E339))</f>
        <v>1</v>
      </c>
      <c r="G339" s="205">
        <f ca="1">IF($S$1&lt;DATE(2025,2,1)," ",COUNTIFS('2025数据'!$G$3:$G$181,"&gt;="&amp;DATE(2025,2,1),'2025数据'!$G$3:$G$181,"&lt;="&amp;DATE(2025,2,28),'2025数据'!$AE$3:$AE$181,$E339))</f>
        <v>0</v>
      </c>
      <c r="H339" s="205">
        <f ca="1">IF($S$1&lt;DATE(2025,3,1)," ",COUNTIFS('2025数据'!$G$3:$G$181,"&gt;="&amp;DATE(2025,3,1),'2025数据'!$G$3:$G$181,"&lt;="&amp;DATE(2025,3,31),'2025数据'!$AE$3:$AE$181,$E339))</f>
        <v>0</v>
      </c>
      <c r="I339" s="205">
        <f ca="1">IF($S$1&lt;DATE(2025,4,1)," ",COUNTIFS('2025数据'!$G$3:$G$181,"&gt;="&amp;DATE(2025,4,1),'2025数据'!$G$3:$G$181,"&lt;="&amp;DATE(2025,4,30),'2025数据'!$AE$3:$AE$181,$E339))</f>
        <v>0</v>
      </c>
      <c r="J339" s="205">
        <f ca="1">IF($S$1&lt;DATE(2025,5,1)," ",COUNTIFS('2025数据'!$G$3:$G$181,"&gt;="&amp;DATE(2025,5,1),'2025数据'!$G$3:$G$181,"&lt;="&amp;DATE(2025,5,31),'2025数据'!$AE$3:$AE$181,$E339))</f>
        <v>0</v>
      </c>
      <c r="K339" s="205">
        <f ca="1">IF($S$1&lt;DATE(2025,6,1)," ",COUNTIFS('2025数据'!$G$3:$G$181,"&gt;="&amp;DATE(2025,6,1),'2025数据'!$G$3:$G$181,"&lt;="&amp;DATE(2025,6,30),'2025数据'!$AE$3:$AE$181,$E339))</f>
        <v>0</v>
      </c>
      <c r="L339" s="205">
        <f ca="1">IF($S$1&lt;DATE(2025,7,1)," ",COUNTIFS('2025数据'!$G$3:$G$181,"&gt;="&amp;DATE(2025,7,1),'2025数据'!$G$3:$G$181,"&lt;="&amp;DATE(2025,7,31),'2025数据'!$AE$3:$AE$181,$E339))</f>
        <v>0</v>
      </c>
      <c r="M339" s="205">
        <f ca="1">IF($S$1&lt;DATE(2025,8,1)," ",COUNTIFS('2025数据'!$G$3:$G$181,"&gt;="&amp;DATE(2025,8,1),'2025数据'!$G$3:$G$181,"&lt;="&amp;DATE(2025,8,31),'2025数据'!$AE$3:$AE$181,$E339))</f>
        <v>0</v>
      </c>
      <c r="N339" s="205">
        <f ca="1">IF($S$1&lt;DATE(2025,9,1)," ",COUNTIFS('2025数据'!$G$3:$G$181,"&gt;="&amp;DATE(2025,9,1),'2025数据'!$G$3:$G$181,"&lt;="&amp;DATE(2025,9,30),'2025数据'!$AE$3:$AE$181,$E339))</f>
        <v>0</v>
      </c>
      <c r="O339" s="205">
        <f ca="1">IF($S$1&lt;DATE(2025,10,1)," ",COUNTIFS('2025数据'!$G$3:$G$181,"&gt;="&amp;DATE(2025,10,1),'2025数据'!$G$3:$G$181,"&lt;="&amp;DATE(2025,10,31),'2025数据'!$AE$3:$AE$181,$E339))</f>
        <v>1</v>
      </c>
      <c r="P339" s="207">
        <f ca="1">IF($S$1&lt;DATE(2025,11,1)," ",COUNTIFS('2025数据'!$G$3:$G$181,"&gt;="&amp;DATE(2025,11,1),'2025数据'!$G$3:$G$181,"&lt;="&amp;DATE(2025,11,30),'2025数据'!$AE$3:$AE$181,$E339))</f>
        <v>1</v>
      </c>
      <c r="Q339" s="207">
        <f ca="1">IF($S$1&lt;DATE(2025,12,1)," ",COUNTIFS('2025数据'!$G$3:$G$181,"&gt;="&amp;DATE(2025,12,1),'2025数据'!$G$3:$G$181,"&lt;="&amp;DATE(2025,12,31),'2025数据'!$AE$3:$AE$181,$E339))</f>
        <v>0</v>
      </c>
    </row>
    <row r="340" ht="24" customHeight="1" spans="1:17">
      <c r="A340" s="99" t="s">
        <v>345</v>
      </c>
      <c r="B340" s="99" t="s">
        <v>290</v>
      </c>
      <c r="C340" s="99" t="s">
        <v>291</v>
      </c>
      <c r="D340" s="48" t="s">
        <v>31</v>
      </c>
      <c r="E340" s="48" t="s">
        <v>86</v>
      </c>
      <c r="F340" s="205">
        <f ca="1">IF($S$1&lt;DATE(2025,1,1)," ",COUNTIFS('2025数据'!$G$3:$G$181,"&gt;="&amp;DATE(2024,1,1),'2025数据'!$G$3:$G$181,"&lt;="&amp;DATE(2025,1,31),'2025数据'!$AE$3:$AE$181,$E340))</f>
        <v>0</v>
      </c>
      <c r="G340" s="205">
        <f ca="1">IF($S$1&lt;DATE(2025,2,1)," ",COUNTIFS('2025数据'!$G$3:$G$181,"&gt;="&amp;DATE(2025,2,1),'2025数据'!$G$3:$G$181,"&lt;="&amp;DATE(2025,2,28),'2025数据'!$AE$3:$AE$181,$E340))</f>
        <v>0</v>
      </c>
      <c r="H340" s="205">
        <f ca="1">IF($S$1&lt;DATE(2025,3,1)," ",COUNTIFS('2025数据'!$G$3:$G$181,"&gt;="&amp;DATE(2025,3,1),'2025数据'!$G$3:$G$181,"&lt;="&amp;DATE(2025,3,31),'2025数据'!$AE$3:$AE$181,$E340))</f>
        <v>0</v>
      </c>
      <c r="I340" s="205">
        <f ca="1">IF($S$1&lt;DATE(2025,4,1)," ",COUNTIFS('2025数据'!$G$3:$G$181,"&gt;="&amp;DATE(2025,4,1),'2025数据'!$G$3:$G$181,"&lt;="&amp;DATE(2025,4,30),'2025数据'!$AE$3:$AE$181,$E340))</f>
        <v>0</v>
      </c>
      <c r="J340" s="205">
        <f ca="1">IF($S$1&lt;DATE(2025,5,1)," ",COUNTIFS('2025数据'!$G$3:$G$181,"&gt;="&amp;DATE(2025,5,1),'2025数据'!$G$3:$G$181,"&lt;="&amp;DATE(2025,5,31),'2025数据'!$AE$3:$AE$181,$E340))</f>
        <v>0</v>
      </c>
      <c r="K340" s="205">
        <f ca="1">IF($S$1&lt;DATE(2025,6,1)," ",COUNTIFS('2025数据'!$G$3:$G$181,"&gt;="&amp;DATE(2025,6,1),'2025数据'!$G$3:$G$181,"&lt;="&amp;DATE(2025,6,30),'2025数据'!$AE$3:$AE$181,$E340))</f>
        <v>0</v>
      </c>
      <c r="L340" s="205">
        <f ca="1">IF($S$1&lt;DATE(2025,7,1)," ",COUNTIFS('2025数据'!$G$3:$G$181,"&gt;="&amp;DATE(2025,7,1),'2025数据'!$G$3:$G$181,"&lt;="&amp;DATE(2025,7,31),'2025数据'!$AE$3:$AE$181,$E340))</f>
        <v>0</v>
      </c>
      <c r="M340" s="205">
        <f ca="1">IF($S$1&lt;DATE(2025,8,1)," ",COUNTIFS('2025数据'!$G$3:$G$181,"&gt;="&amp;DATE(2025,8,1),'2025数据'!$G$3:$G$181,"&lt;="&amp;DATE(2025,8,31),'2025数据'!$AE$3:$AE$181,$E340))</f>
        <v>0</v>
      </c>
      <c r="N340" s="205">
        <f ca="1">IF($S$1&lt;DATE(2025,9,1)," ",COUNTIFS('2025数据'!$G$3:$G$181,"&gt;="&amp;DATE(2025,9,1),'2025数据'!$G$3:$G$181,"&lt;="&amp;DATE(2025,9,30),'2025数据'!$AE$3:$AE$181,$E340))</f>
        <v>0</v>
      </c>
      <c r="O340" s="205">
        <f ca="1">IF($S$1&lt;DATE(2025,10,1)," ",COUNTIFS('2025数据'!$G$3:$G$181,"&gt;="&amp;DATE(2025,10,1),'2025数据'!$G$3:$G$181,"&lt;="&amp;DATE(2025,10,31),'2025数据'!$AE$3:$AE$181,$E340))</f>
        <v>0</v>
      </c>
      <c r="P340" s="207">
        <f ca="1">IF($S$1&lt;DATE(2025,11,1)," ",COUNTIFS('2025数据'!$G$3:$G$181,"&gt;="&amp;DATE(2025,11,1),'2025数据'!$G$3:$G$181,"&lt;="&amp;DATE(2025,11,30),'2025数据'!$AE$3:$AE$181,$E340))</f>
        <v>0</v>
      </c>
      <c r="Q340" s="207">
        <f ca="1">IF($S$1&lt;DATE(2025,12,1)," ",COUNTIFS('2025数据'!$G$3:$G$181,"&gt;="&amp;DATE(2025,12,1),'2025数据'!$G$3:$G$181,"&lt;="&amp;DATE(2025,12,31),'2025数据'!$AE$3:$AE$181,$E340))</f>
        <v>1</v>
      </c>
    </row>
    <row r="341" ht="24" customHeight="1" spans="1:17">
      <c r="A341" s="99" t="s">
        <v>345</v>
      </c>
      <c r="B341" s="99" t="s">
        <v>290</v>
      </c>
      <c r="C341" s="99" t="s">
        <v>291</v>
      </c>
      <c r="D341" s="48" t="s">
        <v>31</v>
      </c>
      <c r="E341" s="48" t="s">
        <v>97</v>
      </c>
      <c r="F341" s="205">
        <f ca="1">IF($S$1&lt;DATE(2025,1,1)," ",COUNTIFS('2025数据'!$G$3:$G$181,"&gt;="&amp;DATE(2024,1,1),'2025数据'!$G$3:$G$181,"&lt;="&amp;DATE(2025,1,31),'2025数据'!$AE$3:$AE$181,$E341))</f>
        <v>0</v>
      </c>
      <c r="G341" s="205">
        <f ca="1">IF($S$1&lt;DATE(2025,2,1)," ",COUNTIFS('2025数据'!$G$3:$G$181,"&gt;="&amp;DATE(2025,2,1),'2025数据'!$G$3:$G$181,"&lt;="&amp;DATE(2025,2,28),'2025数据'!$AE$3:$AE$181,$E341))</f>
        <v>0</v>
      </c>
      <c r="H341" s="205">
        <f ca="1">IF($S$1&lt;DATE(2025,3,1)," ",COUNTIFS('2025数据'!$G$3:$G$181,"&gt;="&amp;DATE(2025,3,1),'2025数据'!$G$3:$G$181,"&lt;="&amp;DATE(2025,3,31),'2025数据'!$AE$3:$AE$181,$E341))</f>
        <v>0</v>
      </c>
      <c r="I341" s="205">
        <f ca="1">IF($S$1&lt;DATE(2025,4,1)," ",COUNTIFS('2025数据'!$G$3:$G$181,"&gt;="&amp;DATE(2025,4,1),'2025数据'!$G$3:$G$181,"&lt;="&amp;DATE(2025,4,30),'2025数据'!$AE$3:$AE$181,$E341))</f>
        <v>0</v>
      </c>
      <c r="J341" s="205">
        <f ca="1">IF($S$1&lt;DATE(2025,5,1)," ",COUNTIFS('2025数据'!$G$3:$G$181,"&gt;="&amp;DATE(2025,5,1),'2025数据'!$G$3:$G$181,"&lt;="&amp;DATE(2025,5,31),'2025数据'!$AE$3:$AE$181,$E341))</f>
        <v>0</v>
      </c>
      <c r="K341" s="205">
        <f ca="1">IF($S$1&lt;DATE(2025,6,1)," ",COUNTIFS('2025数据'!$G$3:$G$181,"&gt;="&amp;DATE(2025,6,1),'2025数据'!$G$3:$G$181,"&lt;="&amp;DATE(2025,6,30),'2025数据'!$AE$3:$AE$181,$E341))</f>
        <v>0</v>
      </c>
      <c r="L341" s="205">
        <f ca="1">IF($S$1&lt;DATE(2025,7,1)," ",COUNTIFS('2025数据'!$G$3:$G$181,"&gt;="&amp;DATE(2025,7,1),'2025数据'!$G$3:$G$181,"&lt;="&amp;DATE(2025,7,31),'2025数据'!$AE$3:$AE$181,$E341))</f>
        <v>0</v>
      </c>
      <c r="M341" s="205">
        <f ca="1">IF($S$1&lt;DATE(2025,8,1)," ",COUNTIFS('2025数据'!$G$3:$G$181,"&gt;="&amp;DATE(2025,8,1),'2025数据'!$G$3:$G$181,"&lt;="&amp;DATE(2025,8,31),'2025数据'!$AE$3:$AE$181,$E341))</f>
        <v>1</v>
      </c>
      <c r="N341" s="205">
        <f ca="1">IF($S$1&lt;DATE(2025,9,1)," ",COUNTIFS('2025数据'!$G$3:$G$181,"&gt;="&amp;DATE(2025,9,1),'2025数据'!$G$3:$G$181,"&lt;="&amp;DATE(2025,9,30),'2025数据'!$AE$3:$AE$181,$E341))</f>
        <v>0</v>
      </c>
      <c r="O341" s="205">
        <f ca="1">IF($S$1&lt;DATE(2025,10,1)," ",COUNTIFS('2025数据'!$G$3:$G$181,"&gt;="&amp;DATE(2025,10,1),'2025数据'!$G$3:$G$181,"&lt;="&amp;DATE(2025,10,31),'2025数据'!$AE$3:$AE$181,$E341))</f>
        <v>0</v>
      </c>
      <c r="P341" s="207">
        <f ca="1">IF($S$1&lt;DATE(2025,11,1)," ",COUNTIFS('2025数据'!$G$3:$G$181,"&gt;="&amp;DATE(2025,11,1),'2025数据'!$G$3:$G$181,"&lt;="&amp;DATE(2025,11,30),'2025数据'!$AE$3:$AE$181,$E341))</f>
        <v>1</v>
      </c>
      <c r="Q341" s="207">
        <f ca="1">IF($S$1&lt;DATE(2025,12,1)," ",COUNTIFS('2025数据'!$G$3:$G$181,"&gt;="&amp;DATE(2025,12,1),'2025数据'!$G$3:$G$181,"&lt;="&amp;DATE(2025,12,31),'2025数据'!$AE$3:$AE$181,$E341))</f>
        <v>1</v>
      </c>
    </row>
    <row r="342" ht="24" customHeight="1" spans="1:17">
      <c r="A342" s="99" t="s">
        <v>345</v>
      </c>
      <c r="B342" s="99" t="s">
        <v>290</v>
      </c>
      <c r="C342" s="99" t="s">
        <v>291</v>
      </c>
      <c r="D342" s="48" t="s">
        <v>31</v>
      </c>
      <c r="E342" s="48" t="s">
        <v>87</v>
      </c>
      <c r="F342" s="205">
        <f ca="1">IF($S$1&lt;DATE(2025,1,1)," ",COUNTIFS('2025数据'!$G$3:$G$181,"&gt;="&amp;DATE(2024,1,1),'2025数据'!$G$3:$G$181,"&lt;="&amp;DATE(2025,1,31),'2025数据'!$AE$3:$AE$181,$E342))</f>
        <v>0</v>
      </c>
      <c r="G342" s="205">
        <f ca="1">IF($S$1&lt;DATE(2025,2,1)," ",COUNTIFS('2025数据'!$G$3:$G$181,"&gt;="&amp;DATE(2025,2,1),'2025数据'!$G$3:$G$181,"&lt;="&amp;DATE(2025,2,28),'2025数据'!$AE$3:$AE$181,$E342))</f>
        <v>0</v>
      </c>
      <c r="H342" s="205">
        <f ca="1">IF($S$1&lt;DATE(2025,3,1)," ",COUNTIFS('2025数据'!$G$3:$G$181,"&gt;="&amp;DATE(2025,3,1),'2025数据'!$G$3:$G$181,"&lt;="&amp;DATE(2025,3,31),'2025数据'!$AE$3:$AE$181,$E342))</f>
        <v>0</v>
      </c>
      <c r="I342" s="205">
        <f ca="1">IF($S$1&lt;DATE(2025,4,1)," ",COUNTIFS('2025数据'!$G$3:$G$181,"&gt;="&amp;DATE(2025,4,1),'2025数据'!$G$3:$G$181,"&lt;="&amp;DATE(2025,4,30),'2025数据'!$AE$3:$AE$181,$E342))</f>
        <v>0</v>
      </c>
      <c r="J342" s="205">
        <f ca="1">IF($S$1&lt;DATE(2025,5,1)," ",COUNTIFS('2025数据'!$G$3:$G$181,"&gt;="&amp;DATE(2025,5,1),'2025数据'!$G$3:$G$181,"&lt;="&amp;DATE(2025,5,31),'2025数据'!$AE$3:$AE$181,$E342))</f>
        <v>0</v>
      </c>
      <c r="K342" s="205">
        <f ca="1">IF($S$1&lt;DATE(2025,6,1)," ",COUNTIFS('2025数据'!$G$3:$G$181,"&gt;="&amp;DATE(2025,6,1),'2025数据'!$G$3:$G$181,"&lt;="&amp;DATE(2025,6,30),'2025数据'!$AE$3:$AE$181,$E342))</f>
        <v>0</v>
      </c>
      <c r="L342" s="205">
        <f ca="1">IF($S$1&lt;DATE(2025,7,1)," ",COUNTIFS('2025数据'!$G$3:$G$181,"&gt;="&amp;DATE(2025,7,1),'2025数据'!$G$3:$G$181,"&lt;="&amp;DATE(2025,7,31),'2025数据'!$AE$3:$AE$181,$E342))</f>
        <v>0</v>
      </c>
      <c r="M342" s="205">
        <f ca="1">IF($S$1&lt;DATE(2025,8,1)," ",COUNTIFS('2025数据'!$G$3:$G$181,"&gt;="&amp;DATE(2025,8,1),'2025数据'!$G$3:$G$181,"&lt;="&amp;DATE(2025,8,31),'2025数据'!$AE$3:$AE$181,$E342))</f>
        <v>0</v>
      </c>
      <c r="N342" s="205">
        <f ca="1">IF($S$1&lt;DATE(2025,9,1)," ",COUNTIFS('2025数据'!$G$3:$G$181,"&gt;="&amp;DATE(2025,9,1),'2025数据'!$G$3:$G$181,"&lt;="&amp;DATE(2025,9,30),'2025数据'!$AE$3:$AE$181,$E342))</f>
        <v>0</v>
      </c>
      <c r="O342" s="205">
        <f ca="1">IF($S$1&lt;DATE(2025,10,1)," ",COUNTIFS('2025数据'!$G$3:$G$181,"&gt;="&amp;DATE(2025,10,1),'2025数据'!$G$3:$G$181,"&lt;="&amp;DATE(2025,10,31),'2025数据'!$AE$3:$AE$181,$E342))</f>
        <v>0</v>
      </c>
      <c r="P342" s="207">
        <f ca="1">IF($S$1&lt;DATE(2025,11,1)," ",COUNTIFS('2025数据'!$G$3:$G$181,"&gt;="&amp;DATE(2025,11,1),'2025数据'!$G$3:$G$181,"&lt;="&amp;DATE(2025,11,30),'2025数据'!$AE$3:$AE$181,$E342))</f>
        <v>0</v>
      </c>
      <c r="Q342" s="207">
        <f ca="1">IF($S$1&lt;DATE(2025,12,1)," ",COUNTIFS('2025数据'!$G$3:$G$181,"&gt;="&amp;DATE(2025,12,1),'2025数据'!$G$3:$G$181,"&lt;="&amp;DATE(2025,12,31),'2025数据'!$AE$3:$AE$181,$E342))</f>
        <v>0</v>
      </c>
    </row>
    <row r="343" ht="24" customHeight="1" spans="1:17">
      <c r="A343" s="99" t="s">
        <v>345</v>
      </c>
      <c r="B343" s="99" t="s">
        <v>290</v>
      </c>
      <c r="C343" s="99" t="s">
        <v>291</v>
      </c>
      <c r="D343" s="48" t="s">
        <v>31</v>
      </c>
      <c r="E343" s="48" t="s">
        <v>149</v>
      </c>
      <c r="F343" s="205">
        <f ca="1">IF($S$1&lt;DATE(2025,1,1)," ",COUNTIFS('2025数据'!$G$3:$G$181,"&gt;="&amp;DATE(2024,1,1),'2025数据'!$G$3:$G$181,"&lt;="&amp;DATE(2025,1,31),'2025数据'!$AE$3:$AE$181,$E343))</f>
        <v>0</v>
      </c>
      <c r="G343" s="205">
        <f ca="1">IF($S$1&lt;DATE(2025,2,1)," ",COUNTIFS('2025数据'!$G$3:$G$181,"&gt;="&amp;DATE(2025,2,1),'2025数据'!$G$3:$G$181,"&lt;="&amp;DATE(2025,2,28),'2025数据'!$AE$3:$AE$181,$E343))</f>
        <v>0</v>
      </c>
      <c r="H343" s="205">
        <f ca="1">IF($S$1&lt;DATE(2025,3,1)," ",COUNTIFS('2025数据'!$G$3:$G$181,"&gt;="&amp;DATE(2025,3,1),'2025数据'!$G$3:$G$181,"&lt;="&amp;DATE(2025,3,31),'2025数据'!$AE$3:$AE$181,$E343))</f>
        <v>0</v>
      </c>
      <c r="I343" s="205">
        <f ca="1">IF($S$1&lt;DATE(2025,4,1)," ",COUNTIFS('2025数据'!$G$3:$G$181,"&gt;="&amp;DATE(2025,4,1),'2025数据'!$G$3:$G$181,"&lt;="&amp;DATE(2025,4,30),'2025数据'!$AE$3:$AE$181,$E343))</f>
        <v>0</v>
      </c>
      <c r="J343" s="205">
        <f ca="1">IF($S$1&lt;DATE(2025,5,1)," ",COUNTIFS('2025数据'!$G$3:$G$181,"&gt;="&amp;DATE(2025,5,1),'2025数据'!$G$3:$G$181,"&lt;="&amp;DATE(2025,5,31),'2025数据'!$AE$3:$AE$181,$E343))</f>
        <v>0</v>
      </c>
      <c r="K343" s="205">
        <f ca="1">IF($S$1&lt;DATE(2025,6,1)," ",COUNTIFS('2025数据'!$G$3:$G$181,"&gt;="&amp;DATE(2025,6,1),'2025数据'!$G$3:$G$181,"&lt;="&amp;DATE(2025,6,30),'2025数据'!$AE$3:$AE$181,$E343))</f>
        <v>0</v>
      </c>
      <c r="L343" s="205">
        <f ca="1">IF($S$1&lt;DATE(2025,7,1)," ",COUNTIFS('2025数据'!$G$3:$G$181,"&gt;="&amp;DATE(2025,7,1),'2025数据'!$G$3:$G$181,"&lt;="&amp;DATE(2025,7,31),'2025数据'!$AE$3:$AE$181,$E343))</f>
        <v>0</v>
      </c>
      <c r="M343" s="205">
        <f ca="1">IF($S$1&lt;DATE(2025,8,1)," ",COUNTIFS('2025数据'!$G$3:$G$181,"&gt;="&amp;DATE(2025,8,1),'2025数据'!$G$3:$G$181,"&lt;="&amp;DATE(2025,8,31),'2025数据'!$AE$3:$AE$181,$E343))</f>
        <v>0</v>
      </c>
      <c r="N343" s="205">
        <f ca="1">IF($S$1&lt;DATE(2025,9,1)," ",COUNTIFS('2025数据'!$G$3:$G$181,"&gt;="&amp;DATE(2025,9,1),'2025数据'!$G$3:$G$181,"&lt;="&amp;DATE(2025,9,30),'2025数据'!$AE$3:$AE$181,$E343))</f>
        <v>0</v>
      </c>
      <c r="O343" s="205">
        <f ca="1">IF($S$1&lt;DATE(2025,10,1)," ",COUNTIFS('2025数据'!$G$3:$G$181,"&gt;="&amp;DATE(2025,10,1),'2025数据'!$G$3:$G$181,"&lt;="&amp;DATE(2025,10,31),'2025数据'!$AE$3:$AE$181,$E343))</f>
        <v>0</v>
      </c>
      <c r="P343" s="207">
        <f ca="1">IF($S$1&lt;DATE(2025,11,1)," ",COUNTIFS('2025数据'!$G$3:$G$181,"&gt;="&amp;DATE(2025,11,1),'2025数据'!$G$3:$G$181,"&lt;="&amp;DATE(2025,11,30),'2025数据'!$AE$3:$AE$181,$E343))</f>
        <v>0</v>
      </c>
      <c r="Q343" s="207">
        <f ca="1">IF($S$1&lt;DATE(2025,12,1)," ",COUNTIFS('2025数据'!$G$3:$G$181,"&gt;="&amp;DATE(2025,12,1),'2025数据'!$G$3:$G$181,"&lt;="&amp;DATE(2025,12,31),'2025数据'!$AE$3:$AE$181,$E343))</f>
        <v>0</v>
      </c>
    </row>
    <row r="344" ht="24" customHeight="1" spans="1:17">
      <c r="A344" s="99" t="s">
        <v>345</v>
      </c>
      <c r="B344" s="99" t="s">
        <v>290</v>
      </c>
      <c r="C344" s="99" t="s">
        <v>291</v>
      </c>
      <c r="D344" s="48" t="s">
        <v>31</v>
      </c>
      <c r="E344" s="48" t="s">
        <v>83</v>
      </c>
      <c r="F344" s="205">
        <f ca="1">IF($S$1&lt;DATE(2025,1,1)," ",COUNTIFS('2025数据'!$G$3:$G$181,"&gt;="&amp;DATE(2024,1,1),'2025数据'!$G$3:$G$181,"&lt;="&amp;DATE(2025,1,31),'2025数据'!$AE$3:$AE$181,$E344))</f>
        <v>0</v>
      </c>
      <c r="G344" s="205">
        <f ca="1">IF($S$1&lt;DATE(2025,2,1)," ",COUNTIFS('2025数据'!$G$3:$G$181,"&gt;="&amp;DATE(2025,2,1),'2025数据'!$G$3:$G$181,"&lt;="&amp;DATE(2025,2,28),'2025数据'!$AE$3:$AE$181,$E344))</f>
        <v>0</v>
      </c>
      <c r="H344" s="205">
        <f ca="1">IF($S$1&lt;DATE(2025,3,1)," ",COUNTIFS('2025数据'!$G$3:$G$181,"&gt;="&amp;DATE(2025,3,1),'2025数据'!$G$3:$G$181,"&lt;="&amp;DATE(2025,3,31),'2025数据'!$AE$3:$AE$181,$E344))</f>
        <v>0</v>
      </c>
      <c r="I344" s="205">
        <f ca="1">IF($S$1&lt;DATE(2025,4,1)," ",COUNTIFS('2025数据'!$G$3:$G$181,"&gt;="&amp;DATE(2025,4,1),'2025数据'!$G$3:$G$181,"&lt;="&amp;DATE(2025,4,30),'2025数据'!$AE$3:$AE$181,$E344))</f>
        <v>0</v>
      </c>
      <c r="J344" s="205">
        <f ca="1">IF($S$1&lt;DATE(2025,5,1)," ",COUNTIFS('2025数据'!$G$3:$G$181,"&gt;="&amp;DATE(2025,5,1),'2025数据'!$G$3:$G$181,"&lt;="&amp;DATE(2025,5,31),'2025数据'!$AE$3:$AE$181,$E344))</f>
        <v>0</v>
      </c>
      <c r="K344" s="205">
        <f ca="1">IF($S$1&lt;DATE(2025,6,1)," ",COUNTIFS('2025数据'!$G$3:$G$181,"&gt;="&amp;DATE(2025,6,1),'2025数据'!$G$3:$G$181,"&lt;="&amp;DATE(2025,6,30),'2025数据'!$AE$3:$AE$181,$E344))</f>
        <v>0</v>
      </c>
      <c r="L344" s="205">
        <f ca="1">IF($S$1&lt;DATE(2025,7,1)," ",COUNTIFS('2025数据'!$G$3:$G$181,"&gt;="&amp;DATE(2025,7,1),'2025数据'!$G$3:$G$181,"&lt;="&amp;DATE(2025,7,31),'2025数据'!$AE$3:$AE$181,$E344))</f>
        <v>0</v>
      </c>
      <c r="M344" s="205">
        <f ca="1">IF($S$1&lt;DATE(2025,8,1)," ",COUNTIFS('2025数据'!$G$3:$G$181,"&gt;="&amp;DATE(2025,8,1),'2025数据'!$G$3:$G$181,"&lt;="&amp;DATE(2025,8,31),'2025数据'!$AE$3:$AE$181,$E344))</f>
        <v>0</v>
      </c>
      <c r="N344" s="205">
        <f ca="1">IF($S$1&lt;DATE(2025,9,1)," ",COUNTIFS('2025数据'!$G$3:$G$181,"&gt;="&amp;DATE(2025,9,1),'2025数据'!$G$3:$G$181,"&lt;="&amp;DATE(2025,9,30),'2025数据'!$AE$3:$AE$181,$E344))</f>
        <v>0</v>
      </c>
      <c r="O344" s="205">
        <f ca="1">IF($S$1&lt;DATE(2025,10,1)," ",COUNTIFS('2025数据'!$G$3:$G$181,"&gt;="&amp;DATE(2025,10,1),'2025数据'!$G$3:$G$181,"&lt;="&amp;DATE(2025,10,31),'2025数据'!$AE$3:$AE$181,$E344))</f>
        <v>0</v>
      </c>
      <c r="P344" s="207">
        <f ca="1">IF($S$1&lt;DATE(2025,11,1)," ",COUNTIFS('2025数据'!$G$3:$G$181,"&gt;="&amp;DATE(2025,11,1),'2025数据'!$G$3:$G$181,"&lt;="&amp;DATE(2025,11,30),'2025数据'!$AE$3:$AE$181,$E344))</f>
        <v>0</v>
      </c>
      <c r="Q344" s="207">
        <f ca="1">IF($S$1&lt;DATE(2025,12,1)," ",COUNTIFS('2025数据'!$G$3:$G$181,"&gt;="&amp;DATE(2025,12,1),'2025数据'!$G$3:$G$181,"&lt;="&amp;DATE(2025,12,31),'2025数据'!$AE$3:$AE$181,$E344))</f>
        <v>0</v>
      </c>
    </row>
    <row r="345" ht="24" customHeight="1" spans="1:17">
      <c r="A345" s="99" t="s">
        <v>345</v>
      </c>
      <c r="B345" s="99" t="s">
        <v>290</v>
      </c>
      <c r="C345" s="99" t="s">
        <v>291</v>
      </c>
      <c r="D345" s="47" t="s">
        <v>294</v>
      </c>
      <c r="E345" s="47" t="s">
        <v>93</v>
      </c>
      <c r="F345" s="206">
        <f ca="1">IF($S$1&lt;DATE(2025,1,1)," ",COUNTIFS('2025数据'!$G$3:$G$181,"&gt;="&amp;DATE(2024,1,1),'2025数据'!$G$3:$G$181,"&lt;="&amp;DATE(2025,1,31),'2025数据'!$B$3:$B$181,$E345))</f>
        <v>1</v>
      </c>
      <c r="G345" s="206">
        <f ca="1">IF($S$1&lt;DATE(2025,2,1)," ",COUNTIFS('2025数据'!$G$3:$G$181,"&gt;="&amp;DATE(2025,2,1),'2025数据'!$G$3:$G$181,"&lt;="&amp;DATE(2025,2,28),'2025数据'!$B$3:$B$181,$E345))</f>
        <v>0</v>
      </c>
      <c r="H345" s="206">
        <f ca="1">IF($S$1&lt;DATE(2025,3,1)," ",COUNTIFS('2025数据'!$G$3:$G$181,"&gt;="&amp;DATE(2025,3,1),'2025数据'!$G$3:$G$181,"&lt;="&amp;DATE(2025,3,31),'2025数据'!$B$3:$B$181,$E345))</f>
        <v>0</v>
      </c>
      <c r="I345" s="206">
        <f ca="1">IF($S$1&lt;DATE(2025,4,1)," ",COUNTIFS('2025数据'!$G$3:$G$181,"&gt;="&amp;DATE(2025,4,1),'2025数据'!$G$3:$G$181,"&lt;="&amp;DATE(2025,4,30),'2025数据'!$B$3:$B$181,$E345))</f>
        <v>0</v>
      </c>
      <c r="J345" s="206">
        <f ca="1">IF($S$1&lt;DATE(2025,5,1)," ",COUNTIFS('2025数据'!$G$3:$G$181,"&gt;="&amp;DATE(2025,5,1),'2025数据'!$G$3:$G$181,"&lt;="&amp;DATE(2025,5,31),'2025数据'!$B$3:$B$181,$E345))</f>
        <v>0</v>
      </c>
      <c r="K345" s="206">
        <f ca="1">IF($S$1&lt;DATE(2025,6,1)," ",COUNTIFS('2025数据'!$G$3:$G$181,"&gt;="&amp;DATE(2025,6,1),'2025数据'!$G$3:$G$181,"&lt;="&amp;DATE(2025,6,30),'2025数据'!$B$3:$B$181,$E345))</f>
        <v>0</v>
      </c>
      <c r="L345" s="206">
        <f ca="1">IF($S$1&lt;DATE(2025,7,1)," ",COUNTIFS('2025数据'!$G$3:$G$181,"&gt;="&amp;DATE(2025,7,1),'2025数据'!$G$3:$G$181,"&lt;="&amp;DATE(2025,7,31),'2025数据'!$B$3:$B$181,$E345))</f>
        <v>0</v>
      </c>
      <c r="M345" s="206">
        <f ca="1">IF($S$1&lt;DATE(2025,8,1)," ",COUNTIFS('2025数据'!$G$3:$G$181,"&gt;="&amp;DATE(2025,8,1),'2025数据'!$G$3:$G$181,"&lt;="&amp;DATE(2025,8,31),'2025数据'!$B$3:$B$181,$E345))</f>
        <v>1</v>
      </c>
      <c r="N345" s="206">
        <f ca="1">IF($S$1&lt;DATE(2025,9,1)," ",COUNTIFS('2025数据'!$G$3:$G$181,"&gt;="&amp;DATE(2025,9,1),'2025数据'!$G$3:$G$181,"&lt;="&amp;DATE(2025,9,30),'2025数据'!$B$3:$B$181,$E345))</f>
        <v>1</v>
      </c>
      <c r="O345" s="206">
        <f ca="1">IF($S$1&lt;DATE(2025,10,1)," ",COUNTIFS('2025数据'!$G$3:$G$181,"&gt;="&amp;DATE(2025,10,1),'2025数据'!$G$3:$G$181,"&lt;="&amp;DATE(2025,10,31),'2025数据'!$B$3:$B$181,$E345))</f>
        <v>0</v>
      </c>
      <c r="P345" s="208">
        <f ca="1">IF($S$1&lt;DATE(2025,11,1)," ",COUNTIFS('2025数据'!$G$3:$G$181,"&gt;="&amp;DATE(2025,11,1),'2025数据'!$G$3:$G$181,"&lt;="&amp;DATE(2025,11,30),'2025数据'!$B$3:$B$181,$E345))</f>
        <v>2</v>
      </c>
      <c r="Q345" s="208">
        <f ca="1">IF($S$1&lt;DATE(2025,12,1)," ",COUNTIFS('2025数据'!$G$3:$G$181,"&gt;="&amp;DATE(2025,12,1),'2025数据'!$G$3:$G$181,"&lt;="&amp;DATE(2025,12,31),'2025数据'!$B$3:$B$181,$E345))</f>
        <v>1</v>
      </c>
    </row>
    <row r="346" ht="24" customHeight="1" spans="1:17">
      <c r="A346" s="99" t="s">
        <v>345</v>
      </c>
      <c r="B346" s="99" t="s">
        <v>290</v>
      </c>
      <c r="C346" s="99" t="s">
        <v>291</v>
      </c>
      <c r="D346" s="47" t="s">
        <v>294</v>
      </c>
      <c r="E346" s="47" t="s">
        <v>85</v>
      </c>
      <c r="F346" s="206">
        <f ca="1">IF($S$1&lt;DATE(2025,1,1)," ",COUNTIFS('2025数据'!$G$3:$G$181,"&gt;="&amp;DATE(2024,1,1),'2025数据'!$G$3:$G$181,"&lt;="&amp;DATE(2025,1,31),'2025数据'!$B$3:$B$181,$E346))</f>
        <v>0</v>
      </c>
      <c r="G346" s="206">
        <f ca="1">IF($S$1&lt;DATE(2025,2,1)," ",COUNTIFS('2025数据'!$G$3:$G$181,"&gt;="&amp;DATE(2025,2,1),'2025数据'!$G$3:$G$181,"&lt;="&amp;DATE(2025,2,28),'2025数据'!$B$3:$B$181,$E346))</f>
        <v>0</v>
      </c>
      <c r="H346" s="206">
        <f ca="1">IF($S$1&lt;DATE(2025,3,1)," ",COUNTIFS('2025数据'!$G$3:$G$181,"&gt;="&amp;DATE(2025,3,1),'2025数据'!$G$3:$G$181,"&lt;="&amp;DATE(2025,3,31),'2025数据'!$B$3:$B$181,$E346))</f>
        <v>0</v>
      </c>
      <c r="I346" s="206">
        <f ca="1">IF($S$1&lt;DATE(2025,4,1)," ",COUNTIFS('2025数据'!$G$3:$G$181,"&gt;="&amp;DATE(2025,4,1),'2025数据'!$G$3:$G$181,"&lt;="&amp;DATE(2025,4,30),'2025数据'!$B$3:$B$181,$E346))</f>
        <v>0</v>
      </c>
      <c r="J346" s="206">
        <f ca="1">IF($S$1&lt;DATE(2025,5,1)," ",COUNTIFS('2025数据'!$G$3:$G$181,"&gt;="&amp;DATE(2025,5,1),'2025数据'!$G$3:$G$181,"&lt;="&amp;DATE(2025,5,31),'2025数据'!$B$3:$B$181,$E346))</f>
        <v>0</v>
      </c>
      <c r="K346" s="206">
        <f ca="1">IF($S$1&lt;DATE(2025,6,1)," ",COUNTIFS('2025数据'!$G$3:$G$181,"&gt;="&amp;DATE(2025,6,1),'2025数据'!$G$3:$G$181,"&lt;="&amp;DATE(2025,6,30),'2025数据'!$B$3:$B$181,$E346))</f>
        <v>0</v>
      </c>
      <c r="L346" s="206">
        <f ca="1">IF($S$1&lt;DATE(2025,7,1)," ",COUNTIFS('2025数据'!$G$3:$G$181,"&gt;="&amp;DATE(2025,7,1),'2025数据'!$G$3:$G$181,"&lt;="&amp;DATE(2025,7,31),'2025数据'!$B$3:$B$181,$E346))</f>
        <v>0</v>
      </c>
      <c r="M346" s="206">
        <f ca="1">IF($S$1&lt;DATE(2025,8,1)," ",COUNTIFS('2025数据'!$G$3:$G$181,"&gt;="&amp;DATE(2025,8,1),'2025数据'!$G$3:$G$181,"&lt;="&amp;DATE(2025,8,31),'2025数据'!$B$3:$B$181,$E346))</f>
        <v>1</v>
      </c>
      <c r="N346" s="206">
        <f ca="1">IF($S$1&lt;DATE(2025,9,1)," ",COUNTIFS('2025数据'!$G$3:$G$181,"&gt;="&amp;DATE(2025,9,1),'2025数据'!$G$3:$G$181,"&lt;="&amp;DATE(2025,9,30),'2025数据'!$B$3:$B$181,$E346))</f>
        <v>0</v>
      </c>
      <c r="O346" s="206">
        <f ca="1">IF($S$1&lt;DATE(2025,10,1)," ",COUNTIFS('2025数据'!$G$3:$G$181,"&gt;="&amp;DATE(2025,10,1),'2025数据'!$G$3:$G$181,"&lt;="&amp;DATE(2025,10,31),'2025数据'!$B$3:$B$181,$E346))</f>
        <v>1</v>
      </c>
      <c r="P346" s="208">
        <f ca="1">IF($S$1&lt;DATE(2025,11,1)," ",COUNTIFS('2025数据'!$G$3:$G$181,"&gt;="&amp;DATE(2025,11,1),'2025数据'!$G$3:$G$181,"&lt;="&amp;DATE(2025,11,30),'2025数据'!$B$3:$B$181,$E346))</f>
        <v>0</v>
      </c>
      <c r="Q346" s="208">
        <f ca="1">IF($S$1&lt;DATE(2025,12,1)," ",COUNTIFS('2025数据'!$G$3:$G$181,"&gt;="&amp;DATE(2025,12,1),'2025数据'!$G$3:$G$181,"&lt;="&amp;DATE(2025,12,31),'2025数据'!$B$3:$B$181,$E346))</f>
        <v>2</v>
      </c>
    </row>
    <row r="347" ht="24" customHeight="1" spans="1:17">
      <c r="A347" s="99" t="s">
        <v>345</v>
      </c>
      <c r="B347" s="99" t="s">
        <v>290</v>
      </c>
      <c r="C347" s="99" t="s">
        <v>291</v>
      </c>
      <c r="D347" s="47" t="s">
        <v>294</v>
      </c>
      <c r="E347" s="47" t="s">
        <v>81</v>
      </c>
      <c r="F347" s="206">
        <f ca="1">IF($S$1&lt;DATE(2025,1,1)," ",COUNTIFS('2025数据'!$G$3:$G$181,"&gt;="&amp;DATE(2024,1,1),'2025数据'!$G$3:$G$181,"&lt;="&amp;DATE(2025,1,31),'2025数据'!$B$3:$B$181,$E347))</f>
        <v>0</v>
      </c>
      <c r="G347" s="206">
        <f ca="1">IF($S$1&lt;DATE(2025,2,1)," ",COUNTIFS('2025数据'!$G$3:$G$181,"&gt;="&amp;DATE(2025,2,1),'2025数据'!$G$3:$G$181,"&lt;="&amp;DATE(2025,2,28),'2025数据'!$B$3:$B$181,$E347))</f>
        <v>0</v>
      </c>
      <c r="H347" s="206">
        <f ca="1">IF($S$1&lt;DATE(2025,3,1)," ",COUNTIFS('2025数据'!$G$3:$G$181,"&gt;="&amp;DATE(2025,3,1),'2025数据'!$G$3:$G$181,"&lt;="&amp;DATE(2025,3,31),'2025数据'!$B$3:$B$181,$E347))</f>
        <v>0</v>
      </c>
      <c r="I347" s="206">
        <f ca="1">IF($S$1&lt;DATE(2025,4,1)," ",COUNTIFS('2025数据'!$G$3:$G$181,"&gt;="&amp;DATE(2025,4,1),'2025数据'!$G$3:$G$181,"&lt;="&amp;DATE(2025,4,30),'2025数据'!$B$3:$B$181,$E347))</f>
        <v>0</v>
      </c>
      <c r="J347" s="206">
        <f ca="1">IF($S$1&lt;DATE(2025,5,1)," ",COUNTIFS('2025数据'!$G$3:$G$181,"&gt;="&amp;DATE(2025,5,1),'2025数据'!$G$3:$G$181,"&lt;="&amp;DATE(2025,5,31),'2025数据'!$B$3:$B$181,$E347))</f>
        <v>0</v>
      </c>
      <c r="K347" s="206">
        <f ca="1">IF($S$1&lt;DATE(2025,6,1)," ",COUNTIFS('2025数据'!$G$3:$G$181,"&gt;="&amp;DATE(2025,6,1),'2025数据'!$G$3:$G$181,"&lt;="&amp;DATE(2025,6,30),'2025数据'!$B$3:$B$181,$E347))</f>
        <v>0</v>
      </c>
      <c r="L347" s="206">
        <f ca="1">IF($S$1&lt;DATE(2025,7,1)," ",COUNTIFS('2025数据'!$G$3:$G$181,"&gt;="&amp;DATE(2025,7,1),'2025数据'!$G$3:$G$181,"&lt;="&amp;DATE(2025,7,31),'2025数据'!$B$3:$B$181,$E347))</f>
        <v>0</v>
      </c>
      <c r="M347" s="206">
        <f ca="1">IF($S$1&lt;DATE(2025,8,1)," ",COUNTIFS('2025数据'!$G$3:$G$181,"&gt;="&amp;DATE(2025,8,1),'2025数据'!$G$3:$G$181,"&lt;="&amp;DATE(2025,8,31),'2025数据'!$B$3:$B$181,$E347))</f>
        <v>0</v>
      </c>
      <c r="N347" s="206">
        <f ca="1">IF($S$1&lt;DATE(2025,9,1)," ",COUNTIFS('2025数据'!$G$3:$G$181,"&gt;="&amp;DATE(2025,9,1),'2025数据'!$G$3:$G$181,"&lt;="&amp;DATE(2025,9,30),'2025数据'!$B$3:$B$181,$E347))</f>
        <v>0</v>
      </c>
      <c r="O347" s="206">
        <f ca="1">IF($S$1&lt;DATE(2025,10,1)," ",COUNTIFS('2025数据'!$G$3:$G$181,"&gt;="&amp;DATE(2025,10,1),'2025数据'!$G$3:$G$181,"&lt;="&amp;DATE(2025,10,31),'2025数据'!$B$3:$B$181,$E347))</f>
        <v>0</v>
      </c>
      <c r="P347" s="208">
        <f ca="1">IF($S$1&lt;DATE(2025,11,1)," ",COUNTIFS('2025数据'!$G$3:$G$181,"&gt;="&amp;DATE(2025,11,1),'2025数据'!$G$3:$G$181,"&lt;="&amp;DATE(2025,11,30),'2025数据'!$B$3:$B$181,$E347))</f>
        <v>0</v>
      </c>
      <c r="Q347" s="208">
        <f ca="1">IF($S$1&lt;DATE(2025,12,1)," ",COUNTIFS('2025数据'!$G$3:$G$181,"&gt;="&amp;DATE(2025,12,1),'2025数据'!$G$3:$G$181,"&lt;="&amp;DATE(2025,12,31),'2025数据'!$B$3:$B$181,$E347))</f>
        <v>1</v>
      </c>
    </row>
    <row r="348" ht="24" customHeight="1" spans="1:17">
      <c r="A348" s="99" t="s">
        <v>345</v>
      </c>
      <c r="B348" s="99" t="s">
        <v>290</v>
      </c>
      <c r="C348" s="99" t="s">
        <v>291</v>
      </c>
      <c r="D348" s="47" t="s">
        <v>294</v>
      </c>
      <c r="E348" s="47" t="s">
        <v>96</v>
      </c>
      <c r="F348" s="206">
        <f ca="1">IF($S$1&lt;DATE(2025,1,1)," ",COUNTIFS('2025数据'!$G$3:$G$181,"&gt;="&amp;DATE(2024,1,1),'2025数据'!$G$3:$G$181,"&lt;="&amp;DATE(2025,1,31),'2025数据'!$B$3:$B$181,$E348))</f>
        <v>0</v>
      </c>
      <c r="G348" s="206">
        <f ca="1">IF($S$1&lt;DATE(2025,2,1)," ",COUNTIFS('2025数据'!$G$3:$G$181,"&gt;="&amp;DATE(2025,2,1),'2025数据'!$G$3:$G$181,"&lt;="&amp;DATE(2025,2,28),'2025数据'!$B$3:$B$181,$E348))</f>
        <v>0</v>
      </c>
      <c r="H348" s="206">
        <f ca="1">IF($S$1&lt;DATE(2025,3,1)," ",COUNTIFS('2025数据'!$G$3:$G$181,"&gt;="&amp;DATE(2025,3,1),'2025数据'!$G$3:$G$181,"&lt;="&amp;DATE(2025,3,31),'2025数据'!$B$3:$B$181,$E348))</f>
        <v>0</v>
      </c>
      <c r="I348" s="206">
        <f ca="1">IF($S$1&lt;DATE(2025,4,1)," ",COUNTIFS('2025数据'!$G$3:$G$181,"&gt;="&amp;DATE(2025,4,1),'2025数据'!$G$3:$G$181,"&lt;="&amp;DATE(2025,4,30),'2025数据'!$B$3:$B$181,$E348))</f>
        <v>0</v>
      </c>
      <c r="J348" s="206">
        <f ca="1">IF($S$1&lt;DATE(2025,5,1)," ",COUNTIFS('2025数据'!$G$3:$G$181,"&gt;="&amp;DATE(2025,5,1),'2025数据'!$G$3:$G$181,"&lt;="&amp;DATE(2025,5,31),'2025数据'!$B$3:$B$181,$E348))</f>
        <v>0</v>
      </c>
      <c r="K348" s="206">
        <f ca="1">IF($S$1&lt;DATE(2025,6,1)," ",COUNTIFS('2025数据'!$G$3:$G$181,"&gt;="&amp;DATE(2025,6,1),'2025数据'!$G$3:$G$181,"&lt;="&amp;DATE(2025,6,30),'2025数据'!$B$3:$B$181,$E348))</f>
        <v>0</v>
      </c>
      <c r="L348" s="206">
        <f ca="1">IF($S$1&lt;DATE(2025,7,1)," ",COUNTIFS('2025数据'!$G$3:$G$181,"&gt;="&amp;DATE(2025,7,1),'2025数据'!$G$3:$G$181,"&lt;="&amp;DATE(2025,7,31),'2025数据'!$B$3:$B$181,$E348))</f>
        <v>0</v>
      </c>
      <c r="M348" s="206">
        <f ca="1">IF($S$1&lt;DATE(2025,8,1)," ",COUNTIFS('2025数据'!$G$3:$G$181,"&gt;="&amp;DATE(2025,8,1),'2025数据'!$G$3:$G$181,"&lt;="&amp;DATE(2025,8,31),'2025数据'!$B$3:$B$181,$E348))</f>
        <v>0</v>
      </c>
      <c r="N348" s="206">
        <f ca="1">IF($S$1&lt;DATE(2025,9,1)," ",COUNTIFS('2025数据'!$G$3:$G$181,"&gt;="&amp;DATE(2025,9,1),'2025数据'!$G$3:$G$181,"&lt;="&amp;DATE(2025,9,30),'2025数据'!$B$3:$B$181,$E348))</f>
        <v>0</v>
      </c>
      <c r="O348" s="206">
        <f ca="1">IF($S$1&lt;DATE(2025,10,1)," ",COUNTIFS('2025数据'!$G$3:$G$181,"&gt;="&amp;DATE(2025,10,1),'2025数据'!$G$3:$G$181,"&lt;="&amp;DATE(2025,10,31),'2025数据'!$B$3:$B$181,$E348))</f>
        <v>0</v>
      </c>
      <c r="P348" s="208">
        <f ca="1">IF($S$1&lt;DATE(2025,11,1)," ",COUNTIFS('2025数据'!$G$3:$G$181,"&gt;="&amp;DATE(2025,11,1),'2025数据'!$G$3:$G$181,"&lt;="&amp;DATE(2025,11,30),'2025数据'!$B$3:$B$181,$E348))</f>
        <v>0</v>
      </c>
      <c r="Q348" s="208">
        <f ca="1">IF($S$1&lt;DATE(2025,12,1)," ",COUNTIFS('2025数据'!$G$3:$G$181,"&gt;="&amp;DATE(2025,12,1),'2025数据'!$G$3:$G$181,"&lt;="&amp;DATE(2025,12,31),'2025数据'!$B$3:$B$181,$E348))</f>
        <v>0</v>
      </c>
    </row>
    <row r="349" ht="24" customHeight="1" spans="1:17">
      <c r="A349" s="99" t="s">
        <v>345</v>
      </c>
      <c r="B349" s="99" t="s">
        <v>290</v>
      </c>
      <c r="C349" s="99" t="s">
        <v>291</v>
      </c>
      <c r="D349" s="47" t="s">
        <v>294</v>
      </c>
      <c r="E349" s="47" t="s">
        <v>160</v>
      </c>
      <c r="F349" s="206">
        <f ca="1">IF($S$1&lt;DATE(2025,1,1)," ",COUNTIFS('2025数据'!$G$3:$G$181,"&gt;="&amp;DATE(2024,1,1),'2025数据'!$G$3:$G$181,"&lt;="&amp;DATE(2025,1,31),'2025数据'!$B$3:$B$181,$E349))</f>
        <v>0</v>
      </c>
      <c r="G349" s="206">
        <f ca="1">IF($S$1&lt;DATE(2025,2,1)," ",COUNTIFS('2025数据'!$G$3:$G$181,"&gt;="&amp;DATE(2025,2,1),'2025数据'!$G$3:$G$181,"&lt;="&amp;DATE(2025,2,28),'2025数据'!$B$3:$B$181,$E349))</f>
        <v>0</v>
      </c>
      <c r="H349" s="206">
        <f ca="1">IF($S$1&lt;DATE(2025,3,1)," ",COUNTIFS('2025数据'!$G$3:$G$181,"&gt;="&amp;DATE(2025,3,1),'2025数据'!$G$3:$G$181,"&lt;="&amp;DATE(2025,3,31),'2025数据'!$B$3:$B$181,$E349))</f>
        <v>0</v>
      </c>
      <c r="I349" s="206">
        <f ca="1">IF($S$1&lt;DATE(2025,4,1)," ",COUNTIFS('2025数据'!$G$3:$G$181,"&gt;="&amp;DATE(2025,4,1),'2025数据'!$G$3:$G$181,"&lt;="&amp;DATE(2025,4,30),'2025数据'!$B$3:$B$181,$E349))</f>
        <v>0</v>
      </c>
      <c r="J349" s="206">
        <f ca="1">IF($S$1&lt;DATE(2025,5,1)," ",COUNTIFS('2025数据'!$G$3:$G$181,"&gt;="&amp;DATE(2025,5,1),'2025数据'!$G$3:$G$181,"&lt;="&amp;DATE(2025,5,31),'2025数据'!$B$3:$B$181,$E349))</f>
        <v>0</v>
      </c>
      <c r="K349" s="206">
        <f ca="1">IF($S$1&lt;DATE(2025,6,1)," ",COUNTIFS('2025数据'!$G$3:$G$181,"&gt;="&amp;DATE(2025,6,1),'2025数据'!$G$3:$G$181,"&lt;="&amp;DATE(2025,6,30),'2025数据'!$B$3:$B$181,$E349))</f>
        <v>0</v>
      </c>
      <c r="L349" s="206">
        <f ca="1">IF($S$1&lt;DATE(2025,7,1)," ",COUNTIFS('2025数据'!$G$3:$G$181,"&gt;="&amp;DATE(2025,7,1),'2025数据'!$G$3:$G$181,"&lt;="&amp;DATE(2025,7,31),'2025数据'!$B$3:$B$181,$E349))</f>
        <v>0</v>
      </c>
      <c r="M349" s="206">
        <f ca="1">IF($S$1&lt;DATE(2025,8,1)," ",COUNTIFS('2025数据'!$G$3:$G$181,"&gt;="&amp;DATE(2025,8,1),'2025数据'!$G$3:$G$181,"&lt;="&amp;DATE(2025,8,31),'2025数据'!$B$3:$B$181,$E349))</f>
        <v>0</v>
      </c>
      <c r="N349" s="206">
        <f ca="1">IF($S$1&lt;DATE(2025,9,1)," ",COUNTIFS('2025数据'!$G$3:$G$181,"&gt;="&amp;DATE(2025,9,1),'2025数据'!$G$3:$G$181,"&lt;="&amp;DATE(2025,9,30),'2025数据'!$B$3:$B$181,$E349))</f>
        <v>0</v>
      </c>
      <c r="O349" s="206">
        <f ca="1">IF($S$1&lt;DATE(2025,10,1)," ",COUNTIFS('2025数据'!$G$3:$G$181,"&gt;="&amp;DATE(2025,10,1),'2025数据'!$G$3:$G$181,"&lt;="&amp;DATE(2025,10,31),'2025数据'!$B$3:$B$181,$E349))</f>
        <v>0</v>
      </c>
      <c r="P349" s="208">
        <f ca="1">IF($S$1&lt;DATE(2025,11,1)," ",COUNTIFS('2025数据'!$G$3:$G$181,"&gt;="&amp;DATE(2025,11,1),'2025数据'!$G$3:$G$181,"&lt;="&amp;DATE(2025,11,30),'2025数据'!$B$3:$B$181,$E349))</f>
        <v>0</v>
      </c>
      <c r="Q349" s="208">
        <f ca="1">IF($S$1&lt;DATE(2025,12,1)," ",COUNTIFS('2025数据'!$G$3:$G$181,"&gt;="&amp;DATE(2025,12,1),'2025数据'!$G$3:$G$181,"&lt;="&amp;DATE(2025,12,31),'2025数据'!$B$3:$B$181,$E349))</f>
        <v>0</v>
      </c>
    </row>
    <row r="350" ht="24" customHeight="1" spans="1:17">
      <c r="A350" s="99" t="s">
        <v>345</v>
      </c>
      <c r="B350" s="99" t="s">
        <v>290</v>
      </c>
      <c r="C350" s="99" t="s">
        <v>291</v>
      </c>
      <c r="D350" s="100" t="s">
        <v>292</v>
      </c>
      <c r="E350" s="100" t="s">
        <v>295</v>
      </c>
      <c r="F350" s="204">
        <f ca="1">IF($S$1&lt;DATE(2025,1,1)," ",SUM(F351:F353))</f>
        <v>1</v>
      </c>
      <c r="G350" s="204">
        <f ca="1">IF($S$1&lt;DATE(2025,2,1)," ",SUM(G351:G353))</f>
        <v>0</v>
      </c>
      <c r="H350" s="204">
        <f ca="1">IF($S$1&lt;DATE(2025,3,1)," ",SUM(H351:H353))</f>
        <v>0</v>
      </c>
      <c r="I350" s="204">
        <f ca="1">IF($S$1&lt;DATE(2025,4,1)," ",SUM(I351:I353))</f>
        <v>0</v>
      </c>
      <c r="J350" s="204">
        <f ca="1">IF($S$1&lt;DATE(2025,5,1)," ",SUM(J351:J353))</f>
        <v>0</v>
      </c>
      <c r="K350" s="204">
        <f ca="1">IF($S$1&lt;DATE(2025,6,1)," ",SUM(K351:K353))</f>
        <v>0</v>
      </c>
      <c r="L350" s="204">
        <f ca="1">IF($S$1&lt;DATE(2025,7,1)," ",SUM(L351:L353))</f>
        <v>0</v>
      </c>
      <c r="M350" s="204">
        <f ca="1">IF($S$1&lt;DATE(2025,8,1)," ",SUM(M351:M353))</f>
        <v>2</v>
      </c>
      <c r="N350" s="204">
        <f ca="1">IF($S$1&lt;DATE(2025,9,1)," ",SUM(N351:N353))</f>
        <v>1</v>
      </c>
      <c r="O350" s="204">
        <f ca="1">IF($S$1&lt;DATE(2025,10,1)," ",SUM(O351:O353))</f>
        <v>1</v>
      </c>
      <c r="P350" s="204">
        <f ca="1">IF($S$1&lt;DATE(2025,11,1)," ",SUM(P351:P353))</f>
        <v>1</v>
      </c>
      <c r="Q350" s="204">
        <f ca="1">IF($S$1&lt;DATE(2025,12,1)," ",SUM(Q351:Q353))</f>
        <v>3</v>
      </c>
    </row>
    <row r="351" ht="24" customHeight="1" spans="1:17">
      <c r="A351" s="99" t="s">
        <v>345</v>
      </c>
      <c r="B351" s="99" t="s">
        <v>290</v>
      </c>
      <c r="C351" s="99" t="s">
        <v>291</v>
      </c>
      <c r="D351" s="48" t="s">
        <v>296</v>
      </c>
      <c r="E351" s="48" t="s">
        <v>90</v>
      </c>
      <c r="F351" s="205">
        <f ca="1">IF($S$1&lt;DATE(2025,1,1)," ",COUNTIFS('2025数据'!$G$3:$G$181,"&gt;="&amp;DATE(2024,1,1),'2025数据'!$G$3:$G$181,"&lt;="&amp;DATE(2025,1,31),'2025数据'!$AF$3:$AF$181,$E351))</f>
        <v>0</v>
      </c>
      <c r="G351" s="205">
        <f ca="1">IF($S$1&lt;DATE(2025,2,1)," ",COUNTIFS('2025数据'!$G$3:$G$181,"&gt;="&amp;DATE(2025,2,1),'2025数据'!$G$3:$G$181,"&lt;="&amp;DATE(2025,2,28),'2025数据'!$AF$3:$AF$181,$E351))</f>
        <v>0</v>
      </c>
      <c r="H351" s="205">
        <f ca="1">IF($S$1&lt;DATE(2025,3,1)," ",COUNTIFS('2025数据'!$G$3:$G$181,"&gt;="&amp;DATE(2025,3,1),'2025数据'!$G$3:$G$181,"&lt;="&amp;DATE(2025,3,31),'2025数据'!$AF$3:$AF$181,$E351))</f>
        <v>0</v>
      </c>
      <c r="I351" s="205">
        <f ca="1">IF($S$1&lt;DATE(2025,4,1)," ",COUNTIFS('2025数据'!$G$3:$G$181,"&gt;="&amp;DATE(2025,4,1),'2025数据'!$G$3:$G$181,"&lt;="&amp;DATE(2025,4,30),'2025数据'!$AF$3:$AF$181,$E351))</f>
        <v>0</v>
      </c>
      <c r="J351" s="205">
        <f ca="1">IF($S$1&lt;DATE(2025,5,1)," ",COUNTIFS('2025数据'!$G$3:$G$181,"&gt;="&amp;DATE(2025,5,1),'2025数据'!$G$3:$G$181,"&lt;="&amp;DATE(2025,5,31),'2025数据'!$AF$3:$AF$181,$E351))</f>
        <v>0</v>
      </c>
      <c r="K351" s="205">
        <f ca="1">IF($S$1&lt;DATE(2025,6,1)," ",COUNTIFS('2025数据'!$G$3:$G$181,"&gt;="&amp;DATE(2025,6,1),'2025数据'!$G$3:$G$181,"&lt;="&amp;DATE(2025,6,30),'2025数据'!$AF$3:$AF$181,$E351))</f>
        <v>0</v>
      </c>
      <c r="L351" s="205">
        <f ca="1">IF($S$1&lt;DATE(2025,7,1)," ",COUNTIFS('2025数据'!$G$3:$G$181,"&gt;="&amp;DATE(2025,7,1),'2025数据'!$G$3:$G$181,"&lt;="&amp;DATE(2025,7,31),'2025数据'!$AF$3:$AF$181,$E351))</f>
        <v>0</v>
      </c>
      <c r="M351" s="205">
        <f ca="1">IF($S$1&lt;DATE(2025,8,1)," ",COUNTIFS('2025数据'!$G$3:$G$181,"&gt;="&amp;DATE(2025,8,1),'2025数据'!$G$3:$G$181,"&lt;="&amp;DATE(2025,8,31),'2025数据'!$AF$3:$AF$181,$E351))</f>
        <v>1</v>
      </c>
      <c r="N351" s="205">
        <f ca="1">IF($S$1&lt;DATE(2025,9,1)," ",COUNTIFS('2025数据'!$G$3:$G$181,"&gt;="&amp;DATE(2025,9,1),'2025数据'!$G$3:$G$181,"&lt;="&amp;DATE(2025,9,30),'2025数据'!$AF$3:$AF$181,$E351))</f>
        <v>1</v>
      </c>
      <c r="O351" s="205">
        <f ca="1">IF($S$1&lt;DATE(2025,10,1)," ",COUNTIFS('2025数据'!$G$3:$G$181,"&gt;="&amp;DATE(2025,10,1),'2025数据'!$G$3:$G$181,"&lt;="&amp;DATE(2025,10,31),'2025数据'!$AF$3:$AF$181,$E351))</f>
        <v>0</v>
      </c>
      <c r="P351" s="207">
        <f ca="1">IF($S$1&lt;DATE(2025,11,1)," ",COUNTIFS('2025数据'!$G$3:$G$181,"&gt;="&amp;DATE(2025,11,1),'2025数据'!$G$3:$G$181,"&lt;="&amp;DATE(2025,11,30),'2025数据'!$AF$3:$AF$181,$E351))</f>
        <v>0</v>
      </c>
      <c r="Q351" s="207">
        <f ca="1">IF($S$1&lt;DATE(2025,12,1)," ",COUNTIFS('2025数据'!$G$3:$G$181,"&gt;="&amp;DATE(2025,12,1),'2025数据'!$G$3:$G$181,"&lt;="&amp;DATE(2025,12,31),'2025数据'!$AF$3:$AF$181,$E351))</f>
        <v>2</v>
      </c>
    </row>
    <row r="352" ht="24" customHeight="1" spans="1:17">
      <c r="A352" s="99" t="s">
        <v>345</v>
      </c>
      <c r="B352" s="99" t="s">
        <v>290</v>
      </c>
      <c r="C352" s="99" t="s">
        <v>291</v>
      </c>
      <c r="D352" s="48" t="s">
        <v>296</v>
      </c>
      <c r="E352" s="48" t="s">
        <v>82</v>
      </c>
      <c r="F352" s="205">
        <f ca="1">IF($S$1&lt;DATE(2025,1,1)," ",COUNTIFS('2025数据'!$G$3:$G$181,"&gt;="&amp;DATE(2024,1,1),'2025数据'!$G$3:$G$181,"&lt;="&amp;DATE(2025,1,31),'2025数据'!$AF$3:$AF$181,$E352))</f>
        <v>1</v>
      </c>
      <c r="G352" s="205">
        <f ca="1">IF($S$1&lt;DATE(2025,2,1)," ",COUNTIFS('2025数据'!$G$3:$G$181,"&gt;="&amp;DATE(2025,2,1),'2025数据'!$G$3:$G$181,"&lt;="&amp;DATE(2025,2,28),'2025数据'!$AF$3:$AF$181,$E352))</f>
        <v>0</v>
      </c>
      <c r="H352" s="205">
        <f ca="1">IF($S$1&lt;DATE(2025,3,1)," ",COUNTIFS('2025数据'!$G$3:$G$181,"&gt;="&amp;DATE(2025,3,1),'2025数据'!$G$3:$G$181,"&lt;="&amp;DATE(2025,3,31),'2025数据'!$AF$3:$AF$181,$E352))</f>
        <v>0</v>
      </c>
      <c r="I352" s="205">
        <f ca="1">IF($S$1&lt;DATE(2025,4,1)," ",COUNTIFS('2025数据'!$G$3:$G$181,"&gt;="&amp;DATE(2025,4,1),'2025数据'!$G$3:$G$181,"&lt;="&amp;DATE(2025,4,30),'2025数据'!$AF$3:$AF$181,$E352))</f>
        <v>0</v>
      </c>
      <c r="J352" s="205">
        <f ca="1">IF($S$1&lt;DATE(2025,5,1)," ",COUNTIFS('2025数据'!$G$3:$G$181,"&gt;="&amp;DATE(2025,5,1),'2025数据'!$G$3:$G$181,"&lt;="&amp;DATE(2025,5,31),'2025数据'!$AF$3:$AF$181,$E352))</f>
        <v>0</v>
      </c>
      <c r="K352" s="205">
        <f ca="1">IF($S$1&lt;DATE(2025,6,1)," ",COUNTIFS('2025数据'!$G$3:$G$181,"&gt;="&amp;DATE(2025,6,1),'2025数据'!$G$3:$G$181,"&lt;="&amp;DATE(2025,6,30),'2025数据'!$AF$3:$AF$181,$E352))</f>
        <v>0</v>
      </c>
      <c r="L352" s="205">
        <f ca="1">IF($S$1&lt;DATE(2025,7,1)," ",COUNTIFS('2025数据'!$G$3:$G$181,"&gt;="&amp;DATE(2025,7,1),'2025数据'!$G$3:$G$181,"&lt;="&amp;DATE(2025,7,31),'2025数据'!$AF$3:$AF$181,$E352))</f>
        <v>0</v>
      </c>
      <c r="M352" s="205">
        <f ca="1">IF($S$1&lt;DATE(2025,8,1)," ",COUNTIFS('2025数据'!$G$3:$G$181,"&gt;="&amp;DATE(2025,8,1),'2025数据'!$G$3:$G$181,"&lt;="&amp;DATE(2025,8,31),'2025数据'!$AF$3:$AF$181,$E352))</f>
        <v>1</v>
      </c>
      <c r="N352" s="205">
        <f ca="1">IF($S$1&lt;DATE(2025,9,1)," ",COUNTIFS('2025数据'!$G$3:$G$181,"&gt;="&amp;DATE(2025,9,1),'2025数据'!$G$3:$G$181,"&lt;="&amp;DATE(2025,9,30),'2025数据'!$AF$3:$AF$181,$E352))</f>
        <v>0</v>
      </c>
      <c r="O352" s="205">
        <f ca="1">IF($S$1&lt;DATE(2025,10,1)," ",COUNTIFS('2025数据'!$G$3:$G$181,"&gt;="&amp;DATE(2025,10,1),'2025数据'!$G$3:$G$181,"&lt;="&amp;DATE(2025,10,31),'2025数据'!$AF$3:$AF$181,$E352))</f>
        <v>1</v>
      </c>
      <c r="P352" s="207">
        <f ca="1">IF($S$1&lt;DATE(2025,11,1)," ",COUNTIFS('2025数据'!$G$3:$G$181,"&gt;="&amp;DATE(2025,11,1),'2025数据'!$G$3:$G$181,"&lt;="&amp;DATE(2025,11,30),'2025数据'!$AF$3:$AF$181,$E352))</f>
        <v>1</v>
      </c>
      <c r="Q352" s="207">
        <f ca="1">IF($S$1&lt;DATE(2025,12,1)," ",COUNTIFS('2025数据'!$G$3:$G$181,"&gt;="&amp;DATE(2025,12,1),'2025数据'!$G$3:$G$181,"&lt;="&amp;DATE(2025,12,31),'2025数据'!$AF$3:$AF$181,$E352))</f>
        <v>0</v>
      </c>
    </row>
    <row r="353" ht="24" customHeight="1" spans="1:17">
      <c r="A353" s="99" t="s">
        <v>345</v>
      </c>
      <c r="B353" s="99" t="s">
        <v>290</v>
      </c>
      <c r="C353" s="99" t="s">
        <v>291</v>
      </c>
      <c r="D353" s="48" t="s">
        <v>296</v>
      </c>
      <c r="E353" s="48" t="s">
        <v>86</v>
      </c>
      <c r="F353" s="205">
        <f ca="1">IF($S$1&lt;DATE(2025,1,1)," ",COUNTIFS('2025数据'!$G$3:$G$181,"&gt;="&amp;DATE(2024,1,1),'2025数据'!$G$3:$G$181,"&lt;="&amp;DATE(2025,1,31),'2025数据'!$AF$3:$AF$181,$E353))</f>
        <v>0</v>
      </c>
      <c r="G353" s="205">
        <f ca="1">IF($S$1&lt;DATE(2025,2,1)," ",COUNTIFS('2025数据'!$G$3:$G$181,"&gt;="&amp;DATE(2025,2,1),'2025数据'!$G$3:$G$181,"&lt;="&amp;DATE(2025,2,28),'2025数据'!$AF$3:$AF$181,$E353))</f>
        <v>0</v>
      </c>
      <c r="H353" s="205">
        <f ca="1">IF($S$1&lt;DATE(2025,3,1)," ",COUNTIFS('2025数据'!$G$3:$G$181,"&gt;="&amp;DATE(2025,3,1),'2025数据'!$G$3:$G$181,"&lt;="&amp;DATE(2025,3,31),'2025数据'!$AF$3:$AF$181,$E353))</f>
        <v>0</v>
      </c>
      <c r="I353" s="205">
        <f ca="1">IF($S$1&lt;DATE(2025,4,1)," ",COUNTIFS('2025数据'!$G$3:$G$181,"&gt;="&amp;DATE(2025,4,1),'2025数据'!$G$3:$G$181,"&lt;="&amp;DATE(2025,4,30),'2025数据'!$AF$3:$AF$181,$E353))</f>
        <v>0</v>
      </c>
      <c r="J353" s="205">
        <f ca="1">IF($S$1&lt;DATE(2025,5,1)," ",COUNTIFS('2025数据'!$G$3:$G$181,"&gt;="&amp;DATE(2025,5,1),'2025数据'!$G$3:$G$181,"&lt;="&amp;DATE(2025,5,31),'2025数据'!$AF$3:$AF$181,$E353))</f>
        <v>0</v>
      </c>
      <c r="K353" s="205">
        <f ca="1">IF($S$1&lt;DATE(2025,6,1)," ",COUNTIFS('2025数据'!$G$3:$G$181,"&gt;="&amp;DATE(2025,6,1),'2025数据'!$G$3:$G$181,"&lt;="&amp;DATE(2025,6,30),'2025数据'!$AF$3:$AF$181,$E353))</f>
        <v>0</v>
      </c>
      <c r="L353" s="205">
        <f ca="1">IF($S$1&lt;DATE(2025,7,1)," ",COUNTIFS('2025数据'!$G$3:$G$181,"&gt;="&amp;DATE(2025,7,1),'2025数据'!$G$3:$G$181,"&lt;="&amp;DATE(2025,7,31),'2025数据'!$AF$3:$AF$181,$E353))</f>
        <v>0</v>
      </c>
      <c r="M353" s="205">
        <f ca="1">IF($S$1&lt;DATE(2025,8,1)," ",COUNTIFS('2025数据'!$G$3:$G$181,"&gt;="&amp;DATE(2025,8,1),'2025数据'!$G$3:$G$181,"&lt;="&amp;DATE(2025,8,31),'2025数据'!$AF$3:$AF$181,$E353))</f>
        <v>0</v>
      </c>
      <c r="N353" s="205">
        <f ca="1">IF($S$1&lt;DATE(2025,9,1)," ",COUNTIFS('2025数据'!$G$3:$G$181,"&gt;="&amp;DATE(2025,9,1),'2025数据'!$G$3:$G$181,"&lt;="&amp;DATE(2025,9,30),'2025数据'!$AF$3:$AF$181,$E353))</f>
        <v>0</v>
      </c>
      <c r="O353" s="205">
        <f ca="1">IF($S$1&lt;DATE(2025,10,1)," ",COUNTIFS('2025数据'!$G$3:$G$181,"&gt;="&amp;DATE(2025,10,1),'2025数据'!$G$3:$G$181,"&lt;="&amp;DATE(2025,10,31),'2025数据'!$AF$3:$AF$181,$E353))</f>
        <v>0</v>
      </c>
      <c r="P353" s="207">
        <f ca="1">IF($S$1&lt;DATE(2025,11,1)," ",COUNTIFS('2025数据'!$G$3:$G$181,"&gt;="&amp;DATE(2025,11,1),'2025数据'!$G$3:$G$181,"&lt;="&amp;DATE(2025,11,30),'2025数据'!$AF$3:$AF$181,$E353))</f>
        <v>0</v>
      </c>
      <c r="Q353" s="207">
        <f ca="1">IF($S$1&lt;DATE(2025,12,1)," ",COUNTIFS('2025数据'!$G$3:$G$181,"&gt;="&amp;DATE(2025,12,1),'2025数据'!$G$3:$G$181,"&lt;="&amp;DATE(2025,12,31),'2025数据'!$AF$3:$AF$181,$E353))</f>
        <v>1</v>
      </c>
    </row>
    <row r="354" ht="24" customHeight="1" spans="1:17">
      <c r="A354" s="99" t="s">
        <v>345</v>
      </c>
      <c r="B354" s="99" t="s">
        <v>290</v>
      </c>
      <c r="C354" s="99" t="s">
        <v>291</v>
      </c>
      <c r="D354" s="100" t="s">
        <v>292</v>
      </c>
      <c r="E354" s="100" t="s">
        <v>297</v>
      </c>
      <c r="F354" s="204">
        <f ca="1">IF($S$1&lt;DATE(2025,1,1)," ",SUM(F355:F358))</f>
        <v>1</v>
      </c>
      <c r="G354" s="204">
        <f ca="1">IF($S$1&lt;DATE(2025,2,1)," ",SUM(G355:G358))</f>
        <v>0</v>
      </c>
      <c r="H354" s="204">
        <f ca="1">IF($S$1&lt;DATE(2025,3,1)," ",SUM(H355:H358))</f>
        <v>0</v>
      </c>
      <c r="I354" s="204">
        <f ca="1">IF($S$1&lt;DATE(2025,4,1)," ",SUM(I355:I358))</f>
        <v>0</v>
      </c>
      <c r="J354" s="204">
        <f ca="1">IF($S$1&lt;DATE(2025,5,1)," ",SUM(J355:J358))</f>
        <v>0</v>
      </c>
      <c r="K354" s="204">
        <f ca="1">IF($S$1&lt;DATE(2025,6,1)," ",SUM(K355:K358))</f>
        <v>0</v>
      </c>
      <c r="L354" s="204">
        <f ca="1">IF($S$1&lt;DATE(2025,7,1)," ",SUM(L355:L358))</f>
        <v>0</v>
      </c>
      <c r="M354" s="204">
        <f ca="1">IF($S$1&lt;DATE(2025,8,1)," ",SUM(M355:M358))</f>
        <v>2</v>
      </c>
      <c r="N354" s="204">
        <f ca="1">IF($S$1&lt;DATE(2025,9,1)," ",SUM(N355:N358))</f>
        <v>0</v>
      </c>
      <c r="O354" s="204">
        <f ca="1">IF($S$1&lt;DATE(2025,10,1)," ",SUM(O355:O358))</f>
        <v>0</v>
      </c>
      <c r="P354" s="204">
        <f ca="1">IF($S$1&lt;DATE(2025,11,1)," ",SUM(P355:P358))</f>
        <v>2</v>
      </c>
      <c r="Q354" s="204">
        <f ca="1">IF($S$1&lt;DATE(2025,12,1)," ",SUM(Q355:Q358))</f>
        <v>3</v>
      </c>
    </row>
    <row r="355" ht="24" customHeight="1" spans="1:17">
      <c r="A355" s="99" t="s">
        <v>345</v>
      </c>
      <c r="B355" s="99" t="s">
        <v>290</v>
      </c>
      <c r="C355" s="99" t="s">
        <v>291</v>
      </c>
      <c r="D355" s="48" t="s">
        <v>298</v>
      </c>
      <c r="E355" s="48" t="s">
        <v>97</v>
      </c>
      <c r="F355" s="205">
        <f ca="1">IF($S$1&lt;DATE(2025,1,1)," ",COUNTIFS('2025数据'!$G$3:$G$181,"&gt;="&amp;DATE(2024,1,1),'2025数据'!$G$3:$G$181,"&lt;="&amp;DATE(2025,1,31),'2025数据'!$AG$3:$AG$181,$E355))</f>
        <v>0</v>
      </c>
      <c r="G355" s="205">
        <f ca="1">IF($S$1&lt;DATE(2025,2,1)," ",COUNTIFS('2025数据'!$G$3:$G$181,"&gt;="&amp;DATE(2025,2,1),'2025数据'!$G$3:$G$181,"&lt;="&amp;DATE(2025,2,28),'2025数据'!$AG$3:$AG$181,$E355))</f>
        <v>0</v>
      </c>
      <c r="H355" s="205">
        <f ca="1">IF($S$1&lt;DATE(2025,3,1)," ",COUNTIFS('2025数据'!$G$3:$G$181,"&gt;="&amp;DATE(2025,3,1),'2025数据'!$G$3:$G$181,"&lt;="&amp;DATE(2025,3,31),'2025数据'!$AG$3:$AG$181,$E355))</f>
        <v>0</v>
      </c>
      <c r="I355" s="205">
        <f ca="1">IF($S$1&lt;DATE(2025,4,1)," ",COUNTIFS('2025数据'!$G$3:$G$181,"&gt;="&amp;DATE(2025,4,1),'2025数据'!$G$3:$G$181,"&lt;="&amp;DATE(2025,4,30),'2025数据'!$AG$3:$AG$181,$E355))</f>
        <v>0</v>
      </c>
      <c r="J355" s="205">
        <f ca="1">IF($S$1&lt;DATE(2025,5,1)," ",COUNTIFS('2025数据'!$G$3:$G$181,"&gt;="&amp;DATE(2025,5,1),'2025数据'!$G$3:$G$181,"&lt;="&amp;DATE(2025,5,31),'2025数据'!$AG$3:$AG$181,$E355))</f>
        <v>0</v>
      </c>
      <c r="K355" s="205">
        <f ca="1">IF($S$1&lt;DATE(2025,6,1)," ",COUNTIFS('2025数据'!$G$3:$G$181,"&gt;="&amp;DATE(2025,6,1),'2025数据'!$G$3:$G$181,"&lt;="&amp;DATE(2025,6,30),'2025数据'!$AG$3:$AG$181,$E355))</f>
        <v>0</v>
      </c>
      <c r="L355" s="205">
        <f ca="1">IF($S$1&lt;DATE(2025,7,1)," ",COUNTIFS('2025数据'!$G$3:$G$181,"&gt;="&amp;DATE(2025,7,1),'2025数据'!$G$3:$G$181,"&lt;="&amp;DATE(2025,7,31),'2025数据'!$AG$3:$AG$181,$E355))</f>
        <v>0</v>
      </c>
      <c r="M355" s="205">
        <f ca="1">IF($S$1&lt;DATE(2025,8,1)," ",COUNTIFS('2025数据'!$G$3:$G$181,"&gt;="&amp;DATE(2025,8,1),'2025数据'!$G$3:$G$181,"&lt;="&amp;DATE(2025,8,31),'2025数据'!$AG$3:$AG$181,$E355))</f>
        <v>1</v>
      </c>
      <c r="N355" s="205">
        <f ca="1">IF($S$1&lt;DATE(2025,9,1)," ",COUNTIFS('2025数据'!$G$3:$G$181,"&gt;="&amp;DATE(2025,9,1),'2025数据'!$G$3:$G$181,"&lt;="&amp;DATE(2025,9,30),'2025数据'!$AG$3:$AG$181,$E355))</f>
        <v>0</v>
      </c>
      <c r="O355" s="205">
        <f ca="1">IF($S$1&lt;DATE(2025,10,1)," ",COUNTIFS('2025数据'!$G$3:$G$181,"&gt;="&amp;DATE(2025,10,1),'2025数据'!$G$3:$G$181,"&lt;="&amp;DATE(2025,10,31),'2025数据'!$AG$3:$AG$181,$E355))</f>
        <v>0</v>
      </c>
      <c r="P355" s="207">
        <f ca="1">IF($S$1&lt;DATE(2025,11,1)," ",COUNTIFS('2025数据'!$G$3:$G$181,"&gt;="&amp;DATE(2025,11,1),'2025数据'!$G$3:$G$181,"&lt;="&amp;DATE(2025,11,30),'2025数据'!$AG$3:$AG$181,$E355))</f>
        <v>2</v>
      </c>
      <c r="Q355" s="207">
        <f ca="1">IF($S$1&lt;DATE(2025,12,1)," ",COUNTIFS('2025数据'!$G$3:$G$181,"&gt;="&amp;DATE(2025,12,1),'2025数据'!$G$3:$G$181,"&lt;="&amp;DATE(2025,12,31),'2025数据'!$AG$3:$AG$181,$E355))</f>
        <v>2</v>
      </c>
    </row>
    <row r="356" ht="24" customHeight="1" spans="1:17">
      <c r="A356" s="99" t="s">
        <v>345</v>
      </c>
      <c r="B356" s="99" t="s">
        <v>290</v>
      </c>
      <c r="C356" s="99" t="s">
        <v>291</v>
      </c>
      <c r="D356" s="48" t="s">
        <v>298</v>
      </c>
      <c r="E356" s="48" t="s">
        <v>87</v>
      </c>
      <c r="F356" s="205">
        <f ca="1">IF($S$1&lt;DATE(2025,1,1)," ",COUNTIFS('2025数据'!$G$3:$G$181,"&gt;="&amp;DATE(2024,1,1),'2025数据'!$G$3:$G$181,"&lt;="&amp;DATE(2025,1,31),'2025数据'!$AG$3:$AG$181,$E356))</f>
        <v>0</v>
      </c>
      <c r="G356" s="205">
        <f ca="1">IF($S$1&lt;DATE(2025,2,1)," ",COUNTIFS('2025数据'!$G$3:$G$181,"&gt;="&amp;DATE(2025,2,1),'2025数据'!$G$3:$G$181,"&lt;="&amp;DATE(2025,2,28),'2025数据'!$AG$3:$AG$181,$E356))</f>
        <v>0</v>
      </c>
      <c r="H356" s="205">
        <f ca="1">IF($S$1&lt;DATE(2025,3,1)," ",COUNTIFS('2025数据'!$G$3:$G$181,"&gt;="&amp;DATE(2025,3,1),'2025数据'!$G$3:$G$181,"&lt;="&amp;DATE(2025,3,31),'2025数据'!$AG$3:$AG$181,$E356))</f>
        <v>0</v>
      </c>
      <c r="I356" s="205">
        <f ca="1">IF($S$1&lt;DATE(2025,4,1)," ",COUNTIFS('2025数据'!$G$3:$G$181,"&gt;="&amp;DATE(2025,4,1),'2025数据'!$G$3:$G$181,"&lt;="&amp;DATE(2025,4,30),'2025数据'!$AG$3:$AG$181,$E356))</f>
        <v>0</v>
      </c>
      <c r="J356" s="205">
        <f ca="1">IF($S$1&lt;DATE(2025,5,1)," ",COUNTIFS('2025数据'!$G$3:$G$181,"&gt;="&amp;DATE(2025,5,1),'2025数据'!$G$3:$G$181,"&lt;="&amp;DATE(2025,5,31),'2025数据'!$AG$3:$AG$181,$E356))</f>
        <v>0</v>
      </c>
      <c r="K356" s="205">
        <f ca="1">IF($S$1&lt;DATE(2025,6,1)," ",COUNTIFS('2025数据'!$G$3:$G$181,"&gt;="&amp;DATE(2025,6,1),'2025数据'!$G$3:$G$181,"&lt;="&amp;DATE(2025,6,30),'2025数据'!$AG$3:$AG$181,$E356))</f>
        <v>0</v>
      </c>
      <c r="L356" s="205">
        <f ca="1">IF($S$1&lt;DATE(2025,7,1)," ",COUNTIFS('2025数据'!$G$3:$G$181,"&gt;="&amp;DATE(2025,7,1),'2025数据'!$G$3:$G$181,"&lt;="&amp;DATE(2025,7,31),'2025数据'!$AG$3:$AG$181,$E356))</f>
        <v>0</v>
      </c>
      <c r="M356" s="205">
        <f ca="1">IF($S$1&lt;DATE(2025,8,1)," ",COUNTIFS('2025数据'!$G$3:$G$181,"&gt;="&amp;DATE(2025,8,1),'2025数据'!$G$3:$G$181,"&lt;="&amp;DATE(2025,8,31),'2025数据'!$AG$3:$AG$181,$E356))</f>
        <v>0</v>
      </c>
      <c r="N356" s="205">
        <f ca="1">IF($S$1&lt;DATE(2025,9,1)," ",COUNTIFS('2025数据'!$G$3:$G$181,"&gt;="&amp;DATE(2025,9,1),'2025数据'!$G$3:$G$181,"&lt;="&amp;DATE(2025,9,30),'2025数据'!$AG$3:$AG$181,$E356))</f>
        <v>0</v>
      </c>
      <c r="O356" s="205">
        <f ca="1">IF($S$1&lt;DATE(2025,10,1)," ",COUNTIFS('2025数据'!$G$3:$G$181,"&gt;="&amp;DATE(2025,10,1),'2025数据'!$G$3:$G$181,"&lt;="&amp;DATE(2025,10,31),'2025数据'!$AG$3:$AG$181,$E356))</f>
        <v>0</v>
      </c>
      <c r="P356" s="207">
        <f ca="1">IF($S$1&lt;DATE(2025,11,1)," ",COUNTIFS('2025数据'!$G$3:$G$181,"&gt;="&amp;DATE(2025,11,1),'2025数据'!$G$3:$G$181,"&lt;="&amp;DATE(2025,11,30),'2025数据'!$AG$3:$AG$181,$E356))</f>
        <v>0</v>
      </c>
      <c r="Q356" s="207">
        <f ca="1">IF($S$1&lt;DATE(2025,12,1)," ",COUNTIFS('2025数据'!$G$3:$G$181,"&gt;="&amp;DATE(2025,12,1),'2025数据'!$G$3:$G$181,"&lt;="&amp;DATE(2025,12,31),'2025数据'!$AG$3:$AG$181,$E356))</f>
        <v>1</v>
      </c>
    </row>
    <row r="357" ht="24" customHeight="1" spans="1:17">
      <c r="A357" s="99" t="s">
        <v>345</v>
      </c>
      <c r="B357" s="99" t="s">
        <v>290</v>
      </c>
      <c r="C357" s="99" t="s">
        <v>291</v>
      </c>
      <c r="D357" s="48" t="s">
        <v>298</v>
      </c>
      <c r="E357" s="48" t="s">
        <v>149</v>
      </c>
      <c r="F357" s="205">
        <f ca="1">IF($S$1&lt;DATE(2025,1,1)," ",COUNTIFS('2025数据'!$G$3:$G$181,"&gt;="&amp;DATE(2024,1,1),'2025数据'!$G$3:$G$181,"&lt;="&amp;DATE(2025,1,31),'2025数据'!$AG$3:$AG$181,$E357))</f>
        <v>0</v>
      </c>
      <c r="G357" s="205">
        <f ca="1">IF($S$1&lt;DATE(2025,2,1)," ",COUNTIFS('2025数据'!$G$3:$G$181,"&gt;="&amp;DATE(2025,2,1),'2025数据'!$G$3:$G$181,"&lt;="&amp;DATE(2025,2,28),'2025数据'!$AG$3:$AG$181,$E357))</f>
        <v>0</v>
      </c>
      <c r="H357" s="205">
        <f ca="1">IF($S$1&lt;DATE(2025,3,1)," ",COUNTIFS('2025数据'!$G$3:$G$181,"&gt;="&amp;DATE(2025,3,1),'2025数据'!$G$3:$G$181,"&lt;="&amp;DATE(2025,3,31),'2025数据'!$AG$3:$AG$181,$E357))</f>
        <v>0</v>
      </c>
      <c r="I357" s="205">
        <f ca="1">IF($S$1&lt;DATE(2025,4,1)," ",COUNTIFS('2025数据'!$G$3:$G$181,"&gt;="&amp;DATE(2025,4,1),'2025数据'!$G$3:$G$181,"&lt;="&amp;DATE(2025,4,30),'2025数据'!$AG$3:$AG$181,$E357))</f>
        <v>0</v>
      </c>
      <c r="J357" s="205">
        <f ca="1">IF($S$1&lt;DATE(2025,5,1)," ",COUNTIFS('2025数据'!$G$3:$G$181,"&gt;="&amp;DATE(2025,5,1),'2025数据'!$G$3:$G$181,"&lt;="&amp;DATE(2025,5,31),'2025数据'!$AG$3:$AG$181,$E357))</f>
        <v>0</v>
      </c>
      <c r="K357" s="205">
        <f ca="1">IF($S$1&lt;DATE(2025,6,1)," ",COUNTIFS('2025数据'!$G$3:$G$181,"&gt;="&amp;DATE(2025,6,1),'2025数据'!$G$3:$G$181,"&lt;="&amp;DATE(2025,6,30),'2025数据'!$AG$3:$AG$181,$E357))</f>
        <v>0</v>
      </c>
      <c r="L357" s="205">
        <f ca="1">IF($S$1&lt;DATE(2025,7,1)," ",COUNTIFS('2025数据'!$G$3:$G$181,"&gt;="&amp;DATE(2025,7,1),'2025数据'!$G$3:$G$181,"&lt;="&amp;DATE(2025,7,31),'2025数据'!$AG$3:$AG$181,$E357))</f>
        <v>0</v>
      </c>
      <c r="M357" s="205">
        <f ca="1">IF($S$1&lt;DATE(2025,8,1)," ",COUNTIFS('2025数据'!$G$3:$G$181,"&gt;="&amp;DATE(2025,8,1),'2025数据'!$G$3:$G$181,"&lt;="&amp;DATE(2025,8,31),'2025数据'!$AG$3:$AG$181,$E357))</f>
        <v>0</v>
      </c>
      <c r="N357" s="205">
        <f ca="1">IF($S$1&lt;DATE(2025,9,1)," ",COUNTIFS('2025数据'!$G$3:$G$181,"&gt;="&amp;DATE(2025,9,1),'2025数据'!$G$3:$G$181,"&lt;="&amp;DATE(2025,9,30),'2025数据'!$AG$3:$AG$181,$E357))</f>
        <v>0</v>
      </c>
      <c r="O357" s="205">
        <f ca="1">IF($S$1&lt;DATE(2025,10,1)," ",COUNTIFS('2025数据'!$G$3:$G$181,"&gt;="&amp;DATE(2025,10,1),'2025数据'!$G$3:$G$181,"&lt;="&amp;DATE(2025,10,31),'2025数据'!$AG$3:$AG$181,$E357))</f>
        <v>0</v>
      </c>
      <c r="P357" s="207">
        <f ca="1">IF($S$1&lt;DATE(2025,11,1)," ",COUNTIFS('2025数据'!$G$3:$G$181,"&gt;="&amp;DATE(2025,11,1),'2025数据'!$G$3:$G$181,"&lt;="&amp;DATE(2025,11,30),'2025数据'!$AG$3:$AG$181,$E357))</f>
        <v>0</v>
      </c>
      <c r="Q357" s="207">
        <f ca="1">IF($S$1&lt;DATE(2025,12,1)," ",COUNTIFS('2025数据'!$G$3:$G$181,"&gt;="&amp;DATE(2025,12,1),'2025数据'!$G$3:$G$181,"&lt;="&amp;DATE(2025,12,31),'2025数据'!$AG$3:$AG$181,$E357))</f>
        <v>0</v>
      </c>
    </row>
    <row r="358" ht="24" customHeight="1" spans="1:17">
      <c r="A358" s="99" t="s">
        <v>345</v>
      </c>
      <c r="B358" s="99" t="s">
        <v>290</v>
      </c>
      <c r="C358" s="99" t="s">
        <v>291</v>
      </c>
      <c r="D358" s="48" t="s">
        <v>298</v>
      </c>
      <c r="E358" s="48" t="s">
        <v>83</v>
      </c>
      <c r="F358" s="205">
        <f ca="1">IF($S$1&lt;DATE(2025,1,1)," ",COUNTIFS('2025数据'!$G$3:$G$181,"&gt;="&amp;DATE(2024,1,1),'2025数据'!$G$3:$G$181,"&lt;="&amp;DATE(2025,1,31),'2025数据'!$AG$3:$AG$181,$E358))</f>
        <v>1</v>
      </c>
      <c r="G358" s="205">
        <f ca="1">IF($S$1&lt;DATE(2025,2,1)," ",COUNTIFS('2025数据'!$G$3:$G$181,"&gt;="&amp;DATE(2025,2,1),'2025数据'!$G$3:$G$181,"&lt;="&amp;DATE(2025,2,28),'2025数据'!$AG$3:$AG$181,$E358))</f>
        <v>0</v>
      </c>
      <c r="H358" s="205">
        <f ca="1">IF($S$1&lt;DATE(2025,3,1)," ",COUNTIFS('2025数据'!$G$3:$G$181,"&gt;="&amp;DATE(2025,3,1),'2025数据'!$G$3:$G$181,"&lt;="&amp;DATE(2025,3,31),'2025数据'!$AG$3:$AG$181,$E358))</f>
        <v>0</v>
      </c>
      <c r="I358" s="205">
        <f ca="1">IF($S$1&lt;DATE(2025,4,1)," ",COUNTIFS('2025数据'!$G$3:$G$181,"&gt;="&amp;DATE(2025,4,1),'2025数据'!$G$3:$G$181,"&lt;="&amp;DATE(2025,4,30),'2025数据'!$AG$3:$AG$181,$E358))</f>
        <v>0</v>
      </c>
      <c r="J358" s="205">
        <f ca="1">IF($S$1&lt;DATE(2025,5,1)," ",COUNTIFS('2025数据'!$G$3:$G$181,"&gt;="&amp;DATE(2025,5,1),'2025数据'!$G$3:$G$181,"&lt;="&amp;DATE(2025,5,31),'2025数据'!$AG$3:$AG$181,$E358))</f>
        <v>0</v>
      </c>
      <c r="K358" s="205">
        <f ca="1">IF($S$1&lt;DATE(2025,6,1)," ",COUNTIFS('2025数据'!$G$3:$G$181,"&gt;="&amp;DATE(2025,6,1),'2025数据'!$G$3:$G$181,"&lt;="&amp;DATE(2025,6,30),'2025数据'!$AG$3:$AG$181,$E358))</f>
        <v>0</v>
      </c>
      <c r="L358" s="205">
        <f ca="1">IF($S$1&lt;DATE(2025,7,1)," ",COUNTIFS('2025数据'!$G$3:$G$181,"&gt;="&amp;DATE(2025,7,1),'2025数据'!$G$3:$G$181,"&lt;="&amp;DATE(2025,7,31),'2025数据'!$AG$3:$AG$181,$E358))</f>
        <v>0</v>
      </c>
      <c r="M358" s="205">
        <f ca="1">IF($S$1&lt;DATE(2025,8,1)," ",COUNTIFS('2025数据'!$G$3:$G$181,"&gt;="&amp;DATE(2025,8,1),'2025数据'!$G$3:$G$181,"&lt;="&amp;DATE(2025,8,31),'2025数据'!$AG$3:$AG$181,$E358))</f>
        <v>1</v>
      </c>
      <c r="N358" s="205">
        <f ca="1">IF($S$1&lt;DATE(2025,9,1)," ",COUNTIFS('2025数据'!$G$3:$G$181,"&gt;="&amp;DATE(2025,9,1),'2025数据'!$G$3:$G$181,"&lt;="&amp;DATE(2025,9,30),'2025数据'!$AG$3:$AG$181,$E358))</f>
        <v>0</v>
      </c>
      <c r="O358" s="205">
        <f ca="1">IF($S$1&lt;DATE(2025,10,1)," ",COUNTIFS('2025数据'!$G$3:$G$181,"&gt;="&amp;DATE(2025,10,1),'2025数据'!$G$3:$G$181,"&lt;="&amp;DATE(2025,10,31),'2025数据'!$AG$3:$AG$181,$E358))</f>
        <v>0</v>
      </c>
      <c r="P358" s="207">
        <f ca="1">IF($S$1&lt;DATE(2025,11,1)," ",COUNTIFS('2025数据'!$G$3:$G$181,"&gt;="&amp;DATE(2025,11,1),'2025数据'!$G$3:$G$181,"&lt;="&amp;DATE(2025,11,30),'2025数据'!$AG$3:$AG$181,$E358))</f>
        <v>0</v>
      </c>
      <c r="Q358" s="207">
        <f ca="1">IF($S$1&lt;DATE(2025,12,1)," ",COUNTIFS('2025数据'!$G$3:$G$181,"&gt;="&amp;DATE(2025,12,1),'2025数据'!$G$3:$G$181,"&lt;="&amp;DATE(2025,12,31),'2025数据'!$AG$3:$AG$181,$E358))</f>
        <v>0</v>
      </c>
    </row>
    <row r="359" ht="24" customHeight="1" spans="1:17">
      <c r="A359" s="99" t="s">
        <v>345</v>
      </c>
      <c r="B359" s="99" t="s">
        <v>299</v>
      </c>
      <c r="C359" s="99" t="s">
        <v>291</v>
      </c>
      <c r="D359" s="100" t="s">
        <v>292</v>
      </c>
      <c r="E359" s="100" t="s">
        <v>300</v>
      </c>
      <c r="F359" s="204">
        <f ca="1">IF($S$1&lt;DATE(2025,1,1)," ",IF((SUM(F360:F366)-MAX(F390,F394))&lt;0,"ERR",SUM(F360:F366)))</f>
        <v>0</v>
      </c>
      <c r="G359" s="204">
        <f ca="1">IF($S$1&lt;DATE(2025,2,1)," ",IF((SUM(G360:G366)-MAX(G390,G394))&lt;0,"ERR",SUM(G360:G366)))</f>
        <v>1</v>
      </c>
      <c r="H359" s="204">
        <f ca="1">IF($S$1&lt;DATE(2025,3,1)," ",IF((SUM(H360:H366)-MAX(H390,H394))&lt;0,"ERR",SUM(H360:H366)))</f>
        <v>0</v>
      </c>
      <c r="I359" s="204">
        <f ca="1">IF($S$1&lt;DATE(2025,4,1)," ",IF((SUM(I360:I366)-MAX(I390,I394))&lt;0,"ERR",SUM(I360:I366)))</f>
        <v>0</v>
      </c>
      <c r="J359" s="204">
        <f ca="1">IF($S$1&lt;DATE(2025,5,1)," ",IF((SUM(J360:J366)-MAX(J390,J394))&lt;0,"ERR",SUM(J360:J366)))</f>
        <v>0</v>
      </c>
      <c r="K359" s="204">
        <f ca="1">IF($S$1&lt;DATE(2025,6,1)," ",IF((SUM(K360:K366)-MAX(K390,K394))&lt;0,"ERR",SUM(K360:K366)))</f>
        <v>0</v>
      </c>
      <c r="L359" s="204">
        <f ca="1">IF($S$1&lt;DATE(2025,7,1)," ",IF((SUM(L360:L366)-MAX(L390,L394))&lt;0,"ERR",SUM(L360:L366)))</f>
        <v>0</v>
      </c>
      <c r="M359" s="204">
        <f ca="1">IF($S$1&lt;DATE(2025,8,1)," ",IF((SUM(M360:M366)-MAX(M390,M394))&lt;0,"ERR",SUM(M360:M366)))</f>
        <v>0</v>
      </c>
      <c r="N359" s="204">
        <f ca="1">IF($S$1&lt;DATE(2025,9,1)," ",IF((SUM(N360:N366)-MAX(N390,N394))&lt;0,"ERR",SUM(N360:N366)))</f>
        <v>1</v>
      </c>
      <c r="O359" s="204">
        <f ca="1">IF($S$1&lt;DATE(2025,10,1)," ",IF((SUM(O360:O366)-MAX(O390,O394))&lt;0,"ERR",SUM(O360:O366)))</f>
        <v>3</v>
      </c>
      <c r="P359" s="204">
        <f ca="1">IF($S$1&lt;DATE(2025,11,1)," ",IF((SUM(P360:P366)-MAX(P390,P394))&lt;0,"ERR",SUM(P360:P366)))</f>
        <v>0</v>
      </c>
      <c r="Q359" s="204">
        <f ca="1">IF($S$1&lt;DATE(2025,12,1)," ",IF((SUM(Q360:Q366)-MAX(Q390,Q394))&lt;0,"ERR",SUM(Q360:Q366)))</f>
        <v>0</v>
      </c>
    </row>
    <row r="360" ht="24" customHeight="1" spans="1:17">
      <c r="A360" s="99" t="s">
        <v>345</v>
      </c>
      <c r="B360" s="99" t="s">
        <v>299</v>
      </c>
      <c r="C360" s="99" t="s">
        <v>291</v>
      </c>
      <c r="D360" s="48" t="s">
        <v>31</v>
      </c>
      <c r="E360" s="48" t="s">
        <v>90</v>
      </c>
      <c r="F360" s="205">
        <f ca="1">IF($S$1&lt;DATE(2025,1,1)," ",COUNTIFS('2025数据'!$H$3:$H$181,"&gt;="&amp;DATE(2024,1,1),'2025数据'!$H$3:$H$181,"&lt;="&amp;DATE(2025,1,31),'2025数据'!$AE$3:$AE$181,$E360))</f>
        <v>0</v>
      </c>
      <c r="G360" s="205">
        <f ca="1">IF($S$1&lt;DATE(2025,2,1)," ",COUNTIFS('2025数据'!$H$3:$H$181,"&gt;="&amp;DATE(2025,2,1),'2025数据'!$H$3:$H$181,"&lt;="&amp;DATE(2025,2,28),'2025数据'!$AE$3:$AE$181,$E360))</f>
        <v>0</v>
      </c>
      <c r="H360" s="205">
        <f ca="1">IF($S$1&lt;DATE(2025,3,1)," ",COUNTIFS('2025数据'!$H$3:$H$181,"&gt;="&amp;DATE(2025,3,1),'2025数据'!$H$3:$H$181,"&lt;="&amp;DATE(2025,3,31),'2025数据'!$AE$3:$AE$181,$E360))</f>
        <v>0</v>
      </c>
      <c r="I360" s="205">
        <f ca="1">IF($S$1&lt;DATE(2025,4,1)," ",COUNTIFS('2025数据'!$H$3:$H$181,"&gt;="&amp;DATE(2025,4,1),'2025数据'!$H$3:$H$181,"&lt;="&amp;DATE(2025,4,30),'2025数据'!$AE$3:$AE$181,$E360))</f>
        <v>0</v>
      </c>
      <c r="J360" s="205">
        <f ca="1">IF($S$1&lt;DATE(2025,5,1)," ",COUNTIFS('2025数据'!$H$3:$H$181,"&gt;="&amp;DATE(2025,5,1),'2025数据'!$H$3:$H$181,"&lt;="&amp;DATE(2025,5,31),'2025数据'!$AE$3:$AE$181,$E360))</f>
        <v>0</v>
      </c>
      <c r="K360" s="205">
        <f ca="1">IF($S$1&lt;DATE(2025,6,1)," ",COUNTIFS('2025数据'!$H$3:$H$181,"&gt;="&amp;DATE(2025,6,1),'2025数据'!$H$3:$H$181,"&lt;="&amp;DATE(2025,6,30),'2025数据'!$AE$3:$AE$181,$E360))</f>
        <v>0</v>
      </c>
      <c r="L360" s="205">
        <f ca="1">IF($S$1&lt;DATE(2025,7,1)," ",COUNTIFS('2025数据'!$H$3:$H$181,"&gt;="&amp;DATE(2025,7,1),'2025数据'!$H$3:$H$181,"&lt;="&amp;DATE(2025,7,31),'2025数据'!$AE$3:$AE$181,$E360))</f>
        <v>0</v>
      </c>
      <c r="M360" s="205">
        <f ca="1">IF($S$1&lt;DATE(2025,8,1)," ",COUNTIFS('2025数据'!$H$3:$H$181,"&gt;="&amp;DATE(2025,8,1),'2025数据'!$H$3:$H$181,"&lt;="&amp;DATE(2025,8,31),'2025数据'!$AE$3:$AE$181,$E360))</f>
        <v>0</v>
      </c>
      <c r="N360" s="205">
        <f ca="1">IF($S$1&lt;DATE(2025,9,1)," ",COUNTIFS('2025数据'!$H$3:$H$181,"&gt;="&amp;DATE(2025,9,1),'2025数据'!$H$3:$H$181,"&lt;="&amp;DATE(2025,9,30),'2025数据'!$AE$3:$AE$181,$E360))</f>
        <v>0</v>
      </c>
      <c r="O360" s="205">
        <f ca="1">IF($S$1&lt;DATE(2025,10,1)," ",COUNTIFS('2025数据'!$H$3:$H$181,"&gt;="&amp;DATE(2025,10,1),'2025数据'!$H$3:$H$181,"&lt;="&amp;DATE(2025,10,31),'2025数据'!$AE$3:$AE$181,$E360))</f>
        <v>2</v>
      </c>
      <c r="P360" s="207">
        <f ca="1">IF($S$1&lt;DATE(2025,11,1)," ",COUNTIFS('2025数据'!$H$3:$H$181,"&gt;="&amp;DATE(2025,11,1),'2025数据'!$H$3:$H$181,"&lt;="&amp;DATE(2025,11,30),'2025数据'!$AE$3:$AE$181,$E360))</f>
        <v>0</v>
      </c>
      <c r="Q360" s="207">
        <f ca="1">IF($S$1&lt;DATE(2025,12,1)," ",COUNTIFS('2025数据'!$H$3:$H$181,"&gt;="&amp;DATE(2025,12,1),'2025数据'!$H$3:$H$181,"&lt;="&amp;DATE(2025,12,31),'2025数据'!$AE$3:$AE$181,$E360))</f>
        <v>0</v>
      </c>
    </row>
    <row r="361" ht="24" customHeight="1" spans="1:17">
      <c r="A361" s="99" t="s">
        <v>345</v>
      </c>
      <c r="B361" s="99" t="s">
        <v>299</v>
      </c>
      <c r="C361" s="99" t="s">
        <v>291</v>
      </c>
      <c r="D361" s="48" t="s">
        <v>31</v>
      </c>
      <c r="E361" s="48" t="s">
        <v>82</v>
      </c>
      <c r="F361" s="205">
        <f ca="1">IF($S$1&lt;DATE(2025,1,1)," ",COUNTIFS('2025数据'!$H$3:$H$181,"&gt;="&amp;DATE(2024,1,1),'2025数据'!$H$3:$H$181,"&lt;="&amp;DATE(2025,1,31),'2025数据'!$AE$3:$AE$181,$E361))</f>
        <v>0</v>
      </c>
      <c r="G361" s="205">
        <f ca="1">IF($S$1&lt;DATE(2025,2,1)," ",COUNTIFS('2025数据'!$H$3:$H$181,"&gt;="&amp;DATE(2025,2,1),'2025数据'!$H$3:$H$181,"&lt;="&amp;DATE(2025,2,28),'2025数据'!$AE$3:$AE$181,$E361))</f>
        <v>1</v>
      </c>
      <c r="H361" s="205">
        <f ca="1">IF($S$1&lt;DATE(2025,3,1)," ",COUNTIFS('2025数据'!$H$3:$H$181,"&gt;="&amp;DATE(2025,3,1),'2025数据'!$H$3:$H$181,"&lt;="&amp;DATE(2025,3,31),'2025数据'!$AE$3:$AE$181,$E361))</f>
        <v>0</v>
      </c>
      <c r="I361" s="205">
        <f ca="1">IF($S$1&lt;DATE(2025,4,1)," ",COUNTIFS('2025数据'!$H$3:$H$181,"&gt;="&amp;DATE(2025,4,1),'2025数据'!$H$3:$H$181,"&lt;="&amp;DATE(2025,4,30),'2025数据'!$AE$3:$AE$181,$E361))</f>
        <v>0</v>
      </c>
      <c r="J361" s="205">
        <f ca="1">IF($S$1&lt;DATE(2025,5,1)," ",COUNTIFS('2025数据'!$H$3:$H$181,"&gt;="&amp;DATE(2025,5,1),'2025数据'!$H$3:$H$181,"&lt;="&amp;DATE(2025,5,31),'2025数据'!$AE$3:$AE$181,$E361))</f>
        <v>0</v>
      </c>
      <c r="K361" s="205">
        <f ca="1">IF($S$1&lt;DATE(2025,6,1)," ",COUNTIFS('2025数据'!$H$3:$H$181,"&gt;="&amp;DATE(2025,6,1),'2025数据'!$H$3:$H$181,"&lt;="&amp;DATE(2025,6,30),'2025数据'!$AE$3:$AE$181,$E361))</f>
        <v>0</v>
      </c>
      <c r="L361" s="205">
        <f ca="1">IF($S$1&lt;DATE(2025,7,1)," ",COUNTIFS('2025数据'!$H$3:$H$181,"&gt;="&amp;DATE(2025,7,1),'2025数据'!$H$3:$H$181,"&lt;="&amp;DATE(2025,7,31),'2025数据'!$AE$3:$AE$181,$E361))</f>
        <v>0</v>
      </c>
      <c r="M361" s="205">
        <f ca="1">IF($S$1&lt;DATE(2025,8,1)," ",COUNTIFS('2025数据'!$H$3:$H$181,"&gt;="&amp;DATE(2025,8,1),'2025数据'!$H$3:$H$181,"&lt;="&amp;DATE(2025,8,31),'2025数据'!$AE$3:$AE$181,$E361))</f>
        <v>0</v>
      </c>
      <c r="N361" s="205">
        <f ca="1">IF($S$1&lt;DATE(2025,9,1)," ",COUNTIFS('2025数据'!$H$3:$H$181,"&gt;="&amp;DATE(2025,9,1),'2025数据'!$H$3:$H$181,"&lt;="&amp;DATE(2025,9,30),'2025数据'!$AE$3:$AE$181,$E361))</f>
        <v>0</v>
      </c>
      <c r="O361" s="205">
        <f ca="1">IF($S$1&lt;DATE(2025,10,1)," ",COUNTIFS('2025数据'!$H$3:$H$181,"&gt;="&amp;DATE(2025,10,1),'2025数据'!$H$3:$H$181,"&lt;="&amp;DATE(2025,10,31),'2025数据'!$AE$3:$AE$181,$E361))</f>
        <v>1</v>
      </c>
      <c r="P361" s="207">
        <f ca="1">IF($S$1&lt;DATE(2025,11,1)," ",COUNTIFS('2025数据'!$H$3:$H$181,"&gt;="&amp;DATE(2025,11,1),'2025数据'!$H$3:$H$181,"&lt;="&amp;DATE(2025,11,30),'2025数据'!$AE$3:$AE$181,$E361))</f>
        <v>0</v>
      </c>
      <c r="Q361" s="207">
        <f ca="1">IF($S$1&lt;DATE(2025,12,1)," ",COUNTIFS('2025数据'!$H$3:$H$181,"&gt;="&amp;DATE(2025,12,1),'2025数据'!$H$3:$H$181,"&lt;="&amp;DATE(2025,12,31),'2025数据'!$AE$3:$AE$181,$E361))</f>
        <v>0</v>
      </c>
    </row>
    <row r="362" ht="24" customHeight="1" spans="1:17">
      <c r="A362" s="99" t="s">
        <v>345</v>
      </c>
      <c r="B362" s="99" t="s">
        <v>299</v>
      </c>
      <c r="C362" s="99" t="s">
        <v>291</v>
      </c>
      <c r="D362" s="48" t="s">
        <v>31</v>
      </c>
      <c r="E362" s="48" t="s">
        <v>86</v>
      </c>
      <c r="F362" s="205">
        <f ca="1">IF($S$1&lt;DATE(2025,1,1)," ",COUNTIFS('2025数据'!$H$3:$H$181,"&gt;="&amp;DATE(2024,1,1),'2025数据'!$H$3:$H$181,"&lt;="&amp;DATE(2025,1,31),'2025数据'!$AE$3:$AE$181,$E362))</f>
        <v>0</v>
      </c>
      <c r="G362" s="205">
        <f ca="1">IF($S$1&lt;DATE(2025,2,1)," ",COUNTIFS('2025数据'!$H$3:$H$181,"&gt;="&amp;DATE(2025,2,1),'2025数据'!$H$3:$H$181,"&lt;="&amp;DATE(2025,2,28),'2025数据'!$AE$3:$AE$181,$E362))</f>
        <v>0</v>
      </c>
      <c r="H362" s="205">
        <f ca="1">IF($S$1&lt;DATE(2025,3,1)," ",COUNTIFS('2025数据'!$H$3:$H$181,"&gt;="&amp;DATE(2025,3,1),'2025数据'!$H$3:$H$181,"&lt;="&amp;DATE(2025,3,31),'2025数据'!$AE$3:$AE$181,$E362))</f>
        <v>0</v>
      </c>
      <c r="I362" s="205">
        <f ca="1">IF($S$1&lt;DATE(2025,4,1)," ",COUNTIFS('2025数据'!$H$3:$H$181,"&gt;="&amp;DATE(2025,4,1),'2025数据'!$H$3:$H$181,"&lt;="&amp;DATE(2025,4,30),'2025数据'!$AE$3:$AE$181,$E362))</f>
        <v>0</v>
      </c>
      <c r="J362" s="205">
        <f ca="1">IF($S$1&lt;DATE(2025,5,1)," ",COUNTIFS('2025数据'!$H$3:$H$181,"&gt;="&amp;DATE(2025,5,1),'2025数据'!$H$3:$H$181,"&lt;="&amp;DATE(2025,5,31),'2025数据'!$AE$3:$AE$181,$E362))</f>
        <v>0</v>
      </c>
      <c r="K362" s="205">
        <f ca="1">IF($S$1&lt;DATE(2025,6,1)," ",COUNTIFS('2025数据'!$H$3:$H$181,"&gt;="&amp;DATE(2025,6,1),'2025数据'!$H$3:$H$181,"&lt;="&amp;DATE(2025,6,30),'2025数据'!$AE$3:$AE$181,$E362))</f>
        <v>0</v>
      </c>
      <c r="L362" s="205">
        <f ca="1">IF($S$1&lt;DATE(2025,7,1)," ",COUNTIFS('2025数据'!$H$3:$H$181,"&gt;="&amp;DATE(2025,7,1),'2025数据'!$H$3:$H$181,"&lt;="&amp;DATE(2025,7,31),'2025数据'!$AE$3:$AE$181,$E362))</f>
        <v>0</v>
      </c>
      <c r="M362" s="205">
        <f ca="1">IF($S$1&lt;DATE(2025,8,1)," ",COUNTIFS('2025数据'!$H$3:$H$181,"&gt;="&amp;DATE(2025,8,1),'2025数据'!$H$3:$H$181,"&lt;="&amp;DATE(2025,8,31),'2025数据'!$AE$3:$AE$181,$E362))</f>
        <v>0</v>
      </c>
      <c r="N362" s="205">
        <f ca="1">IF($S$1&lt;DATE(2025,9,1)," ",COUNTIFS('2025数据'!$H$3:$H$181,"&gt;="&amp;DATE(2025,9,1),'2025数据'!$H$3:$H$181,"&lt;="&amp;DATE(2025,9,30),'2025数据'!$AE$3:$AE$181,$E362))</f>
        <v>0</v>
      </c>
      <c r="O362" s="205">
        <f ca="1">IF($S$1&lt;DATE(2025,10,1)," ",COUNTIFS('2025数据'!$H$3:$H$181,"&gt;="&amp;DATE(2025,10,1),'2025数据'!$H$3:$H$181,"&lt;="&amp;DATE(2025,10,31),'2025数据'!$AE$3:$AE$181,$E362))</f>
        <v>0</v>
      </c>
      <c r="P362" s="207">
        <f ca="1">IF($S$1&lt;DATE(2025,11,1)," ",COUNTIFS('2025数据'!$H$3:$H$181,"&gt;="&amp;DATE(2025,11,1),'2025数据'!$H$3:$H$181,"&lt;="&amp;DATE(2025,11,30),'2025数据'!$AE$3:$AE$181,$E362))</f>
        <v>0</v>
      </c>
      <c r="Q362" s="207">
        <f ca="1">IF($S$1&lt;DATE(2025,12,1)," ",COUNTIFS('2025数据'!$H$3:$H$181,"&gt;="&amp;DATE(2025,12,1),'2025数据'!$H$3:$H$181,"&lt;="&amp;DATE(2025,12,31),'2025数据'!$AE$3:$AE$181,$E362))</f>
        <v>0</v>
      </c>
    </row>
    <row r="363" ht="24" customHeight="1" spans="1:17">
      <c r="A363" s="99" t="s">
        <v>345</v>
      </c>
      <c r="B363" s="99" t="s">
        <v>299</v>
      </c>
      <c r="C363" s="99" t="s">
        <v>291</v>
      </c>
      <c r="D363" s="48" t="s">
        <v>31</v>
      </c>
      <c r="E363" s="48" t="s">
        <v>97</v>
      </c>
      <c r="F363" s="205">
        <f ca="1">IF($S$1&lt;DATE(2025,1,1)," ",COUNTIFS('2025数据'!$H$3:$H$181,"&gt;="&amp;DATE(2024,1,1),'2025数据'!$H$3:$H$181,"&lt;="&amp;DATE(2025,1,31),'2025数据'!$AE$3:$AE$181,$E363))</f>
        <v>0</v>
      </c>
      <c r="G363" s="205">
        <f ca="1">IF($S$1&lt;DATE(2025,2,1)," ",COUNTIFS('2025数据'!$H$3:$H$181,"&gt;="&amp;DATE(2025,2,1),'2025数据'!$H$3:$H$181,"&lt;="&amp;DATE(2025,2,28),'2025数据'!$AE$3:$AE$181,$E363))</f>
        <v>0</v>
      </c>
      <c r="H363" s="205">
        <f ca="1">IF($S$1&lt;DATE(2025,3,1)," ",COUNTIFS('2025数据'!$H$3:$H$181,"&gt;="&amp;DATE(2025,3,1),'2025数据'!$H$3:$H$181,"&lt;="&amp;DATE(2025,3,31),'2025数据'!$AE$3:$AE$181,$E363))</f>
        <v>0</v>
      </c>
      <c r="I363" s="205">
        <f ca="1">IF($S$1&lt;DATE(2025,4,1)," ",COUNTIFS('2025数据'!$H$3:$H$181,"&gt;="&amp;DATE(2025,4,1),'2025数据'!$H$3:$H$181,"&lt;="&amp;DATE(2025,4,30),'2025数据'!$AE$3:$AE$181,$E363))</f>
        <v>0</v>
      </c>
      <c r="J363" s="205">
        <f ca="1">IF($S$1&lt;DATE(2025,5,1)," ",COUNTIFS('2025数据'!$H$3:$H$181,"&gt;="&amp;DATE(2025,5,1),'2025数据'!$H$3:$H$181,"&lt;="&amp;DATE(2025,5,31),'2025数据'!$AE$3:$AE$181,$E363))</f>
        <v>0</v>
      </c>
      <c r="K363" s="205">
        <f ca="1">IF($S$1&lt;DATE(2025,6,1)," ",COUNTIFS('2025数据'!$H$3:$H$181,"&gt;="&amp;DATE(2025,6,1),'2025数据'!$H$3:$H$181,"&lt;="&amp;DATE(2025,6,30),'2025数据'!$AE$3:$AE$181,$E363))</f>
        <v>0</v>
      </c>
      <c r="L363" s="205">
        <f ca="1">IF($S$1&lt;DATE(2025,7,1)," ",COUNTIFS('2025数据'!$H$3:$H$181,"&gt;="&amp;DATE(2025,7,1),'2025数据'!$H$3:$H$181,"&lt;="&amp;DATE(2025,7,31),'2025数据'!$AE$3:$AE$181,$E363))</f>
        <v>0</v>
      </c>
      <c r="M363" s="205">
        <f ca="1">IF($S$1&lt;DATE(2025,8,1)," ",COUNTIFS('2025数据'!$H$3:$H$181,"&gt;="&amp;DATE(2025,8,1),'2025数据'!$H$3:$H$181,"&lt;="&amp;DATE(2025,8,31),'2025数据'!$AE$3:$AE$181,$E363))</f>
        <v>0</v>
      </c>
      <c r="N363" s="205">
        <f ca="1">IF($S$1&lt;DATE(2025,9,1)," ",COUNTIFS('2025数据'!$H$3:$H$181,"&gt;="&amp;DATE(2025,9,1),'2025数据'!$H$3:$H$181,"&lt;="&amp;DATE(2025,9,30),'2025数据'!$AE$3:$AE$181,$E363))</f>
        <v>1</v>
      </c>
      <c r="O363" s="205">
        <f ca="1">IF($S$1&lt;DATE(2025,10,1)," ",COUNTIFS('2025数据'!$H$3:$H$181,"&gt;="&amp;DATE(2025,10,1),'2025数据'!$H$3:$H$181,"&lt;="&amp;DATE(2025,10,31),'2025数据'!$AE$3:$AE$181,$E363))</f>
        <v>0</v>
      </c>
      <c r="P363" s="207">
        <f ca="1">IF($S$1&lt;DATE(2025,11,1)," ",COUNTIFS('2025数据'!$H$3:$H$181,"&gt;="&amp;DATE(2025,11,1),'2025数据'!$H$3:$H$181,"&lt;="&amp;DATE(2025,11,30),'2025数据'!$AE$3:$AE$181,$E363))</f>
        <v>0</v>
      </c>
      <c r="Q363" s="207">
        <f ca="1">IF($S$1&lt;DATE(2025,12,1)," ",COUNTIFS('2025数据'!$H$3:$H$181,"&gt;="&amp;DATE(2025,12,1),'2025数据'!$H$3:$H$181,"&lt;="&amp;DATE(2025,12,31),'2025数据'!$AE$3:$AE$181,$E363))</f>
        <v>0</v>
      </c>
    </row>
    <row r="364" ht="24" customHeight="1" spans="1:17">
      <c r="A364" s="99" t="s">
        <v>345</v>
      </c>
      <c r="B364" s="99" t="s">
        <v>299</v>
      </c>
      <c r="C364" s="99" t="s">
        <v>291</v>
      </c>
      <c r="D364" s="48" t="s">
        <v>31</v>
      </c>
      <c r="E364" s="48" t="s">
        <v>87</v>
      </c>
      <c r="F364" s="205">
        <f ca="1">IF($S$1&lt;DATE(2025,1,1)," ",COUNTIFS('2025数据'!$H$3:$H$181,"&gt;="&amp;DATE(2024,1,1),'2025数据'!$H$3:$H$181,"&lt;="&amp;DATE(2025,1,31),'2025数据'!$AE$3:$AE$181,$E364))</f>
        <v>0</v>
      </c>
      <c r="G364" s="205">
        <f ca="1">IF($S$1&lt;DATE(2025,2,1)," ",COUNTIFS('2025数据'!$H$3:$H$181,"&gt;="&amp;DATE(2025,2,1),'2025数据'!$H$3:$H$181,"&lt;="&amp;DATE(2025,2,28),'2025数据'!$AE$3:$AE$181,$E364))</f>
        <v>0</v>
      </c>
      <c r="H364" s="205">
        <f ca="1">IF($S$1&lt;DATE(2025,3,1)," ",COUNTIFS('2025数据'!$H$3:$H$181,"&gt;="&amp;DATE(2025,3,1),'2025数据'!$H$3:$H$181,"&lt;="&amp;DATE(2025,3,31),'2025数据'!$AE$3:$AE$181,$E364))</f>
        <v>0</v>
      </c>
      <c r="I364" s="205">
        <f ca="1">IF($S$1&lt;DATE(2025,4,1)," ",COUNTIFS('2025数据'!$H$3:$H$181,"&gt;="&amp;DATE(2025,4,1),'2025数据'!$H$3:$H$181,"&lt;="&amp;DATE(2025,4,30),'2025数据'!$AE$3:$AE$181,$E364))</f>
        <v>0</v>
      </c>
      <c r="J364" s="205">
        <f ca="1">IF($S$1&lt;DATE(2025,5,1)," ",COUNTIFS('2025数据'!$H$3:$H$181,"&gt;="&amp;DATE(2025,5,1),'2025数据'!$H$3:$H$181,"&lt;="&amp;DATE(2025,5,31),'2025数据'!$AE$3:$AE$181,$E364))</f>
        <v>0</v>
      </c>
      <c r="K364" s="205">
        <f ca="1">IF($S$1&lt;DATE(2025,6,1)," ",COUNTIFS('2025数据'!$H$3:$H$181,"&gt;="&amp;DATE(2025,6,1),'2025数据'!$H$3:$H$181,"&lt;="&amp;DATE(2025,6,30),'2025数据'!$AE$3:$AE$181,$E364))</f>
        <v>0</v>
      </c>
      <c r="L364" s="205">
        <f ca="1">IF($S$1&lt;DATE(2025,7,1)," ",COUNTIFS('2025数据'!$H$3:$H$181,"&gt;="&amp;DATE(2025,7,1),'2025数据'!$H$3:$H$181,"&lt;="&amp;DATE(2025,7,31),'2025数据'!$AE$3:$AE$181,$E364))</f>
        <v>0</v>
      </c>
      <c r="M364" s="205">
        <f ca="1">IF($S$1&lt;DATE(2025,8,1)," ",COUNTIFS('2025数据'!$H$3:$H$181,"&gt;="&amp;DATE(2025,8,1),'2025数据'!$H$3:$H$181,"&lt;="&amp;DATE(2025,8,31),'2025数据'!$AE$3:$AE$181,$E364))</f>
        <v>0</v>
      </c>
      <c r="N364" s="205">
        <f ca="1">IF($S$1&lt;DATE(2025,9,1)," ",COUNTIFS('2025数据'!$H$3:$H$181,"&gt;="&amp;DATE(2025,9,1),'2025数据'!$H$3:$H$181,"&lt;="&amp;DATE(2025,9,30),'2025数据'!$AE$3:$AE$181,$E364))</f>
        <v>0</v>
      </c>
      <c r="O364" s="205">
        <f ca="1">IF($S$1&lt;DATE(2025,10,1)," ",COUNTIFS('2025数据'!$H$3:$H$181,"&gt;="&amp;DATE(2025,10,1),'2025数据'!$H$3:$H$181,"&lt;="&amp;DATE(2025,10,31),'2025数据'!$AE$3:$AE$181,$E364))</f>
        <v>0</v>
      </c>
      <c r="P364" s="207">
        <f ca="1">IF($S$1&lt;DATE(2025,11,1)," ",COUNTIFS('2025数据'!$H$3:$H$181,"&gt;="&amp;DATE(2025,11,1),'2025数据'!$H$3:$H$181,"&lt;="&amp;DATE(2025,11,30),'2025数据'!$AE$3:$AE$181,$E364))</f>
        <v>0</v>
      </c>
      <c r="Q364" s="207">
        <f ca="1">IF($S$1&lt;DATE(2025,12,1)," ",COUNTIFS('2025数据'!$H$3:$H$181,"&gt;="&amp;DATE(2025,12,1),'2025数据'!$H$3:$H$181,"&lt;="&amp;DATE(2025,12,31),'2025数据'!$AE$3:$AE$181,$E364))</f>
        <v>0</v>
      </c>
    </row>
    <row r="365" ht="24" customHeight="1" spans="1:17">
      <c r="A365" s="99" t="s">
        <v>345</v>
      </c>
      <c r="B365" s="99" t="s">
        <v>299</v>
      </c>
      <c r="C365" s="99" t="s">
        <v>291</v>
      </c>
      <c r="D365" s="48" t="s">
        <v>31</v>
      </c>
      <c r="E365" s="48" t="s">
        <v>149</v>
      </c>
      <c r="F365" s="205">
        <f ca="1">IF($S$1&lt;DATE(2025,1,1)," ",COUNTIFS('2025数据'!$H$3:$H$181,"&gt;="&amp;DATE(2024,1,1),'2025数据'!$H$3:$H$181,"&lt;="&amp;DATE(2025,1,31),'2025数据'!$AE$3:$AE$181,$E365))</f>
        <v>0</v>
      </c>
      <c r="G365" s="205">
        <f ca="1">IF($S$1&lt;DATE(2025,2,1)," ",COUNTIFS('2025数据'!$H$3:$H$181,"&gt;="&amp;DATE(2025,2,1),'2025数据'!$H$3:$H$181,"&lt;="&amp;DATE(2025,2,28),'2025数据'!$AE$3:$AE$181,$E365))</f>
        <v>0</v>
      </c>
      <c r="H365" s="205">
        <f ca="1">IF($S$1&lt;DATE(2025,3,1)," ",COUNTIFS('2025数据'!$H$3:$H$181,"&gt;="&amp;DATE(2025,3,1),'2025数据'!$H$3:$H$181,"&lt;="&amp;DATE(2025,3,31),'2025数据'!$AE$3:$AE$181,$E365))</f>
        <v>0</v>
      </c>
      <c r="I365" s="205">
        <f ca="1">IF($S$1&lt;DATE(2025,4,1)," ",COUNTIFS('2025数据'!$H$3:$H$181,"&gt;="&amp;DATE(2025,4,1),'2025数据'!$H$3:$H$181,"&lt;="&amp;DATE(2025,4,30),'2025数据'!$AE$3:$AE$181,$E365))</f>
        <v>0</v>
      </c>
      <c r="J365" s="205">
        <f ca="1">IF($S$1&lt;DATE(2025,5,1)," ",COUNTIFS('2025数据'!$H$3:$H$181,"&gt;="&amp;DATE(2025,5,1),'2025数据'!$H$3:$H$181,"&lt;="&amp;DATE(2025,5,31),'2025数据'!$AE$3:$AE$181,$E365))</f>
        <v>0</v>
      </c>
      <c r="K365" s="205">
        <f ca="1">IF($S$1&lt;DATE(2025,6,1)," ",COUNTIFS('2025数据'!$H$3:$H$181,"&gt;="&amp;DATE(2025,6,1),'2025数据'!$H$3:$H$181,"&lt;="&amp;DATE(2025,6,30),'2025数据'!$AE$3:$AE$181,$E365))</f>
        <v>0</v>
      </c>
      <c r="L365" s="205">
        <f ca="1">IF($S$1&lt;DATE(2025,7,1)," ",COUNTIFS('2025数据'!$H$3:$H$181,"&gt;="&amp;DATE(2025,7,1),'2025数据'!$H$3:$H$181,"&lt;="&amp;DATE(2025,7,31),'2025数据'!$AE$3:$AE$181,$E365))</f>
        <v>0</v>
      </c>
      <c r="M365" s="205">
        <f ca="1">IF($S$1&lt;DATE(2025,8,1)," ",COUNTIFS('2025数据'!$H$3:$H$181,"&gt;="&amp;DATE(2025,8,1),'2025数据'!$H$3:$H$181,"&lt;="&amp;DATE(2025,8,31),'2025数据'!$AE$3:$AE$181,$E365))</f>
        <v>0</v>
      </c>
      <c r="N365" s="205">
        <f ca="1">IF($S$1&lt;DATE(2025,9,1)," ",COUNTIFS('2025数据'!$H$3:$H$181,"&gt;="&amp;DATE(2025,9,1),'2025数据'!$H$3:$H$181,"&lt;="&amp;DATE(2025,9,30),'2025数据'!$AE$3:$AE$181,$E365))</f>
        <v>0</v>
      </c>
      <c r="O365" s="205">
        <f ca="1">IF($S$1&lt;DATE(2025,10,1)," ",COUNTIFS('2025数据'!$H$3:$H$181,"&gt;="&amp;DATE(2025,10,1),'2025数据'!$H$3:$H$181,"&lt;="&amp;DATE(2025,10,31),'2025数据'!$AE$3:$AE$181,$E365))</f>
        <v>0</v>
      </c>
      <c r="P365" s="207">
        <f ca="1">IF($S$1&lt;DATE(2025,11,1)," ",COUNTIFS('2025数据'!$H$3:$H$181,"&gt;="&amp;DATE(2025,11,1),'2025数据'!$H$3:$H$181,"&lt;="&amp;DATE(2025,11,30),'2025数据'!$AE$3:$AE$181,$E365))</f>
        <v>0</v>
      </c>
      <c r="Q365" s="207">
        <f ca="1">IF($S$1&lt;DATE(2025,12,1)," ",COUNTIFS('2025数据'!$H$3:$H$181,"&gt;="&amp;DATE(2025,12,1),'2025数据'!$H$3:$H$181,"&lt;="&amp;DATE(2025,12,31),'2025数据'!$AE$3:$AE$181,$E365))</f>
        <v>0</v>
      </c>
    </row>
    <row r="366" ht="24" customHeight="1" spans="1:17">
      <c r="A366" s="99" t="s">
        <v>345</v>
      </c>
      <c r="B366" s="99" t="s">
        <v>299</v>
      </c>
      <c r="C366" s="99" t="s">
        <v>291</v>
      </c>
      <c r="D366" s="48" t="s">
        <v>31</v>
      </c>
      <c r="E366" s="48" t="s">
        <v>83</v>
      </c>
      <c r="F366" s="205">
        <f ca="1">IF($S$1&lt;DATE(2025,1,1)," ",COUNTIFS('2025数据'!$H$3:$H$181,"&gt;="&amp;DATE(2024,1,1),'2025数据'!$H$3:$H$181,"&lt;="&amp;DATE(2025,1,31),'2025数据'!$AE$3:$AE$181,$E366))</f>
        <v>0</v>
      </c>
      <c r="G366" s="205">
        <f ca="1">IF($S$1&lt;DATE(2025,2,1)," ",COUNTIFS('2025数据'!$H$3:$H$181,"&gt;="&amp;DATE(2025,2,1),'2025数据'!$H$3:$H$181,"&lt;="&amp;DATE(2025,2,28),'2025数据'!$AE$3:$AE$181,$E366))</f>
        <v>0</v>
      </c>
      <c r="H366" s="205">
        <f ca="1">IF($S$1&lt;DATE(2025,3,1)," ",COUNTIFS('2025数据'!$H$3:$H$181,"&gt;="&amp;DATE(2025,3,1),'2025数据'!$H$3:$H$181,"&lt;="&amp;DATE(2025,3,31),'2025数据'!$AE$3:$AE$181,$E366))</f>
        <v>0</v>
      </c>
      <c r="I366" s="205">
        <f ca="1">IF($S$1&lt;DATE(2025,4,1)," ",COUNTIFS('2025数据'!$H$3:$H$181,"&gt;="&amp;DATE(2025,4,1),'2025数据'!$H$3:$H$181,"&lt;="&amp;DATE(2025,4,30),'2025数据'!$AE$3:$AE$181,$E366))</f>
        <v>0</v>
      </c>
      <c r="J366" s="205">
        <f ca="1">IF($S$1&lt;DATE(2025,5,1)," ",COUNTIFS('2025数据'!$H$3:$H$181,"&gt;="&amp;DATE(2025,5,1),'2025数据'!$H$3:$H$181,"&lt;="&amp;DATE(2025,5,31),'2025数据'!$AE$3:$AE$181,$E366))</f>
        <v>0</v>
      </c>
      <c r="K366" s="205">
        <f ca="1">IF($S$1&lt;DATE(2025,6,1)," ",COUNTIFS('2025数据'!$H$3:$H$181,"&gt;="&amp;DATE(2025,6,1),'2025数据'!$H$3:$H$181,"&lt;="&amp;DATE(2025,6,30),'2025数据'!$AE$3:$AE$181,$E366))</f>
        <v>0</v>
      </c>
      <c r="L366" s="205">
        <f ca="1">IF($S$1&lt;DATE(2025,7,1)," ",COUNTIFS('2025数据'!$H$3:$H$181,"&gt;="&amp;DATE(2025,7,1),'2025数据'!$H$3:$H$181,"&lt;="&amp;DATE(2025,7,31),'2025数据'!$AE$3:$AE$181,$E366))</f>
        <v>0</v>
      </c>
      <c r="M366" s="205">
        <f ca="1">IF($S$1&lt;DATE(2025,8,1)," ",COUNTIFS('2025数据'!$H$3:$H$181,"&gt;="&amp;DATE(2025,8,1),'2025数据'!$H$3:$H$181,"&lt;="&amp;DATE(2025,8,31),'2025数据'!$AE$3:$AE$181,$E366))</f>
        <v>0</v>
      </c>
      <c r="N366" s="205">
        <f ca="1">IF($S$1&lt;DATE(2025,9,1)," ",COUNTIFS('2025数据'!$H$3:$H$181,"&gt;="&amp;DATE(2025,9,1),'2025数据'!$H$3:$H$181,"&lt;="&amp;DATE(2025,9,30),'2025数据'!$AE$3:$AE$181,$E366))</f>
        <v>0</v>
      </c>
      <c r="O366" s="205">
        <f ca="1">IF($S$1&lt;DATE(2025,10,1)," ",COUNTIFS('2025数据'!$H$3:$H$181,"&gt;="&amp;DATE(2025,10,1),'2025数据'!$H$3:$H$181,"&lt;="&amp;DATE(2025,10,31),'2025数据'!$AE$3:$AE$181,$E366))</f>
        <v>0</v>
      </c>
      <c r="P366" s="207">
        <f ca="1">IF($S$1&lt;DATE(2025,11,1)," ",COUNTIFS('2025数据'!$H$3:$H$181,"&gt;="&amp;DATE(2025,11,1),'2025数据'!$H$3:$H$181,"&lt;="&amp;DATE(2025,11,30),'2025数据'!$AE$3:$AE$181,$E366))</f>
        <v>0</v>
      </c>
      <c r="Q366" s="207">
        <f ca="1">IF($S$1&lt;DATE(2025,12,1)," ",COUNTIFS('2025数据'!$H$3:$H$181,"&gt;="&amp;DATE(2025,12,1),'2025数据'!$H$3:$H$181,"&lt;="&amp;DATE(2025,12,31),'2025数据'!$AE$3:$AE$181,$E366))</f>
        <v>0</v>
      </c>
    </row>
    <row r="367" ht="24" customHeight="1" spans="1:17">
      <c r="A367" s="99" t="s">
        <v>345</v>
      </c>
      <c r="B367" s="99" t="s">
        <v>299</v>
      </c>
      <c r="C367" s="99" t="s">
        <v>291</v>
      </c>
      <c r="D367" s="47" t="s">
        <v>294</v>
      </c>
      <c r="E367" s="47" t="s">
        <v>93</v>
      </c>
      <c r="F367" s="206">
        <f ca="1">IF($S$1&lt;DATE(2025,1,1)," ",COUNTIFS('2025数据'!$H$3:$H$181,"&gt;="&amp;DATE(2024,1,1),'2025数据'!$H$3:$H$181,"&lt;="&amp;DATE(2025,1,31),'2025数据'!$B$3:$B$181,$E367))</f>
        <v>0</v>
      </c>
      <c r="G367" s="206">
        <f ca="1">IF($S$1&lt;DATE(2025,2,1)," ",COUNTIFS('2025数据'!$H$3:$H$181,"&gt;="&amp;DATE(2025,2,1),'2025数据'!$H$3:$H$181,"&lt;="&amp;DATE(2025,2,28),'2025数据'!$B$3:$B$181,$E367))</f>
        <v>1</v>
      </c>
      <c r="H367" s="206">
        <f ca="1">IF($S$1&lt;DATE(2025,3,1)," ",COUNTIFS('2025数据'!$H$3:$H$181,"&gt;="&amp;DATE(2025,3,1),'2025数据'!$H$3:$H$181,"&lt;="&amp;DATE(2025,3,31),'2025数据'!$B$3:$B$181,$E367))</f>
        <v>0</v>
      </c>
      <c r="I367" s="206">
        <f ca="1">IF($S$1&lt;DATE(2025,4,1)," ",COUNTIFS('2025数据'!$H$3:$H$181,"&gt;="&amp;DATE(2025,4,1),'2025数据'!$H$3:$H$181,"&lt;="&amp;DATE(2025,4,30),'2025数据'!$B$3:$B$181,$E367))</f>
        <v>0</v>
      </c>
      <c r="J367" s="206">
        <f ca="1">IF($S$1&lt;DATE(2025,5,1)," ",COUNTIFS('2025数据'!$H$3:$H$181,"&gt;="&amp;DATE(2025,5,1),'2025数据'!$H$3:$H$181,"&lt;="&amp;DATE(2025,5,31),'2025数据'!$B$3:$B$181,$E367))</f>
        <v>0</v>
      </c>
      <c r="K367" s="206">
        <f ca="1">IF($S$1&lt;DATE(2025,6,1)," ",COUNTIFS('2025数据'!$H$3:$H$181,"&gt;="&amp;DATE(2025,6,1),'2025数据'!$H$3:$H$181,"&lt;="&amp;DATE(2025,6,30),'2025数据'!$B$3:$B$181,$E367))</f>
        <v>0</v>
      </c>
      <c r="L367" s="206">
        <f ca="1">IF($S$1&lt;DATE(2025,7,1)," ",COUNTIFS('2025数据'!$H$3:$H$181,"&gt;="&amp;DATE(2025,7,1),'2025数据'!$H$3:$H$181,"&lt;="&amp;DATE(2025,7,31),'2025数据'!$B$3:$B$181,$E367))</f>
        <v>0</v>
      </c>
      <c r="M367" s="206">
        <f ca="1">IF($S$1&lt;DATE(2025,8,1)," ",COUNTIFS('2025数据'!$H$3:$H$181,"&gt;="&amp;DATE(2025,8,1),'2025数据'!$H$3:$H$181,"&lt;="&amp;DATE(2025,8,31),'2025数据'!$B$3:$B$181,$E367))</f>
        <v>0</v>
      </c>
      <c r="N367" s="206">
        <f ca="1">IF($S$1&lt;DATE(2025,9,1)," ",COUNTIFS('2025数据'!$H$3:$H$181,"&gt;="&amp;DATE(2025,9,1),'2025数据'!$H$3:$H$181,"&lt;="&amp;DATE(2025,9,30),'2025数据'!$B$3:$B$181,$E367))</f>
        <v>1</v>
      </c>
      <c r="O367" s="206">
        <f ca="1">IF($S$1&lt;DATE(2025,10,1)," ",COUNTIFS('2025数据'!$H$3:$H$181,"&gt;="&amp;DATE(2025,10,1),'2025数据'!$H$3:$H$181,"&lt;="&amp;DATE(2025,10,31),'2025数据'!$B$3:$B$181,$E367))</f>
        <v>1</v>
      </c>
      <c r="P367" s="208">
        <f ca="1">IF($S$1&lt;DATE(2025,11,1)," ",COUNTIFS('2025数据'!$H$3:$H$181,"&gt;="&amp;DATE(2025,11,1),'2025数据'!$H$3:$H$181,"&lt;="&amp;DATE(2025,11,30),'2025数据'!$B$3:$B$181,$E367))</f>
        <v>0</v>
      </c>
      <c r="Q367" s="208">
        <f ca="1">IF($S$1&lt;DATE(2025,12,1)," ",COUNTIFS('2025数据'!$H$3:$H$181,"&gt;="&amp;DATE(2025,12,1),'2025数据'!$H$3:$H$181,"&lt;="&amp;DATE(2025,12,31),'2025数据'!$B$3:$B$181,$E367))</f>
        <v>0</v>
      </c>
    </row>
    <row r="368" ht="24" customHeight="1" spans="1:17">
      <c r="A368" s="99" t="s">
        <v>345</v>
      </c>
      <c r="B368" s="99" t="s">
        <v>299</v>
      </c>
      <c r="C368" s="99" t="s">
        <v>291</v>
      </c>
      <c r="D368" s="47" t="s">
        <v>294</v>
      </c>
      <c r="E368" s="47" t="s">
        <v>85</v>
      </c>
      <c r="F368" s="206">
        <f ca="1">IF($S$1&lt;DATE(2025,1,1)," ",COUNTIFS('2025数据'!$H$3:$H$181,"&gt;="&amp;DATE(2024,1,1),'2025数据'!$H$3:$H$181,"&lt;="&amp;DATE(2025,1,31),'2025数据'!$B$3:$B$181,$E368))</f>
        <v>0</v>
      </c>
      <c r="G368" s="206">
        <f ca="1">IF($S$1&lt;DATE(2025,2,1)," ",COUNTIFS('2025数据'!$H$3:$H$181,"&gt;="&amp;DATE(2025,2,1),'2025数据'!$H$3:$H$181,"&lt;="&amp;DATE(2025,2,28),'2025数据'!$B$3:$B$181,$E368))</f>
        <v>0</v>
      </c>
      <c r="H368" s="206">
        <f ca="1">IF($S$1&lt;DATE(2025,3,1)," ",COUNTIFS('2025数据'!$H$3:$H$181,"&gt;="&amp;DATE(2025,3,1),'2025数据'!$H$3:$H$181,"&lt;="&amp;DATE(2025,3,31),'2025数据'!$B$3:$B$181,$E368))</f>
        <v>0</v>
      </c>
      <c r="I368" s="206">
        <f ca="1">IF($S$1&lt;DATE(2025,4,1)," ",COUNTIFS('2025数据'!$H$3:$H$181,"&gt;="&amp;DATE(2025,4,1),'2025数据'!$H$3:$H$181,"&lt;="&amp;DATE(2025,4,30),'2025数据'!$B$3:$B$181,$E368))</f>
        <v>0</v>
      </c>
      <c r="J368" s="206">
        <f ca="1">IF($S$1&lt;DATE(2025,5,1)," ",COUNTIFS('2025数据'!$H$3:$H$181,"&gt;="&amp;DATE(2025,5,1),'2025数据'!$H$3:$H$181,"&lt;="&amp;DATE(2025,5,31),'2025数据'!$B$3:$B$181,$E368))</f>
        <v>0</v>
      </c>
      <c r="K368" s="206">
        <f ca="1">IF($S$1&lt;DATE(2025,6,1)," ",COUNTIFS('2025数据'!$H$3:$H$181,"&gt;="&amp;DATE(2025,6,1),'2025数据'!$H$3:$H$181,"&lt;="&amp;DATE(2025,6,30),'2025数据'!$B$3:$B$181,$E368))</f>
        <v>0</v>
      </c>
      <c r="L368" s="206">
        <f ca="1">IF($S$1&lt;DATE(2025,7,1)," ",COUNTIFS('2025数据'!$H$3:$H$181,"&gt;="&amp;DATE(2025,7,1),'2025数据'!$H$3:$H$181,"&lt;="&amp;DATE(2025,7,31),'2025数据'!$B$3:$B$181,$E368))</f>
        <v>0</v>
      </c>
      <c r="M368" s="206">
        <f ca="1">IF($S$1&lt;DATE(2025,8,1)," ",COUNTIFS('2025数据'!$H$3:$H$181,"&gt;="&amp;DATE(2025,8,1),'2025数据'!$H$3:$H$181,"&lt;="&amp;DATE(2025,8,31),'2025数据'!$B$3:$B$181,$E368))</f>
        <v>0</v>
      </c>
      <c r="N368" s="206">
        <f ca="1">IF($S$1&lt;DATE(2025,9,1)," ",COUNTIFS('2025数据'!$H$3:$H$181,"&gt;="&amp;DATE(2025,9,1),'2025数据'!$H$3:$H$181,"&lt;="&amp;DATE(2025,9,30),'2025数据'!$B$3:$B$181,$E368))</f>
        <v>0</v>
      </c>
      <c r="O368" s="206">
        <f ca="1">IF($S$1&lt;DATE(2025,10,1)," ",COUNTIFS('2025数据'!$H$3:$H$181,"&gt;="&amp;DATE(2025,10,1),'2025数据'!$H$3:$H$181,"&lt;="&amp;DATE(2025,10,31),'2025数据'!$B$3:$B$181,$E368))</f>
        <v>2</v>
      </c>
      <c r="P368" s="208">
        <f ca="1">IF($S$1&lt;DATE(2025,11,1)," ",COUNTIFS('2025数据'!$H$3:$H$181,"&gt;="&amp;DATE(2025,11,1),'2025数据'!$H$3:$H$181,"&lt;="&amp;DATE(2025,11,30),'2025数据'!$B$3:$B$181,$E368))</f>
        <v>0</v>
      </c>
      <c r="Q368" s="208">
        <f ca="1">IF($S$1&lt;DATE(2025,12,1)," ",COUNTIFS('2025数据'!$H$3:$H$181,"&gt;="&amp;DATE(2025,12,1),'2025数据'!$H$3:$H$181,"&lt;="&amp;DATE(2025,12,31),'2025数据'!$B$3:$B$181,$E368))</f>
        <v>0</v>
      </c>
    </row>
    <row r="369" ht="24" customHeight="1" spans="1:17">
      <c r="A369" s="99" t="s">
        <v>345</v>
      </c>
      <c r="B369" s="99" t="s">
        <v>299</v>
      </c>
      <c r="C369" s="99" t="s">
        <v>291</v>
      </c>
      <c r="D369" s="47" t="s">
        <v>294</v>
      </c>
      <c r="E369" s="47" t="s">
        <v>81</v>
      </c>
      <c r="F369" s="206">
        <f ca="1">IF($S$1&lt;DATE(2025,1,1)," ",COUNTIFS('2025数据'!$H$3:$H$181,"&gt;="&amp;DATE(2024,1,1),'2025数据'!$H$3:$H$181,"&lt;="&amp;DATE(2025,1,31),'2025数据'!$B$3:$B$181,$E369))</f>
        <v>0</v>
      </c>
      <c r="G369" s="206">
        <f ca="1">IF($S$1&lt;DATE(2025,2,1)," ",COUNTIFS('2025数据'!$H$3:$H$181,"&gt;="&amp;DATE(2025,2,1),'2025数据'!$H$3:$H$181,"&lt;="&amp;DATE(2025,2,28),'2025数据'!$B$3:$B$181,$E369))</f>
        <v>0</v>
      </c>
      <c r="H369" s="206">
        <f ca="1">IF($S$1&lt;DATE(2025,3,1)," ",COUNTIFS('2025数据'!$H$3:$H$181,"&gt;="&amp;DATE(2025,3,1),'2025数据'!$H$3:$H$181,"&lt;="&amp;DATE(2025,3,31),'2025数据'!$B$3:$B$181,$E369))</f>
        <v>0</v>
      </c>
      <c r="I369" s="206">
        <f ca="1">IF($S$1&lt;DATE(2025,4,1)," ",COUNTIFS('2025数据'!$H$3:$H$181,"&gt;="&amp;DATE(2025,4,1),'2025数据'!$H$3:$H$181,"&lt;="&amp;DATE(2025,4,30),'2025数据'!$B$3:$B$181,$E369))</f>
        <v>0</v>
      </c>
      <c r="J369" s="206">
        <f ca="1">IF($S$1&lt;DATE(2025,5,1)," ",COUNTIFS('2025数据'!$H$3:$H$181,"&gt;="&amp;DATE(2025,5,1),'2025数据'!$H$3:$H$181,"&lt;="&amp;DATE(2025,5,31),'2025数据'!$B$3:$B$181,$E369))</f>
        <v>0</v>
      </c>
      <c r="K369" s="206">
        <f ca="1">IF($S$1&lt;DATE(2025,6,1)," ",COUNTIFS('2025数据'!$H$3:$H$181,"&gt;="&amp;DATE(2025,6,1),'2025数据'!$H$3:$H$181,"&lt;="&amp;DATE(2025,6,30),'2025数据'!$B$3:$B$181,$E369))</f>
        <v>0</v>
      </c>
      <c r="L369" s="206">
        <f ca="1">IF($S$1&lt;DATE(2025,7,1)," ",COUNTIFS('2025数据'!$H$3:$H$181,"&gt;="&amp;DATE(2025,7,1),'2025数据'!$H$3:$H$181,"&lt;="&amp;DATE(2025,7,31),'2025数据'!$B$3:$B$181,$E369))</f>
        <v>0</v>
      </c>
      <c r="M369" s="206">
        <f ca="1">IF($S$1&lt;DATE(2025,8,1)," ",COUNTIFS('2025数据'!$H$3:$H$181,"&gt;="&amp;DATE(2025,8,1),'2025数据'!$H$3:$H$181,"&lt;="&amp;DATE(2025,8,31),'2025数据'!$B$3:$B$181,$E369))</f>
        <v>0</v>
      </c>
      <c r="N369" s="206">
        <f ca="1">IF($S$1&lt;DATE(2025,9,1)," ",COUNTIFS('2025数据'!$H$3:$H$181,"&gt;="&amp;DATE(2025,9,1),'2025数据'!$H$3:$H$181,"&lt;="&amp;DATE(2025,9,30),'2025数据'!$B$3:$B$181,$E369))</f>
        <v>0</v>
      </c>
      <c r="O369" s="206">
        <f ca="1">IF($S$1&lt;DATE(2025,10,1)," ",COUNTIFS('2025数据'!$H$3:$H$181,"&gt;="&amp;DATE(2025,10,1),'2025数据'!$H$3:$H$181,"&lt;="&amp;DATE(2025,10,31),'2025数据'!$B$3:$B$181,$E369))</f>
        <v>0</v>
      </c>
      <c r="P369" s="208">
        <f ca="1">IF($S$1&lt;DATE(2025,11,1)," ",COUNTIFS('2025数据'!$H$3:$H$181,"&gt;="&amp;DATE(2025,11,1),'2025数据'!$H$3:$H$181,"&lt;="&amp;DATE(2025,11,30),'2025数据'!$B$3:$B$181,$E369))</f>
        <v>0</v>
      </c>
      <c r="Q369" s="208">
        <f ca="1">IF($S$1&lt;DATE(2025,12,1)," ",COUNTIFS('2025数据'!$H$3:$H$181,"&gt;="&amp;DATE(2025,12,1),'2025数据'!$H$3:$H$181,"&lt;="&amp;DATE(2025,12,31),'2025数据'!$B$3:$B$181,$E369))</f>
        <v>0</v>
      </c>
    </row>
    <row r="370" ht="24" customHeight="1" spans="1:17">
      <c r="A370" s="99" t="s">
        <v>345</v>
      </c>
      <c r="B370" s="99" t="s">
        <v>299</v>
      </c>
      <c r="C370" s="99" t="s">
        <v>291</v>
      </c>
      <c r="D370" s="47" t="s">
        <v>294</v>
      </c>
      <c r="E370" s="47" t="s">
        <v>96</v>
      </c>
      <c r="F370" s="206">
        <f ca="1">IF($S$1&lt;DATE(2025,1,1)," ",COUNTIFS('2025数据'!$H$3:$H$181,"&gt;="&amp;DATE(2024,1,1),'2025数据'!$H$3:$H$181,"&lt;="&amp;DATE(2025,1,31),'2025数据'!$B$3:$B$181,$E370))</f>
        <v>0</v>
      </c>
      <c r="G370" s="206">
        <f ca="1">IF($S$1&lt;DATE(2025,2,1)," ",COUNTIFS('2025数据'!$H$3:$H$181,"&gt;="&amp;DATE(2025,2,1),'2025数据'!$H$3:$H$181,"&lt;="&amp;DATE(2025,2,28),'2025数据'!$B$3:$B$181,$E370))</f>
        <v>0</v>
      </c>
      <c r="H370" s="206">
        <f ca="1">IF($S$1&lt;DATE(2025,3,1)," ",COUNTIFS('2025数据'!$H$3:$H$181,"&gt;="&amp;DATE(2025,3,1),'2025数据'!$H$3:$H$181,"&lt;="&amp;DATE(2025,3,31),'2025数据'!$B$3:$B$181,$E370))</f>
        <v>0</v>
      </c>
      <c r="I370" s="206">
        <f ca="1">IF($S$1&lt;DATE(2025,4,1)," ",COUNTIFS('2025数据'!$H$3:$H$181,"&gt;="&amp;DATE(2025,4,1),'2025数据'!$H$3:$H$181,"&lt;="&amp;DATE(2025,4,30),'2025数据'!$B$3:$B$181,$E370))</f>
        <v>0</v>
      </c>
      <c r="J370" s="206">
        <f ca="1">IF($S$1&lt;DATE(2025,5,1)," ",COUNTIFS('2025数据'!$H$3:$H$181,"&gt;="&amp;DATE(2025,5,1),'2025数据'!$H$3:$H$181,"&lt;="&amp;DATE(2025,5,31),'2025数据'!$B$3:$B$181,$E370))</f>
        <v>0</v>
      </c>
      <c r="K370" s="206">
        <f ca="1">IF($S$1&lt;DATE(2025,6,1)," ",COUNTIFS('2025数据'!$H$3:$H$181,"&gt;="&amp;DATE(2025,6,1),'2025数据'!$H$3:$H$181,"&lt;="&amp;DATE(2025,6,30),'2025数据'!$B$3:$B$181,$E370))</f>
        <v>0</v>
      </c>
      <c r="L370" s="206">
        <f ca="1">IF($S$1&lt;DATE(2025,7,1)," ",COUNTIFS('2025数据'!$H$3:$H$181,"&gt;="&amp;DATE(2025,7,1),'2025数据'!$H$3:$H$181,"&lt;="&amp;DATE(2025,7,31),'2025数据'!$B$3:$B$181,$E370))</f>
        <v>0</v>
      </c>
      <c r="M370" s="206">
        <f ca="1">IF($S$1&lt;DATE(2025,8,1)," ",COUNTIFS('2025数据'!$H$3:$H$181,"&gt;="&amp;DATE(2025,8,1),'2025数据'!$H$3:$H$181,"&lt;="&amp;DATE(2025,8,31),'2025数据'!$B$3:$B$181,$E370))</f>
        <v>0</v>
      </c>
      <c r="N370" s="206">
        <f ca="1">IF($S$1&lt;DATE(2025,9,1)," ",COUNTIFS('2025数据'!$H$3:$H$181,"&gt;="&amp;DATE(2025,9,1),'2025数据'!$H$3:$H$181,"&lt;="&amp;DATE(2025,9,30),'2025数据'!$B$3:$B$181,$E370))</f>
        <v>0</v>
      </c>
      <c r="O370" s="206">
        <f ca="1">IF($S$1&lt;DATE(2025,10,1)," ",COUNTIFS('2025数据'!$H$3:$H$181,"&gt;="&amp;DATE(2025,10,1),'2025数据'!$H$3:$H$181,"&lt;="&amp;DATE(2025,10,31),'2025数据'!$B$3:$B$181,$E370))</f>
        <v>0</v>
      </c>
      <c r="P370" s="208">
        <f ca="1">IF($S$1&lt;DATE(2025,11,1)," ",COUNTIFS('2025数据'!$H$3:$H$181,"&gt;="&amp;DATE(2025,11,1),'2025数据'!$H$3:$H$181,"&lt;="&amp;DATE(2025,11,30),'2025数据'!$B$3:$B$181,$E370))</f>
        <v>0</v>
      </c>
      <c r="Q370" s="208">
        <f ca="1">IF($S$1&lt;DATE(2025,12,1)," ",COUNTIFS('2025数据'!$H$3:$H$181,"&gt;="&amp;DATE(2025,12,1),'2025数据'!$H$3:$H$181,"&lt;="&amp;DATE(2025,12,31),'2025数据'!$B$3:$B$181,$E370))</f>
        <v>0</v>
      </c>
    </row>
    <row r="371" ht="24" customHeight="1" spans="1:17">
      <c r="A371" s="99" t="s">
        <v>345</v>
      </c>
      <c r="B371" s="99" t="s">
        <v>299</v>
      </c>
      <c r="C371" s="99" t="s">
        <v>291</v>
      </c>
      <c r="D371" s="47" t="s">
        <v>294</v>
      </c>
      <c r="E371" s="47" t="s">
        <v>160</v>
      </c>
      <c r="F371" s="206">
        <f ca="1">IF($S$1&lt;DATE(2025,1,1)," ",COUNTIFS('2025数据'!$H$3:$H$181,"&gt;="&amp;DATE(2024,1,1),'2025数据'!$H$3:$H$181,"&lt;="&amp;DATE(2025,1,31),'2025数据'!$B$3:$B$181,$E371))</f>
        <v>0</v>
      </c>
      <c r="G371" s="206">
        <f ca="1">IF($S$1&lt;DATE(2025,2,1)," ",COUNTIFS('2025数据'!$H$3:$H$181,"&gt;="&amp;DATE(2025,2,1),'2025数据'!$H$3:$H$181,"&lt;="&amp;DATE(2025,2,28),'2025数据'!$B$3:$B$181,$E371))</f>
        <v>0</v>
      </c>
      <c r="H371" s="206">
        <f ca="1">IF($S$1&lt;DATE(2025,3,1)," ",COUNTIFS('2025数据'!$H$3:$H$181,"&gt;="&amp;DATE(2025,3,1),'2025数据'!$H$3:$H$181,"&lt;="&amp;DATE(2025,3,31),'2025数据'!$B$3:$B$181,$E371))</f>
        <v>0</v>
      </c>
      <c r="I371" s="206">
        <f ca="1">IF($S$1&lt;DATE(2025,4,1)," ",COUNTIFS('2025数据'!$H$3:$H$181,"&gt;="&amp;DATE(2025,4,1),'2025数据'!$H$3:$H$181,"&lt;="&amp;DATE(2025,4,30),'2025数据'!$B$3:$B$181,$E371))</f>
        <v>0</v>
      </c>
      <c r="J371" s="206">
        <f ca="1">IF($S$1&lt;DATE(2025,5,1)," ",COUNTIFS('2025数据'!$H$3:$H$181,"&gt;="&amp;DATE(2025,5,1),'2025数据'!$H$3:$H$181,"&lt;="&amp;DATE(2025,5,31),'2025数据'!$B$3:$B$181,$E371))</f>
        <v>0</v>
      </c>
      <c r="K371" s="206">
        <f ca="1">IF($S$1&lt;DATE(2025,6,1)," ",COUNTIFS('2025数据'!$H$3:$H$181,"&gt;="&amp;DATE(2025,6,1),'2025数据'!$H$3:$H$181,"&lt;="&amp;DATE(2025,6,30),'2025数据'!$B$3:$B$181,$E371))</f>
        <v>0</v>
      </c>
      <c r="L371" s="206">
        <f ca="1">IF($S$1&lt;DATE(2025,7,1)," ",COUNTIFS('2025数据'!$H$3:$H$181,"&gt;="&amp;DATE(2025,7,1),'2025数据'!$H$3:$H$181,"&lt;="&amp;DATE(2025,7,31),'2025数据'!$B$3:$B$181,$E371))</f>
        <v>0</v>
      </c>
      <c r="M371" s="206">
        <f ca="1">IF($S$1&lt;DATE(2025,8,1)," ",COUNTIFS('2025数据'!$H$3:$H$181,"&gt;="&amp;DATE(2025,8,1),'2025数据'!$H$3:$H$181,"&lt;="&amp;DATE(2025,8,31),'2025数据'!$B$3:$B$181,$E371))</f>
        <v>0</v>
      </c>
      <c r="N371" s="206">
        <f ca="1">IF($S$1&lt;DATE(2025,9,1)," ",COUNTIFS('2025数据'!$H$3:$H$181,"&gt;="&amp;DATE(2025,9,1),'2025数据'!$H$3:$H$181,"&lt;="&amp;DATE(2025,9,30),'2025数据'!$B$3:$B$181,$E371))</f>
        <v>0</v>
      </c>
      <c r="O371" s="206">
        <f ca="1">IF($S$1&lt;DATE(2025,10,1)," ",COUNTIFS('2025数据'!$H$3:$H$181,"&gt;="&amp;DATE(2025,10,1),'2025数据'!$H$3:$H$181,"&lt;="&amp;DATE(2025,10,31),'2025数据'!$B$3:$B$181,$E371))</f>
        <v>0</v>
      </c>
      <c r="P371" s="208">
        <f ca="1">IF($S$1&lt;DATE(2025,11,1)," ",COUNTIFS('2025数据'!$H$3:$H$181,"&gt;="&amp;DATE(2025,11,1),'2025数据'!$H$3:$H$181,"&lt;="&amp;DATE(2025,11,30),'2025数据'!$B$3:$B$181,$E371))</f>
        <v>0</v>
      </c>
      <c r="Q371" s="208">
        <f ca="1">IF($S$1&lt;DATE(2025,12,1)," ",COUNTIFS('2025数据'!$H$3:$H$181,"&gt;="&amp;DATE(2025,12,1),'2025数据'!$H$3:$H$181,"&lt;="&amp;DATE(2025,12,31),'2025数据'!$B$3:$B$181,$E371))</f>
        <v>0</v>
      </c>
    </row>
    <row r="372" ht="24" customHeight="1" spans="1:17">
      <c r="A372" s="99" t="s">
        <v>345</v>
      </c>
      <c r="B372" s="99" t="s">
        <v>299</v>
      </c>
      <c r="C372" s="99" t="s">
        <v>291</v>
      </c>
      <c r="D372" s="100" t="s">
        <v>292</v>
      </c>
      <c r="E372" s="110" t="s">
        <v>301</v>
      </c>
      <c r="F372" s="210">
        <f ca="1">IF($S$1&lt;DATE(2025,1,1)," ",COUNTIFS('2025数据'!$H$3:$H$181,"&gt;="&amp;DATE(2025,1,1),'2025数据'!$H$3:$H$181,"&lt;="&amp;DATE(2025,1,31),'2025数据'!$AS$3:$AS$181,$E372))</f>
        <v>0</v>
      </c>
      <c r="G372" s="210">
        <f ca="1">IF($S$1&lt;DATE(2025,2,1)," ",COUNTIFS('2025数据'!$H$3:$H$181,"&gt;="&amp;DATE(2025,2,1),'2025数据'!$H$3:$H$181,"&lt;="&amp;DATE(2025,2,28),'2025数据'!$AS$3:$AS$181,$E372))</f>
        <v>0</v>
      </c>
      <c r="H372" s="210">
        <f ca="1">IF($S$1&lt;DATE(2025,3,1)," ",COUNTIFS('2025数据'!$H$3:$H$181,"&gt;="&amp;DATE(2025,3,1),'2025数据'!$H$3:$H$181,"&lt;="&amp;DATE(2025,3,31),'2025数据'!$AS$3:$AS$181,$E372))</f>
        <v>0</v>
      </c>
      <c r="I372" s="210">
        <f ca="1">IF($S$1&lt;DATE(2025,4,1)," ",COUNTIFS('2025数据'!$H$3:$H$181,"&gt;="&amp;DATE(2025,4,1),'2025数据'!$H$3:$H$181,"&lt;="&amp;DATE(2025,4,30),'2025数据'!$AS$3:$AS$181,$E372))</f>
        <v>0</v>
      </c>
      <c r="J372" s="210">
        <f ca="1">IF($S$1&lt;DATE(2025,5,1)," ",COUNTIFS('2025数据'!$H$3:$H$181,"&gt;="&amp;DATE(2025,5,1),'2025数据'!$H$3:$H$181,"&lt;="&amp;DATE(2025,5,31),'2025数据'!$AS$3:$AS$181,$E372))</f>
        <v>0</v>
      </c>
      <c r="K372" s="210">
        <f ca="1">IF($S$1&lt;DATE(2025,6,1)," ",COUNTIFS('2025数据'!$H$3:$H$181,"&gt;="&amp;DATE(2025,6,1),'2025数据'!$H$3:$H$181,"&lt;="&amp;DATE(2025,6,30),'2025数据'!$AS$3:$AS$181,$E372))</f>
        <v>0</v>
      </c>
      <c r="L372" s="210">
        <f ca="1">IF($S$1&lt;DATE(2025,7,1)," ",COUNTIFS('2025数据'!$H$3:$H$181,"&gt;="&amp;DATE(2025,7,1),'2025数据'!$H$3:$H$181,"&lt;="&amp;DATE(2025,7,31),'2025数据'!$AS$3:$AS$181,$E372))</f>
        <v>0</v>
      </c>
      <c r="M372" s="210">
        <f ca="1">IF($S$1&lt;DATE(2025,8,1)," ",COUNTIFS('2025数据'!$H$3:$H$181,"&gt;="&amp;DATE(2025,8,1),'2025数据'!$H$3:$H$181,"&lt;="&amp;DATE(2025,8,31),'2025数据'!$AS$3:$AS$181,$E372))</f>
        <v>0</v>
      </c>
      <c r="N372" s="210">
        <f ca="1">IF($S$1&lt;DATE(2025,9,1)," ",COUNTIFS('2025数据'!$H$3:$H$181,"&gt;="&amp;DATE(2025,9,1),'2025数据'!$H$3:$H$181,"&lt;="&amp;DATE(2025,9,30),'2025数据'!$AS$3:$AS$181,$E372))</f>
        <v>0</v>
      </c>
      <c r="O372" s="210">
        <f ca="1">IF($S$1&lt;DATE(2025,10,1)," ",COUNTIFS('2025数据'!$H$3:$H$181,"&gt;="&amp;DATE(2025,10,1),'2025数据'!$H$3:$H$181,"&lt;="&amp;DATE(2025,10,31),'2025数据'!$AS$3:$AS$181,$E372))</f>
        <v>3</v>
      </c>
      <c r="P372" s="212">
        <f ca="1">IF($S$1&lt;DATE(2025,11,1)," ",COUNTIFS('2025数据'!$H$3:$H$181,"&gt;="&amp;DATE(2025,11,1),'2025数据'!$H$3:$H$181,"&lt;="&amp;DATE(2025,11,30),'2025数据'!$AS$3:$AS$181,$E372))</f>
        <v>0</v>
      </c>
      <c r="Q372" s="212">
        <f ca="1">IF($S$1&lt;DATE(2025,12,1)," ",COUNTIFS('2025数据'!$H$3:$H$181,"&gt;="&amp;DATE(2025,12,1),'2025数据'!$H$3:$H$181,"&lt;="&amp;DATE(2025,12,31),'2025数据'!$AS$3:$AS$181,$E372))</f>
        <v>0</v>
      </c>
    </row>
    <row r="373" ht="24" customHeight="1" spans="1:17">
      <c r="A373" s="99" t="s">
        <v>345</v>
      </c>
      <c r="B373" s="99" t="s">
        <v>299</v>
      </c>
      <c r="C373" s="99" t="s">
        <v>291</v>
      </c>
      <c r="D373" s="100" t="s">
        <v>292</v>
      </c>
      <c r="E373" s="110" t="s">
        <v>302</v>
      </c>
      <c r="F373" s="210">
        <f ca="1">IF($S$1&lt;DATE(2025,1,1)," ",COUNTIFS('2025数据'!$H$3:$H$181,"&gt;="&amp;DATE(2025,1,1),'2025数据'!$H$3:$H$181,"&lt;="&amp;DATE(2025,1,31),'2025数据'!$AS$3:$AS$181,$E373))</f>
        <v>0</v>
      </c>
      <c r="G373" s="210">
        <f ca="1">IF($S$1&lt;DATE(2025,2,1)," ",COUNTIFS('2025数据'!$H$3:$H$181,"&gt;="&amp;DATE(2025,2,1),'2025数据'!$H$3:$H$181,"&lt;="&amp;DATE(2025,2,28),'2025数据'!$AS$3:$AS$181,$E373))</f>
        <v>1</v>
      </c>
      <c r="H373" s="210">
        <f ca="1">IF($S$1&lt;DATE(2025,3,1)," ",COUNTIFS('2025数据'!$H$3:$H$181,"&gt;="&amp;DATE(2025,3,1),'2025数据'!$H$3:$H$181,"&lt;="&amp;DATE(2025,3,31),'2025数据'!$AS$3:$AS$181,$E373))</f>
        <v>0</v>
      </c>
      <c r="I373" s="210">
        <f ca="1">IF($S$1&lt;DATE(2025,4,1)," ",COUNTIFS('2025数据'!$H$3:$H$181,"&gt;="&amp;DATE(2025,4,1),'2025数据'!$H$3:$H$181,"&lt;="&amp;DATE(2025,4,30),'2025数据'!$AS$3:$AS$181,$E373))</f>
        <v>0</v>
      </c>
      <c r="J373" s="210">
        <f ca="1">IF($S$1&lt;DATE(2025,5,1)," ",COUNTIFS('2025数据'!$H$3:$H$181,"&gt;="&amp;DATE(2025,5,1),'2025数据'!$H$3:$H$181,"&lt;="&amp;DATE(2025,5,31),'2025数据'!$AS$3:$AS$181,$E373))</f>
        <v>0</v>
      </c>
      <c r="K373" s="210">
        <f ca="1">IF($S$1&lt;DATE(2025,6,1)," ",COUNTIFS('2025数据'!$H$3:$H$181,"&gt;="&amp;DATE(2025,6,1),'2025数据'!$H$3:$H$181,"&lt;="&amp;DATE(2025,6,30),'2025数据'!$AS$3:$AS$181,$E373))</f>
        <v>0</v>
      </c>
      <c r="L373" s="210">
        <f ca="1">IF($S$1&lt;DATE(2025,7,1)," ",COUNTIFS('2025数据'!$H$3:$H$181,"&gt;="&amp;DATE(2025,7,1),'2025数据'!$H$3:$H$181,"&lt;="&amp;DATE(2025,7,31),'2025数据'!$AS$3:$AS$181,$E373))</f>
        <v>0</v>
      </c>
      <c r="M373" s="210">
        <f ca="1">IF($S$1&lt;DATE(2025,8,1)," ",COUNTIFS('2025数据'!$H$3:$H$181,"&gt;="&amp;DATE(2025,8,1),'2025数据'!$H$3:$H$181,"&lt;="&amp;DATE(2025,8,31),'2025数据'!$AS$3:$AS$181,$E373))</f>
        <v>0</v>
      </c>
      <c r="N373" s="210">
        <f ca="1">IF($S$1&lt;DATE(2025,9,1)," ",COUNTIFS('2025数据'!$H$3:$H$181,"&gt;="&amp;DATE(2025,9,1),'2025数据'!$H$3:$H$181,"&lt;="&amp;DATE(2025,9,30),'2025数据'!$AS$3:$AS$181,$E373))</f>
        <v>1</v>
      </c>
      <c r="O373" s="210">
        <f ca="1">IF($S$1&lt;DATE(2025,10,1)," ",COUNTIFS('2025数据'!$H$3:$H$181,"&gt;="&amp;DATE(2025,10,1),'2025数据'!$H$3:$H$181,"&lt;="&amp;DATE(2025,10,31),'2025数据'!$AS$3:$AS$181,$E373))</f>
        <v>0</v>
      </c>
      <c r="P373" s="212">
        <f ca="1">IF($S$1&lt;DATE(2025,11,1)," ",COUNTIFS('2025数据'!$H$3:$H$181,"&gt;="&amp;DATE(2025,11,1),'2025数据'!$H$3:$H$181,"&lt;="&amp;DATE(2025,11,30),'2025数据'!$AS$3:$AS$181,$E373))</f>
        <v>0</v>
      </c>
      <c r="Q373" s="212">
        <f ca="1">IF($S$1&lt;DATE(2025,12,1)," ",COUNTIFS('2025数据'!$H$3:$H$181,"&gt;="&amp;DATE(2025,12,1),'2025数据'!$H$3:$H$181,"&lt;="&amp;DATE(2025,12,31),'2025数据'!$AS$3:$AS$181,$E373))</f>
        <v>0</v>
      </c>
    </row>
    <row r="374" ht="24" customHeight="1" spans="1:17">
      <c r="A374" s="99" t="s">
        <v>345</v>
      </c>
      <c r="B374" s="99" t="s">
        <v>299</v>
      </c>
      <c r="C374" s="99" t="s">
        <v>291</v>
      </c>
      <c r="D374" s="100" t="s">
        <v>292</v>
      </c>
      <c r="E374" s="110" t="s">
        <v>150</v>
      </c>
      <c r="F374" s="210">
        <f ca="1">IF($S$1&lt;DATE(2025,1,1)," ",COUNTIFS('2025数据'!$H$3:$H$181,"&gt;="&amp;DATE(2025,1,1),'2025数据'!$H$3:$H$181,"&lt;="&amp;DATE(2025,1,31),'2025数据'!$AS$3:$AS$181,$E374))</f>
        <v>0</v>
      </c>
      <c r="G374" s="210">
        <f ca="1">IF($S$1&lt;DATE(2025,2,1)," ",COUNTIFS('2025数据'!$H$3:$H$181,"&gt;="&amp;DATE(2025,2,1),'2025数据'!$H$3:$H$181,"&lt;="&amp;DATE(2025,2,28),'2025数据'!$AS$3:$AS$181,$E374))</f>
        <v>0</v>
      </c>
      <c r="H374" s="210">
        <f ca="1">IF($S$1&lt;DATE(2025,3,1)," ",COUNTIFS('2025数据'!$H$3:$H$181,"&gt;="&amp;DATE(2025,3,1),'2025数据'!$H$3:$H$181,"&lt;="&amp;DATE(2025,3,31),'2025数据'!$AS$3:$AS$181,$E374))</f>
        <v>0</v>
      </c>
      <c r="I374" s="210">
        <f ca="1">IF($S$1&lt;DATE(2025,4,1)," ",COUNTIFS('2025数据'!$H$3:$H$181,"&gt;="&amp;DATE(2025,4,1),'2025数据'!$H$3:$H$181,"&lt;="&amp;DATE(2025,4,30),'2025数据'!$AS$3:$AS$181,$E374))</f>
        <v>0</v>
      </c>
      <c r="J374" s="210">
        <f ca="1">IF($S$1&lt;DATE(2025,5,1)," ",COUNTIFS('2025数据'!$H$3:$H$181,"&gt;="&amp;DATE(2025,5,1),'2025数据'!$H$3:$H$181,"&lt;="&amp;DATE(2025,5,31),'2025数据'!$AS$3:$AS$181,$E374))</f>
        <v>0</v>
      </c>
      <c r="K374" s="210">
        <f ca="1">IF($S$1&lt;DATE(2025,6,1)," ",COUNTIFS('2025数据'!$H$3:$H$181,"&gt;="&amp;DATE(2025,6,1),'2025数据'!$H$3:$H$181,"&lt;="&amp;DATE(2025,6,30),'2025数据'!$AS$3:$AS$181,$E374))</f>
        <v>0</v>
      </c>
      <c r="L374" s="210">
        <f ca="1">IF($S$1&lt;DATE(2025,7,1)," ",COUNTIFS('2025数据'!$H$3:$H$181,"&gt;="&amp;DATE(2025,7,1),'2025数据'!$H$3:$H$181,"&lt;="&amp;DATE(2025,7,31),'2025数据'!$AS$3:$AS$181,$E374))</f>
        <v>0</v>
      </c>
      <c r="M374" s="210">
        <f ca="1">IF($S$1&lt;DATE(2025,8,1)," ",COUNTIFS('2025数据'!$H$3:$H$181,"&gt;="&amp;DATE(2025,8,1),'2025数据'!$H$3:$H$181,"&lt;="&amp;DATE(2025,8,31),'2025数据'!$AS$3:$AS$181,$E374))</f>
        <v>0</v>
      </c>
      <c r="N374" s="210">
        <f ca="1">IF($S$1&lt;DATE(2025,9,1)," ",COUNTIFS('2025数据'!$H$3:$H$181,"&gt;="&amp;DATE(2025,9,1),'2025数据'!$H$3:$H$181,"&lt;="&amp;DATE(2025,9,30),'2025数据'!$AS$3:$AS$181,$E374))</f>
        <v>0</v>
      </c>
      <c r="O374" s="210">
        <f ca="1">IF($S$1&lt;DATE(2025,10,1)," ",COUNTIFS('2025数据'!$H$3:$H$181,"&gt;="&amp;DATE(2025,10,1),'2025数据'!$H$3:$H$181,"&lt;="&amp;DATE(2025,10,31),'2025数据'!$AS$3:$AS$181,$E374))</f>
        <v>0</v>
      </c>
      <c r="P374" s="212">
        <f ca="1">IF($S$1&lt;DATE(2025,11,1)," ",COUNTIFS('2025数据'!$H$3:$H$181,"&gt;="&amp;DATE(2025,11,1),'2025数据'!$H$3:$H$181,"&lt;="&amp;DATE(2025,11,30),'2025数据'!$AS$3:$AS$181,$E374))</f>
        <v>0</v>
      </c>
      <c r="Q374" s="212">
        <f ca="1">IF($S$1&lt;DATE(2025,12,1)," ",COUNTIFS('2025数据'!$H$3:$H$181,"&gt;="&amp;DATE(2025,12,1),'2025数据'!$H$3:$H$181,"&lt;="&amp;DATE(2025,12,31),'2025数据'!$AS$3:$AS$181,$E374))</f>
        <v>0</v>
      </c>
    </row>
    <row r="375" ht="24" customHeight="1" spans="1:17">
      <c r="A375" s="99" t="s">
        <v>345</v>
      </c>
      <c r="B375" s="99" t="s">
        <v>299</v>
      </c>
      <c r="C375" s="99" t="s">
        <v>291</v>
      </c>
      <c r="D375" s="53" t="s">
        <v>303</v>
      </c>
      <c r="E375" s="53" t="s">
        <v>93</v>
      </c>
      <c r="F375" s="210">
        <f ca="1">IF($S$1&lt;DATE(2025,1,1)," ",COUNTIFS('2025数据'!$H$3:$H$181,"&gt;="&amp;DATE(2025,1,1),'2025数据'!$H$3:$H$181,"&lt;="&amp;DATE(2025,1,31),'2025数据'!$AS$3:$AS$181,$E$37,'2025数据'!$B$3:$B$181,$E375))</f>
        <v>0</v>
      </c>
      <c r="G375" s="210">
        <f ca="1">IF($S$1&lt;DATE(2025,2,1)," ",COUNTIFS('2025数据'!$H$3:$H$181,"&gt;="&amp;DATE(2025,2,1),'2025数据'!$H$3:$H$181,"&lt;="&amp;DATE(2025,2,28),'2025数据'!$AS$3:$AS$181,$E$37,'2025数据'!$B$3:$B$181,$E375))</f>
        <v>0</v>
      </c>
      <c r="H375" s="210">
        <f ca="1">IF($S$1&lt;DATE(2025,3,1)," ",COUNTIFS('2025数据'!$H$3:$H$181,"&gt;="&amp;DATE(2025,3,1),'2025数据'!$H$3:$H$181,"&lt;="&amp;DATE(2025,3,31),'2025数据'!$AS$3:$AS$181,$E$37,'2025数据'!$B$3:$B$181,$E375))</f>
        <v>0</v>
      </c>
      <c r="I375" s="210">
        <f ca="1">IF($S$1&lt;DATE(2025,4,1)," ",COUNTIFS('2025数据'!$H$3:$H$181,"&gt;="&amp;DATE(2025,4,1),'2025数据'!$H$3:$H$181,"&lt;="&amp;DATE(2025,4,30),'2025数据'!$AS$3:$AS$181,$E$37,'2025数据'!$B$3:$B$181,$E375))</f>
        <v>0</v>
      </c>
      <c r="J375" s="210">
        <f ca="1">IF($S$1&lt;DATE(2025,5,1)," ",COUNTIFS('2025数据'!$H$3:$H$181,"&gt;="&amp;DATE(2025,5,1),'2025数据'!$H$3:$H$181,"&lt;="&amp;DATE(2025,5,31),'2025数据'!$AS$3:$AS$181,$E$37,'2025数据'!$B$3:$B$181,$E375))</f>
        <v>0</v>
      </c>
      <c r="K375" s="210">
        <f ca="1">IF($S$1&lt;DATE(2025,6,1)," ",COUNTIFS('2025数据'!$H$3:$H$181,"&gt;="&amp;DATE(2025,6,1),'2025数据'!$H$3:$H$181,"&lt;="&amp;DATE(2025,6,30),'2025数据'!$AS$3:$AS$181,$E$37,'2025数据'!$B$3:$B$181,$E375))</f>
        <v>0</v>
      </c>
      <c r="L375" s="210">
        <f ca="1">IF($S$1&lt;DATE(2025,7,1)," ",COUNTIFS('2025数据'!$H$3:$H$181,"&gt;="&amp;DATE(2025,7,1),'2025数据'!$H$3:$H$181,"&lt;="&amp;DATE(2025,7,31),'2025数据'!$AS$3:$AS$181,$E$37,'2025数据'!$B$3:$B$181,$E375))</f>
        <v>0</v>
      </c>
      <c r="M375" s="210">
        <f ca="1">IF($S$1&lt;DATE(2025,8,1)," ",COUNTIFS('2025数据'!$H$3:$H$181,"&gt;="&amp;DATE(2025,8,1),'2025数据'!$H$3:$H$181,"&lt;="&amp;DATE(2025,8,31),'2025数据'!$AS$3:$AS$181,$E$37,'2025数据'!$B$3:$B$181,$E375))</f>
        <v>0</v>
      </c>
      <c r="N375" s="210">
        <f ca="1">IF($S$1&lt;DATE(2025,9,1)," ",COUNTIFS('2025数据'!$H$3:$H$181,"&gt;="&amp;DATE(2025,9,1),'2025数据'!$H$3:$H$181,"&lt;="&amp;DATE(2025,9,30),'2025数据'!$AS$3:$AS$181,$E$37,'2025数据'!$B$3:$B$181,$E375))</f>
        <v>0</v>
      </c>
      <c r="O375" s="210">
        <f ca="1">IF($S$1&lt;DATE(2025,10,1)," ",COUNTIFS('2025数据'!$H$3:$H$181,"&gt;="&amp;DATE(2025,10,1),'2025数据'!$H$3:$H$181,"&lt;="&amp;DATE(2025,10,31),'2025数据'!$AS$3:$AS$181,$E$37,'2025数据'!$B$3:$B$181,$E375))</f>
        <v>1</v>
      </c>
      <c r="P375" s="212">
        <f ca="1">IF($S$1&lt;DATE(2025,11,1)," ",COUNTIFS('2025数据'!$H$3:$H$181,"&gt;="&amp;DATE(2025,11,1),'2025数据'!$H$3:$H$181,"&lt;="&amp;DATE(2025,11,30),'2025数据'!$AS$3:$AS$181,$E$37,'2025数据'!$B$3:$B$181,$E375))</f>
        <v>0</v>
      </c>
      <c r="Q375" s="212">
        <f ca="1">IF($S$1&lt;DATE(2025,12,1)," ",COUNTIFS('2025数据'!$H$3:$H$181,"&gt;="&amp;DATE(2025,12,1),'2025数据'!$H$3:$H$181,"&lt;="&amp;DATE(2025,12,31),'2025数据'!$AS$3:$AS$181,$E$37,'2025数据'!$B$3:$B$181,$E375))</f>
        <v>0</v>
      </c>
    </row>
    <row r="376" ht="24" customHeight="1" spans="1:17">
      <c r="A376" s="99" t="s">
        <v>345</v>
      </c>
      <c r="B376" s="99" t="s">
        <v>299</v>
      </c>
      <c r="C376" s="99" t="s">
        <v>291</v>
      </c>
      <c r="D376" s="53" t="s">
        <v>303</v>
      </c>
      <c r="E376" s="53" t="s">
        <v>85</v>
      </c>
      <c r="F376" s="210">
        <f ca="1">IF($S$1&lt;DATE(2025,1,1)," ",COUNTIFS('2025数据'!$H$3:$H$181,"&gt;="&amp;DATE(2025,1,1),'2025数据'!$H$3:$H$181,"&lt;="&amp;DATE(2025,1,31),'2025数据'!$AS$3:$AS$181,$E$37,'2025数据'!$B$3:$B$181,$E376))</f>
        <v>0</v>
      </c>
      <c r="G376" s="210">
        <f ca="1">IF($S$1&lt;DATE(2025,2,1)," ",COUNTIFS('2025数据'!$H$3:$H$181,"&gt;="&amp;DATE(2025,2,1),'2025数据'!$H$3:$H$181,"&lt;="&amp;DATE(2025,2,28),'2025数据'!$AS$3:$AS$181,$E$37,'2025数据'!$B$3:$B$181,$E376))</f>
        <v>0</v>
      </c>
      <c r="H376" s="210">
        <f ca="1">IF($S$1&lt;DATE(2025,3,1)," ",COUNTIFS('2025数据'!$H$3:$H$181,"&gt;="&amp;DATE(2025,3,1),'2025数据'!$H$3:$H$181,"&lt;="&amp;DATE(2025,3,31),'2025数据'!$AS$3:$AS$181,$E$37,'2025数据'!$B$3:$B$181,$E376))</f>
        <v>0</v>
      </c>
      <c r="I376" s="210">
        <f ca="1">IF($S$1&lt;DATE(2025,4,1)," ",COUNTIFS('2025数据'!$H$3:$H$181,"&gt;="&amp;DATE(2025,4,1),'2025数据'!$H$3:$H$181,"&lt;="&amp;DATE(2025,4,30),'2025数据'!$AS$3:$AS$181,$E$37,'2025数据'!$B$3:$B$181,$E376))</f>
        <v>0</v>
      </c>
      <c r="J376" s="210">
        <f ca="1">IF($S$1&lt;DATE(2025,5,1)," ",COUNTIFS('2025数据'!$H$3:$H$181,"&gt;="&amp;DATE(2025,5,1),'2025数据'!$H$3:$H$181,"&lt;="&amp;DATE(2025,5,31),'2025数据'!$AS$3:$AS$181,$E$37,'2025数据'!$B$3:$B$181,$E376))</f>
        <v>0</v>
      </c>
      <c r="K376" s="210">
        <f ca="1">IF($S$1&lt;DATE(2025,6,1)," ",COUNTIFS('2025数据'!$H$3:$H$181,"&gt;="&amp;DATE(2025,6,1),'2025数据'!$H$3:$H$181,"&lt;="&amp;DATE(2025,6,30),'2025数据'!$AS$3:$AS$181,$E$37,'2025数据'!$B$3:$B$181,$E376))</f>
        <v>0</v>
      </c>
      <c r="L376" s="210">
        <f ca="1">IF($S$1&lt;DATE(2025,7,1)," ",COUNTIFS('2025数据'!$H$3:$H$181,"&gt;="&amp;DATE(2025,7,1),'2025数据'!$H$3:$H$181,"&lt;="&amp;DATE(2025,7,31),'2025数据'!$AS$3:$AS$181,$E$37,'2025数据'!$B$3:$B$181,$E376))</f>
        <v>0</v>
      </c>
      <c r="M376" s="210">
        <f ca="1">IF($S$1&lt;DATE(2025,8,1)," ",COUNTIFS('2025数据'!$H$3:$H$181,"&gt;="&amp;DATE(2025,8,1),'2025数据'!$H$3:$H$181,"&lt;="&amp;DATE(2025,8,31),'2025数据'!$AS$3:$AS$181,$E$37,'2025数据'!$B$3:$B$181,$E376))</f>
        <v>0</v>
      </c>
      <c r="N376" s="210">
        <f ca="1">IF($S$1&lt;DATE(2025,9,1)," ",COUNTIFS('2025数据'!$H$3:$H$181,"&gt;="&amp;DATE(2025,9,1),'2025数据'!$H$3:$H$181,"&lt;="&amp;DATE(2025,9,30),'2025数据'!$AS$3:$AS$181,$E$37,'2025数据'!$B$3:$B$181,$E376))</f>
        <v>0</v>
      </c>
      <c r="O376" s="210">
        <f ca="1">IF($S$1&lt;DATE(2025,10,1)," ",COUNTIFS('2025数据'!$H$3:$H$181,"&gt;="&amp;DATE(2025,10,1),'2025数据'!$H$3:$H$181,"&lt;="&amp;DATE(2025,10,31),'2025数据'!$AS$3:$AS$181,$E$37,'2025数据'!$B$3:$B$181,$E376))</f>
        <v>2</v>
      </c>
      <c r="P376" s="212">
        <f ca="1">IF($S$1&lt;DATE(2025,11,1)," ",COUNTIFS('2025数据'!$H$3:$H$181,"&gt;="&amp;DATE(2025,11,1),'2025数据'!$H$3:$H$181,"&lt;="&amp;DATE(2025,11,30),'2025数据'!$AS$3:$AS$181,$E$37,'2025数据'!$B$3:$B$181,$E376))</f>
        <v>0</v>
      </c>
      <c r="Q376" s="212">
        <f ca="1">IF($S$1&lt;DATE(2025,12,1)," ",COUNTIFS('2025数据'!$H$3:$H$181,"&gt;="&amp;DATE(2025,12,1),'2025数据'!$H$3:$H$181,"&lt;="&amp;DATE(2025,12,31),'2025数据'!$AS$3:$AS$181,$E$37,'2025数据'!$B$3:$B$181,$E376))</f>
        <v>0</v>
      </c>
    </row>
    <row r="377" ht="24" customHeight="1" spans="1:17">
      <c r="A377" s="99" t="s">
        <v>345</v>
      </c>
      <c r="B377" s="99" t="s">
        <v>299</v>
      </c>
      <c r="C377" s="99" t="s">
        <v>291</v>
      </c>
      <c r="D377" s="53" t="s">
        <v>303</v>
      </c>
      <c r="E377" s="53" t="s">
        <v>81</v>
      </c>
      <c r="F377" s="210">
        <f ca="1">IF($S$1&lt;DATE(2025,1,1)," ",COUNTIFS('2025数据'!$H$3:$H$181,"&gt;="&amp;DATE(2025,1,1),'2025数据'!$H$3:$H$181,"&lt;="&amp;DATE(2025,1,31),'2025数据'!$AS$3:$AS$181,$E$37,'2025数据'!$B$3:$B$181,$E377))</f>
        <v>0</v>
      </c>
      <c r="G377" s="210">
        <f ca="1">IF($S$1&lt;DATE(2025,2,1)," ",COUNTIFS('2025数据'!$H$3:$H$181,"&gt;="&amp;DATE(2025,2,1),'2025数据'!$H$3:$H$181,"&lt;="&amp;DATE(2025,2,28),'2025数据'!$AS$3:$AS$181,$E$37,'2025数据'!$B$3:$B$181,$E377))</f>
        <v>0</v>
      </c>
      <c r="H377" s="210">
        <f ca="1">IF($S$1&lt;DATE(2025,3,1)," ",COUNTIFS('2025数据'!$H$3:$H$181,"&gt;="&amp;DATE(2025,3,1),'2025数据'!$H$3:$H$181,"&lt;="&amp;DATE(2025,3,31),'2025数据'!$AS$3:$AS$181,$E$37,'2025数据'!$B$3:$B$181,$E377))</f>
        <v>0</v>
      </c>
      <c r="I377" s="210">
        <f ca="1">IF($S$1&lt;DATE(2025,4,1)," ",COUNTIFS('2025数据'!$H$3:$H$181,"&gt;="&amp;DATE(2025,4,1),'2025数据'!$H$3:$H$181,"&lt;="&amp;DATE(2025,4,30),'2025数据'!$AS$3:$AS$181,$E$37,'2025数据'!$B$3:$B$181,$E377))</f>
        <v>0</v>
      </c>
      <c r="J377" s="210">
        <f ca="1">IF($S$1&lt;DATE(2025,5,1)," ",COUNTIFS('2025数据'!$H$3:$H$181,"&gt;="&amp;DATE(2025,5,1),'2025数据'!$H$3:$H$181,"&lt;="&amp;DATE(2025,5,31),'2025数据'!$AS$3:$AS$181,$E$37,'2025数据'!$B$3:$B$181,$E377))</f>
        <v>0</v>
      </c>
      <c r="K377" s="210">
        <f ca="1">IF($S$1&lt;DATE(2025,6,1)," ",COUNTIFS('2025数据'!$H$3:$H$181,"&gt;="&amp;DATE(2025,6,1),'2025数据'!$H$3:$H$181,"&lt;="&amp;DATE(2025,6,30),'2025数据'!$AS$3:$AS$181,$E$37,'2025数据'!$B$3:$B$181,$E377))</f>
        <v>0</v>
      </c>
      <c r="L377" s="210">
        <f ca="1">IF($S$1&lt;DATE(2025,7,1)," ",COUNTIFS('2025数据'!$H$3:$H$181,"&gt;="&amp;DATE(2025,7,1),'2025数据'!$H$3:$H$181,"&lt;="&amp;DATE(2025,7,31),'2025数据'!$AS$3:$AS$181,$E$37,'2025数据'!$B$3:$B$181,$E377))</f>
        <v>0</v>
      </c>
      <c r="M377" s="210">
        <f ca="1">IF($S$1&lt;DATE(2025,8,1)," ",COUNTIFS('2025数据'!$H$3:$H$181,"&gt;="&amp;DATE(2025,8,1),'2025数据'!$H$3:$H$181,"&lt;="&amp;DATE(2025,8,31),'2025数据'!$AS$3:$AS$181,$E$37,'2025数据'!$B$3:$B$181,$E377))</f>
        <v>0</v>
      </c>
      <c r="N377" s="210">
        <f ca="1">IF($S$1&lt;DATE(2025,9,1)," ",COUNTIFS('2025数据'!$H$3:$H$181,"&gt;="&amp;DATE(2025,9,1),'2025数据'!$H$3:$H$181,"&lt;="&amp;DATE(2025,9,30),'2025数据'!$AS$3:$AS$181,$E$37,'2025数据'!$B$3:$B$181,$E377))</f>
        <v>0</v>
      </c>
      <c r="O377" s="210">
        <f ca="1">IF($S$1&lt;DATE(2025,10,1)," ",COUNTIFS('2025数据'!$H$3:$H$181,"&gt;="&amp;DATE(2025,10,1),'2025数据'!$H$3:$H$181,"&lt;="&amp;DATE(2025,10,31),'2025数据'!$AS$3:$AS$181,$E$37,'2025数据'!$B$3:$B$181,$E377))</f>
        <v>0</v>
      </c>
      <c r="P377" s="212">
        <f ca="1">IF($S$1&lt;DATE(2025,11,1)," ",COUNTIFS('2025数据'!$H$3:$H$181,"&gt;="&amp;DATE(2025,11,1),'2025数据'!$H$3:$H$181,"&lt;="&amp;DATE(2025,11,30),'2025数据'!$AS$3:$AS$181,$E$37,'2025数据'!$B$3:$B$181,$E377))</f>
        <v>0</v>
      </c>
      <c r="Q377" s="212">
        <f ca="1">IF($S$1&lt;DATE(2025,12,1)," ",COUNTIFS('2025数据'!$H$3:$H$181,"&gt;="&amp;DATE(2025,12,1),'2025数据'!$H$3:$H$181,"&lt;="&amp;DATE(2025,12,31),'2025数据'!$AS$3:$AS$181,$E$37,'2025数据'!$B$3:$B$181,$E377))</f>
        <v>0</v>
      </c>
    </row>
    <row r="378" ht="24" customHeight="1" spans="1:17">
      <c r="A378" s="99" t="s">
        <v>345</v>
      </c>
      <c r="B378" s="99" t="s">
        <v>299</v>
      </c>
      <c r="C378" s="99" t="s">
        <v>291</v>
      </c>
      <c r="D378" s="53" t="s">
        <v>303</v>
      </c>
      <c r="E378" s="53" t="s">
        <v>96</v>
      </c>
      <c r="F378" s="210">
        <f ca="1">IF($S$1&lt;DATE(2025,1,1)," ",COUNTIFS('2025数据'!$H$3:$H$181,"&gt;="&amp;DATE(2025,1,1),'2025数据'!$H$3:$H$181,"&lt;="&amp;DATE(2025,1,31),'2025数据'!$AS$3:$AS$181,$E$37,'2025数据'!$B$3:$B$181,$E378))</f>
        <v>0</v>
      </c>
      <c r="G378" s="210">
        <f ca="1">IF($S$1&lt;DATE(2025,2,1)," ",COUNTIFS('2025数据'!$H$3:$H$181,"&gt;="&amp;DATE(2025,2,1),'2025数据'!$H$3:$H$181,"&lt;="&amp;DATE(2025,2,28),'2025数据'!$AS$3:$AS$181,$E$37,'2025数据'!$B$3:$B$181,$E378))</f>
        <v>0</v>
      </c>
      <c r="H378" s="210">
        <f ca="1">IF($S$1&lt;DATE(2025,3,1)," ",COUNTIFS('2025数据'!$H$3:$H$181,"&gt;="&amp;DATE(2025,3,1),'2025数据'!$H$3:$H$181,"&lt;="&amp;DATE(2025,3,31),'2025数据'!$AS$3:$AS$181,$E$37,'2025数据'!$B$3:$B$181,$E378))</f>
        <v>0</v>
      </c>
      <c r="I378" s="210">
        <f ca="1">IF($S$1&lt;DATE(2025,4,1)," ",COUNTIFS('2025数据'!$H$3:$H$181,"&gt;="&amp;DATE(2025,4,1),'2025数据'!$H$3:$H$181,"&lt;="&amp;DATE(2025,4,30),'2025数据'!$AS$3:$AS$181,$E$37,'2025数据'!$B$3:$B$181,$E378))</f>
        <v>0</v>
      </c>
      <c r="J378" s="210">
        <f ca="1">IF($S$1&lt;DATE(2025,5,1)," ",COUNTIFS('2025数据'!$H$3:$H$181,"&gt;="&amp;DATE(2025,5,1),'2025数据'!$H$3:$H$181,"&lt;="&amp;DATE(2025,5,31),'2025数据'!$AS$3:$AS$181,$E$37,'2025数据'!$B$3:$B$181,$E378))</f>
        <v>0</v>
      </c>
      <c r="K378" s="210">
        <f ca="1">IF($S$1&lt;DATE(2025,6,1)," ",COUNTIFS('2025数据'!$H$3:$H$181,"&gt;="&amp;DATE(2025,6,1),'2025数据'!$H$3:$H$181,"&lt;="&amp;DATE(2025,6,30),'2025数据'!$AS$3:$AS$181,$E$37,'2025数据'!$B$3:$B$181,$E378))</f>
        <v>0</v>
      </c>
      <c r="L378" s="210">
        <f ca="1">IF($S$1&lt;DATE(2025,7,1)," ",COUNTIFS('2025数据'!$H$3:$H$181,"&gt;="&amp;DATE(2025,7,1),'2025数据'!$H$3:$H$181,"&lt;="&amp;DATE(2025,7,31),'2025数据'!$AS$3:$AS$181,$E$37,'2025数据'!$B$3:$B$181,$E378))</f>
        <v>0</v>
      </c>
      <c r="M378" s="210">
        <f ca="1">IF($S$1&lt;DATE(2025,8,1)," ",COUNTIFS('2025数据'!$H$3:$H$181,"&gt;="&amp;DATE(2025,8,1),'2025数据'!$H$3:$H$181,"&lt;="&amp;DATE(2025,8,31),'2025数据'!$AS$3:$AS$181,$E$37,'2025数据'!$B$3:$B$181,$E378))</f>
        <v>0</v>
      </c>
      <c r="N378" s="210">
        <f ca="1">IF($S$1&lt;DATE(2025,9,1)," ",COUNTIFS('2025数据'!$H$3:$H$181,"&gt;="&amp;DATE(2025,9,1),'2025数据'!$H$3:$H$181,"&lt;="&amp;DATE(2025,9,30),'2025数据'!$AS$3:$AS$181,$E$37,'2025数据'!$B$3:$B$181,$E378))</f>
        <v>0</v>
      </c>
      <c r="O378" s="210">
        <f ca="1">IF($S$1&lt;DATE(2025,10,1)," ",COUNTIFS('2025数据'!$H$3:$H$181,"&gt;="&amp;DATE(2025,10,1),'2025数据'!$H$3:$H$181,"&lt;="&amp;DATE(2025,10,31),'2025数据'!$AS$3:$AS$181,$E$37,'2025数据'!$B$3:$B$181,$E378))</f>
        <v>0</v>
      </c>
      <c r="P378" s="212">
        <f ca="1">IF($S$1&lt;DATE(2025,11,1)," ",COUNTIFS('2025数据'!$H$3:$H$181,"&gt;="&amp;DATE(2025,11,1),'2025数据'!$H$3:$H$181,"&lt;="&amp;DATE(2025,11,30),'2025数据'!$AS$3:$AS$181,$E$37,'2025数据'!$B$3:$B$181,$E378))</f>
        <v>0</v>
      </c>
      <c r="Q378" s="212">
        <f ca="1">IF($S$1&lt;DATE(2025,12,1)," ",COUNTIFS('2025数据'!$H$3:$H$181,"&gt;="&amp;DATE(2025,12,1),'2025数据'!$H$3:$H$181,"&lt;="&amp;DATE(2025,12,31),'2025数据'!$AS$3:$AS$181,$E$37,'2025数据'!$B$3:$B$181,$E378))</f>
        <v>0</v>
      </c>
    </row>
    <row r="379" ht="24" customHeight="1" spans="1:17">
      <c r="A379" s="99" t="s">
        <v>345</v>
      </c>
      <c r="B379" s="99" t="s">
        <v>299</v>
      </c>
      <c r="C379" s="99" t="s">
        <v>291</v>
      </c>
      <c r="D379" s="53" t="s">
        <v>303</v>
      </c>
      <c r="E379" s="53" t="s">
        <v>160</v>
      </c>
      <c r="F379" s="210">
        <f ca="1">IF($S$1&lt;DATE(2025,1,1)," ",COUNTIFS('2025数据'!$H$3:$H$181,"&gt;="&amp;DATE(2025,1,1),'2025数据'!$H$3:$H$181,"&lt;="&amp;DATE(2025,1,31),'2025数据'!$AS$3:$AS$181,$E$37,'2025数据'!$B$3:$B$181,$E379))</f>
        <v>0</v>
      </c>
      <c r="G379" s="210">
        <f ca="1">IF($S$1&lt;DATE(2025,2,1)," ",COUNTIFS('2025数据'!$H$3:$H$181,"&gt;="&amp;DATE(2025,2,1),'2025数据'!$H$3:$H$181,"&lt;="&amp;DATE(2025,2,28),'2025数据'!$AS$3:$AS$181,$E$37,'2025数据'!$B$3:$B$181,$E379))</f>
        <v>0</v>
      </c>
      <c r="H379" s="210">
        <f ca="1">IF($S$1&lt;DATE(2025,3,1)," ",COUNTIFS('2025数据'!$H$3:$H$181,"&gt;="&amp;DATE(2025,3,1),'2025数据'!$H$3:$H$181,"&lt;="&amp;DATE(2025,3,31),'2025数据'!$AS$3:$AS$181,$E$37,'2025数据'!$B$3:$B$181,$E379))</f>
        <v>0</v>
      </c>
      <c r="I379" s="210">
        <f ca="1">IF($S$1&lt;DATE(2025,4,1)," ",COUNTIFS('2025数据'!$H$3:$H$181,"&gt;="&amp;DATE(2025,4,1),'2025数据'!$H$3:$H$181,"&lt;="&amp;DATE(2025,4,30),'2025数据'!$AS$3:$AS$181,$E$37,'2025数据'!$B$3:$B$181,$E379))</f>
        <v>0</v>
      </c>
      <c r="J379" s="210">
        <f ca="1">IF($S$1&lt;DATE(2025,5,1)," ",COUNTIFS('2025数据'!$H$3:$H$181,"&gt;="&amp;DATE(2025,5,1),'2025数据'!$H$3:$H$181,"&lt;="&amp;DATE(2025,5,31),'2025数据'!$AS$3:$AS$181,$E$37,'2025数据'!$B$3:$B$181,$E379))</f>
        <v>0</v>
      </c>
      <c r="K379" s="210">
        <f ca="1">IF($S$1&lt;DATE(2025,6,1)," ",COUNTIFS('2025数据'!$H$3:$H$181,"&gt;="&amp;DATE(2025,6,1),'2025数据'!$H$3:$H$181,"&lt;="&amp;DATE(2025,6,30),'2025数据'!$AS$3:$AS$181,$E$37,'2025数据'!$B$3:$B$181,$E379))</f>
        <v>0</v>
      </c>
      <c r="L379" s="210">
        <f ca="1">IF($S$1&lt;DATE(2025,7,1)," ",COUNTIFS('2025数据'!$H$3:$H$181,"&gt;="&amp;DATE(2025,7,1),'2025数据'!$H$3:$H$181,"&lt;="&amp;DATE(2025,7,31),'2025数据'!$AS$3:$AS$181,$E$37,'2025数据'!$B$3:$B$181,$E379))</f>
        <v>0</v>
      </c>
      <c r="M379" s="210">
        <f ca="1">IF($S$1&lt;DATE(2025,8,1)," ",COUNTIFS('2025数据'!$H$3:$H$181,"&gt;="&amp;DATE(2025,8,1),'2025数据'!$H$3:$H$181,"&lt;="&amp;DATE(2025,8,31),'2025数据'!$AS$3:$AS$181,$E$37,'2025数据'!$B$3:$B$181,$E379))</f>
        <v>0</v>
      </c>
      <c r="N379" s="210">
        <f ca="1">IF($S$1&lt;DATE(2025,9,1)," ",COUNTIFS('2025数据'!$H$3:$H$181,"&gt;="&amp;DATE(2025,9,1),'2025数据'!$H$3:$H$181,"&lt;="&amp;DATE(2025,9,30),'2025数据'!$AS$3:$AS$181,$E$37,'2025数据'!$B$3:$B$181,$E379))</f>
        <v>0</v>
      </c>
      <c r="O379" s="210">
        <f ca="1">IF($S$1&lt;DATE(2025,10,1)," ",COUNTIFS('2025数据'!$H$3:$H$181,"&gt;="&amp;DATE(2025,10,1),'2025数据'!$H$3:$H$181,"&lt;="&amp;DATE(2025,10,31),'2025数据'!$AS$3:$AS$181,$E$37,'2025数据'!$B$3:$B$181,$E379))</f>
        <v>0</v>
      </c>
      <c r="P379" s="212">
        <f ca="1">IF($S$1&lt;DATE(2025,11,1)," ",COUNTIFS('2025数据'!$H$3:$H$181,"&gt;="&amp;DATE(2025,11,1),'2025数据'!$H$3:$H$181,"&lt;="&amp;DATE(2025,11,30),'2025数据'!$AS$3:$AS$181,$E$37,'2025数据'!$B$3:$B$181,$E379))</f>
        <v>0</v>
      </c>
      <c r="Q379" s="212">
        <f ca="1">IF($S$1&lt;DATE(2025,12,1)," ",COUNTIFS('2025数据'!$H$3:$H$181,"&gt;="&amp;DATE(2025,12,1),'2025数据'!$H$3:$H$181,"&lt;="&amp;DATE(2025,12,31),'2025数据'!$AS$3:$AS$181,$E$37,'2025数据'!$B$3:$B$181,$E379))</f>
        <v>0</v>
      </c>
    </row>
    <row r="380" ht="24" customHeight="1" spans="1:17">
      <c r="A380" s="99" t="s">
        <v>345</v>
      </c>
      <c r="B380" s="99" t="s">
        <v>299</v>
      </c>
      <c r="C380" s="99" t="s">
        <v>291</v>
      </c>
      <c r="D380" s="53" t="s">
        <v>304</v>
      </c>
      <c r="E380" s="53" t="s">
        <v>93</v>
      </c>
      <c r="F380" s="210">
        <f ca="1">IF($S$1&lt;DATE(2025,1,1)," ",COUNTIFS('2025数据'!$H$3:$H$181,"&gt;="&amp;DATE(2025,1,1),'2025数据'!$H$3:$H$181,"&lt;="&amp;DATE(2025,1,31),'2025数据'!$AS$3:$AS$181,$E$38,'2025数据'!$B$3:$B$181,$E380))</f>
        <v>0</v>
      </c>
      <c r="G380" s="210">
        <f ca="1">IF($S$1&lt;DATE(2025,2,1)," ",COUNTIFS('2025数据'!$H$3:$H$181,"&gt;="&amp;DATE(2025,2,1),'2025数据'!$H$3:$H$181,"&lt;="&amp;DATE(2025,2,28),'2025数据'!$AS$3:$AS$181,$E$38,'2025数据'!$B$3:$B$181,$E380))</f>
        <v>1</v>
      </c>
      <c r="H380" s="210">
        <f ca="1">IF($S$1&lt;DATE(2025,3,1)," ",COUNTIFS('2025数据'!$H$3:$H$181,"&gt;="&amp;DATE(2025,3,1),'2025数据'!$H$3:$H$181,"&lt;="&amp;DATE(2025,3,31),'2025数据'!$AS$3:$AS$181,$E$38,'2025数据'!$B$3:$B$181,$E380))</f>
        <v>0</v>
      </c>
      <c r="I380" s="210">
        <f ca="1">IF($S$1&lt;DATE(2025,4,1)," ",COUNTIFS('2025数据'!$H$3:$H$181,"&gt;="&amp;DATE(2025,4,1),'2025数据'!$H$3:$H$181,"&lt;="&amp;DATE(2025,4,30),'2025数据'!$AS$3:$AS$181,$E$38,'2025数据'!$B$3:$B$181,$E380))</f>
        <v>0</v>
      </c>
      <c r="J380" s="210">
        <f ca="1">IF($S$1&lt;DATE(2025,5,1)," ",COUNTIFS('2025数据'!$H$3:$H$181,"&gt;="&amp;DATE(2025,5,1),'2025数据'!$H$3:$H$181,"&lt;="&amp;DATE(2025,5,31),'2025数据'!$AS$3:$AS$181,$E$38,'2025数据'!$B$3:$B$181,$E380))</f>
        <v>0</v>
      </c>
      <c r="K380" s="210">
        <f ca="1">IF($S$1&lt;DATE(2025,6,1)," ",COUNTIFS('2025数据'!$H$3:$H$181,"&gt;="&amp;DATE(2025,6,1),'2025数据'!$H$3:$H$181,"&lt;="&amp;DATE(2025,6,30),'2025数据'!$AS$3:$AS$181,$E$38,'2025数据'!$B$3:$B$181,$E380))</f>
        <v>0</v>
      </c>
      <c r="L380" s="210">
        <f ca="1">IF($S$1&lt;DATE(2025,7,1)," ",COUNTIFS('2025数据'!$H$3:$H$181,"&gt;="&amp;DATE(2025,7,1),'2025数据'!$H$3:$H$181,"&lt;="&amp;DATE(2025,7,31),'2025数据'!$AS$3:$AS$181,$E$38,'2025数据'!$B$3:$B$181,$E380))</f>
        <v>0</v>
      </c>
      <c r="M380" s="210">
        <f ca="1">IF($S$1&lt;DATE(2025,8,1)," ",COUNTIFS('2025数据'!$H$3:$H$181,"&gt;="&amp;DATE(2025,8,1),'2025数据'!$H$3:$H$181,"&lt;="&amp;DATE(2025,8,31),'2025数据'!$AS$3:$AS$181,$E$38,'2025数据'!$B$3:$B$181,$E380))</f>
        <v>0</v>
      </c>
      <c r="N380" s="210">
        <f ca="1">IF($S$1&lt;DATE(2025,9,1)," ",COUNTIFS('2025数据'!$H$3:$H$181,"&gt;="&amp;DATE(2025,9,1),'2025数据'!$H$3:$H$181,"&lt;="&amp;DATE(2025,9,30),'2025数据'!$AS$3:$AS$181,$E$38,'2025数据'!$B$3:$B$181,$E380))</f>
        <v>1</v>
      </c>
      <c r="O380" s="210">
        <f ca="1">IF($S$1&lt;DATE(2025,10,1)," ",COUNTIFS('2025数据'!$H$3:$H$181,"&gt;="&amp;DATE(2025,10,1),'2025数据'!$H$3:$H$181,"&lt;="&amp;DATE(2025,10,31),'2025数据'!$AS$3:$AS$181,$E$38,'2025数据'!$B$3:$B$181,$E380))</f>
        <v>0</v>
      </c>
      <c r="P380" s="212">
        <f ca="1">IF($S$1&lt;DATE(2025,11,1)," ",COUNTIFS('2025数据'!$H$3:$H$181,"&gt;="&amp;DATE(2025,11,1),'2025数据'!$H$3:$H$181,"&lt;="&amp;DATE(2025,11,30),'2025数据'!$AS$3:$AS$181,$E$38,'2025数据'!$B$3:$B$181,$E380))</f>
        <v>0</v>
      </c>
      <c r="Q380" s="212">
        <f ca="1">IF($S$1&lt;DATE(2025,12,1)," ",COUNTIFS('2025数据'!$H$3:$H$181,"&gt;="&amp;DATE(2025,12,1),'2025数据'!$H$3:$H$181,"&lt;="&amp;DATE(2025,12,31),'2025数据'!$AS$3:$AS$181,$E$38,'2025数据'!$B$3:$B$181,$E380))</f>
        <v>0</v>
      </c>
    </row>
    <row r="381" ht="24" customHeight="1" spans="1:17">
      <c r="A381" s="99" t="s">
        <v>345</v>
      </c>
      <c r="B381" s="99" t="s">
        <v>299</v>
      </c>
      <c r="C381" s="99" t="s">
        <v>291</v>
      </c>
      <c r="D381" s="53" t="s">
        <v>304</v>
      </c>
      <c r="E381" s="53" t="s">
        <v>85</v>
      </c>
      <c r="F381" s="210">
        <f ca="1">IF($S$1&lt;DATE(2025,1,1)," ",COUNTIFS('2025数据'!$H$3:$H$181,"&gt;="&amp;DATE(2025,1,1),'2025数据'!$H$3:$H$181,"&lt;="&amp;DATE(2025,1,31),'2025数据'!$AS$3:$AS$181,$E$38,'2025数据'!$B$3:$B$181,$E381))</f>
        <v>0</v>
      </c>
      <c r="G381" s="210">
        <f ca="1">IF($S$1&lt;DATE(2025,2,1)," ",COUNTIFS('2025数据'!$H$3:$H$181,"&gt;="&amp;DATE(2025,2,1),'2025数据'!$H$3:$H$181,"&lt;="&amp;DATE(2025,2,28),'2025数据'!$AS$3:$AS$181,$E$38,'2025数据'!$B$3:$B$181,$E381))</f>
        <v>0</v>
      </c>
      <c r="H381" s="210">
        <f ca="1">IF($S$1&lt;DATE(2025,3,1)," ",COUNTIFS('2025数据'!$H$3:$H$181,"&gt;="&amp;DATE(2025,3,1),'2025数据'!$H$3:$H$181,"&lt;="&amp;DATE(2025,3,31),'2025数据'!$AS$3:$AS$181,$E$38,'2025数据'!$B$3:$B$181,$E381))</f>
        <v>0</v>
      </c>
      <c r="I381" s="210">
        <f ca="1">IF($S$1&lt;DATE(2025,4,1)," ",COUNTIFS('2025数据'!$H$3:$H$181,"&gt;="&amp;DATE(2025,4,1),'2025数据'!$H$3:$H$181,"&lt;="&amp;DATE(2025,4,30),'2025数据'!$AS$3:$AS$181,$E$38,'2025数据'!$B$3:$B$181,$E381))</f>
        <v>0</v>
      </c>
      <c r="J381" s="210">
        <f ca="1">IF($S$1&lt;DATE(2025,5,1)," ",COUNTIFS('2025数据'!$H$3:$H$181,"&gt;="&amp;DATE(2025,5,1),'2025数据'!$H$3:$H$181,"&lt;="&amp;DATE(2025,5,31),'2025数据'!$AS$3:$AS$181,$E$38,'2025数据'!$B$3:$B$181,$E381))</f>
        <v>0</v>
      </c>
      <c r="K381" s="210">
        <f ca="1">IF($S$1&lt;DATE(2025,6,1)," ",COUNTIFS('2025数据'!$H$3:$H$181,"&gt;="&amp;DATE(2025,6,1),'2025数据'!$H$3:$H$181,"&lt;="&amp;DATE(2025,6,30),'2025数据'!$AS$3:$AS$181,$E$38,'2025数据'!$B$3:$B$181,$E381))</f>
        <v>0</v>
      </c>
      <c r="L381" s="210">
        <f ca="1">IF($S$1&lt;DATE(2025,7,1)," ",COUNTIFS('2025数据'!$H$3:$H$181,"&gt;="&amp;DATE(2025,7,1),'2025数据'!$H$3:$H$181,"&lt;="&amp;DATE(2025,7,31),'2025数据'!$AS$3:$AS$181,$E$38,'2025数据'!$B$3:$B$181,$E381))</f>
        <v>0</v>
      </c>
      <c r="M381" s="210">
        <f ca="1">IF($S$1&lt;DATE(2025,8,1)," ",COUNTIFS('2025数据'!$H$3:$H$181,"&gt;="&amp;DATE(2025,8,1),'2025数据'!$H$3:$H$181,"&lt;="&amp;DATE(2025,8,31),'2025数据'!$AS$3:$AS$181,$E$38,'2025数据'!$B$3:$B$181,$E381))</f>
        <v>0</v>
      </c>
      <c r="N381" s="210">
        <f ca="1">IF($S$1&lt;DATE(2025,9,1)," ",COUNTIFS('2025数据'!$H$3:$H$181,"&gt;="&amp;DATE(2025,9,1),'2025数据'!$H$3:$H$181,"&lt;="&amp;DATE(2025,9,30),'2025数据'!$AS$3:$AS$181,$E$38,'2025数据'!$B$3:$B$181,$E381))</f>
        <v>0</v>
      </c>
      <c r="O381" s="210">
        <f ca="1">IF($S$1&lt;DATE(2025,10,1)," ",COUNTIFS('2025数据'!$H$3:$H$181,"&gt;="&amp;DATE(2025,10,1),'2025数据'!$H$3:$H$181,"&lt;="&amp;DATE(2025,10,31),'2025数据'!$AS$3:$AS$181,$E$38,'2025数据'!$B$3:$B$181,$E381))</f>
        <v>0</v>
      </c>
      <c r="P381" s="212">
        <f ca="1">IF($S$1&lt;DATE(2025,11,1)," ",COUNTIFS('2025数据'!$H$3:$H$181,"&gt;="&amp;DATE(2025,11,1),'2025数据'!$H$3:$H$181,"&lt;="&amp;DATE(2025,11,30),'2025数据'!$AS$3:$AS$181,$E$38,'2025数据'!$B$3:$B$181,$E381))</f>
        <v>0</v>
      </c>
      <c r="Q381" s="212">
        <f ca="1">IF($S$1&lt;DATE(2025,12,1)," ",COUNTIFS('2025数据'!$H$3:$H$181,"&gt;="&amp;DATE(2025,12,1),'2025数据'!$H$3:$H$181,"&lt;="&amp;DATE(2025,12,31),'2025数据'!$AS$3:$AS$181,$E$38,'2025数据'!$B$3:$B$181,$E381))</f>
        <v>0</v>
      </c>
    </row>
    <row r="382" ht="24" customHeight="1" spans="1:17">
      <c r="A382" s="99" t="s">
        <v>345</v>
      </c>
      <c r="B382" s="99" t="s">
        <v>299</v>
      </c>
      <c r="C382" s="99" t="s">
        <v>291</v>
      </c>
      <c r="D382" s="53" t="s">
        <v>304</v>
      </c>
      <c r="E382" s="53" t="s">
        <v>81</v>
      </c>
      <c r="F382" s="210">
        <f ca="1">IF($S$1&lt;DATE(2025,1,1)," ",COUNTIFS('2025数据'!$H$3:$H$181,"&gt;="&amp;DATE(2025,1,1),'2025数据'!$H$3:$H$181,"&lt;="&amp;DATE(2025,1,31),'2025数据'!$AS$3:$AS$181,$E$38,'2025数据'!$B$3:$B$181,$E382))</f>
        <v>0</v>
      </c>
      <c r="G382" s="210">
        <f ca="1">IF($S$1&lt;DATE(2025,2,1)," ",COUNTIFS('2025数据'!$H$3:$H$181,"&gt;="&amp;DATE(2025,2,1),'2025数据'!$H$3:$H$181,"&lt;="&amp;DATE(2025,2,28),'2025数据'!$AS$3:$AS$181,$E$38,'2025数据'!$B$3:$B$181,$E382))</f>
        <v>0</v>
      </c>
      <c r="H382" s="210">
        <f ca="1">IF($S$1&lt;DATE(2025,3,1)," ",COUNTIFS('2025数据'!$H$3:$H$181,"&gt;="&amp;DATE(2025,3,1),'2025数据'!$H$3:$H$181,"&lt;="&amp;DATE(2025,3,31),'2025数据'!$AS$3:$AS$181,$E$38,'2025数据'!$B$3:$B$181,$E382))</f>
        <v>0</v>
      </c>
      <c r="I382" s="210">
        <f ca="1">IF($S$1&lt;DATE(2025,4,1)," ",COUNTIFS('2025数据'!$H$3:$H$181,"&gt;="&amp;DATE(2025,4,1),'2025数据'!$H$3:$H$181,"&lt;="&amp;DATE(2025,4,30),'2025数据'!$AS$3:$AS$181,$E$38,'2025数据'!$B$3:$B$181,$E382))</f>
        <v>0</v>
      </c>
      <c r="J382" s="210">
        <f ca="1">IF($S$1&lt;DATE(2025,5,1)," ",COUNTIFS('2025数据'!$H$3:$H$181,"&gt;="&amp;DATE(2025,5,1),'2025数据'!$H$3:$H$181,"&lt;="&amp;DATE(2025,5,31),'2025数据'!$AS$3:$AS$181,$E$38,'2025数据'!$B$3:$B$181,$E382))</f>
        <v>0</v>
      </c>
      <c r="K382" s="210">
        <f ca="1">IF($S$1&lt;DATE(2025,6,1)," ",COUNTIFS('2025数据'!$H$3:$H$181,"&gt;="&amp;DATE(2025,6,1),'2025数据'!$H$3:$H$181,"&lt;="&amp;DATE(2025,6,30),'2025数据'!$AS$3:$AS$181,$E$38,'2025数据'!$B$3:$B$181,$E382))</f>
        <v>0</v>
      </c>
      <c r="L382" s="210">
        <f ca="1">IF($S$1&lt;DATE(2025,7,1)," ",COUNTIFS('2025数据'!$H$3:$H$181,"&gt;="&amp;DATE(2025,7,1),'2025数据'!$H$3:$H$181,"&lt;="&amp;DATE(2025,7,31),'2025数据'!$AS$3:$AS$181,$E$38,'2025数据'!$B$3:$B$181,$E382))</f>
        <v>0</v>
      </c>
      <c r="M382" s="210">
        <f ca="1">IF($S$1&lt;DATE(2025,8,1)," ",COUNTIFS('2025数据'!$H$3:$H$181,"&gt;="&amp;DATE(2025,8,1),'2025数据'!$H$3:$H$181,"&lt;="&amp;DATE(2025,8,31),'2025数据'!$AS$3:$AS$181,$E$38,'2025数据'!$B$3:$B$181,$E382))</f>
        <v>0</v>
      </c>
      <c r="N382" s="210">
        <f ca="1">IF($S$1&lt;DATE(2025,9,1)," ",COUNTIFS('2025数据'!$H$3:$H$181,"&gt;="&amp;DATE(2025,9,1),'2025数据'!$H$3:$H$181,"&lt;="&amp;DATE(2025,9,30),'2025数据'!$AS$3:$AS$181,$E$38,'2025数据'!$B$3:$B$181,$E382))</f>
        <v>0</v>
      </c>
      <c r="O382" s="210">
        <f ca="1">IF($S$1&lt;DATE(2025,10,1)," ",COUNTIFS('2025数据'!$H$3:$H$181,"&gt;="&amp;DATE(2025,10,1),'2025数据'!$H$3:$H$181,"&lt;="&amp;DATE(2025,10,31),'2025数据'!$AS$3:$AS$181,$E$38,'2025数据'!$B$3:$B$181,$E382))</f>
        <v>0</v>
      </c>
      <c r="P382" s="212">
        <f ca="1">IF($S$1&lt;DATE(2025,11,1)," ",COUNTIFS('2025数据'!$H$3:$H$181,"&gt;="&amp;DATE(2025,11,1),'2025数据'!$H$3:$H$181,"&lt;="&amp;DATE(2025,11,30),'2025数据'!$AS$3:$AS$181,$E$38,'2025数据'!$B$3:$B$181,$E382))</f>
        <v>0</v>
      </c>
      <c r="Q382" s="212">
        <f ca="1">IF($S$1&lt;DATE(2025,12,1)," ",COUNTIFS('2025数据'!$H$3:$H$181,"&gt;="&amp;DATE(2025,12,1),'2025数据'!$H$3:$H$181,"&lt;="&amp;DATE(2025,12,31),'2025数据'!$AS$3:$AS$181,$E$38,'2025数据'!$B$3:$B$181,$E382))</f>
        <v>0</v>
      </c>
    </row>
    <row r="383" ht="24" customHeight="1" spans="1:17">
      <c r="A383" s="99" t="s">
        <v>345</v>
      </c>
      <c r="B383" s="99" t="s">
        <v>299</v>
      </c>
      <c r="C383" s="99" t="s">
        <v>291</v>
      </c>
      <c r="D383" s="53" t="s">
        <v>304</v>
      </c>
      <c r="E383" s="53" t="s">
        <v>96</v>
      </c>
      <c r="F383" s="210">
        <f ca="1">IF($S$1&lt;DATE(2025,1,1)," ",COUNTIFS('2025数据'!$H$3:$H$181,"&gt;="&amp;DATE(2025,1,1),'2025数据'!$H$3:$H$181,"&lt;="&amp;DATE(2025,1,31),'2025数据'!$AS$3:$AS$181,$E$38,'2025数据'!$B$3:$B$181,$E383))</f>
        <v>0</v>
      </c>
      <c r="G383" s="210">
        <f ca="1">IF($S$1&lt;DATE(2025,2,1)," ",COUNTIFS('2025数据'!$H$3:$H$181,"&gt;="&amp;DATE(2025,2,1),'2025数据'!$H$3:$H$181,"&lt;="&amp;DATE(2025,2,28),'2025数据'!$AS$3:$AS$181,$E$38,'2025数据'!$B$3:$B$181,$E383))</f>
        <v>0</v>
      </c>
      <c r="H383" s="210">
        <f ca="1">IF($S$1&lt;DATE(2025,3,1)," ",COUNTIFS('2025数据'!$H$3:$H$181,"&gt;="&amp;DATE(2025,3,1),'2025数据'!$H$3:$H$181,"&lt;="&amp;DATE(2025,3,31),'2025数据'!$AS$3:$AS$181,$E$38,'2025数据'!$B$3:$B$181,$E383))</f>
        <v>0</v>
      </c>
      <c r="I383" s="210">
        <f ca="1">IF($S$1&lt;DATE(2025,4,1)," ",COUNTIFS('2025数据'!$H$3:$H$181,"&gt;="&amp;DATE(2025,4,1),'2025数据'!$H$3:$H$181,"&lt;="&amp;DATE(2025,4,30),'2025数据'!$AS$3:$AS$181,$E$38,'2025数据'!$B$3:$B$181,$E383))</f>
        <v>0</v>
      </c>
      <c r="J383" s="210">
        <f ca="1">IF($S$1&lt;DATE(2025,5,1)," ",COUNTIFS('2025数据'!$H$3:$H$181,"&gt;="&amp;DATE(2025,5,1),'2025数据'!$H$3:$H$181,"&lt;="&amp;DATE(2025,5,31),'2025数据'!$AS$3:$AS$181,$E$38,'2025数据'!$B$3:$B$181,$E383))</f>
        <v>0</v>
      </c>
      <c r="K383" s="210">
        <f ca="1">IF($S$1&lt;DATE(2025,6,1)," ",COUNTIFS('2025数据'!$H$3:$H$181,"&gt;="&amp;DATE(2025,6,1),'2025数据'!$H$3:$H$181,"&lt;="&amp;DATE(2025,6,30),'2025数据'!$AS$3:$AS$181,$E$38,'2025数据'!$B$3:$B$181,$E383))</f>
        <v>0</v>
      </c>
      <c r="L383" s="210">
        <f ca="1">IF($S$1&lt;DATE(2025,7,1)," ",COUNTIFS('2025数据'!$H$3:$H$181,"&gt;="&amp;DATE(2025,7,1),'2025数据'!$H$3:$H$181,"&lt;="&amp;DATE(2025,7,31),'2025数据'!$AS$3:$AS$181,$E$38,'2025数据'!$B$3:$B$181,$E383))</f>
        <v>0</v>
      </c>
      <c r="M383" s="210">
        <f ca="1">IF($S$1&lt;DATE(2025,8,1)," ",COUNTIFS('2025数据'!$H$3:$H$181,"&gt;="&amp;DATE(2025,8,1),'2025数据'!$H$3:$H$181,"&lt;="&amp;DATE(2025,8,31),'2025数据'!$AS$3:$AS$181,$E$38,'2025数据'!$B$3:$B$181,$E383))</f>
        <v>0</v>
      </c>
      <c r="N383" s="210">
        <f ca="1">IF($S$1&lt;DATE(2025,9,1)," ",COUNTIFS('2025数据'!$H$3:$H$181,"&gt;="&amp;DATE(2025,9,1),'2025数据'!$H$3:$H$181,"&lt;="&amp;DATE(2025,9,30),'2025数据'!$AS$3:$AS$181,$E$38,'2025数据'!$B$3:$B$181,$E383))</f>
        <v>0</v>
      </c>
      <c r="O383" s="210">
        <f ca="1">IF($S$1&lt;DATE(2025,10,1)," ",COUNTIFS('2025数据'!$H$3:$H$181,"&gt;="&amp;DATE(2025,10,1),'2025数据'!$H$3:$H$181,"&lt;="&amp;DATE(2025,10,31),'2025数据'!$AS$3:$AS$181,$E$38,'2025数据'!$B$3:$B$181,$E383))</f>
        <v>0</v>
      </c>
      <c r="P383" s="212">
        <f ca="1">IF($S$1&lt;DATE(2025,11,1)," ",COUNTIFS('2025数据'!$H$3:$H$181,"&gt;="&amp;DATE(2025,11,1),'2025数据'!$H$3:$H$181,"&lt;="&amp;DATE(2025,11,30),'2025数据'!$AS$3:$AS$181,$E$38,'2025数据'!$B$3:$B$181,$E383))</f>
        <v>0</v>
      </c>
      <c r="Q383" s="212">
        <f ca="1">IF($S$1&lt;DATE(2025,12,1)," ",COUNTIFS('2025数据'!$H$3:$H$181,"&gt;="&amp;DATE(2025,12,1),'2025数据'!$H$3:$H$181,"&lt;="&amp;DATE(2025,12,31),'2025数据'!$AS$3:$AS$181,$E$38,'2025数据'!$B$3:$B$181,$E383))</f>
        <v>0</v>
      </c>
    </row>
    <row r="384" ht="24" customHeight="1" spans="1:17">
      <c r="A384" s="99" t="s">
        <v>345</v>
      </c>
      <c r="B384" s="99" t="s">
        <v>299</v>
      </c>
      <c r="C384" s="99" t="s">
        <v>291</v>
      </c>
      <c r="D384" s="53" t="s">
        <v>304</v>
      </c>
      <c r="E384" s="53" t="s">
        <v>160</v>
      </c>
      <c r="F384" s="210">
        <f ca="1">IF($S$1&lt;DATE(2025,1,1)," ",COUNTIFS('2025数据'!$H$3:$H$181,"&gt;="&amp;DATE(2025,1,1),'2025数据'!$H$3:$H$181,"&lt;="&amp;DATE(2025,1,31),'2025数据'!$AS$3:$AS$181,$E$38,'2025数据'!$B$3:$B$181,$E384))</f>
        <v>0</v>
      </c>
      <c r="G384" s="210">
        <f ca="1">IF($S$1&lt;DATE(2025,2,1)," ",COUNTIFS('2025数据'!$H$3:$H$181,"&gt;="&amp;DATE(2025,2,1),'2025数据'!$H$3:$H$181,"&lt;="&amp;DATE(2025,2,28),'2025数据'!$AS$3:$AS$181,$E$38,'2025数据'!$B$3:$B$181,$E384))</f>
        <v>0</v>
      </c>
      <c r="H384" s="210">
        <f ca="1">IF($S$1&lt;DATE(2025,3,1)," ",COUNTIFS('2025数据'!$H$3:$H$181,"&gt;="&amp;DATE(2025,3,1),'2025数据'!$H$3:$H$181,"&lt;="&amp;DATE(2025,3,31),'2025数据'!$AS$3:$AS$181,$E$38,'2025数据'!$B$3:$B$181,$E384))</f>
        <v>0</v>
      </c>
      <c r="I384" s="210">
        <f ca="1">IF($S$1&lt;DATE(2025,4,1)," ",COUNTIFS('2025数据'!$H$3:$H$181,"&gt;="&amp;DATE(2025,4,1),'2025数据'!$H$3:$H$181,"&lt;="&amp;DATE(2025,4,30),'2025数据'!$AS$3:$AS$181,$E$38,'2025数据'!$B$3:$B$181,$E384))</f>
        <v>0</v>
      </c>
      <c r="J384" s="210">
        <f ca="1">IF($S$1&lt;DATE(2025,5,1)," ",COUNTIFS('2025数据'!$H$3:$H$181,"&gt;="&amp;DATE(2025,5,1),'2025数据'!$H$3:$H$181,"&lt;="&amp;DATE(2025,5,31),'2025数据'!$AS$3:$AS$181,$E$38,'2025数据'!$B$3:$B$181,$E384))</f>
        <v>0</v>
      </c>
      <c r="K384" s="210">
        <f ca="1">IF($S$1&lt;DATE(2025,6,1)," ",COUNTIFS('2025数据'!$H$3:$H$181,"&gt;="&amp;DATE(2025,6,1),'2025数据'!$H$3:$H$181,"&lt;="&amp;DATE(2025,6,30),'2025数据'!$AS$3:$AS$181,$E$38,'2025数据'!$B$3:$B$181,$E384))</f>
        <v>0</v>
      </c>
      <c r="L384" s="210">
        <f ca="1">IF($S$1&lt;DATE(2025,7,1)," ",COUNTIFS('2025数据'!$H$3:$H$181,"&gt;="&amp;DATE(2025,7,1),'2025数据'!$H$3:$H$181,"&lt;="&amp;DATE(2025,7,31),'2025数据'!$AS$3:$AS$181,$E$38,'2025数据'!$B$3:$B$181,$E384))</f>
        <v>0</v>
      </c>
      <c r="M384" s="210">
        <f ca="1">IF($S$1&lt;DATE(2025,8,1)," ",COUNTIFS('2025数据'!$H$3:$H$181,"&gt;="&amp;DATE(2025,8,1),'2025数据'!$H$3:$H$181,"&lt;="&amp;DATE(2025,8,31),'2025数据'!$AS$3:$AS$181,$E$38,'2025数据'!$B$3:$B$181,$E384))</f>
        <v>0</v>
      </c>
      <c r="N384" s="210">
        <f ca="1">IF($S$1&lt;DATE(2025,9,1)," ",COUNTIFS('2025数据'!$H$3:$H$181,"&gt;="&amp;DATE(2025,9,1),'2025数据'!$H$3:$H$181,"&lt;="&amp;DATE(2025,9,30),'2025数据'!$AS$3:$AS$181,$E$38,'2025数据'!$B$3:$B$181,$E384))</f>
        <v>0</v>
      </c>
      <c r="O384" s="210">
        <f ca="1">IF($S$1&lt;DATE(2025,10,1)," ",COUNTIFS('2025数据'!$H$3:$H$181,"&gt;="&amp;DATE(2025,10,1),'2025数据'!$H$3:$H$181,"&lt;="&amp;DATE(2025,10,31),'2025数据'!$AS$3:$AS$181,$E$38,'2025数据'!$B$3:$B$181,$E384))</f>
        <v>0</v>
      </c>
      <c r="P384" s="212">
        <f ca="1">IF($S$1&lt;DATE(2025,11,1)," ",COUNTIFS('2025数据'!$H$3:$H$181,"&gt;="&amp;DATE(2025,11,1),'2025数据'!$H$3:$H$181,"&lt;="&amp;DATE(2025,11,30),'2025数据'!$AS$3:$AS$181,$E$38,'2025数据'!$B$3:$B$181,$E384))</f>
        <v>0</v>
      </c>
      <c r="Q384" s="212">
        <f ca="1">IF($S$1&lt;DATE(2025,12,1)," ",COUNTIFS('2025数据'!$H$3:$H$181,"&gt;="&amp;DATE(2025,12,1),'2025数据'!$H$3:$H$181,"&lt;="&amp;DATE(2025,12,31),'2025数据'!$AS$3:$AS$181,$E$38,'2025数据'!$B$3:$B$181,$E384))</f>
        <v>0</v>
      </c>
    </row>
    <row r="385" ht="24" customHeight="1" spans="1:17">
      <c r="A385" s="99" t="s">
        <v>345</v>
      </c>
      <c r="B385" s="99" t="s">
        <v>299</v>
      </c>
      <c r="C385" s="99" t="s">
        <v>291</v>
      </c>
      <c r="D385" s="53" t="s">
        <v>305</v>
      </c>
      <c r="E385" s="53" t="s">
        <v>93</v>
      </c>
      <c r="F385" s="210">
        <f ca="1">IF($S$1&lt;DATE(2025,1,1)," ",COUNTIFS('2025数据'!$H$3:$H$181,"&gt;="&amp;DATE(2025,1,1),'2025数据'!$H$3:$H$181,"&lt;="&amp;DATE(2025,1,31),'2025数据'!$AS$3:$AS$181,$E$39,'2025数据'!$B$3:$B$181,$E385))</f>
        <v>0</v>
      </c>
      <c r="G385" s="210">
        <f ca="1">IF($S$1&lt;DATE(2025,2,1)," ",COUNTIFS('2025数据'!$H$3:$H$181,"&gt;="&amp;DATE(2025,2,1),'2025数据'!$H$3:$H$181,"&lt;="&amp;DATE(2025,2,28),'2025数据'!$AS$3:$AS$181,$E$39,'2025数据'!$B$3:$B$181,$E385))</f>
        <v>0</v>
      </c>
      <c r="H385" s="210">
        <f ca="1">IF($S$1&lt;DATE(2025,3,1)," ",COUNTIFS('2025数据'!$H$3:$H$181,"&gt;="&amp;DATE(2025,3,1),'2025数据'!$H$3:$H$181,"&lt;="&amp;DATE(2025,3,31),'2025数据'!$AS$3:$AS$181,$E$39,'2025数据'!$B$3:$B$181,$E385))</f>
        <v>0</v>
      </c>
      <c r="I385" s="210">
        <f ca="1">IF($S$1&lt;DATE(2025,4,1)," ",COUNTIFS('2025数据'!$H$3:$H$181,"&gt;="&amp;DATE(2025,4,1),'2025数据'!$H$3:$H$181,"&lt;="&amp;DATE(2025,4,30),'2025数据'!$AS$3:$AS$181,$E$39,'2025数据'!$B$3:$B$181,$E385))</f>
        <v>0</v>
      </c>
      <c r="J385" s="210">
        <f ca="1">IF($S$1&lt;DATE(2025,5,1)," ",COUNTIFS('2025数据'!$H$3:$H$181,"&gt;="&amp;DATE(2025,5,1),'2025数据'!$H$3:$H$181,"&lt;="&amp;DATE(2025,5,31),'2025数据'!$AS$3:$AS$181,$E$39,'2025数据'!$B$3:$B$181,$E385))</f>
        <v>0</v>
      </c>
      <c r="K385" s="210">
        <f ca="1">IF($S$1&lt;DATE(2025,6,1)," ",COUNTIFS('2025数据'!$H$3:$H$181,"&gt;="&amp;DATE(2025,6,1),'2025数据'!$H$3:$H$181,"&lt;="&amp;DATE(2025,6,30),'2025数据'!$AS$3:$AS$181,$E$39,'2025数据'!$B$3:$B$181,$E385))</f>
        <v>0</v>
      </c>
      <c r="L385" s="210">
        <f ca="1">IF($S$1&lt;DATE(2025,7,1)," ",COUNTIFS('2025数据'!$H$3:$H$181,"&gt;="&amp;DATE(2025,7,1),'2025数据'!$H$3:$H$181,"&lt;="&amp;DATE(2025,7,31),'2025数据'!$AS$3:$AS$181,$E$39,'2025数据'!$B$3:$B$181,$E385))</f>
        <v>0</v>
      </c>
      <c r="M385" s="210">
        <f ca="1">IF($S$1&lt;DATE(2025,8,1)," ",COUNTIFS('2025数据'!$H$3:$H$181,"&gt;="&amp;DATE(2025,8,1),'2025数据'!$H$3:$H$181,"&lt;="&amp;DATE(2025,8,31),'2025数据'!$AS$3:$AS$181,$E$39,'2025数据'!$B$3:$B$181,$E385))</f>
        <v>0</v>
      </c>
      <c r="N385" s="210">
        <f ca="1">IF($S$1&lt;DATE(2025,9,1)," ",COUNTIFS('2025数据'!$H$3:$H$181,"&gt;="&amp;DATE(2025,9,1),'2025数据'!$H$3:$H$181,"&lt;="&amp;DATE(2025,9,30),'2025数据'!$AS$3:$AS$181,$E$39,'2025数据'!$B$3:$B$181,$E385))</f>
        <v>0</v>
      </c>
      <c r="O385" s="210">
        <f ca="1">IF($S$1&lt;DATE(2025,10,1)," ",COUNTIFS('2025数据'!$H$3:$H$181,"&gt;="&amp;DATE(2025,10,1),'2025数据'!$H$3:$H$181,"&lt;="&amp;DATE(2025,10,31),'2025数据'!$AS$3:$AS$181,$E$39,'2025数据'!$B$3:$B$181,$E385))</f>
        <v>0</v>
      </c>
      <c r="P385" s="212">
        <f ca="1">IF($S$1&lt;DATE(2025,11,1)," ",COUNTIFS('2025数据'!$H$3:$H$181,"&gt;="&amp;DATE(2025,11,1),'2025数据'!$H$3:$H$181,"&lt;="&amp;DATE(2025,11,30),'2025数据'!$AS$3:$AS$181,$E$39,'2025数据'!$B$3:$B$181,$E385))</f>
        <v>0</v>
      </c>
      <c r="Q385" s="212">
        <f ca="1">IF($S$1&lt;DATE(2025,12,1)," ",COUNTIFS('2025数据'!$H$3:$H$181,"&gt;="&amp;DATE(2025,12,1),'2025数据'!$H$3:$H$181,"&lt;="&amp;DATE(2025,12,31),'2025数据'!$AS$3:$AS$181,$E$39,'2025数据'!$B$3:$B$181,$E385))</f>
        <v>0</v>
      </c>
    </row>
    <row r="386" ht="24" customHeight="1" spans="1:17">
      <c r="A386" s="99" t="s">
        <v>345</v>
      </c>
      <c r="B386" s="99" t="s">
        <v>299</v>
      </c>
      <c r="C386" s="99" t="s">
        <v>291</v>
      </c>
      <c r="D386" s="53" t="s">
        <v>305</v>
      </c>
      <c r="E386" s="53" t="s">
        <v>85</v>
      </c>
      <c r="F386" s="210">
        <f ca="1">IF($S$1&lt;DATE(2025,1,1)," ",COUNTIFS('2025数据'!$H$3:$H$181,"&gt;="&amp;DATE(2025,1,1),'2025数据'!$H$3:$H$181,"&lt;="&amp;DATE(2025,1,31),'2025数据'!$AS$3:$AS$181,$E$39,'2025数据'!$B$3:$B$181,$E386))</f>
        <v>0</v>
      </c>
      <c r="G386" s="210">
        <f ca="1">IF($S$1&lt;DATE(2025,2,1)," ",COUNTIFS('2025数据'!$H$3:$H$181,"&gt;="&amp;DATE(2025,2,1),'2025数据'!$H$3:$H$181,"&lt;="&amp;DATE(2025,2,28),'2025数据'!$AS$3:$AS$181,$E$39,'2025数据'!$B$3:$B$181,$E386))</f>
        <v>0</v>
      </c>
      <c r="H386" s="210">
        <f ca="1">IF($S$1&lt;DATE(2025,3,1)," ",COUNTIFS('2025数据'!$H$3:$H$181,"&gt;="&amp;DATE(2025,3,1),'2025数据'!$H$3:$H$181,"&lt;="&amp;DATE(2025,3,31),'2025数据'!$AS$3:$AS$181,$E$39,'2025数据'!$B$3:$B$181,$E386))</f>
        <v>0</v>
      </c>
      <c r="I386" s="210">
        <f ca="1">IF($S$1&lt;DATE(2025,4,1)," ",COUNTIFS('2025数据'!$H$3:$H$181,"&gt;="&amp;DATE(2025,4,1),'2025数据'!$H$3:$H$181,"&lt;="&amp;DATE(2025,4,30),'2025数据'!$AS$3:$AS$181,$E$39,'2025数据'!$B$3:$B$181,$E386))</f>
        <v>0</v>
      </c>
      <c r="J386" s="210">
        <f ca="1">IF($S$1&lt;DATE(2025,5,1)," ",COUNTIFS('2025数据'!$H$3:$H$181,"&gt;="&amp;DATE(2025,5,1),'2025数据'!$H$3:$H$181,"&lt;="&amp;DATE(2025,5,31),'2025数据'!$AS$3:$AS$181,$E$39,'2025数据'!$B$3:$B$181,$E386))</f>
        <v>0</v>
      </c>
      <c r="K386" s="210">
        <f ca="1">IF($S$1&lt;DATE(2025,6,1)," ",COUNTIFS('2025数据'!$H$3:$H$181,"&gt;="&amp;DATE(2025,6,1),'2025数据'!$H$3:$H$181,"&lt;="&amp;DATE(2025,6,30),'2025数据'!$AS$3:$AS$181,$E$39,'2025数据'!$B$3:$B$181,$E386))</f>
        <v>0</v>
      </c>
      <c r="L386" s="210">
        <f ca="1">IF($S$1&lt;DATE(2025,7,1)," ",COUNTIFS('2025数据'!$H$3:$H$181,"&gt;="&amp;DATE(2025,7,1),'2025数据'!$H$3:$H$181,"&lt;="&amp;DATE(2025,7,31),'2025数据'!$AS$3:$AS$181,$E$39,'2025数据'!$B$3:$B$181,$E386))</f>
        <v>0</v>
      </c>
      <c r="M386" s="210">
        <f ca="1">IF($S$1&lt;DATE(2025,8,1)," ",COUNTIFS('2025数据'!$H$3:$H$181,"&gt;="&amp;DATE(2025,8,1),'2025数据'!$H$3:$H$181,"&lt;="&amp;DATE(2025,8,31),'2025数据'!$AS$3:$AS$181,$E$39,'2025数据'!$B$3:$B$181,$E386))</f>
        <v>0</v>
      </c>
      <c r="N386" s="210">
        <f ca="1">IF($S$1&lt;DATE(2025,9,1)," ",COUNTIFS('2025数据'!$H$3:$H$181,"&gt;="&amp;DATE(2025,9,1),'2025数据'!$H$3:$H$181,"&lt;="&amp;DATE(2025,9,30),'2025数据'!$AS$3:$AS$181,$E$39,'2025数据'!$B$3:$B$181,$E386))</f>
        <v>0</v>
      </c>
      <c r="O386" s="210">
        <f ca="1">IF($S$1&lt;DATE(2025,10,1)," ",COUNTIFS('2025数据'!$H$3:$H$181,"&gt;="&amp;DATE(2025,10,1),'2025数据'!$H$3:$H$181,"&lt;="&amp;DATE(2025,10,31),'2025数据'!$AS$3:$AS$181,$E$39,'2025数据'!$B$3:$B$181,$E386))</f>
        <v>0</v>
      </c>
      <c r="P386" s="212">
        <f ca="1">IF($S$1&lt;DATE(2025,11,1)," ",COUNTIFS('2025数据'!$H$3:$H$181,"&gt;="&amp;DATE(2025,11,1),'2025数据'!$H$3:$H$181,"&lt;="&amp;DATE(2025,11,30),'2025数据'!$AS$3:$AS$181,$E$39,'2025数据'!$B$3:$B$181,$E386))</f>
        <v>0</v>
      </c>
      <c r="Q386" s="212">
        <f ca="1">IF($S$1&lt;DATE(2025,12,1)," ",COUNTIFS('2025数据'!$H$3:$H$181,"&gt;="&amp;DATE(2025,12,1),'2025数据'!$H$3:$H$181,"&lt;="&amp;DATE(2025,12,31),'2025数据'!$AS$3:$AS$181,$E$39,'2025数据'!$B$3:$B$181,$E386))</f>
        <v>0</v>
      </c>
    </row>
    <row r="387" ht="24" customHeight="1" spans="1:17">
      <c r="A387" s="99" t="s">
        <v>345</v>
      </c>
      <c r="B387" s="99" t="s">
        <v>299</v>
      </c>
      <c r="C387" s="99" t="s">
        <v>291</v>
      </c>
      <c r="D387" s="53" t="s">
        <v>305</v>
      </c>
      <c r="E387" s="53" t="s">
        <v>81</v>
      </c>
      <c r="F387" s="210">
        <f ca="1">IF($S$1&lt;DATE(2025,1,1)," ",COUNTIFS('2025数据'!$H$3:$H$181,"&gt;="&amp;DATE(2025,1,1),'2025数据'!$H$3:$H$181,"&lt;="&amp;DATE(2025,1,31),'2025数据'!$AS$3:$AS$181,$E$39,'2025数据'!$B$3:$B$181,$E387))</f>
        <v>0</v>
      </c>
      <c r="G387" s="210">
        <f ca="1">IF($S$1&lt;DATE(2025,2,1)," ",COUNTIFS('2025数据'!$H$3:$H$181,"&gt;="&amp;DATE(2025,2,1),'2025数据'!$H$3:$H$181,"&lt;="&amp;DATE(2025,2,28),'2025数据'!$AS$3:$AS$181,$E$39,'2025数据'!$B$3:$B$181,$E387))</f>
        <v>0</v>
      </c>
      <c r="H387" s="210">
        <f ca="1">IF($S$1&lt;DATE(2025,3,1)," ",COUNTIFS('2025数据'!$H$3:$H$181,"&gt;="&amp;DATE(2025,3,1),'2025数据'!$H$3:$H$181,"&lt;="&amp;DATE(2025,3,31),'2025数据'!$AS$3:$AS$181,$E$39,'2025数据'!$B$3:$B$181,$E387))</f>
        <v>0</v>
      </c>
      <c r="I387" s="210">
        <f ca="1">IF($S$1&lt;DATE(2025,4,1)," ",COUNTIFS('2025数据'!$H$3:$H$181,"&gt;="&amp;DATE(2025,4,1),'2025数据'!$H$3:$H$181,"&lt;="&amp;DATE(2025,4,30),'2025数据'!$AS$3:$AS$181,$E$39,'2025数据'!$B$3:$B$181,$E387))</f>
        <v>0</v>
      </c>
      <c r="J387" s="210">
        <f ca="1">IF($S$1&lt;DATE(2025,5,1)," ",COUNTIFS('2025数据'!$H$3:$H$181,"&gt;="&amp;DATE(2025,5,1),'2025数据'!$H$3:$H$181,"&lt;="&amp;DATE(2025,5,31),'2025数据'!$AS$3:$AS$181,$E$39,'2025数据'!$B$3:$B$181,$E387))</f>
        <v>0</v>
      </c>
      <c r="K387" s="210">
        <f ca="1">IF($S$1&lt;DATE(2025,6,1)," ",COUNTIFS('2025数据'!$H$3:$H$181,"&gt;="&amp;DATE(2025,6,1),'2025数据'!$H$3:$H$181,"&lt;="&amp;DATE(2025,6,30),'2025数据'!$AS$3:$AS$181,$E$39,'2025数据'!$B$3:$B$181,$E387))</f>
        <v>0</v>
      </c>
      <c r="L387" s="210">
        <f ca="1">IF($S$1&lt;DATE(2025,7,1)," ",COUNTIFS('2025数据'!$H$3:$H$181,"&gt;="&amp;DATE(2025,7,1),'2025数据'!$H$3:$H$181,"&lt;="&amp;DATE(2025,7,31),'2025数据'!$AS$3:$AS$181,$E$39,'2025数据'!$B$3:$B$181,$E387))</f>
        <v>0</v>
      </c>
      <c r="M387" s="210">
        <f ca="1">IF($S$1&lt;DATE(2025,8,1)," ",COUNTIFS('2025数据'!$H$3:$H$181,"&gt;="&amp;DATE(2025,8,1),'2025数据'!$H$3:$H$181,"&lt;="&amp;DATE(2025,8,31),'2025数据'!$AS$3:$AS$181,$E$39,'2025数据'!$B$3:$B$181,$E387))</f>
        <v>0</v>
      </c>
      <c r="N387" s="210">
        <f ca="1">IF($S$1&lt;DATE(2025,9,1)," ",COUNTIFS('2025数据'!$H$3:$H$181,"&gt;="&amp;DATE(2025,9,1),'2025数据'!$H$3:$H$181,"&lt;="&amp;DATE(2025,9,30),'2025数据'!$AS$3:$AS$181,$E$39,'2025数据'!$B$3:$B$181,$E387))</f>
        <v>0</v>
      </c>
      <c r="O387" s="210">
        <f ca="1">IF($S$1&lt;DATE(2025,10,1)," ",COUNTIFS('2025数据'!$H$3:$H$181,"&gt;="&amp;DATE(2025,10,1),'2025数据'!$H$3:$H$181,"&lt;="&amp;DATE(2025,10,31),'2025数据'!$AS$3:$AS$181,$E$39,'2025数据'!$B$3:$B$181,$E387))</f>
        <v>0</v>
      </c>
      <c r="P387" s="212">
        <f ca="1">IF($S$1&lt;DATE(2025,11,1)," ",COUNTIFS('2025数据'!$H$3:$H$181,"&gt;="&amp;DATE(2025,11,1),'2025数据'!$H$3:$H$181,"&lt;="&amp;DATE(2025,11,30),'2025数据'!$AS$3:$AS$181,$E$39,'2025数据'!$B$3:$B$181,$E387))</f>
        <v>0</v>
      </c>
      <c r="Q387" s="212">
        <f ca="1">IF($S$1&lt;DATE(2025,12,1)," ",COUNTIFS('2025数据'!$H$3:$H$181,"&gt;="&amp;DATE(2025,12,1),'2025数据'!$H$3:$H$181,"&lt;="&amp;DATE(2025,12,31),'2025数据'!$AS$3:$AS$181,$E$39,'2025数据'!$B$3:$B$181,$E387))</f>
        <v>0</v>
      </c>
    </row>
    <row r="388" ht="24" customHeight="1" spans="1:17">
      <c r="A388" s="99" t="s">
        <v>345</v>
      </c>
      <c r="B388" s="99" t="s">
        <v>299</v>
      </c>
      <c r="C388" s="99" t="s">
        <v>291</v>
      </c>
      <c r="D388" s="53" t="s">
        <v>305</v>
      </c>
      <c r="E388" s="53" t="s">
        <v>96</v>
      </c>
      <c r="F388" s="210">
        <f ca="1">IF($S$1&lt;DATE(2025,1,1)," ",COUNTIFS('2025数据'!$H$3:$H$181,"&gt;="&amp;DATE(2025,1,1),'2025数据'!$H$3:$H$181,"&lt;="&amp;DATE(2025,1,31),'2025数据'!$AS$3:$AS$181,$E$39,'2025数据'!$B$3:$B$181,$E388))</f>
        <v>0</v>
      </c>
      <c r="G388" s="210">
        <f ca="1">IF($S$1&lt;DATE(2025,2,1)," ",COUNTIFS('2025数据'!$H$3:$H$181,"&gt;="&amp;DATE(2025,2,1),'2025数据'!$H$3:$H$181,"&lt;="&amp;DATE(2025,2,28),'2025数据'!$AS$3:$AS$181,$E$39,'2025数据'!$B$3:$B$181,$E388))</f>
        <v>0</v>
      </c>
      <c r="H388" s="210">
        <f ca="1">IF($S$1&lt;DATE(2025,3,1)," ",COUNTIFS('2025数据'!$H$3:$H$181,"&gt;="&amp;DATE(2025,3,1),'2025数据'!$H$3:$H$181,"&lt;="&amp;DATE(2025,3,31),'2025数据'!$AS$3:$AS$181,$E$39,'2025数据'!$B$3:$B$181,$E388))</f>
        <v>0</v>
      </c>
      <c r="I388" s="210">
        <f ca="1">IF($S$1&lt;DATE(2025,4,1)," ",COUNTIFS('2025数据'!$H$3:$H$181,"&gt;="&amp;DATE(2025,4,1),'2025数据'!$H$3:$H$181,"&lt;="&amp;DATE(2025,4,30),'2025数据'!$AS$3:$AS$181,$E$39,'2025数据'!$B$3:$B$181,$E388))</f>
        <v>0</v>
      </c>
      <c r="J388" s="210">
        <f ca="1">IF($S$1&lt;DATE(2025,5,1)," ",COUNTIFS('2025数据'!$H$3:$H$181,"&gt;="&amp;DATE(2025,5,1),'2025数据'!$H$3:$H$181,"&lt;="&amp;DATE(2025,5,31),'2025数据'!$AS$3:$AS$181,$E$39,'2025数据'!$B$3:$B$181,$E388))</f>
        <v>0</v>
      </c>
      <c r="K388" s="210">
        <f ca="1">IF($S$1&lt;DATE(2025,6,1)," ",COUNTIFS('2025数据'!$H$3:$H$181,"&gt;="&amp;DATE(2025,6,1),'2025数据'!$H$3:$H$181,"&lt;="&amp;DATE(2025,6,30),'2025数据'!$AS$3:$AS$181,$E$39,'2025数据'!$B$3:$B$181,$E388))</f>
        <v>0</v>
      </c>
      <c r="L388" s="210">
        <f ca="1">IF($S$1&lt;DATE(2025,7,1)," ",COUNTIFS('2025数据'!$H$3:$H$181,"&gt;="&amp;DATE(2025,7,1),'2025数据'!$H$3:$H$181,"&lt;="&amp;DATE(2025,7,31),'2025数据'!$AS$3:$AS$181,$E$39,'2025数据'!$B$3:$B$181,$E388))</f>
        <v>0</v>
      </c>
      <c r="M388" s="210">
        <f ca="1">IF($S$1&lt;DATE(2025,8,1)," ",COUNTIFS('2025数据'!$H$3:$H$181,"&gt;="&amp;DATE(2025,8,1),'2025数据'!$H$3:$H$181,"&lt;="&amp;DATE(2025,8,31),'2025数据'!$AS$3:$AS$181,$E$39,'2025数据'!$B$3:$B$181,$E388))</f>
        <v>0</v>
      </c>
      <c r="N388" s="210">
        <f ca="1">IF($S$1&lt;DATE(2025,9,1)," ",COUNTIFS('2025数据'!$H$3:$H$181,"&gt;="&amp;DATE(2025,9,1),'2025数据'!$H$3:$H$181,"&lt;="&amp;DATE(2025,9,30),'2025数据'!$AS$3:$AS$181,$E$39,'2025数据'!$B$3:$B$181,$E388))</f>
        <v>0</v>
      </c>
      <c r="O388" s="210">
        <f ca="1">IF($S$1&lt;DATE(2025,10,1)," ",COUNTIFS('2025数据'!$H$3:$H$181,"&gt;="&amp;DATE(2025,10,1),'2025数据'!$H$3:$H$181,"&lt;="&amp;DATE(2025,10,31),'2025数据'!$AS$3:$AS$181,$E$39,'2025数据'!$B$3:$B$181,$E388))</f>
        <v>0</v>
      </c>
      <c r="P388" s="212">
        <f ca="1">IF($S$1&lt;DATE(2025,11,1)," ",COUNTIFS('2025数据'!$H$3:$H$181,"&gt;="&amp;DATE(2025,11,1),'2025数据'!$H$3:$H$181,"&lt;="&amp;DATE(2025,11,30),'2025数据'!$AS$3:$AS$181,$E$39,'2025数据'!$B$3:$B$181,$E388))</f>
        <v>0</v>
      </c>
      <c r="Q388" s="212">
        <f ca="1">IF($S$1&lt;DATE(2025,12,1)," ",COUNTIFS('2025数据'!$H$3:$H$181,"&gt;="&amp;DATE(2025,12,1),'2025数据'!$H$3:$H$181,"&lt;="&amp;DATE(2025,12,31),'2025数据'!$AS$3:$AS$181,$E$39,'2025数据'!$B$3:$B$181,$E388))</f>
        <v>0</v>
      </c>
    </row>
    <row r="389" ht="24" customHeight="1" spans="1:17">
      <c r="A389" s="99" t="s">
        <v>345</v>
      </c>
      <c r="B389" s="99" t="s">
        <v>299</v>
      </c>
      <c r="C389" s="99" t="s">
        <v>291</v>
      </c>
      <c r="D389" s="53" t="s">
        <v>305</v>
      </c>
      <c r="E389" s="53" t="s">
        <v>160</v>
      </c>
      <c r="F389" s="210">
        <f ca="1">IF($S$1&lt;DATE(2025,1,1)," ",COUNTIFS('2025数据'!$H$3:$H$181,"&gt;="&amp;DATE(2025,1,1),'2025数据'!$H$3:$H$181,"&lt;="&amp;DATE(2025,1,31),'2025数据'!$AS$3:$AS$181,$E$39,'2025数据'!$B$3:$B$181,$E389))</f>
        <v>0</v>
      </c>
      <c r="G389" s="210">
        <f ca="1">IF($S$1&lt;DATE(2025,2,1)," ",COUNTIFS('2025数据'!$H$3:$H$181,"&gt;="&amp;DATE(2025,2,1),'2025数据'!$H$3:$H$181,"&lt;="&amp;DATE(2025,2,28),'2025数据'!$AS$3:$AS$181,$E$39,'2025数据'!$B$3:$B$181,$E389))</f>
        <v>0</v>
      </c>
      <c r="H389" s="210">
        <f ca="1">IF($S$1&lt;DATE(2025,3,1)," ",COUNTIFS('2025数据'!$H$3:$H$181,"&gt;="&amp;DATE(2025,3,1),'2025数据'!$H$3:$H$181,"&lt;="&amp;DATE(2025,3,31),'2025数据'!$AS$3:$AS$181,$E$39,'2025数据'!$B$3:$B$181,$E389))</f>
        <v>0</v>
      </c>
      <c r="I389" s="210">
        <f ca="1">IF($S$1&lt;DATE(2025,4,1)," ",COUNTIFS('2025数据'!$H$3:$H$181,"&gt;="&amp;DATE(2025,4,1),'2025数据'!$H$3:$H$181,"&lt;="&amp;DATE(2025,4,30),'2025数据'!$AS$3:$AS$181,$E$39,'2025数据'!$B$3:$B$181,$E389))</f>
        <v>0</v>
      </c>
      <c r="J389" s="210">
        <f ca="1">IF($S$1&lt;DATE(2025,5,1)," ",COUNTIFS('2025数据'!$H$3:$H$181,"&gt;="&amp;DATE(2025,5,1),'2025数据'!$H$3:$H$181,"&lt;="&amp;DATE(2025,5,31),'2025数据'!$AS$3:$AS$181,$E$39,'2025数据'!$B$3:$B$181,$E389))</f>
        <v>0</v>
      </c>
      <c r="K389" s="210">
        <f ca="1">IF($S$1&lt;DATE(2025,6,1)," ",COUNTIFS('2025数据'!$H$3:$H$181,"&gt;="&amp;DATE(2025,6,1),'2025数据'!$H$3:$H$181,"&lt;="&amp;DATE(2025,6,30),'2025数据'!$AS$3:$AS$181,$E$39,'2025数据'!$B$3:$B$181,$E389))</f>
        <v>0</v>
      </c>
      <c r="L389" s="210">
        <f ca="1">IF($S$1&lt;DATE(2025,7,1)," ",COUNTIFS('2025数据'!$H$3:$H$181,"&gt;="&amp;DATE(2025,7,1),'2025数据'!$H$3:$H$181,"&lt;="&amp;DATE(2025,7,31),'2025数据'!$AS$3:$AS$181,$E$39,'2025数据'!$B$3:$B$181,$E389))</f>
        <v>0</v>
      </c>
      <c r="M389" s="210">
        <f ca="1">IF($S$1&lt;DATE(2025,8,1)," ",COUNTIFS('2025数据'!$H$3:$H$181,"&gt;="&amp;DATE(2025,8,1),'2025数据'!$H$3:$H$181,"&lt;="&amp;DATE(2025,8,31),'2025数据'!$AS$3:$AS$181,$E$39,'2025数据'!$B$3:$B$181,$E389))</f>
        <v>0</v>
      </c>
      <c r="N389" s="210">
        <f ca="1">IF($S$1&lt;DATE(2025,9,1)," ",COUNTIFS('2025数据'!$H$3:$H$181,"&gt;="&amp;DATE(2025,9,1),'2025数据'!$H$3:$H$181,"&lt;="&amp;DATE(2025,9,30),'2025数据'!$AS$3:$AS$181,$E$39,'2025数据'!$B$3:$B$181,$E389))</f>
        <v>0</v>
      </c>
      <c r="O389" s="210">
        <f ca="1">IF($S$1&lt;DATE(2025,10,1)," ",COUNTIFS('2025数据'!$H$3:$H$181,"&gt;="&amp;DATE(2025,10,1),'2025数据'!$H$3:$H$181,"&lt;="&amp;DATE(2025,10,31),'2025数据'!$AS$3:$AS$181,$E$39,'2025数据'!$B$3:$B$181,$E389))</f>
        <v>0</v>
      </c>
      <c r="P389" s="212">
        <f ca="1">IF($S$1&lt;DATE(2025,11,1)," ",COUNTIFS('2025数据'!$H$3:$H$181,"&gt;="&amp;DATE(2025,11,1),'2025数据'!$H$3:$H$181,"&lt;="&amp;DATE(2025,11,30),'2025数据'!$AS$3:$AS$181,$E$39,'2025数据'!$B$3:$B$181,$E389))</f>
        <v>0</v>
      </c>
      <c r="Q389" s="212">
        <f ca="1">IF($S$1&lt;DATE(2025,12,1)," ",COUNTIFS('2025数据'!$H$3:$H$181,"&gt;="&amp;DATE(2025,12,1),'2025数据'!$H$3:$H$181,"&lt;="&amp;DATE(2025,12,31),'2025数据'!$AS$3:$AS$181,$E$39,'2025数据'!$B$3:$B$181,$E389))</f>
        <v>0</v>
      </c>
    </row>
    <row r="390" ht="24" customHeight="1" spans="1:17">
      <c r="A390" s="99" t="s">
        <v>345</v>
      </c>
      <c r="B390" s="99" t="s">
        <v>299</v>
      </c>
      <c r="C390" s="99" t="s">
        <v>291</v>
      </c>
      <c r="D390" s="100" t="s">
        <v>292</v>
      </c>
      <c r="E390" s="100" t="s">
        <v>306</v>
      </c>
      <c r="F390" s="204">
        <f ca="1">IF($S$1&lt;DATE(2025,1,1)," ",SUM(F391:F393))</f>
        <v>0</v>
      </c>
      <c r="G390" s="204">
        <f ca="1">IF($S$1&lt;DATE(2025,2,1)," ",SUM(G391:G393))</f>
        <v>1</v>
      </c>
      <c r="H390" s="204">
        <f ca="1">IF($S$1&lt;DATE(2025,3,1)," ",SUM(H391:H393))</f>
        <v>0</v>
      </c>
      <c r="I390" s="204">
        <f ca="1">IF($S$1&lt;DATE(2025,4,1)," ",SUM(I391:I393))</f>
        <v>0</v>
      </c>
      <c r="J390" s="204">
        <f ca="1">IF($S$1&lt;DATE(2025,5,1)," ",SUM(J391:J393))</f>
        <v>0</v>
      </c>
      <c r="K390" s="204">
        <f ca="1">IF($S$1&lt;DATE(2025,6,1)," ",SUM(K391:K393))</f>
        <v>0</v>
      </c>
      <c r="L390" s="204">
        <f ca="1">IF($S$1&lt;DATE(2025,7,1)," ",SUM(L391:L393))</f>
        <v>0</v>
      </c>
      <c r="M390" s="204">
        <f ca="1">IF($S$1&lt;DATE(2025,8,1)," ",SUM(M391:M393))</f>
        <v>0</v>
      </c>
      <c r="N390" s="204">
        <f ca="1">IF($S$1&lt;DATE(2025,9,1)," ",SUM(N391:N393))</f>
        <v>1</v>
      </c>
      <c r="O390" s="204">
        <f ca="1">IF($S$1&lt;DATE(2025,10,1)," ",SUM(O391:O393))</f>
        <v>3</v>
      </c>
      <c r="P390" s="204">
        <f ca="1">IF($S$1&lt;DATE(2025,11,1)," ",SUM(P391:P393))</f>
        <v>0</v>
      </c>
      <c r="Q390" s="204">
        <f ca="1">IF($S$1&lt;DATE(2025,12,1)," ",SUM(Q391:Q393))</f>
        <v>0</v>
      </c>
    </row>
    <row r="391" ht="24" customHeight="1" spans="1:17">
      <c r="A391" s="99" t="s">
        <v>345</v>
      </c>
      <c r="B391" s="99" t="s">
        <v>299</v>
      </c>
      <c r="C391" s="99" t="s">
        <v>291</v>
      </c>
      <c r="D391" s="48" t="s">
        <v>296</v>
      </c>
      <c r="E391" s="48" t="s">
        <v>90</v>
      </c>
      <c r="F391" s="205">
        <f ca="1">IF($S$1&lt;DATE(2025,1,1)," ",COUNTIFS('2025数据'!$H$3:$H$181,"&gt;="&amp;DATE(2024,1,1),'2025数据'!$H$3:$H$181,"&lt;="&amp;DATE(2025,1,31),'2025数据'!$AF$3:$AF$181,$E391))</f>
        <v>0</v>
      </c>
      <c r="G391" s="205">
        <f ca="1">IF($S$1&lt;DATE(2025,2,1)," ",COUNTIFS('2025数据'!$H$3:$H$181,"&gt;="&amp;DATE(2025,2,1),'2025数据'!$H$3:$H$181,"&lt;="&amp;DATE(2025,2,28),'2025数据'!$AF$3:$AF$181,$E391))</f>
        <v>0</v>
      </c>
      <c r="H391" s="205">
        <f ca="1">IF($S$1&lt;DATE(2025,3,1)," ",COUNTIFS('2025数据'!$H$3:$H$181,"&gt;="&amp;DATE(2025,3,1),'2025数据'!$H$3:$H$181,"&lt;="&amp;DATE(2025,3,31),'2025数据'!$AF$3:$AF$181,$E391))</f>
        <v>0</v>
      </c>
      <c r="I391" s="205">
        <f ca="1">IF($S$1&lt;DATE(2025,4,1)," ",COUNTIFS('2025数据'!$H$3:$H$181,"&gt;="&amp;DATE(2025,4,1),'2025数据'!$H$3:$H$181,"&lt;="&amp;DATE(2025,4,30),'2025数据'!$AF$3:$AF$181,$E391))</f>
        <v>0</v>
      </c>
      <c r="J391" s="205">
        <f ca="1">IF($S$1&lt;DATE(2025,5,1)," ",COUNTIFS('2025数据'!$H$3:$H$181,"&gt;="&amp;DATE(2025,5,1),'2025数据'!$H$3:$H$181,"&lt;="&amp;DATE(2025,5,31),'2025数据'!$AF$3:$AF$181,$E391))</f>
        <v>0</v>
      </c>
      <c r="K391" s="205">
        <f ca="1">IF($S$1&lt;DATE(2025,6,1)," ",COUNTIFS('2025数据'!$H$3:$H$181,"&gt;="&amp;DATE(2025,6,1),'2025数据'!$H$3:$H$181,"&lt;="&amp;DATE(2025,6,30),'2025数据'!$AF$3:$AF$181,$E391))</f>
        <v>0</v>
      </c>
      <c r="L391" s="205">
        <f ca="1">IF($S$1&lt;DATE(2025,7,1)," ",COUNTIFS('2025数据'!$H$3:$H$181,"&gt;="&amp;DATE(2025,7,1),'2025数据'!$H$3:$H$181,"&lt;="&amp;DATE(2025,7,31),'2025数据'!$AF$3:$AF$181,$E391))</f>
        <v>0</v>
      </c>
      <c r="M391" s="205">
        <f ca="1">IF($S$1&lt;DATE(2025,8,1)," ",COUNTIFS('2025数据'!$H$3:$H$181,"&gt;="&amp;DATE(2025,8,1),'2025数据'!$H$3:$H$181,"&lt;="&amp;DATE(2025,8,31),'2025数据'!$AF$3:$AF$181,$E391))</f>
        <v>0</v>
      </c>
      <c r="N391" s="205">
        <f ca="1">IF($S$1&lt;DATE(2025,9,1)," ",COUNTIFS('2025数据'!$H$3:$H$181,"&gt;="&amp;DATE(2025,9,1),'2025数据'!$H$3:$H$181,"&lt;="&amp;DATE(2025,9,30),'2025数据'!$AF$3:$AF$181,$E391))</f>
        <v>0</v>
      </c>
      <c r="O391" s="205">
        <f ca="1">IF($S$1&lt;DATE(2025,10,1)," ",COUNTIFS('2025数据'!$H$3:$H$181,"&gt;="&amp;DATE(2025,10,1),'2025数据'!$H$3:$H$181,"&lt;="&amp;DATE(2025,10,31),'2025数据'!$AF$3:$AF$181,$E391))</f>
        <v>2</v>
      </c>
      <c r="P391" s="207">
        <f ca="1">IF($S$1&lt;DATE(2025,11,1)," ",COUNTIFS('2025数据'!$H$3:$H$181,"&gt;="&amp;DATE(2025,11,1),'2025数据'!$H$3:$H$181,"&lt;="&amp;DATE(2025,11,30),'2025数据'!$AF$3:$AF$181,$E391))</f>
        <v>0</v>
      </c>
      <c r="Q391" s="207">
        <f ca="1">IF($S$1&lt;DATE(2025,12,1)," ",COUNTIFS('2025数据'!$H$3:$H$181,"&gt;="&amp;DATE(2025,12,1),'2025数据'!$H$3:$H$181,"&lt;="&amp;DATE(2025,12,31),'2025数据'!$AF$3:$AF$181,$E391))</f>
        <v>0</v>
      </c>
    </row>
    <row r="392" ht="24" customHeight="1" spans="1:17">
      <c r="A392" s="99" t="s">
        <v>345</v>
      </c>
      <c r="B392" s="99" t="s">
        <v>299</v>
      </c>
      <c r="C392" s="99" t="s">
        <v>291</v>
      </c>
      <c r="D392" s="48" t="s">
        <v>296</v>
      </c>
      <c r="E392" s="48" t="s">
        <v>82</v>
      </c>
      <c r="F392" s="205">
        <f ca="1">IF($S$1&lt;DATE(2025,1,1)," ",COUNTIFS('2025数据'!$H$3:$H$181,"&gt;="&amp;DATE(2024,1,1),'2025数据'!$H$3:$H$181,"&lt;="&amp;DATE(2025,1,31),'2025数据'!$AF$3:$AF$181,$E392))</f>
        <v>0</v>
      </c>
      <c r="G392" s="205">
        <f ca="1">IF($S$1&lt;DATE(2025,2,1)," ",COUNTIFS('2025数据'!$H$3:$H$181,"&gt;="&amp;DATE(2025,2,1),'2025数据'!$H$3:$H$181,"&lt;="&amp;DATE(2025,2,28),'2025数据'!$AF$3:$AF$181,$E392))</f>
        <v>1</v>
      </c>
      <c r="H392" s="205">
        <f ca="1">IF($S$1&lt;DATE(2025,3,1)," ",COUNTIFS('2025数据'!$H$3:$H$181,"&gt;="&amp;DATE(2025,3,1),'2025数据'!$H$3:$H$181,"&lt;="&amp;DATE(2025,3,31),'2025数据'!$AF$3:$AF$181,$E392))</f>
        <v>0</v>
      </c>
      <c r="I392" s="205">
        <f ca="1">IF($S$1&lt;DATE(2025,4,1)," ",COUNTIFS('2025数据'!$H$3:$H$181,"&gt;="&amp;DATE(2025,4,1),'2025数据'!$H$3:$H$181,"&lt;="&amp;DATE(2025,4,30),'2025数据'!$AF$3:$AF$181,$E392))</f>
        <v>0</v>
      </c>
      <c r="J392" s="205">
        <f ca="1">IF($S$1&lt;DATE(2025,5,1)," ",COUNTIFS('2025数据'!$H$3:$H$181,"&gt;="&amp;DATE(2025,5,1),'2025数据'!$H$3:$H$181,"&lt;="&amp;DATE(2025,5,31),'2025数据'!$AF$3:$AF$181,$E392))</f>
        <v>0</v>
      </c>
      <c r="K392" s="205">
        <f ca="1">IF($S$1&lt;DATE(2025,6,1)," ",COUNTIFS('2025数据'!$H$3:$H$181,"&gt;="&amp;DATE(2025,6,1),'2025数据'!$H$3:$H$181,"&lt;="&amp;DATE(2025,6,30),'2025数据'!$AF$3:$AF$181,$E392))</f>
        <v>0</v>
      </c>
      <c r="L392" s="205">
        <f ca="1">IF($S$1&lt;DATE(2025,7,1)," ",COUNTIFS('2025数据'!$H$3:$H$181,"&gt;="&amp;DATE(2025,7,1),'2025数据'!$H$3:$H$181,"&lt;="&amp;DATE(2025,7,31),'2025数据'!$AF$3:$AF$181,$E392))</f>
        <v>0</v>
      </c>
      <c r="M392" s="205">
        <f ca="1">IF($S$1&lt;DATE(2025,8,1)," ",COUNTIFS('2025数据'!$H$3:$H$181,"&gt;="&amp;DATE(2025,8,1),'2025数据'!$H$3:$H$181,"&lt;="&amp;DATE(2025,8,31),'2025数据'!$AF$3:$AF$181,$E392))</f>
        <v>0</v>
      </c>
      <c r="N392" s="205">
        <f ca="1">IF($S$1&lt;DATE(2025,9,1)," ",COUNTIFS('2025数据'!$H$3:$H$181,"&gt;="&amp;DATE(2025,9,1),'2025数据'!$H$3:$H$181,"&lt;="&amp;DATE(2025,9,30),'2025数据'!$AF$3:$AF$181,$E392))</f>
        <v>1</v>
      </c>
      <c r="O392" s="205">
        <f ca="1">IF($S$1&lt;DATE(2025,10,1)," ",COUNTIFS('2025数据'!$H$3:$H$181,"&gt;="&amp;DATE(2025,10,1),'2025数据'!$H$3:$H$181,"&lt;="&amp;DATE(2025,10,31),'2025数据'!$AF$3:$AF$181,$E392))</f>
        <v>1</v>
      </c>
      <c r="P392" s="207">
        <f ca="1">IF($S$1&lt;DATE(2025,11,1)," ",COUNTIFS('2025数据'!$H$3:$H$181,"&gt;="&amp;DATE(2025,11,1),'2025数据'!$H$3:$H$181,"&lt;="&amp;DATE(2025,11,30),'2025数据'!$AF$3:$AF$181,$E392))</f>
        <v>0</v>
      </c>
      <c r="Q392" s="207">
        <f ca="1">IF($S$1&lt;DATE(2025,12,1)," ",COUNTIFS('2025数据'!$H$3:$H$181,"&gt;="&amp;DATE(2025,12,1),'2025数据'!$H$3:$H$181,"&lt;="&amp;DATE(2025,12,31),'2025数据'!$AF$3:$AF$181,$E392))</f>
        <v>0</v>
      </c>
    </row>
    <row r="393" ht="24" customHeight="1" spans="1:17">
      <c r="A393" s="99" t="s">
        <v>345</v>
      </c>
      <c r="B393" s="99" t="s">
        <v>299</v>
      </c>
      <c r="C393" s="99" t="s">
        <v>291</v>
      </c>
      <c r="D393" s="48" t="s">
        <v>296</v>
      </c>
      <c r="E393" s="48" t="s">
        <v>86</v>
      </c>
      <c r="F393" s="205">
        <f ca="1">IF($S$1&lt;DATE(2025,1,1)," ",COUNTIFS('2025数据'!$H$3:$H$181,"&gt;="&amp;DATE(2024,1,1),'2025数据'!$H$3:$H$181,"&lt;="&amp;DATE(2025,1,31),'2025数据'!$AF$3:$AF$181,$E393))</f>
        <v>0</v>
      </c>
      <c r="G393" s="205">
        <f ca="1">IF($S$1&lt;DATE(2025,2,1)," ",COUNTIFS('2025数据'!$H$3:$H$181,"&gt;="&amp;DATE(2025,2,1),'2025数据'!$H$3:$H$181,"&lt;="&amp;DATE(2025,2,28),'2025数据'!$AF$3:$AF$181,$E393))</f>
        <v>0</v>
      </c>
      <c r="H393" s="205">
        <f ca="1">IF($S$1&lt;DATE(2025,3,1)," ",COUNTIFS('2025数据'!$H$3:$H$181,"&gt;="&amp;DATE(2025,3,1),'2025数据'!$H$3:$H$181,"&lt;="&amp;DATE(2025,3,31),'2025数据'!$AF$3:$AF$181,$E393))</f>
        <v>0</v>
      </c>
      <c r="I393" s="205">
        <f ca="1">IF($S$1&lt;DATE(2025,4,1)," ",COUNTIFS('2025数据'!$H$3:$H$181,"&gt;="&amp;DATE(2025,4,1),'2025数据'!$H$3:$H$181,"&lt;="&amp;DATE(2025,4,30),'2025数据'!$AF$3:$AF$181,$E393))</f>
        <v>0</v>
      </c>
      <c r="J393" s="205">
        <f ca="1">IF($S$1&lt;DATE(2025,5,1)," ",COUNTIFS('2025数据'!$H$3:$H$181,"&gt;="&amp;DATE(2025,5,1),'2025数据'!$H$3:$H$181,"&lt;="&amp;DATE(2025,5,31),'2025数据'!$AF$3:$AF$181,$E393))</f>
        <v>0</v>
      </c>
      <c r="K393" s="205">
        <f ca="1">IF($S$1&lt;DATE(2025,6,1)," ",COUNTIFS('2025数据'!$H$3:$H$181,"&gt;="&amp;DATE(2025,6,1),'2025数据'!$H$3:$H$181,"&lt;="&amp;DATE(2025,6,30),'2025数据'!$AF$3:$AF$181,$E393))</f>
        <v>0</v>
      </c>
      <c r="L393" s="205">
        <f ca="1">IF($S$1&lt;DATE(2025,7,1)," ",COUNTIFS('2025数据'!$H$3:$H$181,"&gt;="&amp;DATE(2025,7,1),'2025数据'!$H$3:$H$181,"&lt;="&amp;DATE(2025,7,31),'2025数据'!$AF$3:$AF$181,$E393))</f>
        <v>0</v>
      </c>
      <c r="M393" s="205">
        <f ca="1">IF($S$1&lt;DATE(2025,8,1)," ",COUNTIFS('2025数据'!$H$3:$H$181,"&gt;="&amp;DATE(2025,8,1),'2025数据'!$H$3:$H$181,"&lt;="&amp;DATE(2025,8,31),'2025数据'!$AF$3:$AF$181,$E393))</f>
        <v>0</v>
      </c>
      <c r="N393" s="205">
        <f ca="1">IF($S$1&lt;DATE(2025,9,1)," ",COUNTIFS('2025数据'!$H$3:$H$181,"&gt;="&amp;DATE(2025,9,1),'2025数据'!$H$3:$H$181,"&lt;="&amp;DATE(2025,9,30),'2025数据'!$AF$3:$AF$181,$E393))</f>
        <v>0</v>
      </c>
      <c r="O393" s="205">
        <f ca="1">IF($S$1&lt;DATE(2025,10,1)," ",COUNTIFS('2025数据'!$H$3:$H$181,"&gt;="&amp;DATE(2025,10,1),'2025数据'!$H$3:$H$181,"&lt;="&amp;DATE(2025,10,31),'2025数据'!$AF$3:$AF$181,$E393))</f>
        <v>0</v>
      </c>
      <c r="P393" s="207">
        <f ca="1">IF($S$1&lt;DATE(2025,11,1)," ",COUNTIFS('2025数据'!$H$3:$H$181,"&gt;="&amp;DATE(2025,11,1),'2025数据'!$H$3:$H$181,"&lt;="&amp;DATE(2025,11,30),'2025数据'!$AF$3:$AF$181,$E393))</f>
        <v>0</v>
      </c>
      <c r="Q393" s="207">
        <f ca="1">IF($S$1&lt;DATE(2025,12,1)," ",COUNTIFS('2025数据'!$H$3:$H$181,"&gt;="&amp;DATE(2025,12,1),'2025数据'!$H$3:$H$181,"&lt;="&amp;DATE(2025,12,31),'2025数据'!$AF$3:$AF$181,$E393))</f>
        <v>0</v>
      </c>
    </row>
    <row r="394" ht="24" customHeight="1" spans="1:17">
      <c r="A394" s="99" t="s">
        <v>345</v>
      </c>
      <c r="B394" s="99" t="s">
        <v>299</v>
      </c>
      <c r="C394" s="99" t="s">
        <v>291</v>
      </c>
      <c r="D394" s="100" t="s">
        <v>292</v>
      </c>
      <c r="E394" s="100" t="s">
        <v>307</v>
      </c>
      <c r="F394" s="204">
        <f ca="1">IF($S$1&lt;DATE(2025,1,1)," ",SUM(F395:F398))</f>
        <v>0</v>
      </c>
      <c r="G394" s="204">
        <f ca="1">IF($S$1&lt;DATE(2025,2,1)," ",SUM(G395:G398))</f>
        <v>1</v>
      </c>
      <c r="H394" s="204">
        <f ca="1">IF($S$1&lt;DATE(2025,3,1)," ",SUM(H395:H398))</f>
        <v>0</v>
      </c>
      <c r="I394" s="204">
        <f ca="1">IF($S$1&lt;DATE(2025,4,1)," ",SUM(I395:I398))</f>
        <v>0</v>
      </c>
      <c r="J394" s="204">
        <f ca="1">IF($S$1&lt;DATE(2025,5,1)," ",SUM(J395:J398))</f>
        <v>0</v>
      </c>
      <c r="K394" s="204">
        <f ca="1">IF($S$1&lt;DATE(2025,6,1)," ",SUM(K395:K398))</f>
        <v>0</v>
      </c>
      <c r="L394" s="204">
        <f ca="1">IF($S$1&lt;DATE(2025,7,1)," ",SUM(L395:L398))</f>
        <v>0</v>
      </c>
      <c r="M394" s="204">
        <f ca="1">IF($S$1&lt;DATE(2025,8,1)," ",SUM(M395:M398))</f>
        <v>0</v>
      </c>
      <c r="N394" s="204">
        <f ca="1">IF($S$1&lt;DATE(2025,9,1)," ",SUM(N395:N398))</f>
        <v>1</v>
      </c>
      <c r="O394" s="204">
        <f ca="1">IF($S$1&lt;DATE(2025,10,1)," ",SUM(O395:O398))</f>
        <v>1</v>
      </c>
      <c r="P394" s="204">
        <f ca="1">IF($S$1&lt;DATE(2025,11,1)," ",SUM(P395:P398))</f>
        <v>0</v>
      </c>
      <c r="Q394" s="204">
        <f ca="1">IF($S$1&lt;DATE(2025,12,1)," ",SUM(Q395:Q398))</f>
        <v>0</v>
      </c>
    </row>
    <row r="395" ht="24" customHeight="1" spans="1:17">
      <c r="A395" s="99" t="s">
        <v>345</v>
      </c>
      <c r="B395" s="99" t="s">
        <v>299</v>
      </c>
      <c r="C395" s="99" t="s">
        <v>291</v>
      </c>
      <c r="D395" s="48" t="s">
        <v>298</v>
      </c>
      <c r="E395" s="48" t="s">
        <v>97</v>
      </c>
      <c r="F395" s="205">
        <f ca="1">IF($S$1&lt;DATE(2025,1,1)," ",COUNTIFS('2025数据'!$H$3:$H$181,"&gt;="&amp;DATE(2024,1,1),'2025数据'!$H$3:$H$181,"&lt;="&amp;DATE(2025,1,31),'2025数据'!$AG$3:$AG$181,$E395))</f>
        <v>0</v>
      </c>
      <c r="G395" s="205">
        <f ca="1">IF($S$1&lt;DATE(2025,2,1)," ",COUNTIFS('2025数据'!$H$3:$H$181,"&gt;="&amp;DATE(2025,2,1),'2025数据'!$H$3:$H$181,"&lt;="&amp;DATE(2025,2,28),'2025数据'!$AG$3:$AG$181,$E395))</f>
        <v>0</v>
      </c>
      <c r="H395" s="205">
        <f ca="1">IF($S$1&lt;DATE(2025,3,1)," ",COUNTIFS('2025数据'!$H$3:$H$181,"&gt;="&amp;DATE(2025,3,1),'2025数据'!$H$3:$H$181,"&lt;="&amp;DATE(2025,3,31),'2025数据'!$AG$3:$AG$181,$E395))</f>
        <v>0</v>
      </c>
      <c r="I395" s="205">
        <f ca="1">IF($S$1&lt;DATE(2025,4,1)," ",COUNTIFS('2025数据'!$H$3:$H$181,"&gt;="&amp;DATE(2025,4,1),'2025数据'!$H$3:$H$181,"&lt;="&amp;DATE(2025,4,30),'2025数据'!$AG$3:$AG$181,$E395))</f>
        <v>0</v>
      </c>
      <c r="J395" s="205">
        <f ca="1">IF($S$1&lt;DATE(2025,5,1)," ",COUNTIFS('2025数据'!$H$3:$H$181,"&gt;="&amp;DATE(2025,5,1),'2025数据'!$H$3:$H$181,"&lt;="&amp;DATE(2025,5,31),'2025数据'!$AG$3:$AG$181,$E395))</f>
        <v>0</v>
      </c>
      <c r="K395" s="205">
        <f ca="1">IF($S$1&lt;DATE(2025,6,1)," ",COUNTIFS('2025数据'!$H$3:$H$181,"&gt;="&amp;DATE(2025,6,1),'2025数据'!$H$3:$H$181,"&lt;="&amp;DATE(2025,6,30),'2025数据'!$AG$3:$AG$181,$E395))</f>
        <v>0</v>
      </c>
      <c r="L395" s="205">
        <f ca="1">IF($S$1&lt;DATE(2025,7,1)," ",COUNTIFS('2025数据'!$H$3:$H$181,"&gt;="&amp;DATE(2025,7,1),'2025数据'!$H$3:$H$181,"&lt;="&amp;DATE(2025,7,31),'2025数据'!$AG$3:$AG$181,$E395))</f>
        <v>0</v>
      </c>
      <c r="M395" s="205">
        <f ca="1">IF($S$1&lt;DATE(2025,8,1)," ",COUNTIFS('2025数据'!$H$3:$H$181,"&gt;="&amp;DATE(2025,8,1),'2025数据'!$H$3:$H$181,"&lt;="&amp;DATE(2025,8,31),'2025数据'!$AG$3:$AG$181,$E395))</f>
        <v>0</v>
      </c>
      <c r="N395" s="205">
        <f ca="1">IF($S$1&lt;DATE(2025,9,1)," ",COUNTIFS('2025数据'!$H$3:$H$181,"&gt;="&amp;DATE(2025,9,1),'2025数据'!$H$3:$H$181,"&lt;="&amp;DATE(2025,9,30),'2025数据'!$AG$3:$AG$181,$E395))</f>
        <v>1</v>
      </c>
      <c r="O395" s="205">
        <f ca="1">IF($S$1&lt;DATE(2025,10,1)," ",COUNTIFS('2025数据'!$H$3:$H$181,"&gt;="&amp;DATE(2025,10,1),'2025数据'!$H$3:$H$181,"&lt;="&amp;DATE(2025,10,31),'2025数据'!$AG$3:$AG$181,$E395))</f>
        <v>0</v>
      </c>
      <c r="P395" s="207">
        <f ca="1">IF($S$1&lt;DATE(2025,11,1)," ",COUNTIFS('2025数据'!$H$3:$H$181,"&gt;="&amp;DATE(2025,11,1),'2025数据'!$H$3:$H$181,"&lt;="&amp;DATE(2025,11,30),'2025数据'!$AG$3:$AG$181,$E395))</f>
        <v>0</v>
      </c>
      <c r="Q395" s="207">
        <f ca="1">IF($S$1&lt;DATE(2025,12,1)," ",COUNTIFS('2025数据'!$H$3:$H$181,"&gt;="&amp;DATE(2025,12,1),'2025数据'!$H$3:$H$181,"&lt;="&amp;DATE(2025,12,31),'2025数据'!$AG$3:$AG$181,$E395))</f>
        <v>0</v>
      </c>
    </row>
    <row r="396" ht="24" customHeight="1" spans="1:17">
      <c r="A396" s="99" t="s">
        <v>345</v>
      </c>
      <c r="B396" s="99" t="s">
        <v>299</v>
      </c>
      <c r="C396" s="99" t="s">
        <v>291</v>
      </c>
      <c r="D396" s="48" t="s">
        <v>298</v>
      </c>
      <c r="E396" s="48" t="s">
        <v>87</v>
      </c>
      <c r="F396" s="205">
        <f ca="1">IF($S$1&lt;DATE(2025,1,1)," ",COUNTIFS('2025数据'!$H$3:$H$181,"&gt;="&amp;DATE(2024,1,1),'2025数据'!$H$3:$H$181,"&lt;="&amp;DATE(2025,1,31),'2025数据'!$AG$3:$AG$181,$E396))</f>
        <v>0</v>
      </c>
      <c r="G396" s="205">
        <f ca="1">IF($S$1&lt;DATE(2025,2,1)," ",COUNTIFS('2025数据'!$H$3:$H$181,"&gt;="&amp;DATE(2025,2,1),'2025数据'!$H$3:$H$181,"&lt;="&amp;DATE(2025,2,28),'2025数据'!$AG$3:$AG$181,$E396))</f>
        <v>0</v>
      </c>
      <c r="H396" s="205">
        <f ca="1">IF($S$1&lt;DATE(2025,3,1)," ",COUNTIFS('2025数据'!$H$3:$H$181,"&gt;="&amp;DATE(2025,3,1),'2025数据'!$H$3:$H$181,"&lt;="&amp;DATE(2025,3,31),'2025数据'!$AG$3:$AG$181,$E396))</f>
        <v>0</v>
      </c>
      <c r="I396" s="205">
        <f ca="1">IF($S$1&lt;DATE(2025,4,1)," ",COUNTIFS('2025数据'!$H$3:$H$181,"&gt;="&amp;DATE(2025,4,1),'2025数据'!$H$3:$H$181,"&lt;="&amp;DATE(2025,4,30),'2025数据'!$AG$3:$AG$181,$E396))</f>
        <v>0</v>
      </c>
      <c r="J396" s="205">
        <f ca="1">IF($S$1&lt;DATE(2025,5,1)," ",COUNTIFS('2025数据'!$H$3:$H$181,"&gt;="&amp;DATE(2025,5,1),'2025数据'!$H$3:$H$181,"&lt;="&amp;DATE(2025,5,31),'2025数据'!$AG$3:$AG$181,$E396))</f>
        <v>0</v>
      </c>
      <c r="K396" s="205">
        <f ca="1">IF($S$1&lt;DATE(2025,6,1)," ",COUNTIFS('2025数据'!$H$3:$H$181,"&gt;="&amp;DATE(2025,6,1),'2025数据'!$H$3:$H$181,"&lt;="&amp;DATE(2025,6,30),'2025数据'!$AG$3:$AG$181,$E396))</f>
        <v>0</v>
      </c>
      <c r="L396" s="205">
        <f ca="1">IF($S$1&lt;DATE(2025,7,1)," ",COUNTIFS('2025数据'!$H$3:$H$181,"&gt;="&amp;DATE(2025,7,1),'2025数据'!$H$3:$H$181,"&lt;="&amp;DATE(2025,7,31),'2025数据'!$AG$3:$AG$181,$E396))</f>
        <v>0</v>
      </c>
      <c r="M396" s="205">
        <f ca="1">IF($S$1&lt;DATE(2025,8,1)," ",COUNTIFS('2025数据'!$H$3:$H$181,"&gt;="&amp;DATE(2025,8,1),'2025数据'!$H$3:$H$181,"&lt;="&amp;DATE(2025,8,31),'2025数据'!$AG$3:$AG$181,$E396))</f>
        <v>0</v>
      </c>
      <c r="N396" s="205">
        <f ca="1">IF($S$1&lt;DATE(2025,9,1)," ",COUNTIFS('2025数据'!$H$3:$H$181,"&gt;="&amp;DATE(2025,9,1),'2025数据'!$H$3:$H$181,"&lt;="&amp;DATE(2025,9,30),'2025数据'!$AG$3:$AG$181,$E396))</f>
        <v>0</v>
      </c>
      <c r="O396" s="205">
        <f ca="1">IF($S$1&lt;DATE(2025,10,1)," ",COUNTIFS('2025数据'!$H$3:$H$181,"&gt;="&amp;DATE(2025,10,1),'2025数据'!$H$3:$H$181,"&lt;="&amp;DATE(2025,10,31),'2025数据'!$AG$3:$AG$181,$E396))</f>
        <v>0</v>
      </c>
      <c r="P396" s="207">
        <f ca="1">IF($S$1&lt;DATE(2025,11,1)," ",COUNTIFS('2025数据'!$H$3:$H$181,"&gt;="&amp;DATE(2025,11,1),'2025数据'!$H$3:$H$181,"&lt;="&amp;DATE(2025,11,30),'2025数据'!$AG$3:$AG$181,$E396))</f>
        <v>0</v>
      </c>
      <c r="Q396" s="207">
        <f ca="1">IF($S$1&lt;DATE(2025,12,1)," ",COUNTIFS('2025数据'!$H$3:$H$181,"&gt;="&amp;DATE(2025,12,1),'2025数据'!$H$3:$H$181,"&lt;="&amp;DATE(2025,12,31),'2025数据'!$AG$3:$AG$181,$E396))</f>
        <v>0</v>
      </c>
    </row>
    <row r="397" ht="24" customHeight="1" spans="1:17">
      <c r="A397" s="99" t="s">
        <v>345</v>
      </c>
      <c r="B397" s="99" t="s">
        <v>299</v>
      </c>
      <c r="C397" s="99" t="s">
        <v>291</v>
      </c>
      <c r="D397" s="48" t="s">
        <v>298</v>
      </c>
      <c r="E397" s="48" t="s">
        <v>149</v>
      </c>
      <c r="F397" s="205">
        <f ca="1">IF($S$1&lt;DATE(2025,1,1)," ",COUNTIFS('2025数据'!$H$3:$H$181,"&gt;="&amp;DATE(2024,1,1),'2025数据'!$H$3:$H$181,"&lt;="&amp;DATE(2025,1,31),'2025数据'!$AG$3:$AG$181,$E397))</f>
        <v>0</v>
      </c>
      <c r="G397" s="205">
        <f ca="1">IF($S$1&lt;DATE(2025,2,1)," ",COUNTIFS('2025数据'!$H$3:$H$181,"&gt;="&amp;DATE(2025,2,1),'2025数据'!$H$3:$H$181,"&lt;="&amp;DATE(2025,2,28),'2025数据'!$AG$3:$AG$181,$E397))</f>
        <v>0</v>
      </c>
      <c r="H397" s="205">
        <f ca="1">IF($S$1&lt;DATE(2025,3,1)," ",COUNTIFS('2025数据'!$H$3:$H$181,"&gt;="&amp;DATE(2025,3,1),'2025数据'!$H$3:$H$181,"&lt;="&amp;DATE(2025,3,31),'2025数据'!$AG$3:$AG$181,$E397))</f>
        <v>0</v>
      </c>
      <c r="I397" s="205">
        <f ca="1">IF($S$1&lt;DATE(2025,4,1)," ",COUNTIFS('2025数据'!$H$3:$H$181,"&gt;="&amp;DATE(2025,4,1),'2025数据'!$H$3:$H$181,"&lt;="&amp;DATE(2025,4,30),'2025数据'!$AG$3:$AG$181,$E397))</f>
        <v>0</v>
      </c>
      <c r="J397" s="205">
        <f ca="1">IF($S$1&lt;DATE(2025,5,1)," ",COUNTIFS('2025数据'!$H$3:$H$181,"&gt;="&amp;DATE(2025,5,1),'2025数据'!$H$3:$H$181,"&lt;="&amp;DATE(2025,5,31),'2025数据'!$AG$3:$AG$181,$E397))</f>
        <v>0</v>
      </c>
      <c r="K397" s="205">
        <f ca="1">IF($S$1&lt;DATE(2025,6,1)," ",COUNTIFS('2025数据'!$H$3:$H$181,"&gt;="&amp;DATE(2025,6,1),'2025数据'!$H$3:$H$181,"&lt;="&amp;DATE(2025,6,30),'2025数据'!$AG$3:$AG$181,$E397))</f>
        <v>0</v>
      </c>
      <c r="L397" s="205">
        <f ca="1">IF($S$1&lt;DATE(2025,7,1)," ",COUNTIFS('2025数据'!$H$3:$H$181,"&gt;="&amp;DATE(2025,7,1),'2025数据'!$H$3:$H$181,"&lt;="&amp;DATE(2025,7,31),'2025数据'!$AG$3:$AG$181,$E397))</f>
        <v>0</v>
      </c>
      <c r="M397" s="205">
        <f ca="1">IF($S$1&lt;DATE(2025,8,1)," ",COUNTIFS('2025数据'!$H$3:$H$181,"&gt;="&amp;DATE(2025,8,1),'2025数据'!$H$3:$H$181,"&lt;="&amp;DATE(2025,8,31),'2025数据'!$AG$3:$AG$181,$E397))</f>
        <v>0</v>
      </c>
      <c r="N397" s="205">
        <f ca="1">IF($S$1&lt;DATE(2025,9,1)," ",COUNTIFS('2025数据'!$H$3:$H$181,"&gt;="&amp;DATE(2025,9,1),'2025数据'!$H$3:$H$181,"&lt;="&amp;DATE(2025,9,30),'2025数据'!$AG$3:$AG$181,$E397))</f>
        <v>0</v>
      </c>
      <c r="O397" s="205">
        <f ca="1">IF($S$1&lt;DATE(2025,10,1)," ",COUNTIFS('2025数据'!$H$3:$H$181,"&gt;="&amp;DATE(2025,10,1),'2025数据'!$H$3:$H$181,"&lt;="&amp;DATE(2025,10,31),'2025数据'!$AG$3:$AG$181,$E397))</f>
        <v>0</v>
      </c>
      <c r="P397" s="207">
        <f ca="1">IF($S$1&lt;DATE(2025,11,1)," ",COUNTIFS('2025数据'!$H$3:$H$181,"&gt;="&amp;DATE(2025,11,1),'2025数据'!$H$3:$H$181,"&lt;="&amp;DATE(2025,11,30),'2025数据'!$AG$3:$AG$181,$E397))</f>
        <v>0</v>
      </c>
      <c r="Q397" s="207">
        <f ca="1">IF($S$1&lt;DATE(2025,12,1)," ",COUNTIFS('2025数据'!$H$3:$H$181,"&gt;="&amp;DATE(2025,12,1),'2025数据'!$H$3:$H$181,"&lt;="&amp;DATE(2025,12,31),'2025数据'!$AG$3:$AG$181,$E397))</f>
        <v>0</v>
      </c>
    </row>
    <row r="398" ht="24" customHeight="1" spans="1:17">
      <c r="A398" s="99" t="s">
        <v>345</v>
      </c>
      <c r="B398" s="99" t="s">
        <v>299</v>
      </c>
      <c r="C398" s="99" t="s">
        <v>291</v>
      </c>
      <c r="D398" s="48" t="s">
        <v>298</v>
      </c>
      <c r="E398" s="48" t="s">
        <v>83</v>
      </c>
      <c r="F398" s="205">
        <f ca="1">IF($S$1&lt;DATE(2025,1,1)," ",COUNTIFS('2025数据'!$H$3:$H$181,"&gt;="&amp;DATE(2024,1,1),'2025数据'!$H$3:$H$181,"&lt;="&amp;DATE(2025,1,31),'2025数据'!$AG$3:$AG$181,$E398))</f>
        <v>0</v>
      </c>
      <c r="G398" s="205">
        <f ca="1">IF($S$1&lt;DATE(2025,2,1)," ",COUNTIFS('2025数据'!$H$3:$H$181,"&gt;="&amp;DATE(2025,2,1),'2025数据'!$H$3:$H$181,"&lt;="&amp;DATE(2025,2,28),'2025数据'!$AG$3:$AG$181,$E398))</f>
        <v>1</v>
      </c>
      <c r="H398" s="205">
        <f ca="1">IF($S$1&lt;DATE(2025,3,1)," ",COUNTIFS('2025数据'!$H$3:$H$181,"&gt;="&amp;DATE(2025,3,1),'2025数据'!$H$3:$H$181,"&lt;="&amp;DATE(2025,3,31),'2025数据'!$AG$3:$AG$181,$E398))</f>
        <v>0</v>
      </c>
      <c r="I398" s="205">
        <f ca="1">IF($S$1&lt;DATE(2025,4,1)," ",COUNTIFS('2025数据'!$H$3:$H$181,"&gt;="&amp;DATE(2025,4,1),'2025数据'!$H$3:$H$181,"&lt;="&amp;DATE(2025,4,30),'2025数据'!$AG$3:$AG$181,$E398))</f>
        <v>0</v>
      </c>
      <c r="J398" s="205">
        <f ca="1">IF($S$1&lt;DATE(2025,5,1)," ",COUNTIFS('2025数据'!$H$3:$H$181,"&gt;="&amp;DATE(2025,5,1),'2025数据'!$H$3:$H$181,"&lt;="&amp;DATE(2025,5,31),'2025数据'!$AG$3:$AG$181,$E398))</f>
        <v>0</v>
      </c>
      <c r="K398" s="205">
        <f ca="1">IF($S$1&lt;DATE(2025,6,1)," ",COUNTIFS('2025数据'!$H$3:$H$181,"&gt;="&amp;DATE(2025,6,1),'2025数据'!$H$3:$H$181,"&lt;="&amp;DATE(2025,6,30),'2025数据'!$AG$3:$AG$181,$E398))</f>
        <v>0</v>
      </c>
      <c r="L398" s="205">
        <f ca="1">IF($S$1&lt;DATE(2025,7,1)," ",COUNTIFS('2025数据'!$H$3:$H$181,"&gt;="&amp;DATE(2025,7,1),'2025数据'!$H$3:$H$181,"&lt;="&amp;DATE(2025,7,31),'2025数据'!$AG$3:$AG$181,$E398))</f>
        <v>0</v>
      </c>
      <c r="M398" s="205">
        <f ca="1">IF($S$1&lt;DATE(2025,8,1)," ",COUNTIFS('2025数据'!$H$3:$H$181,"&gt;="&amp;DATE(2025,8,1),'2025数据'!$H$3:$H$181,"&lt;="&amp;DATE(2025,8,31),'2025数据'!$AG$3:$AG$181,$E398))</f>
        <v>0</v>
      </c>
      <c r="N398" s="205">
        <f ca="1">IF($S$1&lt;DATE(2025,9,1)," ",COUNTIFS('2025数据'!$H$3:$H$181,"&gt;="&amp;DATE(2025,9,1),'2025数据'!$H$3:$H$181,"&lt;="&amp;DATE(2025,9,30),'2025数据'!$AG$3:$AG$181,$E398))</f>
        <v>0</v>
      </c>
      <c r="O398" s="205">
        <f ca="1">IF($S$1&lt;DATE(2025,10,1)," ",COUNTIFS('2025数据'!$H$3:$H$181,"&gt;="&amp;DATE(2025,10,1),'2025数据'!$H$3:$H$181,"&lt;="&amp;DATE(2025,10,31),'2025数据'!$AG$3:$AG$181,$E398))</f>
        <v>1</v>
      </c>
      <c r="P398" s="207">
        <f ca="1">IF($S$1&lt;DATE(2025,11,1)," ",COUNTIFS('2025数据'!$H$3:$H$181,"&gt;="&amp;DATE(2025,11,1),'2025数据'!$H$3:$H$181,"&lt;="&amp;DATE(2025,11,30),'2025数据'!$AG$3:$AG$181,$E398))</f>
        <v>0</v>
      </c>
      <c r="Q398" s="207">
        <f ca="1">IF($S$1&lt;DATE(2025,12,1)," ",COUNTIFS('2025数据'!$H$3:$H$181,"&gt;="&amp;DATE(2025,12,1),'2025数据'!$H$3:$H$181,"&lt;="&amp;DATE(2025,12,31),'2025数据'!$AG$3:$AG$181,$E398))</f>
        <v>0</v>
      </c>
    </row>
    <row r="399" ht="24" customHeight="1" spans="1:17">
      <c r="A399" s="99" t="s">
        <v>345</v>
      </c>
      <c r="B399" s="99" t="s">
        <v>308</v>
      </c>
      <c r="C399" s="99" t="s">
        <v>309</v>
      </c>
      <c r="D399" s="100" t="s">
        <v>292</v>
      </c>
      <c r="E399" s="211" t="s">
        <v>310</v>
      </c>
      <c r="F399" s="204">
        <f ca="1">IF($S$1&lt;DATE(2025,1,1)," ",IF((SUM(F400:F406)-MAX(F419,F426))&lt;0,"ERR",SUM(F400:F406)))</f>
        <v>1</v>
      </c>
      <c r="G399" s="204">
        <f ca="1">IF($S$1&lt;DATE(2025,2,1)," ",IF((SUM(G400:G406)-MAX(G419,G426))&lt;0,"ERR",SUM(G400:G406)))</f>
        <v>0</v>
      </c>
      <c r="H399" s="204">
        <f ca="1">IF($S$1&lt;DATE(2025,3,1)," ",IF((SUM(H400:H406)-MAX(H419,H426))&lt;0,"ERR",SUM(H400:H406)))</f>
        <v>0</v>
      </c>
      <c r="I399" s="204">
        <f ca="1">IF($S$1&lt;DATE(2025,4,1)," ",IF((SUM(I400:I406)-MAX(I419,I426))&lt;0,"ERR",SUM(I400:I406)))</f>
        <v>0</v>
      </c>
      <c r="J399" s="204">
        <f ca="1">IF($S$1&lt;DATE(2025,5,1)," ",IF((SUM(J400:J406)-MAX(J419,J426))&lt;0,"ERR",SUM(J400:J406)))</f>
        <v>0</v>
      </c>
      <c r="K399" s="204">
        <f ca="1">IF($S$1&lt;DATE(2025,6,1)," ",IF((SUM(K400:K406)-MAX(K419,K426))&lt;0,"ERR",SUM(K400:K406)))</f>
        <v>0</v>
      </c>
      <c r="L399" s="204">
        <f ca="1">IF($S$1&lt;DATE(2025,7,1)," ",IF((SUM(L400:L406)-MAX(L419,L426))&lt;0,"ERR",SUM(L400:L406)))</f>
        <v>0</v>
      </c>
      <c r="M399" s="204">
        <f ca="1">IF($S$1&lt;DATE(2025,8,1)," ",IF((SUM(M400:M406)-MAX(M419,M426))&lt;0,"ERR",SUM(M400:M406)))</f>
        <v>2</v>
      </c>
      <c r="N399" s="204">
        <f ca="1">IF($S$1&lt;DATE(2025,9,1)," ",IF((SUM(N400:N406)-MAX(N419,N426))&lt;0,"ERR",SUM(N400:N406)))</f>
        <v>2</v>
      </c>
      <c r="O399" s="204">
        <f ca="1">IF($S$1&lt;DATE(2025,10,1)," ",IF((SUM(O400:O406)-MAX(O419,O426))&lt;0,"ERR",SUM(O400:O406)))</f>
        <v>0</v>
      </c>
      <c r="P399" s="204">
        <f ca="1">IF($S$1&lt;DATE(2025,11,1)," ",IF((SUM(P400:P406)-MAX(P419,P426))&lt;0,"ERR",SUM(P400:P406)))</f>
        <v>2</v>
      </c>
      <c r="Q399" s="204">
        <f ca="1">IF($S$1&lt;DATE(2025,12,1)," ",IF((SUM(Q400:Q406)-MAX(Q419,Q426))&lt;0,"ERR",SUM(Q400:Q406)))</f>
        <v>6</v>
      </c>
    </row>
    <row r="400" ht="24" customHeight="1" spans="1:17">
      <c r="A400" s="99" t="s">
        <v>345</v>
      </c>
      <c r="B400" s="99" t="s">
        <v>308</v>
      </c>
      <c r="C400" s="99" t="s">
        <v>309</v>
      </c>
      <c r="D400" s="48" t="s">
        <v>31</v>
      </c>
      <c r="E400" s="48" t="s">
        <v>90</v>
      </c>
      <c r="F400" s="205">
        <f ca="1" t="shared" ref="F400:F404" si="296">IF($S$1&lt;DATE(2025,1,1)," ",F436-F458)</f>
        <v>0</v>
      </c>
      <c r="G400" s="205">
        <f ca="1" t="shared" ref="G400:G404" si="297">IF($S$1&lt;DATE(2025,2,1)," ",G436-G458)</f>
        <v>0</v>
      </c>
      <c r="H400" s="205">
        <f ca="1" t="shared" ref="H400:H404" si="298">IF($S$1&lt;DATE(2025,3,1)," ",H436-H458)</f>
        <v>0</v>
      </c>
      <c r="I400" s="205">
        <f ca="1" t="shared" ref="I400:I404" si="299">IF($S$1&lt;DATE(2025,4,1)," ",I436-I458)</f>
        <v>0</v>
      </c>
      <c r="J400" s="205">
        <f ca="1" t="shared" ref="J400:J404" si="300">IF($S$1&lt;DATE(2025,5,1)," ",J436-J458)</f>
        <v>0</v>
      </c>
      <c r="K400" s="205">
        <f ca="1" t="shared" ref="K400:K404" si="301">IF($S$1&lt;DATE(2025,6,1)," ",K436-K458)</f>
        <v>0</v>
      </c>
      <c r="L400" s="205">
        <f ca="1" t="shared" ref="L400:L404" si="302">IF($S$1&lt;DATE(2025,7,1)," ",L436-L458)</f>
        <v>0</v>
      </c>
      <c r="M400" s="205">
        <f ca="1" t="shared" ref="M400:M404" si="303">IF($S$1&lt;DATE(2025,8,1)," ",M436-M458)</f>
        <v>1</v>
      </c>
      <c r="N400" s="205">
        <f ca="1" t="shared" ref="N400:N404" si="304">IF($S$1&lt;DATE(2025,9,1)," ",N436-N458)</f>
        <v>2</v>
      </c>
      <c r="O400" s="205">
        <f ca="1" t="shared" ref="O400:O404" si="305">IF($S$1&lt;DATE(2025,10,1)," ",O436-O458)</f>
        <v>0</v>
      </c>
      <c r="P400" s="205">
        <f ca="1" t="shared" ref="P400:P404" si="306">IF($S$1&lt;DATE(2025,11,1)," ",P436-P458)</f>
        <v>0</v>
      </c>
      <c r="Q400" s="205">
        <f ca="1" t="shared" ref="Q400:Q404" si="307">IF($S$1&lt;DATE(2025,12,1)," ",Q436-Q458)</f>
        <v>2</v>
      </c>
    </row>
    <row r="401" ht="24" customHeight="1" spans="1:17">
      <c r="A401" s="99" t="s">
        <v>345</v>
      </c>
      <c r="B401" s="99" t="s">
        <v>308</v>
      </c>
      <c r="C401" s="99" t="s">
        <v>309</v>
      </c>
      <c r="D401" s="48" t="s">
        <v>31</v>
      </c>
      <c r="E401" s="48" t="s">
        <v>82</v>
      </c>
      <c r="F401" s="205">
        <f ca="1" t="shared" si="296"/>
        <v>1</v>
      </c>
      <c r="G401" s="205">
        <f ca="1" t="shared" si="297"/>
        <v>0</v>
      </c>
      <c r="H401" s="205">
        <f ca="1" t="shared" si="298"/>
        <v>0</v>
      </c>
      <c r="I401" s="205">
        <f ca="1" t="shared" si="299"/>
        <v>0</v>
      </c>
      <c r="J401" s="205">
        <f ca="1" t="shared" si="300"/>
        <v>0</v>
      </c>
      <c r="K401" s="205">
        <f ca="1" t="shared" si="301"/>
        <v>0</v>
      </c>
      <c r="L401" s="205">
        <f ca="1" t="shared" si="302"/>
        <v>0</v>
      </c>
      <c r="M401" s="205">
        <f ca="1" t="shared" si="303"/>
        <v>0</v>
      </c>
      <c r="N401" s="205">
        <f ca="1" t="shared" si="304"/>
        <v>0</v>
      </c>
      <c r="O401" s="205">
        <f ca="1" t="shared" si="305"/>
        <v>0</v>
      </c>
      <c r="P401" s="205">
        <f ca="1" t="shared" si="306"/>
        <v>1</v>
      </c>
      <c r="Q401" s="205">
        <f ca="1" t="shared" si="307"/>
        <v>1</v>
      </c>
    </row>
    <row r="402" ht="24" customHeight="1" spans="1:17">
      <c r="A402" s="99" t="s">
        <v>345</v>
      </c>
      <c r="B402" s="99" t="s">
        <v>308</v>
      </c>
      <c r="C402" s="99" t="s">
        <v>309</v>
      </c>
      <c r="D402" s="48" t="s">
        <v>31</v>
      </c>
      <c r="E402" s="48" t="s">
        <v>86</v>
      </c>
      <c r="F402" s="205">
        <f ca="1" t="shared" si="296"/>
        <v>0</v>
      </c>
      <c r="G402" s="205">
        <f ca="1" t="shared" si="297"/>
        <v>0</v>
      </c>
      <c r="H402" s="205">
        <f ca="1" t="shared" si="298"/>
        <v>0</v>
      </c>
      <c r="I402" s="205">
        <f ca="1" t="shared" si="299"/>
        <v>0</v>
      </c>
      <c r="J402" s="205">
        <f ca="1" t="shared" si="300"/>
        <v>0</v>
      </c>
      <c r="K402" s="205">
        <f ca="1" t="shared" si="301"/>
        <v>0</v>
      </c>
      <c r="L402" s="205">
        <f ca="1" t="shared" si="302"/>
        <v>0</v>
      </c>
      <c r="M402" s="205">
        <f ca="1" t="shared" si="303"/>
        <v>0</v>
      </c>
      <c r="N402" s="205">
        <f ca="1" t="shared" si="304"/>
        <v>0</v>
      </c>
      <c r="O402" s="205">
        <f ca="1" t="shared" si="305"/>
        <v>0</v>
      </c>
      <c r="P402" s="205">
        <f ca="1" t="shared" si="306"/>
        <v>0</v>
      </c>
      <c r="Q402" s="205">
        <f ca="1" t="shared" si="307"/>
        <v>1</v>
      </c>
    </row>
    <row r="403" ht="24" customHeight="1" spans="1:17">
      <c r="A403" s="99" t="s">
        <v>345</v>
      </c>
      <c r="B403" s="99" t="s">
        <v>308</v>
      </c>
      <c r="C403" s="99" t="s">
        <v>309</v>
      </c>
      <c r="D403" s="48" t="s">
        <v>31</v>
      </c>
      <c r="E403" s="48" t="s">
        <v>97</v>
      </c>
      <c r="F403" s="205">
        <f ca="1" t="shared" si="296"/>
        <v>0</v>
      </c>
      <c r="G403" s="205">
        <f ca="1" t="shared" si="297"/>
        <v>0</v>
      </c>
      <c r="H403" s="205">
        <f ca="1" t="shared" si="298"/>
        <v>0</v>
      </c>
      <c r="I403" s="205">
        <f ca="1" t="shared" si="299"/>
        <v>0</v>
      </c>
      <c r="J403" s="205">
        <f ca="1" t="shared" si="300"/>
        <v>0</v>
      </c>
      <c r="K403" s="205">
        <f ca="1" t="shared" si="301"/>
        <v>0</v>
      </c>
      <c r="L403" s="205">
        <f ca="1" t="shared" si="302"/>
        <v>0</v>
      </c>
      <c r="M403" s="205">
        <f ca="1" t="shared" si="303"/>
        <v>1</v>
      </c>
      <c r="N403" s="205">
        <f ca="1" t="shared" si="304"/>
        <v>0</v>
      </c>
      <c r="O403" s="205">
        <f ca="1" t="shared" si="305"/>
        <v>0</v>
      </c>
      <c r="P403" s="205">
        <f ca="1" t="shared" si="306"/>
        <v>1</v>
      </c>
      <c r="Q403" s="205">
        <f ca="1" t="shared" si="307"/>
        <v>2</v>
      </c>
    </row>
    <row r="404" ht="24" customHeight="1" spans="1:17">
      <c r="A404" s="99" t="s">
        <v>345</v>
      </c>
      <c r="B404" s="99" t="s">
        <v>308</v>
      </c>
      <c r="C404" s="99" t="s">
        <v>309</v>
      </c>
      <c r="D404" s="48" t="s">
        <v>31</v>
      </c>
      <c r="E404" s="48" t="s">
        <v>87</v>
      </c>
      <c r="F404" s="205">
        <f ca="1" t="shared" si="296"/>
        <v>0</v>
      </c>
      <c r="G404" s="205">
        <f ca="1" t="shared" si="297"/>
        <v>0</v>
      </c>
      <c r="H404" s="205">
        <f ca="1" t="shared" si="298"/>
        <v>0</v>
      </c>
      <c r="I404" s="205">
        <f ca="1" t="shared" si="299"/>
        <v>0</v>
      </c>
      <c r="J404" s="205">
        <f ca="1" t="shared" si="300"/>
        <v>0</v>
      </c>
      <c r="K404" s="205">
        <f ca="1" t="shared" si="301"/>
        <v>0</v>
      </c>
      <c r="L404" s="205">
        <f ca="1" t="shared" si="302"/>
        <v>0</v>
      </c>
      <c r="M404" s="205">
        <f ca="1" t="shared" si="303"/>
        <v>0</v>
      </c>
      <c r="N404" s="205">
        <f ca="1" t="shared" si="304"/>
        <v>0</v>
      </c>
      <c r="O404" s="205">
        <f ca="1" t="shared" si="305"/>
        <v>0</v>
      </c>
      <c r="P404" s="205">
        <f ca="1" t="shared" si="306"/>
        <v>0</v>
      </c>
      <c r="Q404" s="205">
        <f ca="1" t="shared" si="307"/>
        <v>0</v>
      </c>
    </row>
    <row r="405" ht="24" customHeight="1" spans="1:17">
      <c r="A405" s="99" t="s">
        <v>345</v>
      </c>
      <c r="B405" s="99" t="s">
        <v>308</v>
      </c>
      <c r="C405" s="99" t="s">
        <v>309</v>
      </c>
      <c r="D405" s="48" t="s">
        <v>31</v>
      </c>
      <c r="E405" s="48" t="s">
        <v>149</v>
      </c>
      <c r="F405" s="205">
        <f ca="1">IF($S$1&lt;DATE(2025,1,1)," ",F440-F462)</f>
        <v>0</v>
      </c>
      <c r="G405" s="205">
        <f ca="1">IF($S$1&lt;DATE(2025,2,1)," ",G440-G462)</f>
        <v>0</v>
      </c>
      <c r="H405" s="205">
        <f ca="1">IF($S$1&lt;DATE(2025,3,1)," ",H440-H462)</f>
        <v>0</v>
      </c>
      <c r="I405" s="205">
        <f ca="1">IF($S$1&lt;DATE(2025,4,1)," ",I440-I462)</f>
        <v>0</v>
      </c>
      <c r="J405" s="205">
        <f ca="1">IF($S$1&lt;DATE(2025,5,1)," ",J440-J462)</f>
        <v>0</v>
      </c>
      <c r="K405" s="205">
        <f ca="1">IF($S$1&lt;DATE(2025,6,1)," ",K440-K462)</f>
        <v>0</v>
      </c>
      <c r="L405" s="205">
        <f ca="1">IF($S$1&lt;DATE(2025,7,1)," ",L440-L462)</f>
        <v>0</v>
      </c>
      <c r="M405" s="205">
        <f ca="1">IF($S$1&lt;DATE(2025,8,1)," ",M440-M462)</f>
        <v>0</v>
      </c>
      <c r="N405" s="205">
        <f ca="1">IF($S$1&lt;DATE(2025,9,1)," ",N440-N462)</f>
        <v>0</v>
      </c>
      <c r="O405" s="205">
        <f ca="1">IF($S$1&lt;DATE(2025,10,1)," ",O440-O462)</f>
        <v>0</v>
      </c>
      <c r="P405" s="205">
        <f ca="1">IF($S$1&lt;DATE(2025,11,1)," ",P440-P462)</f>
        <v>0</v>
      </c>
      <c r="Q405" s="205">
        <f ca="1">IF($S$1&lt;DATE(2025,12,1)," ",Q440-Q462)</f>
        <v>0</v>
      </c>
    </row>
    <row r="406" ht="24" customHeight="1" spans="1:17">
      <c r="A406" s="99" t="s">
        <v>345</v>
      </c>
      <c r="B406" s="99" t="s">
        <v>308</v>
      </c>
      <c r="C406" s="99" t="s">
        <v>309</v>
      </c>
      <c r="D406" s="48" t="s">
        <v>31</v>
      </c>
      <c r="E406" s="48" t="s">
        <v>83</v>
      </c>
      <c r="F406" s="205">
        <f ca="1">IF($S$1&lt;DATE(2025,1,1)," ",F442-F464)</f>
        <v>0</v>
      </c>
      <c r="G406" s="205">
        <f ca="1">IF($S$1&lt;DATE(2025,2,1)," ",G442-G464)</f>
        <v>0</v>
      </c>
      <c r="H406" s="205">
        <f ca="1">IF($S$1&lt;DATE(2025,3,1)," ",H442-H464)</f>
        <v>0</v>
      </c>
      <c r="I406" s="205">
        <f ca="1">IF($S$1&lt;DATE(2025,4,1)," ",I442-I464)</f>
        <v>0</v>
      </c>
      <c r="J406" s="205">
        <f ca="1">IF($S$1&lt;DATE(2025,5,1)," ",J442-J464)</f>
        <v>0</v>
      </c>
      <c r="K406" s="205">
        <f ca="1">IF($S$1&lt;DATE(2025,6,1)," ",K442-K464)</f>
        <v>0</v>
      </c>
      <c r="L406" s="205">
        <f ca="1">IF($S$1&lt;DATE(2025,7,1)," ",L442-L464)</f>
        <v>0</v>
      </c>
      <c r="M406" s="205">
        <f ca="1">IF($S$1&lt;DATE(2025,8,1)," ",M442-M464)</f>
        <v>0</v>
      </c>
      <c r="N406" s="205">
        <f ca="1">IF($S$1&lt;DATE(2025,9,1)," ",N442-N464)</f>
        <v>0</v>
      </c>
      <c r="O406" s="205">
        <f ca="1">IF($S$1&lt;DATE(2025,10,1)," ",O442-O464)</f>
        <v>0</v>
      </c>
      <c r="P406" s="205">
        <f ca="1">IF($S$1&lt;DATE(2025,11,1)," ",P442-P464)</f>
        <v>0</v>
      </c>
      <c r="Q406" s="205">
        <f ca="1">IF($S$1&lt;DATE(2025,12,1)," ",Q442-Q464)</f>
        <v>0</v>
      </c>
    </row>
    <row r="407" ht="24" customHeight="1" spans="1:17">
      <c r="A407" s="99" t="s">
        <v>345</v>
      </c>
      <c r="B407" s="99" t="s">
        <v>308</v>
      </c>
      <c r="C407" s="99" t="s">
        <v>309</v>
      </c>
      <c r="D407" s="48" t="s">
        <v>311</v>
      </c>
      <c r="E407" s="48" t="s">
        <v>90</v>
      </c>
      <c r="F407" s="112">
        <f ca="1" t="shared" ref="F407:Q407" si="308">IFERROR(F400/F399," ")</f>
        <v>0</v>
      </c>
      <c r="G407" s="112" t="str">
        <f ca="1" t="shared" si="308"/>
        <v> </v>
      </c>
      <c r="H407" s="112" t="str">
        <f ca="1" t="shared" si="308"/>
        <v> </v>
      </c>
      <c r="I407" s="112" t="str">
        <f ca="1" t="shared" si="308"/>
        <v> </v>
      </c>
      <c r="J407" s="112" t="str">
        <f ca="1" t="shared" si="308"/>
        <v> </v>
      </c>
      <c r="K407" s="112" t="str">
        <f ca="1" t="shared" si="308"/>
        <v> </v>
      </c>
      <c r="L407" s="112" t="str">
        <f ca="1" t="shared" si="308"/>
        <v> </v>
      </c>
      <c r="M407" s="112">
        <f ca="1" t="shared" si="308"/>
        <v>0.5</v>
      </c>
      <c r="N407" s="112">
        <f ca="1" t="shared" si="308"/>
        <v>1</v>
      </c>
      <c r="O407" s="112" t="str">
        <f ca="1" t="shared" si="308"/>
        <v> </v>
      </c>
      <c r="P407" s="112">
        <f ca="1" t="shared" si="308"/>
        <v>0</v>
      </c>
      <c r="Q407" s="112">
        <f ca="1" t="shared" si="308"/>
        <v>0.333333333333333</v>
      </c>
    </row>
    <row r="408" ht="24" customHeight="1" spans="1:17">
      <c r="A408" s="99" t="s">
        <v>345</v>
      </c>
      <c r="B408" s="99" t="s">
        <v>308</v>
      </c>
      <c r="C408" s="99" t="s">
        <v>309</v>
      </c>
      <c r="D408" s="48" t="s">
        <v>311</v>
      </c>
      <c r="E408" s="48" t="s">
        <v>82</v>
      </c>
      <c r="F408" s="112">
        <f ca="1" t="shared" ref="F408:Q408" si="309">IFERROR(F401/F399," ")</f>
        <v>1</v>
      </c>
      <c r="G408" s="112" t="str">
        <f ca="1" t="shared" si="309"/>
        <v> </v>
      </c>
      <c r="H408" s="112" t="str">
        <f ca="1" t="shared" si="309"/>
        <v> </v>
      </c>
      <c r="I408" s="112" t="str">
        <f ca="1" t="shared" si="309"/>
        <v> </v>
      </c>
      <c r="J408" s="112" t="str">
        <f ca="1" t="shared" si="309"/>
        <v> </v>
      </c>
      <c r="K408" s="112" t="str">
        <f ca="1" t="shared" si="309"/>
        <v> </v>
      </c>
      <c r="L408" s="112" t="str">
        <f ca="1" t="shared" si="309"/>
        <v> </v>
      </c>
      <c r="M408" s="112">
        <f ca="1" t="shared" si="309"/>
        <v>0</v>
      </c>
      <c r="N408" s="112">
        <f ca="1" t="shared" si="309"/>
        <v>0</v>
      </c>
      <c r="O408" s="112" t="str">
        <f ca="1" t="shared" si="309"/>
        <v> </v>
      </c>
      <c r="P408" s="112">
        <f ca="1" t="shared" si="309"/>
        <v>0.5</v>
      </c>
      <c r="Q408" s="112">
        <f ca="1" t="shared" si="309"/>
        <v>0.166666666666667</v>
      </c>
    </row>
    <row r="409" ht="24" customHeight="1" spans="1:17">
      <c r="A409" s="99" t="s">
        <v>345</v>
      </c>
      <c r="B409" s="99" t="s">
        <v>308</v>
      </c>
      <c r="C409" s="99" t="s">
        <v>309</v>
      </c>
      <c r="D409" s="48" t="s">
        <v>311</v>
      </c>
      <c r="E409" s="48" t="s">
        <v>86</v>
      </c>
      <c r="F409" s="112">
        <f ca="1" t="shared" ref="F409:Q409" si="310">IFERROR(F402/F399," ")</f>
        <v>0</v>
      </c>
      <c r="G409" s="112" t="str">
        <f ca="1" t="shared" si="310"/>
        <v> </v>
      </c>
      <c r="H409" s="112" t="str">
        <f ca="1" t="shared" si="310"/>
        <v> </v>
      </c>
      <c r="I409" s="112" t="str">
        <f ca="1" t="shared" si="310"/>
        <v> </v>
      </c>
      <c r="J409" s="112" t="str">
        <f ca="1" t="shared" si="310"/>
        <v> </v>
      </c>
      <c r="K409" s="112" t="str">
        <f ca="1" t="shared" si="310"/>
        <v> </v>
      </c>
      <c r="L409" s="112" t="str">
        <f ca="1" t="shared" si="310"/>
        <v> </v>
      </c>
      <c r="M409" s="112">
        <f ca="1" t="shared" si="310"/>
        <v>0</v>
      </c>
      <c r="N409" s="112">
        <f ca="1" t="shared" si="310"/>
        <v>0</v>
      </c>
      <c r="O409" s="112" t="str">
        <f ca="1" t="shared" si="310"/>
        <v> </v>
      </c>
      <c r="P409" s="112">
        <f ca="1" t="shared" si="310"/>
        <v>0</v>
      </c>
      <c r="Q409" s="112">
        <f ca="1" t="shared" si="310"/>
        <v>0.166666666666667</v>
      </c>
    </row>
    <row r="410" ht="24" customHeight="1" spans="1:17">
      <c r="A410" s="99" t="s">
        <v>345</v>
      </c>
      <c r="B410" s="99" t="s">
        <v>308</v>
      </c>
      <c r="C410" s="99" t="s">
        <v>309</v>
      </c>
      <c r="D410" s="48" t="s">
        <v>311</v>
      </c>
      <c r="E410" s="48" t="s">
        <v>97</v>
      </c>
      <c r="F410" s="112">
        <f ca="1" t="shared" ref="F410:Q410" si="311">IFERROR(F403/F399," ")</f>
        <v>0</v>
      </c>
      <c r="G410" s="112" t="str">
        <f ca="1" t="shared" si="311"/>
        <v> </v>
      </c>
      <c r="H410" s="112" t="str">
        <f ca="1" t="shared" si="311"/>
        <v> </v>
      </c>
      <c r="I410" s="112" t="str">
        <f ca="1" t="shared" si="311"/>
        <v> </v>
      </c>
      <c r="J410" s="112" t="str">
        <f ca="1" t="shared" si="311"/>
        <v> </v>
      </c>
      <c r="K410" s="112" t="str">
        <f ca="1" t="shared" si="311"/>
        <v> </v>
      </c>
      <c r="L410" s="112" t="str">
        <f ca="1" t="shared" si="311"/>
        <v> </v>
      </c>
      <c r="M410" s="112">
        <f ca="1" t="shared" si="311"/>
        <v>0.5</v>
      </c>
      <c r="N410" s="112">
        <f ca="1" t="shared" si="311"/>
        <v>0</v>
      </c>
      <c r="O410" s="112" t="str">
        <f ca="1" t="shared" si="311"/>
        <v> </v>
      </c>
      <c r="P410" s="112">
        <f ca="1" t="shared" si="311"/>
        <v>0.5</v>
      </c>
      <c r="Q410" s="112">
        <f ca="1" t="shared" si="311"/>
        <v>0.333333333333333</v>
      </c>
    </row>
    <row r="411" ht="24" customHeight="1" spans="1:17">
      <c r="A411" s="99" t="s">
        <v>345</v>
      </c>
      <c r="B411" s="99" t="s">
        <v>308</v>
      </c>
      <c r="C411" s="99" t="s">
        <v>309</v>
      </c>
      <c r="D411" s="48" t="s">
        <v>311</v>
      </c>
      <c r="E411" s="48" t="s">
        <v>87</v>
      </c>
      <c r="F411" s="112">
        <f ca="1" t="shared" ref="F411:Q411" si="312">IFERROR(F404/F399," ")</f>
        <v>0</v>
      </c>
      <c r="G411" s="112" t="str">
        <f ca="1" t="shared" si="312"/>
        <v> </v>
      </c>
      <c r="H411" s="112" t="str">
        <f ca="1" t="shared" si="312"/>
        <v> </v>
      </c>
      <c r="I411" s="112" t="str">
        <f ca="1" t="shared" si="312"/>
        <v> </v>
      </c>
      <c r="J411" s="112" t="str">
        <f ca="1" t="shared" si="312"/>
        <v> </v>
      </c>
      <c r="K411" s="112" t="str">
        <f ca="1" t="shared" si="312"/>
        <v> </v>
      </c>
      <c r="L411" s="112" t="str">
        <f ca="1" t="shared" si="312"/>
        <v> </v>
      </c>
      <c r="M411" s="112">
        <f ca="1" t="shared" si="312"/>
        <v>0</v>
      </c>
      <c r="N411" s="112">
        <f ca="1" t="shared" si="312"/>
        <v>0</v>
      </c>
      <c r="O411" s="112" t="str">
        <f ca="1" t="shared" si="312"/>
        <v> </v>
      </c>
      <c r="P411" s="112">
        <f ca="1" t="shared" si="312"/>
        <v>0</v>
      </c>
      <c r="Q411" s="112">
        <f ca="1" t="shared" si="312"/>
        <v>0</v>
      </c>
    </row>
    <row r="412" ht="24" customHeight="1" spans="1:17">
      <c r="A412" s="99" t="s">
        <v>345</v>
      </c>
      <c r="B412" s="99" t="s">
        <v>308</v>
      </c>
      <c r="C412" s="99" t="s">
        <v>309</v>
      </c>
      <c r="D412" s="48" t="s">
        <v>311</v>
      </c>
      <c r="E412" s="48" t="s">
        <v>149</v>
      </c>
      <c r="F412" s="112">
        <f ca="1" t="shared" ref="F412:Q412" si="313">IFERROR(F405/F399," ")</f>
        <v>0</v>
      </c>
      <c r="G412" s="112" t="str">
        <f ca="1" t="shared" si="313"/>
        <v> </v>
      </c>
      <c r="H412" s="112" t="str">
        <f ca="1" t="shared" si="313"/>
        <v> </v>
      </c>
      <c r="I412" s="112" t="str">
        <f ca="1" t="shared" si="313"/>
        <v> </v>
      </c>
      <c r="J412" s="112" t="str">
        <f ca="1" t="shared" si="313"/>
        <v> </v>
      </c>
      <c r="K412" s="112" t="str">
        <f ca="1" t="shared" si="313"/>
        <v> </v>
      </c>
      <c r="L412" s="112" t="str">
        <f ca="1" t="shared" si="313"/>
        <v> </v>
      </c>
      <c r="M412" s="112">
        <f ca="1" t="shared" si="313"/>
        <v>0</v>
      </c>
      <c r="N412" s="112">
        <f ca="1" t="shared" si="313"/>
        <v>0</v>
      </c>
      <c r="O412" s="112" t="str">
        <f ca="1" t="shared" si="313"/>
        <v> </v>
      </c>
      <c r="P412" s="112">
        <f ca="1" t="shared" si="313"/>
        <v>0</v>
      </c>
      <c r="Q412" s="112">
        <f ca="1" t="shared" si="313"/>
        <v>0</v>
      </c>
    </row>
    <row r="413" ht="24" customHeight="1" spans="1:17">
      <c r="A413" s="99" t="s">
        <v>345</v>
      </c>
      <c r="B413" s="99" t="s">
        <v>308</v>
      </c>
      <c r="C413" s="99" t="s">
        <v>309</v>
      </c>
      <c r="D413" s="48" t="s">
        <v>311</v>
      </c>
      <c r="E413" s="48" t="s">
        <v>83</v>
      </c>
      <c r="F413" s="112">
        <f ca="1" t="shared" ref="F413:Q413" si="314">IFERROR(F406/F399," ")</f>
        <v>0</v>
      </c>
      <c r="G413" s="112" t="str">
        <f ca="1" t="shared" si="314"/>
        <v> </v>
      </c>
      <c r="H413" s="112" t="str">
        <f ca="1" t="shared" si="314"/>
        <v> </v>
      </c>
      <c r="I413" s="112" t="str">
        <f ca="1" t="shared" si="314"/>
        <v> </v>
      </c>
      <c r="J413" s="112" t="str">
        <f ca="1" t="shared" si="314"/>
        <v> </v>
      </c>
      <c r="K413" s="112" t="str">
        <f ca="1" t="shared" si="314"/>
        <v> </v>
      </c>
      <c r="L413" s="112" t="str">
        <f ca="1" t="shared" si="314"/>
        <v> </v>
      </c>
      <c r="M413" s="112">
        <f ca="1" t="shared" si="314"/>
        <v>0</v>
      </c>
      <c r="N413" s="112">
        <f ca="1" t="shared" si="314"/>
        <v>0</v>
      </c>
      <c r="O413" s="112" t="str">
        <f ca="1" t="shared" si="314"/>
        <v> </v>
      </c>
      <c r="P413" s="112">
        <f ca="1" t="shared" si="314"/>
        <v>0</v>
      </c>
      <c r="Q413" s="112">
        <f ca="1" t="shared" si="314"/>
        <v>0</v>
      </c>
    </row>
    <row r="414" ht="24" customHeight="1" spans="1:17">
      <c r="A414" s="99" t="s">
        <v>345</v>
      </c>
      <c r="B414" s="99" t="s">
        <v>308</v>
      </c>
      <c r="C414" s="99" t="s">
        <v>309</v>
      </c>
      <c r="D414" s="47" t="s">
        <v>294</v>
      </c>
      <c r="E414" s="47" t="s">
        <v>93</v>
      </c>
      <c r="F414" s="206">
        <f ca="1" t="shared" ref="F414:F418" si="315">IF($S$1&lt;DATE(2025,1,1)," ",F443-F472)</f>
        <v>1</v>
      </c>
      <c r="G414" s="206">
        <f ca="1" t="shared" ref="G414:G418" si="316">IF($S$1&lt;DATE(2025,2,1)," ",G443-G472)</f>
        <v>0</v>
      </c>
      <c r="H414" s="206">
        <f ca="1" t="shared" ref="H414:H418" si="317">IF($S$1&lt;DATE(2025,3,1)," ",H443-H472)</f>
        <v>1</v>
      </c>
      <c r="I414" s="206">
        <f ca="1" t="shared" ref="I414:I418" si="318">IF($S$1&lt;DATE(2025,4,1)," ",I443-I472)</f>
        <v>1</v>
      </c>
      <c r="J414" s="206">
        <f ca="1" t="shared" ref="J414:J418" si="319">IF($S$1&lt;DATE(2025,5,1)," ",J443-J472)</f>
        <v>1</v>
      </c>
      <c r="K414" s="206">
        <f ca="1" t="shared" ref="K414:K418" si="320">IF($S$1&lt;DATE(2025,6,1)," ",K443-K472)</f>
        <v>1</v>
      </c>
      <c r="L414" s="206">
        <f ca="1" t="shared" ref="L414:L418" si="321">IF($S$1&lt;DATE(2025,7,1)," ",L443-L472)</f>
        <v>1</v>
      </c>
      <c r="M414" s="206">
        <f ca="1" t="shared" ref="M414:M418" si="322">IF($S$1&lt;DATE(2025,8,1)," ",M443-M472)</f>
        <v>2</v>
      </c>
      <c r="N414" s="206">
        <f ca="1" t="shared" ref="N414:N418" si="323">IF($S$1&lt;DATE(2025,9,1)," ",N443-N472)</f>
        <v>2</v>
      </c>
      <c r="O414" s="206">
        <f ca="1" t="shared" ref="O414:O418" si="324">IF($S$1&lt;DATE(2025,10,1)," ",O443-O472)</f>
        <v>2</v>
      </c>
      <c r="P414" s="206">
        <f ca="1" t="shared" ref="P414:P418" si="325">IF($S$1&lt;DATE(2025,11,1)," ",P443-P472)</f>
        <v>5</v>
      </c>
      <c r="Q414" s="206">
        <f ca="1" t="shared" ref="Q414:Q418" si="326">IF($S$1&lt;DATE(2025,12,1)," ",Q443-Q472)</f>
        <v>6</v>
      </c>
    </row>
    <row r="415" ht="24" customHeight="1" spans="1:17">
      <c r="A415" s="99" t="s">
        <v>345</v>
      </c>
      <c r="B415" s="99" t="s">
        <v>308</v>
      </c>
      <c r="C415" s="99" t="s">
        <v>309</v>
      </c>
      <c r="D415" s="47" t="s">
        <v>294</v>
      </c>
      <c r="E415" s="47" t="s">
        <v>85</v>
      </c>
      <c r="F415" s="206">
        <f ca="1" t="shared" si="315"/>
        <v>0</v>
      </c>
      <c r="G415" s="206">
        <f ca="1" t="shared" si="316"/>
        <v>0</v>
      </c>
      <c r="H415" s="206">
        <f ca="1" t="shared" si="317"/>
        <v>0</v>
      </c>
      <c r="I415" s="206">
        <f ca="1" t="shared" si="318"/>
        <v>0</v>
      </c>
      <c r="J415" s="206">
        <f ca="1" t="shared" si="319"/>
        <v>0</v>
      </c>
      <c r="K415" s="206">
        <f ca="1" t="shared" si="320"/>
        <v>0</v>
      </c>
      <c r="L415" s="206">
        <f ca="1" t="shared" si="321"/>
        <v>0</v>
      </c>
      <c r="M415" s="206">
        <f ca="1" t="shared" si="322"/>
        <v>1</v>
      </c>
      <c r="N415" s="206">
        <f ca="1" t="shared" si="323"/>
        <v>1</v>
      </c>
      <c r="O415" s="206">
        <f ca="1" t="shared" si="324"/>
        <v>0</v>
      </c>
      <c r="P415" s="206">
        <f ca="1" t="shared" si="325"/>
        <v>2</v>
      </c>
      <c r="Q415" s="206">
        <f ca="1" t="shared" si="326"/>
        <v>4</v>
      </c>
    </row>
    <row r="416" ht="24" customHeight="1" spans="1:17">
      <c r="A416" s="99" t="s">
        <v>345</v>
      </c>
      <c r="B416" s="99" t="s">
        <v>308</v>
      </c>
      <c r="C416" s="99" t="s">
        <v>309</v>
      </c>
      <c r="D416" s="47" t="s">
        <v>294</v>
      </c>
      <c r="E416" s="47" t="s">
        <v>81</v>
      </c>
      <c r="F416" s="206">
        <f ca="1" t="shared" si="315"/>
        <v>0</v>
      </c>
      <c r="G416" s="206">
        <f ca="1" t="shared" si="316"/>
        <v>0</v>
      </c>
      <c r="H416" s="206">
        <f ca="1" t="shared" si="317"/>
        <v>0</v>
      </c>
      <c r="I416" s="206">
        <f ca="1" t="shared" si="318"/>
        <v>0</v>
      </c>
      <c r="J416" s="206">
        <f ca="1" t="shared" si="319"/>
        <v>0</v>
      </c>
      <c r="K416" s="206">
        <f ca="1" t="shared" si="320"/>
        <v>0</v>
      </c>
      <c r="L416" s="206">
        <f ca="1" t="shared" si="321"/>
        <v>0</v>
      </c>
      <c r="M416" s="206">
        <f ca="1" t="shared" si="322"/>
        <v>0</v>
      </c>
      <c r="N416" s="206">
        <f ca="1" t="shared" si="323"/>
        <v>0</v>
      </c>
      <c r="O416" s="206">
        <f ca="1" t="shared" si="324"/>
        <v>0</v>
      </c>
      <c r="P416" s="206">
        <f ca="1" t="shared" si="325"/>
        <v>0</v>
      </c>
      <c r="Q416" s="206">
        <f ca="1" t="shared" si="326"/>
        <v>1</v>
      </c>
    </row>
    <row r="417" ht="24" customHeight="1" spans="1:17">
      <c r="A417" s="99" t="s">
        <v>345</v>
      </c>
      <c r="B417" s="99" t="s">
        <v>308</v>
      </c>
      <c r="C417" s="99" t="s">
        <v>309</v>
      </c>
      <c r="D417" s="47" t="s">
        <v>294</v>
      </c>
      <c r="E417" s="47" t="s">
        <v>96</v>
      </c>
      <c r="F417" s="206">
        <f ca="1" t="shared" si="315"/>
        <v>0</v>
      </c>
      <c r="G417" s="206">
        <f ca="1" t="shared" si="316"/>
        <v>0</v>
      </c>
      <c r="H417" s="206">
        <f ca="1" t="shared" si="317"/>
        <v>0</v>
      </c>
      <c r="I417" s="206">
        <f ca="1" t="shared" si="318"/>
        <v>0</v>
      </c>
      <c r="J417" s="206">
        <f ca="1" t="shared" si="319"/>
        <v>0</v>
      </c>
      <c r="K417" s="206">
        <f ca="1" t="shared" si="320"/>
        <v>0</v>
      </c>
      <c r="L417" s="206">
        <f ca="1" t="shared" si="321"/>
        <v>0</v>
      </c>
      <c r="M417" s="206">
        <f ca="1" t="shared" si="322"/>
        <v>0</v>
      </c>
      <c r="N417" s="206">
        <f ca="1" t="shared" si="323"/>
        <v>0</v>
      </c>
      <c r="O417" s="206">
        <f ca="1" t="shared" si="324"/>
        <v>0</v>
      </c>
      <c r="P417" s="206">
        <f ca="1" t="shared" si="325"/>
        <v>0</v>
      </c>
      <c r="Q417" s="206">
        <f ca="1" t="shared" si="326"/>
        <v>0</v>
      </c>
    </row>
    <row r="418" ht="24" customHeight="1" spans="1:17">
      <c r="A418" s="99" t="s">
        <v>345</v>
      </c>
      <c r="B418" s="99" t="s">
        <v>308</v>
      </c>
      <c r="C418" s="99" t="s">
        <v>309</v>
      </c>
      <c r="D418" s="47" t="s">
        <v>294</v>
      </c>
      <c r="E418" s="47" t="s">
        <v>160</v>
      </c>
      <c r="F418" s="206">
        <f ca="1" t="shared" si="315"/>
        <v>0</v>
      </c>
      <c r="G418" s="206">
        <f ca="1" t="shared" si="316"/>
        <v>0</v>
      </c>
      <c r="H418" s="206">
        <f ca="1" t="shared" si="317"/>
        <v>0</v>
      </c>
      <c r="I418" s="206">
        <f ca="1" t="shared" si="318"/>
        <v>0</v>
      </c>
      <c r="J418" s="206">
        <f ca="1" t="shared" si="319"/>
        <v>0</v>
      </c>
      <c r="K418" s="206">
        <f ca="1" t="shared" si="320"/>
        <v>0</v>
      </c>
      <c r="L418" s="206">
        <f ca="1" t="shared" si="321"/>
        <v>0</v>
      </c>
      <c r="M418" s="206">
        <f ca="1" t="shared" si="322"/>
        <v>0</v>
      </c>
      <c r="N418" s="206">
        <f ca="1" t="shared" si="323"/>
        <v>0</v>
      </c>
      <c r="O418" s="206">
        <f ca="1" t="shared" si="324"/>
        <v>0</v>
      </c>
      <c r="P418" s="206">
        <f ca="1" t="shared" si="325"/>
        <v>0</v>
      </c>
      <c r="Q418" s="206">
        <f ca="1" t="shared" si="326"/>
        <v>0</v>
      </c>
    </row>
    <row r="419" ht="24" customHeight="1" spans="1:17">
      <c r="A419" s="99" t="s">
        <v>345</v>
      </c>
      <c r="B419" s="99" t="s">
        <v>308</v>
      </c>
      <c r="C419" s="99" t="s">
        <v>309</v>
      </c>
      <c r="D419" s="100" t="s">
        <v>292</v>
      </c>
      <c r="E419" s="100" t="s">
        <v>312</v>
      </c>
      <c r="F419" s="204">
        <f ca="1">IF($S$1&lt;DATE(2025,1,1)," ",SUM(F420:F422))</f>
        <v>1</v>
      </c>
      <c r="G419" s="204">
        <f ca="1">IF($S$1&lt;DATE(2025,2,1)," ",SUM(G420:G422))</f>
        <v>0</v>
      </c>
      <c r="H419" s="204">
        <f ca="1">IF($S$1&lt;DATE(2025,3,1)," ",SUM(H420:H422))</f>
        <v>0</v>
      </c>
      <c r="I419" s="204">
        <f ca="1">IF($S$1&lt;DATE(2025,4,1)," ",SUM(I420:I422))</f>
        <v>0</v>
      </c>
      <c r="J419" s="204">
        <f ca="1">IF($S$1&lt;DATE(2025,5,1)," ",SUM(J420:J422))</f>
        <v>0</v>
      </c>
      <c r="K419" s="204">
        <f ca="1">IF($S$1&lt;DATE(2025,6,1)," ",SUM(K420:K422))</f>
        <v>0</v>
      </c>
      <c r="L419" s="204">
        <f ca="1">IF($S$1&lt;DATE(2025,7,1)," ",SUM(L420:L422))</f>
        <v>0</v>
      </c>
      <c r="M419" s="204">
        <f ca="1">IF($S$1&lt;DATE(2025,8,1)," ",SUM(M420:M422))</f>
        <v>2</v>
      </c>
      <c r="N419" s="204">
        <f ca="1">IF($S$1&lt;DATE(2025,9,1)," ",SUM(N420:N422))</f>
        <v>2</v>
      </c>
      <c r="O419" s="204">
        <f ca="1">IF($S$1&lt;DATE(2025,10,1)," ",SUM(O420:O422))</f>
        <v>0</v>
      </c>
      <c r="P419" s="204">
        <f ca="1">IF($S$1&lt;DATE(2025,11,1)," ",SUM(P420:P422))</f>
        <v>1</v>
      </c>
      <c r="Q419" s="204">
        <f ca="1">IF($S$1&lt;DATE(2025,12,1)," ",SUM(Q420:Q422))</f>
        <v>4</v>
      </c>
    </row>
    <row r="420" ht="24" customHeight="1" spans="1:17">
      <c r="A420" s="99" t="s">
        <v>345</v>
      </c>
      <c r="B420" s="99" t="s">
        <v>308</v>
      </c>
      <c r="C420" s="99" t="s">
        <v>309</v>
      </c>
      <c r="D420" s="48" t="s">
        <v>296</v>
      </c>
      <c r="E420" s="48" t="s">
        <v>90</v>
      </c>
      <c r="F420" s="205">
        <f ca="1" t="shared" ref="F420:F422" si="327">IF($S$1&lt;DATE(2025,1,1)," ",F449-F478)</f>
        <v>0</v>
      </c>
      <c r="G420" s="205">
        <f ca="1" t="shared" ref="G420:G422" si="328">IF($S$1&lt;DATE(2025,2,1)," ",G449-G478)</f>
        <v>0</v>
      </c>
      <c r="H420" s="205">
        <f ca="1" t="shared" ref="H420:H422" si="329">IF($S$1&lt;DATE(2025,3,1)," ",H449-H478)</f>
        <v>0</v>
      </c>
      <c r="I420" s="205">
        <f ca="1" t="shared" ref="I420:I422" si="330">IF($S$1&lt;DATE(2025,4,1)," ",I449-I478)</f>
        <v>0</v>
      </c>
      <c r="J420" s="205">
        <f ca="1" t="shared" ref="J420:J422" si="331">IF($S$1&lt;DATE(2025,5,1)," ",J449-J478)</f>
        <v>0</v>
      </c>
      <c r="K420" s="205">
        <f ca="1" t="shared" ref="K420:K422" si="332">IF($S$1&lt;DATE(2025,6,1)," ",K449-K478)</f>
        <v>0</v>
      </c>
      <c r="L420" s="205">
        <f ca="1" t="shared" ref="L420:L422" si="333">IF($S$1&lt;DATE(2025,7,1)," ",L449-L478)</f>
        <v>0</v>
      </c>
      <c r="M420" s="205">
        <f ca="1" t="shared" ref="M420:M422" si="334">IF($S$1&lt;DATE(2025,8,1)," ",M449-M478)</f>
        <v>1</v>
      </c>
      <c r="N420" s="205">
        <f ca="1" t="shared" ref="N420:N422" si="335">IF($S$1&lt;DATE(2025,9,1)," ",N449-N478)</f>
        <v>2</v>
      </c>
      <c r="O420" s="205">
        <f ca="1" t="shared" ref="O420:O422" si="336">IF($S$1&lt;DATE(2025,10,1)," ",O449-O478)</f>
        <v>0</v>
      </c>
      <c r="P420" s="205">
        <f ca="1" t="shared" ref="P420:P422" si="337">IF($S$1&lt;DATE(2025,11,1)," ",P449-P478)</f>
        <v>0</v>
      </c>
      <c r="Q420" s="205">
        <f ca="1" t="shared" ref="Q420:Q422" si="338">IF($S$1&lt;DATE(2025,12,1)," ",Q449-Q478)</f>
        <v>2</v>
      </c>
    </row>
    <row r="421" ht="24" customHeight="1" spans="1:17">
      <c r="A421" s="99" t="s">
        <v>345</v>
      </c>
      <c r="B421" s="99" t="s">
        <v>308</v>
      </c>
      <c r="C421" s="99" t="s">
        <v>309</v>
      </c>
      <c r="D421" s="48" t="s">
        <v>296</v>
      </c>
      <c r="E421" s="48" t="s">
        <v>82</v>
      </c>
      <c r="F421" s="205">
        <f ca="1" t="shared" si="327"/>
        <v>1</v>
      </c>
      <c r="G421" s="205">
        <f ca="1" t="shared" si="328"/>
        <v>0</v>
      </c>
      <c r="H421" s="205">
        <f ca="1" t="shared" si="329"/>
        <v>0</v>
      </c>
      <c r="I421" s="205">
        <f ca="1" t="shared" si="330"/>
        <v>0</v>
      </c>
      <c r="J421" s="205">
        <f ca="1" t="shared" si="331"/>
        <v>0</v>
      </c>
      <c r="K421" s="205">
        <f ca="1" t="shared" si="332"/>
        <v>0</v>
      </c>
      <c r="L421" s="205">
        <f ca="1" t="shared" si="333"/>
        <v>0</v>
      </c>
      <c r="M421" s="205">
        <f ca="1" t="shared" si="334"/>
        <v>1</v>
      </c>
      <c r="N421" s="205">
        <f ca="1" t="shared" si="335"/>
        <v>0</v>
      </c>
      <c r="O421" s="205">
        <f ca="1" t="shared" si="336"/>
        <v>0</v>
      </c>
      <c r="P421" s="205">
        <f ca="1" t="shared" si="337"/>
        <v>1</v>
      </c>
      <c r="Q421" s="205">
        <f ca="1" t="shared" si="338"/>
        <v>1</v>
      </c>
    </row>
    <row r="422" ht="24" customHeight="1" spans="1:17">
      <c r="A422" s="99" t="s">
        <v>345</v>
      </c>
      <c r="B422" s="99" t="s">
        <v>308</v>
      </c>
      <c r="C422" s="99" t="s">
        <v>309</v>
      </c>
      <c r="D422" s="48" t="s">
        <v>296</v>
      </c>
      <c r="E422" s="48" t="s">
        <v>86</v>
      </c>
      <c r="F422" s="205">
        <f ca="1" t="shared" si="327"/>
        <v>0</v>
      </c>
      <c r="G422" s="205">
        <f ca="1" t="shared" si="328"/>
        <v>0</v>
      </c>
      <c r="H422" s="205">
        <f ca="1" t="shared" si="329"/>
        <v>0</v>
      </c>
      <c r="I422" s="205">
        <f ca="1" t="shared" si="330"/>
        <v>0</v>
      </c>
      <c r="J422" s="205">
        <f ca="1" t="shared" si="331"/>
        <v>0</v>
      </c>
      <c r="K422" s="205">
        <f ca="1" t="shared" si="332"/>
        <v>0</v>
      </c>
      <c r="L422" s="205">
        <f ca="1" t="shared" si="333"/>
        <v>0</v>
      </c>
      <c r="M422" s="205">
        <f ca="1" t="shared" si="334"/>
        <v>0</v>
      </c>
      <c r="N422" s="205">
        <f ca="1" t="shared" si="335"/>
        <v>0</v>
      </c>
      <c r="O422" s="205">
        <f ca="1" t="shared" si="336"/>
        <v>0</v>
      </c>
      <c r="P422" s="205">
        <f ca="1" t="shared" si="337"/>
        <v>0</v>
      </c>
      <c r="Q422" s="205">
        <f ca="1" t="shared" si="338"/>
        <v>1</v>
      </c>
    </row>
    <row r="423" ht="24" customHeight="1" spans="1:17">
      <c r="A423" s="99" t="s">
        <v>345</v>
      </c>
      <c r="B423" s="99" t="s">
        <v>308</v>
      </c>
      <c r="C423" s="99" t="s">
        <v>309</v>
      </c>
      <c r="D423" s="48" t="s">
        <v>313</v>
      </c>
      <c r="E423" s="48" t="s">
        <v>90</v>
      </c>
      <c r="F423" s="112">
        <f ca="1" t="shared" ref="F423:Q423" si="339">IFERROR(F420/F419," ")</f>
        <v>0</v>
      </c>
      <c r="G423" s="112" t="str">
        <f ca="1" t="shared" si="339"/>
        <v> </v>
      </c>
      <c r="H423" s="112" t="str">
        <f ca="1" t="shared" si="339"/>
        <v> </v>
      </c>
      <c r="I423" s="112" t="str">
        <f ca="1" t="shared" si="339"/>
        <v> </v>
      </c>
      <c r="J423" s="112" t="str">
        <f ca="1" t="shared" si="339"/>
        <v> </v>
      </c>
      <c r="K423" s="112" t="str">
        <f ca="1" t="shared" si="339"/>
        <v> </v>
      </c>
      <c r="L423" s="112" t="str">
        <f ca="1" t="shared" si="339"/>
        <v> </v>
      </c>
      <c r="M423" s="112">
        <f ca="1" t="shared" si="339"/>
        <v>0.5</v>
      </c>
      <c r="N423" s="112">
        <f ca="1" t="shared" si="339"/>
        <v>1</v>
      </c>
      <c r="O423" s="112" t="str">
        <f ca="1" t="shared" si="339"/>
        <v> </v>
      </c>
      <c r="P423" s="112">
        <f ca="1" t="shared" si="339"/>
        <v>0</v>
      </c>
      <c r="Q423" s="112">
        <f ca="1" t="shared" si="339"/>
        <v>0.5</v>
      </c>
    </row>
    <row r="424" ht="24" customHeight="1" spans="1:17">
      <c r="A424" s="99" t="s">
        <v>345</v>
      </c>
      <c r="B424" s="99" t="s">
        <v>308</v>
      </c>
      <c r="C424" s="99" t="s">
        <v>309</v>
      </c>
      <c r="D424" s="48" t="s">
        <v>313</v>
      </c>
      <c r="E424" s="48" t="s">
        <v>82</v>
      </c>
      <c r="F424" s="112">
        <f ca="1" t="shared" ref="F424:Q424" si="340">IFERROR(F421/F419," ")</f>
        <v>1</v>
      </c>
      <c r="G424" s="112" t="str">
        <f ca="1" t="shared" si="340"/>
        <v> </v>
      </c>
      <c r="H424" s="112" t="str">
        <f ca="1" t="shared" si="340"/>
        <v> </v>
      </c>
      <c r="I424" s="112" t="str">
        <f ca="1" t="shared" si="340"/>
        <v> </v>
      </c>
      <c r="J424" s="112" t="str">
        <f ca="1" t="shared" si="340"/>
        <v> </v>
      </c>
      <c r="K424" s="112" t="str">
        <f ca="1" t="shared" si="340"/>
        <v> </v>
      </c>
      <c r="L424" s="112" t="str">
        <f ca="1" t="shared" si="340"/>
        <v> </v>
      </c>
      <c r="M424" s="112">
        <f ca="1" t="shared" si="340"/>
        <v>0.5</v>
      </c>
      <c r="N424" s="112">
        <f ca="1" t="shared" si="340"/>
        <v>0</v>
      </c>
      <c r="O424" s="112" t="str">
        <f ca="1" t="shared" si="340"/>
        <v> </v>
      </c>
      <c r="P424" s="112">
        <f ca="1" t="shared" si="340"/>
        <v>1</v>
      </c>
      <c r="Q424" s="112">
        <f ca="1" t="shared" si="340"/>
        <v>0.25</v>
      </c>
    </row>
    <row r="425" ht="24" customHeight="1" spans="1:17">
      <c r="A425" s="99" t="s">
        <v>345</v>
      </c>
      <c r="B425" s="99" t="s">
        <v>308</v>
      </c>
      <c r="C425" s="99" t="s">
        <v>309</v>
      </c>
      <c r="D425" s="48" t="s">
        <v>313</v>
      </c>
      <c r="E425" s="48" t="s">
        <v>86</v>
      </c>
      <c r="F425" s="112">
        <f ca="1" t="shared" ref="F425:Q425" si="341">IFERROR(F422/F419," ")</f>
        <v>0</v>
      </c>
      <c r="G425" s="112" t="str">
        <f ca="1" t="shared" si="341"/>
        <v> </v>
      </c>
      <c r="H425" s="112" t="str">
        <f ca="1" t="shared" si="341"/>
        <v> </v>
      </c>
      <c r="I425" s="112" t="str">
        <f ca="1" t="shared" si="341"/>
        <v> </v>
      </c>
      <c r="J425" s="112" t="str">
        <f ca="1" t="shared" si="341"/>
        <v> </v>
      </c>
      <c r="K425" s="112" t="str">
        <f ca="1" t="shared" si="341"/>
        <v> </v>
      </c>
      <c r="L425" s="112" t="str">
        <f ca="1" t="shared" si="341"/>
        <v> </v>
      </c>
      <c r="M425" s="112">
        <f ca="1" t="shared" si="341"/>
        <v>0</v>
      </c>
      <c r="N425" s="112">
        <f ca="1" t="shared" si="341"/>
        <v>0</v>
      </c>
      <c r="O425" s="112" t="str">
        <f ca="1" t="shared" si="341"/>
        <v> </v>
      </c>
      <c r="P425" s="112">
        <f ca="1" t="shared" si="341"/>
        <v>0</v>
      </c>
      <c r="Q425" s="112">
        <f ca="1" t="shared" si="341"/>
        <v>0.25</v>
      </c>
    </row>
    <row r="426" ht="24" customHeight="1" spans="1:17">
      <c r="A426" s="99" t="s">
        <v>345</v>
      </c>
      <c r="B426" s="99" t="s">
        <v>308</v>
      </c>
      <c r="C426" s="99" t="s">
        <v>309</v>
      </c>
      <c r="D426" s="100" t="s">
        <v>292</v>
      </c>
      <c r="E426" s="100" t="s">
        <v>314</v>
      </c>
      <c r="F426" s="204">
        <f ca="1">IF($S$1&lt;DATE(2025,1,1)," ",SUM(F427:F430))</f>
        <v>1</v>
      </c>
      <c r="G426" s="204">
        <f ca="1">IF($S$1&lt;DATE(2025,2,1)," ",SUM(G427:G430))</f>
        <v>0</v>
      </c>
      <c r="H426" s="204">
        <f ca="1">IF($S$1&lt;DATE(2025,3,1)," ",SUM(H427:H430))</f>
        <v>0</v>
      </c>
      <c r="I426" s="204">
        <f ca="1">IF($S$1&lt;DATE(2025,4,1)," ",SUM(I427:I430))</f>
        <v>0</v>
      </c>
      <c r="J426" s="204">
        <f ca="1">IF($S$1&lt;DATE(2025,5,1)," ",SUM(J427:J430))</f>
        <v>0</v>
      </c>
      <c r="K426" s="204">
        <f ca="1">IF($S$1&lt;DATE(2025,6,1)," ",SUM(K427:K430))</f>
        <v>0</v>
      </c>
      <c r="L426" s="204">
        <f ca="1">IF($S$1&lt;DATE(2025,7,1)," ",SUM(L427:L430))</f>
        <v>0</v>
      </c>
      <c r="M426" s="204">
        <f ca="1">IF($S$1&lt;DATE(2025,8,1)," ",SUM(M427:M430))</f>
        <v>2</v>
      </c>
      <c r="N426" s="204">
        <f ca="1">IF($S$1&lt;DATE(2025,9,1)," ",SUM(N427:N430))</f>
        <v>1</v>
      </c>
      <c r="O426" s="204">
        <f ca="1">IF($S$1&lt;DATE(2025,10,1)," ",SUM(O427:O430))</f>
        <v>0</v>
      </c>
      <c r="P426" s="204">
        <f ca="1">IF($S$1&lt;DATE(2025,11,1)," ",SUM(P427:P430))</f>
        <v>2</v>
      </c>
      <c r="Q426" s="204">
        <f ca="1">IF($S$1&lt;DATE(2025,12,1)," ",SUM(Q427:Q430))</f>
        <v>5</v>
      </c>
    </row>
    <row r="427" ht="24" customHeight="1" spans="1:17">
      <c r="A427" s="99" t="s">
        <v>345</v>
      </c>
      <c r="B427" s="99" t="s">
        <v>308</v>
      </c>
      <c r="C427" s="99" t="s">
        <v>309</v>
      </c>
      <c r="D427" s="48" t="s">
        <v>298</v>
      </c>
      <c r="E427" s="48" t="s">
        <v>97</v>
      </c>
      <c r="F427" s="205">
        <f ca="1" t="shared" ref="F427:F430" si="342">IF($S$1&lt;DATE(2025,1,1)," ",F453-F485)</f>
        <v>0</v>
      </c>
      <c r="G427" s="205">
        <f ca="1" t="shared" ref="G427:G430" si="343">IF($S$1&lt;DATE(2025,2,1)," ",G453-G485)</f>
        <v>0</v>
      </c>
      <c r="H427" s="205">
        <f ca="1" t="shared" ref="H427:H430" si="344">IF($S$1&lt;DATE(2025,3,1)," ",H453-H485)</f>
        <v>0</v>
      </c>
      <c r="I427" s="205">
        <f ca="1" t="shared" ref="I427:I430" si="345">IF($S$1&lt;DATE(2025,4,1)," ",I453-I485)</f>
        <v>0</v>
      </c>
      <c r="J427" s="205">
        <f ca="1" t="shared" ref="J427:J430" si="346">IF($S$1&lt;DATE(2025,5,1)," ",J453-J485)</f>
        <v>0</v>
      </c>
      <c r="K427" s="205">
        <f ca="1" t="shared" ref="K427:K430" si="347">IF($S$1&lt;DATE(2025,6,1)," ",K453-K485)</f>
        <v>0</v>
      </c>
      <c r="L427" s="205">
        <f ca="1" t="shared" ref="L427:L430" si="348">IF($S$1&lt;DATE(2025,7,1)," ",L453-L485)</f>
        <v>0</v>
      </c>
      <c r="M427" s="205">
        <f ca="1" t="shared" ref="M427:M430" si="349">IF($S$1&lt;DATE(2025,8,1)," ",M453-M485)</f>
        <v>1</v>
      </c>
      <c r="N427" s="205">
        <f ca="1" t="shared" ref="N427:N430" si="350">IF($S$1&lt;DATE(2025,9,1)," ",N453-N485)</f>
        <v>0</v>
      </c>
      <c r="O427" s="205">
        <f ca="1" t="shared" ref="O427:O430" si="351">IF($S$1&lt;DATE(2025,10,1)," ",O453-O485)</f>
        <v>0</v>
      </c>
      <c r="P427" s="205">
        <f ca="1" t="shared" ref="P427:P430" si="352">IF($S$1&lt;DATE(2025,11,1)," ",P453-P485)</f>
        <v>2</v>
      </c>
      <c r="Q427" s="205">
        <f ca="1" t="shared" ref="Q427:Q430" si="353">IF($S$1&lt;DATE(2025,12,1)," ",Q453-Q485)</f>
        <v>4</v>
      </c>
    </row>
    <row r="428" ht="24" customHeight="1" spans="1:17">
      <c r="A428" s="99" t="s">
        <v>345</v>
      </c>
      <c r="B428" s="99" t="s">
        <v>308</v>
      </c>
      <c r="C428" s="99" t="s">
        <v>309</v>
      </c>
      <c r="D428" s="48" t="s">
        <v>298</v>
      </c>
      <c r="E428" s="48" t="s">
        <v>87</v>
      </c>
      <c r="F428" s="205">
        <f ca="1" t="shared" si="342"/>
        <v>0</v>
      </c>
      <c r="G428" s="205">
        <f ca="1" t="shared" si="343"/>
        <v>0</v>
      </c>
      <c r="H428" s="205">
        <f ca="1" t="shared" si="344"/>
        <v>0</v>
      </c>
      <c r="I428" s="205">
        <f ca="1" t="shared" si="345"/>
        <v>0</v>
      </c>
      <c r="J428" s="205">
        <f ca="1" t="shared" si="346"/>
        <v>0</v>
      </c>
      <c r="K428" s="205">
        <f ca="1" t="shared" si="347"/>
        <v>0</v>
      </c>
      <c r="L428" s="205">
        <f ca="1" t="shared" si="348"/>
        <v>0</v>
      </c>
      <c r="M428" s="205">
        <f ca="1" t="shared" si="349"/>
        <v>0</v>
      </c>
      <c r="N428" s="205">
        <f ca="1" t="shared" si="350"/>
        <v>0</v>
      </c>
      <c r="O428" s="205">
        <f ca="1" t="shared" si="351"/>
        <v>0</v>
      </c>
      <c r="P428" s="205">
        <f ca="1" t="shared" si="352"/>
        <v>0</v>
      </c>
      <c r="Q428" s="205">
        <f ca="1" t="shared" si="353"/>
        <v>1</v>
      </c>
    </row>
    <row r="429" ht="24" customHeight="1" spans="1:17">
      <c r="A429" s="99" t="s">
        <v>345</v>
      </c>
      <c r="B429" s="99" t="s">
        <v>308</v>
      </c>
      <c r="C429" s="99" t="s">
        <v>309</v>
      </c>
      <c r="D429" s="48" t="s">
        <v>298</v>
      </c>
      <c r="E429" s="48" t="s">
        <v>149</v>
      </c>
      <c r="F429" s="205">
        <f ca="1" t="shared" si="342"/>
        <v>0</v>
      </c>
      <c r="G429" s="205">
        <f ca="1" t="shared" si="343"/>
        <v>0</v>
      </c>
      <c r="H429" s="205">
        <f ca="1" t="shared" si="344"/>
        <v>0</v>
      </c>
      <c r="I429" s="205">
        <f ca="1" t="shared" si="345"/>
        <v>0</v>
      </c>
      <c r="J429" s="205">
        <f ca="1" t="shared" si="346"/>
        <v>0</v>
      </c>
      <c r="K429" s="205">
        <f ca="1" t="shared" si="347"/>
        <v>0</v>
      </c>
      <c r="L429" s="205">
        <f ca="1" t="shared" si="348"/>
        <v>0</v>
      </c>
      <c r="M429" s="205">
        <f ca="1" t="shared" si="349"/>
        <v>0</v>
      </c>
      <c r="N429" s="205">
        <f ca="1" t="shared" si="350"/>
        <v>0</v>
      </c>
      <c r="O429" s="205">
        <f ca="1" t="shared" si="351"/>
        <v>0</v>
      </c>
      <c r="P429" s="205">
        <f ca="1" t="shared" si="352"/>
        <v>0</v>
      </c>
      <c r="Q429" s="205">
        <f ca="1" t="shared" si="353"/>
        <v>0</v>
      </c>
    </row>
    <row r="430" ht="24" customHeight="1" spans="1:17">
      <c r="A430" s="99" t="s">
        <v>345</v>
      </c>
      <c r="B430" s="99" t="s">
        <v>308</v>
      </c>
      <c r="C430" s="99" t="s">
        <v>309</v>
      </c>
      <c r="D430" s="48" t="s">
        <v>298</v>
      </c>
      <c r="E430" s="48" t="s">
        <v>83</v>
      </c>
      <c r="F430" s="205">
        <f ca="1" t="shared" si="342"/>
        <v>1</v>
      </c>
      <c r="G430" s="205">
        <f ca="1" t="shared" si="343"/>
        <v>0</v>
      </c>
      <c r="H430" s="205">
        <f ca="1" t="shared" si="344"/>
        <v>0</v>
      </c>
      <c r="I430" s="205">
        <f ca="1" t="shared" si="345"/>
        <v>0</v>
      </c>
      <c r="J430" s="205">
        <f ca="1" t="shared" si="346"/>
        <v>0</v>
      </c>
      <c r="K430" s="205">
        <f ca="1" t="shared" si="347"/>
        <v>0</v>
      </c>
      <c r="L430" s="205">
        <f ca="1" t="shared" si="348"/>
        <v>0</v>
      </c>
      <c r="M430" s="205">
        <f ca="1" t="shared" si="349"/>
        <v>1</v>
      </c>
      <c r="N430" s="205">
        <f ca="1" t="shared" si="350"/>
        <v>1</v>
      </c>
      <c r="O430" s="205">
        <f ca="1" t="shared" si="351"/>
        <v>0</v>
      </c>
      <c r="P430" s="205">
        <f ca="1" t="shared" si="352"/>
        <v>0</v>
      </c>
      <c r="Q430" s="205">
        <f ca="1" t="shared" si="353"/>
        <v>0</v>
      </c>
    </row>
    <row r="431" ht="24" customHeight="1" spans="1:17">
      <c r="A431" s="99" t="s">
        <v>345</v>
      </c>
      <c r="B431" s="99" t="s">
        <v>308</v>
      </c>
      <c r="C431" s="99" t="s">
        <v>309</v>
      </c>
      <c r="D431" s="48" t="s">
        <v>315</v>
      </c>
      <c r="E431" s="48" t="s">
        <v>97</v>
      </c>
      <c r="F431" s="112">
        <f ca="1" t="shared" ref="F431:F434" si="354">IFERROR(IF($S$1&lt;DATE(2025,1,1)," ",F427/F$426),"")</f>
        <v>0</v>
      </c>
      <c r="G431" s="112" t="str">
        <f ca="1" t="shared" ref="G431:G434" si="355">IFERROR(IF($S$1&lt;DATE(2025,2,1)," ",G427/G$426),"")</f>
        <v/>
      </c>
      <c r="H431" s="112" t="str">
        <f ca="1" t="shared" ref="H431:H434" si="356">IFERROR(IF($S$1&lt;DATE(2025,3,1)," ",H427/H$426),"")</f>
        <v/>
      </c>
      <c r="I431" s="112" t="str">
        <f ca="1" t="shared" ref="I431:I434" si="357">IFERROR(IF($S$1&lt;DATE(2025,4,1)," ",I427/I$426),"")</f>
        <v/>
      </c>
      <c r="J431" s="112" t="str">
        <f ca="1" t="shared" ref="J431:J434" si="358">IFERROR(IF($S$1&lt;DATE(2025,5,1)," ",J427/J$426),"")</f>
        <v/>
      </c>
      <c r="K431" s="112" t="str">
        <f ca="1" t="shared" ref="K431:M431" si="359">IFERROR(IF($S$1&lt;DATE(2025,6,1)," ",K427/K$426),"")</f>
        <v/>
      </c>
      <c r="L431" s="112" t="str">
        <f ca="1" t="shared" si="359"/>
        <v/>
      </c>
      <c r="M431" s="112">
        <f ca="1" t="shared" si="359"/>
        <v>0.5</v>
      </c>
      <c r="N431" s="112">
        <f ca="1">IF($S$1&lt;DATE(2025,9,1)," ",N427/N426)</f>
        <v>0</v>
      </c>
      <c r="O431" s="112" t="str">
        <f ca="1" t="shared" ref="O431:O434" si="360">IFERROR(IF($S$1&lt;DATE(2025,10,1)," ",O427/O$426),"")</f>
        <v/>
      </c>
      <c r="P431" s="112">
        <f ca="1" t="shared" ref="P431:P434" si="361">IFERROR(IF($S$1&lt;DATE(2025,11,1)," ",P427/P$426),"")</f>
        <v>1</v>
      </c>
      <c r="Q431" s="112">
        <f ca="1">IF($S$1&lt;DATE(2025,12,1)," ",Q427/Q426)</f>
        <v>0.8</v>
      </c>
    </row>
    <row r="432" ht="24" customHeight="1" spans="1:17">
      <c r="A432" s="99" t="s">
        <v>345</v>
      </c>
      <c r="B432" s="99" t="s">
        <v>308</v>
      </c>
      <c r="C432" s="99" t="s">
        <v>309</v>
      </c>
      <c r="D432" s="48" t="s">
        <v>315</v>
      </c>
      <c r="E432" s="48" t="s">
        <v>87</v>
      </c>
      <c r="F432" s="112">
        <f ca="1" t="shared" si="354"/>
        <v>0</v>
      </c>
      <c r="G432" s="112" t="str">
        <f ca="1" t="shared" si="355"/>
        <v/>
      </c>
      <c r="H432" s="112" t="str">
        <f ca="1" t="shared" si="356"/>
        <v/>
      </c>
      <c r="I432" s="112" t="str">
        <f ca="1" t="shared" si="357"/>
        <v/>
      </c>
      <c r="J432" s="112" t="str">
        <f ca="1" t="shared" si="358"/>
        <v/>
      </c>
      <c r="K432" s="112" t="str">
        <f ca="1" t="shared" ref="K432:M432" si="362">IFERROR(IF($S$1&lt;DATE(2025,6,1)," ",K428/K$426),"")</f>
        <v/>
      </c>
      <c r="L432" s="112" t="str">
        <f ca="1" t="shared" si="362"/>
        <v/>
      </c>
      <c r="M432" s="112">
        <f ca="1" t="shared" si="362"/>
        <v>0</v>
      </c>
      <c r="N432" s="112">
        <f ca="1">IF($S$1&lt;DATE(2025,9,1)," ",N428/N426)</f>
        <v>0</v>
      </c>
      <c r="O432" s="112" t="str">
        <f ca="1" t="shared" si="360"/>
        <v/>
      </c>
      <c r="P432" s="112">
        <f ca="1" t="shared" si="361"/>
        <v>0</v>
      </c>
      <c r="Q432" s="112">
        <f ca="1">IF($S$1&lt;DATE(2025,12,1)," ",Q428/Q426)</f>
        <v>0.2</v>
      </c>
    </row>
    <row r="433" ht="24" customHeight="1" spans="1:17">
      <c r="A433" s="99" t="s">
        <v>345</v>
      </c>
      <c r="B433" s="99" t="s">
        <v>308</v>
      </c>
      <c r="C433" s="99" t="s">
        <v>309</v>
      </c>
      <c r="D433" s="48" t="s">
        <v>315</v>
      </c>
      <c r="E433" s="48" t="s">
        <v>149</v>
      </c>
      <c r="F433" s="112">
        <f ca="1" t="shared" si="354"/>
        <v>0</v>
      </c>
      <c r="G433" s="112" t="str">
        <f ca="1" t="shared" si="355"/>
        <v/>
      </c>
      <c r="H433" s="112" t="str">
        <f ca="1" t="shared" si="356"/>
        <v/>
      </c>
      <c r="I433" s="112" t="str">
        <f ca="1" t="shared" si="357"/>
        <v/>
      </c>
      <c r="J433" s="112" t="str">
        <f ca="1" t="shared" si="358"/>
        <v/>
      </c>
      <c r="K433" s="112" t="str">
        <f ca="1" t="shared" ref="K433:K434" si="363">IFERROR(IF($S$1&lt;DATE(2025,6,1)," ",K429/K$426),"")</f>
        <v/>
      </c>
      <c r="L433" s="112" t="str">
        <f ca="1">IFERROR(IF($S$1&lt;DATE(2025,7,1)," ",L429/L$426),"")</f>
        <v/>
      </c>
      <c r="M433" s="112">
        <f ca="1">IFERROR(IF($S$1&lt;DATE(2025,8,1)," ",M429/M$426),"")</f>
        <v>0</v>
      </c>
      <c r="N433" s="112">
        <f ca="1">IFERROR(IF($S$1&lt;DATE(2025,9,1)," ",N429/N$426),"")</f>
        <v>0</v>
      </c>
      <c r="O433" s="112" t="str">
        <f ca="1" t="shared" si="360"/>
        <v/>
      </c>
      <c r="P433" s="112">
        <f ca="1" t="shared" si="361"/>
        <v>0</v>
      </c>
      <c r="Q433" s="112">
        <f ca="1">IFERROR(IF($S$1&lt;DATE(2025,12,1)," ",Q429/Q$426),"")</f>
        <v>0</v>
      </c>
    </row>
    <row r="434" ht="24" customHeight="1" spans="1:17">
      <c r="A434" s="99" t="s">
        <v>345</v>
      </c>
      <c r="B434" s="99" t="s">
        <v>308</v>
      </c>
      <c r="C434" s="99" t="s">
        <v>309</v>
      </c>
      <c r="D434" s="48" t="s">
        <v>315</v>
      </c>
      <c r="E434" s="48" t="s">
        <v>83</v>
      </c>
      <c r="F434" s="112">
        <f ca="1" t="shared" si="354"/>
        <v>1</v>
      </c>
      <c r="G434" s="112" t="str">
        <f ca="1" t="shared" si="355"/>
        <v/>
      </c>
      <c r="H434" s="112" t="str">
        <f ca="1" t="shared" si="356"/>
        <v/>
      </c>
      <c r="I434" s="112" t="str">
        <f ca="1" t="shared" si="357"/>
        <v/>
      </c>
      <c r="J434" s="112" t="str">
        <f ca="1" t="shared" si="358"/>
        <v/>
      </c>
      <c r="K434" s="112" t="str">
        <f ca="1" t="shared" si="363"/>
        <v/>
      </c>
      <c r="L434" s="112" t="str">
        <f ca="1" t="shared" ref="L434:M434" si="364">IFERROR(IF($S$1&lt;DATE(2025,6,1)," ",L430/L$426),"")</f>
        <v/>
      </c>
      <c r="M434" s="112">
        <f ca="1" t="shared" si="364"/>
        <v>0.5</v>
      </c>
      <c r="N434" s="112">
        <f ca="1">IF($S$1&lt;DATE(2025,9,1)," ",N430/N426)</f>
        <v>1</v>
      </c>
      <c r="O434" s="112" t="str">
        <f ca="1" t="shared" si="360"/>
        <v/>
      </c>
      <c r="P434" s="112">
        <f ca="1" t="shared" si="361"/>
        <v>0</v>
      </c>
      <c r="Q434" s="112">
        <f ca="1">IF($S$1&lt;DATE(2025,12,1)," ",Q430/Q426)</f>
        <v>0</v>
      </c>
    </row>
    <row r="435" ht="24" customHeight="1" spans="1:17">
      <c r="A435" s="99" t="s">
        <v>345</v>
      </c>
      <c r="B435" s="99" t="s">
        <v>290</v>
      </c>
      <c r="C435" s="99" t="s">
        <v>316</v>
      </c>
      <c r="D435" s="100" t="s">
        <v>292</v>
      </c>
      <c r="E435" s="100" t="s">
        <v>317</v>
      </c>
      <c r="F435" s="204">
        <f ca="1">IF($S$1&lt;DATE(2025,1,1)," ",IF((SUM(F436:F442)-MAX(F448,F452))&lt;0,"ERR",SUM(F436:F442)))</f>
        <v>1</v>
      </c>
      <c r="G435" s="204">
        <f ca="1">IF($S$1&lt;DATE(2025,2,1)," ",IF((SUM(G436:G442)-MAX(G448,G452))&lt;0,"ERR",SUM(G436:G442)))</f>
        <v>1</v>
      </c>
      <c r="H435" s="204">
        <f ca="1">IF($S$1&lt;DATE(2025,3,1)," ",IF((SUM(H436:H442)-MAX(H448,H452))&lt;0,"ERR",SUM(H436:H442)))</f>
        <v>1</v>
      </c>
      <c r="I435" s="204">
        <f ca="1">IF($S$1&lt;DATE(2025,4,1)," ",IF((SUM(I436:I442)-MAX(I448,I452))&lt;0,"ERR",SUM(I436:I442)))</f>
        <v>1</v>
      </c>
      <c r="J435" s="204">
        <f ca="1">IF($S$1&lt;DATE(2025,5,1)," ",IF((SUM(J436:J442)-MAX(J448,J452))&lt;0,"ERR",SUM(J436:J442)))</f>
        <v>1</v>
      </c>
      <c r="K435" s="204">
        <f ca="1">IF($S$1&lt;DATE(2025,6,1)," ",IF((SUM(K436:K442)-MAX(K448,K452))&lt;0,"ERR",SUM(K436:K442)))</f>
        <v>1</v>
      </c>
      <c r="L435" s="204">
        <f ca="1">IF($S$1&lt;DATE(2025,7,1)," ",IF((SUM(L436:L442)-MAX(L448,L452))&lt;0,"ERR",SUM(L436:L442)))</f>
        <v>1</v>
      </c>
      <c r="M435" s="204">
        <f ca="1">IF($S$1&lt;DATE(2025,8,1)," ",IF((SUM(M436:M442)-MAX(M448,M452))&lt;0,"ERR",SUM(M436:M442)))</f>
        <v>3</v>
      </c>
      <c r="N435" s="204">
        <f ca="1">IF($S$1&lt;DATE(2025,9,1)," ",IF((SUM(N436:N442)-MAX(N448,N452))&lt;0,"ERR",SUM(N436:N442)))</f>
        <v>4</v>
      </c>
      <c r="O435" s="204">
        <f ca="1">IF($S$1&lt;DATE(2025,10,1)," ",IF((SUM(O436:O442)-MAX(O448,O452))&lt;0,"ERR",SUM(O436:O442)))</f>
        <v>5</v>
      </c>
      <c r="P435" s="204">
        <f ca="1">IF($S$1&lt;DATE(2025,11,1)," ",IF((SUM(P436:P442)-MAX(P448,P452))&lt;0,"ERR",SUM(P436:P442)))</f>
        <v>7</v>
      </c>
      <c r="Q435" s="204">
        <f ca="1">IF($S$1&lt;DATE(2025,12,1)," ",IF((SUM(Q436:Q442)-MAX(Q448,Q452))&lt;0,"ERR",SUM(Q436:Q442)))</f>
        <v>11</v>
      </c>
    </row>
    <row r="436" ht="24" customHeight="1" spans="1:17">
      <c r="A436" s="99" t="s">
        <v>345</v>
      </c>
      <c r="B436" s="99" t="s">
        <v>290</v>
      </c>
      <c r="C436" s="99" t="s">
        <v>316</v>
      </c>
      <c r="D436" s="48" t="s">
        <v>31</v>
      </c>
      <c r="E436" s="48" t="s">
        <v>90</v>
      </c>
      <c r="F436" s="205">
        <f ca="1" t="shared" ref="F436:F447" si="365">IF($S$1&lt;DATE(2025,1,1)," ",F338)</f>
        <v>0</v>
      </c>
      <c r="G436" s="205">
        <f ca="1" t="shared" ref="G436:G447" si="366">IF($S$1&lt;DATE(2025,2,1)," ",G338+F436)</f>
        <v>0</v>
      </c>
      <c r="H436" s="205">
        <f ca="1" t="shared" ref="H436:H447" si="367">IF($S$1&lt;DATE(2025,3,1)," ",H338+G436)</f>
        <v>0</v>
      </c>
      <c r="I436" s="205">
        <f ca="1" t="shared" ref="I436:I447" si="368">IF($S$1&lt;DATE(2025,4,1)," ",I338+H436)</f>
        <v>0</v>
      </c>
      <c r="J436" s="205">
        <f ca="1" t="shared" ref="J436:J447" si="369">IF($S$1&lt;DATE(2025,5,1)," ",J338+I436)</f>
        <v>0</v>
      </c>
      <c r="K436" s="205">
        <f ca="1" t="shared" ref="K436:K447" si="370">IF($S$1&lt;DATE(2025,6,1)," ",K338+J436)</f>
        <v>0</v>
      </c>
      <c r="L436" s="205">
        <f ca="1" t="shared" ref="L436:L447" si="371">IF($S$1&lt;DATE(2025,7,1)," ",L338+K436)</f>
        <v>0</v>
      </c>
      <c r="M436" s="205">
        <f ca="1" t="shared" ref="M436:M447" si="372">IF($S$1&lt;DATE(2025,8,1)," ",M338+L436)</f>
        <v>1</v>
      </c>
      <c r="N436" s="205">
        <f ca="1" t="shared" ref="N436:N447" si="373">IF($S$1&lt;DATE(2025,9,1)," ",N338+M436)</f>
        <v>2</v>
      </c>
      <c r="O436" s="205">
        <f ca="1" t="shared" ref="O436:O447" si="374">IF($S$1&lt;DATE(2025,10,1)," ",O338+N436)</f>
        <v>2</v>
      </c>
      <c r="P436" s="205">
        <f ca="1" t="shared" ref="P436:P447" si="375">IF($S$1&lt;DATE(2025,11,1)," ",P338+O436)</f>
        <v>2</v>
      </c>
      <c r="Q436" s="205">
        <f ca="1" t="shared" ref="Q436:Q447" si="376">IF($S$1&lt;DATE(2025,12,1)," ",Q338+P436)</f>
        <v>4</v>
      </c>
    </row>
    <row r="437" ht="24" customHeight="1" spans="1:17">
      <c r="A437" s="99" t="s">
        <v>345</v>
      </c>
      <c r="B437" s="99" t="s">
        <v>290</v>
      </c>
      <c r="C437" s="99" t="s">
        <v>316</v>
      </c>
      <c r="D437" s="48" t="s">
        <v>31</v>
      </c>
      <c r="E437" s="48" t="s">
        <v>82</v>
      </c>
      <c r="F437" s="205">
        <f ca="1" t="shared" si="365"/>
        <v>1</v>
      </c>
      <c r="G437" s="205">
        <f ca="1" t="shared" si="366"/>
        <v>1</v>
      </c>
      <c r="H437" s="205">
        <f ca="1" t="shared" si="367"/>
        <v>1</v>
      </c>
      <c r="I437" s="205">
        <f ca="1" t="shared" si="368"/>
        <v>1</v>
      </c>
      <c r="J437" s="205">
        <f ca="1" t="shared" si="369"/>
        <v>1</v>
      </c>
      <c r="K437" s="205">
        <f ca="1" t="shared" si="370"/>
        <v>1</v>
      </c>
      <c r="L437" s="205">
        <f ca="1" t="shared" si="371"/>
        <v>1</v>
      </c>
      <c r="M437" s="205">
        <f ca="1" t="shared" si="372"/>
        <v>1</v>
      </c>
      <c r="N437" s="205">
        <f ca="1" t="shared" si="373"/>
        <v>1</v>
      </c>
      <c r="O437" s="205">
        <f ca="1" t="shared" si="374"/>
        <v>2</v>
      </c>
      <c r="P437" s="205">
        <f ca="1" t="shared" si="375"/>
        <v>3</v>
      </c>
      <c r="Q437" s="205">
        <f ca="1" t="shared" si="376"/>
        <v>3</v>
      </c>
    </row>
    <row r="438" ht="24" customHeight="1" spans="1:17">
      <c r="A438" s="99" t="s">
        <v>345</v>
      </c>
      <c r="B438" s="99" t="s">
        <v>290</v>
      </c>
      <c r="C438" s="99" t="s">
        <v>316</v>
      </c>
      <c r="D438" s="48" t="s">
        <v>31</v>
      </c>
      <c r="E438" s="48" t="s">
        <v>86</v>
      </c>
      <c r="F438" s="205">
        <f ca="1" t="shared" si="365"/>
        <v>0</v>
      </c>
      <c r="G438" s="205">
        <f ca="1" t="shared" si="366"/>
        <v>0</v>
      </c>
      <c r="H438" s="205">
        <f ca="1" t="shared" si="367"/>
        <v>0</v>
      </c>
      <c r="I438" s="205">
        <f ca="1" t="shared" si="368"/>
        <v>0</v>
      </c>
      <c r="J438" s="205">
        <f ca="1" t="shared" si="369"/>
        <v>0</v>
      </c>
      <c r="K438" s="205">
        <f ca="1" t="shared" si="370"/>
        <v>0</v>
      </c>
      <c r="L438" s="205">
        <f ca="1" t="shared" si="371"/>
        <v>0</v>
      </c>
      <c r="M438" s="205">
        <f ca="1" t="shared" si="372"/>
        <v>0</v>
      </c>
      <c r="N438" s="205">
        <f ca="1" t="shared" si="373"/>
        <v>0</v>
      </c>
      <c r="O438" s="205">
        <f ca="1" t="shared" si="374"/>
        <v>0</v>
      </c>
      <c r="P438" s="205">
        <f ca="1" t="shared" si="375"/>
        <v>0</v>
      </c>
      <c r="Q438" s="205">
        <f ca="1" t="shared" si="376"/>
        <v>1</v>
      </c>
    </row>
    <row r="439" ht="24" customHeight="1" spans="1:17">
      <c r="A439" s="99" t="s">
        <v>345</v>
      </c>
      <c r="B439" s="99" t="s">
        <v>290</v>
      </c>
      <c r="C439" s="99" t="s">
        <v>316</v>
      </c>
      <c r="D439" s="48" t="s">
        <v>31</v>
      </c>
      <c r="E439" s="48" t="s">
        <v>97</v>
      </c>
      <c r="F439" s="205">
        <f ca="1" t="shared" si="365"/>
        <v>0</v>
      </c>
      <c r="G439" s="205">
        <f ca="1" t="shared" si="366"/>
        <v>0</v>
      </c>
      <c r="H439" s="205">
        <f ca="1" t="shared" si="367"/>
        <v>0</v>
      </c>
      <c r="I439" s="205">
        <f ca="1" t="shared" si="368"/>
        <v>0</v>
      </c>
      <c r="J439" s="205">
        <f ca="1" t="shared" si="369"/>
        <v>0</v>
      </c>
      <c r="K439" s="205">
        <f ca="1" t="shared" si="370"/>
        <v>0</v>
      </c>
      <c r="L439" s="205">
        <f ca="1" t="shared" si="371"/>
        <v>0</v>
      </c>
      <c r="M439" s="205">
        <f ca="1" t="shared" si="372"/>
        <v>1</v>
      </c>
      <c r="N439" s="205">
        <f ca="1" t="shared" si="373"/>
        <v>1</v>
      </c>
      <c r="O439" s="205">
        <f ca="1" t="shared" si="374"/>
        <v>1</v>
      </c>
      <c r="P439" s="205">
        <f ca="1" t="shared" si="375"/>
        <v>2</v>
      </c>
      <c r="Q439" s="205">
        <f ca="1" t="shared" si="376"/>
        <v>3</v>
      </c>
    </row>
    <row r="440" ht="24" customHeight="1" spans="1:17">
      <c r="A440" s="99" t="s">
        <v>345</v>
      </c>
      <c r="B440" s="99" t="s">
        <v>290</v>
      </c>
      <c r="C440" s="99" t="s">
        <v>316</v>
      </c>
      <c r="D440" s="48" t="s">
        <v>31</v>
      </c>
      <c r="E440" s="48" t="s">
        <v>87</v>
      </c>
      <c r="F440" s="205">
        <f ca="1" t="shared" si="365"/>
        <v>0</v>
      </c>
      <c r="G440" s="205">
        <f ca="1" t="shared" si="366"/>
        <v>0</v>
      </c>
      <c r="H440" s="205">
        <f ca="1" t="shared" si="367"/>
        <v>0</v>
      </c>
      <c r="I440" s="205">
        <f ca="1" t="shared" si="368"/>
        <v>0</v>
      </c>
      <c r="J440" s="205">
        <f ca="1" t="shared" si="369"/>
        <v>0</v>
      </c>
      <c r="K440" s="205">
        <f ca="1" t="shared" si="370"/>
        <v>0</v>
      </c>
      <c r="L440" s="205">
        <f ca="1" t="shared" si="371"/>
        <v>0</v>
      </c>
      <c r="M440" s="205">
        <f ca="1" t="shared" si="372"/>
        <v>0</v>
      </c>
      <c r="N440" s="205">
        <f ca="1" t="shared" si="373"/>
        <v>0</v>
      </c>
      <c r="O440" s="205">
        <f ca="1" t="shared" si="374"/>
        <v>0</v>
      </c>
      <c r="P440" s="205">
        <f ca="1" t="shared" si="375"/>
        <v>0</v>
      </c>
      <c r="Q440" s="205">
        <f ca="1" t="shared" si="376"/>
        <v>0</v>
      </c>
    </row>
    <row r="441" ht="24" customHeight="1" spans="1:17">
      <c r="A441" s="99" t="s">
        <v>345</v>
      </c>
      <c r="B441" s="99" t="s">
        <v>290</v>
      </c>
      <c r="C441" s="99" t="s">
        <v>316</v>
      </c>
      <c r="D441" s="48" t="s">
        <v>31</v>
      </c>
      <c r="E441" s="48" t="s">
        <v>149</v>
      </c>
      <c r="F441" s="205">
        <f ca="1" t="shared" si="365"/>
        <v>0</v>
      </c>
      <c r="G441" s="205">
        <f ca="1" t="shared" si="366"/>
        <v>0</v>
      </c>
      <c r="H441" s="205">
        <f ca="1" t="shared" si="367"/>
        <v>0</v>
      </c>
      <c r="I441" s="205">
        <f ca="1" t="shared" si="368"/>
        <v>0</v>
      </c>
      <c r="J441" s="205">
        <f ca="1" t="shared" si="369"/>
        <v>0</v>
      </c>
      <c r="K441" s="205">
        <f ca="1" t="shared" si="370"/>
        <v>0</v>
      </c>
      <c r="L441" s="205">
        <f ca="1" t="shared" si="371"/>
        <v>0</v>
      </c>
      <c r="M441" s="205">
        <f ca="1" t="shared" si="372"/>
        <v>0</v>
      </c>
      <c r="N441" s="205">
        <f ca="1" t="shared" si="373"/>
        <v>0</v>
      </c>
      <c r="O441" s="205">
        <f ca="1" t="shared" si="374"/>
        <v>0</v>
      </c>
      <c r="P441" s="205">
        <f ca="1" t="shared" si="375"/>
        <v>0</v>
      </c>
      <c r="Q441" s="205">
        <f ca="1" t="shared" si="376"/>
        <v>0</v>
      </c>
    </row>
    <row r="442" ht="24" customHeight="1" spans="1:17">
      <c r="A442" s="99" t="s">
        <v>345</v>
      </c>
      <c r="B442" s="99" t="s">
        <v>290</v>
      </c>
      <c r="C442" s="99" t="s">
        <v>316</v>
      </c>
      <c r="D442" s="48" t="s">
        <v>31</v>
      </c>
      <c r="E442" s="48" t="s">
        <v>83</v>
      </c>
      <c r="F442" s="205">
        <f ca="1" t="shared" si="365"/>
        <v>0</v>
      </c>
      <c r="G442" s="205">
        <f ca="1" t="shared" si="366"/>
        <v>0</v>
      </c>
      <c r="H442" s="205">
        <f ca="1" t="shared" si="367"/>
        <v>0</v>
      </c>
      <c r="I442" s="205">
        <f ca="1" t="shared" si="368"/>
        <v>0</v>
      </c>
      <c r="J442" s="205">
        <f ca="1" t="shared" si="369"/>
        <v>0</v>
      </c>
      <c r="K442" s="205">
        <f ca="1" t="shared" si="370"/>
        <v>0</v>
      </c>
      <c r="L442" s="205">
        <f ca="1" t="shared" si="371"/>
        <v>0</v>
      </c>
      <c r="M442" s="205">
        <f ca="1" t="shared" si="372"/>
        <v>0</v>
      </c>
      <c r="N442" s="205">
        <f ca="1" t="shared" si="373"/>
        <v>0</v>
      </c>
      <c r="O442" s="205">
        <f ca="1" t="shared" si="374"/>
        <v>0</v>
      </c>
      <c r="P442" s="205">
        <f ca="1" t="shared" si="375"/>
        <v>0</v>
      </c>
      <c r="Q442" s="205">
        <f ca="1" t="shared" si="376"/>
        <v>0</v>
      </c>
    </row>
    <row r="443" ht="24" customHeight="1" spans="1:17">
      <c r="A443" s="99" t="s">
        <v>345</v>
      </c>
      <c r="B443" s="99" t="s">
        <v>290</v>
      </c>
      <c r="C443" s="99" t="s">
        <v>316</v>
      </c>
      <c r="D443" s="47" t="s">
        <v>294</v>
      </c>
      <c r="E443" s="47" t="s">
        <v>93</v>
      </c>
      <c r="F443" s="206">
        <f ca="1" t="shared" si="365"/>
        <v>1</v>
      </c>
      <c r="G443" s="206">
        <f ca="1" t="shared" si="366"/>
        <v>1</v>
      </c>
      <c r="H443" s="206">
        <f ca="1" t="shared" si="367"/>
        <v>1</v>
      </c>
      <c r="I443" s="206">
        <f ca="1" t="shared" si="368"/>
        <v>1</v>
      </c>
      <c r="J443" s="206">
        <f ca="1" t="shared" si="369"/>
        <v>1</v>
      </c>
      <c r="K443" s="206">
        <f ca="1" t="shared" si="370"/>
        <v>1</v>
      </c>
      <c r="L443" s="206">
        <f ca="1" t="shared" si="371"/>
        <v>1</v>
      </c>
      <c r="M443" s="206">
        <f ca="1" t="shared" si="372"/>
        <v>2</v>
      </c>
      <c r="N443" s="206">
        <f ca="1" t="shared" si="373"/>
        <v>3</v>
      </c>
      <c r="O443" s="206">
        <f ca="1" t="shared" si="374"/>
        <v>3</v>
      </c>
      <c r="P443" s="206">
        <f ca="1" t="shared" si="375"/>
        <v>5</v>
      </c>
      <c r="Q443" s="206">
        <f ca="1" t="shared" si="376"/>
        <v>6</v>
      </c>
    </row>
    <row r="444" ht="24" customHeight="1" spans="1:17">
      <c r="A444" s="99" t="s">
        <v>345</v>
      </c>
      <c r="B444" s="99" t="s">
        <v>290</v>
      </c>
      <c r="C444" s="99" t="s">
        <v>316</v>
      </c>
      <c r="D444" s="47" t="s">
        <v>294</v>
      </c>
      <c r="E444" s="47" t="s">
        <v>85</v>
      </c>
      <c r="F444" s="206">
        <f ca="1" t="shared" si="365"/>
        <v>0</v>
      </c>
      <c r="G444" s="206">
        <f ca="1" t="shared" si="366"/>
        <v>0</v>
      </c>
      <c r="H444" s="206">
        <f ca="1" t="shared" si="367"/>
        <v>0</v>
      </c>
      <c r="I444" s="206">
        <f ca="1" t="shared" si="368"/>
        <v>0</v>
      </c>
      <c r="J444" s="206">
        <f ca="1" t="shared" si="369"/>
        <v>0</v>
      </c>
      <c r="K444" s="206">
        <f ca="1" t="shared" si="370"/>
        <v>0</v>
      </c>
      <c r="L444" s="206">
        <f ca="1" t="shared" si="371"/>
        <v>0</v>
      </c>
      <c r="M444" s="206">
        <f ca="1" t="shared" si="372"/>
        <v>1</v>
      </c>
      <c r="N444" s="206">
        <f ca="1" t="shared" si="373"/>
        <v>1</v>
      </c>
      <c r="O444" s="206">
        <f ca="1" t="shared" si="374"/>
        <v>2</v>
      </c>
      <c r="P444" s="206">
        <f ca="1" t="shared" si="375"/>
        <v>2</v>
      </c>
      <c r="Q444" s="206">
        <f ca="1" t="shared" si="376"/>
        <v>4</v>
      </c>
    </row>
    <row r="445" ht="24" customHeight="1" spans="1:17">
      <c r="A445" s="99" t="s">
        <v>345</v>
      </c>
      <c r="B445" s="99" t="s">
        <v>290</v>
      </c>
      <c r="C445" s="99" t="s">
        <v>316</v>
      </c>
      <c r="D445" s="47" t="s">
        <v>294</v>
      </c>
      <c r="E445" s="47" t="s">
        <v>81</v>
      </c>
      <c r="F445" s="206">
        <f ca="1" t="shared" si="365"/>
        <v>0</v>
      </c>
      <c r="G445" s="206">
        <f ca="1" t="shared" si="366"/>
        <v>0</v>
      </c>
      <c r="H445" s="206">
        <f ca="1" t="shared" si="367"/>
        <v>0</v>
      </c>
      <c r="I445" s="206">
        <f ca="1" t="shared" si="368"/>
        <v>0</v>
      </c>
      <c r="J445" s="206">
        <f ca="1" t="shared" si="369"/>
        <v>0</v>
      </c>
      <c r="K445" s="206">
        <f ca="1" t="shared" si="370"/>
        <v>0</v>
      </c>
      <c r="L445" s="206">
        <f ca="1" t="shared" si="371"/>
        <v>0</v>
      </c>
      <c r="M445" s="206">
        <f ca="1" t="shared" si="372"/>
        <v>0</v>
      </c>
      <c r="N445" s="206">
        <f ca="1" t="shared" si="373"/>
        <v>0</v>
      </c>
      <c r="O445" s="206">
        <f ca="1" t="shared" si="374"/>
        <v>0</v>
      </c>
      <c r="P445" s="206">
        <f ca="1" t="shared" si="375"/>
        <v>0</v>
      </c>
      <c r="Q445" s="206">
        <f ca="1" t="shared" si="376"/>
        <v>1</v>
      </c>
    </row>
    <row r="446" ht="24" customHeight="1" spans="1:17">
      <c r="A446" s="99" t="s">
        <v>345</v>
      </c>
      <c r="B446" s="99" t="s">
        <v>290</v>
      </c>
      <c r="C446" s="99" t="s">
        <v>316</v>
      </c>
      <c r="D446" s="47" t="s">
        <v>294</v>
      </c>
      <c r="E446" s="47" t="s">
        <v>96</v>
      </c>
      <c r="F446" s="206">
        <f ca="1" t="shared" si="365"/>
        <v>0</v>
      </c>
      <c r="G446" s="206">
        <f ca="1" t="shared" si="366"/>
        <v>0</v>
      </c>
      <c r="H446" s="206">
        <f ca="1" t="shared" si="367"/>
        <v>0</v>
      </c>
      <c r="I446" s="206">
        <f ca="1" t="shared" si="368"/>
        <v>0</v>
      </c>
      <c r="J446" s="206">
        <f ca="1" t="shared" si="369"/>
        <v>0</v>
      </c>
      <c r="K446" s="206">
        <f ca="1" t="shared" si="370"/>
        <v>0</v>
      </c>
      <c r="L446" s="206">
        <f ca="1" t="shared" si="371"/>
        <v>0</v>
      </c>
      <c r="M446" s="206">
        <f ca="1" t="shared" si="372"/>
        <v>0</v>
      </c>
      <c r="N446" s="206">
        <f ca="1" t="shared" si="373"/>
        <v>0</v>
      </c>
      <c r="O446" s="206">
        <f ca="1" t="shared" si="374"/>
        <v>0</v>
      </c>
      <c r="P446" s="206">
        <f ca="1" t="shared" si="375"/>
        <v>0</v>
      </c>
      <c r="Q446" s="206">
        <f ca="1" t="shared" si="376"/>
        <v>0</v>
      </c>
    </row>
    <row r="447" ht="24" customHeight="1" spans="1:17">
      <c r="A447" s="99" t="s">
        <v>345</v>
      </c>
      <c r="B447" s="99" t="s">
        <v>290</v>
      </c>
      <c r="C447" s="99" t="s">
        <v>316</v>
      </c>
      <c r="D447" s="47" t="s">
        <v>294</v>
      </c>
      <c r="E447" s="47" t="s">
        <v>160</v>
      </c>
      <c r="F447" s="206">
        <f ca="1" t="shared" si="365"/>
        <v>0</v>
      </c>
      <c r="G447" s="206">
        <f ca="1" t="shared" si="366"/>
        <v>0</v>
      </c>
      <c r="H447" s="206">
        <f ca="1" t="shared" si="367"/>
        <v>0</v>
      </c>
      <c r="I447" s="206">
        <f ca="1" t="shared" si="368"/>
        <v>0</v>
      </c>
      <c r="J447" s="206">
        <f ca="1" t="shared" si="369"/>
        <v>0</v>
      </c>
      <c r="K447" s="206">
        <f ca="1" t="shared" si="370"/>
        <v>0</v>
      </c>
      <c r="L447" s="206">
        <f ca="1" t="shared" si="371"/>
        <v>0</v>
      </c>
      <c r="M447" s="206">
        <f ca="1" t="shared" si="372"/>
        <v>0</v>
      </c>
      <c r="N447" s="206">
        <f ca="1" t="shared" si="373"/>
        <v>0</v>
      </c>
      <c r="O447" s="206">
        <f ca="1" t="shared" si="374"/>
        <v>0</v>
      </c>
      <c r="P447" s="206">
        <f ca="1" t="shared" si="375"/>
        <v>0</v>
      </c>
      <c r="Q447" s="206">
        <f ca="1" t="shared" si="376"/>
        <v>0</v>
      </c>
    </row>
    <row r="448" ht="24" customHeight="1" spans="1:17">
      <c r="A448" s="99" t="s">
        <v>345</v>
      </c>
      <c r="B448" s="99" t="s">
        <v>290</v>
      </c>
      <c r="C448" s="99" t="s">
        <v>316</v>
      </c>
      <c r="D448" s="100" t="s">
        <v>292</v>
      </c>
      <c r="E448" s="100" t="s">
        <v>318</v>
      </c>
      <c r="F448" s="204">
        <f ca="1">IF($S$1&lt;DATE(2025,1,1)," ",SUM(F449:F451))</f>
        <v>1</v>
      </c>
      <c r="G448" s="204">
        <f ca="1">IF($S$1&lt;DATE(2025,2,1)," ",SUM(G449:G451))</f>
        <v>1</v>
      </c>
      <c r="H448" s="204">
        <f ca="1">IF($S$1&lt;DATE(2025,3,1)," ",SUM(H449:H451))</f>
        <v>1</v>
      </c>
      <c r="I448" s="204">
        <f ca="1">IF($S$1&lt;DATE(2025,4,1)," ",SUM(I449:I451))</f>
        <v>1</v>
      </c>
      <c r="J448" s="204">
        <f ca="1">IF($S$1&lt;DATE(2025,5,1)," ",SUM(J449:J451))</f>
        <v>1</v>
      </c>
      <c r="K448" s="204">
        <f ca="1">IF($S$1&lt;DATE(2025,6,1)," ",SUM(K449:K451))</f>
        <v>1</v>
      </c>
      <c r="L448" s="204">
        <f ca="1">IF($S$1&lt;DATE(2025,7,1)," ",SUM(L449:L451))</f>
        <v>1</v>
      </c>
      <c r="M448" s="204">
        <f ca="1">IF($S$1&lt;DATE(2025,8,1)," ",SUM(M449:M451))</f>
        <v>3</v>
      </c>
      <c r="N448" s="204">
        <f ca="1">IF($S$1&lt;DATE(2025,9,1)," ",SUM(N449:N451))</f>
        <v>4</v>
      </c>
      <c r="O448" s="204">
        <f ca="1">IF($S$1&lt;DATE(2025,10,1)," ",SUM(O449:O451))</f>
        <v>5</v>
      </c>
      <c r="P448" s="204">
        <f ca="1">IF($S$1&lt;DATE(2025,11,1)," ",SUM(P449:P451))</f>
        <v>6</v>
      </c>
      <c r="Q448" s="204">
        <f ca="1">IF($S$1&lt;DATE(2025,12,1)," ",SUM(Q449:Q451))</f>
        <v>9</v>
      </c>
    </row>
    <row r="449" ht="24" customHeight="1" spans="1:17">
      <c r="A449" s="99" t="s">
        <v>345</v>
      </c>
      <c r="B449" s="99" t="s">
        <v>290</v>
      </c>
      <c r="C449" s="99" t="s">
        <v>316</v>
      </c>
      <c r="D449" s="48" t="s">
        <v>296</v>
      </c>
      <c r="E449" s="48" t="s">
        <v>90</v>
      </c>
      <c r="F449" s="205">
        <f ca="1" t="shared" ref="F449:F451" si="377">IF($S$1&lt;DATE(2025,1,1)," ",F351)</f>
        <v>0</v>
      </c>
      <c r="G449" s="205">
        <f ca="1" t="shared" ref="G449:G451" si="378">IF($S$1&lt;DATE(2025,2,1)," ",G351+F449)</f>
        <v>0</v>
      </c>
      <c r="H449" s="205">
        <f ca="1" t="shared" ref="H449:H451" si="379">IF($S$1&lt;DATE(2025,3,1)," ",H351+G449)</f>
        <v>0</v>
      </c>
      <c r="I449" s="205">
        <f ca="1" t="shared" ref="I449:I451" si="380">IF($S$1&lt;DATE(2025,4,1)," ",I351+H449)</f>
        <v>0</v>
      </c>
      <c r="J449" s="205">
        <f ca="1" t="shared" ref="J449:J451" si="381">IF($S$1&lt;DATE(2025,5,1)," ",J351+I449)</f>
        <v>0</v>
      </c>
      <c r="K449" s="205">
        <f ca="1" t="shared" ref="K449:K451" si="382">IF($S$1&lt;DATE(2025,6,1)," ",K351+J449)</f>
        <v>0</v>
      </c>
      <c r="L449" s="205">
        <f ca="1" t="shared" ref="L449:L451" si="383">IF($S$1&lt;DATE(2025,7,1)," ",L351+K449)</f>
        <v>0</v>
      </c>
      <c r="M449" s="205">
        <f ca="1" t="shared" ref="M449:M451" si="384">IF($S$1&lt;DATE(2025,8,1)," ",M351+L449)</f>
        <v>1</v>
      </c>
      <c r="N449" s="205">
        <f ca="1" t="shared" ref="N449:N451" si="385">IF($S$1&lt;DATE(2025,9,1)," ",N351+M449)</f>
        <v>2</v>
      </c>
      <c r="O449" s="205">
        <f ca="1" t="shared" ref="O449:O451" si="386">IF($S$1&lt;DATE(2025,10,1)," ",O351+N449)</f>
        <v>2</v>
      </c>
      <c r="P449" s="205">
        <f ca="1" t="shared" ref="P449:P451" si="387">IF($S$1&lt;DATE(2025,11,1)," ",P351+O449)</f>
        <v>2</v>
      </c>
      <c r="Q449" s="205">
        <f ca="1" t="shared" ref="Q449:Q451" si="388">IF($S$1&lt;DATE(2025,12,1)," ",Q351+P449)</f>
        <v>4</v>
      </c>
    </row>
    <row r="450" ht="24" customHeight="1" spans="1:17">
      <c r="A450" s="99" t="s">
        <v>345</v>
      </c>
      <c r="B450" s="99" t="s">
        <v>290</v>
      </c>
      <c r="C450" s="99" t="s">
        <v>316</v>
      </c>
      <c r="D450" s="48" t="s">
        <v>296</v>
      </c>
      <c r="E450" s="48" t="s">
        <v>82</v>
      </c>
      <c r="F450" s="205">
        <f ca="1" t="shared" si="377"/>
        <v>1</v>
      </c>
      <c r="G450" s="205">
        <f ca="1" t="shared" si="378"/>
        <v>1</v>
      </c>
      <c r="H450" s="205">
        <f ca="1" t="shared" si="379"/>
        <v>1</v>
      </c>
      <c r="I450" s="205">
        <f ca="1" t="shared" si="380"/>
        <v>1</v>
      </c>
      <c r="J450" s="205">
        <f ca="1" t="shared" si="381"/>
        <v>1</v>
      </c>
      <c r="K450" s="205">
        <f ca="1" t="shared" si="382"/>
        <v>1</v>
      </c>
      <c r="L450" s="205">
        <f ca="1" t="shared" si="383"/>
        <v>1</v>
      </c>
      <c r="M450" s="205">
        <f ca="1" t="shared" si="384"/>
        <v>2</v>
      </c>
      <c r="N450" s="205">
        <f ca="1" t="shared" si="385"/>
        <v>2</v>
      </c>
      <c r="O450" s="205">
        <f ca="1" t="shared" si="386"/>
        <v>3</v>
      </c>
      <c r="P450" s="205">
        <f ca="1" t="shared" si="387"/>
        <v>4</v>
      </c>
      <c r="Q450" s="205">
        <f ca="1" t="shared" si="388"/>
        <v>4</v>
      </c>
    </row>
    <row r="451" ht="24" customHeight="1" spans="1:17">
      <c r="A451" s="99" t="s">
        <v>345</v>
      </c>
      <c r="B451" s="99" t="s">
        <v>290</v>
      </c>
      <c r="C451" s="99" t="s">
        <v>316</v>
      </c>
      <c r="D451" s="48" t="s">
        <v>296</v>
      </c>
      <c r="E451" s="48" t="s">
        <v>86</v>
      </c>
      <c r="F451" s="205">
        <f ca="1" t="shared" si="377"/>
        <v>0</v>
      </c>
      <c r="G451" s="205">
        <f ca="1" t="shared" si="378"/>
        <v>0</v>
      </c>
      <c r="H451" s="205">
        <f ca="1" t="shared" si="379"/>
        <v>0</v>
      </c>
      <c r="I451" s="205">
        <f ca="1" t="shared" si="380"/>
        <v>0</v>
      </c>
      <c r="J451" s="205">
        <f ca="1" t="shared" si="381"/>
        <v>0</v>
      </c>
      <c r="K451" s="205">
        <f ca="1" t="shared" si="382"/>
        <v>0</v>
      </c>
      <c r="L451" s="205">
        <f ca="1" t="shared" si="383"/>
        <v>0</v>
      </c>
      <c r="M451" s="205">
        <f ca="1" t="shared" si="384"/>
        <v>0</v>
      </c>
      <c r="N451" s="205">
        <f ca="1" t="shared" si="385"/>
        <v>0</v>
      </c>
      <c r="O451" s="205">
        <f ca="1" t="shared" si="386"/>
        <v>0</v>
      </c>
      <c r="P451" s="205">
        <f ca="1" t="shared" si="387"/>
        <v>0</v>
      </c>
      <c r="Q451" s="205">
        <f ca="1" t="shared" si="388"/>
        <v>1</v>
      </c>
    </row>
    <row r="452" ht="24" customHeight="1" spans="1:17">
      <c r="A452" s="99" t="s">
        <v>345</v>
      </c>
      <c r="B452" s="99" t="s">
        <v>290</v>
      </c>
      <c r="C452" s="99" t="s">
        <v>316</v>
      </c>
      <c r="D452" s="100" t="s">
        <v>292</v>
      </c>
      <c r="E452" s="100" t="s">
        <v>319</v>
      </c>
      <c r="F452" s="204">
        <f ca="1">IF($S$1&lt;DATE(2025,1,1)," ",SUM(F453:F456))</f>
        <v>1</v>
      </c>
      <c r="G452" s="204">
        <f ca="1">IF($S$1&lt;DATE(2025,2,1)," ",SUM(G453:G456))</f>
        <v>1</v>
      </c>
      <c r="H452" s="204">
        <f ca="1">IF($S$1&lt;DATE(2025,3,1)," ",SUM(H453:H456))</f>
        <v>1</v>
      </c>
      <c r="I452" s="204">
        <f ca="1">IF($S$1&lt;DATE(2025,4,1)," ",SUM(I453:I456))</f>
        <v>1</v>
      </c>
      <c r="J452" s="204">
        <f ca="1">IF($S$1&lt;DATE(2025,5,1)," ",SUM(J453:J456))</f>
        <v>1</v>
      </c>
      <c r="K452" s="204">
        <f ca="1">IF($S$1&lt;DATE(2025,6,1)," ",SUM(K453:K456))</f>
        <v>1</v>
      </c>
      <c r="L452" s="204">
        <f ca="1">IF($S$1&lt;DATE(2025,7,1)," ",SUM(L453:L456))</f>
        <v>1</v>
      </c>
      <c r="M452" s="204">
        <f ca="1">IF($S$1&lt;DATE(2025,8,1)," ",SUM(M453:M456))</f>
        <v>3</v>
      </c>
      <c r="N452" s="204">
        <f ca="1">IF($S$1&lt;DATE(2025,9,1)," ",SUM(N453:N456))</f>
        <v>3</v>
      </c>
      <c r="O452" s="204">
        <f ca="1">IF($S$1&lt;DATE(2025,10,1)," ",SUM(O453:O456))</f>
        <v>3</v>
      </c>
      <c r="P452" s="204">
        <f ca="1">IF($S$1&lt;DATE(2025,11,1)," ",SUM(P453:P456))</f>
        <v>5</v>
      </c>
      <c r="Q452" s="204">
        <f ca="1">IF($S$1&lt;DATE(2025,12,1)," ",SUM(Q453:Q456))</f>
        <v>8</v>
      </c>
    </row>
    <row r="453" ht="24" customHeight="1" spans="1:17">
      <c r="A453" s="99" t="s">
        <v>345</v>
      </c>
      <c r="B453" s="99" t="s">
        <v>290</v>
      </c>
      <c r="C453" s="99" t="s">
        <v>316</v>
      </c>
      <c r="D453" s="48" t="s">
        <v>298</v>
      </c>
      <c r="E453" s="48" t="s">
        <v>97</v>
      </c>
      <c r="F453" s="205">
        <f ca="1" t="shared" ref="F453:F456" si="389">IF($S$1&lt;DATE(2025,1,1)," ",F355)</f>
        <v>0</v>
      </c>
      <c r="G453" s="205">
        <f ca="1" t="shared" ref="G453:G456" si="390">IF($S$1&lt;DATE(2025,2,1)," ",G355+F453)</f>
        <v>0</v>
      </c>
      <c r="H453" s="205">
        <f ca="1" t="shared" ref="H453:H456" si="391">IF($S$1&lt;DATE(2025,3,1)," ",H355+G453)</f>
        <v>0</v>
      </c>
      <c r="I453" s="205">
        <f ca="1" t="shared" ref="I453:I456" si="392">IF($S$1&lt;DATE(2025,4,1)," ",I355+H453)</f>
        <v>0</v>
      </c>
      <c r="J453" s="205">
        <f ca="1" t="shared" ref="J453:J456" si="393">IF($S$1&lt;DATE(2025,5,1)," ",J355+I453)</f>
        <v>0</v>
      </c>
      <c r="K453" s="205">
        <f ca="1" t="shared" ref="K453:K456" si="394">IF($S$1&lt;DATE(2025,6,1)," ",K355+J453)</f>
        <v>0</v>
      </c>
      <c r="L453" s="205">
        <f ca="1" t="shared" ref="L453:L456" si="395">IF($S$1&lt;DATE(2025,7,1)," ",L355+K453)</f>
        <v>0</v>
      </c>
      <c r="M453" s="205">
        <f ca="1" t="shared" ref="M453:M456" si="396">IF($S$1&lt;DATE(2025,8,1)," ",M355+L453)</f>
        <v>1</v>
      </c>
      <c r="N453" s="205">
        <f ca="1" t="shared" ref="N453:N456" si="397">IF($S$1&lt;DATE(2025,9,1)," ",N355+M453)</f>
        <v>1</v>
      </c>
      <c r="O453" s="205">
        <f ca="1" t="shared" ref="O453:O456" si="398">IF($S$1&lt;DATE(2025,10,1)," ",O355+N453)</f>
        <v>1</v>
      </c>
      <c r="P453" s="205">
        <f ca="1" t="shared" ref="P453:P456" si="399">IF($S$1&lt;DATE(2025,11,1)," ",P355+O453)</f>
        <v>3</v>
      </c>
      <c r="Q453" s="205">
        <f ca="1" t="shared" ref="Q453:Q456" si="400">IF($S$1&lt;DATE(2025,12,1)," ",Q355+P453)</f>
        <v>5</v>
      </c>
    </row>
    <row r="454" ht="24" customHeight="1" spans="1:17">
      <c r="A454" s="99" t="s">
        <v>345</v>
      </c>
      <c r="B454" s="99" t="s">
        <v>290</v>
      </c>
      <c r="C454" s="99" t="s">
        <v>316</v>
      </c>
      <c r="D454" s="48" t="s">
        <v>298</v>
      </c>
      <c r="E454" s="48" t="s">
        <v>87</v>
      </c>
      <c r="F454" s="205">
        <f ca="1" t="shared" si="389"/>
        <v>0</v>
      </c>
      <c r="G454" s="205">
        <f ca="1" t="shared" si="390"/>
        <v>0</v>
      </c>
      <c r="H454" s="205">
        <f ca="1" t="shared" si="391"/>
        <v>0</v>
      </c>
      <c r="I454" s="205">
        <f ca="1" t="shared" si="392"/>
        <v>0</v>
      </c>
      <c r="J454" s="205">
        <f ca="1" t="shared" si="393"/>
        <v>0</v>
      </c>
      <c r="K454" s="205">
        <f ca="1" t="shared" si="394"/>
        <v>0</v>
      </c>
      <c r="L454" s="205">
        <f ca="1" t="shared" si="395"/>
        <v>0</v>
      </c>
      <c r="M454" s="205">
        <f ca="1" t="shared" si="396"/>
        <v>0</v>
      </c>
      <c r="N454" s="205">
        <f ca="1" t="shared" si="397"/>
        <v>0</v>
      </c>
      <c r="O454" s="205">
        <f ca="1" t="shared" si="398"/>
        <v>0</v>
      </c>
      <c r="P454" s="205">
        <f ca="1" t="shared" si="399"/>
        <v>0</v>
      </c>
      <c r="Q454" s="205">
        <f ca="1" t="shared" si="400"/>
        <v>1</v>
      </c>
    </row>
    <row r="455" ht="24" customHeight="1" spans="1:17">
      <c r="A455" s="99" t="s">
        <v>345</v>
      </c>
      <c r="B455" s="99" t="s">
        <v>290</v>
      </c>
      <c r="C455" s="99" t="s">
        <v>316</v>
      </c>
      <c r="D455" s="48" t="s">
        <v>298</v>
      </c>
      <c r="E455" s="48" t="s">
        <v>149</v>
      </c>
      <c r="F455" s="205">
        <f ca="1" t="shared" si="389"/>
        <v>0</v>
      </c>
      <c r="G455" s="205">
        <f ca="1" t="shared" si="390"/>
        <v>0</v>
      </c>
      <c r="H455" s="205">
        <f ca="1" t="shared" si="391"/>
        <v>0</v>
      </c>
      <c r="I455" s="205">
        <f ca="1" t="shared" si="392"/>
        <v>0</v>
      </c>
      <c r="J455" s="205">
        <f ca="1" t="shared" si="393"/>
        <v>0</v>
      </c>
      <c r="K455" s="205">
        <f ca="1" t="shared" si="394"/>
        <v>0</v>
      </c>
      <c r="L455" s="205">
        <f ca="1" t="shared" si="395"/>
        <v>0</v>
      </c>
      <c r="M455" s="205">
        <f ca="1" t="shared" si="396"/>
        <v>0</v>
      </c>
      <c r="N455" s="205">
        <f ca="1" t="shared" si="397"/>
        <v>0</v>
      </c>
      <c r="O455" s="205">
        <f ca="1" t="shared" si="398"/>
        <v>0</v>
      </c>
      <c r="P455" s="205">
        <f ca="1" t="shared" si="399"/>
        <v>0</v>
      </c>
      <c r="Q455" s="205">
        <f ca="1" t="shared" si="400"/>
        <v>0</v>
      </c>
    </row>
    <row r="456" ht="24" customHeight="1" spans="1:17">
      <c r="A456" s="99" t="s">
        <v>345</v>
      </c>
      <c r="B456" s="99" t="s">
        <v>290</v>
      </c>
      <c r="C456" s="99" t="s">
        <v>316</v>
      </c>
      <c r="D456" s="48" t="s">
        <v>298</v>
      </c>
      <c r="E456" s="48" t="s">
        <v>83</v>
      </c>
      <c r="F456" s="205">
        <f ca="1" t="shared" si="389"/>
        <v>1</v>
      </c>
      <c r="G456" s="205">
        <f ca="1" t="shared" si="390"/>
        <v>1</v>
      </c>
      <c r="H456" s="205">
        <f ca="1" t="shared" si="391"/>
        <v>1</v>
      </c>
      <c r="I456" s="205">
        <f ca="1" t="shared" si="392"/>
        <v>1</v>
      </c>
      <c r="J456" s="205">
        <f ca="1" t="shared" si="393"/>
        <v>1</v>
      </c>
      <c r="K456" s="205">
        <f ca="1" t="shared" si="394"/>
        <v>1</v>
      </c>
      <c r="L456" s="205">
        <f ca="1" t="shared" si="395"/>
        <v>1</v>
      </c>
      <c r="M456" s="205">
        <f ca="1" t="shared" si="396"/>
        <v>2</v>
      </c>
      <c r="N456" s="205">
        <f ca="1" t="shared" si="397"/>
        <v>2</v>
      </c>
      <c r="O456" s="205">
        <f ca="1" t="shared" si="398"/>
        <v>2</v>
      </c>
      <c r="P456" s="205">
        <f ca="1" t="shared" si="399"/>
        <v>2</v>
      </c>
      <c r="Q456" s="205">
        <f ca="1" t="shared" si="400"/>
        <v>2</v>
      </c>
    </row>
    <row r="457" ht="24" customHeight="1" spans="1:17">
      <c r="A457" s="99" t="s">
        <v>345</v>
      </c>
      <c r="B457" s="99" t="s">
        <v>299</v>
      </c>
      <c r="C457" s="99" t="s">
        <v>316</v>
      </c>
      <c r="D457" s="100" t="s">
        <v>292</v>
      </c>
      <c r="E457" s="100" t="s">
        <v>320</v>
      </c>
      <c r="F457" s="204">
        <f ca="1">IF($S$1&lt;DATE(2025,1,1)," ",IF((SUM(F458:F464)-MAX(F477,F484))&lt;0,"ERR",SUM(F458:F464)))</f>
        <v>0</v>
      </c>
      <c r="G457" s="204">
        <f ca="1">IF($S$1&lt;DATE(2025,2,1)," ",IF((SUM(G458:G464)-MAX(G477,G484))&lt;0,"ERR",SUM(G458:G464)))</f>
        <v>1</v>
      </c>
      <c r="H457" s="204">
        <f ca="1">IF($S$1&lt;DATE(2025,3,1)," ",IF((SUM(H458:H464)-MAX(H477,H484))&lt;0,"ERR",SUM(H458:H464)))</f>
        <v>1</v>
      </c>
      <c r="I457" s="204">
        <f ca="1">IF($S$1&lt;DATE(2025,4,1)," ",IF((SUM(I458:I464)-MAX(I477,I484))&lt;0,"ERR",SUM(I458:I464)))</f>
        <v>1</v>
      </c>
      <c r="J457" s="204">
        <f ca="1">IF($S$1&lt;DATE(2025,5,1)," ",IF((SUM(J458:J464)-MAX(J477,J484))&lt;0,"ERR",SUM(J458:J464)))</f>
        <v>1</v>
      </c>
      <c r="K457" s="204">
        <f ca="1">IF($S$1&lt;DATE(2025,6,1)," ",IF((SUM(K458:K464)-MAX(K477,K484))&lt;0,"ERR",SUM(K458:K464)))</f>
        <v>1</v>
      </c>
      <c r="L457" s="204">
        <f ca="1">IF($S$1&lt;DATE(2025,7,1)," ",IF((SUM(L458:L464)-MAX(L477,L484))&lt;0,"ERR",SUM(L458:L464)))</f>
        <v>1</v>
      </c>
      <c r="M457" s="204">
        <f ca="1">IF($S$1&lt;DATE(2025,8,1)," ",IF((SUM(M458:M464)-MAX(M477,M484))&lt;0,"ERR",SUM(M458:M464)))</f>
        <v>1</v>
      </c>
      <c r="N457" s="204">
        <f ca="1">IF($S$1&lt;DATE(2025,9,1)," ",IF((SUM(N458:N464)-MAX(N477,N484))&lt;0,"ERR",SUM(N458:N464)))</f>
        <v>2</v>
      </c>
      <c r="O457" s="204">
        <f ca="1">IF($S$1&lt;DATE(2025,10,1)," ",IF((SUM(O458:O464)-MAX(O477,O484))&lt;0,"ERR",SUM(O458:O464)))</f>
        <v>5</v>
      </c>
      <c r="P457" s="204">
        <f ca="1">IF($S$1&lt;DATE(2025,11,1)," ",IF((SUM(P458:P464)-MAX(P477,P484))&lt;0,"ERR",SUM(P458:P464)))</f>
        <v>5</v>
      </c>
      <c r="Q457" s="204">
        <f ca="1">IF($S$1&lt;DATE(2025,12,1)," ",IF((SUM(Q458:Q464)-MAX(Q477,Q484))&lt;0,"ERR",SUM(Q458:Q464)))</f>
        <v>5</v>
      </c>
    </row>
    <row r="458" ht="24" customHeight="1" spans="1:17">
      <c r="A458" s="99" t="s">
        <v>345</v>
      </c>
      <c r="B458" s="99" t="s">
        <v>299</v>
      </c>
      <c r="C458" s="99" t="s">
        <v>316</v>
      </c>
      <c r="D458" s="48" t="s">
        <v>31</v>
      </c>
      <c r="E458" s="48" t="s">
        <v>90</v>
      </c>
      <c r="F458" s="205">
        <f ca="1" t="shared" ref="F458:F464" si="401">IF($S$1&lt;DATE(2025,1,1)," ",F360)</f>
        <v>0</v>
      </c>
      <c r="G458" s="205">
        <f ca="1" t="shared" ref="G458:G464" si="402">IF($S$1&lt;DATE(2025,2,1)," ",G360+F458)</f>
        <v>0</v>
      </c>
      <c r="H458" s="205">
        <f ca="1" t="shared" ref="H458:H464" si="403">IF($S$1&lt;DATE(2025,3,1)," ",H360+G458)</f>
        <v>0</v>
      </c>
      <c r="I458" s="205">
        <f ca="1" t="shared" ref="I458:I464" si="404">IF($S$1&lt;DATE(2025,4,1)," ",I360+H458)</f>
        <v>0</v>
      </c>
      <c r="J458" s="205">
        <f ca="1" t="shared" ref="J458:J464" si="405">IF($S$1&lt;DATE(2025,5,1)," ",J360+I458)</f>
        <v>0</v>
      </c>
      <c r="K458" s="205">
        <f ca="1" t="shared" ref="K458:K464" si="406">IF($S$1&lt;DATE(2025,6,1)," ",K360+J458)</f>
        <v>0</v>
      </c>
      <c r="L458" s="205">
        <f ca="1" t="shared" ref="L458:L464" si="407">IF($S$1&lt;DATE(2025,7,1)," ",L360+K458)</f>
        <v>0</v>
      </c>
      <c r="M458" s="205">
        <f ca="1" t="shared" ref="M458:M464" si="408">IF($S$1&lt;DATE(2025,8,1)," ",M360+L458)</f>
        <v>0</v>
      </c>
      <c r="N458" s="205">
        <f ca="1" t="shared" ref="N458:N464" si="409">IF($S$1&lt;DATE(2025,9,1)," ",N360+M458)</f>
        <v>0</v>
      </c>
      <c r="O458" s="205">
        <f ca="1" t="shared" ref="O458:O464" si="410">IF($S$1&lt;DATE(2025,10,1)," ",O360+N458)</f>
        <v>2</v>
      </c>
      <c r="P458" s="205">
        <f ca="1" t="shared" ref="P458:P464" si="411">IF($S$1&lt;DATE(2025,11,1)," ",P360+O458)</f>
        <v>2</v>
      </c>
      <c r="Q458" s="205">
        <f ca="1" t="shared" ref="Q458:Q464" si="412">IF($S$1&lt;DATE(2025,12,1)," ",Q360+P458)</f>
        <v>2</v>
      </c>
    </row>
    <row r="459" ht="24" customHeight="1" spans="1:17">
      <c r="A459" s="99" t="s">
        <v>345</v>
      </c>
      <c r="B459" s="99" t="s">
        <v>299</v>
      </c>
      <c r="C459" s="99" t="s">
        <v>316</v>
      </c>
      <c r="D459" s="48" t="s">
        <v>31</v>
      </c>
      <c r="E459" s="48" t="s">
        <v>82</v>
      </c>
      <c r="F459" s="205">
        <f ca="1" t="shared" si="401"/>
        <v>0</v>
      </c>
      <c r="G459" s="205">
        <f ca="1" t="shared" si="402"/>
        <v>1</v>
      </c>
      <c r="H459" s="205">
        <f ca="1" t="shared" si="403"/>
        <v>1</v>
      </c>
      <c r="I459" s="205">
        <f ca="1" t="shared" si="404"/>
        <v>1</v>
      </c>
      <c r="J459" s="205">
        <f ca="1" t="shared" si="405"/>
        <v>1</v>
      </c>
      <c r="K459" s="205">
        <f ca="1" t="shared" si="406"/>
        <v>1</v>
      </c>
      <c r="L459" s="205">
        <f ca="1" t="shared" si="407"/>
        <v>1</v>
      </c>
      <c r="M459" s="205">
        <f ca="1" t="shared" si="408"/>
        <v>1</v>
      </c>
      <c r="N459" s="205">
        <f ca="1" t="shared" si="409"/>
        <v>1</v>
      </c>
      <c r="O459" s="205">
        <f ca="1" t="shared" si="410"/>
        <v>2</v>
      </c>
      <c r="P459" s="205">
        <f ca="1" t="shared" si="411"/>
        <v>2</v>
      </c>
      <c r="Q459" s="205">
        <f ca="1" t="shared" si="412"/>
        <v>2</v>
      </c>
    </row>
    <row r="460" ht="24" customHeight="1" spans="1:17">
      <c r="A460" s="99" t="s">
        <v>345</v>
      </c>
      <c r="B460" s="99" t="s">
        <v>299</v>
      </c>
      <c r="C460" s="99" t="s">
        <v>316</v>
      </c>
      <c r="D460" s="48" t="s">
        <v>31</v>
      </c>
      <c r="E460" s="48" t="s">
        <v>86</v>
      </c>
      <c r="F460" s="205">
        <f ca="1" t="shared" si="401"/>
        <v>0</v>
      </c>
      <c r="G460" s="205">
        <f ca="1" t="shared" si="402"/>
        <v>0</v>
      </c>
      <c r="H460" s="205">
        <f ca="1" t="shared" si="403"/>
        <v>0</v>
      </c>
      <c r="I460" s="205">
        <f ca="1" t="shared" si="404"/>
        <v>0</v>
      </c>
      <c r="J460" s="205">
        <f ca="1" t="shared" si="405"/>
        <v>0</v>
      </c>
      <c r="K460" s="205">
        <f ca="1" t="shared" si="406"/>
        <v>0</v>
      </c>
      <c r="L460" s="205">
        <f ca="1" t="shared" si="407"/>
        <v>0</v>
      </c>
      <c r="M460" s="205">
        <f ca="1" t="shared" si="408"/>
        <v>0</v>
      </c>
      <c r="N460" s="205">
        <f ca="1" t="shared" si="409"/>
        <v>0</v>
      </c>
      <c r="O460" s="205">
        <f ca="1" t="shared" si="410"/>
        <v>0</v>
      </c>
      <c r="P460" s="205">
        <f ca="1" t="shared" si="411"/>
        <v>0</v>
      </c>
      <c r="Q460" s="205">
        <f ca="1" t="shared" si="412"/>
        <v>0</v>
      </c>
    </row>
    <row r="461" ht="24" customHeight="1" spans="1:17">
      <c r="A461" s="99" t="s">
        <v>345</v>
      </c>
      <c r="B461" s="99" t="s">
        <v>299</v>
      </c>
      <c r="C461" s="99" t="s">
        <v>316</v>
      </c>
      <c r="D461" s="48" t="s">
        <v>31</v>
      </c>
      <c r="E461" s="48" t="s">
        <v>97</v>
      </c>
      <c r="F461" s="205">
        <f ca="1" t="shared" si="401"/>
        <v>0</v>
      </c>
      <c r="G461" s="205">
        <f ca="1" t="shared" si="402"/>
        <v>0</v>
      </c>
      <c r="H461" s="205">
        <f ca="1" t="shared" si="403"/>
        <v>0</v>
      </c>
      <c r="I461" s="205">
        <f ca="1" t="shared" si="404"/>
        <v>0</v>
      </c>
      <c r="J461" s="205">
        <f ca="1" t="shared" si="405"/>
        <v>0</v>
      </c>
      <c r="K461" s="205">
        <f ca="1" t="shared" si="406"/>
        <v>0</v>
      </c>
      <c r="L461" s="205">
        <f ca="1" t="shared" si="407"/>
        <v>0</v>
      </c>
      <c r="M461" s="205">
        <f ca="1" t="shared" si="408"/>
        <v>0</v>
      </c>
      <c r="N461" s="205">
        <f ca="1" t="shared" si="409"/>
        <v>1</v>
      </c>
      <c r="O461" s="205">
        <f ca="1" t="shared" si="410"/>
        <v>1</v>
      </c>
      <c r="P461" s="205">
        <f ca="1" t="shared" si="411"/>
        <v>1</v>
      </c>
      <c r="Q461" s="205">
        <f ca="1" t="shared" si="412"/>
        <v>1</v>
      </c>
    </row>
    <row r="462" ht="24" customHeight="1" spans="1:17">
      <c r="A462" s="99" t="s">
        <v>345</v>
      </c>
      <c r="B462" s="99" t="s">
        <v>299</v>
      </c>
      <c r="C462" s="99" t="s">
        <v>316</v>
      </c>
      <c r="D462" s="48" t="s">
        <v>31</v>
      </c>
      <c r="E462" s="48" t="s">
        <v>87</v>
      </c>
      <c r="F462" s="205">
        <f ca="1" t="shared" si="401"/>
        <v>0</v>
      </c>
      <c r="G462" s="205">
        <f ca="1" t="shared" si="402"/>
        <v>0</v>
      </c>
      <c r="H462" s="205">
        <f ca="1" t="shared" si="403"/>
        <v>0</v>
      </c>
      <c r="I462" s="205">
        <f ca="1" t="shared" si="404"/>
        <v>0</v>
      </c>
      <c r="J462" s="205">
        <f ca="1" t="shared" si="405"/>
        <v>0</v>
      </c>
      <c r="K462" s="205">
        <f ca="1" t="shared" si="406"/>
        <v>0</v>
      </c>
      <c r="L462" s="205">
        <f ca="1" t="shared" si="407"/>
        <v>0</v>
      </c>
      <c r="M462" s="205">
        <f ca="1" t="shared" si="408"/>
        <v>0</v>
      </c>
      <c r="N462" s="205">
        <f ca="1" t="shared" si="409"/>
        <v>0</v>
      </c>
      <c r="O462" s="205">
        <f ca="1" t="shared" si="410"/>
        <v>0</v>
      </c>
      <c r="P462" s="205">
        <f ca="1" t="shared" si="411"/>
        <v>0</v>
      </c>
      <c r="Q462" s="205">
        <f ca="1" t="shared" si="412"/>
        <v>0</v>
      </c>
    </row>
    <row r="463" ht="24" customHeight="1" spans="1:17">
      <c r="A463" s="99" t="s">
        <v>345</v>
      </c>
      <c r="B463" s="99" t="s">
        <v>299</v>
      </c>
      <c r="C463" s="99" t="s">
        <v>316</v>
      </c>
      <c r="D463" s="48" t="s">
        <v>31</v>
      </c>
      <c r="E463" s="48" t="s">
        <v>149</v>
      </c>
      <c r="F463" s="205">
        <f ca="1" t="shared" si="401"/>
        <v>0</v>
      </c>
      <c r="G463" s="205">
        <f ca="1" t="shared" si="402"/>
        <v>0</v>
      </c>
      <c r="H463" s="205">
        <f ca="1" t="shared" si="403"/>
        <v>0</v>
      </c>
      <c r="I463" s="205">
        <f ca="1" t="shared" si="404"/>
        <v>0</v>
      </c>
      <c r="J463" s="205">
        <f ca="1" t="shared" si="405"/>
        <v>0</v>
      </c>
      <c r="K463" s="205">
        <f ca="1" t="shared" si="406"/>
        <v>0</v>
      </c>
      <c r="L463" s="205">
        <f ca="1" t="shared" si="407"/>
        <v>0</v>
      </c>
      <c r="M463" s="205">
        <f ca="1" t="shared" si="408"/>
        <v>0</v>
      </c>
      <c r="N463" s="205">
        <f ca="1" t="shared" si="409"/>
        <v>0</v>
      </c>
      <c r="O463" s="205">
        <f ca="1" t="shared" si="410"/>
        <v>0</v>
      </c>
      <c r="P463" s="205">
        <f ca="1" t="shared" si="411"/>
        <v>0</v>
      </c>
      <c r="Q463" s="205">
        <f ca="1" t="shared" si="412"/>
        <v>0</v>
      </c>
    </row>
    <row r="464" ht="24" customHeight="1" spans="1:17">
      <c r="A464" s="99" t="s">
        <v>345</v>
      </c>
      <c r="B464" s="99" t="s">
        <v>299</v>
      </c>
      <c r="C464" s="99" t="s">
        <v>316</v>
      </c>
      <c r="D464" s="48" t="s">
        <v>31</v>
      </c>
      <c r="E464" s="48" t="s">
        <v>83</v>
      </c>
      <c r="F464" s="205">
        <f ca="1" t="shared" si="401"/>
        <v>0</v>
      </c>
      <c r="G464" s="205">
        <f ca="1" t="shared" si="402"/>
        <v>0</v>
      </c>
      <c r="H464" s="205">
        <f ca="1" t="shared" si="403"/>
        <v>0</v>
      </c>
      <c r="I464" s="205">
        <f ca="1" t="shared" si="404"/>
        <v>0</v>
      </c>
      <c r="J464" s="205">
        <f ca="1" t="shared" si="405"/>
        <v>0</v>
      </c>
      <c r="K464" s="205">
        <f ca="1" t="shared" si="406"/>
        <v>0</v>
      </c>
      <c r="L464" s="205">
        <f ca="1" t="shared" si="407"/>
        <v>0</v>
      </c>
      <c r="M464" s="205">
        <f ca="1" t="shared" si="408"/>
        <v>0</v>
      </c>
      <c r="N464" s="205">
        <f ca="1" t="shared" si="409"/>
        <v>0</v>
      </c>
      <c r="O464" s="205">
        <f ca="1" t="shared" si="410"/>
        <v>0</v>
      </c>
      <c r="P464" s="205">
        <f ca="1" t="shared" si="411"/>
        <v>0</v>
      </c>
      <c r="Q464" s="205">
        <f ca="1" t="shared" si="412"/>
        <v>0</v>
      </c>
    </row>
    <row r="465" ht="24" customHeight="1" spans="1:17">
      <c r="A465" s="99" t="s">
        <v>345</v>
      </c>
      <c r="B465" s="99" t="s">
        <v>299</v>
      </c>
      <c r="C465" s="99" t="s">
        <v>316</v>
      </c>
      <c r="D465" s="48" t="s">
        <v>321</v>
      </c>
      <c r="E465" s="48" t="s">
        <v>90</v>
      </c>
      <c r="F465" s="112" t="str">
        <f ca="1" t="shared" ref="F465:Q465" si="413">IFERROR(F458/F457," ")</f>
        <v> </v>
      </c>
      <c r="G465" s="112">
        <f ca="1" t="shared" si="413"/>
        <v>0</v>
      </c>
      <c r="H465" s="112">
        <f ca="1" t="shared" si="413"/>
        <v>0</v>
      </c>
      <c r="I465" s="112">
        <f ca="1" t="shared" si="413"/>
        <v>0</v>
      </c>
      <c r="J465" s="112">
        <f ca="1" t="shared" si="413"/>
        <v>0</v>
      </c>
      <c r="K465" s="112">
        <f ca="1" t="shared" si="413"/>
        <v>0</v>
      </c>
      <c r="L465" s="112">
        <f ca="1" t="shared" si="413"/>
        <v>0</v>
      </c>
      <c r="M465" s="112">
        <f ca="1" t="shared" si="413"/>
        <v>0</v>
      </c>
      <c r="N465" s="112">
        <f ca="1" t="shared" si="413"/>
        <v>0</v>
      </c>
      <c r="O465" s="112">
        <f ca="1" t="shared" si="413"/>
        <v>0.4</v>
      </c>
      <c r="P465" s="112">
        <f ca="1" t="shared" si="413"/>
        <v>0.4</v>
      </c>
      <c r="Q465" s="112">
        <f ca="1" t="shared" si="413"/>
        <v>0.4</v>
      </c>
    </row>
    <row r="466" ht="24" customHeight="1" spans="1:17">
      <c r="A466" s="99" t="s">
        <v>345</v>
      </c>
      <c r="B466" s="99" t="s">
        <v>299</v>
      </c>
      <c r="C466" s="99" t="s">
        <v>316</v>
      </c>
      <c r="D466" s="48" t="s">
        <v>321</v>
      </c>
      <c r="E466" s="48" t="s">
        <v>82</v>
      </c>
      <c r="F466" s="112" t="str">
        <f ca="1" t="shared" ref="F466:Q466" si="414">IFERROR(F459/F457," ")</f>
        <v> </v>
      </c>
      <c r="G466" s="112">
        <f ca="1" t="shared" si="414"/>
        <v>1</v>
      </c>
      <c r="H466" s="112">
        <f ca="1" t="shared" si="414"/>
        <v>1</v>
      </c>
      <c r="I466" s="112">
        <f ca="1" t="shared" si="414"/>
        <v>1</v>
      </c>
      <c r="J466" s="112">
        <f ca="1" t="shared" si="414"/>
        <v>1</v>
      </c>
      <c r="K466" s="112">
        <f ca="1" t="shared" si="414"/>
        <v>1</v>
      </c>
      <c r="L466" s="112">
        <f ca="1" t="shared" si="414"/>
        <v>1</v>
      </c>
      <c r="M466" s="112">
        <f ca="1" t="shared" si="414"/>
        <v>1</v>
      </c>
      <c r="N466" s="112">
        <f ca="1" t="shared" si="414"/>
        <v>0.5</v>
      </c>
      <c r="O466" s="112">
        <f ca="1" t="shared" si="414"/>
        <v>0.4</v>
      </c>
      <c r="P466" s="112">
        <f ca="1" t="shared" si="414"/>
        <v>0.4</v>
      </c>
      <c r="Q466" s="112">
        <f ca="1" t="shared" si="414"/>
        <v>0.4</v>
      </c>
    </row>
    <row r="467" ht="24" customHeight="1" spans="1:17">
      <c r="A467" s="99" t="s">
        <v>345</v>
      </c>
      <c r="B467" s="99" t="s">
        <v>299</v>
      </c>
      <c r="C467" s="99" t="s">
        <v>316</v>
      </c>
      <c r="D467" s="48" t="s">
        <v>321</v>
      </c>
      <c r="E467" s="48" t="s">
        <v>86</v>
      </c>
      <c r="F467" s="112" t="str">
        <f ca="1" t="shared" ref="F467:Q467" si="415">IFERROR(F460/F457," ")</f>
        <v> </v>
      </c>
      <c r="G467" s="112">
        <f ca="1" t="shared" si="415"/>
        <v>0</v>
      </c>
      <c r="H467" s="112">
        <f ca="1" t="shared" si="415"/>
        <v>0</v>
      </c>
      <c r="I467" s="112">
        <f ca="1" t="shared" si="415"/>
        <v>0</v>
      </c>
      <c r="J467" s="112">
        <f ca="1" t="shared" si="415"/>
        <v>0</v>
      </c>
      <c r="K467" s="112">
        <f ca="1" t="shared" si="415"/>
        <v>0</v>
      </c>
      <c r="L467" s="112">
        <f ca="1" t="shared" si="415"/>
        <v>0</v>
      </c>
      <c r="M467" s="112">
        <f ca="1" t="shared" si="415"/>
        <v>0</v>
      </c>
      <c r="N467" s="112">
        <f ca="1" t="shared" si="415"/>
        <v>0</v>
      </c>
      <c r="O467" s="112">
        <f ca="1" t="shared" si="415"/>
        <v>0</v>
      </c>
      <c r="P467" s="112">
        <f ca="1" t="shared" si="415"/>
        <v>0</v>
      </c>
      <c r="Q467" s="112">
        <f ca="1" t="shared" si="415"/>
        <v>0</v>
      </c>
    </row>
    <row r="468" ht="24" customHeight="1" spans="1:17">
      <c r="A468" s="99" t="s">
        <v>345</v>
      </c>
      <c r="B468" s="99" t="s">
        <v>299</v>
      </c>
      <c r="C468" s="99" t="s">
        <v>316</v>
      </c>
      <c r="D468" s="48" t="s">
        <v>321</v>
      </c>
      <c r="E468" s="48" t="s">
        <v>97</v>
      </c>
      <c r="F468" s="112" t="str">
        <f ca="1" t="shared" ref="F468:Q468" si="416">IFERROR(F461/F457," ")</f>
        <v> </v>
      </c>
      <c r="G468" s="112">
        <f ca="1" t="shared" si="416"/>
        <v>0</v>
      </c>
      <c r="H468" s="112">
        <f ca="1" t="shared" si="416"/>
        <v>0</v>
      </c>
      <c r="I468" s="112">
        <f ca="1" t="shared" si="416"/>
        <v>0</v>
      </c>
      <c r="J468" s="112">
        <f ca="1" t="shared" si="416"/>
        <v>0</v>
      </c>
      <c r="K468" s="112">
        <f ca="1" t="shared" si="416"/>
        <v>0</v>
      </c>
      <c r="L468" s="112">
        <f ca="1" t="shared" si="416"/>
        <v>0</v>
      </c>
      <c r="M468" s="112">
        <f ca="1" t="shared" si="416"/>
        <v>0</v>
      </c>
      <c r="N468" s="112">
        <f ca="1" t="shared" si="416"/>
        <v>0.5</v>
      </c>
      <c r="O468" s="112">
        <f ca="1" t="shared" si="416"/>
        <v>0.2</v>
      </c>
      <c r="P468" s="112">
        <f ca="1" t="shared" si="416"/>
        <v>0.2</v>
      </c>
      <c r="Q468" s="112">
        <f ca="1" t="shared" si="416"/>
        <v>0.2</v>
      </c>
    </row>
    <row r="469" ht="24" customHeight="1" spans="1:17">
      <c r="A469" s="99" t="s">
        <v>345</v>
      </c>
      <c r="B469" s="99" t="s">
        <v>299</v>
      </c>
      <c r="C469" s="99" t="s">
        <v>316</v>
      </c>
      <c r="D469" s="48" t="s">
        <v>321</v>
      </c>
      <c r="E469" s="48" t="s">
        <v>87</v>
      </c>
      <c r="F469" s="112" t="str">
        <f ca="1" t="shared" ref="F469:Q469" si="417">IFERROR(F462/F457," ")</f>
        <v> </v>
      </c>
      <c r="G469" s="112">
        <f ca="1" t="shared" si="417"/>
        <v>0</v>
      </c>
      <c r="H469" s="112">
        <f ca="1" t="shared" si="417"/>
        <v>0</v>
      </c>
      <c r="I469" s="112">
        <f ca="1" t="shared" si="417"/>
        <v>0</v>
      </c>
      <c r="J469" s="112">
        <f ca="1" t="shared" si="417"/>
        <v>0</v>
      </c>
      <c r="K469" s="112">
        <f ca="1" t="shared" si="417"/>
        <v>0</v>
      </c>
      <c r="L469" s="112">
        <f ca="1" t="shared" si="417"/>
        <v>0</v>
      </c>
      <c r="M469" s="112">
        <f ca="1" t="shared" si="417"/>
        <v>0</v>
      </c>
      <c r="N469" s="112">
        <f ca="1" t="shared" si="417"/>
        <v>0</v>
      </c>
      <c r="O469" s="112">
        <f ca="1" t="shared" si="417"/>
        <v>0</v>
      </c>
      <c r="P469" s="112">
        <f ca="1" t="shared" si="417"/>
        <v>0</v>
      </c>
      <c r="Q469" s="112">
        <f ca="1" t="shared" si="417"/>
        <v>0</v>
      </c>
    </row>
    <row r="470" ht="24" customHeight="1" spans="1:17">
      <c r="A470" s="99" t="s">
        <v>345</v>
      </c>
      <c r="B470" s="99" t="s">
        <v>299</v>
      </c>
      <c r="C470" s="99" t="s">
        <v>316</v>
      </c>
      <c r="D470" s="48" t="s">
        <v>321</v>
      </c>
      <c r="E470" s="48" t="s">
        <v>149</v>
      </c>
      <c r="F470" s="112" t="str">
        <f ca="1" t="shared" ref="F470:Q470" si="418">IFERROR(F463/F457," ")</f>
        <v> </v>
      </c>
      <c r="G470" s="112">
        <f ca="1" t="shared" si="418"/>
        <v>0</v>
      </c>
      <c r="H470" s="112">
        <f ca="1" t="shared" si="418"/>
        <v>0</v>
      </c>
      <c r="I470" s="112">
        <f ca="1" t="shared" si="418"/>
        <v>0</v>
      </c>
      <c r="J470" s="112">
        <f ca="1" t="shared" si="418"/>
        <v>0</v>
      </c>
      <c r="K470" s="112">
        <f ca="1" t="shared" si="418"/>
        <v>0</v>
      </c>
      <c r="L470" s="112">
        <f ca="1" t="shared" si="418"/>
        <v>0</v>
      </c>
      <c r="M470" s="112">
        <f ca="1" t="shared" si="418"/>
        <v>0</v>
      </c>
      <c r="N470" s="112">
        <f ca="1" t="shared" si="418"/>
        <v>0</v>
      </c>
      <c r="O470" s="112">
        <f ca="1" t="shared" si="418"/>
        <v>0</v>
      </c>
      <c r="P470" s="112">
        <f ca="1" t="shared" si="418"/>
        <v>0</v>
      </c>
      <c r="Q470" s="112">
        <f ca="1" t="shared" si="418"/>
        <v>0</v>
      </c>
    </row>
    <row r="471" ht="24" customHeight="1" spans="1:17">
      <c r="A471" s="99" t="s">
        <v>345</v>
      </c>
      <c r="B471" s="99" t="s">
        <v>299</v>
      </c>
      <c r="C471" s="99" t="s">
        <v>316</v>
      </c>
      <c r="D471" s="48" t="s">
        <v>321</v>
      </c>
      <c r="E471" s="48" t="s">
        <v>83</v>
      </c>
      <c r="F471" s="112" t="str">
        <f ca="1" t="shared" ref="F471:Q471" si="419">IFERROR(F464/F457," ")</f>
        <v> </v>
      </c>
      <c r="G471" s="112">
        <f ca="1" t="shared" si="419"/>
        <v>0</v>
      </c>
      <c r="H471" s="112">
        <f ca="1" t="shared" si="419"/>
        <v>0</v>
      </c>
      <c r="I471" s="112">
        <f ca="1" t="shared" si="419"/>
        <v>0</v>
      </c>
      <c r="J471" s="112">
        <f ca="1" t="shared" si="419"/>
        <v>0</v>
      </c>
      <c r="K471" s="112">
        <f ca="1" t="shared" si="419"/>
        <v>0</v>
      </c>
      <c r="L471" s="112">
        <f ca="1" t="shared" si="419"/>
        <v>0</v>
      </c>
      <c r="M471" s="112">
        <f ca="1" t="shared" si="419"/>
        <v>0</v>
      </c>
      <c r="N471" s="112">
        <f ca="1" t="shared" si="419"/>
        <v>0</v>
      </c>
      <c r="O471" s="112">
        <f ca="1" t="shared" si="419"/>
        <v>0</v>
      </c>
      <c r="P471" s="112">
        <f ca="1" t="shared" si="419"/>
        <v>0</v>
      </c>
      <c r="Q471" s="112">
        <f ca="1" t="shared" si="419"/>
        <v>0</v>
      </c>
    </row>
    <row r="472" ht="24" customHeight="1" spans="1:17">
      <c r="A472" s="99" t="s">
        <v>345</v>
      </c>
      <c r="B472" s="99" t="s">
        <v>299</v>
      </c>
      <c r="C472" s="99" t="s">
        <v>316</v>
      </c>
      <c r="D472" s="47" t="s">
        <v>294</v>
      </c>
      <c r="E472" s="47" t="s">
        <v>93</v>
      </c>
      <c r="F472" s="206">
        <f ca="1" t="shared" ref="F472:Q472" si="420">IF($S$1&lt;DATE(2025,1,1)," ",F367)</f>
        <v>0</v>
      </c>
      <c r="G472" s="206">
        <f ca="1" t="shared" si="420"/>
        <v>1</v>
      </c>
      <c r="H472" s="206">
        <f ca="1" t="shared" si="420"/>
        <v>0</v>
      </c>
      <c r="I472" s="206">
        <f ca="1" t="shared" si="420"/>
        <v>0</v>
      </c>
      <c r="J472" s="206">
        <f ca="1" t="shared" si="420"/>
        <v>0</v>
      </c>
      <c r="K472" s="206">
        <f ca="1" t="shared" si="420"/>
        <v>0</v>
      </c>
      <c r="L472" s="206">
        <f ca="1" t="shared" si="420"/>
        <v>0</v>
      </c>
      <c r="M472" s="206">
        <f ca="1" t="shared" si="420"/>
        <v>0</v>
      </c>
      <c r="N472" s="206">
        <f ca="1" t="shared" si="420"/>
        <v>1</v>
      </c>
      <c r="O472" s="206">
        <f ca="1" t="shared" si="420"/>
        <v>1</v>
      </c>
      <c r="P472" s="206">
        <f ca="1" t="shared" si="420"/>
        <v>0</v>
      </c>
      <c r="Q472" s="206">
        <f ca="1" t="shared" si="420"/>
        <v>0</v>
      </c>
    </row>
    <row r="473" ht="24" customHeight="1" spans="1:17">
      <c r="A473" s="99" t="s">
        <v>345</v>
      </c>
      <c r="B473" s="99" t="s">
        <v>299</v>
      </c>
      <c r="C473" s="99" t="s">
        <v>316</v>
      </c>
      <c r="D473" s="47" t="s">
        <v>294</v>
      </c>
      <c r="E473" s="47" t="s">
        <v>85</v>
      </c>
      <c r="F473" s="206">
        <f ca="1" t="shared" ref="F473:Q473" si="421">IF($S$1&lt;DATE(2025,1,1)," ",F368)</f>
        <v>0</v>
      </c>
      <c r="G473" s="206">
        <f ca="1" t="shared" si="421"/>
        <v>0</v>
      </c>
      <c r="H473" s="206">
        <f ca="1" t="shared" si="421"/>
        <v>0</v>
      </c>
      <c r="I473" s="206">
        <f ca="1" t="shared" si="421"/>
        <v>0</v>
      </c>
      <c r="J473" s="206">
        <f ca="1" t="shared" si="421"/>
        <v>0</v>
      </c>
      <c r="K473" s="206">
        <f ca="1" t="shared" si="421"/>
        <v>0</v>
      </c>
      <c r="L473" s="206">
        <f ca="1" t="shared" si="421"/>
        <v>0</v>
      </c>
      <c r="M473" s="206">
        <f ca="1" t="shared" si="421"/>
        <v>0</v>
      </c>
      <c r="N473" s="206">
        <f ca="1" t="shared" si="421"/>
        <v>0</v>
      </c>
      <c r="O473" s="206">
        <f ca="1" t="shared" si="421"/>
        <v>2</v>
      </c>
      <c r="P473" s="206">
        <f ca="1" t="shared" si="421"/>
        <v>0</v>
      </c>
      <c r="Q473" s="206">
        <f ca="1" t="shared" si="421"/>
        <v>0</v>
      </c>
    </row>
    <row r="474" ht="24" customHeight="1" spans="1:17">
      <c r="A474" s="99" t="s">
        <v>345</v>
      </c>
      <c r="B474" s="99" t="s">
        <v>299</v>
      </c>
      <c r="C474" s="99" t="s">
        <v>316</v>
      </c>
      <c r="D474" s="47" t="s">
        <v>294</v>
      </c>
      <c r="E474" s="47" t="s">
        <v>81</v>
      </c>
      <c r="F474" s="206">
        <f ca="1" t="shared" ref="F474:Q474" si="422">IF($S$1&lt;DATE(2025,1,1)," ",F369)</f>
        <v>0</v>
      </c>
      <c r="G474" s="206">
        <f ca="1" t="shared" si="422"/>
        <v>0</v>
      </c>
      <c r="H474" s="206">
        <f ca="1" t="shared" si="422"/>
        <v>0</v>
      </c>
      <c r="I474" s="206">
        <f ca="1" t="shared" si="422"/>
        <v>0</v>
      </c>
      <c r="J474" s="206">
        <f ca="1" t="shared" si="422"/>
        <v>0</v>
      </c>
      <c r="K474" s="206">
        <f ca="1" t="shared" si="422"/>
        <v>0</v>
      </c>
      <c r="L474" s="206">
        <f ca="1" t="shared" si="422"/>
        <v>0</v>
      </c>
      <c r="M474" s="206">
        <f ca="1" t="shared" si="422"/>
        <v>0</v>
      </c>
      <c r="N474" s="206">
        <f ca="1" t="shared" si="422"/>
        <v>0</v>
      </c>
      <c r="O474" s="206">
        <f ca="1" t="shared" si="422"/>
        <v>0</v>
      </c>
      <c r="P474" s="206">
        <f ca="1" t="shared" si="422"/>
        <v>0</v>
      </c>
      <c r="Q474" s="206">
        <f ca="1" t="shared" si="422"/>
        <v>0</v>
      </c>
    </row>
    <row r="475" ht="24" customHeight="1" spans="1:17">
      <c r="A475" s="99" t="s">
        <v>345</v>
      </c>
      <c r="B475" s="99" t="s">
        <v>299</v>
      </c>
      <c r="C475" s="99" t="s">
        <v>316</v>
      </c>
      <c r="D475" s="47" t="s">
        <v>294</v>
      </c>
      <c r="E475" s="47" t="s">
        <v>96</v>
      </c>
      <c r="F475" s="206">
        <f ca="1" t="shared" ref="F475:Q475" si="423">IF($S$1&lt;DATE(2025,1,1)," ",F370)</f>
        <v>0</v>
      </c>
      <c r="G475" s="206">
        <f ca="1" t="shared" si="423"/>
        <v>0</v>
      </c>
      <c r="H475" s="206">
        <f ca="1" t="shared" si="423"/>
        <v>0</v>
      </c>
      <c r="I475" s="206">
        <f ca="1" t="shared" si="423"/>
        <v>0</v>
      </c>
      <c r="J475" s="206">
        <f ca="1" t="shared" si="423"/>
        <v>0</v>
      </c>
      <c r="K475" s="206">
        <f ca="1" t="shared" si="423"/>
        <v>0</v>
      </c>
      <c r="L475" s="206">
        <f ca="1" t="shared" si="423"/>
        <v>0</v>
      </c>
      <c r="M475" s="206">
        <f ca="1" t="shared" si="423"/>
        <v>0</v>
      </c>
      <c r="N475" s="206">
        <f ca="1" t="shared" si="423"/>
        <v>0</v>
      </c>
      <c r="O475" s="206">
        <f ca="1" t="shared" si="423"/>
        <v>0</v>
      </c>
      <c r="P475" s="206">
        <f ca="1" t="shared" si="423"/>
        <v>0</v>
      </c>
      <c r="Q475" s="206">
        <f ca="1" t="shared" si="423"/>
        <v>0</v>
      </c>
    </row>
    <row r="476" ht="24" customHeight="1" spans="1:17">
      <c r="A476" s="99" t="s">
        <v>345</v>
      </c>
      <c r="B476" s="99" t="s">
        <v>299</v>
      </c>
      <c r="C476" s="99" t="s">
        <v>316</v>
      </c>
      <c r="D476" s="47" t="s">
        <v>294</v>
      </c>
      <c r="E476" s="47" t="s">
        <v>160</v>
      </c>
      <c r="F476" s="206">
        <f ca="1" t="shared" ref="F476:Q476" si="424">IF($S$1&lt;DATE(2025,1,1)," ",F371)</f>
        <v>0</v>
      </c>
      <c r="G476" s="206">
        <f ca="1" t="shared" si="424"/>
        <v>0</v>
      </c>
      <c r="H476" s="206">
        <f ca="1" t="shared" si="424"/>
        <v>0</v>
      </c>
      <c r="I476" s="206">
        <f ca="1" t="shared" si="424"/>
        <v>0</v>
      </c>
      <c r="J476" s="206">
        <f ca="1" t="shared" si="424"/>
        <v>0</v>
      </c>
      <c r="K476" s="206">
        <f ca="1" t="shared" si="424"/>
        <v>0</v>
      </c>
      <c r="L476" s="206">
        <f ca="1" t="shared" si="424"/>
        <v>0</v>
      </c>
      <c r="M476" s="206">
        <f ca="1" t="shared" si="424"/>
        <v>0</v>
      </c>
      <c r="N476" s="206">
        <f ca="1" t="shared" si="424"/>
        <v>0</v>
      </c>
      <c r="O476" s="206">
        <f ca="1" t="shared" si="424"/>
        <v>0</v>
      </c>
      <c r="P476" s="206">
        <f ca="1" t="shared" si="424"/>
        <v>0</v>
      </c>
      <c r="Q476" s="206">
        <f ca="1" t="shared" si="424"/>
        <v>0</v>
      </c>
    </row>
    <row r="477" ht="24" customHeight="1" spans="1:17">
      <c r="A477" s="99" t="s">
        <v>345</v>
      </c>
      <c r="B477" s="99" t="s">
        <v>299</v>
      </c>
      <c r="C477" s="99" t="s">
        <v>316</v>
      </c>
      <c r="D477" s="100" t="s">
        <v>292</v>
      </c>
      <c r="E477" s="100" t="s">
        <v>322</v>
      </c>
      <c r="F477" s="204">
        <f ca="1">IF($S$1&lt;DATE(2025,1,1)," ",SUM(F478:F480))</f>
        <v>0</v>
      </c>
      <c r="G477" s="204">
        <f ca="1">IF($S$1&lt;DATE(2025,2,1)," ",SUM(G478:G480))</f>
        <v>1</v>
      </c>
      <c r="H477" s="204">
        <f ca="1">IF($S$1&lt;DATE(2025,3,1)," ",SUM(H478:H480))</f>
        <v>1</v>
      </c>
      <c r="I477" s="204">
        <f ca="1">IF($S$1&lt;DATE(2025,4,1)," ",SUM(I478:I480))</f>
        <v>1</v>
      </c>
      <c r="J477" s="204">
        <f ca="1">IF($S$1&lt;DATE(2025,5,1)," ",SUM(J478:J480))</f>
        <v>1</v>
      </c>
      <c r="K477" s="204">
        <f ca="1">IF($S$1&lt;DATE(2025,6,1)," ",SUM(K478:K480))</f>
        <v>1</v>
      </c>
      <c r="L477" s="204">
        <f ca="1">IF($S$1&lt;DATE(2025,7,1)," ",SUM(L478:L480))</f>
        <v>1</v>
      </c>
      <c r="M477" s="204">
        <f ca="1">IF($S$1&lt;DATE(2025,8,1)," ",SUM(M478:M480))</f>
        <v>1</v>
      </c>
      <c r="N477" s="204">
        <f ca="1">IF($S$1&lt;DATE(2025,9,1)," ",SUM(N478:N480))</f>
        <v>2</v>
      </c>
      <c r="O477" s="204">
        <f ca="1">IF($S$1&lt;DATE(2025,10,1)," ",SUM(O478:O480))</f>
        <v>5</v>
      </c>
      <c r="P477" s="204">
        <f ca="1">IF($S$1&lt;DATE(2025,11,1)," ",SUM(P478:P480))</f>
        <v>5</v>
      </c>
      <c r="Q477" s="204">
        <f ca="1">IF($S$1&lt;DATE(2025,12,1)," ",SUM(Q478:Q480))</f>
        <v>5</v>
      </c>
    </row>
    <row r="478" ht="24" customHeight="1" spans="1:17">
      <c r="A478" s="99" t="s">
        <v>345</v>
      </c>
      <c r="B478" s="99" t="s">
        <v>299</v>
      </c>
      <c r="C478" s="99" t="s">
        <v>316</v>
      </c>
      <c r="D478" s="48" t="s">
        <v>296</v>
      </c>
      <c r="E478" s="48" t="s">
        <v>90</v>
      </c>
      <c r="F478" s="205">
        <f ca="1" t="shared" ref="F478:F480" si="425">IF($S$1&lt;DATE(2025,1,1)," ",F391)</f>
        <v>0</v>
      </c>
      <c r="G478" s="205">
        <f ca="1" t="shared" ref="G478:G480" si="426">IF($S$1&lt;DATE(2025,2,1)," ",G391+F478)</f>
        <v>0</v>
      </c>
      <c r="H478" s="205">
        <f ca="1" t="shared" ref="H478:H480" si="427">IF($S$1&lt;DATE(2025,3,1)," ",H391+G478)</f>
        <v>0</v>
      </c>
      <c r="I478" s="205">
        <f ca="1" t="shared" ref="I478:I480" si="428">IF($S$1&lt;DATE(2025,4,1)," ",I391+H478)</f>
        <v>0</v>
      </c>
      <c r="J478" s="205">
        <f ca="1" t="shared" ref="J478:J480" si="429">IF($S$1&lt;DATE(2025,5,1)," ",J391+I478)</f>
        <v>0</v>
      </c>
      <c r="K478" s="205">
        <f ca="1" t="shared" ref="K478:K480" si="430">IF($S$1&lt;DATE(2025,6,1)," ",K391+J478)</f>
        <v>0</v>
      </c>
      <c r="L478" s="205">
        <f ca="1" t="shared" ref="L478:L480" si="431">IF($S$1&lt;DATE(2025,7,1)," ",L391+K478)</f>
        <v>0</v>
      </c>
      <c r="M478" s="205">
        <f ca="1" t="shared" ref="M478:M480" si="432">IF($S$1&lt;DATE(2025,8,1)," ",M391+L478)</f>
        <v>0</v>
      </c>
      <c r="N478" s="205">
        <f ca="1" t="shared" ref="N478:N480" si="433">IF($S$1&lt;DATE(2025,9,1)," ",N391+M478)</f>
        <v>0</v>
      </c>
      <c r="O478" s="205">
        <f ca="1" t="shared" ref="O478:O480" si="434">IF($S$1&lt;DATE(2025,10,1)," ",O391+N478)</f>
        <v>2</v>
      </c>
      <c r="P478" s="205">
        <f ca="1" t="shared" ref="P478:P480" si="435">IF($S$1&lt;DATE(2025,11,1)," ",P391+O478)</f>
        <v>2</v>
      </c>
      <c r="Q478" s="205">
        <f ca="1" t="shared" ref="Q478:Q480" si="436">IF($S$1&lt;DATE(2025,12,1)," ",Q391+P478)</f>
        <v>2</v>
      </c>
    </row>
    <row r="479" ht="24" customHeight="1" spans="1:17">
      <c r="A479" s="99" t="s">
        <v>345</v>
      </c>
      <c r="B479" s="99" t="s">
        <v>299</v>
      </c>
      <c r="C479" s="99" t="s">
        <v>316</v>
      </c>
      <c r="D479" s="48" t="s">
        <v>296</v>
      </c>
      <c r="E479" s="48" t="s">
        <v>82</v>
      </c>
      <c r="F479" s="205">
        <f ca="1" t="shared" si="425"/>
        <v>0</v>
      </c>
      <c r="G479" s="205">
        <f ca="1" t="shared" si="426"/>
        <v>1</v>
      </c>
      <c r="H479" s="205">
        <f ca="1" t="shared" si="427"/>
        <v>1</v>
      </c>
      <c r="I479" s="205">
        <f ca="1" t="shared" si="428"/>
        <v>1</v>
      </c>
      <c r="J479" s="205">
        <f ca="1" t="shared" si="429"/>
        <v>1</v>
      </c>
      <c r="K479" s="205">
        <f ca="1" t="shared" si="430"/>
        <v>1</v>
      </c>
      <c r="L479" s="205">
        <f ca="1" t="shared" si="431"/>
        <v>1</v>
      </c>
      <c r="M479" s="205">
        <f ca="1" t="shared" si="432"/>
        <v>1</v>
      </c>
      <c r="N479" s="205">
        <f ca="1" t="shared" si="433"/>
        <v>2</v>
      </c>
      <c r="O479" s="205">
        <f ca="1" t="shared" si="434"/>
        <v>3</v>
      </c>
      <c r="P479" s="205">
        <f ca="1" t="shared" si="435"/>
        <v>3</v>
      </c>
      <c r="Q479" s="205">
        <f ca="1" t="shared" si="436"/>
        <v>3</v>
      </c>
    </row>
    <row r="480" ht="24" customHeight="1" spans="1:17">
      <c r="A480" s="99" t="s">
        <v>345</v>
      </c>
      <c r="B480" s="99" t="s">
        <v>299</v>
      </c>
      <c r="C480" s="99" t="s">
        <v>316</v>
      </c>
      <c r="D480" s="48" t="s">
        <v>296</v>
      </c>
      <c r="E480" s="48" t="s">
        <v>86</v>
      </c>
      <c r="F480" s="205">
        <f ca="1" t="shared" si="425"/>
        <v>0</v>
      </c>
      <c r="G480" s="205">
        <f ca="1" t="shared" si="426"/>
        <v>0</v>
      </c>
      <c r="H480" s="205">
        <f ca="1" t="shared" si="427"/>
        <v>0</v>
      </c>
      <c r="I480" s="205">
        <f ca="1" t="shared" si="428"/>
        <v>0</v>
      </c>
      <c r="J480" s="205">
        <f ca="1" t="shared" si="429"/>
        <v>0</v>
      </c>
      <c r="K480" s="205">
        <f ca="1" t="shared" si="430"/>
        <v>0</v>
      </c>
      <c r="L480" s="205">
        <f ca="1" t="shared" si="431"/>
        <v>0</v>
      </c>
      <c r="M480" s="205">
        <f ca="1" t="shared" si="432"/>
        <v>0</v>
      </c>
      <c r="N480" s="205">
        <f ca="1" t="shared" si="433"/>
        <v>0</v>
      </c>
      <c r="O480" s="205">
        <f ca="1" t="shared" si="434"/>
        <v>0</v>
      </c>
      <c r="P480" s="205">
        <f ca="1" t="shared" si="435"/>
        <v>0</v>
      </c>
      <c r="Q480" s="205">
        <f ca="1" t="shared" si="436"/>
        <v>0</v>
      </c>
    </row>
    <row r="481" ht="24" customHeight="1" spans="1:17">
      <c r="A481" s="99" t="s">
        <v>345</v>
      </c>
      <c r="B481" s="99" t="s">
        <v>299</v>
      </c>
      <c r="C481" s="99" t="s">
        <v>316</v>
      </c>
      <c r="D481" s="48" t="s">
        <v>323</v>
      </c>
      <c r="E481" s="48" t="s">
        <v>90</v>
      </c>
      <c r="F481" s="112" t="str">
        <f ca="1" t="shared" ref="F481:Q481" si="437">IFERROR(F478/F477," ")</f>
        <v> </v>
      </c>
      <c r="G481" s="112">
        <f ca="1" t="shared" si="437"/>
        <v>0</v>
      </c>
      <c r="H481" s="112">
        <f ca="1" t="shared" si="437"/>
        <v>0</v>
      </c>
      <c r="I481" s="112">
        <f ca="1" t="shared" si="437"/>
        <v>0</v>
      </c>
      <c r="J481" s="112">
        <f ca="1" t="shared" si="437"/>
        <v>0</v>
      </c>
      <c r="K481" s="112">
        <f ca="1" t="shared" si="437"/>
        <v>0</v>
      </c>
      <c r="L481" s="112">
        <f ca="1" t="shared" si="437"/>
        <v>0</v>
      </c>
      <c r="M481" s="112">
        <f ca="1" t="shared" si="437"/>
        <v>0</v>
      </c>
      <c r="N481" s="112">
        <f ca="1" t="shared" si="437"/>
        <v>0</v>
      </c>
      <c r="O481" s="112">
        <f ca="1" t="shared" si="437"/>
        <v>0.4</v>
      </c>
      <c r="P481" s="112">
        <f ca="1" t="shared" si="437"/>
        <v>0.4</v>
      </c>
      <c r="Q481" s="112">
        <f ca="1" t="shared" si="437"/>
        <v>0.4</v>
      </c>
    </row>
    <row r="482" ht="24" customHeight="1" spans="1:17">
      <c r="A482" s="99" t="s">
        <v>345</v>
      </c>
      <c r="B482" s="99" t="s">
        <v>299</v>
      </c>
      <c r="C482" s="99" t="s">
        <v>316</v>
      </c>
      <c r="D482" s="48" t="s">
        <v>323</v>
      </c>
      <c r="E482" s="48" t="s">
        <v>82</v>
      </c>
      <c r="F482" s="112" t="str">
        <f ca="1" t="shared" ref="F482:Q482" si="438">IFERROR(F479/F477," ")</f>
        <v> </v>
      </c>
      <c r="G482" s="112">
        <f ca="1" t="shared" si="438"/>
        <v>1</v>
      </c>
      <c r="H482" s="112">
        <f ca="1" t="shared" si="438"/>
        <v>1</v>
      </c>
      <c r="I482" s="112">
        <f ca="1" t="shared" si="438"/>
        <v>1</v>
      </c>
      <c r="J482" s="112">
        <f ca="1" t="shared" si="438"/>
        <v>1</v>
      </c>
      <c r="K482" s="112">
        <f ca="1" t="shared" si="438"/>
        <v>1</v>
      </c>
      <c r="L482" s="112">
        <f ca="1" t="shared" si="438"/>
        <v>1</v>
      </c>
      <c r="M482" s="112">
        <f ca="1" t="shared" si="438"/>
        <v>1</v>
      </c>
      <c r="N482" s="112">
        <f ca="1" t="shared" si="438"/>
        <v>1</v>
      </c>
      <c r="O482" s="112">
        <f ca="1" t="shared" si="438"/>
        <v>0.6</v>
      </c>
      <c r="P482" s="112">
        <f ca="1" t="shared" si="438"/>
        <v>0.6</v>
      </c>
      <c r="Q482" s="112">
        <f ca="1" t="shared" si="438"/>
        <v>0.6</v>
      </c>
    </row>
    <row r="483" ht="24" customHeight="1" spans="1:17">
      <c r="A483" s="99" t="s">
        <v>345</v>
      </c>
      <c r="B483" s="99" t="s">
        <v>299</v>
      </c>
      <c r="C483" s="99" t="s">
        <v>316</v>
      </c>
      <c r="D483" s="48" t="s">
        <v>323</v>
      </c>
      <c r="E483" s="48" t="s">
        <v>86</v>
      </c>
      <c r="F483" s="112" t="str">
        <f ca="1" t="shared" ref="F483:Q483" si="439">IFERROR(F480/F477," ")</f>
        <v> </v>
      </c>
      <c r="G483" s="112">
        <f ca="1" t="shared" si="439"/>
        <v>0</v>
      </c>
      <c r="H483" s="112">
        <f ca="1" t="shared" si="439"/>
        <v>0</v>
      </c>
      <c r="I483" s="112">
        <f ca="1" t="shared" si="439"/>
        <v>0</v>
      </c>
      <c r="J483" s="112">
        <f ca="1" t="shared" si="439"/>
        <v>0</v>
      </c>
      <c r="K483" s="112">
        <f ca="1" t="shared" si="439"/>
        <v>0</v>
      </c>
      <c r="L483" s="112">
        <f ca="1" t="shared" si="439"/>
        <v>0</v>
      </c>
      <c r="M483" s="112">
        <f ca="1" t="shared" si="439"/>
        <v>0</v>
      </c>
      <c r="N483" s="112">
        <f ca="1" t="shared" si="439"/>
        <v>0</v>
      </c>
      <c r="O483" s="112">
        <f ca="1" t="shared" si="439"/>
        <v>0</v>
      </c>
      <c r="P483" s="112">
        <f ca="1" t="shared" si="439"/>
        <v>0</v>
      </c>
      <c r="Q483" s="112">
        <f ca="1" t="shared" si="439"/>
        <v>0</v>
      </c>
    </row>
    <row r="484" ht="24" customHeight="1" spans="1:17">
      <c r="A484" s="99" t="s">
        <v>345</v>
      </c>
      <c r="B484" s="99" t="s">
        <v>299</v>
      </c>
      <c r="C484" s="99" t="s">
        <v>316</v>
      </c>
      <c r="D484" s="100" t="s">
        <v>292</v>
      </c>
      <c r="E484" s="100" t="s">
        <v>324</v>
      </c>
      <c r="F484" s="204">
        <f ca="1">IF($S$1&lt;DATE(2025,1,1)," ",SUM(F485:F488))</f>
        <v>0</v>
      </c>
      <c r="G484" s="204">
        <f ca="1">IF($S$1&lt;DATE(2025,2,1)," ",SUM(G485:G488))</f>
        <v>1</v>
      </c>
      <c r="H484" s="204">
        <f ca="1">IF($S$1&lt;DATE(2025,3,1)," ",SUM(H485:H488))</f>
        <v>1</v>
      </c>
      <c r="I484" s="204">
        <f ca="1">IF($S$1&lt;DATE(2025,4,1)," ",SUM(I485:I488))</f>
        <v>1</v>
      </c>
      <c r="J484" s="204">
        <f ca="1">IF($S$1&lt;DATE(2025,5,1)," ",SUM(J485:J488))</f>
        <v>1</v>
      </c>
      <c r="K484" s="204">
        <f ca="1">IF($S$1&lt;DATE(2025,6,1)," ",SUM(K485:K488))</f>
        <v>1</v>
      </c>
      <c r="L484" s="204">
        <f ca="1">IF($S$1&lt;DATE(2025,7,1)," ",SUM(L485:L488))</f>
        <v>1</v>
      </c>
      <c r="M484" s="204">
        <f ca="1">IF($S$1&lt;DATE(2025,8,1)," ",SUM(M485:M488))</f>
        <v>1</v>
      </c>
      <c r="N484" s="204">
        <f ca="1">IF($S$1&lt;DATE(2025,9,1)," ",SUM(N485:N488))</f>
        <v>2</v>
      </c>
      <c r="O484" s="204">
        <f ca="1">IF($S$1&lt;DATE(2025,10,1)," ",SUM(O485:O488))</f>
        <v>3</v>
      </c>
      <c r="P484" s="204">
        <f ca="1">IF($S$1&lt;DATE(2025,11,1)," ",SUM(P485:P488))</f>
        <v>3</v>
      </c>
      <c r="Q484" s="204">
        <f ca="1">IF($S$1&lt;DATE(2025,12,1)," ",SUM(Q485:Q488))</f>
        <v>3</v>
      </c>
    </row>
    <row r="485" ht="24" customHeight="1" spans="1:17">
      <c r="A485" s="99" t="s">
        <v>345</v>
      </c>
      <c r="B485" s="99" t="s">
        <v>299</v>
      </c>
      <c r="C485" s="99" t="s">
        <v>316</v>
      </c>
      <c r="D485" s="48" t="s">
        <v>298</v>
      </c>
      <c r="E485" s="48" t="s">
        <v>97</v>
      </c>
      <c r="F485" s="205">
        <f ca="1" t="shared" ref="F485:F488" si="440">IF($S$1&lt;DATE(2025,1,1)," ",F395)</f>
        <v>0</v>
      </c>
      <c r="G485" s="205">
        <f ca="1" t="shared" ref="G485:G488" si="441">IF($S$1&lt;DATE(2025,2,1)," ",G395+F485)</f>
        <v>0</v>
      </c>
      <c r="H485" s="205">
        <f ca="1" t="shared" ref="H485:H488" si="442">IF($S$1&lt;DATE(2025,3,1)," ",H395+G485)</f>
        <v>0</v>
      </c>
      <c r="I485" s="205">
        <f ca="1" t="shared" ref="I485:I488" si="443">IF($S$1&lt;DATE(2025,4,1)," ",I395+H485)</f>
        <v>0</v>
      </c>
      <c r="J485" s="205">
        <f ca="1" t="shared" ref="J485:J488" si="444">IF($S$1&lt;DATE(2025,5,1)," ",J395+I485)</f>
        <v>0</v>
      </c>
      <c r="K485" s="205">
        <f ca="1" t="shared" ref="K485:K488" si="445">IF($S$1&lt;DATE(2025,6,1)," ",K395+J485)</f>
        <v>0</v>
      </c>
      <c r="L485" s="205">
        <f ca="1" t="shared" ref="L485:L488" si="446">IF($S$1&lt;DATE(2025,7,1)," ",L395+K485)</f>
        <v>0</v>
      </c>
      <c r="M485" s="205">
        <f ca="1" t="shared" ref="M485:M488" si="447">IF($S$1&lt;DATE(2025,8,1)," ",M395+L485)</f>
        <v>0</v>
      </c>
      <c r="N485" s="205">
        <f ca="1" t="shared" ref="N485:N488" si="448">IF($S$1&lt;DATE(2025,9,1)," ",N395+M485)</f>
        <v>1</v>
      </c>
      <c r="O485" s="205">
        <f ca="1" t="shared" ref="O485:O488" si="449">IF($S$1&lt;DATE(2025,10,1)," ",O395+N485)</f>
        <v>1</v>
      </c>
      <c r="P485" s="205">
        <f ca="1" t="shared" ref="P485:P488" si="450">IF($S$1&lt;DATE(2025,11,1)," ",P395+O485)</f>
        <v>1</v>
      </c>
      <c r="Q485" s="205">
        <f ca="1" t="shared" ref="Q485:Q488" si="451">IF($S$1&lt;DATE(2025,12,1)," ",Q395+P485)</f>
        <v>1</v>
      </c>
    </row>
    <row r="486" ht="24" customHeight="1" spans="1:17">
      <c r="A486" s="99" t="s">
        <v>345</v>
      </c>
      <c r="B486" s="99" t="s">
        <v>299</v>
      </c>
      <c r="C486" s="99" t="s">
        <v>316</v>
      </c>
      <c r="D486" s="48" t="s">
        <v>298</v>
      </c>
      <c r="E486" s="48" t="s">
        <v>87</v>
      </c>
      <c r="F486" s="205">
        <f ca="1" t="shared" si="440"/>
        <v>0</v>
      </c>
      <c r="G486" s="205">
        <f ca="1" t="shared" si="441"/>
        <v>0</v>
      </c>
      <c r="H486" s="205">
        <f ca="1" t="shared" si="442"/>
        <v>0</v>
      </c>
      <c r="I486" s="205">
        <f ca="1" t="shared" si="443"/>
        <v>0</v>
      </c>
      <c r="J486" s="205">
        <f ca="1" t="shared" si="444"/>
        <v>0</v>
      </c>
      <c r="K486" s="205">
        <f ca="1" t="shared" si="445"/>
        <v>0</v>
      </c>
      <c r="L486" s="205">
        <f ca="1" t="shared" si="446"/>
        <v>0</v>
      </c>
      <c r="M486" s="205">
        <f ca="1" t="shared" si="447"/>
        <v>0</v>
      </c>
      <c r="N486" s="205">
        <f ca="1" t="shared" si="448"/>
        <v>0</v>
      </c>
      <c r="O486" s="205">
        <f ca="1" t="shared" si="449"/>
        <v>0</v>
      </c>
      <c r="P486" s="205">
        <f ca="1" t="shared" si="450"/>
        <v>0</v>
      </c>
      <c r="Q486" s="205">
        <f ca="1" t="shared" si="451"/>
        <v>0</v>
      </c>
    </row>
    <row r="487" ht="24" customHeight="1" spans="1:17">
      <c r="A487" s="99" t="s">
        <v>345</v>
      </c>
      <c r="B487" s="99" t="s">
        <v>299</v>
      </c>
      <c r="C487" s="99" t="s">
        <v>316</v>
      </c>
      <c r="D487" s="48" t="s">
        <v>298</v>
      </c>
      <c r="E487" s="48" t="s">
        <v>149</v>
      </c>
      <c r="F487" s="205">
        <f ca="1" t="shared" si="440"/>
        <v>0</v>
      </c>
      <c r="G487" s="205">
        <f ca="1" t="shared" si="441"/>
        <v>0</v>
      </c>
      <c r="H487" s="205">
        <f ca="1" t="shared" si="442"/>
        <v>0</v>
      </c>
      <c r="I487" s="205">
        <f ca="1" t="shared" si="443"/>
        <v>0</v>
      </c>
      <c r="J487" s="205">
        <f ca="1" t="shared" si="444"/>
        <v>0</v>
      </c>
      <c r="K487" s="205">
        <f ca="1" t="shared" si="445"/>
        <v>0</v>
      </c>
      <c r="L487" s="205">
        <f ca="1" t="shared" si="446"/>
        <v>0</v>
      </c>
      <c r="M487" s="205">
        <f ca="1" t="shared" si="447"/>
        <v>0</v>
      </c>
      <c r="N487" s="205">
        <f ca="1" t="shared" si="448"/>
        <v>0</v>
      </c>
      <c r="O487" s="205">
        <f ca="1" t="shared" si="449"/>
        <v>0</v>
      </c>
      <c r="P487" s="205">
        <f ca="1" t="shared" si="450"/>
        <v>0</v>
      </c>
      <c r="Q487" s="205">
        <f ca="1" t="shared" si="451"/>
        <v>0</v>
      </c>
    </row>
    <row r="488" ht="24" customHeight="1" spans="1:17">
      <c r="A488" s="99" t="s">
        <v>345</v>
      </c>
      <c r="B488" s="99" t="s">
        <v>299</v>
      </c>
      <c r="C488" s="99" t="s">
        <v>316</v>
      </c>
      <c r="D488" s="48" t="s">
        <v>298</v>
      </c>
      <c r="E488" s="48" t="s">
        <v>83</v>
      </c>
      <c r="F488" s="205">
        <f ca="1" t="shared" si="440"/>
        <v>0</v>
      </c>
      <c r="G488" s="205">
        <f ca="1" t="shared" si="441"/>
        <v>1</v>
      </c>
      <c r="H488" s="205">
        <f ca="1" t="shared" si="442"/>
        <v>1</v>
      </c>
      <c r="I488" s="205">
        <f ca="1" t="shared" si="443"/>
        <v>1</v>
      </c>
      <c r="J488" s="205">
        <f ca="1" t="shared" si="444"/>
        <v>1</v>
      </c>
      <c r="K488" s="205">
        <f ca="1" t="shared" si="445"/>
        <v>1</v>
      </c>
      <c r="L488" s="205">
        <f ca="1" t="shared" si="446"/>
        <v>1</v>
      </c>
      <c r="M488" s="205">
        <f ca="1" t="shared" si="447"/>
        <v>1</v>
      </c>
      <c r="N488" s="205">
        <f ca="1" t="shared" si="448"/>
        <v>1</v>
      </c>
      <c r="O488" s="205">
        <f ca="1" t="shared" si="449"/>
        <v>2</v>
      </c>
      <c r="P488" s="205">
        <f ca="1" t="shared" si="450"/>
        <v>2</v>
      </c>
      <c r="Q488" s="205">
        <f ca="1" t="shared" si="451"/>
        <v>2</v>
      </c>
    </row>
    <row r="489" ht="24" customHeight="1" spans="1:17">
      <c r="A489" s="99" t="s">
        <v>345</v>
      </c>
      <c r="B489" s="99" t="s">
        <v>299</v>
      </c>
      <c r="C489" s="99" t="s">
        <v>316</v>
      </c>
      <c r="D489" s="48" t="s">
        <v>325</v>
      </c>
      <c r="E489" s="48" t="s">
        <v>97</v>
      </c>
      <c r="F489" s="112" t="str">
        <f ca="1" t="shared" ref="F489:Q489" si="452">IFERROR(F485/F484," ")</f>
        <v> </v>
      </c>
      <c r="G489" s="112">
        <f ca="1" t="shared" si="452"/>
        <v>0</v>
      </c>
      <c r="H489" s="112">
        <f ca="1" t="shared" si="452"/>
        <v>0</v>
      </c>
      <c r="I489" s="112">
        <f ca="1" t="shared" si="452"/>
        <v>0</v>
      </c>
      <c r="J489" s="112">
        <f ca="1" t="shared" si="452"/>
        <v>0</v>
      </c>
      <c r="K489" s="112">
        <f ca="1" t="shared" si="452"/>
        <v>0</v>
      </c>
      <c r="L489" s="112">
        <f ca="1" t="shared" si="452"/>
        <v>0</v>
      </c>
      <c r="M489" s="112">
        <f ca="1" t="shared" si="452"/>
        <v>0</v>
      </c>
      <c r="N489" s="112">
        <f ca="1" t="shared" si="452"/>
        <v>0.5</v>
      </c>
      <c r="O489" s="112">
        <f ca="1" t="shared" si="452"/>
        <v>0.333333333333333</v>
      </c>
      <c r="P489" s="112">
        <f ca="1" t="shared" si="452"/>
        <v>0.333333333333333</v>
      </c>
      <c r="Q489" s="112">
        <f ca="1" t="shared" si="452"/>
        <v>0.333333333333333</v>
      </c>
    </row>
    <row r="490" ht="24" customHeight="1" spans="1:17">
      <c r="A490" s="99" t="s">
        <v>345</v>
      </c>
      <c r="B490" s="99" t="s">
        <v>299</v>
      </c>
      <c r="C490" s="99" t="s">
        <v>316</v>
      </c>
      <c r="D490" s="48" t="s">
        <v>325</v>
      </c>
      <c r="E490" s="48" t="s">
        <v>87</v>
      </c>
      <c r="F490" s="112" t="str">
        <f ca="1" t="shared" ref="F490:Q490" si="453">IFERROR(F486/F484," ")</f>
        <v> </v>
      </c>
      <c r="G490" s="112">
        <f ca="1" t="shared" si="453"/>
        <v>0</v>
      </c>
      <c r="H490" s="112">
        <f ca="1" t="shared" si="453"/>
        <v>0</v>
      </c>
      <c r="I490" s="112">
        <f ca="1" t="shared" si="453"/>
        <v>0</v>
      </c>
      <c r="J490" s="112">
        <f ca="1" t="shared" si="453"/>
        <v>0</v>
      </c>
      <c r="K490" s="112">
        <f ca="1" t="shared" si="453"/>
        <v>0</v>
      </c>
      <c r="L490" s="112">
        <f ca="1" t="shared" si="453"/>
        <v>0</v>
      </c>
      <c r="M490" s="112">
        <f ca="1" t="shared" si="453"/>
        <v>0</v>
      </c>
      <c r="N490" s="112">
        <f ca="1" t="shared" si="453"/>
        <v>0</v>
      </c>
      <c r="O490" s="112">
        <f ca="1" t="shared" si="453"/>
        <v>0</v>
      </c>
      <c r="P490" s="112">
        <f ca="1" t="shared" si="453"/>
        <v>0</v>
      </c>
      <c r="Q490" s="112">
        <f ca="1" t="shared" si="453"/>
        <v>0</v>
      </c>
    </row>
    <row r="491" ht="24" customHeight="1" spans="1:17">
      <c r="A491" s="99" t="s">
        <v>345</v>
      </c>
      <c r="B491" s="99" t="s">
        <v>299</v>
      </c>
      <c r="C491" s="99" t="s">
        <v>316</v>
      </c>
      <c r="D491" s="48" t="s">
        <v>325</v>
      </c>
      <c r="E491" s="48" t="s">
        <v>149</v>
      </c>
      <c r="F491" s="112" t="str">
        <f ca="1" t="shared" ref="F491:Q491" si="454">IFERROR(F487/F484," ")</f>
        <v> </v>
      </c>
      <c r="G491" s="112">
        <f ca="1" t="shared" si="454"/>
        <v>0</v>
      </c>
      <c r="H491" s="112">
        <f ca="1" t="shared" si="454"/>
        <v>0</v>
      </c>
      <c r="I491" s="112">
        <f ca="1" t="shared" si="454"/>
        <v>0</v>
      </c>
      <c r="J491" s="112">
        <f ca="1" t="shared" si="454"/>
        <v>0</v>
      </c>
      <c r="K491" s="112">
        <f ca="1" t="shared" si="454"/>
        <v>0</v>
      </c>
      <c r="L491" s="112">
        <f ca="1" t="shared" si="454"/>
        <v>0</v>
      </c>
      <c r="M491" s="112">
        <f ca="1" t="shared" si="454"/>
        <v>0</v>
      </c>
      <c r="N491" s="112">
        <f ca="1" t="shared" si="454"/>
        <v>0</v>
      </c>
      <c r="O491" s="112">
        <f ca="1" t="shared" si="454"/>
        <v>0</v>
      </c>
      <c r="P491" s="112">
        <f ca="1" t="shared" si="454"/>
        <v>0</v>
      </c>
      <c r="Q491" s="112">
        <f ca="1" t="shared" si="454"/>
        <v>0</v>
      </c>
    </row>
    <row r="492" ht="24" customHeight="1" spans="1:17">
      <c r="A492" s="99" t="s">
        <v>345</v>
      </c>
      <c r="B492" s="99" t="s">
        <v>299</v>
      </c>
      <c r="C492" s="99" t="s">
        <v>316</v>
      </c>
      <c r="D492" s="48" t="s">
        <v>325</v>
      </c>
      <c r="E492" s="48" t="s">
        <v>83</v>
      </c>
      <c r="F492" s="112" t="str">
        <f ca="1" t="shared" ref="F492:Q492" si="455">IFERROR(F488/F484," ")</f>
        <v> </v>
      </c>
      <c r="G492" s="112">
        <f ca="1" t="shared" si="455"/>
        <v>1</v>
      </c>
      <c r="H492" s="112">
        <f ca="1" t="shared" si="455"/>
        <v>1</v>
      </c>
      <c r="I492" s="112">
        <f ca="1" t="shared" si="455"/>
        <v>1</v>
      </c>
      <c r="J492" s="112">
        <f ca="1" t="shared" si="455"/>
        <v>1</v>
      </c>
      <c r="K492" s="112">
        <f ca="1" t="shared" si="455"/>
        <v>1</v>
      </c>
      <c r="L492" s="112">
        <f ca="1" t="shared" si="455"/>
        <v>1</v>
      </c>
      <c r="M492" s="112">
        <f ca="1" t="shared" si="455"/>
        <v>1</v>
      </c>
      <c r="N492" s="112">
        <f ca="1" t="shared" si="455"/>
        <v>0.5</v>
      </c>
      <c r="O492" s="112">
        <f ca="1" t="shared" si="455"/>
        <v>0.666666666666667</v>
      </c>
      <c r="P492" s="112">
        <f ca="1" t="shared" si="455"/>
        <v>0.666666666666667</v>
      </c>
      <c r="Q492" s="112">
        <f ca="1" t="shared" si="455"/>
        <v>0.666666666666667</v>
      </c>
    </row>
    <row r="493" ht="24" customHeight="1" spans="1:17">
      <c r="A493" s="99" t="s">
        <v>345</v>
      </c>
      <c r="B493" s="99" t="s">
        <v>299</v>
      </c>
      <c r="C493" s="99" t="s">
        <v>316</v>
      </c>
      <c r="D493" s="100" t="s">
        <v>292</v>
      </c>
      <c r="E493" s="53" t="s">
        <v>326</v>
      </c>
      <c r="F493" s="210">
        <f ca="1">IF($S$1&lt;DATE(2025,1,1)," ",IF((F372-F496-F497-F498-F499-F500)&lt;&gt;0,"ERR",F372))</f>
        <v>0</v>
      </c>
      <c r="G493" s="210">
        <f ca="1">IF($S$1&lt;DATE(2025,2,1)," ",IF((G372+F493-G496-G497-G498-G499-G500)&lt;&gt;0,"ERR",G372+F493))</f>
        <v>0</v>
      </c>
      <c r="H493" s="210">
        <f ca="1">IF($S$1&lt;DATE(2025,3,1)," ",IF((H372+G493-H496-H497-H498-H499-H500)&lt;&gt;0,"ERR",H372+G493))</f>
        <v>0</v>
      </c>
      <c r="I493" s="210">
        <f ca="1">IF($S$1&lt;DATE(2025,4,1)," ",IF((I372+H493-I496-I497-I498-I499-I500)&lt;&gt;0,"ERR",I372+H493))</f>
        <v>0</v>
      </c>
      <c r="J493" s="210">
        <f ca="1">IF($S$1&lt;DATE(2025,5,1)," ",IF((J372+I493-J496-J497-J498-J499-J500)&lt;&gt;0,"ERR",J372+I493))</f>
        <v>0</v>
      </c>
      <c r="K493" s="210">
        <f ca="1">IF($S$1&lt;DATE(2025,6,1)," ",IF((K372+J493-K496-K497-K498-K499-K500)&lt;&gt;0,"ERR",K372+J493))</f>
        <v>0</v>
      </c>
      <c r="L493" s="210">
        <f ca="1">IF($S$1&lt;DATE(2025,7,1)," ",IF((L372+K493-L496-L497-L498-L499-L500)&lt;&gt;0,"ERR",L372+K493))</f>
        <v>0</v>
      </c>
      <c r="M493" s="210">
        <f ca="1">IF($S$1&lt;DATE(2025,8,1)," ",IF((M372+L493-M496-M497-M498-M499-M500)&lt;&gt;0,"ERR",M372+L493))</f>
        <v>0</v>
      </c>
      <c r="N493" s="210">
        <f ca="1">IF($S$1&lt;DATE(2025,9,1)," ",IF((N372+M493-N496-N497-N498-N499-N500)&lt;&gt;0,"ERR",N372+M493))</f>
        <v>0</v>
      </c>
      <c r="O493" s="210">
        <f ca="1">IF($S$1&lt;DATE(2025,10,1)," ",IF((O372+N493-O496-O497-O498-O499-O500)&lt;&gt;0,"ERR",O372+N493))</f>
        <v>3</v>
      </c>
      <c r="P493" s="210">
        <f ca="1">IF($S$1&lt;DATE(2025,11,1)," ",IF((P372+O493-P496-P497-P498-P499-P500)&lt;&gt;0,"ERR",P372+O493))</f>
        <v>3</v>
      </c>
      <c r="Q493" s="210">
        <f ca="1">IF($S$1&lt;DATE(2025,12,1)," ",IF((Q372+P493-Q496-Q497-Q498-Q499-Q500)&lt;&gt;0,"ERR",Q372+P493))</f>
        <v>3</v>
      </c>
    </row>
    <row r="494" ht="24" customHeight="1" spans="1:17">
      <c r="A494" s="99" t="s">
        <v>345</v>
      </c>
      <c r="B494" s="99" t="s">
        <v>299</v>
      </c>
      <c r="C494" s="99" t="s">
        <v>316</v>
      </c>
      <c r="D494" s="100" t="s">
        <v>292</v>
      </c>
      <c r="E494" s="53" t="s">
        <v>327</v>
      </c>
      <c r="F494" s="210">
        <f ca="1">IF($S$1&lt;DATE(2025,1,1)," ",IF((F373-F501-F502-F503-F504-F505)&lt;&gt;0,"ERR",F373))</f>
        <v>0</v>
      </c>
      <c r="G494" s="210">
        <f ca="1">IF($S$1&lt;DATE(2025,2,1)," ",IF((G373+F494-G501-G502-G503-G504-G505)&lt;&gt;0,"ERR",G373+F494))</f>
        <v>1</v>
      </c>
      <c r="H494" s="210">
        <f ca="1">IF($S$1&lt;DATE(2025,3,1)," ",IF((H373+G494-H501-H502-H503-H504-H505)&lt;&gt;0,"ERR",H373+G494))</f>
        <v>1</v>
      </c>
      <c r="I494" s="210">
        <f ca="1">IF($S$1&lt;DATE(2025,4,1)," ",IF((I373+H494-I501-I502-I503-I504-I505)&lt;&gt;0,"ERR",I373+H494))</f>
        <v>1</v>
      </c>
      <c r="J494" s="210">
        <f ca="1">IF($S$1&lt;DATE(2025,5,1)," ",IF((J373+I494-J501-J502-J503-J504-J505)&lt;&gt;0,"ERR",J373+I494))</f>
        <v>1</v>
      </c>
      <c r="K494" s="210">
        <f ca="1">IF($S$1&lt;DATE(2025,6,1)," ",IF((K373+J494-K501-K502-K503-K504-K505)&lt;&gt;0,"ERR",K373+J494))</f>
        <v>1</v>
      </c>
      <c r="L494" s="210">
        <f ca="1">IF($S$1&lt;DATE(2025,7,1)," ",IF((L373+K494-L501-L502-L503-L504-L505)&lt;&gt;0,"ERR",L373+K494))</f>
        <v>1</v>
      </c>
      <c r="M494" s="210">
        <f ca="1">IF($S$1&lt;DATE(2025,8,1)," ",IF((M373+L494-M501-M502-M503-M504-M505)&lt;&gt;0,"ERR",M373+L494))</f>
        <v>1</v>
      </c>
      <c r="N494" s="210">
        <f ca="1">IF($S$1&lt;DATE(2025,9,1)," ",IF((N373+M494-N501-N502-N503-N504-N505)&lt;&gt;0,"ERR",N373+M494))</f>
        <v>2</v>
      </c>
      <c r="O494" s="210">
        <f ca="1">IF($S$1&lt;DATE(2025,10,1)," ",IF((O373+N494-O501-O502-O503-O504-O505)&lt;&gt;0,"ERR",O373+N494))</f>
        <v>2</v>
      </c>
      <c r="P494" s="210">
        <f ca="1">IF($S$1&lt;DATE(2025,11,1)," ",IF((P373+O494-P501-P502-P503-P504-P505)&lt;&gt;0,"ERR",P373+O494))</f>
        <v>2</v>
      </c>
      <c r="Q494" s="210">
        <f ca="1">IF($S$1&lt;DATE(2025,12,1)," ",IF((Q373+P494-Q501-Q502-Q503-Q504-Q505)&lt;&gt;0,"ERR",Q373+P494))</f>
        <v>2</v>
      </c>
    </row>
    <row r="495" ht="24" customHeight="1" spans="1:17">
      <c r="A495" s="99" t="s">
        <v>345</v>
      </c>
      <c r="B495" s="99" t="s">
        <v>299</v>
      </c>
      <c r="C495" s="99" t="s">
        <v>316</v>
      </c>
      <c r="D495" s="100" t="s">
        <v>292</v>
      </c>
      <c r="E495" s="53" t="s">
        <v>328</v>
      </c>
      <c r="F495" s="210">
        <f ca="1">IF($S$1&lt;DATE(2025,1,1)," ",IF((F374-F506-F507-F508-F509-F510)&lt;&gt;0,"ERR",F374))</f>
        <v>0</v>
      </c>
      <c r="G495" s="210">
        <f ca="1">IF($S$1&lt;DATE(2025,2,1)," ",IF((G374+F495-G506-G507-G508-G509-G510)&lt;&gt;0,"ERR",G374+F495))</f>
        <v>0</v>
      </c>
      <c r="H495" s="210">
        <f ca="1">IF($S$1&lt;DATE(2025,3,1)," ",IF((H374+G495-H506-H507-H508-H509-H510)&lt;&gt;0,"ERR",H374+G495))</f>
        <v>0</v>
      </c>
      <c r="I495" s="210">
        <f ca="1">IF($S$1&lt;DATE(2025,4,1)," ",IF((I374+H495-I506-I507-I508-I509-I510)&lt;&gt;0,"ERR",I374+H495))</f>
        <v>0</v>
      </c>
      <c r="J495" s="210">
        <f ca="1">IF($S$1&lt;DATE(2025,5,1)," ",IF((J374+I495-J506-J507-J508-J509-J510)&lt;&gt;0,"ERR",J374+I495))</f>
        <v>0</v>
      </c>
      <c r="K495" s="210">
        <f ca="1">IF($S$1&lt;DATE(2025,6,1)," ",IF((K374+J495-K506-K507-K508-K509-K510)&lt;&gt;0,"ERR",K374+J495))</f>
        <v>0</v>
      </c>
      <c r="L495" s="210">
        <f ca="1">IF($S$1&lt;DATE(2025,7,1)," ",IF((L374+K495-L506-L507-L508-L509-L510)&lt;&gt;0,"ERR",L374+K495))</f>
        <v>0</v>
      </c>
      <c r="M495" s="210">
        <f ca="1">IF($S$1&lt;DATE(2025,8,1)," ",IF((M374+L495-M506-M507-M508-M509-M510)&lt;&gt;0,"ERR",M374+L495))</f>
        <v>0</v>
      </c>
      <c r="N495" s="210">
        <f ca="1">IF($S$1&lt;DATE(2025,9,1)," ",IF((N374+M495-N506-N507-N508-N509-N510)&lt;&gt;0,"ERR",N374+M495))</f>
        <v>0</v>
      </c>
      <c r="O495" s="210">
        <f ca="1">IF($S$1&lt;DATE(2025,10,1)," ",IF((O374+N495-O506-O507-O508-O509-O510)&lt;&gt;0,"ERR",O374+N495))</f>
        <v>0</v>
      </c>
      <c r="P495" s="210">
        <f ca="1">IF($S$1&lt;DATE(2025,11,1)," ",IF((P374+O495-P506-P507-P508-P509-P510)&lt;&gt;0,"ERR",P374+O495))</f>
        <v>0</v>
      </c>
      <c r="Q495" s="210">
        <f ca="1">IF($S$1&lt;DATE(2025,12,1)," ",IF((Q374+P495-Q506-Q507-Q508-Q509-Q510)&lt;&gt;0,"ERR",Q374+P495))</f>
        <v>0</v>
      </c>
    </row>
    <row r="496" ht="24" customHeight="1" spans="1:17">
      <c r="A496" s="99" t="s">
        <v>345</v>
      </c>
      <c r="B496" s="99" t="s">
        <v>299</v>
      </c>
      <c r="C496" s="99" t="s">
        <v>316</v>
      </c>
      <c r="D496" s="53" t="s">
        <v>326</v>
      </c>
      <c r="E496" s="53" t="s">
        <v>93</v>
      </c>
      <c r="F496" s="210">
        <f ca="1" t="shared" ref="F496:F510" si="456">IF($S$1&lt;DATE(2025,1,1)," ",F375)</f>
        <v>0</v>
      </c>
      <c r="G496" s="210">
        <f ca="1" t="shared" ref="G496:G510" si="457">IF($S$1&lt;DATE(2025,2,1)," ",G375+F496)</f>
        <v>0</v>
      </c>
      <c r="H496" s="210">
        <f ca="1" t="shared" ref="H496:H510" si="458">IF($S$1&lt;DATE(2025,3,1)," ",H375+G496)</f>
        <v>0</v>
      </c>
      <c r="I496" s="210">
        <f ca="1" t="shared" ref="I496:I510" si="459">IF($S$1&lt;DATE(2025,4,1)," ",I375+H496)</f>
        <v>0</v>
      </c>
      <c r="J496" s="210">
        <f ca="1" t="shared" ref="J496:J510" si="460">IF($S$1&lt;DATE(2025,5,1)," ",J375+I496)</f>
        <v>0</v>
      </c>
      <c r="K496" s="210">
        <f ca="1" t="shared" ref="K496:K510" si="461">IF($S$1&lt;DATE(2025,6,1)," ",K375+J496)</f>
        <v>0</v>
      </c>
      <c r="L496" s="210">
        <f ca="1" t="shared" ref="L496:L510" si="462">IF($S$1&lt;DATE(2025,7,1)," ",L375+K496)</f>
        <v>0</v>
      </c>
      <c r="M496" s="210">
        <f ca="1" t="shared" ref="M496:M510" si="463">IF($S$1&lt;DATE(2025,8,1)," ",M375+L496)</f>
        <v>0</v>
      </c>
      <c r="N496" s="210">
        <f ca="1" t="shared" ref="N496:N510" si="464">IF($S$1&lt;DATE(2025,9,1)," ",N375+M496)</f>
        <v>0</v>
      </c>
      <c r="O496" s="210">
        <f ca="1" t="shared" ref="O496:O510" si="465">IF($S$1&lt;DATE(2025,10,1)," ",O375+N496)</f>
        <v>1</v>
      </c>
      <c r="P496" s="210">
        <f ca="1" t="shared" ref="P496:P510" si="466">IF($S$1&lt;DATE(2025,11,1)," ",P375+O496)</f>
        <v>1</v>
      </c>
      <c r="Q496" s="210">
        <f ca="1" t="shared" ref="Q496:Q510" si="467">IF($S$1&lt;DATE(2025,12,1)," ",Q375+P496)</f>
        <v>1</v>
      </c>
    </row>
    <row r="497" ht="24" customHeight="1" spans="1:17">
      <c r="A497" s="99" t="s">
        <v>345</v>
      </c>
      <c r="B497" s="99" t="s">
        <v>299</v>
      </c>
      <c r="C497" s="99" t="s">
        <v>316</v>
      </c>
      <c r="D497" s="53" t="s">
        <v>326</v>
      </c>
      <c r="E497" s="53" t="s">
        <v>85</v>
      </c>
      <c r="F497" s="210">
        <f ca="1" t="shared" si="456"/>
        <v>0</v>
      </c>
      <c r="G497" s="210">
        <f ca="1" t="shared" si="457"/>
        <v>0</v>
      </c>
      <c r="H497" s="210">
        <f ca="1" t="shared" si="458"/>
        <v>0</v>
      </c>
      <c r="I497" s="210">
        <f ca="1" t="shared" si="459"/>
        <v>0</v>
      </c>
      <c r="J497" s="210">
        <f ca="1" t="shared" si="460"/>
        <v>0</v>
      </c>
      <c r="K497" s="210">
        <f ca="1" t="shared" si="461"/>
        <v>0</v>
      </c>
      <c r="L497" s="210">
        <f ca="1" t="shared" si="462"/>
        <v>0</v>
      </c>
      <c r="M497" s="210">
        <f ca="1" t="shared" si="463"/>
        <v>0</v>
      </c>
      <c r="N497" s="210">
        <f ca="1" t="shared" si="464"/>
        <v>0</v>
      </c>
      <c r="O497" s="210">
        <f ca="1" t="shared" si="465"/>
        <v>2</v>
      </c>
      <c r="P497" s="210">
        <f ca="1" t="shared" si="466"/>
        <v>2</v>
      </c>
      <c r="Q497" s="210">
        <f ca="1" t="shared" si="467"/>
        <v>2</v>
      </c>
    </row>
    <row r="498" ht="24" customHeight="1" spans="1:17">
      <c r="A498" s="99" t="s">
        <v>345</v>
      </c>
      <c r="B498" s="99" t="s">
        <v>299</v>
      </c>
      <c r="C498" s="99" t="s">
        <v>316</v>
      </c>
      <c r="D498" s="53" t="s">
        <v>326</v>
      </c>
      <c r="E498" s="53" t="s">
        <v>81</v>
      </c>
      <c r="F498" s="210">
        <f ca="1" t="shared" si="456"/>
        <v>0</v>
      </c>
      <c r="G498" s="210">
        <f ca="1" t="shared" si="457"/>
        <v>0</v>
      </c>
      <c r="H498" s="210">
        <f ca="1" t="shared" si="458"/>
        <v>0</v>
      </c>
      <c r="I498" s="210">
        <f ca="1" t="shared" si="459"/>
        <v>0</v>
      </c>
      <c r="J498" s="210">
        <f ca="1" t="shared" si="460"/>
        <v>0</v>
      </c>
      <c r="K498" s="210">
        <f ca="1" t="shared" si="461"/>
        <v>0</v>
      </c>
      <c r="L498" s="210">
        <f ca="1" t="shared" si="462"/>
        <v>0</v>
      </c>
      <c r="M498" s="210">
        <f ca="1" t="shared" si="463"/>
        <v>0</v>
      </c>
      <c r="N498" s="210">
        <f ca="1" t="shared" si="464"/>
        <v>0</v>
      </c>
      <c r="O498" s="210">
        <f ca="1" t="shared" si="465"/>
        <v>0</v>
      </c>
      <c r="P498" s="210">
        <f ca="1" t="shared" si="466"/>
        <v>0</v>
      </c>
      <c r="Q498" s="210">
        <f ca="1" t="shared" si="467"/>
        <v>0</v>
      </c>
    </row>
    <row r="499" ht="24" customHeight="1" spans="1:17">
      <c r="A499" s="99" t="s">
        <v>345</v>
      </c>
      <c r="B499" s="99" t="s">
        <v>299</v>
      </c>
      <c r="C499" s="99" t="s">
        <v>316</v>
      </c>
      <c r="D499" s="53" t="s">
        <v>326</v>
      </c>
      <c r="E499" s="53" t="s">
        <v>96</v>
      </c>
      <c r="F499" s="210">
        <f ca="1" t="shared" si="456"/>
        <v>0</v>
      </c>
      <c r="G499" s="210">
        <f ca="1" t="shared" si="457"/>
        <v>0</v>
      </c>
      <c r="H499" s="210">
        <f ca="1" t="shared" si="458"/>
        <v>0</v>
      </c>
      <c r="I499" s="210">
        <f ca="1" t="shared" si="459"/>
        <v>0</v>
      </c>
      <c r="J499" s="210">
        <f ca="1" t="shared" si="460"/>
        <v>0</v>
      </c>
      <c r="K499" s="210">
        <f ca="1" t="shared" si="461"/>
        <v>0</v>
      </c>
      <c r="L499" s="210">
        <f ca="1" t="shared" si="462"/>
        <v>0</v>
      </c>
      <c r="M499" s="210">
        <f ca="1" t="shared" si="463"/>
        <v>0</v>
      </c>
      <c r="N499" s="210">
        <f ca="1" t="shared" si="464"/>
        <v>0</v>
      </c>
      <c r="O499" s="210">
        <f ca="1" t="shared" si="465"/>
        <v>0</v>
      </c>
      <c r="P499" s="210">
        <f ca="1" t="shared" si="466"/>
        <v>0</v>
      </c>
      <c r="Q499" s="210">
        <f ca="1" t="shared" si="467"/>
        <v>0</v>
      </c>
    </row>
    <row r="500" ht="24" customHeight="1" spans="1:17">
      <c r="A500" s="99" t="s">
        <v>345</v>
      </c>
      <c r="B500" s="99" t="s">
        <v>299</v>
      </c>
      <c r="C500" s="99" t="s">
        <v>316</v>
      </c>
      <c r="D500" s="53" t="s">
        <v>326</v>
      </c>
      <c r="E500" s="53" t="s">
        <v>160</v>
      </c>
      <c r="F500" s="210">
        <f ca="1" t="shared" si="456"/>
        <v>0</v>
      </c>
      <c r="G500" s="210">
        <f ca="1" t="shared" si="457"/>
        <v>0</v>
      </c>
      <c r="H500" s="210">
        <f ca="1" t="shared" si="458"/>
        <v>0</v>
      </c>
      <c r="I500" s="210">
        <f ca="1" t="shared" si="459"/>
        <v>0</v>
      </c>
      <c r="J500" s="210">
        <f ca="1" t="shared" si="460"/>
        <v>0</v>
      </c>
      <c r="K500" s="210">
        <f ca="1" t="shared" si="461"/>
        <v>0</v>
      </c>
      <c r="L500" s="210">
        <f ca="1" t="shared" si="462"/>
        <v>0</v>
      </c>
      <c r="M500" s="210">
        <f ca="1" t="shared" si="463"/>
        <v>0</v>
      </c>
      <c r="N500" s="210">
        <f ca="1" t="shared" si="464"/>
        <v>0</v>
      </c>
      <c r="O500" s="210">
        <f ca="1" t="shared" si="465"/>
        <v>0</v>
      </c>
      <c r="P500" s="210">
        <f ca="1" t="shared" si="466"/>
        <v>0</v>
      </c>
      <c r="Q500" s="210">
        <f ca="1" t="shared" si="467"/>
        <v>0</v>
      </c>
    </row>
    <row r="501" ht="24" customHeight="1" spans="1:17">
      <c r="A501" s="99" t="s">
        <v>345</v>
      </c>
      <c r="B501" s="99" t="s">
        <v>299</v>
      </c>
      <c r="C501" s="99" t="s">
        <v>316</v>
      </c>
      <c r="D501" s="53" t="s">
        <v>327</v>
      </c>
      <c r="E501" s="53" t="s">
        <v>93</v>
      </c>
      <c r="F501" s="210">
        <f ca="1" t="shared" si="456"/>
        <v>0</v>
      </c>
      <c r="G501" s="210">
        <f ca="1" t="shared" si="457"/>
        <v>1</v>
      </c>
      <c r="H501" s="210">
        <f ca="1" t="shared" si="458"/>
        <v>1</v>
      </c>
      <c r="I501" s="210">
        <f ca="1" t="shared" si="459"/>
        <v>1</v>
      </c>
      <c r="J501" s="210">
        <f ca="1" t="shared" si="460"/>
        <v>1</v>
      </c>
      <c r="K501" s="210">
        <f ca="1" t="shared" si="461"/>
        <v>1</v>
      </c>
      <c r="L501" s="210">
        <f ca="1" t="shared" si="462"/>
        <v>1</v>
      </c>
      <c r="M501" s="210">
        <f ca="1" t="shared" si="463"/>
        <v>1</v>
      </c>
      <c r="N501" s="210">
        <f ca="1" t="shared" si="464"/>
        <v>2</v>
      </c>
      <c r="O501" s="210">
        <f ca="1" t="shared" si="465"/>
        <v>2</v>
      </c>
      <c r="P501" s="210">
        <f ca="1" t="shared" si="466"/>
        <v>2</v>
      </c>
      <c r="Q501" s="210">
        <f ca="1" t="shared" si="467"/>
        <v>2</v>
      </c>
    </row>
    <row r="502" ht="24" customHeight="1" spans="1:17">
      <c r="A502" s="99" t="s">
        <v>345</v>
      </c>
      <c r="B502" s="99" t="s">
        <v>299</v>
      </c>
      <c r="C502" s="99" t="s">
        <v>316</v>
      </c>
      <c r="D502" s="53" t="s">
        <v>327</v>
      </c>
      <c r="E502" s="53" t="s">
        <v>85</v>
      </c>
      <c r="F502" s="210">
        <f ca="1" t="shared" si="456"/>
        <v>0</v>
      </c>
      <c r="G502" s="210">
        <f ca="1" t="shared" si="457"/>
        <v>0</v>
      </c>
      <c r="H502" s="210">
        <f ca="1" t="shared" si="458"/>
        <v>0</v>
      </c>
      <c r="I502" s="210">
        <f ca="1" t="shared" si="459"/>
        <v>0</v>
      </c>
      <c r="J502" s="210">
        <f ca="1" t="shared" si="460"/>
        <v>0</v>
      </c>
      <c r="K502" s="210">
        <f ca="1" t="shared" si="461"/>
        <v>0</v>
      </c>
      <c r="L502" s="210">
        <f ca="1" t="shared" si="462"/>
        <v>0</v>
      </c>
      <c r="M502" s="210">
        <f ca="1" t="shared" si="463"/>
        <v>0</v>
      </c>
      <c r="N502" s="210">
        <f ca="1" t="shared" si="464"/>
        <v>0</v>
      </c>
      <c r="O502" s="210">
        <f ca="1" t="shared" si="465"/>
        <v>0</v>
      </c>
      <c r="P502" s="210">
        <f ca="1" t="shared" si="466"/>
        <v>0</v>
      </c>
      <c r="Q502" s="210">
        <f ca="1" t="shared" si="467"/>
        <v>0</v>
      </c>
    </row>
    <row r="503" ht="24" customHeight="1" spans="1:17">
      <c r="A503" s="99" t="s">
        <v>345</v>
      </c>
      <c r="B503" s="99" t="s">
        <v>299</v>
      </c>
      <c r="C503" s="99" t="s">
        <v>316</v>
      </c>
      <c r="D503" s="53" t="s">
        <v>327</v>
      </c>
      <c r="E503" s="53" t="s">
        <v>81</v>
      </c>
      <c r="F503" s="210">
        <f ca="1" t="shared" si="456"/>
        <v>0</v>
      </c>
      <c r="G503" s="210">
        <f ca="1" t="shared" si="457"/>
        <v>0</v>
      </c>
      <c r="H503" s="210">
        <f ca="1" t="shared" si="458"/>
        <v>0</v>
      </c>
      <c r="I503" s="210">
        <f ca="1" t="shared" si="459"/>
        <v>0</v>
      </c>
      <c r="J503" s="210">
        <f ca="1" t="shared" si="460"/>
        <v>0</v>
      </c>
      <c r="K503" s="210">
        <f ca="1" t="shared" si="461"/>
        <v>0</v>
      </c>
      <c r="L503" s="210">
        <f ca="1" t="shared" si="462"/>
        <v>0</v>
      </c>
      <c r="M503" s="210">
        <f ca="1" t="shared" si="463"/>
        <v>0</v>
      </c>
      <c r="N503" s="210">
        <f ca="1" t="shared" si="464"/>
        <v>0</v>
      </c>
      <c r="O503" s="210">
        <f ca="1" t="shared" si="465"/>
        <v>0</v>
      </c>
      <c r="P503" s="210">
        <f ca="1" t="shared" si="466"/>
        <v>0</v>
      </c>
      <c r="Q503" s="210">
        <f ca="1" t="shared" si="467"/>
        <v>0</v>
      </c>
    </row>
    <row r="504" ht="24" customHeight="1" spans="1:17">
      <c r="A504" s="99" t="s">
        <v>345</v>
      </c>
      <c r="B504" s="99" t="s">
        <v>299</v>
      </c>
      <c r="C504" s="99" t="s">
        <v>316</v>
      </c>
      <c r="D504" s="53" t="s">
        <v>327</v>
      </c>
      <c r="E504" s="53" t="s">
        <v>96</v>
      </c>
      <c r="F504" s="210">
        <f ca="1" t="shared" si="456"/>
        <v>0</v>
      </c>
      <c r="G504" s="210">
        <f ca="1" t="shared" si="457"/>
        <v>0</v>
      </c>
      <c r="H504" s="210">
        <f ca="1" t="shared" si="458"/>
        <v>0</v>
      </c>
      <c r="I504" s="210">
        <f ca="1" t="shared" si="459"/>
        <v>0</v>
      </c>
      <c r="J504" s="210">
        <f ca="1" t="shared" si="460"/>
        <v>0</v>
      </c>
      <c r="K504" s="210">
        <f ca="1" t="shared" si="461"/>
        <v>0</v>
      </c>
      <c r="L504" s="210">
        <f ca="1" t="shared" si="462"/>
        <v>0</v>
      </c>
      <c r="M504" s="210">
        <f ca="1" t="shared" si="463"/>
        <v>0</v>
      </c>
      <c r="N504" s="210">
        <f ca="1" t="shared" si="464"/>
        <v>0</v>
      </c>
      <c r="O504" s="210">
        <f ca="1" t="shared" si="465"/>
        <v>0</v>
      </c>
      <c r="P504" s="210">
        <f ca="1" t="shared" si="466"/>
        <v>0</v>
      </c>
      <c r="Q504" s="210">
        <f ca="1" t="shared" si="467"/>
        <v>0</v>
      </c>
    </row>
    <row r="505" ht="24" customHeight="1" spans="1:17">
      <c r="A505" s="99" t="s">
        <v>345</v>
      </c>
      <c r="B505" s="99" t="s">
        <v>299</v>
      </c>
      <c r="C505" s="99" t="s">
        <v>316</v>
      </c>
      <c r="D505" s="53" t="s">
        <v>327</v>
      </c>
      <c r="E505" s="53" t="s">
        <v>160</v>
      </c>
      <c r="F505" s="210">
        <f ca="1" t="shared" si="456"/>
        <v>0</v>
      </c>
      <c r="G505" s="210">
        <f ca="1" t="shared" si="457"/>
        <v>0</v>
      </c>
      <c r="H505" s="210">
        <f ca="1" t="shared" si="458"/>
        <v>0</v>
      </c>
      <c r="I505" s="210">
        <f ca="1" t="shared" si="459"/>
        <v>0</v>
      </c>
      <c r="J505" s="210">
        <f ca="1" t="shared" si="460"/>
        <v>0</v>
      </c>
      <c r="K505" s="210">
        <f ca="1" t="shared" si="461"/>
        <v>0</v>
      </c>
      <c r="L505" s="210">
        <f ca="1" t="shared" si="462"/>
        <v>0</v>
      </c>
      <c r="M505" s="210">
        <f ca="1" t="shared" si="463"/>
        <v>0</v>
      </c>
      <c r="N505" s="210">
        <f ca="1" t="shared" si="464"/>
        <v>0</v>
      </c>
      <c r="O505" s="210">
        <f ca="1" t="shared" si="465"/>
        <v>0</v>
      </c>
      <c r="P505" s="210">
        <f ca="1" t="shared" si="466"/>
        <v>0</v>
      </c>
      <c r="Q505" s="210">
        <f ca="1" t="shared" si="467"/>
        <v>0</v>
      </c>
    </row>
    <row r="506" ht="24" customHeight="1" spans="1:17">
      <c r="A506" s="99" t="s">
        <v>345</v>
      </c>
      <c r="B506" s="99" t="s">
        <v>299</v>
      </c>
      <c r="C506" s="99" t="s">
        <v>316</v>
      </c>
      <c r="D506" s="53" t="s">
        <v>328</v>
      </c>
      <c r="E506" s="53" t="s">
        <v>93</v>
      </c>
      <c r="F506" s="210">
        <f ca="1" t="shared" si="456"/>
        <v>0</v>
      </c>
      <c r="G506" s="210">
        <f ca="1" t="shared" si="457"/>
        <v>0</v>
      </c>
      <c r="H506" s="210">
        <f ca="1" t="shared" si="458"/>
        <v>0</v>
      </c>
      <c r="I506" s="210">
        <f ca="1" t="shared" si="459"/>
        <v>0</v>
      </c>
      <c r="J506" s="210">
        <f ca="1" t="shared" si="460"/>
        <v>0</v>
      </c>
      <c r="K506" s="210">
        <f ca="1" t="shared" si="461"/>
        <v>0</v>
      </c>
      <c r="L506" s="210">
        <f ca="1" t="shared" si="462"/>
        <v>0</v>
      </c>
      <c r="M506" s="210">
        <f ca="1" t="shared" si="463"/>
        <v>0</v>
      </c>
      <c r="N506" s="210">
        <f ca="1" t="shared" si="464"/>
        <v>0</v>
      </c>
      <c r="O506" s="210">
        <f ca="1" t="shared" si="465"/>
        <v>0</v>
      </c>
      <c r="P506" s="210">
        <f ca="1" t="shared" si="466"/>
        <v>0</v>
      </c>
      <c r="Q506" s="210">
        <f ca="1" t="shared" si="467"/>
        <v>0</v>
      </c>
    </row>
    <row r="507" ht="24" customHeight="1" spans="1:17">
      <c r="A507" s="99" t="s">
        <v>345</v>
      </c>
      <c r="B507" s="99" t="s">
        <v>299</v>
      </c>
      <c r="C507" s="99" t="s">
        <v>316</v>
      </c>
      <c r="D507" s="53" t="s">
        <v>328</v>
      </c>
      <c r="E507" s="53" t="s">
        <v>85</v>
      </c>
      <c r="F507" s="210">
        <f ca="1" t="shared" si="456"/>
        <v>0</v>
      </c>
      <c r="G507" s="210">
        <f ca="1" t="shared" si="457"/>
        <v>0</v>
      </c>
      <c r="H507" s="210">
        <f ca="1" t="shared" si="458"/>
        <v>0</v>
      </c>
      <c r="I507" s="210">
        <f ca="1" t="shared" si="459"/>
        <v>0</v>
      </c>
      <c r="J507" s="210">
        <f ca="1" t="shared" si="460"/>
        <v>0</v>
      </c>
      <c r="K507" s="210">
        <f ca="1" t="shared" si="461"/>
        <v>0</v>
      </c>
      <c r="L507" s="210">
        <f ca="1" t="shared" si="462"/>
        <v>0</v>
      </c>
      <c r="M507" s="210">
        <f ca="1" t="shared" si="463"/>
        <v>0</v>
      </c>
      <c r="N507" s="210">
        <f ca="1" t="shared" si="464"/>
        <v>0</v>
      </c>
      <c r="O507" s="210">
        <f ca="1" t="shared" si="465"/>
        <v>0</v>
      </c>
      <c r="P507" s="210">
        <f ca="1" t="shared" si="466"/>
        <v>0</v>
      </c>
      <c r="Q507" s="210">
        <f ca="1" t="shared" si="467"/>
        <v>0</v>
      </c>
    </row>
    <row r="508" ht="24" customHeight="1" spans="1:17">
      <c r="A508" s="99" t="s">
        <v>345</v>
      </c>
      <c r="B508" s="99" t="s">
        <v>299</v>
      </c>
      <c r="C508" s="99" t="s">
        <v>316</v>
      </c>
      <c r="D508" s="53" t="s">
        <v>328</v>
      </c>
      <c r="E508" s="53" t="s">
        <v>81</v>
      </c>
      <c r="F508" s="210">
        <f ca="1" t="shared" si="456"/>
        <v>0</v>
      </c>
      <c r="G508" s="210">
        <f ca="1" t="shared" si="457"/>
        <v>0</v>
      </c>
      <c r="H508" s="210">
        <f ca="1" t="shared" si="458"/>
        <v>0</v>
      </c>
      <c r="I508" s="210">
        <f ca="1" t="shared" si="459"/>
        <v>0</v>
      </c>
      <c r="J508" s="210">
        <f ca="1" t="shared" si="460"/>
        <v>0</v>
      </c>
      <c r="K508" s="210">
        <f ca="1" t="shared" si="461"/>
        <v>0</v>
      </c>
      <c r="L508" s="210">
        <f ca="1" t="shared" si="462"/>
        <v>0</v>
      </c>
      <c r="M508" s="210">
        <f ca="1" t="shared" si="463"/>
        <v>0</v>
      </c>
      <c r="N508" s="210">
        <f ca="1" t="shared" si="464"/>
        <v>0</v>
      </c>
      <c r="O508" s="210">
        <f ca="1" t="shared" si="465"/>
        <v>0</v>
      </c>
      <c r="P508" s="210">
        <f ca="1" t="shared" si="466"/>
        <v>0</v>
      </c>
      <c r="Q508" s="210">
        <f ca="1" t="shared" si="467"/>
        <v>0</v>
      </c>
    </row>
    <row r="509" ht="24" customHeight="1" spans="1:17">
      <c r="A509" s="99" t="s">
        <v>345</v>
      </c>
      <c r="B509" s="99" t="s">
        <v>299</v>
      </c>
      <c r="C509" s="99" t="s">
        <v>316</v>
      </c>
      <c r="D509" s="53" t="s">
        <v>328</v>
      </c>
      <c r="E509" s="53" t="s">
        <v>96</v>
      </c>
      <c r="F509" s="210">
        <f ca="1" t="shared" si="456"/>
        <v>0</v>
      </c>
      <c r="G509" s="210">
        <f ca="1" t="shared" si="457"/>
        <v>0</v>
      </c>
      <c r="H509" s="210">
        <f ca="1" t="shared" si="458"/>
        <v>0</v>
      </c>
      <c r="I509" s="210">
        <f ca="1" t="shared" si="459"/>
        <v>0</v>
      </c>
      <c r="J509" s="210">
        <f ca="1" t="shared" si="460"/>
        <v>0</v>
      </c>
      <c r="K509" s="210">
        <f ca="1" t="shared" si="461"/>
        <v>0</v>
      </c>
      <c r="L509" s="210">
        <f ca="1" t="shared" si="462"/>
        <v>0</v>
      </c>
      <c r="M509" s="210">
        <f ca="1" t="shared" si="463"/>
        <v>0</v>
      </c>
      <c r="N509" s="210">
        <f ca="1" t="shared" si="464"/>
        <v>0</v>
      </c>
      <c r="O509" s="210">
        <f ca="1" t="shared" si="465"/>
        <v>0</v>
      </c>
      <c r="P509" s="210">
        <f ca="1" t="shared" si="466"/>
        <v>0</v>
      </c>
      <c r="Q509" s="210">
        <f ca="1" t="shared" si="467"/>
        <v>0</v>
      </c>
    </row>
    <row r="510" ht="24" customHeight="1" spans="1:17">
      <c r="A510" s="99" t="s">
        <v>345</v>
      </c>
      <c r="B510" s="99" t="s">
        <v>299</v>
      </c>
      <c r="C510" s="99" t="s">
        <v>316</v>
      </c>
      <c r="D510" s="53" t="s">
        <v>328</v>
      </c>
      <c r="E510" s="53" t="s">
        <v>160</v>
      </c>
      <c r="F510" s="210">
        <f ca="1" t="shared" si="456"/>
        <v>0</v>
      </c>
      <c r="G510" s="210">
        <f ca="1" t="shared" si="457"/>
        <v>0</v>
      </c>
      <c r="H510" s="210">
        <f ca="1" t="shared" si="458"/>
        <v>0</v>
      </c>
      <c r="I510" s="210">
        <f ca="1" t="shared" si="459"/>
        <v>0</v>
      </c>
      <c r="J510" s="210">
        <f ca="1" t="shared" si="460"/>
        <v>0</v>
      </c>
      <c r="K510" s="210">
        <f ca="1" t="shared" si="461"/>
        <v>0</v>
      </c>
      <c r="L510" s="210">
        <f ca="1" t="shared" si="462"/>
        <v>0</v>
      </c>
      <c r="M510" s="210">
        <f ca="1" t="shared" si="463"/>
        <v>0</v>
      </c>
      <c r="N510" s="210">
        <f ca="1" t="shared" si="464"/>
        <v>0</v>
      </c>
      <c r="O510" s="210">
        <f ca="1" t="shared" si="465"/>
        <v>0</v>
      </c>
      <c r="P510" s="210">
        <f ca="1" t="shared" si="466"/>
        <v>0</v>
      </c>
      <c r="Q510" s="210">
        <f ca="1" t="shared" si="467"/>
        <v>0</v>
      </c>
    </row>
    <row r="511" ht="24" customHeight="1" spans="1:17">
      <c r="A511" s="99" t="s">
        <v>345</v>
      </c>
      <c r="B511" s="99" t="s">
        <v>299</v>
      </c>
      <c r="C511" s="99" t="s">
        <v>329</v>
      </c>
      <c r="D511" s="113" t="s">
        <v>292</v>
      </c>
      <c r="E511" s="113" t="s">
        <v>330</v>
      </c>
      <c r="F511" s="115">
        <f ca="1" t="shared" ref="F511:Q511" si="468">IFERROR(IF(F435=" "," ",F457/F435)," ")</f>
        <v>0</v>
      </c>
      <c r="G511" s="115">
        <f ca="1" t="shared" si="468"/>
        <v>1</v>
      </c>
      <c r="H511" s="115">
        <f ca="1" t="shared" si="468"/>
        <v>1</v>
      </c>
      <c r="I511" s="115">
        <f ca="1" t="shared" si="468"/>
        <v>1</v>
      </c>
      <c r="J511" s="115">
        <f ca="1" t="shared" si="468"/>
        <v>1</v>
      </c>
      <c r="K511" s="115">
        <f ca="1" t="shared" si="468"/>
        <v>1</v>
      </c>
      <c r="L511" s="115">
        <f ca="1" t="shared" si="468"/>
        <v>1</v>
      </c>
      <c r="M511" s="115">
        <f ca="1" t="shared" si="468"/>
        <v>0.333333333333333</v>
      </c>
      <c r="N511" s="115">
        <f ca="1" t="shared" si="468"/>
        <v>0.5</v>
      </c>
      <c r="O511" s="115">
        <f ca="1" t="shared" si="468"/>
        <v>1</v>
      </c>
      <c r="P511" s="115">
        <f ca="1" t="shared" si="468"/>
        <v>0.714285714285714</v>
      </c>
      <c r="Q511" s="115">
        <f ca="1" t="shared" si="468"/>
        <v>0.454545454545455</v>
      </c>
    </row>
    <row r="512" ht="24" customHeight="1" spans="1:17">
      <c r="A512" s="99" t="s">
        <v>345</v>
      </c>
      <c r="B512" s="99" t="s">
        <v>299</v>
      </c>
      <c r="C512" s="99" t="s">
        <v>329</v>
      </c>
      <c r="D512" s="48" t="s">
        <v>296</v>
      </c>
      <c r="E512" s="116" t="s">
        <v>90</v>
      </c>
      <c r="F512" s="117" t="str">
        <f ca="1" t="shared" ref="F512:M512" si="469">IFERROR(IF(F436=" "," ",F458/F436),"")</f>
        <v/>
      </c>
      <c r="G512" s="117" t="str">
        <f ca="1" t="shared" si="469"/>
        <v/>
      </c>
      <c r="H512" s="117" t="str">
        <f ca="1" t="shared" si="469"/>
        <v/>
      </c>
      <c r="I512" s="117" t="str">
        <f ca="1" t="shared" si="469"/>
        <v/>
      </c>
      <c r="J512" s="117" t="str">
        <f ca="1" t="shared" si="469"/>
        <v/>
      </c>
      <c r="K512" s="117" t="str">
        <f ca="1" t="shared" si="469"/>
        <v/>
      </c>
      <c r="L512" s="117" t="str">
        <f ca="1" t="shared" si="469"/>
        <v/>
      </c>
      <c r="M512" s="117">
        <f ca="1" t="shared" si="469"/>
        <v>0</v>
      </c>
      <c r="N512" s="117">
        <f ca="1" t="shared" ref="N512:Q512" si="470">IF(N436=" "," ",N458/N436)</f>
        <v>0</v>
      </c>
      <c r="O512" s="117">
        <f ca="1" t="shared" si="470"/>
        <v>1</v>
      </c>
      <c r="P512" s="117">
        <f ca="1" t="shared" si="470"/>
        <v>1</v>
      </c>
      <c r="Q512" s="117">
        <f ca="1" t="shared" si="470"/>
        <v>0.5</v>
      </c>
    </row>
    <row r="513" ht="24" customHeight="1" spans="1:17">
      <c r="A513" s="99" t="s">
        <v>345</v>
      </c>
      <c r="B513" s="99" t="s">
        <v>299</v>
      </c>
      <c r="C513" s="99" t="s">
        <v>329</v>
      </c>
      <c r="D513" s="48" t="s">
        <v>296</v>
      </c>
      <c r="E513" s="116" t="s">
        <v>82</v>
      </c>
      <c r="F513" s="117">
        <f ca="1" t="shared" ref="F513:I513" si="471">IFERROR(IF(F437=" "," ",F459/F437),"")</f>
        <v>0</v>
      </c>
      <c r="G513" s="117">
        <f ca="1" t="shared" si="471"/>
        <v>1</v>
      </c>
      <c r="H513" s="117">
        <f ca="1" t="shared" si="471"/>
        <v>1</v>
      </c>
      <c r="I513" s="117">
        <f ca="1" t="shared" si="471"/>
        <v>1</v>
      </c>
      <c r="J513" s="117">
        <f ca="1" t="shared" ref="J513:Q513" si="472">IF(J437=" "," ",J459/J437)</f>
        <v>1</v>
      </c>
      <c r="K513" s="117">
        <f ca="1" t="shared" si="472"/>
        <v>1</v>
      </c>
      <c r="L513" s="117">
        <f ca="1" t="shared" si="472"/>
        <v>1</v>
      </c>
      <c r="M513" s="117">
        <f ca="1" t="shared" si="472"/>
        <v>1</v>
      </c>
      <c r="N513" s="117">
        <f ca="1" t="shared" si="472"/>
        <v>1</v>
      </c>
      <c r="O513" s="117">
        <f ca="1" t="shared" si="472"/>
        <v>1</v>
      </c>
      <c r="P513" s="117">
        <f ca="1" t="shared" si="472"/>
        <v>0.666666666666667</v>
      </c>
      <c r="Q513" s="117">
        <f ca="1" t="shared" si="472"/>
        <v>0.666666666666667</v>
      </c>
    </row>
    <row r="514" ht="24" customHeight="1" spans="1:17">
      <c r="A514" s="99" t="s">
        <v>345</v>
      </c>
      <c r="B514" s="99" t="s">
        <v>299</v>
      </c>
      <c r="C514" s="99" t="s">
        <v>329</v>
      </c>
      <c r="D514" s="48" t="s">
        <v>296</v>
      </c>
      <c r="E514" s="116" t="s">
        <v>86</v>
      </c>
      <c r="F514" s="117" t="str">
        <f ca="1" t="shared" ref="F514:Q514" si="473">IFERROR(IF(F438=" "," ",F460/F438),"")</f>
        <v/>
      </c>
      <c r="G514" s="117" t="str">
        <f ca="1" t="shared" si="473"/>
        <v/>
      </c>
      <c r="H514" s="117" t="str">
        <f ca="1" t="shared" si="473"/>
        <v/>
      </c>
      <c r="I514" s="117" t="str">
        <f ca="1" t="shared" si="473"/>
        <v/>
      </c>
      <c r="J514" s="117" t="str">
        <f ca="1" t="shared" si="473"/>
        <v/>
      </c>
      <c r="K514" s="117" t="str">
        <f ca="1" t="shared" si="473"/>
        <v/>
      </c>
      <c r="L514" s="117" t="str">
        <f ca="1" t="shared" si="473"/>
        <v/>
      </c>
      <c r="M514" s="117" t="str">
        <f ca="1" t="shared" si="473"/>
        <v/>
      </c>
      <c r="N514" s="117" t="str">
        <f ca="1" t="shared" si="473"/>
        <v/>
      </c>
      <c r="O514" s="117" t="str">
        <f ca="1" t="shared" si="473"/>
        <v/>
      </c>
      <c r="P514" s="117" t="str">
        <f ca="1" t="shared" si="473"/>
        <v/>
      </c>
      <c r="Q514" s="117">
        <f ca="1" t="shared" si="473"/>
        <v>0</v>
      </c>
    </row>
    <row r="515" ht="24" customHeight="1" spans="1:17">
      <c r="A515" s="99" t="s">
        <v>345</v>
      </c>
      <c r="B515" s="99" t="s">
        <v>299</v>
      </c>
      <c r="C515" s="99" t="s">
        <v>329</v>
      </c>
      <c r="D515" s="48" t="s">
        <v>298</v>
      </c>
      <c r="E515" s="116" t="s">
        <v>97</v>
      </c>
      <c r="F515" s="117" t="str">
        <f ca="1" t="shared" ref="F515:Q515" si="474">IFERROR(IF(F439=" "," ",F461/F439)," ")</f>
        <v> </v>
      </c>
      <c r="G515" s="117" t="str">
        <f ca="1" t="shared" si="474"/>
        <v> </v>
      </c>
      <c r="H515" s="117" t="str">
        <f ca="1" t="shared" si="474"/>
        <v> </v>
      </c>
      <c r="I515" s="117" t="str">
        <f ca="1" t="shared" si="474"/>
        <v> </v>
      </c>
      <c r="J515" s="117" t="str">
        <f ca="1" t="shared" si="474"/>
        <v> </v>
      </c>
      <c r="K515" s="117" t="str">
        <f ca="1" t="shared" si="474"/>
        <v> </v>
      </c>
      <c r="L515" s="117" t="str">
        <f ca="1" t="shared" si="474"/>
        <v> </v>
      </c>
      <c r="M515" s="117">
        <f ca="1" t="shared" si="474"/>
        <v>0</v>
      </c>
      <c r="N515" s="117">
        <f ca="1" t="shared" si="474"/>
        <v>1</v>
      </c>
      <c r="O515" s="117">
        <f ca="1" t="shared" si="474"/>
        <v>1</v>
      </c>
      <c r="P515" s="117">
        <f ca="1" t="shared" si="474"/>
        <v>0.5</v>
      </c>
      <c r="Q515" s="117">
        <f ca="1" t="shared" si="474"/>
        <v>0.333333333333333</v>
      </c>
    </row>
    <row r="516" ht="24" customHeight="1" spans="1:17">
      <c r="A516" s="99" t="s">
        <v>345</v>
      </c>
      <c r="B516" s="99" t="s">
        <v>299</v>
      </c>
      <c r="C516" s="99" t="s">
        <v>329</v>
      </c>
      <c r="D516" s="48" t="s">
        <v>298</v>
      </c>
      <c r="E516" s="116" t="s">
        <v>87</v>
      </c>
      <c r="F516" s="117" t="str">
        <f ca="1" t="shared" ref="F516:Q516" si="475">IFERROR(IF(F440=" "," ",F462/F440)," ")</f>
        <v> </v>
      </c>
      <c r="G516" s="117" t="str">
        <f ca="1" t="shared" si="475"/>
        <v> </v>
      </c>
      <c r="H516" s="117" t="str">
        <f ca="1" t="shared" si="475"/>
        <v> </v>
      </c>
      <c r="I516" s="117" t="str">
        <f ca="1" t="shared" si="475"/>
        <v> </v>
      </c>
      <c r="J516" s="117" t="str">
        <f ca="1" t="shared" si="475"/>
        <v> </v>
      </c>
      <c r="K516" s="117" t="str">
        <f ca="1" t="shared" si="475"/>
        <v> </v>
      </c>
      <c r="L516" s="117" t="str">
        <f ca="1" t="shared" si="475"/>
        <v> </v>
      </c>
      <c r="M516" s="117" t="str">
        <f ca="1" t="shared" si="475"/>
        <v> </v>
      </c>
      <c r="N516" s="117" t="str">
        <f ca="1" t="shared" si="475"/>
        <v> </v>
      </c>
      <c r="O516" s="117" t="str">
        <f ca="1" t="shared" si="475"/>
        <v> </v>
      </c>
      <c r="P516" s="117" t="str">
        <f ca="1" t="shared" si="475"/>
        <v> </v>
      </c>
      <c r="Q516" s="117" t="str">
        <f ca="1" t="shared" si="475"/>
        <v> </v>
      </c>
    </row>
    <row r="517" ht="24" customHeight="1" spans="1:17">
      <c r="A517" s="99" t="s">
        <v>345</v>
      </c>
      <c r="B517" s="99" t="s">
        <v>299</v>
      </c>
      <c r="C517" s="99" t="s">
        <v>329</v>
      </c>
      <c r="D517" s="48" t="s">
        <v>298</v>
      </c>
      <c r="E517" s="116" t="s">
        <v>149</v>
      </c>
      <c r="F517" s="117" t="str">
        <f ca="1" t="shared" ref="F517:Q517" si="476">IFERROR(IF(F441=" "," ",F463/F441)," ")</f>
        <v> </v>
      </c>
      <c r="G517" s="117" t="str">
        <f ca="1" t="shared" si="476"/>
        <v> </v>
      </c>
      <c r="H517" s="117" t="str">
        <f ca="1" t="shared" si="476"/>
        <v> </v>
      </c>
      <c r="I517" s="117" t="str">
        <f ca="1" t="shared" si="476"/>
        <v> </v>
      </c>
      <c r="J517" s="117" t="str">
        <f ca="1" t="shared" si="476"/>
        <v> </v>
      </c>
      <c r="K517" s="117" t="str">
        <f ca="1" t="shared" si="476"/>
        <v> </v>
      </c>
      <c r="L517" s="117" t="str">
        <f ca="1" t="shared" si="476"/>
        <v> </v>
      </c>
      <c r="M517" s="117" t="str">
        <f ca="1" t="shared" si="476"/>
        <v> </v>
      </c>
      <c r="N517" s="117" t="str">
        <f ca="1" t="shared" si="476"/>
        <v> </v>
      </c>
      <c r="O517" s="117" t="str">
        <f ca="1" t="shared" si="476"/>
        <v> </v>
      </c>
      <c r="P517" s="117" t="str">
        <f ca="1" t="shared" si="476"/>
        <v> </v>
      </c>
      <c r="Q517" s="117" t="str">
        <f ca="1" t="shared" si="476"/>
        <v> </v>
      </c>
    </row>
    <row r="518" ht="24" customHeight="1" spans="1:17">
      <c r="A518" s="99" t="s">
        <v>345</v>
      </c>
      <c r="B518" s="99" t="s">
        <v>299</v>
      </c>
      <c r="C518" s="99" t="s">
        <v>329</v>
      </c>
      <c r="D518" s="48" t="s">
        <v>298</v>
      </c>
      <c r="E518" s="116" t="s">
        <v>83</v>
      </c>
      <c r="F518" s="117" t="str">
        <f ca="1" t="shared" ref="F518:Q518" si="477">IFERROR(IF(F442=" "," ",F464/F442)," ")</f>
        <v> </v>
      </c>
      <c r="G518" s="117" t="str">
        <f ca="1" t="shared" si="477"/>
        <v> </v>
      </c>
      <c r="H518" s="117" t="str">
        <f ca="1" t="shared" si="477"/>
        <v> </v>
      </c>
      <c r="I518" s="117" t="str">
        <f ca="1" t="shared" si="477"/>
        <v> </v>
      </c>
      <c r="J518" s="117" t="str">
        <f ca="1" t="shared" si="477"/>
        <v> </v>
      </c>
      <c r="K518" s="117" t="str">
        <f ca="1" t="shared" si="477"/>
        <v> </v>
      </c>
      <c r="L518" s="117" t="str">
        <f ca="1" t="shared" si="477"/>
        <v> </v>
      </c>
      <c r="M518" s="117" t="str">
        <f ca="1" t="shared" si="477"/>
        <v> </v>
      </c>
      <c r="N518" s="117" t="str">
        <f ca="1" t="shared" si="477"/>
        <v> </v>
      </c>
      <c r="O518" s="117" t="str">
        <f ca="1" t="shared" si="477"/>
        <v> </v>
      </c>
      <c r="P518" s="117" t="str">
        <f ca="1" t="shared" si="477"/>
        <v> </v>
      </c>
      <c r="Q518" s="117" t="str">
        <f ca="1" t="shared" si="477"/>
        <v> </v>
      </c>
    </row>
    <row r="519" ht="24" customHeight="1" spans="1:17">
      <c r="A519" s="99" t="s">
        <v>345</v>
      </c>
      <c r="B519" s="99" t="s">
        <v>299</v>
      </c>
      <c r="C519" s="99" t="s">
        <v>329</v>
      </c>
      <c r="D519" s="47" t="s">
        <v>294</v>
      </c>
      <c r="E519" s="118" t="s">
        <v>93</v>
      </c>
      <c r="F519" s="119">
        <f ca="1" t="shared" ref="F519:Q519" si="478">IF(F443=" "," ",F472/F443)</f>
        <v>0</v>
      </c>
      <c r="G519" s="119">
        <f ca="1" t="shared" si="478"/>
        <v>1</v>
      </c>
      <c r="H519" s="119">
        <f ca="1" t="shared" si="478"/>
        <v>0</v>
      </c>
      <c r="I519" s="119">
        <f ca="1" t="shared" si="478"/>
        <v>0</v>
      </c>
      <c r="J519" s="119">
        <f ca="1" t="shared" si="478"/>
        <v>0</v>
      </c>
      <c r="K519" s="119">
        <f ca="1" t="shared" si="478"/>
        <v>0</v>
      </c>
      <c r="L519" s="119">
        <f ca="1" t="shared" si="478"/>
        <v>0</v>
      </c>
      <c r="M519" s="119">
        <f ca="1" t="shared" si="478"/>
        <v>0</v>
      </c>
      <c r="N519" s="119">
        <f ca="1" t="shared" si="478"/>
        <v>0.333333333333333</v>
      </c>
      <c r="O519" s="119">
        <f ca="1" t="shared" si="478"/>
        <v>0.333333333333333</v>
      </c>
      <c r="P519" s="119">
        <f ca="1" t="shared" si="478"/>
        <v>0</v>
      </c>
      <c r="Q519" s="119">
        <f ca="1" t="shared" si="478"/>
        <v>0</v>
      </c>
    </row>
    <row r="520" ht="24" customHeight="1" spans="1:17">
      <c r="A520" s="99" t="s">
        <v>345</v>
      </c>
      <c r="B520" s="99" t="s">
        <v>299</v>
      </c>
      <c r="C520" s="99" t="s">
        <v>329</v>
      </c>
      <c r="D520" s="47" t="s">
        <v>294</v>
      </c>
      <c r="E520" s="118" t="s">
        <v>85</v>
      </c>
      <c r="F520" s="119" t="str">
        <f ca="1" t="shared" ref="F520:F524" si="479">IFERROR(IF(F444=" "," ",F473/F444)," ")</f>
        <v> </v>
      </c>
      <c r="G520" s="119" t="str">
        <f ca="1" t="shared" ref="G520:M520" si="480">IFERROR(IF(G444=" "," ",G473/G444),"")</f>
        <v/>
      </c>
      <c r="H520" s="119" t="str">
        <f ca="1" t="shared" si="480"/>
        <v/>
      </c>
      <c r="I520" s="119" t="str">
        <f ca="1" t="shared" si="480"/>
        <v/>
      </c>
      <c r="J520" s="119" t="str">
        <f ca="1" t="shared" si="480"/>
        <v/>
      </c>
      <c r="K520" s="119" t="str">
        <f ca="1" t="shared" si="480"/>
        <v/>
      </c>
      <c r="L520" s="119" t="str">
        <f ca="1" t="shared" si="480"/>
        <v/>
      </c>
      <c r="M520" s="119">
        <f ca="1" t="shared" si="480"/>
        <v>0</v>
      </c>
      <c r="N520" s="119">
        <f ca="1" t="shared" ref="N520:Q520" si="481">IF(N444=" "," ",N473/N444)</f>
        <v>0</v>
      </c>
      <c r="O520" s="119">
        <f ca="1" t="shared" si="481"/>
        <v>1</v>
      </c>
      <c r="P520" s="119">
        <f ca="1" t="shared" si="481"/>
        <v>0</v>
      </c>
      <c r="Q520" s="119">
        <f ca="1" t="shared" si="481"/>
        <v>0</v>
      </c>
    </row>
    <row r="521" ht="24" customHeight="1" spans="1:17">
      <c r="A521" s="99" t="s">
        <v>345</v>
      </c>
      <c r="B521" s="99" t="s">
        <v>299</v>
      </c>
      <c r="C521" s="99" t="s">
        <v>329</v>
      </c>
      <c r="D521" s="47" t="s">
        <v>294</v>
      </c>
      <c r="E521" s="118" t="s">
        <v>81</v>
      </c>
      <c r="F521" s="119" t="str">
        <f ca="1" t="shared" si="479"/>
        <v> </v>
      </c>
      <c r="G521" s="119" t="str">
        <f ca="1" t="shared" ref="G521:P521" si="482">IFERROR(IF(G445=" "," ",G474/G445),"")</f>
        <v/>
      </c>
      <c r="H521" s="119" t="str">
        <f ca="1" t="shared" si="482"/>
        <v/>
      </c>
      <c r="I521" s="119" t="str">
        <f ca="1" t="shared" si="482"/>
        <v/>
      </c>
      <c r="J521" s="119" t="str">
        <f ca="1" t="shared" si="482"/>
        <v/>
      </c>
      <c r="K521" s="119" t="str">
        <f ca="1" t="shared" si="482"/>
        <v/>
      </c>
      <c r="L521" s="119" t="str">
        <f ca="1" t="shared" si="482"/>
        <v/>
      </c>
      <c r="M521" s="119" t="str">
        <f ca="1" t="shared" si="482"/>
        <v/>
      </c>
      <c r="N521" s="119" t="str">
        <f ca="1" t="shared" si="482"/>
        <v/>
      </c>
      <c r="O521" s="119" t="str">
        <f ca="1" t="shared" si="482"/>
        <v/>
      </c>
      <c r="P521" s="119" t="str">
        <f ca="1" t="shared" si="482"/>
        <v/>
      </c>
      <c r="Q521" s="119">
        <f ca="1">IF(Q445=" "," ",Q474/Q445)</f>
        <v>0</v>
      </c>
    </row>
    <row r="522" ht="24" customHeight="1" spans="1:17">
      <c r="A522" s="99" t="s">
        <v>345</v>
      </c>
      <c r="B522" s="99" t="s">
        <v>299</v>
      </c>
      <c r="C522" s="99" t="s">
        <v>329</v>
      </c>
      <c r="D522" s="47" t="s">
        <v>294</v>
      </c>
      <c r="E522" s="118" t="s">
        <v>96</v>
      </c>
      <c r="F522" s="119" t="str">
        <f ca="1" t="shared" si="479"/>
        <v> </v>
      </c>
      <c r="G522" s="119" t="str">
        <f ca="1" t="shared" ref="G522:Q522" si="483">IFERROR(IF(G446=" "," ",G475/G446),"")</f>
        <v/>
      </c>
      <c r="H522" s="119" t="str">
        <f ca="1" t="shared" si="483"/>
        <v/>
      </c>
      <c r="I522" s="119" t="str">
        <f ca="1" t="shared" si="483"/>
        <v/>
      </c>
      <c r="J522" s="119" t="str">
        <f ca="1" t="shared" si="483"/>
        <v/>
      </c>
      <c r="K522" s="119" t="str">
        <f ca="1" t="shared" si="483"/>
        <v/>
      </c>
      <c r="L522" s="119" t="str">
        <f ca="1" t="shared" si="483"/>
        <v/>
      </c>
      <c r="M522" s="119" t="str">
        <f ca="1" t="shared" si="483"/>
        <v/>
      </c>
      <c r="N522" s="119" t="str">
        <f ca="1" t="shared" si="483"/>
        <v/>
      </c>
      <c r="O522" s="119" t="str">
        <f ca="1" t="shared" si="483"/>
        <v/>
      </c>
      <c r="P522" s="119" t="str">
        <f ca="1" t="shared" si="483"/>
        <v/>
      </c>
      <c r="Q522" s="119" t="str">
        <f ca="1" t="shared" si="483"/>
        <v/>
      </c>
    </row>
    <row r="523" ht="24" customHeight="1" spans="1:17">
      <c r="A523" s="99" t="s">
        <v>345</v>
      </c>
      <c r="B523" s="99" t="s">
        <v>299</v>
      </c>
      <c r="C523" s="99" t="s">
        <v>329</v>
      </c>
      <c r="D523" s="47" t="s">
        <v>294</v>
      </c>
      <c r="E523" s="118" t="s">
        <v>160</v>
      </c>
      <c r="F523" s="119" t="str">
        <f ca="1" t="shared" si="479"/>
        <v> </v>
      </c>
      <c r="G523" s="119" t="str">
        <f ca="1" t="shared" ref="G523:I523" si="484">IFERROR(IF(G447=" "," ",G476/G447),"")</f>
        <v/>
      </c>
      <c r="H523" s="119" t="str">
        <f ca="1" t="shared" si="484"/>
        <v/>
      </c>
      <c r="I523" s="119" t="str">
        <f ca="1" t="shared" si="484"/>
        <v/>
      </c>
      <c r="J523" s="119" t="str">
        <f ca="1" t="shared" ref="J523:Q523" si="485">IFERROR(IF(J447=" "," ",J476/J447)," ")</f>
        <v> </v>
      </c>
      <c r="K523" s="119" t="str">
        <f ca="1" t="shared" si="485"/>
        <v> </v>
      </c>
      <c r="L523" s="119" t="str">
        <f ca="1" t="shared" si="485"/>
        <v> </v>
      </c>
      <c r="M523" s="119" t="str">
        <f ca="1" t="shared" si="485"/>
        <v> </v>
      </c>
      <c r="N523" s="119" t="str">
        <f ca="1" t="shared" si="485"/>
        <v> </v>
      </c>
      <c r="O523" s="119" t="str">
        <f ca="1" t="shared" si="485"/>
        <v> </v>
      </c>
      <c r="P523" s="119" t="str">
        <f ca="1" t="shared" si="485"/>
        <v> </v>
      </c>
      <c r="Q523" s="119" t="str">
        <f ca="1" t="shared" si="485"/>
        <v> </v>
      </c>
    </row>
    <row r="524" ht="24" customHeight="1" spans="1:17">
      <c r="A524" s="99" t="s">
        <v>345</v>
      </c>
      <c r="B524" s="99" t="s">
        <v>299</v>
      </c>
      <c r="C524" s="99" t="s">
        <v>329</v>
      </c>
      <c r="D524" s="113" t="s">
        <v>292</v>
      </c>
      <c r="E524" s="113" t="s">
        <v>331</v>
      </c>
      <c r="F524" s="115">
        <f ca="1" t="shared" si="479"/>
        <v>0</v>
      </c>
      <c r="G524" s="115">
        <f ca="1" t="shared" ref="G524:Q524" si="486">IFERROR(IF(G448=" "," ",G477/G448)," ")</f>
        <v>1</v>
      </c>
      <c r="H524" s="115">
        <f ca="1" t="shared" si="486"/>
        <v>1</v>
      </c>
      <c r="I524" s="115">
        <f ca="1" t="shared" si="486"/>
        <v>1</v>
      </c>
      <c r="J524" s="115">
        <f ca="1" t="shared" si="486"/>
        <v>1</v>
      </c>
      <c r="K524" s="115">
        <f ca="1" t="shared" si="486"/>
        <v>1</v>
      </c>
      <c r="L524" s="115">
        <f ca="1" t="shared" si="486"/>
        <v>1</v>
      </c>
      <c r="M524" s="115">
        <f ca="1" t="shared" si="486"/>
        <v>0.333333333333333</v>
      </c>
      <c r="N524" s="115">
        <f ca="1" t="shared" si="486"/>
        <v>0.5</v>
      </c>
      <c r="O524" s="115">
        <f ca="1" t="shared" si="486"/>
        <v>1</v>
      </c>
      <c r="P524" s="115">
        <f ca="1" t="shared" si="486"/>
        <v>0.833333333333333</v>
      </c>
      <c r="Q524" s="115">
        <f ca="1" t="shared" si="486"/>
        <v>0.555555555555556</v>
      </c>
    </row>
    <row r="525" ht="24" customHeight="1" spans="1:17">
      <c r="A525" s="99" t="s">
        <v>345</v>
      </c>
      <c r="B525" s="99" t="s">
        <v>299</v>
      </c>
      <c r="C525" s="99" t="s">
        <v>329</v>
      </c>
      <c r="D525" s="48" t="s">
        <v>296</v>
      </c>
      <c r="E525" s="116" t="s">
        <v>90</v>
      </c>
      <c r="F525" s="117" t="str">
        <f ca="1" t="shared" ref="F525:M525" si="487">IFERROR(IF(F449=" "," ",F478/F449),"")</f>
        <v/>
      </c>
      <c r="G525" s="117" t="str">
        <f ca="1" t="shared" si="487"/>
        <v/>
      </c>
      <c r="H525" s="117" t="str">
        <f ca="1" t="shared" si="487"/>
        <v/>
      </c>
      <c r="I525" s="117" t="str">
        <f ca="1" t="shared" si="487"/>
        <v/>
      </c>
      <c r="J525" s="117" t="str">
        <f ca="1" t="shared" si="487"/>
        <v/>
      </c>
      <c r="K525" s="117" t="str">
        <f ca="1" t="shared" si="487"/>
        <v/>
      </c>
      <c r="L525" s="117" t="str">
        <f ca="1" t="shared" si="487"/>
        <v/>
      </c>
      <c r="M525" s="117">
        <f ca="1" t="shared" si="487"/>
        <v>0</v>
      </c>
      <c r="N525" s="117">
        <f ca="1" t="shared" ref="N525:Q525" si="488">IF(N449=" "," ",N478/N449)</f>
        <v>0</v>
      </c>
      <c r="O525" s="117">
        <f ca="1" t="shared" si="488"/>
        <v>1</v>
      </c>
      <c r="P525" s="117">
        <f ca="1" t="shared" si="488"/>
        <v>1</v>
      </c>
      <c r="Q525" s="117">
        <f ca="1" t="shared" si="488"/>
        <v>0.5</v>
      </c>
    </row>
    <row r="526" ht="24" customHeight="1" spans="1:17">
      <c r="A526" s="99" t="s">
        <v>345</v>
      </c>
      <c r="B526" s="99" t="s">
        <v>299</v>
      </c>
      <c r="C526" s="99" t="s">
        <v>329</v>
      </c>
      <c r="D526" s="48" t="s">
        <v>296</v>
      </c>
      <c r="E526" s="116" t="s">
        <v>82</v>
      </c>
      <c r="F526" s="117">
        <f ca="1" t="shared" ref="F526:L526" si="489">IFERROR(IF(F450=" "," ",F479/F450),"")</f>
        <v>0</v>
      </c>
      <c r="G526" s="117">
        <f ca="1" t="shared" si="489"/>
        <v>1</v>
      </c>
      <c r="H526" s="117">
        <f ca="1" t="shared" si="489"/>
        <v>1</v>
      </c>
      <c r="I526" s="117">
        <f ca="1" t="shared" si="489"/>
        <v>1</v>
      </c>
      <c r="J526" s="117">
        <f ca="1" t="shared" si="489"/>
        <v>1</v>
      </c>
      <c r="K526" s="117">
        <f ca="1" t="shared" si="489"/>
        <v>1</v>
      </c>
      <c r="L526" s="117">
        <f ca="1" t="shared" si="489"/>
        <v>1</v>
      </c>
      <c r="M526" s="117">
        <f ca="1" t="shared" ref="M526:Q526" si="490">IF(M450=" "," ",M479/M450)</f>
        <v>0.5</v>
      </c>
      <c r="N526" s="117">
        <f ca="1" t="shared" si="490"/>
        <v>1</v>
      </c>
      <c r="O526" s="117">
        <f ca="1" t="shared" si="490"/>
        <v>1</v>
      </c>
      <c r="P526" s="117">
        <f ca="1" t="shared" si="490"/>
        <v>0.75</v>
      </c>
      <c r="Q526" s="117">
        <f ca="1" t="shared" si="490"/>
        <v>0.75</v>
      </c>
    </row>
    <row r="527" ht="24" customHeight="1" spans="1:17">
      <c r="A527" s="99" t="s">
        <v>345</v>
      </c>
      <c r="B527" s="99" t="s">
        <v>299</v>
      </c>
      <c r="C527" s="99" t="s">
        <v>329</v>
      </c>
      <c r="D527" s="48" t="s">
        <v>296</v>
      </c>
      <c r="E527" s="116" t="s">
        <v>86</v>
      </c>
      <c r="F527" s="117" t="str">
        <f ca="1" t="shared" ref="F527:Q527" si="491">IFERROR(IF(F451=" "," ",F480/F451),"")</f>
        <v/>
      </c>
      <c r="G527" s="117" t="str">
        <f ca="1" t="shared" si="491"/>
        <v/>
      </c>
      <c r="H527" s="117" t="str">
        <f ca="1" t="shared" si="491"/>
        <v/>
      </c>
      <c r="I527" s="117" t="str">
        <f ca="1" t="shared" si="491"/>
        <v/>
      </c>
      <c r="J527" s="117" t="str">
        <f ca="1" t="shared" si="491"/>
        <v/>
      </c>
      <c r="K527" s="117" t="str">
        <f ca="1" t="shared" si="491"/>
        <v/>
      </c>
      <c r="L527" s="117" t="str">
        <f ca="1" t="shared" si="491"/>
        <v/>
      </c>
      <c r="M527" s="117" t="str">
        <f ca="1" t="shared" si="491"/>
        <v/>
      </c>
      <c r="N527" s="117" t="str">
        <f ca="1" t="shared" si="491"/>
        <v/>
      </c>
      <c r="O527" s="117" t="str">
        <f ca="1" t="shared" si="491"/>
        <v/>
      </c>
      <c r="P527" s="117" t="str">
        <f ca="1" t="shared" si="491"/>
        <v/>
      </c>
      <c r="Q527" s="117">
        <f ca="1" t="shared" si="491"/>
        <v>0</v>
      </c>
    </row>
    <row r="528" ht="24" customHeight="1" spans="1:17">
      <c r="A528" s="99" t="s">
        <v>345</v>
      </c>
      <c r="B528" s="99" t="s">
        <v>299</v>
      </c>
      <c r="C528" s="99" t="s">
        <v>329</v>
      </c>
      <c r="D528" s="113" t="s">
        <v>292</v>
      </c>
      <c r="E528" s="113" t="s">
        <v>332</v>
      </c>
      <c r="F528" s="115">
        <f ca="1" t="shared" ref="F528:Q528" si="492">IFERROR(IF(F452=" "," ",F484/F452)," ")</f>
        <v>0</v>
      </c>
      <c r="G528" s="115">
        <f ca="1" t="shared" si="492"/>
        <v>1</v>
      </c>
      <c r="H528" s="115">
        <f ca="1" t="shared" si="492"/>
        <v>1</v>
      </c>
      <c r="I528" s="115">
        <f ca="1" t="shared" si="492"/>
        <v>1</v>
      </c>
      <c r="J528" s="115">
        <f ca="1" t="shared" si="492"/>
        <v>1</v>
      </c>
      <c r="K528" s="115">
        <f ca="1" t="shared" si="492"/>
        <v>1</v>
      </c>
      <c r="L528" s="115">
        <f ca="1" t="shared" si="492"/>
        <v>1</v>
      </c>
      <c r="M528" s="115">
        <f ca="1" t="shared" si="492"/>
        <v>0.333333333333333</v>
      </c>
      <c r="N528" s="115">
        <f ca="1" t="shared" si="492"/>
        <v>0.666666666666667</v>
      </c>
      <c r="O528" s="115">
        <f ca="1" t="shared" si="492"/>
        <v>1</v>
      </c>
      <c r="P528" s="115">
        <f ca="1" t="shared" si="492"/>
        <v>0.6</v>
      </c>
      <c r="Q528" s="115">
        <f ca="1" t="shared" si="492"/>
        <v>0.375</v>
      </c>
    </row>
    <row r="529" ht="24" customHeight="1" spans="1:17">
      <c r="A529" s="99" t="s">
        <v>345</v>
      </c>
      <c r="B529" s="99" t="s">
        <v>299</v>
      </c>
      <c r="C529" s="99" t="s">
        <v>329</v>
      </c>
      <c r="D529" s="48" t="s">
        <v>298</v>
      </c>
      <c r="E529" s="116" t="s">
        <v>97</v>
      </c>
      <c r="F529" s="117" t="str">
        <f ca="1" t="shared" ref="F529:M529" si="493">IFERROR(IF(F453=" "," ",F485/F453),"")</f>
        <v/>
      </c>
      <c r="G529" s="117" t="str">
        <f ca="1" t="shared" si="493"/>
        <v/>
      </c>
      <c r="H529" s="117" t="str">
        <f ca="1" t="shared" si="493"/>
        <v/>
      </c>
      <c r="I529" s="117" t="str">
        <f ca="1" t="shared" si="493"/>
        <v/>
      </c>
      <c r="J529" s="117" t="str">
        <f ca="1" t="shared" si="493"/>
        <v/>
      </c>
      <c r="K529" s="117" t="str">
        <f ca="1" t="shared" si="493"/>
        <v/>
      </c>
      <c r="L529" s="117" t="str">
        <f ca="1" t="shared" si="493"/>
        <v/>
      </c>
      <c r="M529" s="117">
        <f ca="1" t="shared" si="493"/>
        <v>0</v>
      </c>
      <c r="N529" s="117">
        <f ca="1" t="shared" ref="N529:Q529" si="494">IF(N453=" "," ",N485/N453)</f>
        <v>1</v>
      </c>
      <c r="O529" s="117">
        <f ca="1" t="shared" si="494"/>
        <v>1</v>
      </c>
      <c r="P529" s="117">
        <f ca="1" t="shared" si="494"/>
        <v>0.333333333333333</v>
      </c>
      <c r="Q529" s="117">
        <f ca="1" t="shared" si="494"/>
        <v>0.2</v>
      </c>
    </row>
    <row r="530" ht="24" customHeight="1" spans="1:17">
      <c r="A530" s="99" t="s">
        <v>345</v>
      </c>
      <c r="B530" s="99" t="s">
        <v>299</v>
      </c>
      <c r="C530" s="99" t="s">
        <v>329</v>
      </c>
      <c r="D530" s="48" t="s">
        <v>298</v>
      </c>
      <c r="E530" s="116" t="s">
        <v>87</v>
      </c>
      <c r="F530" s="117" t="str">
        <f ca="1" t="shared" ref="F530:P530" si="495">IFERROR(IF(F454=" "," ",F486/F454),"")</f>
        <v/>
      </c>
      <c r="G530" s="117" t="str">
        <f ca="1" t="shared" si="495"/>
        <v/>
      </c>
      <c r="H530" s="117" t="str">
        <f ca="1" t="shared" si="495"/>
        <v/>
      </c>
      <c r="I530" s="117" t="str">
        <f ca="1" t="shared" si="495"/>
        <v/>
      </c>
      <c r="J530" s="117" t="str">
        <f ca="1" t="shared" si="495"/>
        <v/>
      </c>
      <c r="K530" s="117" t="str">
        <f ca="1" t="shared" si="495"/>
        <v/>
      </c>
      <c r="L530" s="117" t="str">
        <f ca="1" t="shared" si="495"/>
        <v/>
      </c>
      <c r="M530" s="117" t="str">
        <f ca="1" t="shared" si="495"/>
        <v/>
      </c>
      <c r="N530" s="117" t="str">
        <f ca="1" t="shared" si="495"/>
        <v/>
      </c>
      <c r="O530" s="117" t="str">
        <f ca="1" t="shared" si="495"/>
        <v/>
      </c>
      <c r="P530" s="117" t="str">
        <f ca="1" t="shared" si="495"/>
        <v/>
      </c>
      <c r="Q530" s="117">
        <f ca="1">IF(Q454=" "," ",Q486/Q454)</f>
        <v>0</v>
      </c>
    </row>
    <row r="531" ht="24" customHeight="1" spans="1:17">
      <c r="A531" s="99" t="s">
        <v>345</v>
      </c>
      <c r="B531" s="99" t="s">
        <v>299</v>
      </c>
      <c r="C531" s="99" t="s">
        <v>329</v>
      </c>
      <c r="D531" s="48" t="s">
        <v>298</v>
      </c>
      <c r="E531" s="116" t="s">
        <v>149</v>
      </c>
      <c r="F531" s="117" t="str">
        <f ca="1" t="shared" ref="F531:Q531" si="496">IFERROR(IF(F455=" "," ",F487/F455),"")</f>
        <v/>
      </c>
      <c r="G531" s="117" t="str">
        <f ca="1" t="shared" si="496"/>
        <v/>
      </c>
      <c r="H531" s="117" t="str">
        <f ca="1" t="shared" si="496"/>
        <v/>
      </c>
      <c r="I531" s="117" t="str">
        <f ca="1" t="shared" si="496"/>
        <v/>
      </c>
      <c r="J531" s="117" t="str">
        <f ca="1" t="shared" si="496"/>
        <v/>
      </c>
      <c r="K531" s="117" t="str">
        <f ca="1" t="shared" si="496"/>
        <v/>
      </c>
      <c r="L531" s="117" t="str">
        <f ca="1" t="shared" si="496"/>
        <v/>
      </c>
      <c r="M531" s="117" t="str">
        <f ca="1" t="shared" si="496"/>
        <v/>
      </c>
      <c r="N531" s="117" t="str">
        <f ca="1" t="shared" si="496"/>
        <v/>
      </c>
      <c r="O531" s="117" t="str">
        <f ca="1" t="shared" si="496"/>
        <v/>
      </c>
      <c r="P531" s="117" t="str">
        <f ca="1" t="shared" si="496"/>
        <v/>
      </c>
      <c r="Q531" s="117" t="str">
        <f ca="1" t="shared" si="496"/>
        <v/>
      </c>
    </row>
    <row r="532" ht="24" customHeight="1" spans="1:17">
      <c r="A532" s="99" t="s">
        <v>345</v>
      </c>
      <c r="B532" s="99" t="s">
        <v>299</v>
      </c>
      <c r="C532" s="99" t="s">
        <v>329</v>
      </c>
      <c r="D532" s="48" t="s">
        <v>298</v>
      </c>
      <c r="E532" s="116" t="s">
        <v>83</v>
      </c>
      <c r="F532" s="117">
        <f ca="1" t="shared" ref="F532:L532" si="497">IFERROR(IF(F456=" "," ",F488/F456),"")</f>
        <v>0</v>
      </c>
      <c r="G532" s="117">
        <f ca="1" t="shared" si="497"/>
        <v>1</v>
      </c>
      <c r="H532" s="117">
        <f ca="1" t="shared" si="497"/>
        <v>1</v>
      </c>
      <c r="I532" s="117">
        <f ca="1" t="shared" si="497"/>
        <v>1</v>
      </c>
      <c r="J532" s="117">
        <f ca="1" t="shared" si="497"/>
        <v>1</v>
      </c>
      <c r="K532" s="117">
        <f ca="1" t="shared" si="497"/>
        <v>1</v>
      </c>
      <c r="L532" s="117">
        <f ca="1" t="shared" si="497"/>
        <v>1</v>
      </c>
      <c r="M532" s="117">
        <f ca="1" t="shared" ref="M532:Q532" si="498">IF(M456=" "," ",M488/M456)</f>
        <v>0.5</v>
      </c>
      <c r="N532" s="117">
        <f ca="1" t="shared" si="498"/>
        <v>0.5</v>
      </c>
      <c r="O532" s="117">
        <f ca="1" t="shared" si="498"/>
        <v>1</v>
      </c>
      <c r="P532" s="117">
        <f ca="1" t="shared" si="498"/>
        <v>1</v>
      </c>
      <c r="Q532" s="117">
        <f ca="1" t="shared" si="498"/>
        <v>1</v>
      </c>
    </row>
    <row r="533" ht="24" customHeight="1" spans="1:17">
      <c r="A533" s="99" t="s">
        <v>345</v>
      </c>
      <c r="B533" s="99" t="s">
        <v>299</v>
      </c>
      <c r="C533" s="99" t="s">
        <v>333</v>
      </c>
      <c r="D533" s="114" t="s">
        <v>292</v>
      </c>
      <c r="E533" s="114" t="s">
        <v>300</v>
      </c>
      <c r="F533" s="215">
        <f ca="1">IF($S$1&lt;DATE(2025,1,1)," ",SUM(F534:F540))</f>
        <v>0</v>
      </c>
      <c r="G533" s="215">
        <f ca="1">IF($S$1&lt;DATE(2025,2,1)," ",SUM(G534:G540))</f>
        <v>1.6871</v>
      </c>
      <c r="H533" s="215">
        <f ca="1">IF($S$1&lt;DATE(2025,3,1)," ",SUM(H534:H540))</f>
        <v>0</v>
      </c>
      <c r="I533" s="215">
        <f ca="1">IF($S$1&lt;DATE(2025,4,1)," ",SUM(I534:I540))</f>
        <v>0</v>
      </c>
      <c r="J533" s="215">
        <f ca="1">IF($S$1&lt;DATE(2025,5,1)," ",SUM(J534:J540))</f>
        <v>0</v>
      </c>
      <c r="K533" s="215">
        <f ca="1">IF($S$1&lt;DATE(2025,6,1)," ",SUM(K534:K540))</f>
        <v>0</v>
      </c>
      <c r="L533" s="215">
        <f ca="1">IF($S$1&lt;DATE(2025,7,1)," ",SUM(L534:L540))</f>
        <v>0</v>
      </c>
      <c r="M533" s="215">
        <f ca="1">IF($S$1&lt;DATE(2025,8,1)," ",SUM(M534:M540))</f>
        <v>0</v>
      </c>
      <c r="N533" s="215">
        <f ca="1">IF($S$1&lt;DATE(2025,9,1)," ",SUM(N534:N540))</f>
        <v>0.137758</v>
      </c>
      <c r="O533" s="215">
        <f ca="1">IF($S$1&lt;DATE(2025,10,1)," ",SUM(O534:O540))</f>
        <v>2.1498</v>
      </c>
      <c r="P533" s="215">
        <f ca="1">IF($S$1&lt;DATE(2025,11,1)," ",SUM(P534:P540))</f>
        <v>0</v>
      </c>
      <c r="Q533" s="215">
        <f ca="1">IF($S$1&lt;DATE(2025,12,1)," ",SUM(Q534:Q540))</f>
        <v>0</v>
      </c>
    </row>
    <row r="534" ht="24" customHeight="1" spans="1:17">
      <c r="A534" s="99" t="s">
        <v>345</v>
      </c>
      <c r="B534" s="99" t="s">
        <v>299</v>
      </c>
      <c r="C534" s="99" t="s">
        <v>333</v>
      </c>
      <c r="D534" s="48" t="s">
        <v>31</v>
      </c>
      <c r="E534" s="48" t="s">
        <v>90</v>
      </c>
      <c r="F534" s="51">
        <f ca="1">IF($S$1&lt;DATE(2025,1,1)," ",SUMIFS('2025数据'!$AR$3:$AR$181,'2025数据'!$H$3:$H$181,"&gt;="&amp;DATE(2025,1,1),'2025数据'!$H$3:$H$181,"&lt;="&amp;DATE(2025,1,31),'2025数据'!$AE$3:$AE$181,$E534)/10000)</f>
        <v>0</v>
      </c>
      <c r="G534" s="51">
        <f ca="1">IF($S$1&lt;DATE(2025,2,1)," ",SUMIFS('2025数据'!$AR$3:$AR$181,'2025数据'!$H$3:$H$181,"&gt;="&amp;DATE(2025,2,1),'2025数据'!$H$3:$H$181,"&lt;="&amp;DATE(2025,2,28),'2025数据'!$AE$3:$AE$181,$E534)/10000)</f>
        <v>0</v>
      </c>
      <c r="H534" s="51">
        <f ca="1">IF($S$1&lt;DATE(2025,3,1)," ",SUMIFS('2025数据'!$AR$3:$AR$181,'2025数据'!$H$3:$H$181,"&gt;="&amp;DATE(2025,3,1),'2025数据'!$H$3:$H$181,"&lt;="&amp;DATE(2025,3,31),'2025数据'!$AE$3:$AE$181,$E534)/10000)</f>
        <v>0</v>
      </c>
      <c r="I534" s="51">
        <f ca="1">IF($S$1&lt;DATE(2025,4,1)," ",SUMIFS('2025数据'!$AR$3:$AR$181,'2025数据'!$H$3:$H$181,"&gt;="&amp;DATE(2025,4,1),'2025数据'!$H$3:$H$181,"&lt;="&amp;DATE(2025,4,30),'2025数据'!$AE$3:$AE$181,$E534)/10000)</f>
        <v>0</v>
      </c>
      <c r="J534" s="51">
        <f ca="1">IF($S$1&lt;DATE(2025,5,1)," ",SUMIFS('2025数据'!$AR$3:$AR$181,'2025数据'!$H$3:$H$181,"&gt;="&amp;DATE(2025,5,1),'2025数据'!$H$3:$H$181,"&lt;="&amp;DATE(2025,5,31),'2025数据'!$AE$3:$AE$181,$E534)/10000)</f>
        <v>0</v>
      </c>
      <c r="K534" s="51">
        <f ca="1">IF($S$1&lt;DATE(2025,6,1)," ",SUMIFS('2025数据'!$AR$3:$AR$181,'2025数据'!$H$3:$H$181,"&gt;="&amp;DATE(2025,6,1),'2025数据'!$H$3:$H$181,"&lt;="&amp;DATE(2025,6,30),'2025数据'!$AE$3:$AE$181,$E534)/10000)</f>
        <v>0</v>
      </c>
      <c r="L534" s="51">
        <f ca="1">IF($S$1&lt;DATE(2025,7,1)," ",SUMIFS('2025数据'!$AR$3:$AR$181,'2025数据'!$H$3:$H$181,"&gt;="&amp;DATE(2025,7,1),'2025数据'!$H$3:$H$181,"&lt;="&amp;DATE(2025,7,31),'2025数据'!$AE$3:$AE$181,$E534)/10000)</f>
        <v>0</v>
      </c>
      <c r="M534" s="51">
        <f ca="1">IF($S$1&lt;DATE(2025,8,1)," ",SUMIFS('2025数据'!$AR$3:$AR$181,'2025数据'!$H$3:$H$181,"&gt;="&amp;DATE(2025,8,1),'2025数据'!$H$3:$H$181,"&lt;="&amp;DATE(2025,8,31),'2025数据'!$AE$3:$AE$181,$E534)/10000)</f>
        <v>0</v>
      </c>
      <c r="N534" s="51">
        <f ca="1">IF($S$1&lt;DATE(2025,9,1)," ",SUMIFS('2025数据'!$AR$3:$AR$181,'2025数据'!$H$3:$H$181,"&gt;="&amp;DATE(2025,9,1),'2025数据'!$H$3:$H$181,"&lt;="&amp;DATE(2025,9,30),'2025数据'!$AE$3:$AE$181,$E534)/10000)</f>
        <v>0</v>
      </c>
      <c r="O534" s="51">
        <f ca="1">IF($S$1&lt;DATE(2025,10,1)," ",SUMIFS('2025数据'!$AR$3:$AR$181,'2025数据'!$H$3:$H$181,"&gt;="&amp;DATE(2025,10,1),'2025数据'!$H$3:$H$181,"&lt;="&amp;DATE(2025,10,31),'2025数据'!$AE$3:$AE$181,$E534)/10000)</f>
        <v>1.271217</v>
      </c>
      <c r="P534" s="217">
        <f ca="1">IF($S$1&lt;DATE(2025,11,1)," ",SUMIFS('2025数据'!$AR$3:$AR$181,'2025数据'!$H$3:$H$181,"&gt;="&amp;DATE(2025,11,1),'2025数据'!$H$3:$H$181,"&lt;="&amp;DATE(2025,11,30),'2025数据'!$AE$3:$AE$181,$E534)/10000)</f>
        <v>0</v>
      </c>
      <c r="Q534" s="217">
        <f ca="1">IF($S$1&lt;DATE(2025,12,1)," ",SUMIFS('2025数据'!$AR$3:$AR$181,'2025数据'!$H$3:$H$181,"&gt;="&amp;DATE(2025,12,1),'2025数据'!$H$3:$H$181,"&lt;="&amp;DATE(2025,12,31),'2025数据'!$AE$3:$AE$181,$E534)/10000)</f>
        <v>0</v>
      </c>
    </row>
    <row r="535" ht="24" customHeight="1" spans="1:17">
      <c r="A535" s="99" t="s">
        <v>345</v>
      </c>
      <c r="B535" s="99" t="s">
        <v>299</v>
      </c>
      <c r="C535" s="99" t="s">
        <v>333</v>
      </c>
      <c r="D535" s="48" t="s">
        <v>31</v>
      </c>
      <c r="E535" s="48" t="s">
        <v>82</v>
      </c>
      <c r="F535" s="51">
        <f ca="1">IF($S$1&lt;DATE(2025,1,1)," ",SUMIFS('2025数据'!$AR$3:$AR$181,'2025数据'!$H$3:$H$181,"&gt;="&amp;DATE(2025,1,1),'2025数据'!$H$3:$H$181,"&lt;="&amp;DATE(2025,1,31),'2025数据'!$AE$3:$AE$181,$E535)/10000)</f>
        <v>0</v>
      </c>
      <c r="G535" s="51">
        <f ca="1">IF($S$1&lt;DATE(2025,2,1)," ",SUMIFS('2025数据'!$AR$3:$AR$181,'2025数据'!$H$3:$H$181,"&gt;="&amp;DATE(2025,2,1),'2025数据'!$H$3:$H$181,"&lt;="&amp;DATE(2025,2,28),'2025数据'!$AE$3:$AE$181,$E535)/10000)</f>
        <v>1.6871</v>
      </c>
      <c r="H535" s="51">
        <f ca="1">IF($S$1&lt;DATE(2025,3,1)," ",SUMIFS('2025数据'!$AR$3:$AR$181,'2025数据'!$H$3:$H$181,"&gt;="&amp;DATE(2025,3,1),'2025数据'!$H$3:$H$181,"&lt;="&amp;DATE(2025,3,31),'2025数据'!$AE$3:$AE$181,$E535)/10000)</f>
        <v>0</v>
      </c>
      <c r="I535" s="51">
        <f ca="1">IF($S$1&lt;DATE(2025,4,1)," ",SUMIFS('2025数据'!$AR$3:$AR$181,'2025数据'!$H$3:$H$181,"&gt;="&amp;DATE(2025,4,1),'2025数据'!$H$3:$H$181,"&lt;="&amp;DATE(2025,4,30),'2025数据'!$AE$3:$AE$181,$E535)/10000)</f>
        <v>0</v>
      </c>
      <c r="J535" s="51">
        <f ca="1">IF($S$1&lt;DATE(2025,5,1)," ",SUMIFS('2025数据'!$AR$3:$AR$181,'2025数据'!$H$3:$H$181,"&gt;="&amp;DATE(2025,5,1),'2025数据'!$H$3:$H$181,"&lt;="&amp;DATE(2025,5,31),'2025数据'!$AE$3:$AE$181,$E535)/10000)</f>
        <v>0</v>
      </c>
      <c r="K535" s="51">
        <f ca="1">IF($S$1&lt;DATE(2025,6,1)," ",SUMIFS('2025数据'!$AR$3:$AR$181,'2025数据'!$H$3:$H$181,"&gt;="&amp;DATE(2025,6,1),'2025数据'!$H$3:$H$181,"&lt;="&amp;DATE(2025,6,30),'2025数据'!$AE$3:$AE$181,$E535)/10000)</f>
        <v>0</v>
      </c>
      <c r="L535" s="51">
        <f ca="1">IF($S$1&lt;DATE(2025,7,1)," ",SUMIFS('2025数据'!$AR$3:$AR$181,'2025数据'!$H$3:$H$181,"&gt;="&amp;DATE(2025,7,1),'2025数据'!$H$3:$H$181,"&lt;="&amp;DATE(2025,7,31),'2025数据'!$AE$3:$AE$181,$E535)/10000)</f>
        <v>0</v>
      </c>
      <c r="M535" s="51">
        <f ca="1">IF($S$1&lt;DATE(2025,8,1)," ",SUMIFS('2025数据'!$AR$3:$AR$181,'2025数据'!$H$3:$H$181,"&gt;="&amp;DATE(2025,8,1),'2025数据'!$H$3:$H$181,"&lt;="&amp;DATE(2025,8,31),'2025数据'!$AE$3:$AE$181,$E535)/10000)</f>
        <v>0</v>
      </c>
      <c r="N535" s="51">
        <f ca="1">IF($S$1&lt;DATE(2025,9,1)," ",SUMIFS('2025数据'!$AR$3:$AR$181,'2025数据'!$H$3:$H$181,"&gt;="&amp;DATE(2025,9,1),'2025数据'!$H$3:$H$181,"&lt;="&amp;DATE(2025,9,30),'2025数据'!$AE$3:$AE$181,$E535)/10000)</f>
        <v>0</v>
      </c>
      <c r="O535" s="51">
        <f ca="1">IF($S$1&lt;DATE(2025,10,1)," ",SUMIFS('2025数据'!$AR$3:$AR$181,'2025数据'!$H$3:$H$181,"&gt;="&amp;DATE(2025,10,1),'2025数据'!$H$3:$H$181,"&lt;="&amp;DATE(2025,10,31),'2025数据'!$AE$3:$AE$181,$E535)/10000)</f>
        <v>0.878583</v>
      </c>
      <c r="P535" s="217">
        <f ca="1">IF($S$1&lt;DATE(2025,11,1)," ",SUMIFS('2025数据'!$AR$3:$AR$181,'2025数据'!$H$3:$H$181,"&gt;="&amp;DATE(2025,11,1),'2025数据'!$H$3:$H$181,"&lt;="&amp;DATE(2025,11,30),'2025数据'!$AE$3:$AE$181,$E535)/10000)</f>
        <v>0</v>
      </c>
      <c r="Q535" s="217">
        <f ca="1">IF($S$1&lt;DATE(2025,12,1)," ",SUMIFS('2025数据'!$AR$3:$AR$181,'2025数据'!$H$3:$H$181,"&gt;="&amp;DATE(2025,12,1),'2025数据'!$H$3:$H$181,"&lt;="&amp;DATE(2025,12,31),'2025数据'!$AE$3:$AE$181,$E535)/10000)</f>
        <v>0</v>
      </c>
    </row>
    <row r="536" ht="24" customHeight="1" spans="1:17">
      <c r="A536" s="99" t="s">
        <v>345</v>
      </c>
      <c r="B536" s="99" t="s">
        <v>299</v>
      </c>
      <c r="C536" s="99" t="s">
        <v>333</v>
      </c>
      <c r="D536" s="48" t="s">
        <v>31</v>
      </c>
      <c r="E536" s="48" t="s">
        <v>86</v>
      </c>
      <c r="F536" s="51">
        <f ca="1">IF($S$1&lt;DATE(2025,1,1)," ",SUMIFS('2025数据'!$AR$3:$AR$181,'2025数据'!$H$3:$H$181,"&gt;="&amp;DATE(2025,1,1),'2025数据'!$H$3:$H$181,"&lt;="&amp;DATE(2025,1,31),'2025数据'!$AE$3:$AE$181,$E536)/10000)</f>
        <v>0</v>
      </c>
      <c r="G536" s="51">
        <f ca="1">IF($S$1&lt;DATE(2025,2,1)," ",SUMIFS('2025数据'!$AR$3:$AR$181,'2025数据'!$H$3:$H$181,"&gt;="&amp;DATE(2025,2,1),'2025数据'!$H$3:$H$181,"&lt;="&amp;DATE(2025,2,28),'2025数据'!$AE$3:$AE$181,$E536)/10000)</f>
        <v>0</v>
      </c>
      <c r="H536" s="51">
        <f ca="1">IF($S$1&lt;DATE(2025,3,1)," ",SUMIFS('2025数据'!$AR$3:$AR$181,'2025数据'!$H$3:$H$181,"&gt;="&amp;DATE(2025,3,1),'2025数据'!$H$3:$H$181,"&lt;="&amp;DATE(2025,3,31),'2025数据'!$AE$3:$AE$181,$E536)/10000)</f>
        <v>0</v>
      </c>
      <c r="I536" s="51">
        <f ca="1">IF($S$1&lt;DATE(2025,4,1)," ",SUMIFS('2025数据'!$AR$3:$AR$181,'2025数据'!$H$3:$H$181,"&gt;="&amp;DATE(2025,4,1),'2025数据'!$H$3:$H$181,"&lt;="&amp;DATE(2025,4,30),'2025数据'!$AE$3:$AE$181,$E536)/10000)</f>
        <v>0</v>
      </c>
      <c r="J536" s="51">
        <f ca="1">IF($S$1&lt;DATE(2025,5,1)," ",SUMIFS('2025数据'!$AR$3:$AR$181,'2025数据'!$H$3:$H$181,"&gt;="&amp;DATE(2025,5,1),'2025数据'!$H$3:$H$181,"&lt;="&amp;DATE(2025,5,31),'2025数据'!$AE$3:$AE$181,$E536)/10000)</f>
        <v>0</v>
      </c>
      <c r="K536" s="51">
        <f ca="1">IF($S$1&lt;DATE(2025,6,1)," ",SUMIFS('2025数据'!$AR$3:$AR$181,'2025数据'!$H$3:$H$181,"&gt;="&amp;DATE(2025,6,1),'2025数据'!$H$3:$H$181,"&lt;="&amp;DATE(2025,6,30),'2025数据'!$AE$3:$AE$181,$E536)/10000)</f>
        <v>0</v>
      </c>
      <c r="L536" s="51">
        <f ca="1">IF($S$1&lt;DATE(2025,7,1)," ",SUMIFS('2025数据'!$AR$3:$AR$181,'2025数据'!$H$3:$H$181,"&gt;="&amp;DATE(2025,7,1),'2025数据'!$H$3:$H$181,"&lt;="&amp;DATE(2025,7,31),'2025数据'!$AE$3:$AE$181,$E536)/10000)</f>
        <v>0</v>
      </c>
      <c r="M536" s="51">
        <f ca="1">IF($S$1&lt;DATE(2025,8,1)," ",SUMIFS('2025数据'!$AR$3:$AR$181,'2025数据'!$H$3:$H$181,"&gt;="&amp;DATE(2025,8,1),'2025数据'!$H$3:$H$181,"&lt;="&amp;DATE(2025,8,31),'2025数据'!$AE$3:$AE$181,$E536)/10000)</f>
        <v>0</v>
      </c>
      <c r="N536" s="51">
        <f ca="1">IF($S$1&lt;DATE(2025,9,1)," ",SUMIFS('2025数据'!$AR$3:$AR$181,'2025数据'!$H$3:$H$181,"&gt;="&amp;DATE(2025,9,1),'2025数据'!$H$3:$H$181,"&lt;="&amp;DATE(2025,9,30),'2025数据'!$AE$3:$AE$181,$E536)/10000)</f>
        <v>0</v>
      </c>
      <c r="O536" s="51">
        <f ca="1">IF($S$1&lt;DATE(2025,10,1)," ",SUMIFS('2025数据'!$AR$3:$AR$181,'2025数据'!$H$3:$H$181,"&gt;="&amp;DATE(2025,10,1),'2025数据'!$H$3:$H$181,"&lt;="&amp;DATE(2025,10,31),'2025数据'!$AE$3:$AE$181,$E536)/10000)</f>
        <v>0</v>
      </c>
      <c r="P536" s="217">
        <f ca="1">IF($S$1&lt;DATE(2025,11,1)," ",SUMIFS('2025数据'!$AR$3:$AR$181,'2025数据'!$H$3:$H$181,"&gt;="&amp;DATE(2025,11,1),'2025数据'!$H$3:$H$181,"&lt;="&amp;DATE(2025,11,30),'2025数据'!$AE$3:$AE$181,$E536)/10000)</f>
        <v>0</v>
      </c>
      <c r="Q536" s="217">
        <f ca="1">IF($S$1&lt;DATE(2025,12,1)," ",SUMIFS('2025数据'!$AR$3:$AR$181,'2025数据'!$H$3:$H$181,"&gt;="&amp;DATE(2025,12,1),'2025数据'!$H$3:$H$181,"&lt;="&amp;DATE(2025,12,31),'2025数据'!$AE$3:$AE$181,$E536)/10000)</f>
        <v>0</v>
      </c>
    </row>
    <row r="537" ht="24" customHeight="1" spans="1:17">
      <c r="A537" s="99" t="s">
        <v>345</v>
      </c>
      <c r="B537" s="99" t="s">
        <v>299</v>
      </c>
      <c r="C537" s="99" t="s">
        <v>333</v>
      </c>
      <c r="D537" s="48" t="s">
        <v>31</v>
      </c>
      <c r="E537" s="48" t="s">
        <v>97</v>
      </c>
      <c r="F537" s="51">
        <f ca="1">IF($S$1&lt;DATE(2025,1,1)," ",SUMIFS('2025数据'!$AR$3:$AR$181,'2025数据'!$H$3:$H$181,"&gt;="&amp;DATE(2025,1,1),'2025数据'!$H$3:$H$181,"&lt;="&amp;DATE(2025,1,31),'2025数据'!$AE$3:$AE$181,$E537)/10000)</f>
        <v>0</v>
      </c>
      <c r="G537" s="51">
        <f ca="1">IF($S$1&lt;DATE(2025,2,1)," ",SUMIFS('2025数据'!$AR$3:$AR$181,'2025数据'!$H$3:$H$181,"&gt;="&amp;DATE(2025,2,1),'2025数据'!$H$3:$H$181,"&lt;="&amp;DATE(2025,2,28),'2025数据'!$AE$3:$AE$181,$E537)/10000)</f>
        <v>0</v>
      </c>
      <c r="H537" s="51">
        <f ca="1">IF($S$1&lt;DATE(2025,3,1)," ",SUMIFS('2025数据'!$AR$3:$AR$181,'2025数据'!$H$3:$H$181,"&gt;="&amp;DATE(2025,3,1),'2025数据'!$H$3:$H$181,"&lt;="&amp;DATE(2025,3,31),'2025数据'!$AE$3:$AE$181,$E537)/10000)</f>
        <v>0</v>
      </c>
      <c r="I537" s="51">
        <f ca="1">IF($S$1&lt;DATE(2025,4,1)," ",SUMIFS('2025数据'!$AR$3:$AR$181,'2025数据'!$H$3:$H$181,"&gt;="&amp;DATE(2025,4,1),'2025数据'!$H$3:$H$181,"&lt;="&amp;DATE(2025,4,30),'2025数据'!$AE$3:$AE$181,$E537)/10000)</f>
        <v>0</v>
      </c>
      <c r="J537" s="51">
        <f ca="1">IF($S$1&lt;DATE(2025,5,1)," ",SUMIFS('2025数据'!$AR$3:$AR$181,'2025数据'!$H$3:$H$181,"&gt;="&amp;DATE(2025,5,1),'2025数据'!$H$3:$H$181,"&lt;="&amp;DATE(2025,5,31),'2025数据'!$AE$3:$AE$181,$E537)/10000)</f>
        <v>0</v>
      </c>
      <c r="K537" s="51">
        <f ca="1">IF($S$1&lt;DATE(2025,6,1)," ",SUMIFS('2025数据'!$AR$3:$AR$181,'2025数据'!$H$3:$H$181,"&gt;="&amp;DATE(2025,6,1),'2025数据'!$H$3:$H$181,"&lt;="&amp;DATE(2025,6,30),'2025数据'!$AE$3:$AE$181,$E537)/10000)</f>
        <v>0</v>
      </c>
      <c r="L537" s="51">
        <f ca="1">IF($S$1&lt;DATE(2025,7,1)," ",SUMIFS('2025数据'!$AR$3:$AR$181,'2025数据'!$H$3:$H$181,"&gt;="&amp;DATE(2025,7,1),'2025数据'!$H$3:$H$181,"&lt;="&amp;DATE(2025,7,31),'2025数据'!$AE$3:$AE$181,$E537)/10000)</f>
        <v>0</v>
      </c>
      <c r="M537" s="51">
        <f ca="1">IF($S$1&lt;DATE(2025,8,1)," ",SUMIFS('2025数据'!$AR$3:$AR$181,'2025数据'!$H$3:$H$181,"&gt;="&amp;DATE(2025,8,1),'2025数据'!$H$3:$H$181,"&lt;="&amp;DATE(2025,8,31),'2025数据'!$AE$3:$AE$181,$E537)/10000)</f>
        <v>0</v>
      </c>
      <c r="N537" s="51">
        <f ca="1">IF($S$1&lt;DATE(2025,9,1)," ",SUMIFS('2025数据'!$AR$3:$AR$181,'2025数据'!$H$3:$H$181,"&gt;="&amp;DATE(2025,9,1),'2025数据'!$H$3:$H$181,"&lt;="&amp;DATE(2025,9,30),'2025数据'!$AE$3:$AE$181,$E537)/10000)</f>
        <v>0.137758</v>
      </c>
      <c r="O537" s="51">
        <f ca="1">IF($S$1&lt;DATE(2025,10,1)," ",SUMIFS('2025数据'!$AR$3:$AR$181,'2025数据'!$H$3:$H$181,"&gt;="&amp;DATE(2025,10,1),'2025数据'!$H$3:$H$181,"&lt;="&amp;DATE(2025,10,31),'2025数据'!$AE$3:$AE$181,$E537)/10000)</f>
        <v>0</v>
      </c>
      <c r="P537" s="217">
        <f ca="1">IF($S$1&lt;DATE(2025,11,1)," ",SUMIFS('2025数据'!$AR$3:$AR$181,'2025数据'!$H$3:$H$181,"&gt;="&amp;DATE(2025,11,1),'2025数据'!$H$3:$H$181,"&lt;="&amp;DATE(2025,11,30),'2025数据'!$AE$3:$AE$181,$E537)/10000)</f>
        <v>0</v>
      </c>
      <c r="Q537" s="217">
        <f ca="1">IF($S$1&lt;DATE(2025,12,1)," ",SUMIFS('2025数据'!$AR$3:$AR$181,'2025数据'!$H$3:$H$181,"&gt;="&amp;DATE(2025,12,1),'2025数据'!$H$3:$H$181,"&lt;="&amp;DATE(2025,12,31),'2025数据'!$AE$3:$AE$181,$E537)/10000)</f>
        <v>0</v>
      </c>
    </row>
    <row r="538" ht="24" customHeight="1" spans="1:17">
      <c r="A538" s="99" t="s">
        <v>345</v>
      </c>
      <c r="B538" s="99" t="s">
        <v>299</v>
      </c>
      <c r="C538" s="99" t="s">
        <v>333</v>
      </c>
      <c r="D538" s="48" t="s">
        <v>31</v>
      </c>
      <c r="E538" s="48" t="s">
        <v>87</v>
      </c>
      <c r="F538" s="51">
        <f ca="1">IF($S$1&lt;DATE(2025,1,1)," ",SUMIFS('2025数据'!$AR$3:$AR$181,'2025数据'!$H$3:$H$181,"&gt;="&amp;DATE(2025,1,1),'2025数据'!$H$3:$H$181,"&lt;="&amp;DATE(2025,1,31),'2025数据'!$AE$3:$AE$181,$E538)/10000)</f>
        <v>0</v>
      </c>
      <c r="G538" s="51">
        <f ca="1">IF($S$1&lt;DATE(2025,2,1)," ",SUMIFS('2025数据'!$AR$3:$AR$181,'2025数据'!$H$3:$H$181,"&gt;="&amp;DATE(2025,2,1),'2025数据'!$H$3:$H$181,"&lt;="&amp;DATE(2025,2,28),'2025数据'!$AE$3:$AE$181,$E538)/10000)</f>
        <v>0</v>
      </c>
      <c r="H538" s="51">
        <f ca="1">IF($S$1&lt;DATE(2025,3,1)," ",SUMIFS('2025数据'!$AR$3:$AR$181,'2025数据'!$H$3:$H$181,"&gt;="&amp;DATE(2025,3,1),'2025数据'!$H$3:$H$181,"&lt;="&amp;DATE(2025,3,31),'2025数据'!$AE$3:$AE$181,$E538)/10000)</f>
        <v>0</v>
      </c>
      <c r="I538" s="51">
        <f ca="1">IF($S$1&lt;DATE(2025,4,1)," ",SUMIFS('2025数据'!$AR$3:$AR$181,'2025数据'!$H$3:$H$181,"&gt;="&amp;DATE(2025,4,1),'2025数据'!$H$3:$H$181,"&lt;="&amp;DATE(2025,4,30),'2025数据'!$AE$3:$AE$181,$E538)/10000)</f>
        <v>0</v>
      </c>
      <c r="J538" s="51">
        <f ca="1">IF($S$1&lt;DATE(2025,5,1)," ",SUMIFS('2025数据'!$AR$3:$AR$181,'2025数据'!$H$3:$H$181,"&gt;="&amp;DATE(2025,5,1),'2025数据'!$H$3:$H$181,"&lt;="&amp;DATE(2025,5,31),'2025数据'!$AE$3:$AE$181,$E538)/10000)</f>
        <v>0</v>
      </c>
      <c r="K538" s="51">
        <f ca="1">IF($S$1&lt;DATE(2025,6,1)," ",SUMIFS('2025数据'!$AR$3:$AR$181,'2025数据'!$H$3:$H$181,"&gt;="&amp;DATE(2025,6,1),'2025数据'!$H$3:$H$181,"&lt;="&amp;DATE(2025,6,30),'2025数据'!$AE$3:$AE$181,$E538)/10000)</f>
        <v>0</v>
      </c>
      <c r="L538" s="51">
        <f ca="1">IF($S$1&lt;DATE(2025,7,1)," ",SUMIFS('2025数据'!$AR$3:$AR$181,'2025数据'!$H$3:$H$181,"&gt;="&amp;DATE(2025,7,1),'2025数据'!$H$3:$H$181,"&lt;="&amp;DATE(2025,7,31),'2025数据'!$AE$3:$AE$181,$E538)/10000)</f>
        <v>0</v>
      </c>
      <c r="M538" s="51">
        <f ca="1">IF($S$1&lt;DATE(2025,8,1)," ",SUMIFS('2025数据'!$AR$3:$AR$181,'2025数据'!$H$3:$H$181,"&gt;="&amp;DATE(2025,8,1),'2025数据'!$H$3:$H$181,"&lt;="&amp;DATE(2025,8,31),'2025数据'!$AE$3:$AE$181,$E538)/10000)</f>
        <v>0</v>
      </c>
      <c r="N538" s="51">
        <f ca="1">IF($S$1&lt;DATE(2025,9,1)," ",SUMIFS('2025数据'!$AR$3:$AR$181,'2025数据'!$H$3:$H$181,"&gt;="&amp;DATE(2025,9,1),'2025数据'!$H$3:$H$181,"&lt;="&amp;DATE(2025,9,30),'2025数据'!$AE$3:$AE$181,$E538)/10000)</f>
        <v>0</v>
      </c>
      <c r="O538" s="51">
        <f ca="1">IF($S$1&lt;DATE(2025,10,1)," ",SUMIFS('2025数据'!$AR$3:$AR$181,'2025数据'!$H$3:$H$181,"&gt;="&amp;DATE(2025,10,1),'2025数据'!$H$3:$H$181,"&lt;="&amp;DATE(2025,10,31),'2025数据'!$AE$3:$AE$181,$E538)/10000)</f>
        <v>0</v>
      </c>
      <c r="P538" s="217">
        <f ca="1">IF($S$1&lt;DATE(2025,11,1)," ",SUMIFS('2025数据'!$AR$3:$AR$181,'2025数据'!$H$3:$H$181,"&gt;="&amp;DATE(2025,11,1),'2025数据'!$H$3:$H$181,"&lt;="&amp;DATE(2025,11,30),'2025数据'!$AE$3:$AE$181,$E538)/10000)</f>
        <v>0</v>
      </c>
      <c r="Q538" s="217">
        <f ca="1">IF($S$1&lt;DATE(2025,12,1)," ",SUMIFS('2025数据'!$AR$3:$AR$181,'2025数据'!$H$3:$H$181,"&gt;="&amp;DATE(2025,12,1),'2025数据'!$H$3:$H$181,"&lt;="&amp;DATE(2025,12,31),'2025数据'!$AE$3:$AE$181,$E538)/10000)</f>
        <v>0</v>
      </c>
    </row>
    <row r="539" ht="24" customHeight="1" spans="1:17">
      <c r="A539" s="99" t="s">
        <v>345</v>
      </c>
      <c r="B539" s="99" t="s">
        <v>299</v>
      </c>
      <c r="C539" s="99" t="s">
        <v>333</v>
      </c>
      <c r="D539" s="48" t="s">
        <v>31</v>
      </c>
      <c r="E539" s="48" t="s">
        <v>149</v>
      </c>
      <c r="F539" s="51">
        <f ca="1">IF($S$1&lt;DATE(2025,1,1)," ",SUMIFS('2025数据'!$AR$3:$AR$181,'2025数据'!$H$3:$H$181,"&gt;="&amp;DATE(2025,1,1),'2025数据'!$H$3:$H$181,"&lt;="&amp;DATE(2025,1,31),'2025数据'!$AE$3:$AE$181,$E539)/10000)</f>
        <v>0</v>
      </c>
      <c r="G539" s="51">
        <f ca="1">IF($S$1&lt;DATE(2025,2,1)," ",SUMIFS('2025数据'!$AR$3:$AR$181,'2025数据'!$H$3:$H$181,"&gt;="&amp;DATE(2025,2,1),'2025数据'!$H$3:$H$181,"&lt;="&amp;DATE(2025,2,28),'2025数据'!$AE$3:$AE$181,$E539)/10000)</f>
        <v>0</v>
      </c>
      <c r="H539" s="51">
        <f ca="1">IF($S$1&lt;DATE(2025,3,1)," ",SUMIFS('2025数据'!$AR$3:$AR$181,'2025数据'!$H$3:$H$181,"&gt;="&amp;DATE(2025,3,1),'2025数据'!$H$3:$H$181,"&lt;="&amp;DATE(2025,3,31),'2025数据'!$AE$3:$AE$181,$E539)/10000)</f>
        <v>0</v>
      </c>
      <c r="I539" s="51">
        <f ca="1">IF($S$1&lt;DATE(2025,4,1)," ",SUMIFS('2025数据'!$AR$3:$AR$181,'2025数据'!$H$3:$H$181,"&gt;="&amp;DATE(2025,4,1),'2025数据'!$H$3:$H$181,"&lt;="&amp;DATE(2025,4,30),'2025数据'!$AE$3:$AE$181,$E539)/10000)</f>
        <v>0</v>
      </c>
      <c r="J539" s="51">
        <f ca="1">IF($S$1&lt;DATE(2025,5,1)," ",SUMIFS('2025数据'!$AR$3:$AR$181,'2025数据'!$H$3:$H$181,"&gt;="&amp;DATE(2025,5,1),'2025数据'!$H$3:$H$181,"&lt;="&amp;DATE(2025,5,31),'2025数据'!$AE$3:$AE$181,$E539)/10000)</f>
        <v>0</v>
      </c>
      <c r="K539" s="51">
        <f ca="1">IF($S$1&lt;DATE(2025,6,1)," ",SUMIFS('2025数据'!$AR$3:$AR$181,'2025数据'!$H$3:$H$181,"&gt;="&amp;DATE(2025,6,1),'2025数据'!$H$3:$H$181,"&lt;="&amp;DATE(2025,6,30),'2025数据'!$AE$3:$AE$181,$E539)/10000)</f>
        <v>0</v>
      </c>
      <c r="L539" s="51">
        <f ca="1">IF($S$1&lt;DATE(2025,7,1)," ",SUMIFS('2025数据'!$AR$3:$AR$181,'2025数据'!$H$3:$H$181,"&gt;="&amp;DATE(2025,7,1),'2025数据'!$H$3:$H$181,"&lt;="&amp;DATE(2025,7,31),'2025数据'!$AE$3:$AE$181,$E539)/10000)</f>
        <v>0</v>
      </c>
      <c r="M539" s="51">
        <f ca="1">IF($S$1&lt;DATE(2025,8,1)," ",SUMIFS('2025数据'!$AR$3:$AR$181,'2025数据'!$H$3:$H$181,"&gt;="&amp;DATE(2025,8,1),'2025数据'!$H$3:$H$181,"&lt;="&amp;DATE(2025,8,31),'2025数据'!$AE$3:$AE$181,$E539)/10000)</f>
        <v>0</v>
      </c>
      <c r="N539" s="51">
        <f ca="1">IF($S$1&lt;DATE(2025,9,1)," ",SUMIFS('2025数据'!$AR$3:$AR$181,'2025数据'!$H$3:$H$181,"&gt;="&amp;DATE(2025,9,1),'2025数据'!$H$3:$H$181,"&lt;="&amp;DATE(2025,9,30),'2025数据'!$AE$3:$AE$181,$E539)/10000)</f>
        <v>0</v>
      </c>
      <c r="O539" s="51">
        <f ca="1">IF($S$1&lt;DATE(2025,10,1)," ",SUMIFS('2025数据'!$AR$3:$AR$181,'2025数据'!$H$3:$H$181,"&gt;="&amp;DATE(2025,10,1),'2025数据'!$H$3:$H$181,"&lt;="&amp;DATE(2025,10,31),'2025数据'!$AE$3:$AE$181,$E539)/10000)</f>
        <v>0</v>
      </c>
      <c r="P539" s="217">
        <f ca="1">IF($S$1&lt;DATE(2025,11,1)," ",SUMIFS('2025数据'!$AR$3:$AR$181,'2025数据'!$H$3:$H$181,"&gt;="&amp;DATE(2025,11,1),'2025数据'!$H$3:$H$181,"&lt;="&amp;DATE(2025,11,30),'2025数据'!$AE$3:$AE$181,$E539)/10000)</f>
        <v>0</v>
      </c>
      <c r="Q539" s="217">
        <f ca="1">IF($S$1&lt;DATE(2025,12,1)," ",SUMIFS('2025数据'!$AR$3:$AR$181,'2025数据'!$H$3:$H$181,"&gt;="&amp;DATE(2025,12,1),'2025数据'!$H$3:$H$181,"&lt;="&amp;DATE(2025,12,31),'2025数据'!$AE$3:$AE$181,$E539)/10000)</f>
        <v>0</v>
      </c>
    </row>
    <row r="540" ht="24" customHeight="1" spans="1:17">
      <c r="A540" s="99" t="s">
        <v>345</v>
      </c>
      <c r="B540" s="99" t="s">
        <v>299</v>
      </c>
      <c r="C540" s="99" t="s">
        <v>333</v>
      </c>
      <c r="D540" s="48" t="s">
        <v>31</v>
      </c>
      <c r="E540" s="48" t="s">
        <v>83</v>
      </c>
      <c r="F540" s="51">
        <f ca="1">IF($S$1&lt;DATE(2025,1,1)," ",SUMIFS('2025数据'!$AR$3:$AR$181,'2025数据'!$H$3:$H$181,"&gt;="&amp;DATE(2025,1,1),'2025数据'!$H$3:$H$181,"&lt;="&amp;DATE(2025,1,31),'2025数据'!$AE$3:$AE$181,$E540)/10000)</f>
        <v>0</v>
      </c>
      <c r="G540" s="51">
        <f ca="1">IF($S$1&lt;DATE(2025,2,1)," ",SUMIFS('2025数据'!$AR$3:$AR$181,'2025数据'!$H$3:$H$181,"&gt;="&amp;DATE(2025,2,1),'2025数据'!$H$3:$H$181,"&lt;="&amp;DATE(2025,2,28),'2025数据'!$AE$3:$AE$181,$E540)/10000)</f>
        <v>0</v>
      </c>
      <c r="H540" s="51">
        <f ca="1">IF($S$1&lt;DATE(2025,3,1)," ",SUMIFS('2025数据'!$AR$3:$AR$181,'2025数据'!$H$3:$H$181,"&gt;="&amp;DATE(2025,3,1),'2025数据'!$H$3:$H$181,"&lt;="&amp;DATE(2025,3,31),'2025数据'!$AE$3:$AE$181,$E540)/10000)</f>
        <v>0</v>
      </c>
      <c r="I540" s="51">
        <f ca="1">IF($S$1&lt;DATE(2025,4,1)," ",SUMIFS('2025数据'!$AR$3:$AR$181,'2025数据'!$H$3:$H$181,"&gt;="&amp;DATE(2025,4,1),'2025数据'!$H$3:$H$181,"&lt;="&amp;DATE(2025,4,30),'2025数据'!$AE$3:$AE$181,$E540)/10000)</f>
        <v>0</v>
      </c>
      <c r="J540" s="51">
        <f ca="1">IF($S$1&lt;DATE(2025,5,1)," ",SUMIFS('2025数据'!$AR$3:$AR$181,'2025数据'!$H$3:$H$181,"&gt;="&amp;DATE(2025,5,1),'2025数据'!$H$3:$H$181,"&lt;="&amp;DATE(2025,5,31),'2025数据'!$AE$3:$AE$181,$E540)/10000)</f>
        <v>0</v>
      </c>
      <c r="K540" s="51">
        <f ca="1">IF($S$1&lt;DATE(2025,6,1)," ",SUMIFS('2025数据'!$AR$3:$AR$181,'2025数据'!$H$3:$H$181,"&gt;="&amp;DATE(2025,6,1),'2025数据'!$H$3:$H$181,"&lt;="&amp;DATE(2025,6,30),'2025数据'!$AE$3:$AE$181,$E540)/10000)</f>
        <v>0</v>
      </c>
      <c r="L540" s="51">
        <f ca="1">IF($S$1&lt;DATE(2025,7,1)," ",SUMIFS('2025数据'!$AR$3:$AR$181,'2025数据'!$H$3:$H$181,"&gt;="&amp;DATE(2025,7,1),'2025数据'!$H$3:$H$181,"&lt;="&amp;DATE(2025,7,31),'2025数据'!$AE$3:$AE$181,$E540)/10000)</f>
        <v>0</v>
      </c>
      <c r="M540" s="51">
        <f ca="1">IF($S$1&lt;DATE(2025,8,1)," ",SUMIFS('2025数据'!$AR$3:$AR$181,'2025数据'!$H$3:$H$181,"&gt;="&amp;DATE(2025,8,1),'2025数据'!$H$3:$H$181,"&lt;="&amp;DATE(2025,8,31),'2025数据'!$AE$3:$AE$181,$E540)/10000)</f>
        <v>0</v>
      </c>
      <c r="N540" s="51">
        <f ca="1">IF($S$1&lt;DATE(2025,9,1)," ",SUMIFS('2025数据'!$AR$3:$AR$181,'2025数据'!$H$3:$H$181,"&gt;="&amp;DATE(2025,9,1),'2025数据'!$H$3:$H$181,"&lt;="&amp;DATE(2025,9,30),'2025数据'!$AE$3:$AE$181,$E540)/10000)</f>
        <v>0</v>
      </c>
      <c r="O540" s="51">
        <f ca="1">IF($S$1&lt;DATE(2025,10,1)," ",SUMIFS('2025数据'!$AR$3:$AR$181,'2025数据'!$H$3:$H$181,"&gt;="&amp;DATE(2025,10,1),'2025数据'!$H$3:$H$181,"&lt;="&amp;DATE(2025,10,31),'2025数据'!$AE$3:$AE$181,$E540)/10000)</f>
        <v>0</v>
      </c>
      <c r="P540" s="217">
        <f ca="1">IF($S$1&lt;DATE(2025,11,1)," ",SUMIFS('2025数据'!$AR$3:$AR$181,'2025数据'!$H$3:$H$181,"&gt;="&amp;DATE(2025,11,1),'2025数据'!$H$3:$H$181,"&lt;="&amp;DATE(2025,11,30),'2025数据'!$AE$3:$AE$181,$E540)/10000)</f>
        <v>0</v>
      </c>
      <c r="Q540" s="217">
        <f ca="1">IF($S$1&lt;DATE(2025,12,1)," ",SUMIFS('2025数据'!$AR$3:$AR$181,'2025数据'!$H$3:$H$181,"&gt;="&amp;DATE(2025,12,1),'2025数据'!$H$3:$H$181,"&lt;="&amp;DATE(2025,12,31),'2025数据'!$AE$3:$AE$181,$E540)/10000)</f>
        <v>0</v>
      </c>
    </row>
    <row r="541" ht="24" customHeight="1" spans="1:17">
      <c r="A541" s="99" t="s">
        <v>345</v>
      </c>
      <c r="B541" s="99" t="s">
        <v>299</v>
      </c>
      <c r="C541" s="99" t="s">
        <v>333</v>
      </c>
      <c r="D541" s="47" t="s">
        <v>294</v>
      </c>
      <c r="E541" s="47" t="s">
        <v>93</v>
      </c>
      <c r="F541" s="51">
        <f ca="1">IF($S$1&lt;DATE(2025,1,1)," ",SUMIFS('2025数据'!$AR$3:$AR$181,'2025数据'!$H$3:$H$181,"&gt;="&amp;DATE(2025,1,1),'2025数据'!$H$3:$H$181,"&lt;="&amp;DATE(2025,1,31),'2025数据'!$B$3:$B$181,$E541)/10000)</f>
        <v>0</v>
      </c>
      <c r="G541" s="51">
        <f ca="1">IF($S$1&lt;DATE(2025,2,1)," ",SUMIFS('2025数据'!$AR$3:$AR$181,'2025数据'!$H$3:$H$181,"&gt;="&amp;DATE(2025,2,1),'2025数据'!$H$3:$H$181,"&lt;="&amp;DATE(2025,2,28),'2025数据'!$B$3:$B$181,$E541)/10000)</f>
        <v>1.6871</v>
      </c>
      <c r="H541" s="51">
        <f ca="1">IF($S$1&lt;DATE(2025,3,1)," ",SUMIFS('2025数据'!$AR$3:$AR$181,'2025数据'!$H$3:$H$181,"&gt;="&amp;DATE(2025,3,1),'2025数据'!$H$3:$H$181,"&lt;="&amp;DATE(2025,3,31),'2025数据'!$B$3:$B$181,$E541)/10000)</f>
        <v>0</v>
      </c>
      <c r="I541" s="51">
        <f ca="1">IF($S$1&lt;DATE(2025,4,1)," ",SUMIFS('2025数据'!$AR$3:$AR$181,'2025数据'!$H$3:$H$181,"&gt;="&amp;DATE(2025,4,1),'2025数据'!$H$3:$H$181,"&lt;="&amp;DATE(2025,4,30),'2025数据'!$B$3:$B$181,$E541)/10000)</f>
        <v>0</v>
      </c>
      <c r="J541" s="51">
        <f ca="1">IF($S$1&lt;DATE(2025,5,1)," ",SUMIFS('2025数据'!$AR$3:$AR$181,'2025数据'!$H$3:$H$181,"&gt;="&amp;DATE(2025,5,1),'2025数据'!$H$3:$H$181,"&lt;="&amp;DATE(2025,5,31),'2025数据'!$B$3:$B$181,$E541)/10000)</f>
        <v>0</v>
      </c>
      <c r="K541" s="51">
        <f ca="1">IF($S$1&lt;DATE(2025,6,1)," ",SUMIFS('2025数据'!$AR$3:$AR$181,'2025数据'!$H$3:$H$181,"&gt;="&amp;DATE(2025,6,1),'2025数据'!$H$3:$H$181,"&lt;="&amp;DATE(2025,6,30),'2025数据'!$B$3:$B$181,$E541)/10000)</f>
        <v>0</v>
      </c>
      <c r="L541" s="51">
        <f ca="1">IF($S$1&lt;DATE(2025,7,1)," ",SUMIFS('2025数据'!$AR$3:$AR$181,'2025数据'!$H$3:$H$181,"&gt;="&amp;DATE(2025,7,1),'2025数据'!$H$3:$H$181,"&lt;="&amp;DATE(2025,7,31),'2025数据'!$B$3:$B$181,$E541)/10000)</f>
        <v>0</v>
      </c>
      <c r="M541" s="51">
        <f ca="1">IF($S$1&lt;DATE(2025,8,1)," ",SUMIFS('2025数据'!$AR$3:$AR$181,'2025数据'!$H$3:$H$181,"&gt;="&amp;DATE(2025,8,1),'2025数据'!$H$3:$H$181,"&lt;="&amp;DATE(2025,8,31),'2025数据'!$B$3:$B$181,$E541)/10000)</f>
        <v>0</v>
      </c>
      <c r="N541" s="51">
        <f ca="1">IF($S$1&lt;DATE(2025,9,1)," ",SUMIFS('2025数据'!$AR$3:$AR$181,'2025数据'!$H$3:$H$181,"&gt;="&amp;DATE(2025,9,1),'2025数据'!$H$3:$H$181,"&lt;="&amp;DATE(2025,9,30),'2025数据'!$B$3:$B$181,$E541)/10000)</f>
        <v>0.137758</v>
      </c>
      <c r="O541" s="51">
        <f ca="1">IF($S$1&lt;DATE(2025,10,1)," ",SUMIFS('2025数据'!$AR$3:$AR$181,'2025数据'!$H$3:$H$181,"&gt;="&amp;DATE(2025,10,1),'2025数据'!$H$3:$H$181,"&lt;="&amp;DATE(2025,10,31),'2025数据'!$B$3:$B$181,$E541)/10000)</f>
        <v>0.218586</v>
      </c>
      <c r="P541" s="217">
        <f ca="1">IF($S$1&lt;DATE(2025,11,1)," ",SUMIFS('2025数据'!$AR$3:$AR$181,'2025数据'!$H$3:$H$181,"&gt;="&amp;DATE(2025,11,1),'2025数据'!$H$3:$H$181,"&lt;="&amp;DATE(2025,11,30),'2025数据'!$B$3:$B$181,$E541)/10000)</f>
        <v>0</v>
      </c>
      <c r="Q541" s="217">
        <f ca="1">IF($S$1&lt;DATE(2025,12,1)," ",SUMIFS('2025数据'!$AR$3:$AR$181,'2025数据'!$H$3:$H$181,"&gt;="&amp;DATE(2025,12,1),'2025数据'!$H$3:$H$181,"&lt;="&amp;DATE(2025,12,31),'2025数据'!$B$3:$B$181,$E541)/10000)</f>
        <v>0</v>
      </c>
    </row>
    <row r="542" ht="24" customHeight="1" spans="1:17">
      <c r="A542" s="99" t="s">
        <v>345</v>
      </c>
      <c r="B542" s="99" t="s">
        <v>299</v>
      </c>
      <c r="C542" s="99" t="s">
        <v>333</v>
      </c>
      <c r="D542" s="47" t="s">
        <v>294</v>
      </c>
      <c r="E542" s="47" t="s">
        <v>85</v>
      </c>
      <c r="F542" s="51">
        <f ca="1">IF($S$1&lt;DATE(2025,1,1)," ",SUMIFS('2025数据'!$AR$3:$AR$181,'2025数据'!$H$3:$H$181,"&gt;="&amp;DATE(2025,1,1),'2025数据'!$H$3:$H$181,"&lt;="&amp;DATE(2025,1,31),'2025数据'!$B$3:$B$181,$E542)/10000)</f>
        <v>0</v>
      </c>
      <c r="G542" s="51">
        <f ca="1">IF($S$1&lt;DATE(2025,2,1)," ",SUMIFS('2025数据'!$AR$3:$AR$181,'2025数据'!$H$3:$H$181,"&gt;="&amp;DATE(2025,2,1),'2025数据'!$H$3:$H$181,"&lt;="&amp;DATE(2025,2,28),'2025数据'!$B$3:$B$181,$E542)/10000)</f>
        <v>0</v>
      </c>
      <c r="H542" s="51">
        <f ca="1">IF($S$1&lt;DATE(2025,3,1)," ",SUMIFS('2025数据'!$AR$3:$AR$181,'2025数据'!$H$3:$H$181,"&gt;="&amp;DATE(2025,3,1),'2025数据'!$H$3:$H$181,"&lt;="&amp;DATE(2025,3,31),'2025数据'!$B$3:$B$181,$E542)/10000)</f>
        <v>0</v>
      </c>
      <c r="I542" s="51">
        <f ca="1">IF($S$1&lt;DATE(2025,4,1)," ",SUMIFS('2025数据'!$AR$3:$AR$181,'2025数据'!$H$3:$H$181,"&gt;="&amp;DATE(2025,4,1),'2025数据'!$H$3:$H$181,"&lt;="&amp;DATE(2025,4,30),'2025数据'!$B$3:$B$181,$E542)/10000)</f>
        <v>0</v>
      </c>
      <c r="J542" s="51">
        <f ca="1">IF($S$1&lt;DATE(2025,5,1)," ",SUMIFS('2025数据'!$AR$3:$AR$181,'2025数据'!$H$3:$H$181,"&gt;="&amp;DATE(2025,5,1),'2025数据'!$H$3:$H$181,"&lt;="&amp;DATE(2025,5,31),'2025数据'!$B$3:$B$181,$E542)/10000)</f>
        <v>0</v>
      </c>
      <c r="K542" s="51">
        <f ca="1">IF($S$1&lt;DATE(2025,6,1)," ",SUMIFS('2025数据'!$AR$3:$AR$181,'2025数据'!$H$3:$H$181,"&gt;="&amp;DATE(2025,6,1),'2025数据'!$H$3:$H$181,"&lt;="&amp;DATE(2025,6,30),'2025数据'!$B$3:$B$181,$E542)/10000)</f>
        <v>0</v>
      </c>
      <c r="L542" s="51">
        <f ca="1">IF($S$1&lt;DATE(2025,7,1)," ",SUMIFS('2025数据'!$AR$3:$AR$181,'2025数据'!$H$3:$H$181,"&gt;="&amp;DATE(2025,7,1),'2025数据'!$H$3:$H$181,"&lt;="&amp;DATE(2025,7,31),'2025数据'!$B$3:$B$181,$E542)/10000)</f>
        <v>0</v>
      </c>
      <c r="M542" s="51">
        <f ca="1">IF($S$1&lt;DATE(2025,8,1)," ",SUMIFS('2025数据'!$AR$3:$AR$181,'2025数据'!$H$3:$H$181,"&gt;="&amp;DATE(2025,8,1),'2025数据'!$H$3:$H$181,"&lt;="&amp;DATE(2025,8,31),'2025数据'!$B$3:$B$181,$E542)/10000)</f>
        <v>0</v>
      </c>
      <c r="N542" s="51">
        <f ca="1">IF($S$1&lt;DATE(2025,9,1)," ",SUMIFS('2025数据'!$AR$3:$AR$181,'2025数据'!$H$3:$H$181,"&gt;="&amp;DATE(2025,9,1),'2025数据'!$H$3:$H$181,"&lt;="&amp;DATE(2025,9,30),'2025数据'!$B$3:$B$181,$E542)/10000)</f>
        <v>0</v>
      </c>
      <c r="O542" s="51">
        <f ca="1">IF($S$1&lt;DATE(2025,10,1)," ",SUMIFS('2025数据'!$AR$3:$AR$181,'2025数据'!$H$3:$H$181,"&gt;="&amp;DATE(2025,10,1),'2025数据'!$H$3:$H$181,"&lt;="&amp;DATE(2025,10,31),'2025数据'!$B$3:$B$181,$E542)/10000)</f>
        <v>1.931214</v>
      </c>
      <c r="P542" s="217">
        <f ca="1">IF($S$1&lt;DATE(2025,11,1)," ",SUMIFS('2025数据'!$AR$3:$AR$181,'2025数据'!$H$3:$H$181,"&gt;="&amp;DATE(2025,11,1),'2025数据'!$H$3:$H$181,"&lt;="&amp;DATE(2025,11,30),'2025数据'!$B$3:$B$181,$E542)/10000)</f>
        <v>0</v>
      </c>
      <c r="Q542" s="217">
        <f ca="1">IF($S$1&lt;DATE(2025,12,1)," ",SUMIFS('2025数据'!$AR$3:$AR$181,'2025数据'!$H$3:$H$181,"&gt;="&amp;DATE(2025,12,1),'2025数据'!$H$3:$H$181,"&lt;="&amp;DATE(2025,12,31),'2025数据'!$B$3:$B$181,$E542)/10000)</f>
        <v>0</v>
      </c>
    </row>
    <row r="543" ht="24" customHeight="1" spans="1:17">
      <c r="A543" s="99" t="s">
        <v>345</v>
      </c>
      <c r="B543" s="99" t="s">
        <v>299</v>
      </c>
      <c r="C543" s="99" t="s">
        <v>333</v>
      </c>
      <c r="D543" s="47" t="s">
        <v>294</v>
      </c>
      <c r="E543" s="47" t="s">
        <v>81</v>
      </c>
      <c r="F543" s="51">
        <f ca="1">IF($S$1&lt;DATE(2025,1,1)," ",SUMIFS('2025数据'!$AR$3:$AR$181,'2025数据'!$H$3:$H$181,"&gt;="&amp;DATE(2025,1,1),'2025数据'!$H$3:$H$181,"&lt;="&amp;DATE(2025,1,31),'2025数据'!$B$3:$B$181,$E543)/10000)</f>
        <v>0</v>
      </c>
      <c r="G543" s="51">
        <f ca="1">IF($S$1&lt;DATE(2025,2,1)," ",SUMIFS('2025数据'!$AR$3:$AR$181,'2025数据'!$H$3:$H$181,"&gt;="&amp;DATE(2025,2,1),'2025数据'!$H$3:$H$181,"&lt;="&amp;DATE(2025,2,28),'2025数据'!$B$3:$B$181,$E543)/10000)</f>
        <v>0</v>
      </c>
      <c r="H543" s="51">
        <f ca="1">IF($S$1&lt;DATE(2025,3,1)," ",SUMIFS('2025数据'!$AR$3:$AR$181,'2025数据'!$H$3:$H$181,"&gt;="&amp;DATE(2025,3,1),'2025数据'!$H$3:$H$181,"&lt;="&amp;DATE(2025,3,31),'2025数据'!$B$3:$B$181,$E543)/10000)</f>
        <v>0</v>
      </c>
      <c r="I543" s="51">
        <f ca="1">IF($S$1&lt;DATE(2025,4,1)," ",SUMIFS('2025数据'!$AR$3:$AR$181,'2025数据'!$H$3:$H$181,"&gt;="&amp;DATE(2025,4,1),'2025数据'!$H$3:$H$181,"&lt;="&amp;DATE(2025,4,30),'2025数据'!$B$3:$B$181,$E543)/10000)</f>
        <v>0</v>
      </c>
      <c r="J543" s="51">
        <f ca="1">IF($S$1&lt;DATE(2025,5,1)," ",SUMIFS('2025数据'!$AR$3:$AR$181,'2025数据'!$H$3:$H$181,"&gt;="&amp;DATE(2025,5,1),'2025数据'!$H$3:$H$181,"&lt;="&amp;DATE(2025,5,31),'2025数据'!$B$3:$B$181,$E543)/10000)</f>
        <v>0</v>
      </c>
      <c r="K543" s="51">
        <f ca="1">IF($S$1&lt;DATE(2025,6,1)," ",SUMIFS('2025数据'!$AR$3:$AR$181,'2025数据'!$H$3:$H$181,"&gt;="&amp;DATE(2025,6,1),'2025数据'!$H$3:$H$181,"&lt;="&amp;DATE(2025,6,30),'2025数据'!$B$3:$B$181,$E543)/10000)</f>
        <v>0</v>
      </c>
      <c r="L543" s="51">
        <f ca="1">IF($S$1&lt;DATE(2025,7,1)," ",SUMIFS('2025数据'!$AR$3:$AR$181,'2025数据'!$H$3:$H$181,"&gt;="&amp;DATE(2025,7,1),'2025数据'!$H$3:$H$181,"&lt;="&amp;DATE(2025,7,31),'2025数据'!$B$3:$B$181,$E543)/10000)</f>
        <v>0</v>
      </c>
      <c r="M543" s="51">
        <f ca="1">IF($S$1&lt;DATE(2025,8,1)," ",SUMIFS('2025数据'!$AR$3:$AR$181,'2025数据'!$H$3:$H$181,"&gt;="&amp;DATE(2025,8,1),'2025数据'!$H$3:$H$181,"&lt;="&amp;DATE(2025,8,31),'2025数据'!$B$3:$B$181,$E543)/10000)</f>
        <v>0</v>
      </c>
      <c r="N543" s="51">
        <f ca="1">IF($S$1&lt;DATE(2025,9,1)," ",SUMIFS('2025数据'!$AR$3:$AR$181,'2025数据'!$H$3:$H$181,"&gt;="&amp;DATE(2025,9,1),'2025数据'!$H$3:$H$181,"&lt;="&amp;DATE(2025,9,30),'2025数据'!$B$3:$B$181,$E543)/10000)</f>
        <v>0</v>
      </c>
      <c r="O543" s="51">
        <f ca="1">IF($S$1&lt;DATE(2025,10,1)," ",SUMIFS('2025数据'!$AR$3:$AR$181,'2025数据'!$H$3:$H$181,"&gt;="&amp;DATE(2025,10,1),'2025数据'!$H$3:$H$181,"&lt;="&amp;DATE(2025,10,31),'2025数据'!$B$3:$B$181,$E543)/10000)</f>
        <v>0</v>
      </c>
      <c r="P543" s="217">
        <f ca="1">IF($S$1&lt;DATE(2025,11,1)," ",SUMIFS('2025数据'!$AR$3:$AR$181,'2025数据'!$H$3:$H$181,"&gt;="&amp;DATE(2025,11,1),'2025数据'!$H$3:$H$181,"&lt;="&amp;DATE(2025,11,30),'2025数据'!$B$3:$B$181,$E543)/10000)</f>
        <v>0</v>
      </c>
      <c r="Q543" s="217">
        <f ca="1">IF($S$1&lt;DATE(2025,12,1)," ",SUMIFS('2025数据'!$AR$3:$AR$181,'2025数据'!$H$3:$H$181,"&gt;="&amp;DATE(2025,12,1),'2025数据'!$H$3:$H$181,"&lt;="&amp;DATE(2025,12,31),'2025数据'!$B$3:$B$181,$E543)/10000)</f>
        <v>0</v>
      </c>
    </row>
    <row r="544" ht="24" customHeight="1" spans="1:17">
      <c r="A544" s="99" t="s">
        <v>345</v>
      </c>
      <c r="B544" s="99" t="s">
        <v>299</v>
      </c>
      <c r="C544" s="99" t="s">
        <v>333</v>
      </c>
      <c r="D544" s="47" t="s">
        <v>294</v>
      </c>
      <c r="E544" s="47" t="s">
        <v>96</v>
      </c>
      <c r="F544" s="51">
        <f ca="1">IF($S$1&lt;DATE(2025,1,1)," ",SUMIFS('2025数据'!$AR$3:$AR$181,'2025数据'!$H$3:$H$181,"&gt;="&amp;DATE(2025,1,1),'2025数据'!$H$3:$H$181,"&lt;="&amp;DATE(2025,1,31),'2025数据'!$B$3:$B$181,$E544)/10000)</f>
        <v>0</v>
      </c>
      <c r="G544" s="51">
        <f ca="1">IF($S$1&lt;DATE(2025,2,1)," ",SUMIFS('2025数据'!$AR$3:$AR$181,'2025数据'!$H$3:$H$181,"&gt;="&amp;DATE(2025,2,1),'2025数据'!$H$3:$H$181,"&lt;="&amp;DATE(2025,2,28),'2025数据'!$B$3:$B$181,$E544)/10000)</f>
        <v>0</v>
      </c>
      <c r="H544" s="51">
        <f ca="1">IF($S$1&lt;DATE(2025,3,1)," ",SUMIFS('2025数据'!$AR$3:$AR$181,'2025数据'!$H$3:$H$181,"&gt;="&amp;DATE(2025,3,1),'2025数据'!$H$3:$H$181,"&lt;="&amp;DATE(2025,3,31),'2025数据'!$B$3:$B$181,$E544)/10000)</f>
        <v>0</v>
      </c>
      <c r="I544" s="51">
        <f ca="1">IF($S$1&lt;DATE(2025,4,1)," ",SUMIFS('2025数据'!$AR$3:$AR$181,'2025数据'!$H$3:$H$181,"&gt;="&amp;DATE(2025,4,1),'2025数据'!$H$3:$H$181,"&lt;="&amp;DATE(2025,4,30),'2025数据'!$B$3:$B$181,$E544)/10000)</f>
        <v>0</v>
      </c>
      <c r="J544" s="51">
        <f ca="1">IF($S$1&lt;DATE(2025,5,1)," ",SUMIFS('2025数据'!$AR$3:$AR$181,'2025数据'!$H$3:$H$181,"&gt;="&amp;DATE(2025,5,1),'2025数据'!$H$3:$H$181,"&lt;="&amp;DATE(2025,5,31),'2025数据'!$B$3:$B$181,$E544)/10000)</f>
        <v>0</v>
      </c>
      <c r="K544" s="51">
        <f ca="1">IF($S$1&lt;DATE(2025,6,1)," ",SUMIFS('2025数据'!$AR$3:$AR$181,'2025数据'!$H$3:$H$181,"&gt;="&amp;DATE(2025,6,1),'2025数据'!$H$3:$H$181,"&lt;="&amp;DATE(2025,6,30),'2025数据'!$B$3:$B$181,$E544)/10000)</f>
        <v>0</v>
      </c>
      <c r="L544" s="51">
        <f ca="1">IF($S$1&lt;DATE(2025,7,1)," ",SUMIFS('2025数据'!$AR$3:$AR$181,'2025数据'!$H$3:$H$181,"&gt;="&amp;DATE(2025,7,1),'2025数据'!$H$3:$H$181,"&lt;="&amp;DATE(2025,7,31),'2025数据'!$B$3:$B$181,$E544)/10000)</f>
        <v>0</v>
      </c>
      <c r="M544" s="51">
        <f ca="1">IF($S$1&lt;DATE(2025,8,1)," ",SUMIFS('2025数据'!$AR$3:$AR$181,'2025数据'!$H$3:$H$181,"&gt;="&amp;DATE(2025,8,1),'2025数据'!$H$3:$H$181,"&lt;="&amp;DATE(2025,8,31),'2025数据'!$B$3:$B$181,$E544)/10000)</f>
        <v>0</v>
      </c>
      <c r="N544" s="51">
        <f ca="1">IF($S$1&lt;DATE(2025,9,1)," ",SUMIFS('2025数据'!$AR$3:$AR$181,'2025数据'!$H$3:$H$181,"&gt;="&amp;DATE(2025,9,1),'2025数据'!$H$3:$H$181,"&lt;="&amp;DATE(2025,9,30),'2025数据'!$B$3:$B$181,$E544)/10000)</f>
        <v>0</v>
      </c>
      <c r="O544" s="51">
        <f ca="1">IF($S$1&lt;DATE(2025,10,1)," ",SUMIFS('2025数据'!$AR$3:$AR$181,'2025数据'!$H$3:$H$181,"&gt;="&amp;DATE(2025,10,1),'2025数据'!$H$3:$H$181,"&lt;="&amp;DATE(2025,10,31),'2025数据'!$B$3:$B$181,$E544)/10000)</f>
        <v>0</v>
      </c>
      <c r="P544" s="217">
        <f ca="1">IF($S$1&lt;DATE(2025,11,1)," ",SUMIFS('2025数据'!$AR$3:$AR$181,'2025数据'!$H$3:$H$181,"&gt;="&amp;DATE(2025,11,1),'2025数据'!$H$3:$H$181,"&lt;="&amp;DATE(2025,11,30),'2025数据'!$B$3:$B$181,$E544)/10000)</f>
        <v>0</v>
      </c>
      <c r="Q544" s="217">
        <f ca="1">IF($S$1&lt;DATE(2025,12,1)," ",SUMIFS('2025数据'!$AR$3:$AR$181,'2025数据'!$H$3:$H$181,"&gt;="&amp;DATE(2025,12,1),'2025数据'!$H$3:$H$181,"&lt;="&amp;DATE(2025,12,31),'2025数据'!$B$3:$B$181,$E544)/10000)</f>
        <v>0</v>
      </c>
    </row>
    <row r="545" ht="24" customHeight="1" spans="1:17">
      <c r="A545" s="99" t="s">
        <v>345</v>
      </c>
      <c r="B545" s="99" t="s">
        <v>299</v>
      </c>
      <c r="C545" s="99" t="s">
        <v>333</v>
      </c>
      <c r="D545" s="47" t="s">
        <v>294</v>
      </c>
      <c r="E545" s="47" t="s">
        <v>160</v>
      </c>
      <c r="F545" s="51">
        <f ca="1">IF($S$1&lt;DATE(2025,1,1)," ",SUMIFS('2025数据'!$AR$3:$AR$181,'2025数据'!$H$3:$H$181,"&gt;="&amp;DATE(2025,1,1),'2025数据'!$H$3:$H$181,"&lt;="&amp;DATE(2025,1,31),'2025数据'!$B$3:$B$181,$E545)/10000)</f>
        <v>0</v>
      </c>
      <c r="G545" s="51">
        <f ca="1">IF($S$1&lt;DATE(2025,2,1)," ",SUMIFS('2025数据'!$AR$3:$AR$181,'2025数据'!$H$3:$H$181,"&gt;="&amp;DATE(2025,2,1),'2025数据'!$H$3:$H$181,"&lt;="&amp;DATE(2025,2,28),'2025数据'!$B$3:$B$181,$E545)/10000)</f>
        <v>0</v>
      </c>
      <c r="H545" s="51">
        <f ca="1">IF($S$1&lt;DATE(2025,3,1)," ",SUMIFS('2025数据'!$AR$3:$AR$181,'2025数据'!$H$3:$H$181,"&gt;="&amp;DATE(2025,3,1),'2025数据'!$H$3:$H$181,"&lt;="&amp;DATE(2025,3,31),'2025数据'!$B$3:$B$181,$E545)/10000)</f>
        <v>0</v>
      </c>
      <c r="I545" s="51">
        <f ca="1">IF($S$1&lt;DATE(2025,4,1)," ",SUMIFS('2025数据'!$AR$3:$AR$181,'2025数据'!$H$3:$H$181,"&gt;="&amp;DATE(2025,4,1),'2025数据'!$H$3:$H$181,"&lt;="&amp;DATE(2025,4,30),'2025数据'!$B$3:$B$181,$E545)/10000)</f>
        <v>0</v>
      </c>
      <c r="J545" s="51">
        <f ca="1">IF($S$1&lt;DATE(2025,5,1)," ",SUMIFS('2025数据'!$AR$3:$AR$181,'2025数据'!$H$3:$H$181,"&gt;="&amp;DATE(2025,5,1),'2025数据'!$H$3:$H$181,"&lt;="&amp;DATE(2025,5,31),'2025数据'!$B$3:$B$181,$E545)/10000)</f>
        <v>0</v>
      </c>
      <c r="K545" s="51">
        <f ca="1">IF($S$1&lt;DATE(2025,6,1)," ",SUMIFS('2025数据'!$AR$3:$AR$181,'2025数据'!$H$3:$H$181,"&gt;="&amp;DATE(2025,6,1),'2025数据'!$H$3:$H$181,"&lt;="&amp;DATE(2025,6,30),'2025数据'!$B$3:$B$181,$E545)/10000)</f>
        <v>0</v>
      </c>
      <c r="L545" s="51">
        <f ca="1">IF($S$1&lt;DATE(2025,7,1)," ",SUMIFS('2025数据'!$AR$3:$AR$181,'2025数据'!$H$3:$H$181,"&gt;="&amp;DATE(2025,7,1),'2025数据'!$H$3:$H$181,"&lt;="&amp;DATE(2025,7,31),'2025数据'!$B$3:$B$181,$E545)/10000)</f>
        <v>0</v>
      </c>
      <c r="M545" s="51">
        <f ca="1">IF($S$1&lt;DATE(2025,8,1)," ",SUMIFS('2025数据'!$AR$3:$AR$181,'2025数据'!$H$3:$H$181,"&gt;="&amp;DATE(2025,8,1),'2025数据'!$H$3:$H$181,"&lt;="&amp;DATE(2025,8,31),'2025数据'!$B$3:$B$181,$E545)/10000)</f>
        <v>0</v>
      </c>
      <c r="N545" s="51">
        <f ca="1">IF($S$1&lt;DATE(2025,9,1)," ",SUMIFS('2025数据'!$AR$3:$AR$181,'2025数据'!$H$3:$H$181,"&gt;="&amp;DATE(2025,9,1),'2025数据'!$H$3:$H$181,"&lt;="&amp;DATE(2025,9,30),'2025数据'!$B$3:$B$181,$E545)/10000)</f>
        <v>0</v>
      </c>
      <c r="O545" s="51">
        <f ca="1">IF($S$1&lt;DATE(2025,10,1)," ",SUMIFS('2025数据'!$AR$3:$AR$181,'2025数据'!$H$3:$H$181,"&gt;="&amp;DATE(2025,10,1),'2025数据'!$H$3:$H$181,"&lt;="&amp;DATE(2025,10,31),'2025数据'!$B$3:$B$181,$E545)/10000)</f>
        <v>0</v>
      </c>
      <c r="P545" s="217">
        <f ca="1">IF($S$1&lt;DATE(2025,11,1)," ",SUMIFS('2025数据'!$AR$3:$AR$181,'2025数据'!$H$3:$H$181,"&gt;="&amp;DATE(2025,11,1),'2025数据'!$H$3:$H$181,"&lt;="&amp;DATE(2025,11,30),'2025数据'!$B$3:$B$181,$E545)/10000)</f>
        <v>0</v>
      </c>
      <c r="Q545" s="217">
        <f ca="1">IF($S$1&lt;DATE(2025,12,1)," ",SUMIFS('2025数据'!$AR$3:$AR$181,'2025数据'!$H$3:$H$181,"&gt;="&amp;DATE(2025,12,1),'2025数据'!$H$3:$H$181,"&lt;="&amp;DATE(2025,12,31),'2025数据'!$B$3:$B$181,$E545)/10000)</f>
        <v>0</v>
      </c>
    </row>
    <row r="546" ht="24" customHeight="1" spans="1:17">
      <c r="A546" s="99" t="s">
        <v>345</v>
      </c>
      <c r="B546" s="99" t="s">
        <v>299</v>
      </c>
      <c r="C546" s="99" t="s">
        <v>334</v>
      </c>
      <c r="D546" s="213" t="s">
        <v>292</v>
      </c>
      <c r="E546" s="213" t="s">
        <v>300</v>
      </c>
      <c r="F546" s="216">
        <f ca="1">IF($S$1&lt;DATE(2025,1,1)," ",SUM(F547:F551))</f>
        <v>0</v>
      </c>
      <c r="G546" s="216">
        <f ca="1">IF($S$1&lt;DATE(2025,2,1)," ",SUM(G547:G551))</f>
        <v>1.542649</v>
      </c>
      <c r="H546" s="216">
        <f ca="1">IF($S$1&lt;DATE(2025,3,1)," ",SUM(H547:H551))</f>
        <v>0</v>
      </c>
      <c r="I546" s="216">
        <f ca="1">IF($S$1&lt;DATE(2025,4,1)," ",SUM(I547:I551))</f>
        <v>0</v>
      </c>
      <c r="J546" s="216">
        <f ca="1">IF($S$1&lt;DATE(2025,5,1)," ",SUM(J547:J551))</f>
        <v>0</v>
      </c>
      <c r="K546" s="216">
        <f ca="1">IF($S$1&lt;DATE(2025,6,1)," ",SUM(K547:K551))</f>
        <v>0</v>
      </c>
      <c r="L546" s="216">
        <f ca="1">IF($S$1&lt;DATE(2025,7,1)," ",SUM(L547:L551))</f>
        <v>0</v>
      </c>
      <c r="M546" s="216">
        <f ca="1">IF($S$1&lt;DATE(2025,8,1)," ",SUM(M547:M551))</f>
        <v>0</v>
      </c>
      <c r="N546" s="216">
        <f ca="1">IF($S$1&lt;DATE(2025,9,1)," ",SUM(N547:N551))</f>
        <v>0.120687</v>
      </c>
      <c r="O546" s="216">
        <f ca="1">IF($S$1&lt;DATE(2025,10,1)," ",SUM(O547:O551))</f>
        <v>2.208588</v>
      </c>
      <c r="P546" s="216">
        <f ca="1">IF($S$1&lt;DATE(2025,11,1)," ",SUM(P547:P551))</f>
        <v>0</v>
      </c>
      <c r="Q546" s="216">
        <f ca="1">IF($S$1&lt;DATE(2025,12,1)," ",SUM(Q547:Q551))</f>
        <v>0</v>
      </c>
    </row>
    <row r="547" ht="24" customHeight="1" spans="1:17">
      <c r="A547" s="99" t="s">
        <v>345</v>
      </c>
      <c r="B547" s="99" t="s">
        <v>299</v>
      </c>
      <c r="C547" s="99" t="s">
        <v>334</v>
      </c>
      <c r="D547" s="214" t="s">
        <v>294</v>
      </c>
      <c r="E547" s="214" t="s">
        <v>93</v>
      </c>
      <c r="F547" s="51">
        <f ca="1">IF($S$1&lt;DATE(2025,1,1)," ",SUMIFS('2025数据'!$AQ$3:$AQ$181,'2025数据'!$H$3:$H$181,"&gt;="&amp;DATE(2025,1,1),'2025数据'!$H$3:$H$181,"&lt;="&amp;DATE(2025,1,31),'2025数据'!$B$3:$B$181,$E547)/10000)</f>
        <v>0</v>
      </c>
      <c r="G547" s="51">
        <f ca="1">IF($S$1&lt;DATE(2025,2,1)," ",SUMIFS('2025数据'!$AQ$3:$AQ$181,'2025数据'!$H$3:$H$181,"&gt;="&amp;DATE(2025,2,1),'2025数据'!$H$3:$H$181,"&lt;="&amp;DATE(2025,2,28),'2025数据'!$B$3:$B$181,$E547)/10000)</f>
        <v>1.542649</v>
      </c>
      <c r="H547" s="51">
        <f ca="1">IF($S$1&lt;DATE(2025,3,1)," ",SUMIFS('2025数据'!$AQ$3:$AQ$181,'2025数据'!$H$3:$H$181,"&gt;="&amp;DATE(2025,3,1),'2025数据'!$H$3:$H$181,"&lt;="&amp;DATE(2025,3,31),'2025数据'!$B$3:$B$181,$E547)/10000)</f>
        <v>0</v>
      </c>
      <c r="I547" s="51">
        <f ca="1">IF($S$1&lt;DATE(2025,4,1)," ",SUMIFS('2025数据'!$AQ$3:$AQ$181,'2025数据'!$H$3:$H$181,"&gt;="&amp;DATE(2025,4,1),'2025数据'!$H$3:$H$181,"&lt;="&amp;DATE(2025,4,30),'2025数据'!$B$3:$B$181,$E547)/10000)</f>
        <v>0</v>
      </c>
      <c r="J547" s="51">
        <f ca="1">IF($S$1&lt;DATE(2025,5,1)," ",SUMIFS('2025数据'!$AQ$3:$AQ$181,'2025数据'!$H$3:$H$181,"&gt;="&amp;DATE(2025,5,1),'2025数据'!$H$3:$H$181,"&lt;="&amp;DATE(2025,5,31),'2025数据'!$B$3:$B$181,$E547)/10000)</f>
        <v>0</v>
      </c>
      <c r="K547" s="51">
        <f ca="1">IF($S$1&lt;DATE(2025,6,1)," ",SUMIFS('2025数据'!$AQ$3:$AQ$181,'2025数据'!$H$3:$H$181,"&gt;="&amp;DATE(2025,6,1),'2025数据'!$H$3:$H$181,"&lt;="&amp;DATE(2025,6,30),'2025数据'!$B$3:$B$181,$E547)/10000)</f>
        <v>0</v>
      </c>
      <c r="L547" s="51">
        <f ca="1">IF($S$1&lt;DATE(2025,7,1)," ",SUMIFS('2025数据'!$AQ$3:$AQ$181,'2025数据'!$H$3:$H$181,"&gt;="&amp;DATE(2025,7,1),'2025数据'!$H$3:$H$181,"&lt;="&amp;DATE(2025,7,31),'2025数据'!$B$3:$B$181,$E547)/10000)</f>
        <v>0</v>
      </c>
      <c r="M547" s="51">
        <f ca="1">IF($S$1&lt;DATE(2025,8,1)," ",SUMIFS('2025数据'!$AQ$3:$AQ$181,'2025数据'!$H$3:$H$181,"&gt;="&amp;DATE(2025,8,1),'2025数据'!$H$3:$H$181,"&lt;="&amp;DATE(2025,8,31),'2025数据'!$B$3:$B$181,$E547)/10000)</f>
        <v>0</v>
      </c>
      <c r="N547" s="51">
        <f ca="1">IF($S$1&lt;DATE(2025,9,1)," ",SUMIFS('2025数据'!$AQ$3:$AQ$181,'2025数据'!$H$3:$H$181,"&gt;="&amp;DATE(2025,9,1),'2025数据'!$H$3:$H$181,"&lt;="&amp;DATE(2025,9,30),'2025数据'!$B$3:$B$181,$E547)/10000)</f>
        <v>0.120687</v>
      </c>
      <c r="O547" s="51">
        <f ca="1">IF($S$1&lt;DATE(2025,10,1)," ",SUMIFS('2025数据'!$AQ$3:$AQ$181,'2025数据'!$H$3:$H$181,"&gt;="&amp;DATE(2025,10,1),'2025数据'!$H$3:$H$181,"&lt;="&amp;DATE(2025,10,31),'2025数据'!$B$3:$B$181,$E547)/10000)</f>
        <v>0.220053</v>
      </c>
      <c r="P547" s="217">
        <f ca="1">IF($S$1&lt;DATE(2025,11,1)," ",SUMIFS('2025数据'!$AQ$3:$AQ$181,'2025数据'!$H$3:$H$181,"&gt;="&amp;DATE(2025,11,1),'2025数据'!$H$3:$H$181,"&lt;="&amp;DATE(2025,11,30),'2025数据'!$B$3:$B$181,$E547)/10000)</f>
        <v>0</v>
      </c>
      <c r="Q547" s="217">
        <f ca="1">IF($S$1&lt;DATE(2025,12,1)," ",SUMIFS('2025数据'!$AQ$3:$AQ$181,'2025数据'!$H$3:$H$181,"&gt;="&amp;DATE(2025,12,1),'2025数据'!$H$3:$H$181,"&lt;="&amp;DATE(2025,12,31),'2025数据'!$B$3:$B$181,$E547)/10000)</f>
        <v>0</v>
      </c>
    </row>
    <row r="548" ht="24" customHeight="1" spans="1:17">
      <c r="A548" s="99" t="s">
        <v>345</v>
      </c>
      <c r="B548" s="99" t="s">
        <v>299</v>
      </c>
      <c r="C548" s="99" t="s">
        <v>334</v>
      </c>
      <c r="D548" s="214" t="s">
        <v>294</v>
      </c>
      <c r="E548" s="214" t="s">
        <v>85</v>
      </c>
      <c r="F548" s="51">
        <f ca="1">IF($S$1&lt;DATE(2025,1,1)," ",SUMIFS('2025数据'!$AQ$3:$AQ$181,'2025数据'!$H$3:$H$181,"&gt;="&amp;DATE(2025,1,1),'2025数据'!$H$3:$H$181,"&lt;="&amp;DATE(2025,1,31),'2025数据'!$B$3:$B$181,$E548)/10000)</f>
        <v>0</v>
      </c>
      <c r="G548" s="51">
        <f ca="1">IF($S$1&lt;DATE(2025,2,1)," ",SUMIFS('2025数据'!$AQ$3:$AQ$181,'2025数据'!$H$3:$H$181,"&gt;="&amp;DATE(2025,2,1),'2025数据'!$H$3:$H$181,"&lt;="&amp;DATE(2025,2,28),'2025数据'!$B$3:$B$181,$E548)/10000)</f>
        <v>0</v>
      </c>
      <c r="H548" s="51">
        <f ca="1">IF($S$1&lt;DATE(2025,3,1)," ",SUMIFS('2025数据'!$AQ$3:$AQ$181,'2025数据'!$H$3:$H$181,"&gt;="&amp;DATE(2025,3,1),'2025数据'!$H$3:$H$181,"&lt;="&amp;DATE(2025,3,31),'2025数据'!$B$3:$B$181,$E548)/10000)</f>
        <v>0</v>
      </c>
      <c r="I548" s="51">
        <f ca="1">IF($S$1&lt;DATE(2025,4,1)," ",SUMIFS('2025数据'!$AQ$3:$AQ$181,'2025数据'!$H$3:$H$181,"&gt;="&amp;DATE(2025,4,1),'2025数据'!$H$3:$H$181,"&lt;="&amp;DATE(2025,4,30),'2025数据'!$B$3:$B$181,$E548)/10000)</f>
        <v>0</v>
      </c>
      <c r="J548" s="51">
        <f ca="1">IF($S$1&lt;DATE(2025,5,1)," ",SUMIFS('2025数据'!$AQ$3:$AQ$181,'2025数据'!$H$3:$H$181,"&gt;="&amp;DATE(2025,5,1),'2025数据'!$H$3:$H$181,"&lt;="&amp;DATE(2025,5,31),'2025数据'!$B$3:$B$181,$E548)/10000)</f>
        <v>0</v>
      </c>
      <c r="K548" s="51">
        <f ca="1">IF($S$1&lt;DATE(2025,6,1)," ",SUMIFS('2025数据'!$AQ$3:$AQ$181,'2025数据'!$H$3:$H$181,"&gt;="&amp;DATE(2025,6,1),'2025数据'!$H$3:$H$181,"&lt;="&amp;DATE(2025,6,30),'2025数据'!$B$3:$B$181,$E548)/10000)</f>
        <v>0</v>
      </c>
      <c r="L548" s="51">
        <f ca="1">IF($S$1&lt;DATE(2025,7,1)," ",SUMIFS('2025数据'!$AQ$3:$AQ$181,'2025数据'!$H$3:$H$181,"&gt;="&amp;DATE(2025,7,1),'2025数据'!$H$3:$H$181,"&lt;="&amp;DATE(2025,7,31),'2025数据'!$B$3:$B$181,$E548)/10000)</f>
        <v>0</v>
      </c>
      <c r="M548" s="51">
        <f ca="1">IF($S$1&lt;DATE(2025,8,1)," ",SUMIFS('2025数据'!$AQ$3:$AQ$181,'2025数据'!$H$3:$H$181,"&gt;="&amp;DATE(2025,8,1),'2025数据'!$H$3:$H$181,"&lt;="&amp;DATE(2025,8,31),'2025数据'!$B$3:$B$181,$E548)/10000)</f>
        <v>0</v>
      </c>
      <c r="N548" s="51">
        <f ca="1">IF($S$1&lt;DATE(2025,9,1)," ",SUMIFS('2025数据'!$AQ$3:$AQ$181,'2025数据'!$H$3:$H$181,"&gt;="&amp;DATE(2025,9,1),'2025数据'!$H$3:$H$181,"&lt;="&amp;DATE(2025,9,30),'2025数据'!$B$3:$B$181,$E548)/10000)</f>
        <v>0</v>
      </c>
      <c r="O548" s="51">
        <f ca="1">IF($S$1&lt;DATE(2025,10,1)," ",SUMIFS('2025数据'!$AQ$3:$AQ$181,'2025数据'!$H$3:$H$181,"&gt;="&amp;DATE(2025,10,1),'2025数据'!$H$3:$H$181,"&lt;="&amp;DATE(2025,10,31),'2025数据'!$B$3:$B$181,$E548)/10000)</f>
        <v>1.988535</v>
      </c>
      <c r="P548" s="217">
        <f ca="1">IF($S$1&lt;DATE(2025,11,1)," ",SUMIFS('2025数据'!$AQ$3:$AQ$181,'2025数据'!$H$3:$H$181,"&gt;="&amp;DATE(2025,11,1),'2025数据'!$H$3:$H$181,"&lt;="&amp;DATE(2025,11,30),'2025数据'!$B$3:$B$181,$E548)/10000)</f>
        <v>0</v>
      </c>
      <c r="Q548" s="217">
        <f ca="1">IF($S$1&lt;DATE(2025,12,1)," ",SUMIFS('2025数据'!$AQ$3:$AQ$181,'2025数据'!$H$3:$H$181,"&gt;="&amp;DATE(2025,12,1),'2025数据'!$H$3:$H$181,"&lt;="&amp;DATE(2025,12,31),'2025数据'!$B$3:$B$181,$E548)/10000)</f>
        <v>0</v>
      </c>
    </row>
    <row r="549" ht="24" customHeight="1" spans="1:17">
      <c r="A549" s="99" t="s">
        <v>345</v>
      </c>
      <c r="B549" s="99" t="s">
        <v>299</v>
      </c>
      <c r="C549" s="99" t="s">
        <v>334</v>
      </c>
      <c r="D549" s="214" t="s">
        <v>294</v>
      </c>
      <c r="E549" s="214" t="s">
        <v>81</v>
      </c>
      <c r="F549" s="51">
        <f ca="1">IF($S$1&lt;DATE(2025,1,1)," ",SUMIFS('2025数据'!$AQ$3:$AQ$181,'2025数据'!$H$3:$H$181,"&gt;="&amp;DATE(2025,1,1),'2025数据'!$H$3:$H$181,"&lt;="&amp;DATE(2025,1,31),'2025数据'!$B$3:$B$181,$E549)/10000)</f>
        <v>0</v>
      </c>
      <c r="G549" s="51">
        <f ca="1">IF($S$1&lt;DATE(2025,2,1)," ",SUMIFS('2025数据'!$AQ$3:$AQ$181,'2025数据'!$H$3:$H$181,"&gt;="&amp;DATE(2025,2,1),'2025数据'!$H$3:$H$181,"&lt;="&amp;DATE(2025,2,28),'2025数据'!$B$3:$B$181,$E549)/10000)</f>
        <v>0</v>
      </c>
      <c r="H549" s="51">
        <f ca="1">IF($S$1&lt;DATE(2025,3,1)," ",SUMIFS('2025数据'!$AQ$3:$AQ$181,'2025数据'!$H$3:$H$181,"&gt;="&amp;DATE(2025,3,1),'2025数据'!$H$3:$H$181,"&lt;="&amp;DATE(2025,3,31),'2025数据'!$B$3:$B$181,$E549)/10000)</f>
        <v>0</v>
      </c>
      <c r="I549" s="51">
        <f ca="1">IF($S$1&lt;DATE(2025,4,1)," ",SUMIFS('2025数据'!$AQ$3:$AQ$181,'2025数据'!$H$3:$H$181,"&gt;="&amp;DATE(2025,4,1),'2025数据'!$H$3:$H$181,"&lt;="&amp;DATE(2025,4,30),'2025数据'!$B$3:$B$181,$E549)/10000)</f>
        <v>0</v>
      </c>
      <c r="J549" s="51">
        <f ca="1">IF($S$1&lt;DATE(2025,5,1)," ",SUMIFS('2025数据'!$AQ$3:$AQ$181,'2025数据'!$H$3:$H$181,"&gt;="&amp;DATE(2025,5,1),'2025数据'!$H$3:$H$181,"&lt;="&amp;DATE(2025,5,31),'2025数据'!$B$3:$B$181,$E549)/10000)</f>
        <v>0</v>
      </c>
      <c r="K549" s="51">
        <f ca="1">IF($S$1&lt;DATE(2025,6,1)," ",SUMIFS('2025数据'!$AQ$3:$AQ$181,'2025数据'!$H$3:$H$181,"&gt;="&amp;DATE(2025,6,1),'2025数据'!$H$3:$H$181,"&lt;="&amp;DATE(2025,6,30),'2025数据'!$B$3:$B$181,$E549)/10000)</f>
        <v>0</v>
      </c>
      <c r="L549" s="51">
        <f ca="1">IF($S$1&lt;DATE(2025,7,1)," ",SUMIFS('2025数据'!$AQ$3:$AQ$181,'2025数据'!$H$3:$H$181,"&gt;="&amp;DATE(2025,7,1),'2025数据'!$H$3:$H$181,"&lt;="&amp;DATE(2025,7,31),'2025数据'!$B$3:$B$181,$E549)/10000)</f>
        <v>0</v>
      </c>
      <c r="M549" s="51">
        <f ca="1">IF($S$1&lt;DATE(2025,8,1)," ",SUMIFS('2025数据'!$AQ$3:$AQ$181,'2025数据'!$H$3:$H$181,"&gt;="&amp;DATE(2025,8,1),'2025数据'!$H$3:$H$181,"&lt;="&amp;DATE(2025,8,31),'2025数据'!$B$3:$B$181,$E549)/10000)</f>
        <v>0</v>
      </c>
      <c r="N549" s="51">
        <f ca="1">IF($S$1&lt;DATE(2025,9,1)," ",SUMIFS('2025数据'!$AQ$3:$AQ$181,'2025数据'!$H$3:$H$181,"&gt;="&amp;DATE(2025,9,1),'2025数据'!$H$3:$H$181,"&lt;="&amp;DATE(2025,9,30),'2025数据'!$B$3:$B$181,$E549)/10000)</f>
        <v>0</v>
      </c>
      <c r="O549" s="51">
        <f ca="1">IF($S$1&lt;DATE(2025,10,1)," ",SUMIFS('2025数据'!$AQ$3:$AQ$181,'2025数据'!$H$3:$H$181,"&gt;="&amp;DATE(2025,10,1),'2025数据'!$H$3:$H$181,"&lt;="&amp;DATE(2025,10,31),'2025数据'!$B$3:$B$181,$E549)/10000)</f>
        <v>0</v>
      </c>
      <c r="P549" s="217">
        <f ca="1">IF($S$1&lt;DATE(2025,11,1)," ",SUMIFS('2025数据'!$AQ$3:$AQ$181,'2025数据'!$H$3:$H$181,"&gt;="&amp;DATE(2025,11,1),'2025数据'!$H$3:$H$181,"&lt;="&amp;DATE(2025,11,30),'2025数据'!$B$3:$B$181,$E549)/10000)</f>
        <v>0</v>
      </c>
      <c r="Q549" s="217">
        <f ca="1">IF($S$1&lt;DATE(2025,12,1)," ",SUMIFS('2025数据'!$AQ$3:$AQ$181,'2025数据'!$H$3:$H$181,"&gt;="&amp;DATE(2025,12,1),'2025数据'!$H$3:$H$181,"&lt;="&amp;DATE(2025,12,31),'2025数据'!$B$3:$B$181,$E549)/10000)</f>
        <v>0</v>
      </c>
    </row>
    <row r="550" ht="24" customHeight="1" spans="1:17">
      <c r="A550" s="99" t="s">
        <v>345</v>
      </c>
      <c r="B550" s="99" t="s">
        <v>299</v>
      </c>
      <c r="C550" s="99" t="s">
        <v>334</v>
      </c>
      <c r="D550" s="214" t="s">
        <v>294</v>
      </c>
      <c r="E550" s="214" t="s">
        <v>96</v>
      </c>
      <c r="F550" s="51">
        <f ca="1">IF($S$1&lt;DATE(2025,1,1)," ",SUMIFS('2025数据'!$AQ$3:$AQ$181,'2025数据'!$H$3:$H$181,"&gt;="&amp;DATE(2025,1,1),'2025数据'!$H$3:$H$181,"&lt;="&amp;DATE(2025,1,31),'2025数据'!$B$3:$B$181,$E550)/10000)</f>
        <v>0</v>
      </c>
      <c r="G550" s="51">
        <f ca="1">IF($S$1&lt;DATE(2025,2,1)," ",SUMIFS('2025数据'!$AQ$3:$AQ$181,'2025数据'!$H$3:$H$181,"&gt;="&amp;DATE(2025,2,1),'2025数据'!$H$3:$H$181,"&lt;="&amp;DATE(2025,2,28),'2025数据'!$B$3:$B$181,$E550)/10000)</f>
        <v>0</v>
      </c>
      <c r="H550" s="51">
        <f ca="1">IF($S$1&lt;DATE(2025,3,1)," ",SUMIFS('2025数据'!$AQ$3:$AQ$181,'2025数据'!$H$3:$H$181,"&gt;="&amp;DATE(2025,3,1),'2025数据'!$H$3:$H$181,"&lt;="&amp;DATE(2025,3,31),'2025数据'!$B$3:$B$181,$E550)/10000)</f>
        <v>0</v>
      </c>
      <c r="I550" s="51">
        <f ca="1">IF($S$1&lt;DATE(2025,4,1)," ",SUMIFS('2025数据'!$AQ$3:$AQ$181,'2025数据'!$H$3:$H$181,"&gt;="&amp;DATE(2025,4,1),'2025数据'!$H$3:$H$181,"&lt;="&amp;DATE(2025,4,30),'2025数据'!$B$3:$B$181,$E550)/10000)</f>
        <v>0</v>
      </c>
      <c r="J550" s="51">
        <f ca="1">IF($S$1&lt;DATE(2025,5,1)," ",SUMIFS('2025数据'!$AQ$3:$AQ$181,'2025数据'!$H$3:$H$181,"&gt;="&amp;DATE(2025,5,1),'2025数据'!$H$3:$H$181,"&lt;="&amp;DATE(2025,5,31),'2025数据'!$B$3:$B$181,$E550)/10000)</f>
        <v>0</v>
      </c>
      <c r="K550" s="51">
        <f ca="1">IF($S$1&lt;DATE(2025,6,1)," ",SUMIFS('2025数据'!$AQ$3:$AQ$181,'2025数据'!$H$3:$H$181,"&gt;="&amp;DATE(2025,6,1),'2025数据'!$H$3:$H$181,"&lt;="&amp;DATE(2025,6,30),'2025数据'!$B$3:$B$181,$E550)/10000)</f>
        <v>0</v>
      </c>
      <c r="L550" s="51">
        <f ca="1">IF($S$1&lt;DATE(2025,7,1)," ",SUMIFS('2025数据'!$AQ$3:$AQ$181,'2025数据'!$H$3:$H$181,"&gt;="&amp;DATE(2025,7,1),'2025数据'!$H$3:$H$181,"&lt;="&amp;DATE(2025,7,31),'2025数据'!$B$3:$B$181,$E550)/10000)</f>
        <v>0</v>
      </c>
      <c r="M550" s="51">
        <f ca="1">IF($S$1&lt;DATE(2025,8,1)," ",SUMIFS('2025数据'!$AQ$3:$AQ$181,'2025数据'!$H$3:$H$181,"&gt;="&amp;DATE(2025,8,1),'2025数据'!$H$3:$H$181,"&lt;="&amp;DATE(2025,8,31),'2025数据'!$B$3:$B$181,$E550)/10000)</f>
        <v>0</v>
      </c>
      <c r="N550" s="51">
        <f ca="1">IF($S$1&lt;DATE(2025,9,1)," ",SUMIFS('2025数据'!$AQ$3:$AQ$181,'2025数据'!$H$3:$H$181,"&gt;="&amp;DATE(2025,9,1),'2025数据'!$H$3:$H$181,"&lt;="&amp;DATE(2025,9,30),'2025数据'!$B$3:$B$181,$E550)/10000)</f>
        <v>0</v>
      </c>
      <c r="O550" s="51">
        <f ca="1">IF($S$1&lt;DATE(2025,10,1)," ",SUMIFS('2025数据'!$AQ$3:$AQ$181,'2025数据'!$H$3:$H$181,"&gt;="&amp;DATE(2025,10,1),'2025数据'!$H$3:$H$181,"&lt;="&amp;DATE(2025,10,31),'2025数据'!$B$3:$B$181,$E550)/10000)</f>
        <v>0</v>
      </c>
      <c r="P550" s="217">
        <f ca="1">IF($S$1&lt;DATE(2025,11,1)," ",SUMIFS('2025数据'!$AQ$3:$AQ$181,'2025数据'!$H$3:$H$181,"&gt;="&amp;DATE(2025,11,1),'2025数据'!$H$3:$H$181,"&lt;="&amp;DATE(2025,11,30),'2025数据'!$B$3:$B$181,$E550)/10000)</f>
        <v>0</v>
      </c>
      <c r="Q550" s="217">
        <f ca="1">IF($S$1&lt;DATE(2025,12,1)," ",SUMIFS('2025数据'!$AQ$3:$AQ$181,'2025数据'!$H$3:$H$181,"&gt;="&amp;DATE(2025,12,1),'2025数据'!$H$3:$H$181,"&lt;="&amp;DATE(2025,12,31),'2025数据'!$B$3:$B$181,$E550)/10000)</f>
        <v>0</v>
      </c>
    </row>
    <row r="551" ht="24" customHeight="1" spans="1:17">
      <c r="A551" s="99" t="s">
        <v>345</v>
      </c>
      <c r="B551" s="99" t="s">
        <v>299</v>
      </c>
      <c r="C551" s="99" t="s">
        <v>334</v>
      </c>
      <c r="D551" s="214" t="s">
        <v>294</v>
      </c>
      <c r="E551" s="214" t="s">
        <v>160</v>
      </c>
      <c r="F551" s="51">
        <f ca="1">IF($S$1&lt;DATE(2025,1,1)," ",SUMIFS('2025数据'!$AQ$3:$AQ$181,'2025数据'!$H$3:$H$181,"&gt;="&amp;DATE(2025,1,1),'2025数据'!$H$3:$H$181,"&lt;="&amp;DATE(2025,1,31),'2025数据'!$B$3:$B$181,$E551)/10000)</f>
        <v>0</v>
      </c>
      <c r="G551" s="51">
        <f ca="1">IF($S$1&lt;DATE(2025,2,1)," ",SUMIFS('2025数据'!$AQ$3:$AQ$181,'2025数据'!$H$3:$H$181,"&gt;="&amp;DATE(2025,2,1),'2025数据'!$H$3:$H$181,"&lt;="&amp;DATE(2025,2,28),'2025数据'!$B$3:$B$181,$E551)/10000)</f>
        <v>0</v>
      </c>
      <c r="H551" s="51">
        <f ca="1">IF($S$1&lt;DATE(2025,3,1)," ",SUMIFS('2025数据'!$AQ$3:$AQ$181,'2025数据'!$H$3:$H$181,"&gt;="&amp;DATE(2025,3,1),'2025数据'!$H$3:$H$181,"&lt;="&amp;DATE(2025,3,31),'2025数据'!$B$3:$B$181,$E551)/10000)</f>
        <v>0</v>
      </c>
      <c r="I551" s="51">
        <f ca="1">IF($S$1&lt;DATE(2025,4,1)," ",SUMIFS('2025数据'!$AQ$3:$AQ$181,'2025数据'!$H$3:$H$181,"&gt;="&amp;DATE(2025,4,1),'2025数据'!$H$3:$H$181,"&lt;="&amp;DATE(2025,4,30),'2025数据'!$B$3:$B$181,$E551)/10000)</f>
        <v>0</v>
      </c>
      <c r="J551" s="51">
        <f ca="1">IF($S$1&lt;DATE(2025,5,1)," ",SUMIFS('2025数据'!$AQ$3:$AQ$181,'2025数据'!$H$3:$H$181,"&gt;="&amp;DATE(2025,5,1),'2025数据'!$H$3:$H$181,"&lt;="&amp;DATE(2025,5,31),'2025数据'!$B$3:$B$181,$E551)/10000)</f>
        <v>0</v>
      </c>
      <c r="K551" s="51">
        <f ca="1">IF($S$1&lt;DATE(2025,6,1)," ",SUMIFS('2025数据'!$AQ$3:$AQ$181,'2025数据'!$H$3:$H$181,"&gt;="&amp;DATE(2025,6,1),'2025数据'!$H$3:$H$181,"&lt;="&amp;DATE(2025,6,30),'2025数据'!$B$3:$B$181,$E551)/10000)</f>
        <v>0</v>
      </c>
      <c r="L551" s="51">
        <f ca="1">IF($S$1&lt;DATE(2025,7,1)," ",SUMIFS('2025数据'!$AQ$3:$AQ$181,'2025数据'!$H$3:$H$181,"&gt;="&amp;DATE(2025,7,1),'2025数据'!$H$3:$H$181,"&lt;="&amp;DATE(2025,7,31),'2025数据'!$B$3:$B$181,$E551)/10000)</f>
        <v>0</v>
      </c>
      <c r="M551" s="51">
        <f ca="1">IF($S$1&lt;DATE(2025,8,1)," ",SUMIFS('2025数据'!$AQ$3:$AQ$181,'2025数据'!$H$3:$H$181,"&gt;="&amp;DATE(2025,8,1),'2025数据'!$H$3:$H$181,"&lt;="&amp;DATE(2025,8,31),'2025数据'!$B$3:$B$181,$E551)/10000)</f>
        <v>0</v>
      </c>
      <c r="N551" s="51">
        <f ca="1">IF($S$1&lt;DATE(2025,9,1)," ",SUMIFS('2025数据'!$AQ$3:$AQ$181,'2025数据'!$H$3:$H$181,"&gt;="&amp;DATE(2025,9,1),'2025数据'!$H$3:$H$181,"&lt;="&amp;DATE(2025,9,30),'2025数据'!$B$3:$B$181,$E551)/10000)</f>
        <v>0</v>
      </c>
      <c r="O551" s="51">
        <f ca="1">IF($S$1&lt;DATE(2025,10,1)," ",SUMIFS('2025数据'!$AQ$3:$AQ$181,'2025数据'!$H$3:$H$181,"&gt;="&amp;DATE(2025,10,1),'2025数据'!$H$3:$H$181,"&lt;="&amp;DATE(2025,10,31),'2025数据'!$B$3:$B$181,$E551)/10000)</f>
        <v>0</v>
      </c>
      <c r="P551" s="217">
        <f ca="1">IF($S$1&lt;DATE(2025,11,1)," ",SUMIFS('2025数据'!$AQ$3:$AQ$181,'2025数据'!$H$3:$H$181,"&gt;="&amp;DATE(2025,11,1),'2025数据'!$H$3:$H$181,"&lt;="&amp;DATE(2025,11,30),'2025数据'!$B$3:$B$181,$E551)/10000)</f>
        <v>0</v>
      </c>
      <c r="Q551" s="217">
        <f ca="1">IF($S$1&lt;DATE(2025,12,1)," ",SUMIFS('2025数据'!$AQ$3:$AQ$181,'2025数据'!$H$3:$H$181,"&gt;="&amp;DATE(2025,12,1),'2025数据'!$H$3:$H$181,"&lt;="&amp;DATE(2025,12,31),'2025数据'!$B$3:$B$181,$E551)/10000)</f>
        <v>0</v>
      </c>
    </row>
    <row r="552" ht="24" customHeight="1" spans="1:17">
      <c r="A552" s="99" t="s">
        <v>345</v>
      </c>
      <c r="B552" s="99" t="s">
        <v>299</v>
      </c>
      <c r="C552" s="99" t="s">
        <v>335</v>
      </c>
      <c r="D552" s="213" t="s">
        <v>292</v>
      </c>
      <c r="E552" s="213" t="s">
        <v>300</v>
      </c>
      <c r="F552" s="216">
        <f ca="1">IF($S$1&lt;DATE(2025,1,1)," ",F546)</f>
        <v>0</v>
      </c>
      <c r="G552" s="216">
        <f ca="1">IF($S$1&lt;DATE(2025,2,1)," ",F552+G546)</f>
        <v>1.542649</v>
      </c>
      <c r="H552" s="216">
        <f ca="1">IF($S$1&lt;DATE(2025,3,1)," ",G552+H546)</f>
        <v>1.542649</v>
      </c>
      <c r="I552" s="216">
        <f ca="1">IF($S$1&lt;DATE(2025,4,1)," ",H552+I546)</f>
        <v>1.542649</v>
      </c>
      <c r="J552" s="216">
        <f ca="1">IF($S$1&lt;DATE(2025,5,1)," ",I552+J546)</f>
        <v>1.542649</v>
      </c>
      <c r="K552" s="216">
        <f ca="1">IF($S$1&lt;DATE(2025,6,1)," ",J552+K546)</f>
        <v>1.542649</v>
      </c>
      <c r="L552" s="216">
        <f ca="1">IF($S$1&lt;DATE(2025,7,1)," ",K552+L546)</f>
        <v>1.542649</v>
      </c>
      <c r="M552" s="216">
        <f ca="1">IF($S$1&lt;DATE(2025,8,1)," ",L552+M546)</f>
        <v>1.542649</v>
      </c>
      <c r="N552" s="216">
        <f ca="1">IF($S$1&lt;DATE(2025,9,1)," ",M552+N546)</f>
        <v>1.663336</v>
      </c>
      <c r="O552" s="216">
        <f ca="1">IF($S$1&lt;DATE(2025,10,1)," ",N552+O546)</f>
        <v>3.871924</v>
      </c>
      <c r="P552" s="216">
        <f ca="1">IF($S$1&lt;DATE(2025,11,1)," ",O552+P546)</f>
        <v>3.871924</v>
      </c>
      <c r="Q552" s="216">
        <f ca="1">IF($S$1&lt;DATE(2025,12,1)," ",P552+Q546)</f>
        <v>3.871924</v>
      </c>
    </row>
    <row r="553" ht="24" customHeight="1" spans="1:17">
      <c r="A553" s="99" t="s">
        <v>345</v>
      </c>
      <c r="B553" s="99" t="s">
        <v>299</v>
      </c>
      <c r="C553" s="99" t="s">
        <v>336</v>
      </c>
      <c r="D553" s="114" t="s">
        <v>292</v>
      </c>
      <c r="E553" s="114" t="s">
        <v>300</v>
      </c>
      <c r="F553" s="215">
        <f ca="1">IF($S$1&lt;DATE(2025,1,1)," ",SUM(F554:F560))</f>
        <v>0</v>
      </c>
      <c r="G553" s="215">
        <f ca="1">IF($S$1&lt;DATE(2025,2,1)," ",SUM(G554:G560))</f>
        <v>1.716569</v>
      </c>
      <c r="H553" s="215">
        <f ca="1">IF($S$1&lt;DATE(2025,3,1)," ",SUM(H554:H560))</f>
        <v>0</v>
      </c>
      <c r="I553" s="215">
        <f ca="1">IF($S$1&lt;DATE(2025,4,1)," ",SUM(I554:I560))</f>
        <v>0</v>
      </c>
      <c r="J553" s="215">
        <f ca="1">IF($S$1&lt;DATE(2025,5,1)," ",SUM(J554:J560))</f>
        <v>0</v>
      </c>
      <c r="K553" s="215">
        <f ca="1">IF($S$1&lt;DATE(2025,6,1)," ",SUM(K554:K560))</f>
        <v>0</v>
      </c>
      <c r="L553" s="215">
        <f ca="1">IF($S$1&lt;DATE(2025,7,1)," ",SUM(L554:L560))</f>
        <v>0</v>
      </c>
      <c r="M553" s="215">
        <f ca="1">IF($S$1&lt;DATE(2025,8,1)," ",SUM(M554:M560))</f>
        <v>0</v>
      </c>
      <c r="N553" s="215">
        <f ca="1">IF($S$1&lt;DATE(2025,9,1)," ",SUM(N554:N560))</f>
        <v>0.139082</v>
      </c>
      <c r="O553" s="215">
        <f ca="1">IF($S$1&lt;DATE(2025,10,1)," ",SUM(O554:O560))</f>
        <v>2.188053</v>
      </c>
      <c r="P553" s="215">
        <f ca="1">IF($S$1&lt;DATE(2025,11,1)," ",SUM(P554:P560))</f>
        <v>0</v>
      </c>
      <c r="Q553" s="215">
        <f ca="1">IF($S$1&lt;DATE(2025,12,1)," ",SUM(Q554:Q560))</f>
        <v>0</v>
      </c>
    </row>
    <row r="554" ht="24" customHeight="1" spans="1:17">
      <c r="A554" s="99" t="s">
        <v>345</v>
      </c>
      <c r="B554" s="99" t="s">
        <v>299</v>
      </c>
      <c r="C554" s="99" t="s">
        <v>336</v>
      </c>
      <c r="D554" s="48" t="s">
        <v>31</v>
      </c>
      <c r="E554" s="48" t="s">
        <v>90</v>
      </c>
      <c r="F554" s="51">
        <f ca="1">IF($S$1&lt;DATE(2025,1,1)," ",SUMIFS('2025数据'!$AP$3:$AP$181,'2025数据'!$H$3:$H$181,"&gt;="&amp;DATE(2025,1,1),'2025数据'!$H$3:$H$181,"&lt;="&amp;DATE(2025,1,31),'2025数据'!$AE$3:$AE$181,$E554)/10000)</f>
        <v>0</v>
      </c>
      <c r="G554" s="51">
        <f ca="1">IF($S$1&lt;DATE(2025,2,1)," ",SUMIFS('2025数据'!$AP$3:$AP$181,'2025数据'!$H$3:$H$181,"&gt;="&amp;DATE(2025,2,1),'2025数据'!$H$3:$H$181,"&lt;="&amp;DATE(2025,2,28),'2025数据'!$AE$3:$AE$181,$E554)/10000)</f>
        <v>0</v>
      </c>
      <c r="H554" s="51">
        <f ca="1">IF($S$1&lt;DATE(2025,3,1)," ",SUMIFS('2025数据'!$AP$3:$AP$181,'2025数据'!$H$3:$H$181,"&gt;="&amp;DATE(2025,3,1),'2025数据'!$H$3:$H$181,"&lt;="&amp;DATE(2025,3,31),'2025数据'!$AE$3:$AE$181,$E554)/10000)</f>
        <v>0</v>
      </c>
      <c r="I554" s="51">
        <f ca="1">IF($S$1&lt;DATE(2025,4,1)," ",SUMIFS('2025数据'!$AP$3:$AP$181,'2025数据'!$H$3:$H$181,"&gt;="&amp;DATE(2025,4,1),'2025数据'!$H$3:$H$181,"&lt;="&amp;DATE(2025,4,30),'2025数据'!$AE$3:$AE$181,$E554)/10000)</f>
        <v>0</v>
      </c>
      <c r="J554" s="51">
        <f ca="1">IF($S$1&lt;DATE(2025,5,1)," ",SUMIFS('2025数据'!$AP$3:$AP$181,'2025数据'!$H$3:$H$181,"&gt;="&amp;DATE(2025,5,1),'2025数据'!$H$3:$H$181,"&lt;="&amp;DATE(2025,5,31),'2025数据'!$AE$3:$AE$181,$E554)/10000)</f>
        <v>0</v>
      </c>
      <c r="K554" s="51">
        <f ca="1">IF($S$1&lt;DATE(2025,6,1)," ",SUMIFS('2025数据'!$AP$3:$AP$181,'2025数据'!$H$3:$H$181,"&gt;="&amp;DATE(2025,6,1),'2025数据'!$H$3:$H$181,"&lt;="&amp;DATE(2025,6,30),'2025数据'!$AE$3:$AE$181,$E554)/10000)</f>
        <v>0</v>
      </c>
      <c r="L554" s="51">
        <f ca="1">IF($S$1&lt;DATE(2025,7,1)," ",SUMIFS('2025数据'!$AP$3:$AP$181,'2025数据'!$H$3:$H$181,"&gt;="&amp;DATE(2025,7,1),'2025数据'!$H$3:$H$181,"&lt;="&amp;DATE(2025,7,31),'2025数据'!$AE$3:$AE$181,$E554)/10000)</f>
        <v>0</v>
      </c>
      <c r="M554" s="51">
        <f ca="1">IF($S$1&lt;DATE(2025,8,1)," ",SUMIFS('2025数据'!$AP$3:$AP$181,'2025数据'!$H$3:$H$181,"&gt;="&amp;DATE(2025,8,1),'2025数据'!$H$3:$H$181,"&lt;="&amp;DATE(2025,8,31),'2025数据'!$AE$3:$AE$181,$E554)/10000)</f>
        <v>0</v>
      </c>
      <c r="N554" s="51">
        <f ca="1">IF($S$1&lt;DATE(2025,9,1)," ",SUMIFS('2025数据'!$AP$3:$AP$181,'2025数据'!$H$3:$H$181,"&gt;="&amp;DATE(2025,9,1),'2025数据'!$H$3:$H$181,"&lt;="&amp;DATE(2025,9,30),'2025数据'!$AE$3:$AE$181,$E554)/10000)</f>
        <v>0</v>
      </c>
      <c r="O554" s="51">
        <f ca="1">IF($S$1&lt;DATE(2025,10,1)," ",SUMIFS('2025数据'!$AP$3:$AP$181,'2025数据'!$H$3:$H$181,"&gt;="&amp;DATE(2025,10,1),'2025数据'!$H$3:$H$181,"&lt;="&amp;DATE(2025,10,31),'2025数据'!$AE$3:$AE$181,$E554)/10000)</f>
        <v>1.293029</v>
      </c>
      <c r="P554" s="217">
        <f ca="1">IF($S$1&lt;DATE(2025,11,1)," ",SUMIFS('2025数据'!$AP$3:$AP$181,'2025数据'!$H$3:$H$181,"&gt;="&amp;DATE(2025,11,1),'2025数据'!$H$3:$H$181,"&lt;="&amp;DATE(2025,11,30),'2025数据'!$AE$3:$AE$181,$E554)/10000)</f>
        <v>0</v>
      </c>
      <c r="Q554" s="217">
        <f ca="1">IF($S$1&lt;DATE(2025,12,1)," ",SUMIFS('2025数据'!$AP$3:$AP$181,'2025数据'!$H$3:$H$181,"&gt;="&amp;DATE(2025,12,1),'2025数据'!$H$3:$H$181,"&lt;="&amp;DATE(2025,12,31),'2025数据'!$AE$3:$AE$181,$E554)/10000)</f>
        <v>0</v>
      </c>
    </row>
    <row r="555" ht="24" customHeight="1" spans="1:17">
      <c r="A555" s="99" t="s">
        <v>345</v>
      </c>
      <c r="B555" s="99" t="s">
        <v>299</v>
      </c>
      <c r="C555" s="99" t="s">
        <v>336</v>
      </c>
      <c r="D555" s="48" t="s">
        <v>31</v>
      </c>
      <c r="E555" s="48" t="s">
        <v>82</v>
      </c>
      <c r="F555" s="51">
        <f ca="1">IF($S$1&lt;DATE(2025,1,1)," ",SUMIFS('2025数据'!$AP$3:$AP$181,'2025数据'!$H$3:$H$181,"&gt;="&amp;DATE(2025,1,1),'2025数据'!$H$3:$H$181,"&lt;="&amp;DATE(2025,1,31),'2025数据'!$AE$3:$AE$181,$E555)/10000)</f>
        <v>0</v>
      </c>
      <c r="G555" s="51">
        <f ca="1">IF($S$1&lt;DATE(2025,2,1)," ",SUMIFS('2025数据'!$AP$3:$AP$181,'2025数据'!$H$3:$H$181,"&gt;="&amp;DATE(2025,2,1),'2025数据'!$H$3:$H$181,"&lt;="&amp;DATE(2025,2,28),'2025数据'!$AE$3:$AE$181,$E555)/10000)</f>
        <v>1.716569</v>
      </c>
      <c r="H555" s="51">
        <f ca="1">IF($S$1&lt;DATE(2025,3,1)," ",SUMIFS('2025数据'!$AP$3:$AP$181,'2025数据'!$H$3:$H$181,"&gt;="&amp;DATE(2025,3,1),'2025数据'!$H$3:$H$181,"&lt;="&amp;DATE(2025,3,31),'2025数据'!$AE$3:$AE$181,$E555)/10000)</f>
        <v>0</v>
      </c>
      <c r="I555" s="51">
        <f ca="1">IF($S$1&lt;DATE(2025,4,1)," ",SUMIFS('2025数据'!$AP$3:$AP$181,'2025数据'!$H$3:$H$181,"&gt;="&amp;DATE(2025,4,1),'2025数据'!$H$3:$H$181,"&lt;="&amp;DATE(2025,4,30),'2025数据'!$AE$3:$AE$181,$E555)/10000)</f>
        <v>0</v>
      </c>
      <c r="J555" s="51">
        <f ca="1">IF($S$1&lt;DATE(2025,5,1)," ",SUMIFS('2025数据'!$AP$3:$AP$181,'2025数据'!$H$3:$H$181,"&gt;="&amp;DATE(2025,5,1),'2025数据'!$H$3:$H$181,"&lt;="&amp;DATE(2025,5,31),'2025数据'!$AE$3:$AE$181,$E555)/10000)</f>
        <v>0</v>
      </c>
      <c r="K555" s="51">
        <f ca="1">IF($S$1&lt;DATE(2025,6,1)," ",SUMIFS('2025数据'!$AP$3:$AP$181,'2025数据'!$H$3:$H$181,"&gt;="&amp;DATE(2025,6,1),'2025数据'!$H$3:$H$181,"&lt;="&amp;DATE(2025,6,30),'2025数据'!$AE$3:$AE$181,$E555)/10000)</f>
        <v>0</v>
      </c>
      <c r="L555" s="51">
        <f ca="1">IF($S$1&lt;DATE(2025,7,1)," ",SUMIFS('2025数据'!$AP$3:$AP$181,'2025数据'!$H$3:$H$181,"&gt;="&amp;DATE(2025,7,1),'2025数据'!$H$3:$H$181,"&lt;="&amp;DATE(2025,7,31),'2025数据'!$AE$3:$AE$181,$E555)/10000)</f>
        <v>0</v>
      </c>
      <c r="M555" s="51">
        <f ca="1">IF($S$1&lt;DATE(2025,8,1)," ",SUMIFS('2025数据'!$AP$3:$AP$181,'2025数据'!$H$3:$H$181,"&gt;="&amp;DATE(2025,8,1),'2025数据'!$H$3:$H$181,"&lt;="&amp;DATE(2025,8,31),'2025数据'!$AE$3:$AE$181,$E555)/10000)</f>
        <v>0</v>
      </c>
      <c r="N555" s="51">
        <f ca="1">IF($S$1&lt;DATE(2025,9,1)," ",SUMIFS('2025数据'!$AP$3:$AP$181,'2025数据'!$H$3:$H$181,"&gt;="&amp;DATE(2025,9,1),'2025数据'!$H$3:$H$181,"&lt;="&amp;DATE(2025,9,30),'2025数据'!$AE$3:$AE$181,$E555)/10000)</f>
        <v>0</v>
      </c>
      <c r="O555" s="51">
        <f ca="1">IF($S$1&lt;DATE(2025,10,1)," ",SUMIFS('2025数据'!$AP$3:$AP$181,'2025数据'!$H$3:$H$181,"&gt;="&amp;DATE(2025,10,1),'2025数据'!$H$3:$H$181,"&lt;="&amp;DATE(2025,10,31),'2025数据'!$AE$3:$AE$181,$E555)/10000)</f>
        <v>0.895024</v>
      </c>
      <c r="P555" s="217">
        <f ca="1">IF($S$1&lt;DATE(2025,11,1)," ",SUMIFS('2025数据'!$AP$3:$AP$181,'2025数据'!$H$3:$H$181,"&gt;="&amp;DATE(2025,11,1),'2025数据'!$H$3:$H$181,"&lt;="&amp;DATE(2025,11,30),'2025数据'!$AE$3:$AE$181,$E555)/10000)</f>
        <v>0</v>
      </c>
      <c r="Q555" s="217">
        <f ca="1">IF($S$1&lt;DATE(2025,12,1)," ",SUMIFS('2025数据'!$AP$3:$AP$181,'2025数据'!$H$3:$H$181,"&gt;="&amp;DATE(2025,12,1),'2025数据'!$H$3:$H$181,"&lt;="&amp;DATE(2025,12,31),'2025数据'!$AE$3:$AE$181,$E555)/10000)</f>
        <v>0</v>
      </c>
    </row>
    <row r="556" ht="24" customHeight="1" spans="1:17">
      <c r="A556" s="99" t="s">
        <v>345</v>
      </c>
      <c r="B556" s="99" t="s">
        <v>299</v>
      </c>
      <c r="C556" s="99" t="s">
        <v>336</v>
      </c>
      <c r="D556" s="48" t="s">
        <v>31</v>
      </c>
      <c r="E556" s="48" t="s">
        <v>86</v>
      </c>
      <c r="F556" s="51">
        <f ca="1">IF($S$1&lt;DATE(2025,1,1)," ",SUMIFS('2025数据'!$AP$3:$AP$181,'2025数据'!$H$3:$H$181,"&gt;="&amp;DATE(2025,1,1),'2025数据'!$H$3:$H$181,"&lt;="&amp;DATE(2025,1,31),'2025数据'!$AE$3:$AE$181,$E556)/10000)</f>
        <v>0</v>
      </c>
      <c r="G556" s="51">
        <f ca="1">IF($S$1&lt;DATE(2025,2,1)," ",SUMIFS('2025数据'!$AP$3:$AP$181,'2025数据'!$H$3:$H$181,"&gt;="&amp;DATE(2025,2,1),'2025数据'!$H$3:$H$181,"&lt;="&amp;DATE(2025,2,28),'2025数据'!$AE$3:$AE$181,$E556)/10000)</f>
        <v>0</v>
      </c>
      <c r="H556" s="51">
        <f ca="1">IF($S$1&lt;DATE(2025,3,1)," ",SUMIFS('2025数据'!$AP$3:$AP$181,'2025数据'!$H$3:$H$181,"&gt;="&amp;DATE(2025,3,1),'2025数据'!$H$3:$H$181,"&lt;="&amp;DATE(2025,3,31),'2025数据'!$AE$3:$AE$181,$E556)/10000)</f>
        <v>0</v>
      </c>
      <c r="I556" s="51">
        <f ca="1">IF($S$1&lt;DATE(2025,4,1)," ",SUMIFS('2025数据'!$AP$3:$AP$181,'2025数据'!$H$3:$H$181,"&gt;="&amp;DATE(2025,4,1),'2025数据'!$H$3:$H$181,"&lt;="&amp;DATE(2025,4,30),'2025数据'!$AE$3:$AE$181,$E556)/10000)</f>
        <v>0</v>
      </c>
      <c r="J556" s="51">
        <f ca="1">IF($S$1&lt;DATE(2025,5,1)," ",SUMIFS('2025数据'!$AP$3:$AP$181,'2025数据'!$H$3:$H$181,"&gt;="&amp;DATE(2025,5,1),'2025数据'!$H$3:$H$181,"&lt;="&amp;DATE(2025,5,31),'2025数据'!$AE$3:$AE$181,$E556)/10000)</f>
        <v>0</v>
      </c>
      <c r="K556" s="51">
        <f ca="1">IF($S$1&lt;DATE(2025,6,1)," ",SUMIFS('2025数据'!$AP$3:$AP$181,'2025数据'!$H$3:$H$181,"&gt;="&amp;DATE(2025,6,1),'2025数据'!$H$3:$H$181,"&lt;="&amp;DATE(2025,6,30),'2025数据'!$AE$3:$AE$181,$E556)/10000)</f>
        <v>0</v>
      </c>
      <c r="L556" s="51">
        <f ca="1">IF($S$1&lt;DATE(2025,7,1)," ",SUMIFS('2025数据'!$AP$3:$AP$181,'2025数据'!$H$3:$H$181,"&gt;="&amp;DATE(2025,7,1),'2025数据'!$H$3:$H$181,"&lt;="&amp;DATE(2025,7,31),'2025数据'!$AE$3:$AE$181,$E556)/10000)</f>
        <v>0</v>
      </c>
      <c r="M556" s="51">
        <f ca="1">IF($S$1&lt;DATE(2025,8,1)," ",SUMIFS('2025数据'!$AP$3:$AP$181,'2025数据'!$H$3:$H$181,"&gt;="&amp;DATE(2025,8,1),'2025数据'!$H$3:$H$181,"&lt;="&amp;DATE(2025,8,31),'2025数据'!$AE$3:$AE$181,$E556)/10000)</f>
        <v>0</v>
      </c>
      <c r="N556" s="51">
        <f ca="1">IF($S$1&lt;DATE(2025,9,1)," ",SUMIFS('2025数据'!$AP$3:$AP$181,'2025数据'!$H$3:$H$181,"&gt;="&amp;DATE(2025,9,1),'2025数据'!$H$3:$H$181,"&lt;="&amp;DATE(2025,9,30),'2025数据'!$AE$3:$AE$181,$E556)/10000)</f>
        <v>0</v>
      </c>
      <c r="O556" s="51">
        <f ca="1">IF($S$1&lt;DATE(2025,10,1)," ",SUMIFS('2025数据'!$AP$3:$AP$181,'2025数据'!$H$3:$H$181,"&gt;="&amp;DATE(2025,10,1),'2025数据'!$H$3:$H$181,"&lt;="&amp;DATE(2025,10,31),'2025数据'!$AE$3:$AE$181,$E556)/10000)</f>
        <v>0</v>
      </c>
      <c r="P556" s="217">
        <f ca="1">IF($S$1&lt;DATE(2025,11,1)," ",SUMIFS('2025数据'!$AP$3:$AP$181,'2025数据'!$H$3:$H$181,"&gt;="&amp;DATE(2025,11,1),'2025数据'!$H$3:$H$181,"&lt;="&amp;DATE(2025,11,30),'2025数据'!$AE$3:$AE$181,$E556)/10000)</f>
        <v>0</v>
      </c>
      <c r="Q556" s="217">
        <f ca="1">IF($S$1&lt;DATE(2025,12,1)," ",SUMIFS('2025数据'!$AP$3:$AP$181,'2025数据'!$H$3:$H$181,"&gt;="&amp;DATE(2025,12,1),'2025数据'!$H$3:$H$181,"&lt;="&amp;DATE(2025,12,31),'2025数据'!$AE$3:$AE$181,$E556)/10000)</f>
        <v>0</v>
      </c>
    </row>
    <row r="557" ht="24" customHeight="1" spans="1:17">
      <c r="A557" s="99" t="s">
        <v>345</v>
      </c>
      <c r="B557" s="99" t="s">
        <v>299</v>
      </c>
      <c r="C557" s="99" t="s">
        <v>336</v>
      </c>
      <c r="D557" s="48" t="s">
        <v>31</v>
      </c>
      <c r="E557" s="48" t="s">
        <v>97</v>
      </c>
      <c r="F557" s="51">
        <f ca="1">IF($S$1&lt;DATE(2025,1,1)," ",SUMIFS('2025数据'!$AP$3:$AP$181,'2025数据'!$H$3:$H$181,"&gt;="&amp;DATE(2025,1,1),'2025数据'!$H$3:$H$181,"&lt;="&amp;DATE(2025,1,31),'2025数据'!$AE$3:$AE$181,$E557)/10000)</f>
        <v>0</v>
      </c>
      <c r="G557" s="51">
        <f ca="1">IF($S$1&lt;DATE(2025,2,1)," ",SUMIFS('2025数据'!$AP$3:$AP$181,'2025数据'!$H$3:$H$181,"&gt;="&amp;DATE(2025,2,1),'2025数据'!$H$3:$H$181,"&lt;="&amp;DATE(2025,2,28),'2025数据'!$AE$3:$AE$181,$E557)/10000)</f>
        <v>0</v>
      </c>
      <c r="H557" s="51">
        <f ca="1">IF($S$1&lt;DATE(2025,3,1)," ",SUMIFS('2025数据'!$AP$3:$AP$181,'2025数据'!$H$3:$H$181,"&gt;="&amp;DATE(2025,3,1),'2025数据'!$H$3:$H$181,"&lt;="&amp;DATE(2025,3,31),'2025数据'!$AE$3:$AE$181,$E557)/10000)</f>
        <v>0</v>
      </c>
      <c r="I557" s="51">
        <f ca="1">IF($S$1&lt;DATE(2025,4,1)," ",SUMIFS('2025数据'!$AP$3:$AP$181,'2025数据'!$H$3:$H$181,"&gt;="&amp;DATE(2025,4,1),'2025数据'!$H$3:$H$181,"&lt;="&amp;DATE(2025,4,30),'2025数据'!$AE$3:$AE$181,$E557)/10000)</f>
        <v>0</v>
      </c>
      <c r="J557" s="51">
        <f ca="1">IF($S$1&lt;DATE(2025,5,1)," ",SUMIFS('2025数据'!$AP$3:$AP$181,'2025数据'!$H$3:$H$181,"&gt;="&amp;DATE(2025,5,1),'2025数据'!$H$3:$H$181,"&lt;="&amp;DATE(2025,5,31),'2025数据'!$AE$3:$AE$181,$E557)/10000)</f>
        <v>0</v>
      </c>
      <c r="K557" s="51">
        <f ca="1">IF($S$1&lt;DATE(2025,6,1)," ",SUMIFS('2025数据'!$AP$3:$AP$181,'2025数据'!$H$3:$H$181,"&gt;="&amp;DATE(2025,6,1),'2025数据'!$H$3:$H$181,"&lt;="&amp;DATE(2025,6,30),'2025数据'!$AE$3:$AE$181,$E557)/10000)</f>
        <v>0</v>
      </c>
      <c r="L557" s="51">
        <f ca="1">IF($S$1&lt;DATE(2025,7,1)," ",SUMIFS('2025数据'!$AP$3:$AP$181,'2025数据'!$H$3:$H$181,"&gt;="&amp;DATE(2025,7,1),'2025数据'!$H$3:$H$181,"&lt;="&amp;DATE(2025,7,31),'2025数据'!$AE$3:$AE$181,$E557)/10000)</f>
        <v>0</v>
      </c>
      <c r="M557" s="51">
        <f ca="1">IF($S$1&lt;DATE(2025,8,1)," ",SUMIFS('2025数据'!$AP$3:$AP$181,'2025数据'!$H$3:$H$181,"&gt;="&amp;DATE(2025,8,1),'2025数据'!$H$3:$H$181,"&lt;="&amp;DATE(2025,8,31),'2025数据'!$AE$3:$AE$181,$E557)/10000)</f>
        <v>0</v>
      </c>
      <c r="N557" s="51">
        <f ca="1">IF($S$1&lt;DATE(2025,9,1)," ",SUMIFS('2025数据'!$AP$3:$AP$181,'2025数据'!$H$3:$H$181,"&gt;="&amp;DATE(2025,9,1),'2025数据'!$H$3:$H$181,"&lt;="&amp;DATE(2025,9,30),'2025数据'!$AE$3:$AE$181,$E557)/10000)</f>
        <v>0.139082</v>
      </c>
      <c r="O557" s="51">
        <f ca="1">IF($S$1&lt;DATE(2025,10,1)," ",SUMIFS('2025数据'!$AP$3:$AP$181,'2025数据'!$H$3:$H$181,"&gt;="&amp;DATE(2025,10,1),'2025数据'!$H$3:$H$181,"&lt;="&amp;DATE(2025,10,31),'2025数据'!$AE$3:$AE$181,$E557)/10000)</f>
        <v>0</v>
      </c>
      <c r="P557" s="217">
        <f ca="1">IF($S$1&lt;DATE(2025,11,1)," ",SUMIFS('2025数据'!$AP$3:$AP$181,'2025数据'!$H$3:$H$181,"&gt;="&amp;DATE(2025,11,1),'2025数据'!$H$3:$H$181,"&lt;="&amp;DATE(2025,11,30),'2025数据'!$AE$3:$AE$181,$E557)/10000)</f>
        <v>0</v>
      </c>
      <c r="Q557" s="217">
        <f ca="1">IF($S$1&lt;DATE(2025,12,1)," ",SUMIFS('2025数据'!$AP$3:$AP$181,'2025数据'!$H$3:$H$181,"&gt;="&amp;DATE(2025,12,1),'2025数据'!$H$3:$H$181,"&lt;="&amp;DATE(2025,12,31),'2025数据'!$AE$3:$AE$181,$E557)/10000)</f>
        <v>0</v>
      </c>
    </row>
    <row r="558" ht="24" customHeight="1" spans="1:17">
      <c r="A558" s="99" t="s">
        <v>345</v>
      </c>
      <c r="B558" s="99" t="s">
        <v>299</v>
      </c>
      <c r="C558" s="99" t="s">
        <v>336</v>
      </c>
      <c r="D558" s="48" t="s">
        <v>31</v>
      </c>
      <c r="E558" s="48" t="s">
        <v>87</v>
      </c>
      <c r="F558" s="51">
        <f ca="1">IF($S$1&lt;DATE(2025,1,1)," ",SUMIFS('2025数据'!$AP$3:$AP$181,'2025数据'!$H$3:$H$181,"&gt;="&amp;DATE(2025,1,1),'2025数据'!$H$3:$H$181,"&lt;="&amp;DATE(2025,1,31),'2025数据'!$AE$3:$AE$181,$E558)/10000)</f>
        <v>0</v>
      </c>
      <c r="G558" s="51">
        <f ca="1">IF($S$1&lt;DATE(2025,2,1)," ",SUMIFS('2025数据'!$AP$3:$AP$181,'2025数据'!$H$3:$H$181,"&gt;="&amp;DATE(2025,2,1),'2025数据'!$H$3:$H$181,"&lt;="&amp;DATE(2025,2,28),'2025数据'!$AE$3:$AE$181,$E558)/10000)</f>
        <v>0</v>
      </c>
      <c r="H558" s="51">
        <f ca="1">IF($S$1&lt;DATE(2025,3,1)," ",SUMIFS('2025数据'!$AP$3:$AP$181,'2025数据'!$H$3:$H$181,"&gt;="&amp;DATE(2025,3,1),'2025数据'!$H$3:$H$181,"&lt;="&amp;DATE(2025,3,31),'2025数据'!$AE$3:$AE$181,$E558)/10000)</f>
        <v>0</v>
      </c>
      <c r="I558" s="51">
        <f ca="1">IF($S$1&lt;DATE(2025,4,1)," ",SUMIFS('2025数据'!$AP$3:$AP$181,'2025数据'!$H$3:$H$181,"&gt;="&amp;DATE(2025,4,1),'2025数据'!$H$3:$H$181,"&lt;="&amp;DATE(2025,4,30),'2025数据'!$AE$3:$AE$181,$E558)/10000)</f>
        <v>0</v>
      </c>
      <c r="J558" s="51">
        <f ca="1">IF($S$1&lt;DATE(2025,5,1)," ",SUMIFS('2025数据'!$AP$3:$AP$181,'2025数据'!$H$3:$H$181,"&gt;="&amp;DATE(2025,5,1),'2025数据'!$H$3:$H$181,"&lt;="&amp;DATE(2025,5,31),'2025数据'!$AE$3:$AE$181,$E558)/10000)</f>
        <v>0</v>
      </c>
      <c r="K558" s="51">
        <f ca="1">IF($S$1&lt;DATE(2025,6,1)," ",SUMIFS('2025数据'!$AP$3:$AP$181,'2025数据'!$H$3:$H$181,"&gt;="&amp;DATE(2025,6,1),'2025数据'!$H$3:$H$181,"&lt;="&amp;DATE(2025,6,30),'2025数据'!$AE$3:$AE$181,$E558)/10000)</f>
        <v>0</v>
      </c>
      <c r="L558" s="51">
        <f ca="1">IF($S$1&lt;DATE(2025,7,1)," ",SUMIFS('2025数据'!$AP$3:$AP$181,'2025数据'!$H$3:$H$181,"&gt;="&amp;DATE(2025,7,1),'2025数据'!$H$3:$H$181,"&lt;="&amp;DATE(2025,7,31),'2025数据'!$AE$3:$AE$181,$E558)/10000)</f>
        <v>0</v>
      </c>
      <c r="M558" s="51">
        <f ca="1">IF($S$1&lt;DATE(2025,8,1)," ",SUMIFS('2025数据'!$AP$3:$AP$181,'2025数据'!$H$3:$H$181,"&gt;="&amp;DATE(2025,8,1),'2025数据'!$H$3:$H$181,"&lt;="&amp;DATE(2025,8,31),'2025数据'!$AE$3:$AE$181,$E558)/10000)</f>
        <v>0</v>
      </c>
      <c r="N558" s="51">
        <f ca="1">IF($S$1&lt;DATE(2025,9,1)," ",SUMIFS('2025数据'!$AP$3:$AP$181,'2025数据'!$H$3:$H$181,"&gt;="&amp;DATE(2025,9,1),'2025数据'!$H$3:$H$181,"&lt;="&amp;DATE(2025,9,30),'2025数据'!$AE$3:$AE$181,$E558)/10000)</f>
        <v>0</v>
      </c>
      <c r="O558" s="51">
        <f ca="1">IF($S$1&lt;DATE(2025,10,1)," ",SUMIFS('2025数据'!$AP$3:$AP$181,'2025数据'!$H$3:$H$181,"&gt;="&amp;DATE(2025,10,1),'2025数据'!$H$3:$H$181,"&lt;="&amp;DATE(2025,10,31),'2025数据'!$AE$3:$AE$181,$E558)/10000)</f>
        <v>0</v>
      </c>
      <c r="P558" s="217">
        <f ca="1">IF($S$1&lt;DATE(2025,11,1)," ",SUMIFS('2025数据'!$AP$3:$AP$181,'2025数据'!$H$3:$H$181,"&gt;="&amp;DATE(2025,11,1),'2025数据'!$H$3:$H$181,"&lt;="&amp;DATE(2025,11,30),'2025数据'!$AE$3:$AE$181,$E558)/10000)</f>
        <v>0</v>
      </c>
      <c r="Q558" s="217">
        <f ca="1">IF($S$1&lt;DATE(2025,12,1)," ",SUMIFS('2025数据'!$AP$3:$AP$181,'2025数据'!$H$3:$H$181,"&gt;="&amp;DATE(2025,12,1),'2025数据'!$H$3:$H$181,"&lt;="&amp;DATE(2025,12,31),'2025数据'!$AE$3:$AE$181,$E558)/10000)</f>
        <v>0</v>
      </c>
    </row>
    <row r="559" ht="24" customHeight="1" spans="1:17">
      <c r="A559" s="99" t="s">
        <v>345</v>
      </c>
      <c r="B559" s="99" t="s">
        <v>299</v>
      </c>
      <c r="C559" s="99" t="s">
        <v>336</v>
      </c>
      <c r="D559" s="48" t="s">
        <v>31</v>
      </c>
      <c r="E559" s="48" t="s">
        <v>149</v>
      </c>
      <c r="F559" s="51">
        <f ca="1">IF($S$1&lt;DATE(2025,1,1)," ",SUMIFS('2025数据'!$AP$3:$AP$181,'2025数据'!$H$3:$H$181,"&gt;="&amp;DATE(2025,1,1),'2025数据'!$H$3:$H$181,"&lt;="&amp;DATE(2025,1,31),'2025数据'!$AE$3:$AE$181,$E559)/10000)</f>
        <v>0</v>
      </c>
      <c r="G559" s="51">
        <f ca="1">IF($S$1&lt;DATE(2025,2,1)," ",SUMIFS('2025数据'!$AP$3:$AP$181,'2025数据'!$H$3:$H$181,"&gt;="&amp;DATE(2025,2,1),'2025数据'!$H$3:$H$181,"&lt;="&amp;DATE(2025,2,28),'2025数据'!$AE$3:$AE$181,$E559)/10000)</f>
        <v>0</v>
      </c>
      <c r="H559" s="51">
        <f ca="1">IF($S$1&lt;DATE(2025,3,1)," ",SUMIFS('2025数据'!$AP$3:$AP$181,'2025数据'!$H$3:$H$181,"&gt;="&amp;DATE(2025,3,1),'2025数据'!$H$3:$H$181,"&lt;="&amp;DATE(2025,3,31),'2025数据'!$AE$3:$AE$181,$E559)/10000)</f>
        <v>0</v>
      </c>
      <c r="I559" s="51">
        <f ca="1">IF($S$1&lt;DATE(2025,4,1)," ",SUMIFS('2025数据'!$AP$3:$AP$181,'2025数据'!$H$3:$H$181,"&gt;="&amp;DATE(2025,4,1),'2025数据'!$H$3:$H$181,"&lt;="&amp;DATE(2025,4,30),'2025数据'!$AE$3:$AE$181,$E559)/10000)</f>
        <v>0</v>
      </c>
      <c r="J559" s="51">
        <f ca="1">IF($S$1&lt;DATE(2025,5,1)," ",SUMIFS('2025数据'!$AP$3:$AP$181,'2025数据'!$H$3:$H$181,"&gt;="&amp;DATE(2025,5,1),'2025数据'!$H$3:$H$181,"&lt;="&amp;DATE(2025,5,31),'2025数据'!$AE$3:$AE$181,$E559)/10000)</f>
        <v>0</v>
      </c>
      <c r="K559" s="51">
        <f ca="1">IF($S$1&lt;DATE(2025,6,1)," ",SUMIFS('2025数据'!$AP$3:$AP$181,'2025数据'!$H$3:$H$181,"&gt;="&amp;DATE(2025,6,1),'2025数据'!$H$3:$H$181,"&lt;="&amp;DATE(2025,6,30),'2025数据'!$AE$3:$AE$181,$E559)/10000)</f>
        <v>0</v>
      </c>
      <c r="L559" s="51">
        <f ca="1">IF($S$1&lt;DATE(2025,7,1)," ",SUMIFS('2025数据'!$AP$3:$AP$181,'2025数据'!$H$3:$H$181,"&gt;="&amp;DATE(2025,7,1),'2025数据'!$H$3:$H$181,"&lt;="&amp;DATE(2025,7,31),'2025数据'!$AE$3:$AE$181,$E559)/10000)</f>
        <v>0</v>
      </c>
      <c r="M559" s="51">
        <f ca="1">IF($S$1&lt;DATE(2025,8,1)," ",SUMIFS('2025数据'!$AP$3:$AP$181,'2025数据'!$H$3:$H$181,"&gt;="&amp;DATE(2025,8,1),'2025数据'!$H$3:$H$181,"&lt;="&amp;DATE(2025,8,31),'2025数据'!$AE$3:$AE$181,$E559)/10000)</f>
        <v>0</v>
      </c>
      <c r="N559" s="51">
        <f ca="1">IF($S$1&lt;DATE(2025,9,1)," ",SUMIFS('2025数据'!$AP$3:$AP$181,'2025数据'!$H$3:$H$181,"&gt;="&amp;DATE(2025,9,1),'2025数据'!$H$3:$H$181,"&lt;="&amp;DATE(2025,9,30),'2025数据'!$AE$3:$AE$181,$E559)/10000)</f>
        <v>0</v>
      </c>
      <c r="O559" s="51">
        <f ca="1">IF($S$1&lt;DATE(2025,10,1)," ",SUMIFS('2025数据'!$AP$3:$AP$181,'2025数据'!$H$3:$H$181,"&gt;="&amp;DATE(2025,10,1),'2025数据'!$H$3:$H$181,"&lt;="&amp;DATE(2025,10,31),'2025数据'!$AE$3:$AE$181,$E559)/10000)</f>
        <v>0</v>
      </c>
      <c r="P559" s="217">
        <f ca="1">IF($S$1&lt;DATE(2025,11,1)," ",SUMIFS('2025数据'!$AP$3:$AP$181,'2025数据'!$H$3:$H$181,"&gt;="&amp;DATE(2025,11,1),'2025数据'!$H$3:$H$181,"&lt;="&amp;DATE(2025,11,30),'2025数据'!$AE$3:$AE$181,$E559)/10000)</f>
        <v>0</v>
      </c>
      <c r="Q559" s="217">
        <f ca="1">IF($S$1&lt;DATE(2025,12,1)," ",SUMIFS('2025数据'!$AP$3:$AP$181,'2025数据'!$H$3:$H$181,"&gt;="&amp;DATE(2025,12,1),'2025数据'!$H$3:$H$181,"&lt;="&amp;DATE(2025,12,31),'2025数据'!$AE$3:$AE$181,$E559)/10000)</f>
        <v>0</v>
      </c>
    </row>
    <row r="560" ht="24" customHeight="1" spans="1:17">
      <c r="A560" s="99" t="s">
        <v>345</v>
      </c>
      <c r="B560" s="99" t="s">
        <v>299</v>
      </c>
      <c r="C560" s="99" t="s">
        <v>336</v>
      </c>
      <c r="D560" s="48" t="s">
        <v>31</v>
      </c>
      <c r="E560" s="48" t="s">
        <v>83</v>
      </c>
      <c r="F560" s="51">
        <f ca="1">IF($S$1&lt;DATE(2025,1,1)," ",SUMIFS('2025数据'!$AP$3:$AP$181,'2025数据'!$H$3:$H$181,"&gt;="&amp;DATE(2025,1,1),'2025数据'!$H$3:$H$181,"&lt;="&amp;DATE(2025,1,31),'2025数据'!$AE$3:$AE$181,$E560)/10000)</f>
        <v>0</v>
      </c>
      <c r="G560" s="51">
        <f ca="1">IF($S$1&lt;DATE(2025,2,1)," ",SUMIFS('2025数据'!$AP$3:$AP$181,'2025数据'!$H$3:$H$181,"&gt;="&amp;DATE(2025,2,1),'2025数据'!$H$3:$H$181,"&lt;="&amp;DATE(2025,2,28),'2025数据'!$AE$3:$AE$181,$E560)/10000)</f>
        <v>0</v>
      </c>
      <c r="H560" s="51">
        <f ca="1">IF($S$1&lt;DATE(2025,3,1)," ",SUMIFS('2025数据'!$AP$3:$AP$181,'2025数据'!$H$3:$H$181,"&gt;="&amp;DATE(2025,3,1),'2025数据'!$H$3:$H$181,"&lt;="&amp;DATE(2025,3,31),'2025数据'!$AE$3:$AE$181,$E560)/10000)</f>
        <v>0</v>
      </c>
      <c r="I560" s="51">
        <f ca="1">IF($S$1&lt;DATE(2025,4,1)," ",SUMIFS('2025数据'!$AP$3:$AP$181,'2025数据'!$H$3:$H$181,"&gt;="&amp;DATE(2025,4,1),'2025数据'!$H$3:$H$181,"&lt;="&amp;DATE(2025,4,30),'2025数据'!$AE$3:$AE$181,$E560)/10000)</f>
        <v>0</v>
      </c>
      <c r="J560" s="51">
        <f ca="1">IF($S$1&lt;DATE(2025,5,1)," ",SUMIFS('2025数据'!$AP$3:$AP$181,'2025数据'!$H$3:$H$181,"&gt;="&amp;DATE(2025,5,1),'2025数据'!$H$3:$H$181,"&lt;="&amp;DATE(2025,5,31),'2025数据'!$AE$3:$AE$181,$E560)/10000)</f>
        <v>0</v>
      </c>
      <c r="K560" s="51">
        <f ca="1">IF($S$1&lt;DATE(2025,6,1)," ",SUMIFS('2025数据'!$AP$3:$AP$181,'2025数据'!$H$3:$H$181,"&gt;="&amp;DATE(2025,6,1),'2025数据'!$H$3:$H$181,"&lt;="&amp;DATE(2025,6,30),'2025数据'!$AE$3:$AE$181,$E560)/10000)</f>
        <v>0</v>
      </c>
      <c r="L560" s="51">
        <f ca="1">IF($S$1&lt;DATE(2025,7,1)," ",SUMIFS('2025数据'!$AP$3:$AP$181,'2025数据'!$H$3:$H$181,"&gt;="&amp;DATE(2025,7,1),'2025数据'!$H$3:$H$181,"&lt;="&amp;DATE(2025,7,31),'2025数据'!$AE$3:$AE$181,$E560)/10000)</f>
        <v>0</v>
      </c>
      <c r="M560" s="51">
        <f ca="1">IF($S$1&lt;DATE(2025,8,1)," ",SUMIFS('2025数据'!$AP$3:$AP$181,'2025数据'!$H$3:$H$181,"&gt;="&amp;DATE(2025,8,1),'2025数据'!$H$3:$H$181,"&lt;="&amp;DATE(2025,8,31),'2025数据'!$AE$3:$AE$181,$E560)/10000)</f>
        <v>0</v>
      </c>
      <c r="N560" s="51">
        <f ca="1">IF($S$1&lt;DATE(2025,9,1)," ",SUMIFS('2025数据'!$AP$3:$AP$181,'2025数据'!$H$3:$H$181,"&gt;="&amp;DATE(2025,9,1),'2025数据'!$H$3:$H$181,"&lt;="&amp;DATE(2025,9,30),'2025数据'!$AE$3:$AE$181,$E560)/10000)</f>
        <v>0</v>
      </c>
      <c r="O560" s="51">
        <f ca="1">IF($S$1&lt;DATE(2025,10,1)," ",SUMIFS('2025数据'!$AP$3:$AP$181,'2025数据'!$H$3:$H$181,"&gt;="&amp;DATE(2025,10,1),'2025数据'!$H$3:$H$181,"&lt;="&amp;DATE(2025,10,31),'2025数据'!$AE$3:$AE$181,$E560)/10000)</f>
        <v>0</v>
      </c>
      <c r="P560" s="217">
        <f ca="1">IF($S$1&lt;DATE(2025,11,1)," ",SUMIFS('2025数据'!$AP$3:$AP$181,'2025数据'!$H$3:$H$181,"&gt;="&amp;DATE(2025,11,1),'2025数据'!$H$3:$H$181,"&lt;="&amp;DATE(2025,11,30),'2025数据'!$AE$3:$AE$181,$E560)/10000)</f>
        <v>0</v>
      </c>
      <c r="Q560" s="217">
        <f ca="1">IF($S$1&lt;DATE(2025,12,1)," ",SUMIFS('2025数据'!$AP$3:$AP$181,'2025数据'!$H$3:$H$181,"&gt;="&amp;DATE(2025,12,1),'2025数据'!$H$3:$H$181,"&lt;="&amp;DATE(2025,12,31),'2025数据'!$AE$3:$AE$181,$E560)/10000)</f>
        <v>0</v>
      </c>
    </row>
    <row r="561" ht="24" customHeight="1" spans="1:17">
      <c r="A561" s="99" t="s">
        <v>345</v>
      </c>
      <c r="B561" s="99" t="s">
        <v>299</v>
      </c>
      <c r="C561" s="99" t="s">
        <v>336</v>
      </c>
      <c r="D561" s="47" t="s">
        <v>294</v>
      </c>
      <c r="E561" s="47" t="s">
        <v>93</v>
      </c>
      <c r="F561" s="51">
        <f ca="1">IF($S$1&lt;DATE(2025,1,1)," ",SUMIFS('2025数据'!$AP$3:$AP$181,'2025数据'!$H$3:$H$181,"&gt;="&amp;DATE(2025,1,1),'2025数据'!$H$3:$H$181,"&lt;="&amp;DATE(2025,1,31),'2025数据'!$B$3:$B$181,$E561)/10000)</f>
        <v>0</v>
      </c>
      <c r="G561" s="51">
        <f ca="1">IF($S$1&lt;DATE(2025,2,1)," ",SUMIFS('2025数据'!$AP$3:$AP$181,'2025数据'!$H$3:$H$181,"&gt;="&amp;DATE(2025,2,1),'2025数据'!$H$3:$H$181,"&lt;="&amp;DATE(2025,2,28),'2025数据'!$B$3:$B$181,$E561)/10000)</f>
        <v>1.716569</v>
      </c>
      <c r="H561" s="51">
        <f ca="1">IF($S$1&lt;DATE(2025,3,1)," ",SUMIFS('2025数据'!$AP$3:$AP$181,'2025数据'!$H$3:$H$181,"&gt;="&amp;DATE(2025,3,1),'2025数据'!$H$3:$H$181,"&lt;="&amp;DATE(2025,3,31),'2025数据'!$B$3:$B$181,$E561)/10000)</f>
        <v>0</v>
      </c>
      <c r="I561" s="51">
        <f ca="1">IF($S$1&lt;DATE(2025,4,1)," ",SUMIFS('2025数据'!$AP$3:$AP$181,'2025数据'!$H$3:$H$181,"&gt;="&amp;DATE(2025,4,1),'2025数据'!$H$3:$H$181,"&lt;="&amp;DATE(2025,4,30),'2025数据'!$B$3:$B$181,$E561)/10000)</f>
        <v>0</v>
      </c>
      <c r="J561" s="51">
        <f ca="1">IF($S$1&lt;DATE(2025,5,1)," ",SUMIFS('2025数据'!$AP$3:$AP$181,'2025数据'!$H$3:$H$181,"&gt;="&amp;DATE(2025,5,1),'2025数据'!$H$3:$H$181,"&lt;="&amp;DATE(2025,5,31),'2025数据'!$B$3:$B$181,$E561)/10000)</f>
        <v>0</v>
      </c>
      <c r="K561" s="51">
        <f ca="1">IF($S$1&lt;DATE(2025,6,1)," ",SUMIFS('2025数据'!$AP$3:$AP$181,'2025数据'!$H$3:$H$181,"&gt;="&amp;DATE(2025,6,1),'2025数据'!$H$3:$H$181,"&lt;="&amp;DATE(2025,6,30),'2025数据'!$B$3:$B$181,$E561)/10000)</f>
        <v>0</v>
      </c>
      <c r="L561" s="51">
        <f ca="1">IF($S$1&lt;DATE(2025,7,1)," ",SUMIFS('2025数据'!$AP$3:$AP$181,'2025数据'!$H$3:$H$181,"&gt;="&amp;DATE(2025,7,1),'2025数据'!$H$3:$H$181,"&lt;="&amp;DATE(2025,7,31),'2025数据'!$B$3:$B$181,$E561)/10000)</f>
        <v>0</v>
      </c>
      <c r="M561" s="51">
        <f ca="1">IF($S$1&lt;DATE(2025,8,1)," ",SUMIFS('2025数据'!$AP$3:$AP$181,'2025数据'!$H$3:$H$181,"&gt;="&amp;DATE(2025,8,1),'2025数据'!$H$3:$H$181,"&lt;="&amp;DATE(2025,8,31),'2025数据'!$B$3:$B$181,$E561)/10000)</f>
        <v>0</v>
      </c>
      <c r="N561" s="51">
        <f ca="1">IF($S$1&lt;DATE(2025,9,1)," ",SUMIFS('2025数据'!$AP$3:$AP$181,'2025数据'!$H$3:$H$181,"&gt;="&amp;DATE(2025,9,1),'2025数据'!$H$3:$H$181,"&lt;="&amp;DATE(2025,9,30),'2025数据'!$B$3:$B$181,$E561)/10000)</f>
        <v>0.139082</v>
      </c>
      <c r="O561" s="51">
        <f ca="1">IF($S$1&lt;DATE(2025,10,1)," ",SUMIFS('2025数据'!$AP$3:$AP$181,'2025数据'!$H$3:$H$181,"&gt;="&amp;DATE(2025,10,1),'2025数据'!$H$3:$H$181,"&lt;="&amp;DATE(2025,10,31),'2025数据'!$B$3:$B$181,$E561)/10000)</f>
        <v>0.222023</v>
      </c>
      <c r="P561" s="217">
        <f ca="1">IF($S$1&lt;DATE(2025,11,1)," ",SUMIFS('2025数据'!$AP$3:$AP$181,'2025数据'!$H$3:$H$181,"&gt;="&amp;DATE(2025,11,1),'2025数据'!$H$3:$H$181,"&lt;="&amp;DATE(2025,11,30),'2025数据'!$B$3:$B$181,$E561)/10000)</f>
        <v>0</v>
      </c>
      <c r="Q561" s="217">
        <f ca="1">IF($S$1&lt;DATE(2025,12,1)," ",SUMIFS('2025数据'!$AP$3:$AP$181,'2025数据'!$H$3:$H$181,"&gt;="&amp;DATE(2025,12,1),'2025数据'!$H$3:$H$181,"&lt;="&amp;DATE(2025,12,31),'2025数据'!$B$3:$B$181,$E561)/10000)</f>
        <v>0</v>
      </c>
    </row>
    <row r="562" ht="24" customHeight="1" spans="1:17">
      <c r="A562" s="99" t="s">
        <v>345</v>
      </c>
      <c r="B562" s="99" t="s">
        <v>299</v>
      </c>
      <c r="C562" s="99" t="s">
        <v>336</v>
      </c>
      <c r="D562" s="47" t="s">
        <v>294</v>
      </c>
      <c r="E562" s="47" t="s">
        <v>85</v>
      </c>
      <c r="F562" s="51">
        <f ca="1">IF($S$1&lt;DATE(2025,1,1)," ",SUMIFS('2025数据'!$AP$3:$AP$181,'2025数据'!$H$3:$H$181,"&gt;="&amp;DATE(2025,1,1),'2025数据'!$H$3:$H$181,"&lt;="&amp;DATE(2025,1,31),'2025数据'!$B$3:$B$181,$E562)/10000)</f>
        <v>0</v>
      </c>
      <c r="G562" s="51">
        <f ca="1">IF($S$1&lt;DATE(2025,2,1)," ",SUMIFS('2025数据'!$AP$3:$AP$181,'2025数据'!$H$3:$H$181,"&gt;="&amp;DATE(2025,2,1),'2025数据'!$H$3:$H$181,"&lt;="&amp;DATE(2025,2,28),'2025数据'!$B$3:$B$181,$E562)/10000)</f>
        <v>0</v>
      </c>
      <c r="H562" s="51">
        <f ca="1">IF($S$1&lt;DATE(2025,3,1)," ",SUMIFS('2025数据'!$AP$3:$AP$181,'2025数据'!$H$3:$H$181,"&gt;="&amp;DATE(2025,3,1),'2025数据'!$H$3:$H$181,"&lt;="&amp;DATE(2025,3,31),'2025数据'!$B$3:$B$181,$E562)/10000)</f>
        <v>0</v>
      </c>
      <c r="I562" s="51">
        <f ca="1">IF($S$1&lt;DATE(2025,4,1)," ",SUMIFS('2025数据'!$AP$3:$AP$181,'2025数据'!$H$3:$H$181,"&gt;="&amp;DATE(2025,4,1),'2025数据'!$H$3:$H$181,"&lt;="&amp;DATE(2025,4,30),'2025数据'!$B$3:$B$181,$E562)/10000)</f>
        <v>0</v>
      </c>
      <c r="J562" s="51">
        <f ca="1">IF($S$1&lt;DATE(2025,5,1)," ",SUMIFS('2025数据'!$AP$3:$AP$181,'2025数据'!$H$3:$H$181,"&gt;="&amp;DATE(2025,5,1),'2025数据'!$H$3:$H$181,"&lt;="&amp;DATE(2025,5,31),'2025数据'!$B$3:$B$181,$E562)/10000)</f>
        <v>0</v>
      </c>
      <c r="K562" s="51">
        <f ca="1">IF($S$1&lt;DATE(2025,6,1)," ",SUMIFS('2025数据'!$AP$3:$AP$181,'2025数据'!$H$3:$H$181,"&gt;="&amp;DATE(2025,6,1),'2025数据'!$H$3:$H$181,"&lt;="&amp;DATE(2025,6,30),'2025数据'!$B$3:$B$181,$E562)/10000)</f>
        <v>0</v>
      </c>
      <c r="L562" s="51">
        <f ca="1">IF($S$1&lt;DATE(2025,7,1)," ",SUMIFS('2025数据'!$AP$3:$AP$181,'2025数据'!$H$3:$H$181,"&gt;="&amp;DATE(2025,7,1),'2025数据'!$H$3:$H$181,"&lt;="&amp;DATE(2025,7,31),'2025数据'!$B$3:$B$181,$E562)/10000)</f>
        <v>0</v>
      </c>
      <c r="M562" s="51">
        <f ca="1">IF($S$1&lt;DATE(2025,8,1)," ",SUMIFS('2025数据'!$AP$3:$AP$181,'2025数据'!$H$3:$H$181,"&gt;="&amp;DATE(2025,8,1),'2025数据'!$H$3:$H$181,"&lt;="&amp;DATE(2025,8,31),'2025数据'!$B$3:$B$181,$E562)/10000)</f>
        <v>0</v>
      </c>
      <c r="N562" s="51">
        <f ca="1">IF($S$1&lt;DATE(2025,9,1)," ",SUMIFS('2025数据'!$AP$3:$AP$181,'2025数据'!$H$3:$H$181,"&gt;="&amp;DATE(2025,9,1),'2025数据'!$H$3:$H$181,"&lt;="&amp;DATE(2025,9,30),'2025数据'!$B$3:$B$181,$E562)/10000)</f>
        <v>0</v>
      </c>
      <c r="O562" s="51">
        <f ca="1">IF($S$1&lt;DATE(2025,10,1)," ",SUMIFS('2025数据'!$AP$3:$AP$181,'2025数据'!$H$3:$H$181,"&gt;="&amp;DATE(2025,10,1),'2025数据'!$H$3:$H$181,"&lt;="&amp;DATE(2025,10,31),'2025数据'!$B$3:$B$181,$E562)/10000)</f>
        <v>1.96603</v>
      </c>
      <c r="P562" s="217">
        <f ca="1">IF($S$1&lt;DATE(2025,11,1)," ",SUMIFS('2025数据'!$AP$3:$AP$181,'2025数据'!$H$3:$H$181,"&gt;="&amp;DATE(2025,11,1),'2025数据'!$H$3:$H$181,"&lt;="&amp;DATE(2025,11,30),'2025数据'!$B$3:$B$181,$E562)/10000)</f>
        <v>0</v>
      </c>
      <c r="Q562" s="217">
        <f ca="1">IF($S$1&lt;DATE(2025,12,1)," ",SUMIFS('2025数据'!$AP$3:$AP$181,'2025数据'!$H$3:$H$181,"&gt;="&amp;DATE(2025,12,1),'2025数据'!$H$3:$H$181,"&lt;="&amp;DATE(2025,12,31),'2025数据'!$B$3:$B$181,$E562)/10000)</f>
        <v>0</v>
      </c>
    </row>
    <row r="563" ht="24" customHeight="1" spans="1:17">
      <c r="A563" s="99" t="s">
        <v>345</v>
      </c>
      <c r="B563" s="99" t="s">
        <v>299</v>
      </c>
      <c r="C563" s="99" t="s">
        <v>336</v>
      </c>
      <c r="D563" s="47" t="s">
        <v>294</v>
      </c>
      <c r="E563" s="47" t="s">
        <v>81</v>
      </c>
      <c r="F563" s="51">
        <f ca="1">IF($S$1&lt;DATE(2025,1,1)," ",SUMIFS('2025数据'!$AP$3:$AP$181,'2025数据'!$H$3:$H$181,"&gt;="&amp;DATE(2025,1,1),'2025数据'!$H$3:$H$181,"&lt;="&amp;DATE(2025,1,31),'2025数据'!$B$3:$B$181,$E563)/10000)</f>
        <v>0</v>
      </c>
      <c r="G563" s="51">
        <f ca="1">IF($S$1&lt;DATE(2025,2,1)," ",SUMIFS('2025数据'!$AP$3:$AP$181,'2025数据'!$H$3:$H$181,"&gt;="&amp;DATE(2025,2,1),'2025数据'!$H$3:$H$181,"&lt;="&amp;DATE(2025,2,28),'2025数据'!$B$3:$B$181,$E563)/10000)</f>
        <v>0</v>
      </c>
      <c r="H563" s="51">
        <f ca="1">IF($S$1&lt;DATE(2025,3,1)," ",SUMIFS('2025数据'!$AP$3:$AP$181,'2025数据'!$H$3:$H$181,"&gt;="&amp;DATE(2025,3,1),'2025数据'!$H$3:$H$181,"&lt;="&amp;DATE(2025,3,31),'2025数据'!$B$3:$B$181,$E563)/10000)</f>
        <v>0</v>
      </c>
      <c r="I563" s="51">
        <f ca="1">IF($S$1&lt;DATE(2025,4,1)," ",SUMIFS('2025数据'!$AP$3:$AP$181,'2025数据'!$H$3:$H$181,"&gt;="&amp;DATE(2025,4,1),'2025数据'!$H$3:$H$181,"&lt;="&amp;DATE(2025,4,30),'2025数据'!$B$3:$B$181,$E563)/10000)</f>
        <v>0</v>
      </c>
      <c r="J563" s="51">
        <f ca="1">IF($S$1&lt;DATE(2025,5,1)," ",SUMIFS('2025数据'!$AP$3:$AP$181,'2025数据'!$H$3:$H$181,"&gt;="&amp;DATE(2025,5,1),'2025数据'!$H$3:$H$181,"&lt;="&amp;DATE(2025,5,31),'2025数据'!$B$3:$B$181,$E563)/10000)</f>
        <v>0</v>
      </c>
      <c r="K563" s="51">
        <f ca="1">IF($S$1&lt;DATE(2025,6,1)," ",SUMIFS('2025数据'!$AP$3:$AP$181,'2025数据'!$H$3:$H$181,"&gt;="&amp;DATE(2025,6,1),'2025数据'!$H$3:$H$181,"&lt;="&amp;DATE(2025,6,30),'2025数据'!$B$3:$B$181,$E563)/10000)</f>
        <v>0</v>
      </c>
      <c r="L563" s="51">
        <f ca="1">IF($S$1&lt;DATE(2025,7,1)," ",SUMIFS('2025数据'!$AP$3:$AP$181,'2025数据'!$H$3:$H$181,"&gt;="&amp;DATE(2025,7,1),'2025数据'!$H$3:$H$181,"&lt;="&amp;DATE(2025,7,31),'2025数据'!$B$3:$B$181,$E563)/10000)</f>
        <v>0</v>
      </c>
      <c r="M563" s="51">
        <f ca="1">IF($S$1&lt;DATE(2025,8,1)," ",SUMIFS('2025数据'!$AP$3:$AP$181,'2025数据'!$H$3:$H$181,"&gt;="&amp;DATE(2025,8,1),'2025数据'!$H$3:$H$181,"&lt;="&amp;DATE(2025,8,31),'2025数据'!$B$3:$B$181,$E563)/10000)</f>
        <v>0</v>
      </c>
      <c r="N563" s="51">
        <f ca="1">IF($S$1&lt;DATE(2025,9,1)," ",SUMIFS('2025数据'!$AP$3:$AP$181,'2025数据'!$H$3:$H$181,"&gt;="&amp;DATE(2025,9,1),'2025数据'!$H$3:$H$181,"&lt;="&amp;DATE(2025,9,30),'2025数据'!$B$3:$B$181,$E563)/10000)</f>
        <v>0</v>
      </c>
      <c r="O563" s="51">
        <f ca="1">IF($S$1&lt;DATE(2025,10,1)," ",SUMIFS('2025数据'!$AP$3:$AP$181,'2025数据'!$H$3:$H$181,"&gt;="&amp;DATE(2025,10,1),'2025数据'!$H$3:$H$181,"&lt;="&amp;DATE(2025,10,31),'2025数据'!$B$3:$B$181,$E563)/10000)</f>
        <v>0</v>
      </c>
      <c r="P563" s="217">
        <f ca="1">IF($S$1&lt;DATE(2025,11,1)," ",SUMIFS('2025数据'!$AP$3:$AP$181,'2025数据'!$H$3:$H$181,"&gt;="&amp;DATE(2025,11,1),'2025数据'!$H$3:$H$181,"&lt;="&amp;DATE(2025,11,30),'2025数据'!$B$3:$B$181,$E563)/10000)</f>
        <v>0</v>
      </c>
      <c r="Q563" s="217">
        <f ca="1">IF($S$1&lt;DATE(2025,12,1)," ",SUMIFS('2025数据'!$AP$3:$AP$181,'2025数据'!$H$3:$H$181,"&gt;="&amp;DATE(2025,12,1),'2025数据'!$H$3:$H$181,"&lt;="&amp;DATE(2025,12,31),'2025数据'!$B$3:$B$181,$E563)/10000)</f>
        <v>0</v>
      </c>
    </row>
    <row r="564" ht="24" customHeight="1" spans="1:17">
      <c r="A564" s="99" t="s">
        <v>345</v>
      </c>
      <c r="B564" s="99" t="s">
        <v>299</v>
      </c>
      <c r="C564" s="99" t="s">
        <v>336</v>
      </c>
      <c r="D564" s="47" t="s">
        <v>294</v>
      </c>
      <c r="E564" s="47" t="s">
        <v>96</v>
      </c>
      <c r="F564" s="51">
        <f ca="1">IF($S$1&lt;DATE(2025,1,1)," ",SUMIFS('2025数据'!$AP$3:$AP$181,'2025数据'!$H$3:$H$181,"&gt;="&amp;DATE(2025,1,1),'2025数据'!$H$3:$H$181,"&lt;="&amp;DATE(2025,1,31),'2025数据'!$B$3:$B$181,$E564)/10000)</f>
        <v>0</v>
      </c>
      <c r="G564" s="51">
        <f ca="1">IF($S$1&lt;DATE(2025,2,1)," ",SUMIFS('2025数据'!$AP$3:$AP$181,'2025数据'!$H$3:$H$181,"&gt;="&amp;DATE(2025,2,1),'2025数据'!$H$3:$H$181,"&lt;="&amp;DATE(2025,2,28),'2025数据'!$B$3:$B$181,$E564)/10000)</f>
        <v>0</v>
      </c>
      <c r="H564" s="51">
        <f ca="1">IF($S$1&lt;DATE(2025,3,1)," ",SUMIFS('2025数据'!$AP$3:$AP$181,'2025数据'!$H$3:$H$181,"&gt;="&amp;DATE(2025,3,1),'2025数据'!$H$3:$H$181,"&lt;="&amp;DATE(2025,3,31),'2025数据'!$B$3:$B$181,$E564)/10000)</f>
        <v>0</v>
      </c>
      <c r="I564" s="51">
        <f ca="1">IF($S$1&lt;DATE(2025,4,1)," ",SUMIFS('2025数据'!$AP$3:$AP$181,'2025数据'!$H$3:$H$181,"&gt;="&amp;DATE(2025,4,1),'2025数据'!$H$3:$H$181,"&lt;="&amp;DATE(2025,4,30),'2025数据'!$B$3:$B$181,$E564)/10000)</f>
        <v>0</v>
      </c>
      <c r="J564" s="51">
        <f ca="1">IF($S$1&lt;DATE(2025,5,1)," ",SUMIFS('2025数据'!$AP$3:$AP$181,'2025数据'!$H$3:$H$181,"&gt;="&amp;DATE(2025,5,1),'2025数据'!$H$3:$H$181,"&lt;="&amp;DATE(2025,5,31),'2025数据'!$B$3:$B$181,$E564)/10000)</f>
        <v>0</v>
      </c>
      <c r="K564" s="51">
        <f ca="1">IF($S$1&lt;DATE(2025,6,1)," ",SUMIFS('2025数据'!$AP$3:$AP$181,'2025数据'!$H$3:$H$181,"&gt;="&amp;DATE(2025,6,1),'2025数据'!$H$3:$H$181,"&lt;="&amp;DATE(2025,6,30),'2025数据'!$B$3:$B$181,$E564)/10000)</f>
        <v>0</v>
      </c>
      <c r="L564" s="51">
        <f ca="1">IF($S$1&lt;DATE(2025,7,1)," ",SUMIFS('2025数据'!$AP$3:$AP$181,'2025数据'!$H$3:$H$181,"&gt;="&amp;DATE(2025,7,1),'2025数据'!$H$3:$H$181,"&lt;="&amp;DATE(2025,7,31),'2025数据'!$B$3:$B$181,$E564)/10000)</f>
        <v>0</v>
      </c>
      <c r="M564" s="51">
        <f ca="1">IF($S$1&lt;DATE(2025,8,1)," ",SUMIFS('2025数据'!$AP$3:$AP$181,'2025数据'!$H$3:$H$181,"&gt;="&amp;DATE(2025,8,1),'2025数据'!$H$3:$H$181,"&lt;="&amp;DATE(2025,8,31),'2025数据'!$B$3:$B$181,$E564)/10000)</f>
        <v>0</v>
      </c>
      <c r="N564" s="51">
        <f ca="1">IF($S$1&lt;DATE(2025,9,1)," ",SUMIFS('2025数据'!$AP$3:$AP$181,'2025数据'!$H$3:$H$181,"&gt;="&amp;DATE(2025,9,1),'2025数据'!$H$3:$H$181,"&lt;="&amp;DATE(2025,9,30),'2025数据'!$B$3:$B$181,$E564)/10000)</f>
        <v>0</v>
      </c>
      <c r="O564" s="51">
        <f ca="1">IF($S$1&lt;DATE(2025,10,1)," ",SUMIFS('2025数据'!$AP$3:$AP$181,'2025数据'!$H$3:$H$181,"&gt;="&amp;DATE(2025,10,1),'2025数据'!$H$3:$H$181,"&lt;="&amp;DATE(2025,10,31),'2025数据'!$B$3:$B$181,$E564)/10000)</f>
        <v>0</v>
      </c>
      <c r="P564" s="217">
        <f ca="1">IF($S$1&lt;DATE(2025,11,1)," ",SUMIFS('2025数据'!$AP$3:$AP$181,'2025数据'!$H$3:$H$181,"&gt;="&amp;DATE(2025,11,1),'2025数据'!$H$3:$H$181,"&lt;="&amp;DATE(2025,11,30),'2025数据'!$B$3:$B$181,$E564)/10000)</f>
        <v>0</v>
      </c>
      <c r="Q564" s="217">
        <f ca="1">IF($S$1&lt;DATE(2025,12,1)," ",SUMIFS('2025数据'!$AP$3:$AP$181,'2025数据'!$H$3:$H$181,"&gt;="&amp;DATE(2025,12,1),'2025数据'!$H$3:$H$181,"&lt;="&amp;DATE(2025,12,31),'2025数据'!$B$3:$B$181,$E564)/10000)</f>
        <v>0</v>
      </c>
    </row>
    <row r="565" ht="24" customHeight="1" spans="1:17">
      <c r="A565" s="99" t="s">
        <v>345</v>
      </c>
      <c r="B565" s="99" t="s">
        <v>299</v>
      </c>
      <c r="C565" s="99" t="s">
        <v>336</v>
      </c>
      <c r="D565" s="47" t="s">
        <v>294</v>
      </c>
      <c r="E565" s="47" t="s">
        <v>160</v>
      </c>
      <c r="F565" s="51">
        <f ca="1">IF($S$1&lt;DATE(2025,1,1)," ",SUMIFS('2025数据'!$AP$3:$AP$181,'2025数据'!$H$3:$H$181,"&gt;="&amp;DATE(2025,1,1),'2025数据'!$H$3:$H$181,"&lt;="&amp;DATE(2025,1,31),'2025数据'!$B$3:$B$181,$E565)/10000)</f>
        <v>0</v>
      </c>
      <c r="G565" s="51">
        <f ca="1">IF($S$1&lt;DATE(2025,2,1)," ",SUMIFS('2025数据'!$AP$3:$AP$181,'2025数据'!$H$3:$H$181,"&gt;="&amp;DATE(2025,2,1),'2025数据'!$H$3:$H$181,"&lt;="&amp;DATE(2025,2,28),'2025数据'!$B$3:$B$181,$E565)/10000)</f>
        <v>0</v>
      </c>
      <c r="H565" s="51">
        <f ca="1">IF($S$1&lt;DATE(2025,3,1)," ",SUMIFS('2025数据'!$AP$3:$AP$181,'2025数据'!$H$3:$H$181,"&gt;="&amp;DATE(2025,3,1),'2025数据'!$H$3:$H$181,"&lt;="&amp;DATE(2025,3,31),'2025数据'!$B$3:$B$181,$E565)/10000)</f>
        <v>0</v>
      </c>
      <c r="I565" s="51">
        <f ca="1">IF($S$1&lt;DATE(2025,4,1)," ",SUMIFS('2025数据'!$AP$3:$AP$181,'2025数据'!$H$3:$H$181,"&gt;="&amp;DATE(2025,4,1),'2025数据'!$H$3:$H$181,"&lt;="&amp;DATE(2025,4,30),'2025数据'!$B$3:$B$181,$E565)/10000)</f>
        <v>0</v>
      </c>
      <c r="J565" s="51">
        <f ca="1">IF($S$1&lt;DATE(2025,5,1)," ",SUMIFS('2025数据'!$AP$3:$AP$181,'2025数据'!$H$3:$H$181,"&gt;="&amp;DATE(2025,5,1),'2025数据'!$H$3:$H$181,"&lt;="&amp;DATE(2025,5,31),'2025数据'!$B$3:$B$181,$E565)/10000)</f>
        <v>0</v>
      </c>
      <c r="K565" s="51">
        <f ca="1">IF($S$1&lt;DATE(2025,6,1)," ",SUMIFS('2025数据'!$AP$3:$AP$181,'2025数据'!$H$3:$H$181,"&gt;="&amp;DATE(2025,6,1),'2025数据'!$H$3:$H$181,"&lt;="&amp;DATE(2025,6,30),'2025数据'!$B$3:$B$181,$E565)/10000)</f>
        <v>0</v>
      </c>
      <c r="L565" s="51">
        <f ca="1">IF($S$1&lt;DATE(2025,7,1)," ",SUMIFS('2025数据'!$AP$3:$AP$181,'2025数据'!$H$3:$H$181,"&gt;="&amp;DATE(2025,7,1),'2025数据'!$H$3:$H$181,"&lt;="&amp;DATE(2025,7,31),'2025数据'!$B$3:$B$181,$E565)/10000)</f>
        <v>0</v>
      </c>
      <c r="M565" s="51">
        <f ca="1">IF($S$1&lt;DATE(2025,8,1)," ",SUMIFS('2025数据'!$AP$3:$AP$181,'2025数据'!$H$3:$H$181,"&gt;="&amp;DATE(2025,8,1),'2025数据'!$H$3:$H$181,"&lt;="&amp;DATE(2025,8,31),'2025数据'!$B$3:$B$181,$E565)/10000)</f>
        <v>0</v>
      </c>
      <c r="N565" s="51">
        <f ca="1">IF($S$1&lt;DATE(2025,9,1)," ",SUMIFS('2025数据'!$AP$3:$AP$181,'2025数据'!$H$3:$H$181,"&gt;="&amp;DATE(2025,9,1),'2025数据'!$H$3:$H$181,"&lt;="&amp;DATE(2025,9,30),'2025数据'!$B$3:$B$181,$E565)/10000)</f>
        <v>0</v>
      </c>
      <c r="O565" s="51">
        <f ca="1">IF($S$1&lt;DATE(2025,10,1)," ",SUMIFS('2025数据'!$AP$3:$AP$181,'2025数据'!$H$3:$H$181,"&gt;="&amp;DATE(2025,10,1),'2025数据'!$H$3:$H$181,"&lt;="&amp;DATE(2025,10,31),'2025数据'!$B$3:$B$181,$E565)/10000)</f>
        <v>0</v>
      </c>
      <c r="P565" s="217">
        <f ca="1">IF($S$1&lt;DATE(2025,11,1)," ",SUMIFS('2025数据'!$AP$3:$AP$181,'2025数据'!$H$3:$H$181,"&gt;="&amp;DATE(2025,11,1),'2025数据'!$H$3:$H$181,"&lt;="&amp;DATE(2025,11,30),'2025数据'!$B$3:$B$181,$E565)/10000)</f>
        <v>0</v>
      </c>
      <c r="Q565" s="217">
        <f ca="1">IF($S$1&lt;DATE(2025,12,1)," ",SUMIFS('2025数据'!$AP$3:$AP$181,'2025数据'!$H$3:$H$181,"&gt;="&amp;DATE(2025,12,1),'2025数据'!$H$3:$H$181,"&lt;="&amp;DATE(2025,12,31),'2025数据'!$B$3:$B$181,$E565)/10000)</f>
        <v>0</v>
      </c>
    </row>
    <row r="566" ht="24" customHeight="1" spans="1:17">
      <c r="A566" s="99" t="s">
        <v>345</v>
      </c>
      <c r="B566" s="99" t="s">
        <v>299</v>
      </c>
      <c r="C566" s="99" t="s">
        <v>333</v>
      </c>
      <c r="D566" s="114" t="s">
        <v>292</v>
      </c>
      <c r="E566" s="53" t="s">
        <v>337</v>
      </c>
      <c r="F566" s="219">
        <f ca="1">IF($S$1&lt;DATE(2025,1,1)," ",SUMIFS('2025数据'!$AT$3:$AT$181,'2025数据'!$H$3:$H$181,"&gt;="&amp;DATE(2025,1,1),'2025数据'!$H$3:$H$181,"&lt;="&amp;DATE(2025,1,31),'2025数据'!$AS$3:$AS$181,$E37)/10000)</f>
        <v>0</v>
      </c>
      <c r="G566" s="219">
        <f ca="1">IF($S$1&lt;DATE(2025,2,1)," ",SUMIFS('2025数据'!$AT$3:$AT$181,'2025数据'!$H$3:$H$181,"&gt;="&amp;DATE(2025,2,1),'2025数据'!$H$3:$H$181,"&lt;="&amp;DATE(2025,2,28),'2025数据'!$AS$3:$AS$181,$E37)/10000)</f>
        <v>0</v>
      </c>
      <c r="H566" s="219">
        <f ca="1">IF($S$1&lt;DATE(2025,3,1)," ",SUMIFS('2025数据'!$AT$3:$AT$181,'2025数据'!$H$3:$H$181,"&gt;="&amp;DATE(2025,3,1),'2025数据'!$H$3:$H$181,"&lt;="&amp;DATE(2025,3,31),'2025数据'!$AS$3:$AS$181,$E37)/10000)</f>
        <v>0</v>
      </c>
      <c r="I566" s="219">
        <f ca="1">IF($S$1&lt;DATE(2025,4,1)," ",SUMIFS('2025数据'!$AT$3:$AT$181,'2025数据'!$H$3:$H$181,"&gt;="&amp;DATE(2025,4,1),'2025数据'!$H$3:$H$181,"&lt;="&amp;DATE(2025,4,30),'2025数据'!$AS$3:$AS$181,$E37)/10000)</f>
        <v>0</v>
      </c>
      <c r="J566" s="219">
        <f ca="1">IF($S$1&lt;DATE(2025,5,1)," ",SUMIFS('2025数据'!$AT$3:$AT$181,'2025数据'!$H$3:$H$181,"&gt;="&amp;DATE(2025,5,1),'2025数据'!$H$3:$H$181,"&lt;="&amp;DATE(2025,5,31),'2025数据'!$AS$3:$AS$181,$E37)/10000)</f>
        <v>0</v>
      </c>
      <c r="K566" s="219">
        <f ca="1">IF($S$1&lt;DATE(2025,6,1)," ",SUMIFS('2025数据'!$AT$3:$AT$181,'2025数据'!$H$3:$H$181,"&gt;="&amp;DATE(2025,6,1),'2025数据'!$H$3:$H$181,"&lt;="&amp;DATE(2025,6,30),'2025数据'!$AS$3:$AS$181,$E37)/10000)</f>
        <v>0</v>
      </c>
      <c r="L566" s="219">
        <f ca="1">IF($S$1&lt;DATE(2025,7,1)," ",SUMIFS('2025数据'!$AT$3:$AT$181,'2025数据'!$H$3:$H$181,"&gt;="&amp;DATE(2025,7,1),'2025数据'!$H$3:$H$181,"&lt;="&amp;DATE(2025,7,31),'2025数据'!$AS$3:$AS$181,$E37)/10000)</f>
        <v>0</v>
      </c>
      <c r="M566" s="219">
        <f ca="1">IF($S$1&lt;DATE(2025,8,1)," ",SUMIFS('2025数据'!$AT$3:$AT$181,'2025数据'!$H$3:$H$181,"&gt;="&amp;DATE(2025,8,1),'2025数据'!$H$3:$H$181,"&lt;="&amp;DATE(2025,8,31),'2025数据'!$AS$3:$AS$181,$E37)/10000)</f>
        <v>0</v>
      </c>
      <c r="N566" s="219">
        <f ca="1">IF($S$1&lt;DATE(2025,9,1)," ",SUMIFS('2025数据'!$AT$3:$AT$181,'2025数据'!$H$3:$H$181,"&gt;="&amp;DATE(2025,9,1),'2025数据'!$H$3:$H$181,"&lt;="&amp;DATE(2025,9,30),'2025数据'!$AS$3:$AS$181,$E37)/10000)</f>
        <v>0</v>
      </c>
      <c r="O566" s="219">
        <f ca="1">IF($S$1&lt;DATE(2025,10,1)," ",SUMIFS('2025数据'!$AT$3:$AT$181,'2025数据'!$H$3:$H$181,"&gt;="&amp;DATE(2025,10,1),'2025数据'!$H$3:$H$181,"&lt;="&amp;DATE(2025,10,31),'2025数据'!$AS$3:$AS$181,$E37)/10000)</f>
        <v>0.0587880000000001</v>
      </c>
      <c r="P566" s="224">
        <f ca="1">IF($S$1&lt;DATE(2025,11,1)," ",SUMIFS('2025数据'!$AT$3:$AT$181,'2025数据'!$H$3:$H$181,"&gt;="&amp;DATE(2025,11,1),'2025数据'!$H$3:$H$181,"&lt;="&amp;DATE(2025,11,30),'2025数据'!$AS$3:$AS$181,$E37)/10000)</f>
        <v>0</v>
      </c>
      <c r="Q566" s="224">
        <f ca="1">IF($S$1&lt;DATE(2025,12,1)," ",SUMIFS('2025数据'!$AT$3:$AT$181,'2025数据'!$H$3:$H$181,"&gt;="&amp;DATE(2025,12,1),'2025数据'!$H$3:$H$181,"&lt;="&amp;DATE(2025,12,31),'2025数据'!$AS$3:$AS$181,$E37)/10000)</f>
        <v>0</v>
      </c>
    </row>
    <row r="567" ht="24" customHeight="1" spans="1:17">
      <c r="A567" s="99" t="s">
        <v>345</v>
      </c>
      <c r="B567" s="99" t="s">
        <v>299</v>
      </c>
      <c r="C567" s="99" t="s">
        <v>333</v>
      </c>
      <c r="D567" s="114" t="s">
        <v>292</v>
      </c>
      <c r="E567" s="53" t="s">
        <v>338</v>
      </c>
      <c r="F567" s="219">
        <f ca="1">IF($S$1&lt;DATE(2025,1,1)," ",SUMIFS('2025数据'!$AT$3:$AT$181,'2025数据'!$H$3:$H$181,"&gt;="&amp;DATE(2025,1,1),'2025数据'!$H$3:$H$181,"&lt;="&amp;DATE(2025,1,31),'2025数据'!$AS$3:$AS$181,$E38)/10000)</f>
        <v>0</v>
      </c>
      <c r="G567" s="219">
        <f ca="1">IF($S$1&lt;DATE(2025,2,1)," ",SUMIFS('2025数据'!$AT$3:$AT$181,'2025数据'!$H$3:$H$181,"&gt;="&amp;DATE(2025,2,1),'2025数据'!$H$3:$H$181,"&lt;="&amp;DATE(2025,2,28),'2025数据'!$AS$3:$AS$181,$E38)/10000)</f>
        <v>0.144451</v>
      </c>
      <c r="H567" s="219">
        <f ca="1">IF($S$1&lt;DATE(2025,3,1)," ",SUMIFS('2025数据'!$AT$3:$AT$181,'2025数据'!$H$3:$H$181,"&gt;="&amp;DATE(2025,3,1),'2025数据'!$H$3:$H$181,"&lt;="&amp;DATE(2025,3,31),'2025数据'!$AS$3:$AS$181,$E38)/10000)</f>
        <v>0</v>
      </c>
      <c r="I567" s="219">
        <f ca="1">IF($S$1&lt;DATE(2025,4,1)," ",SUMIFS('2025数据'!$AT$3:$AT$181,'2025数据'!$H$3:$H$181,"&gt;="&amp;DATE(2025,4,1),'2025数据'!$H$3:$H$181,"&lt;="&amp;DATE(2025,4,30),'2025数据'!$AS$3:$AS$181,$E38)/10000)</f>
        <v>0</v>
      </c>
      <c r="J567" s="219">
        <f ca="1">IF($S$1&lt;DATE(2025,5,1)," ",SUMIFS('2025数据'!$AT$3:$AT$181,'2025数据'!$H$3:$H$181,"&gt;="&amp;DATE(2025,5,1),'2025数据'!$H$3:$H$181,"&lt;="&amp;DATE(2025,5,31),'2025数据'!$AS$3:$AS$181,$E38)/10000)</f>
        <v>0</v>
      </c>
      <c r="K567" s="219">
        <f ca="1">IF($S$1&lt;DATE(2025,6,1)," ",SUMIFS('2025数据'!$AT$3:$AT$181,'2025数据'!$H$3:$H$181,"&gt;="&amp;DATE(2025,6,1),'2025数据'!$H$3:$H$181,"&lt;="&amp;DATE(2025,6,30),'2025数据'!$AS$3:$AS$181,$E38)/10000)</f>
        <v>0</v>
      </c>
      <c r="L567" s="219">
        <f ca="1">IF($S$1&lt;DATE(2025,7,1)," ",SUMIFS('2025数据'!$AT$3:$AT$181,'2025数据'!$H$3:$H$181,"&gt;="&amp;DATE(2025,7,1),'2025数据'!$H$3:$H$181,"&lt;="&amp;DATE(2025,7,31),'2025数据'!$AS$3:$AS$181,$E38)/10000)</f>
        <v>0</v>
      </c>
      <c r="M567" s="219">
        <f ca="1">IF($S$1&lt;DATE(2025,8,1)," ",SUMIFS('2025数据'!$AT$3:$AT$181,'2025数据'!$H$3:$H$181,"&gt;="&amp;DATE(2025,8,1),'2025数据'!$H$3:$H$181,"&lt;="&amp;DATE(2025,8,31),'2025数据'!$AS$3:$AS$181,$E38)/10000)</f>
        <v>0</v>
      </c>
      <c r="N567" s="219">
        <f ca="1">IF($S$1&lt;DATE(2025,9,1)," ",SUMIFS('2025数据'!$AT$3:$AT$181,'2025数据'!$H$3:$H$181,"&gt;="&amp;DATE(2025,9,1),'2025数据'!$H$3:$H$181,"&lt;="&amp;DATE(2025,9,30),'2025数据'!$AS$3:$AS$181,$E38)/10000)</f>
        <v>0.017071</v>
      </c>
      <c r="O567" s="219">
        <f ca="1">IF($S$1&lt;DATE(2025,10,1)," ",SUMIFS('2025数据'!$AT$3:$AT$181,'2025数据'!$H$3:$H$181,"&gt;="&amp;DATE(2025,10,1),'2025数据'!$H$3:$H$181,"&lt;="&amp;DATE(2025,10,31),'2025数据'!$AS$3:$AS$181,$E38)/10000)</f>
        <v>0</v>
      </c>
      <c r="P567" s="224">
        <f ca="1">IF($S$1&lt;DATE(2025,11,1)," ",SUMIFS('2025数据'!$AT$3:$AT$181,'2025数据'!$H$3:$H$181,"&gt;="&amp;DATE(2025,11,1),'2025数据'!$H$3:$H$181,"&lt;="&amp;DATE(2025,11,30),'2025数据'!$AS$3:$AS$181,$E38)/10000)</f>
        <v>0</v>
      </c>
      <c r="Q567" s="224">
        <f ca="1">IF($S$1&lt;DATE(2025,12,1)," ",SUMIFS('2025数据'!$AT$3:$AT$181,'2025数据'!$H$3:$H$181,"&gt;="&amp;DATE(2025,12,1),'2025数据'!$H$3:$H$181,"&lt;="&amp;DATE(2025,12,31),'2025数据'!$AS$3:$AS$181,$E38)/10000)</f>
        <v>0</v>
      </c>
    </row>
    <row r="568" ht="24" customHeight="1" spans="1:17">
      <c r="A568" s="99" t="s">
        <v>345</v>
      </c>
      <c r="B568" s="99" t="s">
        <v>299</v>
      </c>
      <c r="C568" s="99" t="s">
        <v>333</v>
      </c>
      <c r="D568" s="114" t="s">
        <v>292</v>
      </c>
      <c r="E568" s="53" t="s">
        <v>339</v>
      </c>
      <c r="F568" s="219">
        <f ca="1">IF($S$1&lt;DATE(2025,1,1)," ",SUMIFS('2025数据'!$AT$3:$AT$181,'2025数据'!$H$3:$H$181,"&gt;="&amp;DATE(2025,1,1),'2025数据'!$H$3:$H$181,"&lt;="&amp;DATE(2025,1,31),'2025数据'!$AS$3:$AS$181,$E39)/10000)</f>
        <v>0</v>
      </c>
      <c r="G568" s="219">
        <f ca="1">IF($S$1&lt;DATE(2025,2,1)," ",SUMIFS('2025数据'!$AT$3:$AT$181,'2025数据'!$H$3:$H$181,"&gt;="&amp;DATE(2025,2,1),'2025数据'!$H$3:$H$181,"&lt;="&amp;DATE(2025,2,28),'2025数据'!$AS$3:$AS$181,$E39)/10000)</f>
        <v>0</v>
      </c>
      <c r="H568" s="219">
        <f ca="1">IF($S$1&lt;DATE(2025,3,1)," ",SUMIFS('2025数据'!$AT$3:$AT$181,'2025数据'!$H$3:$H$181,"&gt;="&amp;DATE(2025,3,1),'2025数据'!$H$3:$H$181,"&lt;="&amp;DATE(2025,3,31),'2025数据'!$AS$3:$AS$181,$E39)/10000)</f>
        <v>0</v>
      </c>
      <c r="I568" s="219">
        <f ca="1">IF($S$1&lt;DATE(2025,4,1)," ",SUMIFS('2025数据'!$AT$3:$AT$181,'2025数据'!$H$3:$H$181,"&gt;="&amp;DATE(2025,4,1),'2025数据'!$H$3:$H$181,"&lt;="&amp;DATE(2025,4,30),'2025数据'!$AS$3:$AS$181,$E39)/10000)</f>
        <v>0</v>
      </c>
      <c r="J568" s="219">
        <f ca="1">IF($S$1&lt;DATE(2025,5,1)," ",SUMIFS('2025数据'!$AT$3:$AT$181,'2025数据'!$H$3:$H$181,"&gt;="&amp;DATE(2025,5,1),'2025数据'!$H$3:$H$181,"&lt;="&amp;DATE(2025,5,31),'2025数据'!$AS$3:$AS$181,$E39)/10000)</f>
        <v>0</v>
      </c>
      <c r="K568" s="219">
        <f ca="1">IF($S$1&lt;DATE(2025,6,1)," ",SUMIFS('2025数据'!$AT$3:$AT$181,'2025数据'!$H$3:$H$181,"&gt;="&amp;DATE(2025,6,1),'2025数据'!$H$3:$H$181,"&lt;="&amp;DATE(2025,6,30),'2025数据'!$AS$3:$AS$181,$E39)/10000)</f>
        <v>0</v>
      </c>
      <c r="L568" s="219">
        <f ca="1">IF($S$1&lt;DATE(2025,7,1)," ",SUMIFS('2025数据'!$AT$3:$AT$181,'2025数据'!$H$3:$H$181,"&gt;="&amp;DATE(2025,7,1),'2025数据'!$H$3:$H$181,"&lt;="&amp;DATE(2025,7,31),'2025数据'!$AS$3:$AS$181,$E39)/10000)</f>
        <v>0</v>
      </c>
      <c r="M568" s="219">
        <f ca="1">IF($S$1&lt;DATE(2025,8,1)," ",SUMIFS('2025数据'!$AT$3:$AT$181,'2025数据'!$H$3:$H$181,"&gt;="&amp;DATE(2025,8,1),'2025数据'!$H$3:$H$181,"&lt;="&amp;DATE(2025,8,31),'2025数据'!$AS$3:$AS$181,$E39)/10000)</f>
        <v>0</v>
      </c>
      <c r="N568" s="219">
        <f ca="1">IF($S$1&lt;DATE(2025,9,1)," ",SUMIFS('2025数据'!$AT$3:$AT$181,'2025数据'!$H$3:$H$181,"&gt;="&amp;DATE(2025,9,1),'2025数据'!$H$3:$H$181,"&lt;="&amp;DATE(2025,9,30),'2025数据'!$AS$3:$AS$181,$E39)/10000)</f>
        <v>0</v>
      </c>
      <c r="O568" s="219">
        <f ca="1">IF($S$1&lt;DATE(2025,10,1)," ",SUMIFS('2025数据'!$AT$3:$AT$181,'2025数据'!$H$3:$H$181,"&gt;="&amp;DATE(2025,10,1),'2025数据'!$H$3:$H$181,"&lt;="&amp;DATE(2025,10,31),'2025数据'!$AS$3:$AS$181,$E39)/10000)</f>
        <v>0</v>
      </c>
      <c r="P568" s="224">
        <f ca="1">IF($S$1&lt;DATE(2025,11,1)," ",SUMIFS('2025数据'!$AT$3:$AT$181,'2025数据'!$H$3:$H$181,"&gt;="&amp;DATE(2025,11,1),'2025数据'!$H$3:$H$181,"&lt;="&amp;DATE(2025,11,30),'2025数据'!$AS$3:$AS$181,$E39)/10000)</f>
        <v>0</v>
      </c>
      <c r="Q568" s="224">
        <f ca="1">IF($S$1&lt;DATE(2025,12,1)," ",SUMIFS('2025数据'!$AT$3:$AT$181,'2025数据'!$H$3:$H$181,"&gt;="&amp;DATE(2025,12,1),'2025数据'!$H$3:$H$181,"&lt;="&amp;DATE(2025,12,31),'2025数据'!$AS$3:$AS$181,$E39)/10000)</f>
        <v>0</v>
      </c>
    </row>
    <row r="569" ht="24" customHeight="1" spans="1:17">
      <c r="A569" s="99" t="s">
        <v>345</v>
      </c>
      <c r="B569" s="99" t="s">
        <v>299</v>
      </c>
      <c r="C569" s="99" t="s">
        <v>333</v>
      </c>
      <c r="D569" s="53" t="s">
        <v>303</v>
      </c>
      <c r="E569" s="53" t="s">
        <v>93</v>
      </c>
      <c r="F569" s="219">
        <f ca="1">IF($S$1&lt;DATE(2025,1,1)," ",SUMIFS('2025数据'!$AT$3:$AT$181,'2025数据'!$H$3:$H$181,"&gt;="&amp;DATE(2025,1,1),'2025数据'!$H$3:$H$181,"&lt;="&amp;DATE(2025,1,31),'2025数据'!$AS$3:$AS$181,$E$37,'2025数据'!$B$3:$B$181,E569)/10000)</f>
        <v>0</v>
      </c>
      <c r="G569" s="219">
        <f ca="1">IF($S$1&lt;DATE(2025,2,1)," ",SUMIFS('2025数据'!$AT$3:$AT$181,'2025数据'!$H$3:$H$181,"&gt;="&amp;DATE(2025,2,1),'2025数据'!$H$3:$H$181,"&lt;="&amp;DATE(2025,2,28),'2025数据'!$AS$3:$AS$181,$E$37,'2025数据'!$B$3:$B$181,E569)/10000)</f>
        <v>0</v>
      </c>
      <c r="H569" s="219">
        <f ca="1">IF($S$1&lt;DATE(2025,3,1)," ",SUMIFS('2025数据'!$AT$3:$AT$181,'2025数据'!$H$3:$H$181,"&gt;="&amp;DATE(2025,3,1),'2025数据'!$H$3:$H$181,"&lt;="&amp;DATE(2025,3,31),'2025数据'!$AS$3:$AS$181,$E$37,'2025数据'!$B$3:$B$181,E569)/10000)</f>
        <v>0</v>
      </c>
      <c r="I569" s="219">
        <f ca="1">IF($S$1&lt;DATE(2025,4,1)," ",SUMIFS('2025数据'!$AT$3:$AT$181,'2025数据'!$H$3:$H$181,"&gt;="&amp;DATE(2025,4,1),'2025数据'!$H$3:$H$181,"&lt;="&amp;DATE(2025,4,30),'2025数据'!$AS$3:$AS$181,$E$37,'2025数据'!$B$3:$B$181,E569)/10000)</f>
        <v>0</v>
      </c>
      <c r="J569" s="219">
        <f ca="1">IF($S$1&lt;DATE(2025,5,1)," ",SUMIFS('2025数据'!$AT$3:$AT$181,'2025数据'!$H$3:$H$181,"&gt;="&amp;DATE(2025,5,1),'2025数据'!$H$3:$H$181,"&lt;="&amp;DATE(2025,5,31),'2025数据'!$AS$3:$AS$181,$E$37,'2025数据'!$B$3:$B$181,E569)/10000)</f>
        <v>0</v>
      </c>
      <c r="K569" s="219">
        <f ca="1">IF($S$1&lt;DATE(2025,6,1)," ",SUMIFS('2025数据'!$AT$3:$AT$181,'2025数据'!$H$3:$H$181,"&gt;="&amp;DATE(2025,6,1),'2025数据'!$H$3:$H$181,"&lt;="&amp;DATE(2025,6,30),'2025数据'!$AS$3:$AS$181,$E$37,'2025数据'!$B$3:$B$181,E569)/10000)</f>
        <v>0</v>
      </c>
      <c r="L569" s="219">
        <f ca="1">IF($S$1&lt;DATE(2025,7,1)," ",SUMIFS('2025数据'!$AT$3:$AT$181,'2025数据'!$H$3:$H$181,"&gt;="&amp;DATE(2025,7,1),'2025数据'!$H$3:$H$181,"&lt;="&amp;DATE(2025,7,31),'2025数据'!$AS$3:$AS$181,$E$37,'2025数据'!$B$3:$B$181,E569)/10000)</f>
        <v>0</v>
      </c>
      <c r="M569" s="219">
        <f ca="1">IF($S$1&lt;DATE(2025,8,1)," ",SUMIFS('2025数据'!$AT$3:$AT$181,'2025数据'!$H$3:$H$181,"&gt;="&amp;DATE(2025,8,1),'2025数据'!$H$3:$H$181,"&lt;="&amp;DATE(2025,8,31),'2025数据'!$AS$3:$AS$181,$E$37,'2025数据'!$B$3:$B$181,E569)/10000)</f>
        <v>0</v>
      </c>
      <c r="N569" s="219">
        <f ca="1">IF($S$1&lt;DATE(2025,9,1)," ",SUMIFS('2025数据'!$AT$3:$AT$181,'2025数据'!$H$3:$H$181,"&gt;="&amp;DATE(2025,9,1),'2025数据'!$H$3:$H$181,"&lt;="&amp;DATE(2025,9,30),'2025数据'!$AS$3:$AS$181,$E$37,'2025数据'!$B$3:$B$181,E569)/10000)</f>
        <v>0</v>
      </c>
      <c r="O569" s="219">
        <f ca="1">IF($S$1&lt;DATE(2025,10,1)," ",SUMIFS('2025数据'!$AT$3:$AT$181,'2025数据'!$H$3:$H$181,"&gt;="&amp;DATE(2025,10,1),'2025数据'!$H$3:$H$181,"&lt;="&amp;DATE(2025,10,31),'2025数据'!$AS$3:$AS$181,$E$37,'2025数据'!$B$3:$B$181,E569)/10000)</f>
        <v>0.00146700000000001</v>
      </c>
      <c r="P569" s="224">
        <f ca="1">IF($S$1&lt;DATE(2025,11,1)," ",SUMIFS('2025数据'!$AT$3:$AT$181,'2025数据'!$H$3:$H$181,"&gt;="&amp;DATE(2025,11,1),'2025数据'!$H$3:$H$181,"&lt;="&amp;DATE(2025,11,30),'2025数据'!$AS$3:$AS$181,$E$37,'2025数据'!$B$3:$B$181,E569)/10000)</f>
        <v>0</v>
      </c>
      <c r="Q569" s="224">
        <f ca="1">IF($S$1&lt;DATE(2025,12,1)," ",SUMIFS('2025数据'!$AT$3:$AT$181,'2025数据'!$H$3:$H$181,"&gt;="&amp;DATE(2025,12,1),'2025数据'!$H$3:$H$181,"&lt;="&amp;DATE(2025,12,31),'2025数据'!$AS$3:$AS$181,$E$37,'2025数据'!$B$3:$B$181,E569)/10000)</f>
        <v>0</v>
      </c>
    </row>
    <row r="570" ht="24" customHeight="1" spans="1:17">
      <c r="A570" s="99" t="s">
        <v>345</v>
      </c>
      <c r="B570" s="99" t="s">
        <v>299</v>
      </c>
      <c r="C570" s="99" t="s">
        <v>333</v>
      </c>
      <c r="D570" s="53" t="s">
        <v>303</v>
      </c>
      <c r="E570" s="53" t="s">
        <v>85</v>
      </c>
      <c r="F570" s="219">
        <f ca="1">IF($S$1&lt;DATE(2025,1,1)," ",SUMIFS('2025数据'!$AT$3:$AT$181,'2025数据'!$H$3:$H$181,"&gt;="&amp;DATE(2025,1,1),'2025数据'!$H$3:$H$181,"&lt;="&amp;DATE(2025,1,31),'2025数据'!$AS$3:$AS$181,$E$37,'2025数据'!$B$3:$B$181,E570)/10000)</f>
        <v>0</v>
      </c>
      <c r="G570" s="219">
        <f ca="1">IF($S$1&lt;DATE(2025,2,1)," ",SUMIFS('2025数据'!$AT$3:$AT$181,'2025数据'!$H$3:$H$181,"&gt;="&amp;DATE(2025,2,1),'2025数据'!$H$3:$H$181,"&lt;="&amp;DATE(2025,2,28),'2025数据'!$AS$3:$AS$181,$E$37,'2025数据'!$B$3:$B$181,E570)/10000)</f>
        <v>0</v>
      </c>
      <c r="H570" s="219">
        <f ca="1">IF($S$1&lt;DATE(2025,3,1)," ",SUMIFS('2025数据'!$AT$3:$AT$181,'2025数据'!$H$3:$H$181,"&gt;="&amp;DATE(2025,3,1),'2025数据'!$H$3:$H$181,"&lt;="&amp;DATE(2025,3,31),'2025数据'!$AS$3:$AS$181,$E$37,'2025数据'!$B$3:$B$181,E570)/10000)</f>
        <v>0</v>
      </c>
      <c r="I570" s="219">
        <f ca="1">IF($S$1&lt;DATE(2025,4,1)," ",SUMIFS('2025数据'!$AT$3:$AT$181,'2025数据'!$H$3:$H$181,"&gt;="&amp;DATE(2025,4,1),'2025数据'!$H$3:$H$181,"&lt;="&amp;DATE(2025,4,30),'2025数据'!$AS$3:$AS$181,$E$37,'2025数据'!$B$3:$B$181,E570)/10000)</f>
        <v>0</v>
      </c>
      <c r="J570" s="219">
        <f ca="1">IF($S$1&lt;DATE(2025,5,1)," ",SUMIFS('2025数据'!$AT$3:$AT$181,'2025数据'!$H$3:$H$181,"&gt;="&amp;DATE(2025,5,1),'2025数据'!$H$3:$H$181,"&lt;="&amp;DATE(2025,5,31),'2025数据'!$AS$3:$AS$181,$E$37,'2025数据'!$B$3:$B$181,E570)/10000)</f>
        <v>0</v>
      </c>
      <c r="K570" s="219">
        <f ca="1">IF($S$1&lt;DATE(2025,6,1)," ",SUMIFS('2025数据'!$AT$3:$AT$181,'2025数据'!$H$3:$H$181,"&gt;="&amp;DATE(2025,6,1),'2025数据'!$H$3:$H$181,"&lt;="&amp;DATE(2025,6,30),'2025数据'!$AS$3:$AS$181,$E$37,'2025数据'!$B$3:$B$181,E570)/10000)</f>
        <v>0</v>
      </c>
      <c r="L570" s="219">
        <f ca="1">IF($S$1&lt;DATE(2025,7,1)," ",SUMIFS('2025数据'!$AT$3:$AT$181,'2025数据'!$H$3:$H$181,"&gt;="&amp;DATE(2025,7,1),'2025数据'!$H$3:$H$181,"&lt;="&amp;DATE(2025,7,31),'2025数据'!$AS$3:$AS$181,$E$37,'2025数据'!$B$3:$B$181,E570)/10000)</f>
        <v>0</v>
      </c>
      <c r="M570" s="219">
        <f ca="1">IF($S$1&lt;DATE(2025,8,1)," ",SUMIFS('2025数据'!$AT$3:$AT$181,'2025数据'!$H$3:$H$181,"&gt;="&amp;DATE(2025,8,1),'2025数据'!$H$3:$H$181,"&lt;="&amp;DATE(2025,8,31),'2025数据'!$AS$3:$AS$181,$E$37,'2025数据'!$B$3:$B$181,E570)/10000)</f>
        <v>0</v>
      </c>
      <c r="N570" s="219">
        <f ca="1">IF($S$1&lt;DATE(2025,9,1)," ",SUMIFS('2025数据'!$AT$3:$AT$181,'2025数据'!$H$3:$H$181,"&gt;="&amp;DATE(2025,9,1),'2025数据'!$H$3:$H$181,"&lt;="&amp;DATE(2025,9,30),'2025数据'!$AS$3:$AS$181,$E$37,'2025数据'!$B$3:$B$181,E570)/10000)</f>
        <v>0</v>
      </c>
      <c r="O570" s="219">
        <f ca="1">IF($S$1&lt;DATE(2025,10,1)," ",SUMIFS('2025数据'!$AT$3:$AT$181,'2025数据'!$H$3:$H$181,"&gt;="&amp;DATE(2025,10,1),'2025数据'!$H$3:$H$181,"&lt;="&amp;DATE(2025,10,31),'2025数据'!$AS$3:$AS$181,$E$37,'2025数据'!$B$3:$B$181,E570)/10000)</f>
        <v>0.0573210000000001</v>
      </c>
      <c r="P570" s="224">
        <f ca="1">IF($S$1&lt;DATE(2025,11,1)," ",SUMIFS('2025数据'!$AT$3:$AT$181,'2025数据'!$H$3:$H$181,"&gt;="&amp;DATE(2025,11,1),'2025数据'!$H$3:$H$181,"&lt;="&amp;DATE(2025,11,30),'2025数据'!$AS$3:$AS$181,$E$37,'2025数据'!$B$3:$B$181,E570)/10000)</f>
        <v>0</v>
      </c>
      <c r="Q570" s="224">
        <f ca="1">IF($S$1&lt;DATE(2025,12,1)," ",SUMIFS('2025数据'!$AT$3:$AT$181,'2025数据'!$H$3:$H$181,"&gt;="&amp;DATE(2025,12,1),'2025数据'!$H$3:$H$181,"&lt;="&amp;DATE(2025,12,31),'2025数据'!$AS$3:$AS$181,$E$37,'2025数据'!$B$3:$B$181,E570)/10000)</f>
        <v>0</v>
      </c>
    </row>
    <row r="571" ht="24" customHeight="1" spans="1:17">
      <c r="A571" s="99" t="s">
        <v>345</v>
      </c>
      <c r="B571" s="99" t="s">
        <v>299</v>
      </c>
      <c r="C571" s="99" t="s">
        <v>333</v>
      </c>
      <c r="D571" s="53" t="s">
        <v>303</v>
      </c>
      <c r="E571" s="53" t="s">
        <v>81</v>
      </c>
      <c r="F571" s="219">
        <f ca="1">IF($S$1&lt;DATE(2025,1,1)," ",SUMIFS('2025数据'!$AT$3:$AT$181,'2025数据'!$H$3:$H$181,"&gt;="&amp;DATE(2025,1,1),'2025数据'!$H$3:$H$181,"&lt;="&amp;DATE(2025,1,31),'2025数据'!$AS$3:$AS$181,$E$37,'2025数据'!$B$3:$B$181,E571)/10000)</f>
        <v>0</v>
      </c>
      <c r="G571" s="219">
        <f ca="1">IF($S$1&lt;DATE(2025,2,1)," ",SUMIFS('2025数据'!$AT$3:$AT$181,'2025数据'!$H$3:$H$181,"&gt;="&amp;DATE(2025,2,1),'2025数据'!$H$3:$H$181,"&lt;="&amp;DATE(2025,2,28),'2025数据'!$AS$3:$AS$181,$E$37,'2025数据'!$B$3:$B$181,E571)/10000)</f>
        <v>0</v>
      </c>
      <c r="H571" s="219">
        <f ca="1">IF($S$1&lt;DATE(2025,3,1)," ",SUMIFS('2025数据'!$AT$3:$AT$181,'2025数据'!$H$3:$H$181,"&gt;="&amp;DATE(2025,3,1),'2025数据'!$H$3:$H$181,"&lt;="&amp;DATE(2025,3,31),'2025数据'!$AS$3:$AS$181,$E$37,'2025数据'!$B$3:$B$181,E571)/10000)</f>
        <v>0</v>
      </c>
      <c r="I571" s="219">
        <f ca="1">IF($S$1&lt;DATE(2025,4,1)," ",SUMIFS('2025数据'!$AT$3:$AT$181,'2025数据'!$H$3:$H$181,"&gt;="&amp;DATE(2025,4,1),'2025数据'!$H$3:$H$181,"&lt;="&amp;DATE(2025,4,30),'2025数据'!$AS$3:$AS$181,$E$37,'2025数据'!$B$3:$B$181,E571)/10000)</f>
        <v>0</v>
      </c>
      <c r="J571" s="219">
        <f ca="1">IF($S$1&lt;DATE(2025,5,1)," ",SUMIFS('2025数据'!$AT$3:$AT$181,'2025数据'!$H$3:$H$181,"&gt;="&amp;DATE(2025,5,1),'2025数据'!$H$3:$H$181,"&lt;="&amp;DATE(2025,5,31),'2025数据'!$AS$3:$AS$181,$E$37,'2025数据'!$B$3:$B$181,E571)/10000)</f>
        <v>0</v>
      </c>
      <c r="K571" s="219">
        <f ca="1">IF($S$1&lt;DATE(2025,6,1)," ",SUMIFS('2025数据'!$AT$3:$AT$181,'2025数据'!$H$3:$H$181,"&gt;="&amp;DATE(2025,6,1),'2025数据'!$H$3:$H$181,"&lt;="&amp;DATE(2025,6,30),'2025数据'!$AS$3:$AS$181,$E$37,'2025数据'!$B$3:$B$181,E571)/10000)</f>
        <v>0</v>
      </c>
      <c r="L571" s="219">
        <f ca="1">IF($S$1&lt;DATE(2025,7,1)," ",SUMIFS('2025数据'!$AT$3:$AT$181,'2025数据'!$H$3:$H$181,"&gt;="&amp;DATE(2025,7,1),'2025数据'!$H$3:$H$181,"&lt;="&amp;DATE(2025,7,31),'2025数据'!$AS$3:$AS$181,$E$37,'2025数据'!$B$3:$B$181,E571)/10000)</f>
        <v>0</v>
      </c>
      <c r="M571" s="219">
        <f ca="1">IF($S$1&lt;DATE(2025,8,1)," ",SUMIFS('2025数据'!$AT$3:$AT$181,'2025数据'!$H$3:$H$181,"&gt;="&amp;DATE(2025,8,1),'2025数据'!$H$3:$H$181,"&lt;="&amp;DATE(2025,8,31),'2025数据'!$AS$3:$AS$181,$E$37,'2025数据'!$B$3:$B$181,E571)/10000)</f>
        <v>0</v>
      </c>
      <c r="N571" s="219">
        <f ca="1">IF($S$1&lt;DATE(2025,9,1)," ",SUMIFS('2025数据'!$AT$3:$AT$181,'2025数据'!$H$3:$H$181,"&gt;="&amp;DATE(2025,9,1),'2025数据'!$H$3:$H$181,"&lt;="&amp;DATE(2025,9,30),'2025数据'!$AS$3:$AS$181,$E$37,'2025数据'!$B$3:$B$181,E571)/10000)</f>
        <v>0</v>
      </c>
      <c r="O571" s="219">
        <f ca="1">IF($S$1&lt;DATE(2025,10,1)," ",SUMIFS('2025数据'!$AT$3:$AT$181,'2025数据'!$H$3:$H$181,"&gt;="&amp;DATE(2025,10,1),'2025数据'!$H$3:$H$181,"&lt;="&amp;DATE(2025,10,31),'2025数据'!$AS$3:$AS$181,$E$37,'2025数据'!$B$3:$B$181,E571)/10000)</f>
        <v>0</v>
      </c>
      <c r="P571" s="224">
        <f ca="1">IF($S$1&lt;DATE(2025,11,1)," ",SUMIFS('2025数据'!$AT$3:$AT$181,'2025数据'!$H$3:$H$181,"&gt;="&amp;DATE(2025,11,1),'2025数据'!$H$3:$H$181,"&lt;="&amp;DATE(2025,11,30),'2025数据'!$AS$3:$AS$181,$E$37,'2025数据'!$B$3:$B$181,E571)/10000)</f>
        <v>0</v>
      </c>
      <c r="Q571" s="224">
        <f ca="1">IF($S$1&lt;DATE(2025,12,1)," ",SUMIFS('2025数据'!$AT$3:$AT$181,'2025数据'!$H$3:$H$181,"&gt;="&amp;DATE(2025,12,1),'2025数据'!$H$3:$H$181,"&lt;="&amp;DATE(2025,12,31),'2025数据'!$AS$3:$AS$181,$E$37,'2025数据'!$B$3:$B$181,E571)/10000)</f>
        <v>0</v>
      </c>
    </row>
    <row r="572" ht="24" customHeight="1" spans="1:17">
      <c r="A572" s="99" t="s">
        <v>345</v>
      </c>
      <c r="B572" s="99" t="s">
        <v>299</v>
      </c>
      <c r="C572" s="99" t="s">
        <v>333</v>
      </c>
      <c r="D572" s="53" t="s">
        <v>303</v>
      </c>
      <c r="E572" s="53" t="s">
        <v>96</v>
      </c>
      <c r="F572" s="219">
        <f ca="1">IF($S$1&lt;DATE(2025,1,1)," ",SUMIFS('2025数据'!$AT$3:$AT$181,'2025数据'!$H$3:$H$181,"&gt;="&amp;DATE(2025,1,1),'2025数据'!$H$3:$H$181,"&lt;="&amp;DATE(2025,1,31),'2025数据'!$AS$3:$AS$181,$E$37,'2025数据'!$B$3:$B$181,E572)/10000)</f>
        <v>0</v>
      </c>
      <c r="G572" s="219">
        <f ca="1">IF($S$1&lt;DATE(2025,2,1)," ",SUMIFS('2025数据'!$AT$3:$AT$181,'2025数据'!$H$3:$H$181,"&gt;="&amp;DATE(2025,2,1),'2025数据'!$H$3:$H$181,"&lt;="&amp;DATE(2025,2,28),'2025数据'!$AS$3:$AS$181,$E$37,'2025数据'!$B$3:$B$181,E572)/10000)</f>
        <v>0</v>
      </c>
      <c r="H572" s="219">
        <f ca="1">IF($S$1&lt;DATE(2025,3,1)," ",SUMIFS('2025数据'!$AT$3:$AT$181,'2025数据'!$H$3:$H$181,"&gt;="&amp;DATE(2025,3,1),'2025数据'!$H$3:$H$181,"&lt;="&amp;DATE(2025,3,31),'2025数据'!$AS$3:$AS$181,$E$37,'2025数据'!$B$3:$B$181,E572)/10000)</f>
        <v>0</v>
      </c>
      <c r="I572" s="219">
        <f ca="1">IF($S$1&lt;DATE(2025,4,1)," ",SUMIFS('2025数据'!$AT$3:$AT$181,'2025数据'!$H$3:$H$181,"&gt;="&amp;DATE(2025,4,1),'2025数据'!$H$3:$H$181,"&lt;="&amp;DATE(2025,4,30),'2025数据'!$AS$3:$AS$181,$E$37,'2025数据'!$B$3:$B$181,E572)/10000)</f>
        <v>0</v>
      </c>
      <c r="J572" s="219">
        <f ca="1">IF($S$1&lt;DATE(2025,5,1)," ",SUMIFS('2025数据'!$AT$3:$AT$181,'2025数据'!$H$3:$H$181,"&gt;="&amp;DATE(2025,5,1),'2025数据'!$H$3:$H$181,"&lt;="&amp;DATE(2025,5,31),'2025数据'!$AS$3:$AS$181,$E$37,'2025数据'!$B$3:$B$181,E572)/10000)</f>
        <v>0</v>
      </c>
      <c r="K572" s="219">
        <f ca="1">IF($S$1&lt;DATE(2025,6,1)," ",SUMIFS('2025数据'!$AT$3:$AT$181,'2025数据'!$H$3:$H$181,"&gt;="&amp;DATE(2025,6,1),'2025数据'!$H$3:$H$181,"&lt;="&amp;DATE(2025,6,30),'2025数据'!$AS$3:$AS$181,$E$37,'2025数据'!$B$3:$B$181,E572)/10000)</f>
        <v>0</v>
      </c>
      <c r="L572" s="219">
        <f ca="1">IF($S$1&lt;DATE(2025,7,1)," ",SUMIFS('2025数据'!$AT$3:$AT$181,'2025数据'!$H$3:$H$181,"&gt;="&amp;DATE(2025,7,1),'2025数据'!$H$3:$H$181,"&lt;="&amp;DATE(2025,7,31),'2025数据'!$AS$3:$AS$181,$E$37,'2025数据'!$B$3:$B$181,E572)/10000)</f>
        <v>0</v>
      </c>
      <c r="M572" s="219">
        <f ca="1">IF($S$1&lt;DATE(2025,8,1)," ",SUMIFS('2025数据'!$AT$3:$AT$181,'2025数据'!$H$3:$H$181,"&gt;="&amp;DATE(2025,8,1),'2025数据'!$H$3:$H$181,"&lt;="&amp;DATE(2025,8,31),'2025数据'!$AS$3:$AS$181,$E$37,'2025数据'!$B$3:$B$181,E572)/10000)</f>
        <v>0</v>
      </c>
      <c r="N572" s="219">
        <f ca="1">IF($S$1&lt;DATE(2025,9,1)," ",SUMIFS('2025数据'!$AT$3:$AT$181,'2025数据'!$H$3:$H$181,"&gt;="&amp;DATE(2025,9,1),'2025数据'!$H$3:$H$181,"&lt;="&amp;DATE(2025,9,30),'2025数据'!$AS$3:$AS$181,$E$37,'2025数据'!$B$3:$B$181,E572)/10000)</f>
        <v>0</v>
      </c>
      <c r="O572" s="219">
        <f ca="1">IF($S$1&lt;DATE(2025,10,1)," ",SUMIFS('2025数据'!$AT$3:$AT$181,'2025数据'!$H$3:$H$181,"&gt;="&amp;DATE(2025,10,1),'2025数据'!$H$3:$H$181,"&lt;="&amp;DATE(2025,10,31),'2025数据'!$AS$3:$AS$181,$E$37,'2025数据'!$B$3:$B$181,E572)/10000)</f>
        <v>0</v>
      </c>
      <c r="P572" s="224">
        <f ca="1">IF($S$1&lt;DATE(2025,11,1)," ",SUMIFS('2025数据'!$AT$3:$AT$181,'2025数据'!$H$3:$H$181,"&gt;="&amp;DATE(2025,11,1),'2025数据'!$H$3:$H$181,"&lt;="&amp;DATE(2025,11,30),'2025数据'!$AS$3:$AS$181,$E$37,'2025数据'!$B$3:$B$181,E572)/10000)</f>
        <v>0</v>
      </c>
      <c r="Q572" s="224">
        <f ca="1">IF($S$1&lt;DATE(2025,12,1)," ",SUMIFS('2025数据'!$AT$3:$AT$181,'2025数据'!$H$3:$H$181,"&gt;="&amp;DATE(2025,12,1),'2025数据'!$H$3:$H$181,"&lt;="&amp;DATE(2025,12,31),'2025数据'!$AS$3:$AS$181,$E$37,'2025数据'!$B$3:$B$181,E572)/10000)</f>
        <v>0</v>
      </c>
    </row>
    <row r="573" ht="24" customHeight="1" spans="1:17">
      <c r="A573" s="99" t="s">
        <v>345</v>
      </c>
      <c r="B573" s="99" t="s">
        <v>299</v>
      </c>
      <c r="C573" s="99" t="s">
        <v>333</v>
      </c>
      <c r="D573" s="53" t="s">
        <v>303</v>
      </c>
      <c r="E573" s="53" t="s">
        <v>160</v>
      </c>
      <c r="F573" s="219">
        <f ca="1">IF($S$1&lt;DATE(2025,1,1)," ",SUMIFS('2025数据'!$AT$3:$AT$181,'2025数据'!$H$3:$H$181,"&gt;="&amp;DATE(2025,1,1),'2025数据'!$H$3:$H$181,"&lt;="&amp;DATE(2025,1,31),'2025数据'!$AS$3:$AS$181,$E$37,'2025数据'!$B$3:$B$181,E573)/10000)</f>
        <v>0</v>
      </c>
      <c r="G573" s="219">
        <f ca="1">IF($S$1&lt;DATE(2025,2,1)," ",SUMIFS('2025数据'!$AT$3:$AT$181,'2025数据'!$H$3:$H$181,"&gt;="&amp;DATE(2025,2,1),'2025数据'!$H$3:$H$181,"&lt;="&amp;DATE(2025,2,28),'2025数据'!$AS$3:$AS$181,$E$37,'2025数据'!$B$3:$B$181,E573)/10000)</f>
        <v>0</v>
      </c>
      <c r="H573" s="219">
        <f ca="1">IF($S$1&lt;DATE(2025,3,1)," ",SUMIFS('2025数据'!$AT$3:$AT$181,'2025数据'!$H$3:$H$181,"&gt;="&amp;DATE(2025,3,1),'2025数据'!$H$3:$H$181,"&lt;="&amp;DATE(2025,3,31),'2025数据'!$AS$3:$AS$181,$E$37,'2025数据'!$B$3:$B$181,E573)/10000)</f>
        <v>0</v>
      </c>
      <c r="I573" s="219">
        <f ca="1">IF($S$1&lt;DATE(2025,4,1)," ",SUMIFS('2025数据'!$AT$3:$AT$181,'2025数据'!$H$3:$H$181,"&gt;="&amp;DATE(2025,4,1),'2025数据'!$H$3:$H$181,"&lt;="&amp;DATE(2025,4,30),'2025数据'!$AS$3:$AS$181,$E$37,'2025数据'!$B$3:$B$181,E573)/10000)</f>
        <v>0</v>
      </c>
      <c r="J573" s="219">
        <f ca="1">IF($S$1&lt;DATE(2025,5,1)," ",SUMIFS('2025数据'!$AT$3:$AT$181,'2025数据'!$H$3:$H$181,"&gt;="&amp;DATE(2025,5,1),'2025数据'!$H$3:$H$181,"&lt;="&amp;DATE(2025,5,31),'2025数据'!$AS$3:$AS$181,$E$37,'2025数据'!$B$3:$B$181,E573)/10000)</f>
        <v>0</v>
      </c>
      <c r="K573" s="219">
        <f ca="1">IF($S$1&lt;DATE(2025,6,1)," ",SUMIFS('2025数据'!$AT$3:$AT$181,'2025数据'!$H$3:$H$181,"&gt;="&amp;DATE(2025,6,1),'2025数据'!$H$3:$H$181,"&lt;="&amp;DATE(2025,6,30),'2025数据'!$AS$3:$AS$181,$E$37,'2025数据'!$B$3:$B$181,E573)/10000)</f>
        <v>0</v>
      </c>
      <c r="L573" s="219">
        <f ca="1">IF($S$1&lt;DATE(2025,7,1)," ",SUMIFS('2025数据'!$AT$3:$AT$181,'2025数据'!$H$3:$H$181,"&gt;="&amp;DATE(2025,7,1),'2025数据'!$H$3:$H$181,"&lt;="&amp;DATE(2025,7,31),'2025数据'!$AS$3:$AS$181,$E$37,'2025数据'!$B$3:$B$181,E573)/10000)</f>
        <v>0</v>
      </c>
      <c r="M573" s="219">
        <f ca="1">IF($S$1&lt;DATE(2025,8,1)," ",SUMIFS('2025数据'!$AT$3:$AT$181,'2025数据'!$H$3:$H$181,"&gt;="&amp;DATE(2025,8,1),'2025数据'!$H$3:$H$181,"&lt;="&amp;DATE(2025,8,31),'2025数据'!$AS$3:$AS$181,$E$37,'2025数据'!$B$3:$B$181,E573)/10000)</f>
        <v>0</v>
      </c>
      <c r="N573" s="219">
        <f ca="1">IF($S$1&lt;DATE(2025,9,1)," ",SUMIFS('2025数据'!$AT$3:$AT$181,'2025数据'!$H$3:$H$181,"&gt;="&amp;DATE(2025,9,1),'2025数据'!$H$3:$H$181,"&lt;="&amp;DATE(2025,9,30),'2025数据'!$AS$3:$AS$181,$E$37,'2025数据'!$B$3:$B$181,E573)/10000)</f>
        <v>0</v>
      </c>
      <c r="O573" s="219">
        <f ca="1">IF($S$1&lt;DATE(2025,10,1)," ",SUMIFS('2025数据'!$AT$3:$AT$181,'2025数据'!$H$3:$H$181,"&gt;="&amp;DATE(2025,10,1),'2025数据'!$H$3:$H$181,"&lt;="&amp;DATE(2025,10,31),'2025数据'!$AS$3:$AS$181,$E$37,'2025数据'!$B$3:$B$181,E573)/10000)</f>
        <v>0</v>
      </c>
      <c r="P573" s="224">
        <f ca="1">IF($S$1&lt;DATE(2025,11,1)," ",SUMIFS('2025数据'!$AT$3:$AT$181,'2025数据'!$H$3:$H$181,"&gt;="&amp;DATE(2025,11,1),'2025数据'!$H$3:$H$181,"&lt;="&amp;DATE(2025,11,30),'2025数据'!$AS$3:$AS$181,$E$37,'2025数据'!$B$3:$B$181,E573)/10000)</f>
        <v>0</v>
      </c>
      <c r="Q573" s="224">
        <f ca="1">IF($S$1&lt;DATE(2025,12,1)," ",SUMIFS('2025数据'!$AT$3:$AT$181,'2025数据'!$H$3:$H$181,"&gt;="&amp;DATE(2025,12,1),'2025数据'!$H$3:$H$181,"&lt;="&amp;DATE(2025,12,31),'2025数据'!$AS$3:$AS$181,$E$37,'2025数据'!$B$3:$B$181,E573)/10000)</f>
        <v>0</v>
      </c>
    </row>
    <row r="574" ht="24" customHeight="1" spans="1:17">
      <c r="A574" s="99" t="s">
        <v>345</v>
      </c>
      <c r="B574" s="99" t="s">
        <v>299</v>
      </c>
      <c r="C574" s="99" t="s">
        <v>333</v>
      </c>
      <c r="D574" s="53" t="s">
        <v>304</v>
      </c>
      <c r="E574" s="53" t="s">
        <v>93</v>
      </c>
      <c r="F574" s="219">
        <f ca="1">IF($S$1&lt;DATE(2025,1,1)," ",SUMIFS('2025数据'!$AT$3:$AT$181,'2025数据'!$H$3:$H$181,"&gt;="&amp;DATE(2025,1,1),'2025数据'!$H$3:$H$181,"&lt;="&amp;DATE(2025,1,31),'2025数据'!$AS$3:$AS$181,$E$38,'2025数据'!$B$3:$B$181,E574)/10000)</f>
        <v>0</v>
      </c>
      <c r="G574" s="219">
        <f ca="1">IF($S$1&lt;DATE(2025,2,1)," ",SUMIFS('2025数据'!$AT$3:$AT$181,'2025数据'!$H$3:$H$181,"&gt;="&amp;DATE(2025,2,1),'2025数据'!$H$3:$H$181,"&lt;="&amp;DATE(2025,2,28),'2025数据'!$AS$3:$AS$181,$E$38,'2025数据'!$B$3:$B$181,E574)/10000)</f>
        <v>0.144451</v>
      </c>
      <c r="H574" s="219">
        <f ca="1">IF($S$1&lt;DATE(2025,3,1)," ",SUMIFS('2025数据'!$AT$3:$AT$181,'2025数据'!$H$3:$H$181,"&gt;="&amp;DATE(2025,3,1),'2025数据'!$H$3:$H$181,"&lt;="&amp;DATE(2025,3,31),'2025数据'!$AS$3:$AS$181,$E$38,'2025数据'!$B$3:$B$181,E574)/10000)</f>
        <v>0</v>
      </c>
      <c r="I574" s="219">
        <f ca="1">IF($S$1&lt;DATE(2025,4,1)," ",SUMIFS('2025数据'!$AT$3:$AT$181,'2025数据'!$H$3:$H$181,"&gt;="&amp;DATE(2025,4,1),'2025数据'!$H$3:$H$181,"&lt;="&amp;DATE(2025,4,30),'2025数据'!$AS$3:$AS$181,$E$38,'2025数据'!$B$3:$B$181,E574)/10000)</f>
        <v>0</v>
      </c>
      <c r="J574" s="219">
        <f ca="1">IF($S$1&lt;DATE(2025,5,1)," ",SUMIFS('2025数据'!$AT$3:$AT$181,'2025数据'!$H$3:$H$181,"&gt;="&amp;DATE(2025,5,1),'2025数据'!$H$3:$H$181,"&lt;="&amp;DATE(2025,5,31),'2025数据'!$AS$3:$AS$181,$E$38,'2025数据'!$B$3:$B$181,E574)/10000)</f>
        <v>0</v>
      </c>
      <c r="K574" s="219">
        <f ca="1">IF($S$1&lt;DATE(2025,6,1)," ",SUMIFS('2025数据'!$AT$3:$AT$181,'2025数据'!$H$3:$H$181,"&gt;="&amp;DATE(2025,6,1),'2025数据'!$H$3:$H$181,"&lt;="&amp;DATE(2025,6,30),'2025数据'!$AS$3:$AS$181,$E$38,'2025数据'!$B$3:$B$181,E574)/10000)</f>
        <v>0</v>
      </c>
      <c r="L574" s="219">
        <f ca="1">IF($S$1&lt;DATE(2025,7,1)," ",SUMIFS('2025数据'!$AT$3:$AT$181,'2025数据'!$H$3:$H$181,"&gt;="&amp;DATE(2025,7,1),'2025数据'!$H$3:$H$181,"&lt;="&amp;DATE(2025,7,31),'2025数据'!$AS$3:$AS$181,$E$38,'2025数据'!$B$3:$B$181,E574)/10000)</f>
        <v>0</v>
      </c>
      <c r="M574" s="219">
        <f ca="1">IF($S$1&lt;DATE(2025,8,1)," ",SUMIFS('2025数据'!$AT$3:$AT$181,'2025数据'!$H$3:$H$181,"&gt;="&amp;DATE(2025,8,1),'2025数据'!$H$3:$H$181,"&lt;="&amp;DATE(2025,8,31),'2025数据'!$AS$3:$AS$181,$E$38,'2025数据'!$B$3:$B$181,E574)/10000)</f>
        <v>0</v>
      </c>
      <c r="N574" s="219">
        <f ca="1">IF($S$1&lt;DATE(2025,9,1)," ",SUMIFS('2025数据'!$AT$3:$AT$181,'2025数据'!$H$3:$H$181,"&gt;="&amp;DATE(2025,9,1),'2025数据'!$H$3:$H$181,"&lt;="&amp;DATE(2025,9,30),'2025数据'!$AS$3:$AS$181,$E$38,'2025数据'!$B$3:$B$181,E574)/10000)</f>
        <v>0.017071</v>
      </c>
      <c r="O574" s="219">
        <f ca="1">IF($S$1&lt;DATE(2025,10,1)," ",SUMIFS('2025数据'!$AT$3:$AT$181,'2025数据'!$H$3:$H$181,"&gt;="&amp;DATE(2025,10,1),'2025数据'!$H$3:$H$181,"&lt;="&amp;DATE(2025,10,31),'2025数据'!$AS$3:$AS$181,$E$38,'2025数据'!$B$3:$B$181,E574)/10000)</f>
        <v>0</v>
      </c>
      <c r="P574" s="224">
        <f ca="1">IF($S$1&lt;DATE(2025,11,1)," ",SUMIFS('2025数据'!$AT$3:$AT$181,'2025数据'!$H$3:$H$181,"&gt;="&amp;DATE(2025,11,1),'2025数据'!$H$3:$H$181,"&lt;="&amp;DATE(2025,11,30),'2025数据'!$AS$3:$AS$181,$E$38,'2025数据'!$B$3:$B$181,E574)/10000)</f>
        <v>0</v>
      </c>
      <c r="Q574" s="224">
        <f ca="1">IF($S$1&lt;DATE(2025,12,1)," ",SUMIFS('2025数据'!$AT$3:$AT$181,'2025数据'!$H$3:$H$181,"&gt;="&amp;DATE(2025,12,1),'2025数据'!$H$3:$H$181,"&lt;="&amp;DATE(2025,12,31),'2025数据'!$AS$3:$AS$181,$E$38,'2025数据'!$B$3:$B$181,E574)/10000)</f>
        <v>0</v>
      </c>
    </row>
    <row r="575" ht="24" customHeight="1" spans="1:17">
      <c r="A575" s="99" t="s">
        <v>345</v>
      </c>
      <c r="B575" s="99" t="s">
        <v>299</v>
      </c>
      <c r="C575" s="99" t="s">
        <v>333</v>
      </c>
      <c r="D575" s="53" t="s">
        <v>304</v>
      </c>
      <c r="E575" s="53" t="s">
        <v>85</v>
      </c>
      <c r="F575" s="219">
        <f ca="1">IF($S$1&lt;DATE(2025,1,1)," ",SUMIFS('2025数据'!$AT$3:$AT$181,'2025数据'!$H$3:$H$181,"&gt;="&amp;DATE(2025,1,1),'2025数据'!$H$3:$H$181,"&lt;="&amp;DATE(2025,1,31),'2025数据'!$AS$3:$AS$181,$E$38,'2025数据'!$B$3:$B$181,E575)/10000)</f>
        <v>0</v>
      </c>
      <c r="G575" s="219">
        <f ca="1">IF($S$1&lt;DATE(2025,2,1)," ",SUMIFS('2025数据'!$AT$3:$AT$181,'2025数据'!$H$3:$H$181,"&gt;="&amp;DATE(2025,2,1),'2025数据'!$H$3:$H$181,"&lt;="&amp;DATE(2025,2,28),'2025数据'!$AS$3:$AS$181,$E$38,'2025数据'!$B$3:$B$181,E575)/10000)</f>
        <v>0</v>
      </c>
      <c r="H575" s="219">
        <f ca="1">IF($S$1&lt;DATE(2025,3,1)," ",SUMIFS('2025数据'!$AT$3:$AT$181,'2025数据'!$H$3:$H$181,"&gt;="&amp;DATE(2025,3,1),'2025数据'!$H$3:$H$181,"&lt;="&amp;DATE(2025,3,31),'2025数据'!$AS$3:$AS$181,$E$38,'2025数据'!$B$3:$B$181,E575)/10000)</f>
        <v>0</v>
      </c>
      <c r="I575" s="219">
        <f ca="1">IF($S$1&lt;DATE(2025,4,1)," ",SUMIFS('2025数据'!$AT$3:$AT$181,'2025数据'!$H$3:$H$181,"&gt;="&amp;DATE(2025,4,1),'2025数据'!$H$3:$H$181,"&lt;="&amp;DATE(2025,4,30),'2025数据'!$AS$3:$AS$181,$E$38,'2025数据'!$B$3:$B$181,E575)/10000)</f>
        <v>0</v>
      </c>
      <c r="J575" s="219">
        <f ca="1">IF($S$1&lt;DATE(2025,5,1)," ",SUMIFS('2025数据'!$AT$3:$AT$181,'2025数据'!$H$3:$H$181,"&gt;="&amp;DATE(2025,5,1),'2025数据'!$H$3:$H$181,"&lt;="&amp;DATE(2025,5,31),'2025数据'!$AS$3:$AS$181,$E$38,'2025数据'!$B$3:$B$181,E575)/10000)</f>
        <v>0</v>
      </c>
      <c r="K575" s="219">
        <f ca="1">IF($S$1&lt;DATE(2025,6,1)," ",SUMIFS('2025数据'!$AT$3:$AT$181,'2025数据'!$H$3:$H$181,"&gt;="&amp;DATE(2025,6,1),'2025数据'!$H$3:$H$181,"&lt;="&amp;DATE(2025,6,30),'2025数据'!$AS$3:$AS$181,$E$38,'2025数据'!$B$3:$B$181,E575)/10000)</f>
        <v>0</v>
      </c>
      <c r="L575" s="219">
        <f ca="1">IF($S$1&lt;DATE(2025,7,1)," ",SUMIFS('2025数据'!$AT$3:$AT$181,'2025数据'!$H$3:$H$181,"&gt;="&amp;DATE(2025,7,1),'2025数据'!$H$3:$H$181,"&lt;="&amp;DATE(2025,7,31),'2025数据'!$AS$3:$AS$181,$E$38,'2025数据'!$B$3:$B$181,E575)/10000)</f>
        <v>0</v>
      </c>
      <c r="M575" s="219">
        <f ca="1">IF($S$1&lt;DATE(2025,8,1)," ",SUMIFS('2025数据'!$AT$3:$AT$181,'2025数据'!$H$3:$H$181,"&gt;="&amp;DATE(2025,8,1),'2025数据'!$H$3:$H$181,"&lt;="&amp;DATE(2025,8,31),'2025数据'!$AS$3:$AS$181,$E$38,'2025数据'!$B$3:$B$181,E575)/10000)</f>
        <v>0</v>
      </c>
      <c r="N575" s="219">
        <f ca="1">IF($S$1&lt;DATE(2025,9,1)," ",SUMIFS('2025数据'!$AT$3:$AT$181,'2025数据'!$H$3:$H$181,"&gt;="&amp;DATE(2025,9,1),'2025数据'!$H$3:$H$181,"&lt;="&amp;DATE(2025,9,30),'2025数据'!$AS$3:$AS$181,$E$38,'2025数据'!$B$3:$B$181,E575)/10000)</f>
        <v>0</v>
      </c>
      <c r="O575" s="219">
        <f ca="1">IF($S$1&lt;DATE(2025,10,1)," ",SUMIFS('2025数据'!$AT$3:$AT$181,'2025数据'!$H$3:$H$181,"&gt;="&amp;DATE(2025,10,1),'2025数据'!$H$3:$H$181,"&lt;="&amp;DATE(2025,10,31),'2025数据'!$AS$3:$AS$181,$E$38,'2025数据'!$B$3:$B$181,E575)/10000)</f>
        <v>0</v>
      </c>
      <c r="P575" s="224">
        <f ca="1">IF($S$1&lt;DATE(2025,11,1)," ",SUMIFS('2025数据'!$AT$3:$AT$181,'2025数据'!$H$3:$H$181,"&gt;="&amp;DATE(2025,11,1),'2025数据'!$H$3:$H$181,"&lt;="&amp;DATE(2025,11,30),'2025数据'!$AS$3:$AS$181,$E$38,'2025数据'!$B$3:$B$181,E575)/10000)</f>
        <v>0</v>
      </c>
      <c r="Q575" s="224">
        <f ca="1">IF($S$1&lt;DATE(2025,12,1)," ",SUMIFS('2025数据'!$AT$3:$AT$181,'2025数据'!$H$3:$H$181,"&gt;="&amp;DATE(2025,12,1),'2025数据'!$H$3:$H$181,"&lt;="&amp;DATE(2025,12,31),'2025数据'!$AS$3:$AS$181,$E$38,'2025数据'!$B$3:$B$181,E575)/10000)</f>
        <v>0</v>
      </c>
    </row>
    <row r="576" ht="24" customHeight="1" spans="1:17">
      <c r="A576" s="99" t="s">
        <v>345</v>
      </c>
      <c r="B576" s="99" t="s">
        <v>299</v>
      </c>
      <c r="C576" s="99" t="s">
        <v>333</v>
      </c>
      <c r="D576" s="53" t="s">
        <v>304</v>
      </c>
      <c r="E576" s="53" t="s">
        <v>81</v>
      </c>
      <c r="F576" s="219">
        <f ca="1">IF($S$1&lt;DATE(2025,1,1)," ",SUMIFS('2025数据'!$AT$3:$AT$181,'2025数据'!$H$3:$H$181,"&gt;="&amp;DATE(2025,1,1),'2025数据'!$H$3:$H$181,"&lt;="&amp;DATE(2025,1,31),'2025数据'!$AS$3:$AS$181,$E$38,'2025数据'!$B$3:$B$181,E576)/10000)</f>
        <v>0</v>
      </c>
      <c r="G576" s="219">
        <f ca="1">IF($S$1&lt;DATE(2025,2,1)," ",SUMIFS('2025数据'!$AT$3:$AT$181,'2025数据'!$H$3:$H$181,"&gt;="&amp;DATE(2025,2,1),'2025数据'!$H$3:$H$181,"&lt;="&amp;DATE(2025,2,28),'2025数据'!$AS$3:$AS$181,$E$38,'2025数据'!$B$3:$B$181,E576)/10000)</f>
        <v>0</v>
      </c>
      <c r="H576" s="219">
        <f ca="1">IF($S$1&lt;DATE(2025,3,1)," ",SUMIFS('2025数据'!$AT$3:$AT$181,'2025数据'!$H$3:$H$181,"&gt;="&amp;DATE(2025,3,1),'2025数据'!$H$3:$H$181,"&lt;="&amp;DATE(2025,3,31),'2025数据'!$AS$3:$AS$181,$E$38,'2025数据'!$B$3:$B$181,E576)/10000)</f>
        <v>0</v>
      </c>
      <c r="I576" s="219">
        <f ca="1">IF($S$1&lt;DATE(2025,4,1)," ",SUMIFS('2025数据'!$AT$3:$AT$181,'2025数据'!$H$3:$H$181,"&gt;="&amp;DATE(2025,4,1),'2025数据'!$H$3:$H$181,"&lt;="&amp;DATE(2025,4,30),'2025数据'!$AS$3:$AS$181,$E$38,'2025数据'!$B$3:$B$181,E576)/10000)</f>
        <v>0</v>
      </c>
      <c r="J576" s="219">
        <f ca="1">IF($S$1&lt;DATE(2025,5,1)," ",SUMIFS('2025数据'!$AT$3:$AT$181,'2025数据'!$H$3:$H$181,"&gt;="&amp;DATE(2025,5,1),'2025数据'!$H$3:$H$181,"&lt;="&amp;DATE(2025,5,31),'2025数据'!$AS$3:$AS$181,$E$38,'2025数据'!$B$3:$B$181,E576)/10000)</f>
        <v>0</v>
      </c>
      <c r="K576" s="219">
        <f ca="1">IF($S$1&lt;DATE(2025,6,1)," ",SUMIFS('2025数据'!$AT$3:$AT$181,'2025数据'!$H$3:$H$181,"&gt;="&amp;DATE(2025,6,1),'2025数据'!$H$3:$H$181,"&lt;="&amp;DATE(2025,6,30),'2025数据'!$AS$3:$AS$181,$E$38,'2025数据'!$B$3:$B$181,E576)/10000)</f>
        <v>0</v>
      </c>
      <c r="L576" s="219">
        <f ca="1">IF($S$1&lt;DATE(2025,7,1)," ",SUMIFS('2025数据'!$AT$3:$AT$181,'2025数据'!$H$3:$H$181,"&gt;="&amp;DATE(2025,7,1),'2025数据'!$H$3:$H$181,"&lt;="&amp;DATE(2025,7,31),'2025数据'!$AS$3:$AS$181,$E$38,'2025数据'!$B$3:$B$181,E576)/10000)</f>
        <v>0</v>
      </c>
      <c r="M576" s="219">
        <f ca="1">IF($S$1&lt;DATE(2025,8,1)," ",SUMIFS('2025数据'!$AT$3:$AT$181,'2025数据'!$H$3:$H$181,"&gt;="&amp;DATE(2025,8,1),'2025数据'!$H$3:$H$181,"&lt;="&amp;DATE(2025,8,31),'2025数据'!$AS$3:$AS$181,$E$38,'2025数据'!$B$3:$B$181,E576)/10000)</f>
        <v>0</v>
      </c>
      <c r="N576" s="219">
        <f ca="1">IF($S$1&lt;DATE(2025,9,1)," ",SUMIFS('2025数据'!$AT$3:$AT$181,'2025数据'!$H$3:$H$181,"&gt;="&amp;DATE(2025,9,1),'2025数据'!$H$3:$H$181,"&lt;="&amp;DATE(2025,9,30),'2025数据'!$AS$3:$AS$181,$E$38,'2025数据'!$B$3:$B$181,E576)/10000)</f>
        <v>0</v>
      </c>
      <c r="O576" s="219">
        <f ca="1">IF($S$1&lt;DATE(2025,10,1)," ",SUMIFS('2025数据'!$AT$3:$AT$181,'2025数据'!$H$3:$H$181,"&gt;="&amp;DATE(2025,10,1),'2025数据'!$H$3:$H$181,"&lt;="&amp;DATE(2025,10,31),'2025数据'!$AS$3:$AS$181,$E$38,'2025数据'!$B$3:$B$181,E576)/10000)</f>
        <v>0</v>
      </c>
      <c r="P576" s="224">
        <f ca="1">IF($S$1&lt;DATE(2025,11,1)," ",SUMIFS('2025数据'!$AT$3:$AT$181,'2025数据'!$H$3:$H$181,"&gt;="&amp;DATE(2025,11,1),'2025数据'!$H$3:$H$181,"&lt;="&amp;DATE(2025,11,30),'2025数据'!$AS$3:$AS$181,$E$38,'2025数据'!$B$3:$B$181,E576)/10000)</f>
        <v>0</v>
      </c>
      <c r="Q576" s="224">
        <f ca="1">IF($S$1&lt;DATE(2025,12,1)," ",SUMIFS('2025数据'!$AT$3:$AT$181,'2025数据'!$H$3:$H$181,"&gt;="&amp;DATE(2025,12,1),'2025数据'!$H$3:$H$181,"&lt;="&amp;DATE(2025,12,31),'2025数据'!$AS$3:$AS$181,$E$38,'2025数据'!$B$3:$B$181,E576)/10000)</f>
        <v>0</v>
      </c>
    </row>
    <row r="577" ht="24" customHeight="1" spans="1:17">
      <c r="A577" s="99" t="s">
        <v>345</v>
      </c>
      <c r="B577" s="99" t="s">
        <v>299</v>
      </c>
      <c r="C577" s="99" t="s">
        <v>333</v>
      </c>
      <c r="D577" s="53" t="s">
        <v>304</v>
      </c>
      <c r="E577" s="53" t="s">
        <v>96</v>
      </c>
      <c r="F577" s="219">
        <f ca="1">IF($S$1&lt;DATE(2025,1,1)," ",SUMIFS('2025数据'!$AT$3:$AT$181,'2025数据'!$H$3:$H$181,"&gt;="&amp;DATE(2025,1,1),'2025数据'!$H$3:$H$181,"&lt;="&amp;DATE(2025,1,31),'2025数据'!$AS$3:$AS$181,$E$38,'2025数据'!$B$3:$B$181,E577)/10000)</f>
        <v>0</v>
      </c>
      <c r="G577" s="219">
        <f ca="1">IF($S$1&lt;DATE(2025,2,1)," ",SUMIFS('2025数据'!$AT$3:$AT$181,'2025数据'!$H$3:$H$181,"&gt;="&amp;DATE(2025,2,1),'2025数据'!$H$3:$H$181,"&lt;="&amp;DATE(2025,2,28),'2025数据'!$AS$3:$AS$181,$E$38,'2025数据'!$B$3:$B$181,E577)/10000)</f>
        <v>0</v>
      </c>
      <c r="H577" s="219">
        <f ca="1">IF($S$1&lt;DATE(2025,3,1)," ",SUMIFS('2025数据'!$AT$3:$AT$181,'2025数据'!$H$3:$H$181,"&gt;="&amp;DATE(2025,3,1),'2025数据'!$H$3:$H$181,"&lt;="&amp;DATE(2025,3,31),'2025数据'!$AS$3:$AS$181,$E$38,'2025数据'!$B$3:$B$181,E577)/10000)</f>
        <v>0</v>
      </c>
      <c r="I577" s="219">
        <f ca="1">IF($S$1&lt;DATE(2025,4,1)," ",SUMIFS('2025数据'!$AT$3:$AT$181,'2025数据'!$H$3:$H$181,"&gt;="&amp;DATE(2025,4,1),'2025数据'!$H$3:$H$181,"&lt;="&amp;DATE(2025,4,30),'2025数据'!$AS$3:$AS$181,$E$38,'2025数据'!$B$3:$B$181,E577)/10000)</f>
        <v>0</v>
      </c>
      <c r="J577" s="219">
        <f ca="1">IF($S$1&lt;DATE(2025,5,1)," ",SUMIFS('2025数据'!$AT$3:$AT$181,'2025数据'!$H$3:$H$181,"&gt;="&amp;DATE(2025,5,1),'2025数据'!$H$3:$H$181,"&lt;="&amp;DATE(2025,5,31),'2025数据'!$AS$3:$AS$181,$E$38,'2025数据'!$B$3:$B$181,E577)/10000)</f>
        <v>0</v>
      </c>
      <c r="K577" s="219">
        <f ca="1">IF($S$1&lt;DATE(2025,6,1)," ",SUMIFS('2025数据'!$AT$3:$AT$181,'2025数据'!$H$3:$H$181,"&gt;="&amp;DATE(2025,6,1),'2025数据'!$H$3:$H$181,"&lt;="&amp;DATE(2025,6,30),'2025数据'!$AS$3:$AS$181,$E$38,'2025数据'!$B$3:$B$181,E577)/10000)</f>
        <v>0</v>
      </c>
      <c r="L577" s="219">
        <f ca="1">IF($S$1&lt;DATE(2025,7,1)," ",SUMIFS('2025数据'!$AT$3:$AT$181,'2025数据'!$H$3:$H$181,"&gt;="&amp;DATE(2025,7,1),'2025数据'!$H$3:$H$181,"&lt;="&amp;DATE(2025,7,31),'2025数据'!$AS$3:$AS$181,$E$38,'2025数据'!$B$3:$B$181,E577)/10000)</f>
        <v>0</v>
      </c>
      <c r="M577" s="219">
        <f ca="1">IF($S$1&lt;DATE(2025,8,1)," ",SUMIFS('2025数据'!$AT$3:$AT$181,'2025数据'!$H$3:$H$181,"&gt;="&amp;DATE(2025,8,1),'2025数据'!$H$3:$H$181,"&lt;="&amp;DATE(2025,8,31),'2025数据'!$AS$3:$AS$181,$E$38,'2025数据'!$B$3:$B$181,E577)/10000)</f>
        <v>0</v>
      </c>
      <c r="N577" s="219">
        <f ca="1">IF($S$1&lt;DATE(2025,9,1)," ",SUMIFS('2025数据'!$AT$3:$AT$181,'2025数据'!$H$3:$H$181,"&gt;="&amp;DATE(2025,9,1),'2025数据'!$H$3:$H$181,"&lt;="&amp;DATE(2025,9,30),'2025数据'!$AS$3:$AS$181,$E$38,'2025数据'!$B$3:$B$181,E577)/10000)</f>
        <v>0</v>
      </c>
      <c r="O577" s="219">
        <f ca="1">IF($S$1&lt;DATE(2025,10,1)," ",SUMIFS('2025数据'!$AT$3:$AT$181,'2025数据'!$H$3:$H$181,"&gt;="&amp;DATE(2025,10,1),'2025数据'!$H$3:$H$181,"&lt;="&amp;DATE(2025,10,31),'2025数据'!$AS$3:$AS$181,$E$38,'2025数据'!$B$3:$B$181,E577)/10000)</f>
        <v>0</v>
      </c>
      <c r="P577" s="224">
        <f ca="1">IF($S$1&lt;DATE(2025,11,1)," ",SUMIFS('2025数据'!$AT$3:$AT$181,'2025数据'!$H$3:$H$181,"&gt;="&amp;DATE(2025,11,1),'2025数据'!$H$3:$H$181,"&lt;="&amp;DATE(2025,11,30),'2025数据'!$AS$3:$AS$181,$E$38,'2025数据'!$B$3:$B$181,E577)/10000)</f>
        <v>0</v>
      </c>
      <c r="Q577" s="224">
        <f ca="1">IF($S$1&lt;DATE(2025,12,1)," ",SUMIFS('2025数据'!$AT$3:$AT$181,'2025数据'!$H$3:$H$181,"&gt;="&amp;DATE(2025,12,1),'2025数据'!$H$3:$H$181,"&lt;="&amp;DATE(2025,12,31),'2025数据'!$AS$3:$AS$181,$E$38,'2025数据'!$B$3:$B$181,E577)/10000)</f>
        <v>0</v>
      </c>
    </row>
    <row r="578" ht="24" customHeight="1" spans="1:17">
      <c r="A578" s="99" t="s">
        <v>345</v>
      </c>
      <c r="B578" s="99" t="s">
        <v>299</v>
      </c>
      <c r="C578" s="99" t="s">
        <v>333</v>
      </c>
      <c r="D578" s="53" t="s">
        <v>304</v>
      </c>
      <c r="E578" s="53" t="s">
        <v>160</v>
      </c>
      <c r="F578" s="219">
        <f ca="1">IF($S$1&lt;DATE(2025,1,1)," ",SUMIFS('2025数据'!$AT$3:$AT$181,'2025数据'!$H$3:$H$181,"&gt;="&amp;DATE(2025,1,1),'2025数据'!$H$3:$H$181,"&lt;="&amp;DATE(2025,1,31),'2025数据'!$AS$3:$AS$181,$E$38,'2025数据'!$B$3:$B$181,E578)/10000)</f>
        <v>0</v>
      </c>
      <c r="G578" s="219">
        <f ca="1">IF($S$1&lt;DATE(2025,2,1)," ",SUMIFS('2025数据'!$AT$3:$AT$181,'2025数据'!$H$3:$H$181,"&gt;="&amp;DATE(2025,2,1),'2025数据'!$H$3:$H$181,"&lt;="&amp;DATE(2025,2,28),'2025数据'!$AS$3:$AS$181,$E$38,'2025数据'!$B$3:$B$181,E578)/10000)</f>
        <v>0</v>
      </c>
      <c r="H578" s="219">
        <f ca="1">IF($S$1&lt;DATE(2025,3,1)," ",SUMIFS('2025数据'!$AT$3:$AT$181,'2025数据'!$H$3:$H$181,"&gt;="&amp;DATE(2025,3,1),'2025数据'!$H$3:$H$181,"&lt;="&amp;DATE(2025,3,31),'2025数据'!$AS$3:$AS$181,$E$38,'2025数据'!$B$3:$B$181,E578)/10000)</f>
        <v>0</v>
      </c>
      <c r="I578" s="219">
        <f ca="1">IF($S$1&lt;DATE(2025,4,1)," ",SUMIFS('2025数据'!$AT$3:$AT$181,'2025数据'!$H$3:$H$181,"&gt;="&amp;DATE(2025,4,1),'2025数据'!$H$3:$H$181,"&lt;="&amp;DATE(2025,4,30),'2025数据'!$AS$3:$AS$181,$E$38,'2025数据'!$B$3:$B$181,E578)/10000)</f>
        <v>0</v>
      </c>
      <c r="J578" s="219">
        <f ca="1">IF($S$1&lt;DATE(2025,5,1)," ",SUMIFS('2025数据'!$AT$3:$AT$181,'2025数据'!$H$3:$H$181,"&gt;="&amp;DATE(2025,5,1),'2025数据'!$H$3:$H$181,"&lt;="&amp;DATE(2025,5,31),'2025数据'!$AS$3:$AS$181,$E$38,'2025数据'!$B$3:$B$181,E578)/10000)</f>
        <v>0</v>
      </c>
      <c r="K578" s="219">
        <f ca="1">IF($S$1&lt;DATE(2025,6,1)," ",SUMIFS('2025数据'!$AT$3:$AT$181,'2025数据'!$H$3:$H$181,"&gt;="&amp;DATE(2025,6,1),'2025数据'!$H$3:$H$181,"&lt;="&amp;DATE(2025,6,30),'2025数据'!$AS$3:$AS$181,$E$38,'2025数据'!$B$3:$B$181,E578)/10000)</f>
        <v>0</v>
      </c>
      <c r="L578" s="219">
        <f ca="1">IF($S$1&lt;DATE(2025,7,1)," ",SUMIFS('2025数据'!$AT$3:$AT$181,'2025数据'!$H$3:$H$181,"&gt;="&amp;DATE(2025,7,1),'2025数据'!$H$3:$H$181,"&lt;="&amp;DATE(2025,7,31),'2025数据'!$AS$3:$AS$181,$E$38,'2025数据'!$B$3:$B$181,E578)/10000)</f>
        <v>0</v>
      </c>
      <c r="M578" s="219">
        <f ca="1">IF($S$1&lt;DATE(2025,8,1)," ",SUMIFS('2025数据'!$AT$3:$AT$181,'2025数据'!$H$3:$H$181,"&gt;="&amp;DATE(2025,8,1),'2025数据'!$H$3:$H$181,"&lt;="&amp;DATE(2025,8,31),'2025数据'!$AS$3:$AS$181,$E$38,'2025数据'!$B$3:$B$181,E578)/10000)</f>
        <v>0</v>
      </c>
      <c r="N578" s="219">
        <f ca="1">IF($S$1&lt;DATE(2025,9,1)," ",SUMIFS('2025数据'!$AT$3:$AT$181,'2025数据'!$H$3:$H$181,"&gt;="&amp;DATE(2025,9,1),'2025数据'!$H$3:$H$181,"&lt;="&amp;DATE(2025,9,30),'2025数据'!$AS$3:$AS$181,$E$38,'2025数据'!$B$3:$B$181,E578)/10000)</f>
        <v>0</v>
      </c>
      <c r="O578" s="219">
        <f ca="1">IF($S$1&lt;DATE(2025,10,1)," ",SUMIFS('2025数据'!$AT$3:$AT$181,'2025数据'!$H$3:$H$181,"&gt;="&amp;DATE(2025,10,1),'2025数据'!$H$3:$H$181,"&lt;="&amp;DATE(2025,10,31),'2025数据'!$AS$3:$AS$181,$E$38,'2025数据'!$B$3:$B$181,E578)/10000)</f>
        <v>0</v>
      </c>
      <c r="P578" s="224">
        <f ca="1">IF($S$1&lt;DATE(2025,11,1)," ",SUMIFS('2025数据'!$AT$3:$AT$181,'2025数据'!$H$3:$H$181,"&gt;="&amp;DATE(2025,11,1),'2025数据'!$H$3:$H$181,"&lt;="&amp;DATE(2025,11,30),'2025数据'!$AS$3:$AS$181,$E$38,'2025数据'!$B$3:$B$181,E578)/10000)</f>
        <v>0</v>
      </c>
      <c r="Q578" s="224">
        <f ca="1">IF($S$1&lt;DATE(2025,12,1)," ",SUMIFS('2025数据'!$AT$3:$AT$181,'2025数据'!$H$3:$H$181,"&gt;="&amp;DATE(2025,12,1),'2025数据'!$H$3:$H$181,"&lt;="&amp;DATE(2025,12,31),'2025数据'!$AS$3:$AS$181,$E$38,'2025数据'!$B$3:$B$181,E578)/10000)</f>
        <v>0</v>
      </c>
    </row>
    <row r="579" ht="24" customHeight="1" spans="1:17">
      <c r="A579" s="99" t="s">
        <v>345</v>
      </c>
      <c r="B579" s="99" t="s">
        <v>299</v>
      </c>
      <c r="C579" s="99" t="s">
        <v>333</v>
      </c>
      <c r="D579" s="218" t="s">
        <v>292</v>
      </c>
      <c r="E579" s="220" t="s">
        <v>340</v>
      </c>
      <c r="F579" s="221">
        <f ca="1">IF($S$1&lt;DATE(2025,1,1)," ",SUMIFS('2025数据'!$AQ$3:$AQ$181,'2025数据'!$H$3:$H$181,"&gt;="&amp;DATE(2025,1,1),'2025数据'!$H$3:$H$181,"&lt;="&amp;DATE(2025,1,31),'2025数据'!$AS$3:$AS$181,$E37)/10000)</f>
        <v>0</v>
      </c>
      <c r="G579" s="221">
        <f ca="1">IF($S$1&lt;DATE(2025,2,1)," ",SUMIFS('2025数据'!$AQ$3:$AQ$181,'2025数据'!$H$3:$H$181,"&gt;="&amp;DATE(2025,2,1),'2025数据'!$H$3:$H$181,"&lt;="&amp;DATE(2025,2,28),'2025数据'!$AS$3:$AS$181,$E37)/10000)</f>
        <v>0</v>
      </c>
      <c r="H579" s="221">
        <f ca="1">IF($S$1&lt;DATE(2025,3,1)," ",SUMIFS('2025数据'!$AQ$3:$AQ$181,'2025数据'!$H$3:$H$181,"&gt;="&amp;DATE(2025,3,1),'2025数据'!$H$3:$H$181,"&lt;="&amp;DATE(2025,3,31),'2025数据'!$AS$3:$AS$181,$E37)/10000)</f>
        <v>0</v>
      </c>
      <c r="I579" s="221">
        <f ca="1">IF($S$1&lt;DATE(2025,4,1)," ",SUMIFS('2025数据'!$AQ$3:$AQ$181,'2025数据'!$H$3:$H$181,"&gt;="&amp;DATE(2025,4,1),'2025数据'!$H$3:$H$181,"&lt;="&amp;DATE(2025,4,30),'2025数据'!$AS$3:$AS$181,$E37)/10000)</f>
        <v>0</v>
      </c>
      <c r="J579" s="221">
        <f ca="1">IF($S$1&lt;DATE(2025,5,1)," ",SUMIFS('2025数据'!$AQ$3:$AQ$181,'2025数据'!$H$3:$H$181,"&gt;="&amp;DATE(2025,5,1),'2025数据'!$H$3:$H$181,"&lt;="&amp;DATE(2025,5,31),'2025数据'!$AS$3:$AS$181,$E37)/10000)</f>
        <v>0</v>
      </c>
      <c r="K579" s="221">
        <f ca="1">IF($S$1&lt;DATE(2025,6,1)," ",SUMIFS('2025数据'!$AQ$3:$AQ$181,'2025数据'!$H$3:$H$181,"&gt;="&amp;DATE(2025,6,1),'2025数据'!$H$3:$H$181,"&lt;="&amp;DATE(2025,6,30),'2025数据'!$AS$3:$AS$181,$E37)/10000)</f>
        <v>0</v>
      </c>
      <c r="L579" s="221">
        <f ca="1">IF($S$1&lt;DATE(2025,7,1)," ",SUMIFS('2025数据'!$AQ$3:$AQ$181,'2025数据'!$H$3:$H$181,"&gt;="&amp;DATE(2025,7,1),'2025数据'!$H$3:$H$181,"&lt;="&amp;DATE(2025,7,31),'2025数据'!$AS$3:$AS$181,$E37)/10000)</f>
        <v>0</v>
      </c>
      <c r="M579" s="221">
        <f ca="1">IF($S$1&lt;DATE(2025,8,1)," ",SUMIFS('2025数据'!$AQ$3:$AQ$181,'2025数据'!$H$3:$H$181,"&gt;="&amp;DATE(2025,8,1),'2025数据'!$H$3:$H$181,"&lt;="&amp;DATE(2025,8,31),'2025数据'!$AS$3:$AS$181,$E37)/10000)</f>
        <v>0</v>
      </c>
      <c r="N579" s="221">
        <f ca="1">IF($S$1&lt;DATE(2025,9,1)," ",SUMIFS('2025数据'!$AQ$3:$AQ$181,'2025数据'!$H$3:$H$181,"&gt;="&amp;DATE(2025,9,1),'2025数据'!$H$3:$H$181,"&lt;="&amp;DATE(2025,9,30),'2025数据'!$AS$3:$AS$181,$E37)/10000)</f>
        <v>0</v>
      </c>
      <c r="O579" s="221">
        <f ca="1">IF($S$1&lt;DATE(2025,10,1)," ",SUMIFS('2025数据'!$AQ$3:$AQ$181,'2025数据'!$H$3:$H$181,"&gt;="&amp;DATE(2025,10,1),'2025数据'!$H$3:$H$181,"&lt;="&amp;DATE(2025,10,31),'2025数据'!$AS$3:$AS$181,$E37)/10000)</f>
        <v>2.208588</v>
      </c>
      <c r="P579" s="225">
        <f ca="1">IF($S$1&lt;DATE(2025,11,1)," ",SUMIFS('2025数据'!$AQ$3:$AQ$181,'2025数据'!$H$3:$H$181,"&gt;="&amp;DATE(2025,11,1),'2025数据'!$H$3:$H$181,"&lt;="&amp;DATE(2025,11,30),'2025数据'!$AS$3:$AS$181,$E37)/10000)</f>
        <v>0</v>
      </c>
      <c r="Q579" s="225">
        <f ca="1">IF($S$1&lt;DATE(2025,12,1)," ",SUMIFS('2025数据'!$AQ$3:$AQ$181,'2025数据'!$H$3:$H$181,"&gt;="&amp;DATE(2025,12,1),'2025数据'!$H$3:$H$181,"&lt;="&amp;DATE(2025,12,31),'2025数据'!$AS$3:$AS$181,$E37)/10000)</f>
        <v>0</v>
      </c>
    </row>
    <row r="580" ht="24" customHeight="1" spans="1:17">
      <c r="A580" s="99" t="s">
        <v>345</v>
      </c>
      <c r="B580" s="99" t="s">
        <v>299</v>
      </c>
      <c r="C580" s="99" t="s">
        <v>333</v>
      </c>
      <c r="D580" s="218" t="s">
        <v>292</v>
      </c>
      <c r="E580" s="220" t="s">
        <v>341</v>
      </c>
      <c r="F580" s="221">
        <f ca="1">IF($S$1&lt;DATE(2025,1,1)," ",SUMIFS('2025数据'!$AQ$3:$AQ$181,'2025数据'!$H$3:$H$181,"&gt;="&amp;DATE(2025,1,1),'2025数据'!$H$3:$H$181,"&lt;="&amp;DATE(2025,1,31),'2025数据'!$AS$3:$AS$181,$E38)/10000)</f>
        <v>0</v>
      </c>
      <c r="G580" s="221">
        <f ca="1">IF($S$1&lt;DATE(2025,2,1)," ",SUMIFS('2025数据'!$AQ$3:$AQ$181,'2025数据'!$H$3:$H$181,"&gt;="&amp;DATE(2025,2,1),'2025数据'!$H$3:$H$181,"&lt;="&amp;DATE(2025,2,28),'2025数据'!$AS$3:$AS$181,$E38)/10000)</f>
        <v>1.542649</v>
      </c>
      <c r="H580" s="221">
        <f ca="1">IF($S$1&lt;DATE(2025,3,1)," ",SUMIFS('2025数据'!$AQ$3:$AQ$181,'2025数据'!$H$3:$H$181,"&gt;="&amp;DATE(2025,3,1),'2025数据'!$H$3:$H$181,"&lt;="&amp;DATE(2025,3,31),'2025数据'!$AS$3:$AS$181,$E38)/10000)</f>
        <v>0</v>
      </c>
      <c r="I580" s="221">
        <f ca="1">IF($S$1&lt;DATE(2025,4,1)," ",SUMIFS('2025数据'!$AQ$3:$AQ$181,'2025数据'!$H$3:$H$181,"&gt;="&amp;DATE(2025,4,1),'2025数据'!$H$3:$H$181,"&lt;="&amp;DATE(2025,4,30),'2025数据'!$AS$3:$AS$181,$E38)/10000)</f>
        <v>0</v>
      </c>
      <c r="J580" s="221">
        <f ca="1">IF($S$1&lt;DATE(2025,5,1)," ",SUMIFS('2025数据'!$AQ$3:$AQ$181,'2025数据'!$H$3:$H$181,"&gt;="&amp;DATE(2025,5,1),'2025数据'!$H$3:$H$181,"&lt;="&amp;DATE(2025,5,31),'2025数据'!$AS$3:$AS$181,$E38)/10000)</f>
        <v>0</v>
      </c>
      <c r="K580" s="221">
        <f ca="1">IF($S$1&lt;DATE(2025,6,1)," ",SUMIFS('2025数据'!$AQ$3:$AQ$181,'2025数据'!$H$3:$H$181,"&gt;="&amp;DATE(2025,6,1),'2025数据'!$H$3:$H$181,"&lt;="&amp;DATE(2025,6,30),'2025数据'!$AS$3:$AS$181,$E38)/10000)</f>
        <v>0</v>
      </c>
      <c r="L580" s="221">
        <f ca="1">IF($S$1&lt;DATE(2025,7,1)," ",SUMIFS('2025数据'!$AQ$3:$AQ$181,'2025数据'!$H$3:$H$181,"&gt;="&amp;DATE(2025,7,1),'2025数据'!$H$3:$H$181,"&lt;="&amp;DATE(2025,7,31),'2025数据'!$AS$3:$AS$181,$E38)/10000)</f>
        <v>0</v>
      </c>
      <c r="M580" s="221">
        <f ca="1">IF($S$1&lt;DATE(2025,8,1)," ",SUMIFS('2025数据'!$AQ$3:$AQ$181,'2025数据'!$H$3:$H$181,"&gt;="&amp;DATE(2025,8,1),'2025数据'!$H$3:$H$181,"&lt;="&amp;DATE(2025,8,31),'2025数据'!$AS$3:$AS$181,$E38)/10000)</f>
        <v>0</v>
      </c>
      <c r="N580" s="221">
        <f ca="1">IF($S$1&lt;DATE(2025,9,1)," ",SUMIFS('2025数据'!$AQ$3:$AQ$181,'2025数据'!$H$3:$H$181,"&gt;="&amp;DATE(2025,9,1),'2025数据'!$H$3:$H$181,"&lt;="&amp;DATE(2025,9,30),'2025数据'!$AS$3:$AS$181,$E38)/10000)</f>
        <v>0.120687</v>
      </c>
      <c r="O580" s="221">
        <f ca="1">IF($S$1&lt;DATE(2025,10,1)," ",SUMIFS('2025数据'!$AQ$3:$AQ$181,'2025数据'!$H$3:$H$181,"&gt;="&amp;DATE(2025,10,1),'2025数据'!$H$3:$H$181,"&lt;="&amp;DATE(2025,10,31),'2025数据'!$AS$3:$AS$181,$E38)/10000)</f>
        <v>0</v>
      </c>
      <c r="P580" s="225">
        <f ca="1">IF($S$1&lt;DATE(2025,11,1)," ",SUMIFS('2025数据'!$AQ$3:$AQ$181,'2025数据'!$H$3:$H$181,"&gt;="&amp;DATE(2025,11,1),'2025数据'!$H$3:$H$181,"&lt;="&amp;DATE(2025,11,30),'2025数据'!$AS$3:$AS$181,$E38)/10000)</f>
        <v>0</v>
      </c>
      <c r="Q580" s="225">
        <f ca="1">IF($S$1&lt;DATE(2025,12,1)," ",SUMIFS('2025数据'!$AQ$3:$AQ$181,'2025数据'!$H$3:$H$181,"&gt;="&amp;DATE(2025,12,1),'2025数据'!$H$3:$H$181,"&lt;="&amp;DATE(2025,12,31),'2025数据'!$AS$3:$AS$181,$E38)/10000)</f>
        <v>0</v>
      </c>
    </row>
    <row r="581" ht="24" customHeight="1" spans="1:17">
      <c r="A581" s="99" t="s">
        <v>345</v>
      </c>
      <c r="B581" s="99" t="s">
        <v>299</v>
      </c>
      <c r="C581" s="99" t="s">
        <v>333</v>
      </c>
      <c r="D581" s="218" t="s">
        <v>292</v>
      </c>
      <c r="E581" s="220" t="s">
        <v>342</v>
      </c>
      <c r="F581" s="221">
        <f ca="1">IF($S$1&lt;DATE(2025,1,1)," ",SUMIFS('2025数据'!$AQ$3:$AQ$181,'2025数据'!$H$3:$H$181,"&gt;="&amp;DATE(2025,1,1),'2025数据'!$H$3:$H$181,"&lt;="&amp;DATE(2025,1,31),'2025数据'!$AS$3:$AS$181,$E39)/10000)</f>
        <v>0</v>
      </c>
      <c r="G581" s="221">
        <f ca="1">IF($S$1&lt;DATE(2025,2,1)," ",SUMIFS('2025数据'!$AQ$3:$AQ$181,'2025数据'!$H$3:$H$181,"&gt;="&amp;DATE(2025,2,1),'2025数据'!$H$3:$H$181,"&lt;="&amp;DATE(2025,2,28),'2025数据'!$AS$3:$AS$181,$E39)/10000)</f>
        <v>0</v>
      </c>
      <c r="H581" s="221">
        <f ca="1">IF($S$1&lt;DATE(2025,3,1)," ",SUMIFS('2025数据'!$AQ$3:$AQ$181,'2025数据'!$H$3:$H$181,"&gt;="&amp;DATE(2025,3,1),'2025数据'!$H$3:$H$181,"&lt;="&amp;DATE(2025,3,31),'2025数据'!$AS$3:$AS$181,$E39)/10000)</f>
        <v>0</v>
      </c>
      <c r="I581" s="221">
        <f ca="1">IF($S$1&lt;DATE(2025,4,1)," ",SUMIFS('2025数据'!$AQ$3:$AQ$181,'2025数据'!$H$3:$H$181,"&gt;="&amp;DATE(2025,4,1),'2025数据'!$H$3:$H$181,"&lt;="&amp;DATE(2025,4,30),'2025数据'!$AS$3:$AS$181,$E39)/10000)</f>
        <v>0</v>
      </c>
      <c r="J581" s="221">
        <f ca="1">IF($S$1&lt;DATE(2025,5,1)," ",SUMIFS('2025数据'!$AQ$3:$AQ$181,'2025数据'!$H$3:$H$181,"&gt;="&amp;DATE(2025,5,1),'2025数据'!$H$3:$H$181,"&lt;="&amp;DATE(2025,5,31),'2025数据'!$AS$3:$AS$181,$E39)/10000)</f>
        <v>0</v>
      </c>
      <c r="K581" s="221">
        <f ca="1">IF($S$1&lt;DATE(2025,6,1)," ",SUMIFS('2025数据'!$AQ$3:$AQ$181,'2025数据'!$H$3:$H$181,"&gt;="&amp;DATE(2025,6,1),'2025数据'!$H$3:$H$181,"&lt;="&amp;DATE(2025,6,30),'2025数据'!$AS$3:$AS$181,$E39)/10000)</f>
        <v>0</v>
      </c>
      <c r="L581" s="221">
        <f ca="1">IF($S$1&lt;DATE(2025,7,1)," ",SUMIFS('2025数据'!$AQ$3:$AQ$181,'2025数据'!$H$3:$H$181,"&gt;="&amp;DATE(2025,7,1),'2025数据'!$H$3:$H$181,"&lt;="&amp;DATE(2025,7,31),'2025数据'!$AS$3:$AS$181,$E39)/10000)</f>
        <v>0</v>
      </c>
      <c r="M581" s="221">
        <f ca="1">IF($S$1&lt;DATE(2025,8,1)," ",SUMIFS('2025数据'!$AQ$3:$AQ$181,'2025数据'!$H$3:$H$181,"&gt;="&amp;DATE(2025,8,1),'2025数据'!$H$3:$H$181,"&lt;="&amp;DATE(2025,8,31),'2025数据'!$AS$3:$AS$181,$E39)/10000)</f>
        <v>0</v>
      </c>
      <c r="N581" s="221">
        <f ca="1">IF($S$1&lt;DATE(2025,9,1)," ",SUMIFS('2025数据'!$AQ$3:$AQ$181,'2025数据'!$H$3:$H$181,"&gt;="&amp;DATE(2025,9,1),'2025数据'!$H$3:$H$181,"&lt;="&amp;DATE(2025,9,30),'2025数据'!$AS$3:$AS$181,$E39)/10000)</f>
        <v>0</v>
      </c>
      <c r="O581" s="221">
        <f ca="1">IF($S$1&lt;DATE(2025,10,1)," ",SUMIFS('2025数据'!$AQ$3:$AQ$181,'2025数据'!$H$3:$H$181,"&gt;="&amp;DATE(2025,10,1),'2025数据'!$H$3:$H$181,"&lt;="&amp;DATE(2025,10,31),'2025数据'!$AS$3:$AS$181,$E39)/10000)</f>
        <v>0</v>
      </c>
      <c r="P581" s="225">
        <f ca="1">IF($S$1&lt;DATE(2025,11,1)," ",SUMIFS('2025数据'!$AQ$3:$AQ$181,'2025数据'!$H$3:$H$181,"&gt;="&amp;DATE(2025,11,1),'2025数据'!$H$3:$H$181,"&lt;="&amp;DATE(2025,11,30),'2025数据'!$AS$3:$AS$181,$E39)/10000)</f>
        <v>0</v>
      </c>
      <c r="Q581" s="225">
        <f ca="1">IF($S$1&lt;DATE(2025,12,1)," ",SUMIFS('2025数据'!$AQ$3:$AQ$181,'2025数据'!$H$3:$H$181,"&gt;="&amp;DATE(2025,12,1),'2025数据'!$H$3:$H$181,"&lt;="&amp;DATE(2025,12,31),'2025数据'!$AS$3:$AS$181,$E39)/10000)</f>
        <v>0</v>
      </c>
    </row>
    <row r="582" ht="24" customHeight="1" spans="1:17">
      <c r="A582" s="99" t="s">
        <v>345</v>
      </c>
      <c r="B582" s="99" t="s">
        <v>299</v>
      </c>
      <c r="C582" s="99" t="s">
        <v>343</v>
      </c>
      <c r="D582" s="218" t="s">
        <v>292</v>
      </c>
      <c r="E582" s="220" t="s">
        <v>340</v>
      </c>
      <c r="F582" s="222">
        <f ca="1" t="shared" ref="F582:F584" si="499">IF($S$1&lt;DATE(2025,1,1)," ",F579)</f>
        <v>0</v>
      </c>
      <c r="G582" s="222">
        <f ca="1" t="shared" ref="G582:G584" si="500">IF($S$1&lt;DATE(2025,2,1)," ",F582+G579)</f>
        <v>0</v>
      </c>
      <c r="H582" s="222">
        <f ca="1" t="shared" ref="H582:H584" si="501">IF($S$1&lt;DATE(2025,3,1)," ",G582+H579)</f>
        <v>0</v>
      </c>
      <c r="I582" s="222">
        <f ca="1" t="shared" ref="I582:I584" si="502">IF($S$1&lt;DATE(2025,4,1)," ",H582+I579)</f>
        <v>0</v>
      </c>
      <c r="J582" s="222">
        <f ca="1" t="shared" ref="J582:J584" si="503">IF($S$1&lt;DATE(2025,5,1)," ",I582+J579)</f>
        <v>0</v>
      </c>
      <c r="K582" s="222">
        <f ca="1" t="shared" ref="K582:K584" si="504">IF($S$1&lt;DATE(2025,6,1)," ",J582+K579)</f>
        <v>0</v>
      </c>
      <c r="L582" s="222">
        <f ca="1" t="shared" ref="L582:L584" si="505">IF($S$1&lt;DATE(2025,7,1)," ",K582+L579)</f>
        <v>0</v>
      </c>
      <c r="M582" s="222">
        <f ca="1" t="shared" ref="M582:M584" si="506">IF($S$1&lt;DATE(2025,8,1)," ",L582+M579)</f>
        <v>0</v>
      </c>
      <c r="N582" s="222">
        <f ca="1" t="shared" ref="N582:N584" si="507">IF($S$1&lt;DATE(2025,9,1)," ",M582+N579)</f>
        <v>0</v>
      </c>
      <c r="O582" s="222">
        <f ca="1" t="shared" ref="O582:O584" si="508">IF($S$1&lt;DATE(2025,10,1)," ",N582+O579)</f>
        <v>2.208588</v>
      </c>
      <c r="P582" s="222">
        <f ca="1" t="shared" ref="P582:P584" si="509">IF($S$1&lt;DATE(2025,11,1)," ",O582+P579)</f>
        <v>2.208588</v>
      </c>
      <c r="Q582" s="222">
        <f ca="1" t="shared" ref="Q582:Q584" si="510">IF($S$1&lt;DATE(2025,12,1)," ",P582+Q579)</f>
        <v>2.208588</v>
      </c>
    </row>
    <row r="583" ht="24" customHeight="1" spans="1:17">
      <c r="A583" s="99" t="s">
        <v>345</v>
      </c>
      <c r="B583" s="99" t="s">
        <v>299</v>
      </c>
      <c r="C583" s="99" t="s">
        <v>343</v>
      </c>
      <c r="D583" s="218" t="s">
        <v>292</v>
      </c>
      <c r="E583" s="220" t="s">
        <v>341</v>
      </c>
      <c r="F583" s="222">
        <f ca="1" t="shared" si="499"/>
        <v>0</v>
      </c>
      <c r="G583" s="222">
        <f ca="1" t="shared" si="500"/>
        <v>1.542649</v>
      </c>
      <c r="H583" s="222">
        <f ca="1" t="shared" si="501"/>
        <v>1.542649</v>
      </c>
      <c r="I583" s="222">
        <f ca="1" t="shared" si="502"/>
        <v>1.542649</v>
      </c>
      <c r="J583" s="222">
        <f ca="1" t="shared" si="503"/>
        <v>1.542649</v>
      </c>
      <c r="K583" s="222">
        <f ca="1" t="shared" si="504"/>
        <v>1.542649</v>
      </c>
      <c r="L583" s="222">
        <f ca="1" t="shared" si="505"/>
        <v>1.542649</v>
      </c>
      <c r="M583" s="222">
        <f ca="1" t="shared" si="506"/>
        <v>1.542649</v>
      </c>
      <c r="N583" s="222">
        <f ca="1" t="shared" si="507"/>
        <v>1.663336</v>
      </c>
      <c r="O583" s="222">
        <f ca="1" t="shared" si="508"/>
        <v>1.663336</v>
      </c>
      <c r="P583" s="222">
        <f ca="1" t="shared" si="509"/>
        <v>1.663336</v>
      </c>
      <c r="Q583" s="222">
        <f ca="1" t="shared" si="510"/>
        <v>1.663336</v>
      </c>
    </row>
    <row r="584" ht="24" customHeight="1" spans="1:17">
      <c r="A584" s="99" t="s">
        <v>345</v>
      </c>
      <c r="B584" s="99" t="s">
        <v>299</v>
      </c>
      <c r="C584" s="99" t="s">
        <v>343</v>
      </c>
      <c r="D584" s="218" t="s">
        <v>292</v>
      </c>
      <c r="E584" s="220" t="s">
        <v>342</v>
      </c>
      <c r="F584" s="222">
        <f ca="1" t="shared" si="499"/>
        <v>0</v>
      </c>
      <c r="G584" s="222">
        <f ca="1" t="shared" si="500"/>
        <v>0</v>
      </c>
      <c r="H584" s="222">
        <f ca="1" t="shared" si="501"/>
        <v>0</v>
      </c>
      <c r="I584" s="222">
        <f ca="1" t="shared" si="502"/>
        <v>0</v>
      </c>
      <c r="J584" s="222">
        <f ca="1" t="shared" si="503"/>
        <v>0</v>
      </c>
      <c r="K584" s="222">
        <f ca="1" t="shared" si="504"/>
        <v>0</v>
      </c>
      <c r="L584" s="222">
        <f ca="1" t="shared" si="505"/>
        <v>0</v>
      </c>
      <c r="M584" s="222">
        <f ca="1" t="shared" si="506"/>
        <v>0</v>
      </c>
      <c r="N584" s="222">
        <f ca="1" t="shared" si="507"/>
        <v>0</v>
      </c>
      <c r="O584" s="222">
        <f ca="1" t="shared" si="508"/>
        <v>0</v>
      </c>
      <c r="P584" s="222">
        <f ca="1" t="shared" si="509"/>
        <v>0</v>
      </c>
      <c r="Q584" s="222">
        <f ca="1" t="shared" si="510"/>
        <v>0</v>
      </c>
    </row>
    <row r="585" ht="24" customHeight="1" spans="1:17">
      <c r="A585" s="99" t="s">
        <v>345</v>
      </c>
      <c r="B585" s="99" t="s">
        <v>299</v>
      </c>
      <c r="C585" s="99" t="s">
        <v>343</v>
      </c>
      <c r="D585" s="114" t="s">
        <v>292</v>
      </c>
      <c r="E585" s="114" t="s">
        <v>320</v>
      </c>
      <c r="F585" s="215">
        <f ca="1">IF($S$1&lt;DATE(2025,1,1)," ",IF(SUM(F586:F592)&lt;&gt;SUM(F600:F604),"ERR",SUM(F586:F592)))</f>
        <v>0</v>
      </c>
      <c r="G585" s="215">
        <f ca="1">IF($S$1&lt;DATE(2025,2,1)," ",IF(SUM(G586:G592)&lt;&gt;SUM(G600:G604),"ERR",SUM(G586:G592)))</f>
        <v>1.6871</v>
      </c>
      <c r="H585" s="215">
        <f ca="1">IF($S$1&lt;DATE(2025,3,1)," ",IF(SUM(H586:H592)&lt;&gt;SUM(H600:H604),"ERR",SUM(H586:H592)))</f>
        <v>1.6871</v>
      </c>
      <c r="I585" s="215">
        <f ca="1">IF($S$1&lt;DATE(2025,4,1)," ",IF(SUM(I586:I592)&lt;&gt;SUM(I600:I604),"ERR",SUM(I586:I592)))</f>
        <v>1.6871</v>
      </c>
      <c r="J585" s="215">
        <f ca="1">IF($S$1&lt;DATE(2025,5,1)," ",IF(SUM(J586:J592)&lt;&gt;SUM(J600:J604),"ERR",SUM(J586:J592)))</f>
        <v>1.6871</v>
      </c>
      <c r="K585" s="215">
        <f ca="1">IF($S$1&lt;DATE(2025,6,1)," ",IF(SUM(K586:K592)&lt;&gt;SUM(K600:K604),"ERR",SUM(K586:K592)))</f>
        <v>1.6871</v>
      </c>
      <c r="L585" s="215">
        <f ca="1">IF($S$1&lt;DATE(2025,7,1)," ",IF(SUM(L586:L592)&lt;&gt;SUM(L600:L604),"ERR",SUM(L586:L592)))</f>
        <v>1.6871</v>
      </c>
      <c r="M585" s="215">
        <f ca="1">IF($S$1&lt;DATE(2025,8,1)," ",IF(SUM(M586:M592)&lt;&gt;SUM(M600:M604),"ERR",SUM(M586:M592)))</f>
        <v>1.6871</v>
      </c>
      <c r="N585" s="215">
        <f ca="1">IF($S$1&lt;DATE(2025,9,1)," ",IF(SUM(N586:N592)&lt;&gt;SUM(N600:N604),"ERR",SUM(N586:N592)))</f>
        <v>1.824858</v>
      </c>
      <c r="O585" s="215">
        <f ca="1">IF($S$1&lt;DATE(2025,10,1)," ",IF(SUM(O586:O592)&lt;&gt;SUM(O600:O604),"ERR",SUM(O586:O592)))</f>
        <v>3.974658</v>
      </c>
      <c r="P585" s="215">
        <f ca="1">IF($S$1&lt;DATE(2025,11,1)," ",IF(SUM(P586:P592)&lt;&gt;SUM(P600:P604),"ERR",SUM(P586:P592)))</f>
        <v>3.974658</v>
      </c>
      <c r="Q585" s="215">
        <f ca="1">IF($S$1&lt;DATE(2025,12,1)," ",IF(SUM(Q586:Q592)&lt;&gt;SUM(Q600:Q604),"ERR",SUM(Q586:Q592)))</f>
        <v>3.974658</v>
      </c>
    </row>
    <row r="586" ht="24" customHeight="1" spans="1:17">
      <c r="A586" s="99" t="s">
        <v>345</v>
      </c>
      <c r="B586" s="99" t="s">
        <v>299</v>
      </c>
      <c r="C586" s="99" t="s">
        <v>343</v>
      </c>
      <c r="D586" s="48" t="s">
        <v>31</v>
      </c>
      <c r="E586" s="48" t="s">
        <v>90</v>
      </c>
      <c r="F586" s="51">
        <f ca="1" t="shared" ref="F586:F592" si="511">IF($S$1&lt;DATE(2025,1,1)," ",F534)</f>
        <v>0</v>
      </c>
      <c r="G586" s="51">
        <f ca="1" t="shared" ref="G586:G592" si="512">IF($S$1&lt;DATE(2025,2,1)," ",G534+F586)</f>
        <v>0</v>
      </c>
      <c r="H586" s="51">
        <f ca="1" t="shared" ref="H586:H592" si="513">IF($S$1&lt;DATE(2025,3,1)," ",H534+G586)</f>
        <v>0</v>
      </c>
      <c r="I586" s="51">
        <f ca="1" t="shared" ref="I586:I592" si="514">IF($S$1&lt;DATE(2025,4,1)," ",I534+H586)</f>
        <v>0</v>
      </c>
      <c r="J586" s="51">
        <f ca="1" t="shared" ref="J586:J592" si="515">IF($S$1&lt;DATE(2025,5,1)," ",J534+I586)</f>
        <v>0</v>
      </c>
      <c r="K586" s="51">
        <f ca="1" t="shared" ref="K586:K592" si="516">IF($S$1&lt;DATE(2025,6,1)," ",K534+J586)</f>
        <v>0</v>
      </c>
      <c r="L586" s="51">
        <f ca="1" t="shared" ref="L586:L592" si="517">IF($S$1&lt;DATE(2025,7,1)," ",L534+K586)</f>
        <v>0</v>
      </c>
      <c r="M586" s="51">
        <f ca="1" t="shared" ref="M586:M592" si="518">IF($S$1&lt;DATE(2025,8,1)," ",M534+L586)</f>
        <v>0</v>
      </c>
      <c r="N586" s="51">
        <f ca="1" t="shared" ref="N586:N592" si="519">IF($S$1&lt;DATE(2025,9,1)," ",N534+M586)</f>
        <v>0</v>
      </c>
      <c r="O586" s="51">
        <f ca="1" t="shared" ref="O586:O592" si="520">IF($S$1&lt;DATE(2025,10,1)," ",O534+N586)</f>
        <v>1.271217</v>
      </c>
      <c r="P586" s="51">
        <f ca="1" t="shared" ref="P586:P592" si="521">IF($S$1&lt;DATE(2025,11,1)," ",P534+O586)</f>
        <v>1.271217</v>
      </c>
      <c r="Q586" s="51">
        <f ca="1" t="shared" ref="Q586:Q592" si="522">IF($S$1&lt;DATE(2025,12,1)," ",Q534+P586)</f>
        <v>1.271217</v>
      </c>
    </row>
    <row r="587" ht="24" customHeight="1" spans="1:17">
      <c r="A587" s="99" t="s">
        <v>345</v>
      </c>
      <c r="B587" s="99" t="s">
        <v>299</v>
      </c>
      <c r="C587" s="99" t="s">
        <v>343</v>
      </c>
      <c r="D587" s="48" t="s">
        <v>31</v>
      </c>
      <c r="E587" s="48" t="s">
        <v>82</v>
      </c>
      <c r="F587" s="51">
        <f ca="1" t="shared" si="511"/>
        <v>0</v>
      </c>
      <c r="G587" s="51">
        <f ca="1" t="shared" si="512"/>
        <v>1.6871</v>
      </c>
      <c r="H587" s="51">
        <f ca="1" t="shared" si="513"/>
        <v>1.6871</v>
      </c>
      <c r="I587" s="51">
        <f ca="1" t="shared" si="514"/>
        <v>1.6871</v>
      </c>
      <c r="J587" s="51">
        <f ca="1" t="shared" si="515"/>
        <v>1.6871</v>
      </c>
      <c r="K587" s="51">
        <f ca="1" t="shared" si="516"/>
        <v>1.6871</v>
      </c>
      <c r="L587" s="51">
        <f ca="1" t="shared" si="517"/>
        <v>1.6871</v>
      </c>
      <c r="M587" s="51">
        <f ca="1" t="shared" si="518"/>
        <v>1.6871</v>
      </c>
      <c r="N587" s="51">
        <f ca="1" t="shared" si="519"/>
        <v>1.6871</v>
      </c>
      <c r="O587" s="51">
        <f ca="1" t="shared" si="520"/>
        <v>2.565683</v>
      </c>
      <c r="P587" s="51">
        <f ca="1" t="shared" si="521"/>
        <v>2.565683</v>
      </c>
      <c r="Q587" s="51">
        <f ca="1" t="shared" si="522"/>
        <v>2.565683</v>
      </c>
    </row>
    <row r="588" ht="24" customHeight="1" spans="1:17">
      <c r="A588" s="99" t="s">
        <v>345</v>
      </c>
      <c r="B588" s="99" t="s">
        <v>299</v>
      </c>
      <c r="C588" s="99" t="s">
        <v>343</v>
      </c>
      <c r="D588" s="48" t="s">
        <v>31</v>
      </c>
      <c r="E588" s="48" t="s">
        <v>86</v>
      </c>
      <c r="F588" s="51">
        <f ca="1" t="shared" si="511"/>
        <v>0</v>
      </c>
      <c r="G588" s="51">
        <f ca="1" t="shared" si="512"/>
        <v>0</v>
      </c>
      <c r="H588" s="51">
        <f ca="1" t="shared" si="513"/>
        <v>0</v>
      </c>
      <c r="I588" s="51">
        <f ca="1" t="shared" si="514"/>
        <v>0</v>
      </c>
      <c r="J588" s="51">
        <f ca="1" t="shared" si="515"/>
        <v>0</v>
      </c>
      <c r="K588" s="51">
        <f ca="1" t="shared" si="516"/>
        <v>0</v>
      </c>
      <c r="L588" s="51">
        <f ca="1" t="shared" si="517"/>
        <v>0</v>
      </c>
      <c r="M588" s="51">
        <f ca="1" t="shared" si="518"/>
        <v>0</v>
      </c>
      <c r="N588" s="51">
        <f ca="1" t="shared" si="519"/>
        <v>0</v>
      </c>
      <c r="O588" s="51">
        <f ca="1" t="shared" si="520"/>
        <v>0</v>
      </c>
      <c r="P588" s="51">
        <f ca="1" t="shared" si="521"/>
        <v>0</v>
      </c>
      <c r="Q588" s="51">
        <f ca="1" t="shared" si="522"/>
        <v>0</v>
      </c>
    </row>
    <row r="589" ht="24" customHeight="1" spans="1:17">
      <c r="A589" s="99" t="s">
        <v>345</v>
      </c>
      <c r="B589" s="99" t="s">
        <v>299</v>
      </c>
      <c r="C589" s="99" t="s">
        <v>343</v>
      </c>
      <c r="D589" s="48" t="s">
        <v>31</v>
      </c>
      <c r="E589" s="48" t="s">
        <v>97</v>
      </c>
      <c r="F589" s="51">
        <f ca="1" t="shared" si="511"/>
        <v>0</v>
      </c>
      <c r="G589" s="51">
        <f ca="1" t="shared" si="512"/>
        <v>0</v>
      </c>
      <c r="H589" s="51">
        <f ca="1" t="shared" si="513"/>
        <v>0</v>
      </c>
      <c r="I589" s="51">
        <f ca="1" t="shared" si="514"/>
        <v>0</v>
      </c>
      <c r="J589" s="51">
        <f ca="1" t="shared" si="515"/>
        <v>0</v>
      </c>
      <c r="K589" s="51">
        <f ca="1" t="shared" si="516"/>
        <v>0</v>
      </c>
      <c r="L589" s="51">
        <f ca="1" t="shared" si="517"/>
        <v>0</v>
      </c>
      <c r="M589" s="51">
        <f ca="1" t="shared" si="518"/>
        <v>0</v>
      </c>
      <c r="N589" s="51">
        <f ca="1" t="shared" si="519"/>
        <v>0.137758</v>
      </c>
      <c r="O589" s="51">
        <f ca="1" t="shared" si="520"/>
        <v>0.137758</v>
      </c>
      <c r="P589" s="51">
        <f ca="1" t="shared" si="521"/>
        <v>0.137758</v>
      </c>
      <c r="Q589" s="51">
        <f ca="1" t="shared" si="522"/>
        <v>0.137758</v>
      </c>
    </row>
    <row r="590" ht="24" customHeight="1" spans="1:17">
      <c r="A590" s="99" t="s">
        <v>345</v>
      </c>
      <c r="B590" s="99" t="s">
        <v>299</v>
      </c>
      <c r="C590" s="99" t="s">
        <v>343</v>
      </c>
      <c r="D590" s="48" t="s">
        <v>31</v>
      </c>
      <c r="E590" s="48" t="s">
        <v>87</v>
      </c>
      <c r="F590" s="51">
        <f ca="1" t="shared" si="511"/>
        <v>0</v>
      </c>
      <c r="G590" s="51">
        <f ca="1" t="shared" si="512"/>
        <v>0</v>
      </c>
      <c r="H590" s="51">
        <f ca="1" t="shared" si="513"/>
        <v>0</v>
      </c>
      <c r="I590" s="51">
        <f ca="1" t="shared" si="514"/>
        <v>0</v>
      </c>
      <c r="J590" s="51">
        <f ca="1" t="shared" si="515"/>
        <v>0</v>
      </c>
      <c r="K590" s="51">
        <f ca="1" t="shared" si="516"/>
        <v>0</v>
      </c>
      <c r="L590" s="51">
        <f ca="1" t="shared" si="517"/>
        <v>0</v>
      </c>
      <c r="M590" s="51">
        <f ca="1" t="shared" si="518"/>
        <v>0</v>
      </c>
      <c r="N590" s="51">
        <f ca="1" t="shared" si="519"/>
        <v>0</v>
      </c>
      <c r="O590" s="51">
        <f ca="1" t="shared" si="520"/>
        <v>0</v>
      </c>
      <c r="P590" s="51">
        <f ca="1" t="shared" si="521"/>
        <v>0</v>
      </c>
      <c r="Q590" s="51">
        <f ca="1" t="shared" si="522"/>
        <v>0</v>
      </c>
    </row>
    <row r="591" ht="24" customHeight="1" spans="1:17">
      <c r="A591" s="99" t="s">
        <v>345</v>
      </c>
      <c r="B591" s="99" t="s">
        <v>299</v>
      </c>
      <c r="C591" s="99" t="s">
        <v>343</v>
      </c>
      <c r="D591" s="48" t="s">
        <v>31</v>
      </c>
      <c r="E591" s="48" t="s">
        <v>149</v>
      </c>
      <c r="F591" s="51">
        <f ca="1" t="shared" si="511"/>
        <v>0</v>
      </c>
      <c r="G591" s="51">
        <f ca="1" t="shared" si="512"/>
        <v>0</v>
      </c>
      <c r="H591" s="51">
        <f ca="1" t="shared" si="513"/>
        <v>0</v>
      </c>
      <c r="I591" s="51">
        <f ca="1" t="shared" si="514"/>
        <v>0</v>
      </c>
      <c r="J591" s="51">
        <f ca="1" t="shared" si="515"/>
        <v>0</v>
      </c>
      <c r="K591" s="51">
        <f ca="1" t="shared" si="516"/>
        <v>0</v>
      </c>
      <c r="L591" s="51">
        <f ca="1" t="shared" si="517"/>
        <v>0</v>
      </c>
      <c r="M591" s="51">
        <f ca="1" t="shared" si="518"/>
        <v>0</v>
      </c>
      <c r="N591" s="51">
        <f ca="1" t="shared" si="519"/>
        <v>0</v>
      </c>
      <c r="O591" s="51">
        <f ca="1" t="shared" si="520"/>
        <v>0</v>
      </c>
      <c r="P591" s="51">
        <f ca="1" t="shared" si="521"/>
        <v>0</v>
      </c>
      <c r="Q591" s="51">
        <f ca="1" t="shared" si="522"/>
        <v>0</v>
      </c>
    </row>
    <row r="592" ht="24" customHeight="1" spans="1:17">
      <c r="A592" s="99" t="s">
        <v>345</v>
      </c>
      <c r="B592" s="99" t="s">
        <v>299</v>
      </c>
      <c r="C592" s="99" t="s">
        <v>343</v>
      </c>
      <c r="D592" s="48" t="s">
        <v>31</v>
      </c>
      <c r="E592" s="48" t="s">
        <v>83</v>
      </c>
      <c r="F592" s="51">
        <f ca="1" t="shared" si="511"/>
        <v>0</v>
      </c>
      <c r="G592" s="51">
        <f ca="1" t="shared" si="512"/>
        <v>0</v>
      </c>
      <c r="H592" s="51">
        <f ca="1" t="shared" si="513"/>
        <v>0</v>
      </c>
      <c r="I592" s="51">
        <f ca="1" t="shared" si="514"/>
        <v>0</v>
      </c>
      <c r="J592" s="51">
        <f ca="1" t="shared" si="515"/>
        <v>0</v>
      </c>
      <c r="K592" s="51">
        <f ca="1" t="shared" si="516"/>
        <v>0</v>
      </c>
      <c r="L592" s="51">
        <f ca="1" t="shared" si="517"/>
        <v>0</v>
      </c>
      <c r="M592" s="51">
        <f ca="1" t="shared" si="518"/>
        <v>0</v>
      </c>
      <c r="N592" s="51">
        <f ca="1" t="shared" si="519"/>
        <v>0</v>
      </c>
      <c r="O592" s="51">
        <f ca="1" t="shared" si="520"/>
        <v>0</v>
      </c>
      <c r="P592" s="51">
        <f ca="1" t="shared" si="521"/>
        <v>0</v>
      </c>
      <c r="Q592" s="51">
        <f ca="1" t="shared" si="522"/>
        <v>0</v>
      </c>
    </row>
    <row r="593" ht="24" customHeight="1" spans="1:17">
      <c r="A593" s="99" t="s">
        <v>345</v>
      </c>
      <c r="B593" s="99" t="s">
        <v>299</v>
      </c>
      <c r="C593" s="99" t="s">
        <v>343</v>
      </c>
      <c r="D593" s="48" t="s">
        <v>321</v>
      </c>
      <c r="E593" s="48" t="s">
        <v>90</v>
      </c>
      <c r="F593" s="112" t="str">
        <f ca="1" t="shared" ref="F593:Q593" si="523">IFERROR(F586/F585," ")</f>
        <v> </v>
      </c>
      <c r="G593" s="112">
        <f ca="1" t="shared" si="523"/>
        <v>0</v>
      </c>
      <c r="H593" s="112">
        <f ca="1" t="shared" si="523"/>
        <v>0</v>
      </c>
      <c r="I593" s="112">
        <f ca="1" t="shared" si="523"/>
        <v>0</v>
      </c>
      <c r="J593" s="112">
        <f ca="1" t="shared" si="523"/>
        <v>0</v>
      </c>
      <c r="K593" s="112">
        <f ca="1" t="shared" si="523"/>
        <v>0</v>
      </c>
      <c r="L593" s="112">
        <f ca="1" t="shared" si="523"/>
        <v>0</v>
      </c>
      <c r="M593" s="112">
        <f ca="1" t="shared" si="523"/>
        <v>0</v>
      </c>
      <c r="N593" s="112">
        <f ca="1" t="shared" si="523"/>
        <v>0</v>
      </c>
      <c r="O593" s="112">
        <f ca="1" t="shared" si="523"/>
        <v>0.319830536363129</v>
      </c>
      <c r="P593" s="112">
        <f ca="1" t="shared" si="523"/>
        <v>0.319830536363129</v>
      </c>
      <c r="Q593" s="112">
        <f ca="1" t="shared" si="523"/>
        <v>0.319830536363129</v>
      </c>
    </row>
    <row r="594" ht="24" customHeight="1" spans="1:17">
      <c r="A594" s="99" t="s">
        <v>345</v>
      </c>
      <c r="B594" s="99" t="s">
        <v>299</v>
      </c>
      <c r="C594" s="99" t="s">
        <v>343</v>
      </c>
      <c r="D594" s="48" t="s">
        <v>321</v>
      </c>
      <c r="E594" s="48" t="s">
        <v>82</v>
      </c>
      <c r="F594" s="112" t="str">
        <f ca="1" t="shared" ref="F594:Q594" si="524">IFERROR(F587/F585," ")</f>
        <v> </v>
      </c>
      <c r="G594" s="112">
        <f ca="1" t="shared" si="524"/>
        <v>1</v>
      </c>
      <c r="H594" s="112">
        <f ca="1" t="shared" si="524"/>
        <v>1</v>
      </c>
      <c r="I594" s="112">
        <f ca="1" t="shared" si="524"/>
        <v>1</v>
      </c>
      <c r="J594" s="112">
        <f ca="1" t="shared" si="524"/>
        <v>1</v>
      </c>
      <c r="K594" s="112">
        <f ca="1" t="shared" si="524"/>
        <v>1</v>
      </c>
      <c r="L594" s="112">
        <f ca="1" t="shared" si="524"/>
        <v>1</v>
      </c>
      <c r="M594" s="112">
        <f ca="1" t="shared" si="524"/>
        <v>1</v>
      </c>
      <c r="N594" s="112">
        <f ca="1" t="shared" si="524"/>
        <v>0.924510290663712</v>
      </c>
      <c r="O594" s="112">
        <f ca="1" t="shared" si="524"/>
        <v>0.645510381018946</v>
      </c>
      <c r="P594" s="112">
        <f ca="1" t="shared" si="524"/>
        <v>0.645510381018946</v>
      </c>
      <c r="Q594" s="112">
        <f ca="1" t="shared" si="524"/>
        <v>0.645510381018946</v>
      </c>
    </row>
    <row r="595" ht="24" customHeight="1" spans="1:17">
      <c r="A595" s="99" t="s">
        <v>345</v>
      </c>
      <c r="B595" s="99" t="s">
        <v>299</v>
      </c>
      <c r="C595" s="99" t="s">
        <v>343</v>
      </c>
      <c r="D595" s="48" t="s">
        <v>321</v>
      </c>
      <c r="E595" s="48" t="s">
        <v>86</v>
      </c>
      <c r="F595" s="112" t="str">
        <f ca="1" t="shared" ref="F595:Q595" si="525">IFERROR(F588/F585," ")</f>
        <v> </v>
      </c>
      <c r="G595" s="112">
        <f ca="1" t="shared" si="525"/>
        <v>0</v>
      </c>
      <c r="H595" s="112">
        <f ca="1" t="shared" si="525"/>
        <v>0</v>
      </c>
      <c r="I595" s="112">
        <f ca="1" t="shared" si="525"/>
        <v>0</v>
      </c>
      <c r="J595" s="112">
        <f ca="1" t="shared" si="525"/>
        <v>0</v>
      </c>
      <c r="K595" s="112">
        <f ca="1" t="shared" si="525"/>
        <v>0</v>
      </c>
      <c r="L595" s="112">
        <f ca="1" t="shared" si="525"/>
        <v>0</v>
      </c>
      <c r="M595" s="112">
        <f ca="1" t="shared" si="525"/>
        <v>0</v>
      </c>
      <c r="N595" s="112">
        <f ca="1" t="shared" si="525"/>
        <v>0</v>
      </c>
      <c r="O595" s="112">
        <f ca="1" t="shared" si="525"/>
        <v>0</v>
      </c>
      <c r="P595" s="112">
        <f ca="1" t="shared" si="525"/>
        <v>0</v>
      </c>
      <c r="Q595" s="112">
        <f ca="1" t="shared" si="525"/>
        <v>0</v>
      </c>
    </row>
    <row r="596" ht="24" customHeight="1" spans="1:17">
      <c r="A596" s="99" t="s">
        <v>345</v>
      </c>
      <c r="B596" s="99" t="s">
        <v>299</v>
      </c>
      <c r="C596" s="99" t="s">
        <v>343</v>
      </c>
      <c r="D596" s="48" t="s">
        <v>321</v>
      </c>
      <c r="E596" s="48" t="s">
        <v>97</v>
      </c>
      <c r="F596" s="112" t="str">
        <f ca="1" t="shared" ref="F596:Q596" si="526">IFERROR(F589/F585," ")</f>
        <v> </v>
      </c>
      <c r="G596" s="112">
        <f ca="1" t="shared" si="526"/>
        <v>0</v>
      </c>
      <c r="H596" s="112">
        <f ca="1" t="shared" si="526"/>
        <v>0</v>
      </c>
      <c r="I596" s="112">
        <f ca="1" t="shared" si="526"/>
        <v>0</v>
      </c>
      <c r="J596" s="112">
        <f ca="1" t="shared" si="526"/>
        <v>0</v>
      </c>
      <c r="K596" s="112">
        <f ca="1" t="shared" si="526"/>
        <v>0</v>
      </c>
      <c r="L596" s="112">
        <f ca="1" t="shared" si="526"/>
        <v>0</v>
      </c>
      <c r="M596" s="112">
        <f ca="1" t="shared" si="526"/>
        <v>0</v>
      </c>
      <c r="N596" s="112">
        <f ca="1" t="shared" si="526"/>
        <v>0.0754897093362881</v>
      </c>
      <c r="O596" s="112">
        <f ca="1" t="shared" si="526"/>
        <v>0.0346590826179259</v>
      </c>
      <c r="P596" s="112">
        <f ca="1" t="shared" si="526"/>
        <v>0.0346590826179259</v>
      </c>
      <c r="Q596" s="112">
        <f ca="1" t="shared" si="526"/>
        <v>0.0346590826179259</v>
      </c>
    </row>
    <row r="597" ht="24" customHeight="1" spans="1:17">
      <c r="A597" s="99" t="s">
        <v>345</v>
      </c>
      <c r="B597" s="99" t="s">
        <v>299</v>
      </c>
      <c r="C597" s="99" t="s">
        <v>343</v>
      </c>
      <c r="D597" s="48" t="s">
        <v>321</v>
      </c>
      <c r="E597" s="48" t="s">
        <v>87</v>
      </c>
      <c r="F597" s="112" t="str">
        <f ca="1" t="shared" ref="F597:Q597" si="527">IFERROR(F590/F585," ")</f>
        <v> </v>
      </c>
      <c r="G597" s="112">
        <f ca="1" t="shared" si="527"/>
        <v>0</v>
      </c>
      <c r="H597" s="112">
        <f ca="1" t="shared" si="527"/>
        <v>0</v>
      </c>
      <c r="I597" s="112">
        <f ca="1" t="shared" si="527"/>
        <v>0</v>
      </c>
      <c r="J597" s="112">
        <f ca="1" t="shared" si="527"/>
        <v>0</v>
      </c>
      <c r="K597" s="112">
        <f ca="1" t="shared" si="527"/>
        <v>0</v>
      </c>
      <c r="L597" s="112">
        <f ca="1" t="shared" si="527"/>
        <v>0</v>
      </c>
      <c r="M597" s="112">
        <f ca="1" t="shared" si="527"/>
        <v>0</v>
      </c>
      <c r="N597" s="112">
        <f ca="1" t="shared" si="527"/>
        <v>0</v>
      </c>
      <c r="O597" s="112">
        <f ca="1" t="shared" si="527"/>
        <v>0</v>
      </c>
      <c r="P597" s="112">
        <f ca="1" t="shared" si="527"/>
        <v>0</v>
      </c>
      <c r="Q597" s="112">
        <f ca="1" t="shared" si="527"/>
        <v>0</v>
      </c>
    </row>
    <row r="598" ht="24" customHeight="1" spans="1:17">
      <c r="A598" s="99" t="s">
        <v>345</v>
      </c>
      <c r="B598" s="99" t="s">
        <v>299</v>
      </c>
      <c r="C598" s="99" t="s">
        <v>343</v>
      </c>
      <c r="D598" s="48" t="s">
        <v>321</v>
      </c>
      <c r="E598" s="48" t="s">
        <v>149</v>
      </c>
      <c r="F598" s="112" t="str">
        <f ca="1" t="shared" ref="F598:Q598" si="528">IFERROR(F591/F585," ")</f>
        <v> </v>
      </c>
      <c r="G598" s="112">
        <f ca="1" t="shared" si="528"/>
        <v>0</v>
      </c>
      <c r="H598" s="112">
        <f ca="1" t="shared" si="528"/>
        <v>0</v>
      </c>
      <c r="I598" s="112">
        <f ca="1" t="shared" si="528"/>
        <v>0</v>
      </c>
      <c r="J598" s="112">
        <f ca="1" t="shared" si="528"/>
        <v>0</v>
      </c>
      <c r="K598" s="112">
        <f ca="1" t="shared" si="528"/>
        <v>0</v>
      </c>
      <c r="L598" s="112">
        <f ca="1" t="shared" si="528"/>
        <v>0</v>
      </c>
      <c r="M598" s="112">
        <f ca="1" t="shared" si="528"/>
        <v>0</v>
      </c>
      <c r="N598" s="112">
        <f ca="1" t="shared" si="528"/>
        <v>0</v>
      </c>
      <c r="O598" s="112">
        <f ca="1" t="shared" si="528"/>
        <v>0</v>
      </c>
      <c r="P598" s="112">
        <f ca="1" t="shared" si="528"/>
        <v>0</v>
      </c>
      <c r="Q598" s="112">
        <f ca="1" t="shared" si="528"/>
        <v>0</v>
      </c>
    </row>
    <row r="599" ht="24" customHeight="1" spans="1:17">
      <c r="A599" s="99" t="s">
        <v>345</v>
      </c>
      <c r="B599" s="99" t="s">
        <v>299</v>
      </c>
      <c r="C599" s="99" t="s">
        <v>343</v>
      </c>
      <c r="D599" s="48" t="s">
        <v>321</v>
      </c>
      <c r="E599" s="48" t="s">
        <v>83</v>
      </c>
      <c r="F599" s="112" t="str">
        <f ca="1" t="shared" ref="F599:Q599" si="529">IFERROR(F592/F585," ")</f>
        <v> </v>
      </c>
      <c r="G599" s="112">
        <f ca="1" t="shared" si="529"/>
        <v>0</v>
      </c>
      <c r="H599" s="112">
        <f ca="1" t="shared" si="529"/>
        <v>0</v>
      </c>
      <c r="I599" s="112">
        <f ca="1" t="shared" si="529"/>
        <v>0</v>
      </c>
      <c r="J599" s="112">
        <f ca="1" t="shared" si="529"/>
        <v>0</v>
      </c>
      <c r="K599" s="112">
        <f ca="1" t="shared" si="529"/>
        <v>0</v>
      </c>
      <c r="L599" s="112">
        <f ca="1" t="shared" si="529"/>
        <v>0</v>
      </c>
      <c r="M599" s="112">
        <f ca="1" t="shared" si="529"/>
        <v>0</v>
      </c>
      <c r="N599" s="112">
        <f ca="1" t="shared" si="529"/>
        <v>0</v>
      </c>
      <c r="O599" s="112">
        <f ca="1" t="shared" si="529"/>
        <v>0</v>
      </c>
      <c r="P599" s="112">
        <f ca="1" t="shared" si="529"/>
        <v>0</v>
      </c>
      <c r="Q599" s="112">
        <f ca="1" t="shared" si="529"/>
        <v>0</v>
      </c>
    </row>
    <row r="600" ht="24" customHeight="1" spans="1:17">
      <c r="A600" s="99" t="s">
        <v>345</v>
      </c>
      <c r="B600" s="99" t="s">
        <v>299</v>
      </c>
      <c r="C600" s="99" t="s">
        <v>343</v>
      </c>
      <c r="D600" s="47" t="s">
        <v>294</v>
      </c>
      <c r="E600" s="47" t="s">
        <v>93</v>
      </c>
      <c r="F600" s="64">
        <f ca="1" t="shared" ref="F600:F604" si="530">IF($S$1&lt;DATE(2025,1,1)," ",F541)</f>
        <v>0</v>
      </c>
      <c r="G600" s="64">
        <f ca="1" t="shared" ref="G600:G604" si="531">IF($S$1&lt;DATE(2025,2,1)," ",G541+F600)</f>
        <v>1.6871</v>
      </c>
      <c r="H600" s="64">
        <f ca="1" t="shared" ref="H600:H604" si="532">IF($S$1&lt;DATE(2025,3,1)," ",H541+G600)</f>
        <v>1.6871</v>
      </c>
      <c r="I600" s="64">
        <f ca="1" t="shared" ref="I600:I604" si="533">IF($S$1&lt;DATE(2025,4,1)," ",I541+H600)</f>
        <v>1.6871</v>
      </c>
      <c r="J600" s="64">
        <f ca="1" t="shared" ref="J600:J604" si="534">IF($S$1&lt;DATE(2025,5,1)," ",J541+I600)</f>
        <v>1.6871</v>
      </c>
      <c r="K600" s="64">
        <f ca="1" t="shared" ref="K600:K604" si="535">IF($S$1&lt;DATE(2025,6,1)," ",K541+J600)</f>
        <v>1.6871</v>
      </c>
      <c r="L600" s="64">
        <f ca="1" t="shared" ref="L600:L604" si="536">IF($S$1&lt;DATE(2025,7,1)," ",L541+K600)</f>
        <v>1.6871</v>
      </c>
      <c r="M600" s="64">
        <f ca="1" t="shared" ref="M600:M604" si="537">IF($S$1&lt;DATE(2025,8,1)," ",M541+L600)</f>
        <v>1.6871</v>
      </c>
      <c r="N600" s="64">
        <f ca="1" t="shared" ref="N600:N604" si="538">IF($S$1&lt;DATE(2025,9,1)," ",N541+M600)</f>
        <v>1.824858</v>
      </c>
      <c r="O600" s="64">
        <f ca="1" t="shared" ref="O600:O604" si="539">IF($S$1&lt;DATE(2025,10,1)," ",O541+N600)</f>
        <v>2.043444</v>
      </c>
      <c r="P600" s="64">
        <f ca="1" t="shared" ref="P600:P604" si="540">IF($S$1&lt;DATE(2025,11,1)," ",P541+O600)</f>
        <v>2.043444</v>
      </c>
      <c r="Q600" s="64">
        <f ca="1" t="shared" ref="Q600:Q604" si="541">IF($S$1&lt;DATE(2025,12,1)," ",Q541+P600)</f>
        <v>2.043444</v>
      </c>
    </row>
    <row r="601" ht="24" customHeight="1" spans="1:17">
      <c r="A601" s="99" t="s">
        <v>345</v>
      </c>
      <c r="B601" s="99" t="s">
        <v>299</v>
      </c>
      <c r="C601" s="99" t="s">
        <v>343</v>
      </c>
      <c r="D601" s="47" t="s">
        <v>294</v>
      </c>
      <c r="E601" s="47" t="s">
        <v>85</v>
      </c>
      <c r="F601" s="64">
        <f ca="1" t="shared" si="530"/>
        <v>0</v>
      </c>
      <c r="G601" s="64">
        <f ca="1" t="shared" si="531"/>
        <v>0</v>
      </c>
      <c r="H601" s="64">
        <f ca="1" t="shared" si="532"/>
        <v>0</v>
      </c>
      <c r="I601" s="64">
        <f ca="1" t="shared" si="533"/>
        <v>0</v>
      </c>
      <c r="J601" s="64">
        <f ca="1" t="shared" si="534"/>
        <v>0</v>
      </c>
      <c r="K601" s="64">
        <f ca="1" t="shared" si="535"/>
        <v>0</v>
      </c>
      <c r="L601" s="64">
        <f ca="1" t="shared" si="536"/>
        <v>0</v>
      </c>
      <c r="M601" s="64">
        <f ca="1" t="shared" si="537"/>
        <v>0</v>
      </c>
      <c r="N601" s="64">
        <f ca="1" t="shared" si="538"/>
        <v>0</v>
      </c>
      <c r="O601" s="64">
        <f ca="1" t="shared" si="539"/>
        <v>1.931214</v>
      </c>
      <c r="P601" s="64">
        <f ca="1" t="shared" si="540"/>
        <v>1.931214</v>
      </c>
      <c r="Q601" s="64">
        <f ca="1" t="shared" si="541"/>
        <v>1.931214</v>
      </c>
    </row>
    <row r="602" ht="24" customHeight="1" spans="1:17">
      <c r="A602" s="99" t="s">
        <v>345</v>
      </c>
      <c r="B602" s="99" t="s">
        <v>299</v>
      </c>
      <c r="C602" s="99" t="s">
        <v>343</v>
      </c>
      <c r="D602" s="47" t="s">
        <v>294</v>
      </c>
      <c r="E602" s="47" t="s">
        <v>81</v>
      </c>
      <c r="F602" s="64">
        <f ca="1" t="shared" si="530"/>
        <v>0</v>
      </c>
      <c r="G602" s="64">
        <f ca="1" t="shared" si="531"/>
        <v>0</v>
      </c>
      <c r="H602" s="64">
        <f ca="1" t="shared" si="532"/>
        <v>0</v>
      </c>
      <c r="I602" s="64">
        <f ca="1" t="shared" si="533"/>
        <v>0</v>
      </c>
      <c r="J602" s="64">
        <f ca="1" t="shared" si="534"/>
        <v>0</v>
      </c>
      <c r="K602" s="64">
        <f ca="1" t="shared" si="535"/>
        <v>0</v>
      </c>
      <c r="L602" s="64">
        <f ca="1" t="shared" si="536"/>
        <v>0</v>
      </c>
      <c r="M602" s="64">
        <f ca="1" t="shared" si="537"/>
        <v>0</v>
      </c>
      <c r="N602" s="64">
        <f ca="1" t="shared" si="538"/>
        <v>0</v>
      </c>
      <c r="O602" s="64">
        <f ca="1" t="shared" si="539"/>
        <v>0</v>
      </c>
      <c r="P602" s="64">
        <f ca="1" t="shared" si="540"/>
        <v>0</v>
      </c>
      <c r="Q602" s="64">
        <f ca="1" t="shared" si="541"/>
        <v>0</v>
      </c>
    </row>
    <row r="603" ht="24" customHeight="1" spans="1:17">
      <c r="A603" s="99" t="s">
        <v>345</v>
      </c>
      <c r="B603" s="99" t="s">
        <v>299</v>
      </c>
      <c r="C603" s="99" t="s">
        <v>343</v>
      </c>
      <c r="D603" s="47" t="s">
        <v>294</v>
      </c>
      <c r="E603" s="47" t="s">
        <v>96</v>
      </c>
      <c r="F603" s="64">
        <f ca="1" t="shared" si="530"/>
        <v>0</v>
      </c>
      <c r="G603" s="64">
        <f ca="1" t="shared" si="531"/>
        <v>0</v>
      </c>
      <c r="H603" s="64">
        <f ca="1" t="shared" si="532"/>
        <v>0</v>
      </c>
      <c r="I603" s="64">
        <f ca="1" t="shared" si="533"/>
        <v>0</v>
      </c>
      <c r="J603" s="64">
        <f ca="1" t="shared" si="534"/>
        <v>0</v>
      </c>
      <c r="K603" s="64">
        <f ca="1" t="shared" si="535"/>
        <v>0</v>
      </c>
      <c r="L603" s="64">
        <f ca="1" t="shared" si="536"/>
        <v>0</v>
      </c>
      <c r="M603" s="64">
        <f ca="1" t="shared" si="537"/>
        <v>0</v>
      </c>
      <c r="N603" s="64">
        <f ca="1" t="shared" si="538"/>
        <v>0</v>
      </c>
      <c r="O603" s="64">
        <f ca="1" t="shared" si="539"/>
        <v>0</v>
      </c>
      <c r="P603" s="64">
        <f ca="1" t="shared" si="540"/>
        <v>0</v>
      </c>
      <c r="Q603" s="64">
        <f ca="1" t="shared" si="541"/>
        <v>0</v>
      </c>
    </row>
    <row r="604" ht="24" customHeight="1" spans="1:17">
      <c r="A604" s="99" t="s">
        <v>345</v>
      </c>
      <c r="B604" s="99" t="s">
        <v>299</v>
      </c>
      <c r="C604" s="99" t="s">
        <v>343</v>
      </c>
      <c r="D604" s="47" t="s">
        <v>294</v>
      </c>
      <c r="E604" s="47" t="s">
        <v>160</v>
      </c>
      <c r="F604" s="64">
        <f ca="1" t="shared" si="530"/>
        <v>0</v>
      </c>
      <c r="G604" s="64">
        <f ca="1" t="shared" si="531"/>
        <v>0</v>
      </c>
      <c r="H604" s="64">
        <f ca="1" t="shared" si="532"/>
        <v>0</v>
      </c>
      <c r="I604" s="64">
        <f ca="1" t="shared" si="533"/>
        <v>0</v>
      </c>
      <c r="J604" s="64">
        <f ca="1" t="shared" si="534"/>
        <v>0</v>
      </c>
      <c r="K604" s="64">
        <f ca="1" t="shared" si="535"/>
        <v>0</v>
      </c>
      <c r="L604" s="64">
        <f ca="1" t="shared" si="536"/>
        <v>0</v>
      </c>
      <c r="M604" s="64">
        <f ca="1" t="shared" si="537"/>
        <v>0</v>
      </c>
      <c r="N604" s="64">
        <f ca="1" t="shared" si="538"/>
        <v>0</v>
      </c>
      <c r="O604" s="64">
        <f ca="1" t="shared" si="539"/>
        <v>0</v>
      </c>
      <c r="P604" s="64">
        <f ca="1" t="shared" si="540"/>
        <v>0</v>
      </c>
      <c r="Q604" s="64">
        <f ca="1" t="shared" si="541"/>
        <v>0</v>
      </c>
    </row>
    <row r="605" ht="24" customHeight="1" spans="1:17">
      <c r="A605" s="99" t="s">
        <v>345</v>
      </c>
      <c r="B605" s="99" t="s">
        <v>299</v>
      </c>
      <c r="C605" s="99" t="s">
        <v>343</v>
      </c>
      <c r="D605" s="47" t="s">
        <v>321</v>
      </c>
      <c r="E605" s="47" t="s">
        <v>93</v>
      </c>
      <c r="F605" s="126" t="str">
        <f ca="1" t="shared" ref="F605:Q605" si="542">IFERROR(F600/F585," ")</f>
        <v> </v>
      </c>
      <c r="G605" s="126">
        <f ca="1" t="shared" si="542"/>
        <v>1</v>
      </c>
      <c r="H605" s="126">
        <f ca="1" t="shared" si="542"/>
        <v>1</v>
      </c>
      <c r="I605" s="126">
        <f ca="1" t="shared" si="542"/>
        <v>1</v>
      </c>
      <c r="J605" s="126">
        <f ca="1" t="shared" si="542"/>
        <v>1</v>
      </c>
      <c r="K605" s="126">
        <f ca="1" t="shared" si="542"/>
        <v>1</v>
      </c>
      <c r="L605" s="126">
        <f ca="1" t="shared" si="542"/>
        <v>1</v>
      </c>
      <c r="M605" s="126">
        <f ca="1" t="shared" si="542"/>
        <v>1</v>
      </c>
      <c r="N605" s="126">
        <f ca="1" t="shared" si="542"/>
        <v>1</v>
      </c>
      <c r="O605" s="126">
        <f ca="1" t="shared" si="542"/>
        <v>0.514118195829679</v>
      </c>
      <c r="P605" s="126">
        <f ca="1" t="shared" si="542"/>
        <v>0.514118195829679</v>
      </c>
      <c r="Q605" s="126">
        <f ca="1" t="shared" si="542"/>
        <v>0.514118195829679</v>
      </c>
    </row>
    <row r="606" ht="24" customHeight="1" spans="1:17">
      <c r="A606" s="99" t="s">
        <v>345</v>
      </c>
      <c r="B606" s="99" t="s">
        <v>299</v>
      </c>
      <c r="C606" s="99" t="s">
        <v>343</v>
      </c>
      <c r="D606" s="47" t="s">
        <v>321</v>
      </c>
      <c r="E606" s="47" t="s">
        <v>85</v>
      </c>
      <c r="F606" s="126" t="str">
        <f ca="1" t="shared" ref="F606:Q606" si="543">IFERROR(F601/F585," ")</f>
        <v> </v>
      </c>
      <c r="G606" s="126">
        <f ca="1" t="shared" si="543"/>
        <v>0</v>
      </c>
      <c r="H606" s="126">
        <f ca="1" t="shared" si="543"/>
        <v>0</v>
      </c>
      <c r="I606" s="126">
        <f ca="1" t="shared" si="543"/>
        <v>0</v>
      </c>
      <c r="J606" s="126">
        <f ca="1" t="shared" si="543"/>
        <v>0</v>
      </c>
      <c r="K606" s="126">
        <f ca="1" t="shared" si="543"/>
        <v>0</v>
      </c>
      <c r="L606" s="126">
        <f ca="1" t="shared" si="543"/>
        <v>0</v>
      </c>
      <c r="M606" s="126">
        <f ca="1" t="shared" si="543"/>
        <v>0</v>
      </c>
      <c r="N606" s="126">
        <f ca="1" t="shared" si="543"/>
        <v>0</v>
      </c>
      <c r="O606" s="126">
        <f ca="1" t="shared" si="543"/>
        <v>0.485881804170321</v>
      </c>
      <c r="P606" s="126">
        <f ca="1" t="shared" si="543"/>
        <v>0.485881804170321</v>
      </c>
      <c r="Q606" s="126">
        <f ca="1" t="shared" si="543"/>
        <v>0.485881804170321</v>
      </c>
    </row>
    <row r="607" ht="24" customHeight="1" spans="1:17">
      <c r="A607" s="99" t="s">
        <v>345</v>
      </c>
      <c r="B607" s="99" t="s">
        <v>299</v>
      </c>
      <c r="C607" s="99" t="s">
        <v>343</v>
      </c>
      <c r="D607" s="47" t="s">
        <v>321</v>
      </c>
      <c r="E607" s="47" t="s">
        <v>81</v>
      </c>
      <c r="F607" s="126" t="str">
        <f ca="1" t="shared" ref="F607:Q607" si="544">IFERROR(F602/F585," ")</f>
        <v> </v>
      </c>
      <c r="G607" s="126">
        <f ca="1" t="shared" si="544"/>
        <v>0</v>
      </c>
      <c r="H607" s="126">
        <f ca="1" t="shared" si="544"/>
        <v>0</v>
      </c>
      <c r="I607" s="126">
        <f ca="1" t="shared" si="544"/>
        <v>0</v>
      </c>
      <c r="J607" s="126">
        <f ca="1" t="shared" si="544"/>
        <v>0</v>
      </c>
      <c r="K607" s="126">
        <f ca="1" t="shared" si="544"/>
        <v>0</v>
      </c>
      <c r="L607" s="126">
        <f ca="1" t="shared" si="544"/>
        <v>0</v>
      </c>
      <c r="M607" s="126">
        <f ca="1" t="shared" si="544"/>
        <v>0</v>
      </c>
      <c r="N607" s="126">
        <f ca="1" t="shared" si="544"/>
        <v>0</v>
      </c>
      <c r="O607" s="126">
        <f ca="1" t="shared" si="544"/>
        <v>0</v>
      </c>
      <c r="P607" s="126">
        <f ca="1" t="shared" si="544"/>
        <v>0</v>
      </c>
      <c r="Q607" s="126">
        <f ca="1" t="shared" si="544"/>
        <v>0</v>
      </c>
    </row>
    <row r="608" ht="24" customHeight="1" spans="1:17">
      <c r="A608" s="99" t="s">
        <v>345</v>
      </c>
      <c r="B608" s="99" t="s">
        <v>299</v>
      </c>
      <c r="C608" s="99" t="s">
        <v>343</v>
      </c>
      <c r="D608" s="47" t="s">
        <v>321</v>
      </c>
      <c r="E608" s="47" t="s">
        <v>96</v>
      </c>
      <c r="F608" s="126" t="str">
        <f ca="1" t="shared" ref="F608:Q608" si="545">IFERROR(F603/F585," ")</f>
        <v> </v>
      </c>
      <c r="G608" s="126">
        <f ca="1" t="shared" si="545"/>
        <v>0</v>
      </c>
      <c r="H608" s="126">
        <f ca="1" t="shared" si="545"/>
        <v>0</v>
      </c>
      <c r="I608" s="126">
        <f ca="1" t="shared" si="545"/>
        <v>0</v>
      </c>
      <c r="J608" s="126">
        <f ca="1" t="shared" si="545"/>
        <v>0</v>
      </c>
      <c r="K608" s="126">
        <f ca="1" t="shared" si="545"/>
        <v>0</v>
      </c>
      <c r="L608" s="126">
        <f ca="1" t="shared" si="545"/>
        <v>0</v>
      </c>
      <c r="M608" s="126">
        <f ca="1" t="shared" si="545"/>
        <v>0</v>
      </c>
      <c r="N608" s="126">
        <f ca="1" t="shared" si="545"/>
        <v>0</v>
      </c>
      <c r="O608" s="126">
        <f ca="1" t="shared" si="545"/>
        <v>0</v>
      </c>
      <c r="P608" s="126">
        <f ca="1" t="shared" si="545"/>
        <v>0</v>
      </c>
      <c r="Q608" s="126">
        <f ca="1" t="shared" si="545"/>
        <v>0</v>
      </c>
    </row>
    <row r="609" ht="24" customHeight="1" spans="1:17">
      <c r="A609" s="99" t="s">
        <v>345</v>
      </c>
      <c r="B609" s="99" t="s">
        <v>299</v>
      </c>
      <c r="C609" s="99" t="s">
        <v>343</v>
      </c>
      <c r="D609" s="47" t="s">
        <v>321</v>
      </c>
      <c r="E609" s="47" t="s">
        <v>160</v>
      </c>
      <c r="F609" s="126" t="str">
        <f ca="1" t="shared" ref="F609:Q609" si="546">IFERROR(F604/F585," ")</f>
        <v> </v>
      </c>
      <c r="G609" s="126">
        <f ca="1" t="shared" si="546"/>
        <v>0</v>
      </c>
      <c r="H609" s="126">
        <f ca="1" t="shared" si="546"/>
        <v>0</v>
      </c>
      <c r="I609" s="126">
        <f ca="1" t="shared" si="546"/>
        <v>0</v>
      </c>
      <c r="J609" s="126">
        <f ca="1" t="shared" si="546"/>
        <v>0</v>
      </c>
      <c r="K609" s="126">
        <f ca="1" t="shared" si="546"/>
        <v>0</v>
      </c>
      <c r="L609" s="126">
        <f ca="1" t="shared" si="546"/>
        <v>0</v>
      </c>
      <c r="M609" s="126">
        <f ca="1" t="shared" si="546"/>
        <v>0</v>
      </c>
      <c r="N609" s="126">
        <f ca="1" t="shared" si="546"/>
        <v>0</v>
      </c>
      <c r="O609" s="126">
        <f ca="1" t="shared" si="546"/>
        <v>0</v>
      </c>
      <c r="P609" s="126">
        <f ca="1" t="shared" si="546"/>
        <v>0</v>
      </c>
      <c r="Q609" s="126">
        <f ca="1" t="shared" si="546"/>
        <v>0</v>
      </c>
    </row>
    <row r="610" ht="24" customHeight="1" spans="1:17">
      <c r="A610" s="99" t="s">
        <v>345</v>
      </c>
      <c r="B610" s="99" t="s">
        <v>299</v>
      </c>
      <c r="C610" s="99" t="s">
        <v>344</v>
      </c>
      <c r="D610" s="114" t="s">
        <v>292</v>
      </c>
      <c r="E610" s="114" t="s">
        <v>320</v>
      </c>
      <c r="F610" s="215">
        <f ca="1">IF($S$1&lt;DATE(2025,1,1)," ",IF(SUM(F611:F617)&lt;&gt;SUM(F625:F629),"ERR",SUM(F611:F617)))</f>
        <v>0</v>
      </c>
      <c r="G610" s="215">
        <f ca="1">IF($S$1&lt;DATE(2025,2,1)," ",IF(SUM(G611:G617)&lt;&gt;SUM(G625:G629),"ERR",SUM(G611:G617)))</f>
        <v>1.716569</v>
      </c>
      <c r="H610" s="215">
        <f ca="1">IF($S$1&lt;DATE(2025,3,1)," ",IF(SUM(H611:H617)&lt;&gt;SUM(H625:H629),"ERR",SUM(H611:H617)))</f>
        <v>1.716569</v>
      </c>
      <c r="I610" s="215">
        <f ca="1">IF($S$1&lt;DATE(2025,4,1)," ",IF(SUM(I611:I617)&lt;&gt;SUM(I625:I629),"ERR",SUM(I611:I617)))</f>
        <v>1.716569</v>
      </c>
      <c r="J610" s="215">
        <f ca="1">IF($S$1&lt;DATE(2025,5,1)," ",IF(SUM(J611:J617)&lt;&gt;SUM(J625:J629),"ERR",SUM(J611:J617)))</f>
        <v>1.716569</v>
      </c>
      <c r="K610" s="215">
        <f ca="1">IF($S$1&lt;DATE(2025,6,1)," ",IF(SUM(K611:K617)&lt;&gt;SUM(K625:K629),"ERR",SUM(K611:K617)))</f>
        <v>1.716569</v>
      </c>
      <c r="L610" s="215">
        <f ca="1">IF($S$1&lt;DATE(2025,7,1)," ",IF(SUM(L611:L617)&lt;&gt;SUM(L625:L629),"ERR",SUM(L611:L617)))</f>
        <v>1.716569</v>
      </c>
      <c r="M610" s="215">
        <f ca="1">IF($S$1&lt;DATE(2025,8,1)," ",IF(SUM(M611:M617)&lt;&gt;SUM(M625:M629),"ERR",SUM(M611:M617)))</f>
        <v>1.716569</v>
      </c>
      <c r="N610" s="215">
        <f ca="1">IF($S$1&lt;DATE(2025,9,1)," ",IF(SUM(N611:N617)&lt;&gt;SUM(N625:N629),"ERR",SUM(N611:N617)))</f>
        <v>1.855651</v>
      </c>
      <c r="O610" s="215">
        <f ca="1">IF($S$1&lt;DATE(2025,10,1)," ",IF(SUM(O611:O617)&lt;&gt;SUM(O625:O629),"ERR",SUM(O611:O617)))</f>
        <v>4.043704</v>
      </c>
      <c r="P610" s="215">
        <f ca="1">IF($S$1&lt;DATE(2025,11,1)," ",IF(SUM(P611:P617)&lt;&gt;SUM(P625:P629),"ERR",SUM(P611:P617)))</f>
        <v>4.043704</v>
      </c>
      <c r="Q610" s="215">
        <f ca="1">IF($S$1&lt;DATE(2025,12,1)," ",IF(SUM(Q611:Q617)&lt;&gt;SUM(Q625:Q629),"ERR",SUM(Q611:Q617)))</f>
        <v>4.043704</v>
      </c>
    </row>
    <row r="611" ht="24" customHeight="1" spans="1:17">
      <c r="A611" s="99" t="s">
        <v>345</v>
      </c>
      <c r="B611" s="99" t="s">
        <v>299</v>
      </c>
      <c r="C611" s="99" t="s">
        <v>344</v>
      </c>
      <c r="D611" s="48" t="s">
        <v>31</v>
      </c>
      <c r="E611" s="48" t="s">
        <v>90</v>
      </c>
      <c r="F611" s="51">
        <f ca="1" t="shared" ref="F611:F617" si="547">IF($S$1&lt;DATE(2025,1,1)," ",F554)</f>
        <v>0</v>
      </c>
      <c r="G611" s="51">
        <f ca="1" t="shared" ref="G611:G617" si="548">IF($S$1&lt;DATE(2025,2,1)," ",G554+F611)</f>
        <v>0</v>
      </c>
      <c r="H611" s="51">
        <f ca="1" t="shared" ref="H611:H617" si="549">IF($S$1&lt;DATE(2025,3,1)," ",H554+G611)</f>
        <v>0</v>
      </c>
      <c r="I611" s="51">
        <f ca="1" t="shared" ref="I611:I617" si="550">IF($S$1&lt;DATE(2025,4,1)," ",I554+H611)</f>
        <v>0</v>
      </c>
      <c r="J611" s="51">
        <f ca="1" t="shared" ref="J611:J617" si="551">IF($S$1&lt;DATE(2025,5,1)," ",J554+I611)</f>
        <v>0</v>
      </c>
      <c r="K611" s="51">
        <f ca="1" t="shared" ref="K611:K617" si="552">IF($S$1&lt;DATE(2025,6,1)," ",K554+J611)</f>
        <v>0</v>
      </c>
      <c r="L611" s="51">
        <f ca="1" t="shared" ref="L611:L617" si="553">IF($S$1&lt;DATE(2025,7,1)," ",L554+K611)</f>
        <v>0</v>
      </c>
      <c r="M611" s="51">
        <f ca="1" t="shared" ref="M611:M617" si="554">IF($S$1&lt;DATE(2025,8,1)," ",M554+L611)</f>
        <v>0</v>
      </c>
      <c r="N611" s="51">
        <f ca="1" t="shared" ref="N611:N617" si="555">IF($S$1&lt;DATE(2025,9,1)," ",N554+M611)</f>
        <v>0</v>
      </c>
      <c r="O611" s="51">
        <f ca="1" t="shared" ref="O611:O617" si="556">IF($S$1&lt;DATE(2025,10,1)," ",O554+N611)</f>
        <v>1.293029</v>
      </c>
      <c r="P611" s="51">
        <f ca="1" t="shared" ref="P611:P617" si="557">IF($S$1&lt;DATE(2025,11,1)," ",P554+O611)</f>
        <v>1.293029</v>
      </c>
      <c r="Q611" s="51">
        <f ca="1" t="shared" ref="Q611:Q617" si="558">IF($S$1&lt;DATE(2025,12,1)," ",Q554+P611)</f>
        <v>1.293029</v>
      </c>
    </row>
    <row r="612" ht="24" customHeight="1" spans="1:17">
      <c r="A612" s="99" t="s">
        <v>345</v>
      </c>
      <c r="B612" s="99" t="s">
        <v>299</v>
      </c>
      <c r="C612" s="99" t="s">
        <v>344</v>
      </c>
      <c r="D612" s="48" t="s">
        <v>31</v>
      </c>
      <c r="E612" s="48" t="s">
        <v>82</v>
      </c>
      <c r="F612" s="51">
        <f ca="1" t="shared" si="547"/>
        <v>0</v>
      </c>
      <c r="G612" s="51">
        <f ca="1" t="shared" si="548"/>
        <v>1.716569</v>
      </c>
      <c r="H612" s="51">
        <f ca="1" t="shared" si="549"/>
        <v>1.716569</v>
      </c>
      <c r="I612" s="51">
        <f ca="1" t="shared" si="550"/>
        <v>1.716569</v>
      </c>
      <c r="J612" s="51">
        <f ca="1" t="shared" si="551"/>
        <v>1.716569</v>
      </c>
      <c r="K612" s="51">
        <f ca="1" t="shared" si="552"/>
        <v>1.716569</v>
      </c>
      <c r="L612" s="51">
        <f ca="1" t="shared" si="553"/>
        <v>1.716569</v>
      </c>
      <c r="M612" s="51">
        <f ca="1" t="shared" si="554"/>
        <v>1.716569</v>
      </c>
      <c r="N612" s="51">
        <f ca="1" t="shared" si="555"/>
        <v>1.716569</v>
      </c>
      <c r="O612" s="51">
        <f ca="1" t="shared" si="556"/>
        <v>2.611593</v>
      </c>
      <c r="P612" s="51">
        <f ca="1" t="shared" si="557"/>
        <v>2.611593</v>
      </c>
      <c r="Q612" s="51">
        <f ca="1" t="shared" si="558"/>
        <v>2.611593</v>
      </c>
    </row>
    <row r="613" ht="24" customHeight="1" spans="1:17">
      <c r="A613" s="99" t="s">
        <v>345</v>
      </c>
      <c r="B613" s="99" t="s">
        <v>299</v>
      </c>
      <c r="C613" s="99" t="s">
        <v>344</v>
      </c>
      <c r="D613" s="48" t="s">
        <v>31</v>
      </c>
      <c r="E613" s="48" t="s">
        <v>86</v>
      </c>
      <c r="F613" s="51">
        <f ca="1" t="shared" si="547"/>
        <v>0</v>
      </c>
      <c r="G613" s="51">
        <f ca="1" t="shared" si="548"/>
        <v>0</v>
      </c>
      <c r="H613" s="51">
        <f ca="1" t="shared" si="549"/>
        <v>0</v>
      </c>
      <c r="I613" s="51">
        <f ca="1" t="shared" si="550"/>
        <v>0</v>
      </c>
      <c r="J613" s="51">
        <f ca="1" t="shared" si="551"/>
        <v>0</v>
      </c>
      <c r="K613" s="51">
        <f ca="1" t="shared" si="552"/>
        <v>0</v>
      </c>
      <c r="L613" s="51">
        <f ca="1" t="shared" si="553"/>
        <v>0</v>
      </c>
      <c r="M613" s="51">
        <f ca="1" t="shared" si="554"/>
        <v>0</v>
      </c>
      <c r="N613" s="51">
        <f ca="1" t="shared" si="555"/>
        <v>0</v>
      </c>
      <c r="O613" s="51">
        <f ca="1" t="shared" si="556"/>
        <v>0</v>
      </c>
      <c r="P613" s="51">
        <f ca="1" t="shared" si="557"/>
        <v>0</v>
      </c>
      <c r="Q613" s="51">
        <f ca="1" t="shared" si="558"/>
        <v>0</v>
      </c>
    </row>
    <row r="614" ht="24" customHeight="1" spans="1:17">
      <c r="A614" s="99" t="s">
        <v>345</v>
      </c>
      <c r="B614" s="99" t="s">
        <v>299</v>
      </c>
      <c r="C614" s="99" t="s">
        <v>344</v>
      </c>
      <c r="D614" s="48" t="s">
        <v>31</v>
      </c>
      <c r="E614" s="48" t="s">
        <v>97</v>
      </c>
      <c r="F614" s="51">
        <f ca="1" t="shared" si="547"/>
        <v>0</v>
      </c>
      <c r="G614" s="51">
        <f ca="1" t="shared" si="548"/>
        <v>0</v>
      </c>
      <c r="H614" s="51">
        <f ca="1" t="shared" si="549"/>
        <v>0</v>
      </c>
      <c r="I614" s="51">
        <f ca="1" t="shared" si="550"/>
        <v>0</v>
      </c>
      <c r="J614" s="51">
        <f ca="1" t="shared" si="551"/>
        <v>0</v>
      </c>
      <c r="K614" s="51">
        <f ca="1" t="shared" si="552"/>
        <v>0</v>
      </c>
      <c r="L614" s="51">
        <f ca="1" t="shared" si="553"/>
        <v>0</v>
      </c>
      <c r="M614" s="51">
        <f ca="1" t="shared" si="554"/>
        <v>0</v>
      </c>
      <c r="N614" s="51">
        <f ca="1" t="shared" si="555"/>
        <v>0.139082</v>
      </c>
      <c r="O614" s="51">
        <f ca="1" t="shared" si="556"/>
        <v>0.139082</v>
      </c>
      <c r="P614" s="51">
        <f ca="1" t="shared" si="557"/>
        <v>0.139082</v>
      </c>
      <c r="Q614" s="51">
        <f ca="1" t="shared" si="558"/>
        <v>0.139082</v>
      </c>
    </row>
    <row r="615" ht="24" customHeight="1" spans="1:17">
      <c r="A615" s="99" t="s">
        <v>345</v>
      </c>
      <c r="B615" s="99" t="s">
        <v>299</v>
      </c>
      <c r="C615" s="99" t="s">
        <v>344</v>
      </c>
      <c r="D615" s="48" t="s">
        <v>31</v>
      </c>
      <c r="E615" s="48" t="s">
        <v>87</v>
      </c>
      <c r="F615" s="51">
        <f ca="1" t="shared" si="547"/>
        <v>0</v>
      </c>
      <c r="G615" s="51">
        <f ca="1" t="shared" si="548"/>
        <v>0</v>
      </c>
      <c r="H615" s="51">
        <f ca="1" t="shared" si="549"/>
        <v>0</v>
      </c>
      <c r="I615" s="51">
        <f ca="1" t="shared" si="550"/>
        <v>0</v>
      </c>
      <c r="J615" s="51">
        <f ca="1" t="shared" si="551"/>
        <v>0</v>
      </c>
      <c r="K615" s="51">
        <f ca="1" t="shared" si="552"/>
        <v>0</v>
      </c>
      <c r="L615" s="51">
        <f ca="1" t="shared" si="553"/>
        <v>0</v>
      </c>
      <c r="M615" s="51">
        <f ca="1" t="shared" si="554"/>
        <v>0</v>
      </c>
      <c r="N615" s="51">
        <f ca="1" t="shared" si="555"/>
        <v>0</v>
      </c>
      <c r="O615" s="51">
        <f ca="1" t="shared" si="556"/>
        <v>0</v>
      </c>
      <c r="P615" s="51">
        <f ca="1" t="shared" si="557"/>
        <v>0</v>
      </c>
      <c r="Q615" s="51">
        <f ca="1" t="shared" si="558"/>
        <v>0</v>
      </c>
    </row>
    <row r="616" ht="24" customHeight="1" spans="1:17">
      <c r="A616" s="99" t="s">
        <v>345</v>
      </c>
      <c r="B616" s="99" t="s">
        <v>299</v>
      </c>
      <c r="C616" s="99" t="s">
        <v>344</v>
      </c>
      <c r="D616" s="48" t="s">
        <v>31</v>
      </c>
      <c r="E616" s="48" t="s">
        <v>149</v>
      </c>
      <c r="F616" s="51">
        <f ca="1" t="shared" si="547"/>
        <v>0</v>
      </c>
      <c r="G616" s="51">
        <f ca="1" t="shared" si="548"/>
        <v>0</v>
      </c>
      <c r="H616" s="51">
        <f ca="1" t="shared" si="549"/>
        <v>0</v>
      </c>
      <c r="I616" s="51">
        <f ca="1" t="shared" si="550"/>
        <v>0</v>
      </c>
      <c r="J616" s="51">
        <f ca="1" t="shared" si="551"/>
        <v>0</v>
      </c>
      <c r="K616" s="51">
        <f ca="1" t="shared" si="552"/>
        <v>0</v>
      </c>
      <c r="L616" s="51">
        <f ca="1" t="shared" si="553"/>
        <v>0</v>
      </c>
      <c r="M616" s="51">
        <f ca="1" t="shared" si="554"/>
        <v>0</v>
      </c>
      <c r="N616" s="51">
        <f ca="1" t="shared" si="555"/>
        <v>0</v>
      </c>
      <c r="O616" s="51">
        <f ca="1" t="shared" si="556"/>
        <v>0</v>
      </c>
      <c r="P616" s="51">
        <f ca="1" t="shared" si="557"/>
        <v>0</v>
      </c>
      <c r="Q616" s="51">
        <f ca="1" t="shared" si="558"/>
        <v>0</v>
      </c>
    </row>
    <row r="617" ht="24" customHeight="1" spans="1:17">
      <c r="A617" s="99" t="s">
        <v>345</v>
      </c>
      <c r="B617" s="99" t="s">
        <v>299</v>
      </c>
      <c r="C617" s="99" t="s">
        <v>344</v>
      </c>
      <c r="D617" s="48" t="s">
        <v>31</v>
      </c>
      <c r="E617" s="48" t="s">
        <v>83</v>
      </c>
      <c r="F617" s="51">
        <f ca="1" t="shared" si="547"/>
        <v>0</v>
      </c>
      <c r="G617" s="51">
        <f ca="1" t="shared" si="548"/>
        <v>0</v>
      </c>
      <c r="H617" s="51">
        <f ca="1" t="shared" si="549"/>
        <v>0</v>
      </c>
      <c r="I617" s="51">
        <f ca="1" t="shared" si="550"/>
        <v>0</v>
      </c>
      <c r="J617" s="51">
        <f ca="1" t="shared" si="551"/>
        <v>0</v>
      </c>
      <c r="K617" s="51">
        <f ca="1" t="shared" si="552"/>
        <v>0</v>
      </c>
      <c r="L617" s="51">
        <f ca="1" t="shared" si="553"/>
        <v>0</v>
      </c>
      <c r="M617" s="51">
        <f ca="1" t="shared" si="554"/>
        <v>0</v>
      </c>
      <c r="N617" s="51">
        <f ca="1" t="shared" si="555"/>
        <v>0</v>
      </c>
      <c r="O617" s="51">
        <f ca="1" t="shared" si="556"/>
        <v>0</v>
      </c>
      <c r="P617" s="51">
        <f ca="1" t="shared" si="557"/>
        <v>0</v>
      </c>
      <c r="Q617" s="51">
        <f ca="1" t="shared" si="558"/>
        <v>0</v>
      </c>
    </row>
    <row r="618" ht="24" customHeight="1" spans="1:17">
      <c r="A618" s="99" t="s">
        <v>345</v>
      </c>
      <c r="B618" s="99" t="s">
        <v>299</v>
      </c>
      <c r="C618" s="99" t="s">
        <v>344</v>
      </c>
      <c r="D618" s="48" t="s">
        <v>321</v>
      </c>
      <c r="E618" s="48" t="s">
        <v>90</v>
      </c>
      <c r="F618" s="112" t="str">
        <f ca="1" t="shared" ref="F618:Q618" si="559">IFERROR(F611/F610," ")</f>
        <v> </v>
      </c>
      <c r="G618" s="112">
        <f ca="1" t="shared" si="559"/>
        <v>0</v>
      </c>
      <c r="H618" s="112">
        <f ca="1" t="shared" si="559"/>
        <v>0</v>
      </c>
      <c r="I618" s="112">
        <f ca="1" t="shared" si="559"/>
        <v>0</v>
      </c>
      <c r="J618" s="112">
        <f ca="1" t="shared" si="559"/>
        <v>0</v>
      </c>
      <c r="K618" s="112">
        <f ca="1" t="shared" si="559"/>
        <v>0</v>
      </c>
      <c r="L618" s="112">
        <f ca="1" t="shared" si="559"/>
        <v>0</v>
      </c>
      <c r="M618" s="112">
        <f ca="1" t="shared" si="559"/>
        <v>0</v>
      </c>
      <c r="N618" s="112">
        <f ca="1" t="shared" si="559"/>
        <v>0</v>
      </c>
      <c r="O618" s="112">
        <f ca="1" t="shared" si="559"/>
        <v>0.3197635138477</v>
      </c>
      <c r="P618" s="112">
        <f ca="1" t="shared" si="559"/>
        <v>0.3197635138477</v>
      </c>
      <c r="Q618" s="112">
        <f ca="1" t="shared" si="559"/>
        <v>0.3197635138477</v>
      </c>
    </row>
    <row r="619" ht="24" customHeight="1" spans="1:17">
      <c r="A619" s="99" t="s">
        <v>345</v>
      </c>
      <c r="B619" s="99" t="s">
        <v>299</v>
      </c>
      <c r="C619" s="99" t="s">
        <v>344</v>
      </c>
      <c r="D619" s="48" t="s">
        <v>321</v>
      </c>
      <c r="E619" s="48" t="s">
        <v>82</v>
      </c>
      <c r="F619" s="112" t="str">
        <f ca="1" t="shared" ref="F619:Q619" si="560">IFERROR(F612/F610," ")</f>
        <v> </v>
      </c>
      <c r="G619" s="112">
        <f ca="1" t="shared" si="560"/>
        <v>1</v>
      </c>
      <c r="H619" s="112">
        <f ca="1" t="shared" si="560"/>
        <v>1</v>
      </c>
      <c r="I619" s="112">
        <f ca="1" t="shared" si="560"/>
        <v>1</v>
      </c>
      <c r="J619" s="112">
        <f ca="1" t="shared" si="560"/>
        <v>1</v>
      </c>
      <c r="K619" s="112">
        <f ca="1" t="shared" si="560"/>
        <v>1</v>
      </c>
      <c r="L619" s="112">
        <f ca="1" t="shared" si="560"/>
        <v>1</v>
      </c>
      <c r="M619" s="112">
        <f ca="1" t="shared" si="560"/>
        <v>1</v>
      </c>
      <c r="N619" s="112">
        <f ca="1" t="shared" si="560"/>
        <v>0.925049483981632</v>
      </c>
      <c r="O619" s="112">
        <f ca="1" t="shared" si="560"/>
        <v>0.645841782682412</v>
      </c>
      <c r="P619" s="112">
        <f ca="1" t="shared" si="560"/>
        <v>0.645841782682412</v>
      </c>
      <c r="Q619" s="112">
        <f ca="1" t="shared" si="560"/>
        <v>0.645841782682412</v>
      </c>
    </row>
    <row r="620" ht="24" customHeight="1" spans="1:17">
      <c r="A620" s="99" t="s">
        <v>345</v>
      </c>
      <c r="B620" s="99" t="s">
        <v>299</v>
      </c>
      <c r="C620" s="99" t="s">
        <v>344</v>
      </c>
      <c r="D620" s="48" t="s">
        <v>321</v>
      </c>
      <c r="E620" s="48" t="s">
        <v>86</v>
      </c>
      <c r="F620" s="112" t="str">
        <f ca="1" t="shared" ref="F620:Q620" si="561">IFERROR(F613/F610," ")</f>
        <v> </v>
      </c>
      <c r="G620" s="112">
        <f ca="1" t="shared" si="561"/>
        <v>0</v>
      </c>
      <c r="H620" s="112">
        <f ca="1" t="shared" si="561"/>
        <v>0</v>
      </c>
      <c r="I620" s="112">
        <f ca="1" t="shared" si="561"/>
        <v>0</v>
      </c>
      <c r="J620" s="112">
        <f ca="1" t="shared" si="561"/>
        <v>0</v>
      </c>
      <c r="K620" s="112">
        <f ca="1" t="shared" si="561"/>
        <v>0</v>
      </c>
      <c r="L620" s="112">
        <f ca="1" t="shared" si="561"/>
        <v>0</v>
      </c>
      <c r="M620" s="112">
        <f ca="1" t="shared" si="561"/>
        <v>0</v>
      </c>
      <c r="N620" s="112">
        <f ca="1" t="shared" si="561"/>
        <v>0</v>
      </c>
      <c r="O620" s="112">
        <f ca="1" t="shared" si="561"/>
        <v>0</v>
      </c>
      <c r="P620" s="112">
        <f ca="1" t="shared" si="561"/>
        <v>0</v>
      </c>
      <c r="Q620" s="112">
        <f ca="1" t="shared" si="561"/>
        <v>0</v>
      </c>
    </row>
    <row r="621" ht="24" customHeight="1" spans="1:17">
      <c r="A621" s="99" t="s">
        <v>345</v>
      </c>
      <c r="B621" s="99" t="s">
        <v>299</v>
      </c>
      <c r="C621" s="99" t="s">
        <v>344</v>
      </c>
      <c r="D621" s="48" t="s">
        <v>321</v>
      </c>
      <c r="E621" s="48" t="s">
        <v>97</v>
      </c>
      <c r="F621" s="112" t="str">
        <f ca="1" t="shared" ref="F621:Q621" si="562">IFERROR(F614/F610," ")</f>
        <v> </v>
      </c>
      <c r="G621" s="112">
        <f ca="1" t="shared" si="562"/>
        <v>0</v>
      </c>
      <c r="H621" s="112">
        <f ca="1" t="shared" si="562"/>
        <v>0</v>
      </c>
      <c r="I621" s="112">
        <f ca="1" t="shared" si="562"/>
        <v>0</v>
      </c>
      <c r="J621" s="112">
        <f ca="1" t="shared" si="562"/>
        <v>0</v>
      </c>
      <c r="K621" s="112">
        <f ca="1" t="shared" si="562"/>
        <v>0</v>
      </c>
      <c r="L621" s="112">
        <f ca="1" t="shared" si="562"/>
        <v>0</v>
      </c>
      <c r="M621" s="112">
        <f ca="1" t="shared" si="562"/>
        <v>0</v>
      </c>
      <c r="N621" s="112">
        <f ca="1" t="shared" si="562"/>
        <v>0.0749505160183677</v>
      </c>
      <c r="O621" s="112">
        <f ca="1" t="shared" si="562"/>
        <v>0.034394703469888</v>
      </c>
      <c r="P621" s="112">
        <f ca="1" t="shared" si="562"/>
        <v>0.034394703469888</v>
      </c>
      <c r="Q621" s="112">
        <f ca="1" t="shared" si="562"/>
        <v>0.034394703469888</v>
      </c>
    </row>
    <row r="622" ht="24" customHeight="1" spans="1:17">
      <c r="A622" s="99" t="s">
        <v>345</v>
      </c>
      <c r="B622" s="99" t="s">
        <v>299</v>
      </c>
      <c r="C622" s="99" t="s">
        <v>344</v>
      </c>
      <c r="D622" s="48" t="s">
        <v>321</v>
      </c>
      <c r="E622" s="48" t="s">
        <v>87</v>
      </c>
      <c r="F622" s="112" t="str">
        <f ca="1" t="shared" ref="F622:Q622" si="563">IFERROR(F615/F610," ")</f>
        <v> </v>
      </c>
      <c r="G622" s="112">
        <f ca="1" t="shared" si="563"/>
        <v>0</v>
      </c>
      <c r="H622" s="112">
        <f ca="1" t="shared" si="563"/>
        <v>0</v>
      </c>
      <c r="I622" s="112">
        <f ca="1" t="shared" si="563"/>
        <v>0</v>
      </c>
      <c r="J622" s="112">
        <f ca="1" t="shared" si="563"/>
        <v>0</v>
      </c>
      <c r="K622" s="112">
        <f ca="1" t="shared" si="563"/>
        <v>0</v>
      </c>
      <c r="L622" s="112">
        <f ca="1" t="shared" si="563"/>
        <v>0</v>
      </c>
      <c r="M622" s="112">
        <f ca="1" t="shared" si="563"/>
        <v>0</v>
      </c>
      <c r="N622" s="112">
        <f ca="1" t="shared" si="563"/>
        <v>0</v>
      </c>
      <c r="O622" s="112">
        <f ca="1" t="shared" si="563"/>
        <v>0</v>
      </c>
      <c r="P622" s="112">
        <f ca="1" t="shared" si="563"/>
        <v>0</v>
      </c>
      <c r="Q622" s="112">
        <f ca="1" t="shared" si="563"/>
        <v>0</v>
      </c>
    </row>
    <row r="623" ht="24" customHeight="1" spans="1:17">
      <c r="A623" s="99" t="s">
        <v>345</v>
      </c>
      <c r="B623" s="99" t="s">
        <v>299</v>
      </c>
      <c r="C623" s="99" t="s">
        <v>344</v>
      </c>
      <c r="D623" s="48" t="s">
        <v>321</v>
      </c>
      <c r="E623" s="48" t="s">
        <v>149</v>
      </c>
      <c r="F623" s="112" t="str">
        <f ca="1" t="shared" ref="F623:Q623" si="564">IFERROR(F616/F610," ")</f>
        <v> </v>
      </c>
      <c r="G623" s="112">
        <f ca="1" t="shared" si="564"/>
        <v>0</v>
      </c>
      <c r="H623" s="112">
        <f ca="1" t="shared" si="564"/>
        <v>0</v>
      </c>
      <c r="I623" s="112">
        <f ca="1" t="shared" si="564"/>
        <v>0</v>
      </c>
      <c r="J623" s="112">
        <f ca="1" t="shared" si="564"/>
        <v>0</v>
      </c>
      <c r="K623" s="112">
        <f ca="1" t="shared" si="564"/>
        <v>0</v>
      </c>
      <c r="L623" s="112">
        <f ca="1" t="shared" si="564"/>
        <v>0</v>
      </c>
      <c r="M623" s="112">
        <f ca="1" t="shared" si="564"/>
        <v>0</v>
      </c>
      <c r="N623" s="112">
        <f ca="1" t="shared" si="564"/>
        <v>0</v>
      </c>
      <c r="O623" s="112">
        <f ca="1" t="shared" si="564"/>
        <v>0</v>
      </c>
      <c r="P623" s="112">
        <f ca="1" t="shared" si="564"/>
        <v>0</v>
      </c>
      <c r="Q623" s="112">
        <f ca="1" t="shared" si="564"/>
        <v>0</v>
      </c>
    </row>
    <row r="624" ht="24" customHeight="1" spans="1:17">
      <c r="A624" s="99" t="s">
        <v>345</v>
      </c>
      <c r="B624" s="99" t="s">
        <v>299</v>
      </c>
      <c r="C624" s="99" t="s">
        <v>344</v>
      </c>
      <c r="D624" s="48" t="s">
        <v>321</v>
      </c>
      <c r="E624" s="48" t="s">
        <v>83</v>
      </c>
      <c r="F624" s="112" t="str">
        <f ca="1" t="shared" ref="F624:Q624" si="565">IFERROR(F617/F610," ")</f>
        <v> </v>
      </c>
      <c r="G624" s="112">
        <f ca="1" t="shared" si="565"/>
        <v>0</v>
      </c>
      <c r="H624" s="112">
        <f ca="1" t="shared" si="565"/>
        <v>0</v>
      </c>
      <c r="I624" s="112">
        <f ca="1" t="shared" si="565"/>
        <v>0</v>
      </c>
      <c r="J624" s="112">
        <f ca="1" t="shared" si="565"/>
        <v>0</v>
      </c>
      <c r="K624" s="112">
        <f ca="1" t="shared" si="565"/>
        <v>0</v>
      </c>
      <c r="L624" s="112">
        <f ca="1" t="shared" si="565"/>
        <v>0</v>
      </c>
      <c r="M624" s="112">
        <f ca="1" t="shared" si="565"/>
        <v>0</v>
      </c>
      <c r="N624" s="112">
        <f ca="1" t="shared" si="565"/>
        <v>0</v>
      </c>
      <c r="O624" s="112">
        <f ca="1" t="shared" si="565"/>
        <v>0</v>
      </c>
      <c r="P624" s="112">
        <f ca="1" t="shared" si="565"/>
        <v>0</v>
      </c>
      <c r="Q624" s="112">
        <f ca="1" t="shared" si="565"/>
        <v>0</v>
      </c>
    </row>
    <row r="625" ht="24" customHeight="1" spans="1:17">
      <c r="A625" s="99" t="s">
        <v>345</v>
      </c>
      <c r="B625" s="99" t="s">
        <v>299</v>
      </c>
      <c r="C625" s="99" t="s">
        <v>344</v>
      </c>
      <c r="D625" s="47" t="s">
        <v>294</v>
      </c>
      <c r="E625" s="47" t="s">
        <v>93</v>
      </c>
      <c r="F625" s="64">
        <f ca="1" t="shared" ref="F625:F629" si="566">IF($S$1&lt;DATE(2025,1,1)," ",F561)</f>
        <v>0</v>
      </c>
      <c r="G625" s="64">
        <f ca="1" t="shared" ref="G625:G629" si="567">IF($S$1&lt;DATE(2025,2,1)," ",G561+F625)</f>
        <v>1.716569</v>
      </c>
      <c r="H625" s="64">
        <f ca="1" t="shared" ref="H625:H629" si="568">IF($S$1&lt;DATE(2025,3,1)," ",H561+G625)</f>
        <v>1.716569</v>
      </c>
      <c r="I625" s="64">
        <f ca="1" t="shared" ref="I625:I629" si="569">IF($S$1&lt;DATE(2025,4,1)," ",I561+H625)</f>
        <v>1.716569</v>
      </c>
      <c r="J625" s="64">
        <f ca="1" t="shared" ref="J625:J629" si="570">IF($S$1&lt;DATE(2025,5,1)," ",J561+I625)</f>
        <v>1.716569</v>
      </c>
      <c r="K625" s="64">
        <f ca="1" t="shared" ref="K625:K629" si="571">IF($S$1&lt;DATE(2025,6,1)," ",K561+J625)</f>
        <v>1.716569</v>
      </c>
      <c r="L625" s="64">
        <f ca="1" t="shared" ref="L625:L629" si="572">IF($S$1&lt;DATE(2025,7,1)," ",L561+K625)</f>
        <v>1.716569</v>
      </c>
      <c r="M625" s="64">
        <f ca="1" t="shared" ref="M625:M629" si="573">IF($S$1&lt;DATE(2025,8,1)," ",M561+L625)</f>
        <v>1.716569</v>
      </c>
      <c r="N625" s="64">
        <f ca="1" t="shared" ref="N625:N629" si="574">IF($S$1&lt;DATE(2025,9,1)," ",N561+M625)</f>
        <v>1.855651</v>
      </c>
      <c r="O625" s="64">
        <f ca="1" t="shared" ref="O625:O629" si="575">IF($S$1&lt;DATE(2025,10,1)," ",O561+N625)</f>
        <v>2.077674</v>
      </c>
      <c r="P625" s="64">
        <f ca="1" t="shared" ref="P625:P629" si="576">IF($S$1&lt;DATE(2025,11,1)," ",P561+O625)</f>
        <v>2.077674</v>
      </c>
      <c r="Q625" s="64">
        <f ca="1" t="shared" ref="Q625:Q629" si="577">IF($S$1&lt;DATE(2025,12,1)," ",Q561+P625)</f>
        <v>2.077674</v>
      </c>
    </row>
    <row r="626" ht="24" customHeight="1" spans="1:17">
      <c r="A626" s="99" t="s">
        <v>345</v>
      </c>
      <c r="B626" s="99" t="s">
        <v>299</v>
      </c>
      <c r="C626" s="99" t="s">
        <v>344</v>
      </c>
      <c r="D626" s="47" t="s">
        <v>294</v>
      </c>
      <c r="E626" s="47" t="s">
        <v>85</v>
      </c>
      <c r="F626" s="64">
        <f ca="1" t="shared" si="566"/>
        <v>0</v>
      </c>
      <c r="G626" s="64">
        <f ca="1" t="shared" si="567"/>
        <v>0</v>
      </c>
      <c r="H626" s="64">
        <f ca="1" t="shared" si="568"/>
        <v>0</v>
      </c>
      <c r="I626" s="64">
        <f ca="1" t="shared" si="569"/>
        <v>0</v>
      </c>
      <c r="J626" s="64">
        <f ca="1" t="shared" si="570"/>
        <v>0</v>
      </c>
      <c r="K626" s="64">
        <f ca="1" t="shared" si="571"/>
        <v>0</v>
      </c>
      <c r="L626" s="64">
        <f ca="1" t="shared" si="572"/>
        <v>0</v>
      </c>
      <c r="M626" s="64">
        <f ca="1" t="shared" si="573"/>
        <v>0</v>
      </c>
      <c r="N626" s="64">
        <f ca="1" t="shared" si="574"/>
        <v>0</v>
      </c>
      <c r="O626" s="64">
        <f ca="1" t="shared" si="575"/>
        <v>1.96603</v>
      </c>
      <c r="P626" s="64">
        <f ca="1" t="shared" si="576"/>
        <v>1.96603</v>
      </c>
      <c r="Q626" s="64">
        <f ca="1" t="shared" si="577"/>
        <v>1.96603</v>
      </c>
    </row>
    <row r="627" ht="24" customHeight="1" spans="1:17">
      <c r="A627" s="99" t="s">
        <v>345</v>
      </c>
      <c r="B627" s="99" t="s">
        <v>299</v>
      </c>
      <c r="C627" s="99" t="s">
        <v>344</v>
      </c>
      <c r="D627" s="47" t="s">
        <v>294</v>
      </c>
      <c r="E627" s="47" t="s">
        <v>81</v>
      </c>
      <c r="F627" s="64">
        <f ca="1" t="shared" si="566"/>
        <v>0</v>
      </c>
      <c r="G627" s="64">
        <f ca="1" t="shared" si="567"/>
        <v>0</v>
      </c>
      <c r="H627" s="64">
        <f ca="1" t="shared" si="568"/>
        <v>0</v>
      </c>
      <c r="I627" s="64">
        <f ca="1" t="shared" si="569"/>
        <v>0</v>
      </c>
      <c r="J627" s="64">
        <f ca="1" t="shared" si="570"/>
        <v>0</v>
      </c>
      <c r="K627" s="64">
        <f ca="1" t="shared" si="571"/>
        <v>0</v>
      </c>
      <c r="L627" s="64">
        <f ca="1" t="shared" si="572"/>
        <v>0</v>
      </c>
      <c r="M627" s="64">
        <f ca="1" t="shared" si="573"/>
        <v>0</v>
      </c>
      <c r="N627" s="64">
        <f ca="1" t="shared" si="574"/>
        <v>0</v>
      </c>
      <c r="O627" s="64">
        <f ca="1" t="shared" si="575"/>
        <v>0</v>
      </c>
      <c r="P627" s="64">
        <f ca="1" t="shared" si="576"/>
        <v>0</v>
      </c>
      <c r="Q627" s="64">
        <f ca="1" t="shared" si="577"/>
        <v>0</v>
      </c>
    </row>
    <row r="628" ht="24" customHeight="1" spans="1:17">
      <c r="A628" s="99" t="s">
        <v>345</v>
      </c>
      <c r="B628" s="99" t="s">
        <v>299</v>
      </c>
      <c r="C628" s="99" t="s">
        <v>344</v>
      </c>
      <c r="D628" s="47" t="s">
        <v>294</v>
      </c>
      <c r="E628" s="47" t="s">
        <v>96</v>
      </c>
      <c r="F628" s="64">
        <f ca="1" t="shared" si="566"/>
        <v>0</v>
      </c>
      <c r="G628" s="64">
        <f ca="1" t="shared" si="567"/>
        <v>0</v>
      </c>
      <c r="H628" s="64">
        <f ca="1" t="shared" si="568"/>
        <v>0</v>
      </c>
      <c r="I628" s="64">
        <f ca="1" t="shared" si="569"/>
        <v>0</v>
      </c>
      <c r="J628" s="64">
        <f ca="1" t="shared" si="570"/>
        <v>0</v>
      </c>
      <c r="K628" s="64">
        <f ca="1" t="shared" si="571"/>
        <v>0</v>
      </c>
      <c r="L628" s="64">
        <f ca="1" t="shared" si="572"/>
        <v>0</v>
      </c>
      <c r="M628" s="64">
        <f ca="1" t="shared" si="573"/>
        <v>0</v>
      </c>
      <c r="N628" s="64">
        <f ca="1" t="shared" si="574"/>
        <v>0</v>
      </c>
      <c r="O628" s="64">
        <f ca="1" t="shared" si="575"/>
        <v>0</v>
      </c>
      <c r="P628" s="64">
        <f ca="1" t="shared" si="576"/>
        <v>0</v>
      </c>
      <c r="Q628" s="64">
        <f ca="1" t="shared" si="577"/>
        <v>0</v>
      </c>
    </row>
    <row r="629" ht="24" customHeight="1" spans="1:17">
      <c r="A629" s="99" t="s">
        <v>345</v>
      </c>
      <c r="B629" s="99" t="s">
        <v>299</v>
      </c>
      <c r="C629" s="99" t="s">
        <v>344</v>
      </c>
      <c r="D629" s="47" t="s">
        <v>294</v>
      </c>
      <c r="E629" s="47" t="s">
        <v>160</v>
      </c>
      <c r="F629" s="64">
        <f ca="1" t="shared" si="566"/>
        <v>0</v>
      </c>
      <c r="G629" s="64">
        <f ca="1" t="shared" si="567"/>
        <v>0</v>
      </c>
      <c r="H629" s="64">
        <f ca="1" t="shared" si="568"/>
        <v>0</v>
      </c>
      <c r="I629" s="64">
        <f ca="1" t="shared" si="569"/>
        <v>0</v>
      </c>
      <c r="J629" s="64">
        <f ca="1" t="shared" si="570"/>
        <v>0</v>
      </c>
      <c r="K629" s="64">
        <f ca="1" t="shared" si="571"/>
        <v>0</v>
      </c>
      <c r="L629" s="64">
        <f ca="1" t="shared" si="572"/>
        <v>0</v>
      </c>
      <c r="M629" s="64">
        <f ca="1" t="shared" si="573"/>
        <v>0</v>
      </c>
      <c r="N629" s="64">
        <f ca="1" t="shared" si="574"/>
        <v>0</v>
      </c>
      <c r="O629" s="64">
        <f ca="1" t="shared" si="575"/>
        <v>0</v>
      </c>
      <c r="P629" s="64">
        <f ca="1" t="shared" si="576"/>
        <v>0</v>
      </c>
      <c r="Q629" s="64">
        <f ca="1" t="shared" si="577"/>
        <v>0</v>
      </c>
    </row>
    <row r="630" ht="24" customHeight="1" spans="1:17">
      <c r="A630" s="99" t="s">
        <v>345</v>
      </c>
      <c r="B630" s="99" t="s">
        <v>299</v>
      </c>
      <c r="C630" s="99" t="s">
        <v>344</v>
      </c>
      <c r="D630" s="47" t="s">
        <v>321</v>
      </c>
      <c r="E630" s="47" t="s">
        <v>93</v>
      </c>
      <c r="F630" s="126" t="str">
        <f ca="1" t="shared" ref="F630:Q630" si="578">IFERROR(F625/F610," ")</f>
        <v> </v>
      </c>
      <c r="G630" s="126">
        <f ca="1" t="shared" si="578"/>
        <v>1</v>
      </c>
      <c r="H630" s="126">
        <f ca="1" t="shared" si="578"/>
        <v>1</v>
      </c>
      <c r="I630" s="126">
        <f ca="1" t="shared" si="578"/>
        <v>1</v>
      </c>
      <c r="J630" s="126">
        <f ca="1" t="shared" si="578"/>
        <v>1</v>
      </c>
      <c r="K630" s="126">
        <f ca="1" t="shared" si="578"/>
        <v>1</v>
      </c>
      <c r="L630" s="126">
        <f ca="1" t="shared" si="578"/>
        <v>1</v>
      </c>
      <c r="M630" s="126">
        <f ca="1" t="shared" si="578"/>
        <v>1</v>
      </c>
      <c r="N630" s="126">
        <f ca="1" t="shared" si="578"/>
        <v>1</v>
      </c>
      <c r="O630" s="126">
        <f ca="1" t="shared" si="578"/>
        <v>0.513804670173682</v>
      </c>
      <c r="P630" s="126">
        <f ca="1" t="shared" si="578"/>
        <v>0.513804670173682</v>
      </c>
      <c r="Q630" s="126">
        <f ca="1" t="shared" si="578"/>
        <v>0.513804670173682</v>
      </c>
    </row>
    <row r="631" ht="24" customHeight="1" spans="1:17">
      <c r="A631" s="99" t="s">
        <v>345</v>
      </c>
      <c r="B631" s="99" t="s">
        <v>299</v>
      </c>
      <c r="C631" s="99" t="s">
        <v>344</v>
      </c>
      <c r="D631" s="47" t="s">
        <v>321</v>
      </c>
      <c r="E631" s="47" t="s">
        <v>85</v>
      </c>
      <c r="F631" s="126" t="str">
        <f ca="1" t="shared" ref="F631:Q631" si="579">IFERROR(F626/F610," ")</f>
        <v> </v>
      </c>
      <c r="G631" s="126">
        <f ca="1" t="shared" si="579"/>
        <v>0</v>
      </c>
      <c r="H631" s="126">
        <f ca="1" t="shared" si="579"/>
        <v>0</v>
      </c>
      <c r="I631" s="126">
        <f ca="1" t="shared" si="579"/>
        <v>0</v>
      </c>
      <c r="J631" s="126">
        <f ca="1" t="shared" si="579"/>
        <v>0</v>
      </c>
      <c r="K631" s="126">
        <f ca="1" t="shared" si="579"/>
        <v>0</v>
      </c>
      <c r="L631" s="126">
        <f ca="1" t="shared" si="579"/>
        <v>0</v>
      </c>
      <c r="M631" s="126">
        <f ca="1" t="shared" si="579"/>
        <v>0</v>
      </c>
      <c r="N631" s="126">
        <f ca="1" t="shared" si="579"/>
        <v>0</v>
      </c>
      <c r="O631" s="126">
        <f ca="1" t="shared" si="579"/>
        <v>0.486195329826318</v>
      </c>
      <c r="P631" s="126">
        <f ca="1" t="shared" si="579"/>
        <v>0.486195329826318</v>
      </c>
      <c r="Q631" s="126">
        <f ca="1" t="shared" si="579"/>
        <v>0.486195329826318</v>
      </c>
    </row>
    <row r="632" ht="24" customHeight="1" spans="1:17">
      <c r="A632" s="99" t="s">
        <v>345</v>
      </c>
      <c r="B632" s="99" t="s">
        <v>299</v>
      </c>
      <c r="C632" s="99" t="s">
        <v>344</v>
      </c>
      <c r="D632" s="47" t="s">
        <v>321</v>
      </c>
      <c r="E632" s="47" t="s">
        <v>81</v>
      </c>
      <c r="F632" s="126" t="str">
        <f ca="1" t="shared" ref="F632:Q632" si="580">IFERROR(F627/F610," ")</f>
        <v> </v>
      </c>
      <c r="G632" s="126">
        <f ca="1" t="shared" si="580"/>
        <v>0</v>
      </c>
      <c r="H632" s="126">
        <f ca="1" t="shared" si="580"/>
        <v>0</v>
      </c>
      <c r="I632" s="126">
        <f ca="1" t="shared" si="580"/>
        <v>0</v>
      </c>
      <c r="J632" s="126">
        <f ca="1" t="shared" si="580"/>
        <v>0</v>
      </c>
      <c r="K632" s="126">
        <f ca="1" t="shared" si="580"/>
        <v>0</v>
      </c>
      <c r="L632" s="126">
        <f ca="1" t="shared" si="580"/>
        <v>0</v>
      </c>
      <c r="M632" s="126">
        <f ca="1" t="shared" si="580"/>
        <v>0</v>
      </c>
      <c r="N632" s="126">
        <f ca="1" t="shared" si="580"/>
        <v>0</v>
      </c>
      <c r="O632" s="126">
        <f ca="1" t="shared" si="580"/>
        <v>0</v>
      </c>
      <c r="P632" s="126">
        <f ca="1" t="shared" si="580"/>
        <v>0</v>
      </c>
      <c r="Q632" s="126">
        <f ca="1" t="shared" si="580"/>
        <v>0</v>
      </c>
    </row>
    <row r="633" ht="24" customHeight="1" spans="1:17">
      <c r="A633" s="99" t="s">
        <v>345</v>
      </c>
      <c r="B633" s="99" t="s">
        <v>299</v>
      </c>
      <c r="C633" s="99" t="s">
        <v>344</v>
      </c>
      <c r="D633" s="47" t="s">
        <v>321</v>
      </c>
      <c r="E633" s="47" t="s">
        <v>96</v>
      </c>
      <c r="F633" s="126" t="str">
        <f ca="1" t="shared" ref="F633:Q633" si="581">IFERROR(F628/F610," ")</f>
        <v> </v>
      </c>
      <c r="G633" s="126">
        <f ca="1" t="shared" si="581"/>
        <v>0</v>
      </c>
      <c r="H633" s="126">
        <f ca="1" t="shared" si="581"/>
        <v>0</v>
      </c>
      <c r="I633" s="126">
        <f ca="1" t="shared" si="581"/>
        <v>0</v>
      </c>
      <c r="J633" s="126">
        <f ca="1" t="shared" si="581"/>
        <v>0</v>
      </c>
      <c r="K633" s="126">
        <f ca="1" t="shared" si="581"/>
        <v>0</v>
      </c>
      <c r="L633" s="126">
        <f ca="1" t="shared" si="581"/>
        <v>0</v>
      </c>
      <c r="M633" s="126">
        <f ca="1" t="shared" si="581"/>
        <v>0</v>
      </c>
      <c r="N633" s="126">
        <f ca="1" t="shared" si="581"/>
        <v>0</v>
      </c>
      <c r="O633" s="126">
        <f ca="1" t="shared" si="581"/>
        <v>0</v>
      </c>
      <c r="P633" s="126">
        <f ca="1" t="shared" si="581"/>
        <v>0</v>
      </c>
      <c r="Q633" s="126">
        <f ca="1" t="shared" si="581"/>
        <v>0</v>
      </c>
    </row>
    <row r="634" ht="24" customHeight="1" spans="1:17">
      <c r="A634" s="99" t="s">
        <v>345</v>
      </c>
      <c r="B634" s="99" t="s">
        <v>299</v>
      </c>
      <c r="C634" s="99" t="s">
        <v>344</v>
      </c>
      <c r="D634" s="47" t="s">
        <v>321</v>
      </c>
      <c r="E634" s="47" t="s">
        <v>160</v>
      </c>
      <c r="F634" s="126" t="str">
        <f ca="1" t="shared" ref="F634:Q634" si="582">IFERROR(F629/F610," ")</f>
        <v> </v>
      </c>
      <c r="G634" s="126">
        <f ca="1" t="shared" si="582"/>
        <v>0</v>
      </c>
      <c r="H634" s="126">
        <f ca="1" t="shared" si="582"/>
        <v>0</v>
      </c>
      <c r="I634" s="126">
        <f ca="1" t="shared" si="582"/>
        <v>0</v>
      </c>
      <c r="J634" s="126">
        <f ca="1" t="shared" si="582"/>
        <v>0</v>
      </c>
      <c r="K634" s="126">
        <f ca="1" t="shared" si="582"/>
        <v>0</v>
      </c>
      <c r="L634" s="126">
        <f ca="1" t="shared" si="582"/>
        <v>0</v>
      </c>
      <c r="M634" s="126">
        <f ca="1" t="shared" si="582"/>
        <v>0</v>
      </c>
      <c r="N634" s="126">
        <f ca="1" t="shared" si="582"/>
        <v>0</v>
      </c>
      <c r="O634" s="126">
        <f ca="1" t="shared" si="582"/>
        <v>0</v>
      </c>
      <c r="P634" s="126">
        <f ca="1" t="shared" si="582"/>
        <v>0</v>
      </c>
      <c r="Q634" s="126">
        <f ca="1" t="shared" si="582"/>
        <v>0</v>
      </c>
    </row>
    <row r="635" ht="24" customHeight="1" spans="1:17">
      <c r="A635" s="99" t="s">
        <v>345</v>
      </c>
      <c r="B635" s="99" t="s">
        <v>299</v>
      </c>
      <c r="C635" s="99" t="s">
        <v>343</v>
      </c>
      <c r="D635" s="114" t="s">
        <v>292</v>
      </c>
      <c r="E635" s="53" t="s">
        <v>326</v>
      </c>
      <c r="F635" s="219">
        <f ca="1">IF($S$1&lt;DATE(2025,1,1)," ",IF((F566-F637-F638-F639-F640-F641)&lt;&gt;0,"ERR",F566))</f>
        <v>0</v>
      </c>
      <c r="G635" s="219">
        <f ca="1">IF($S$1&lt;DATE(2025,2,1)," ",IF((G566+F635-G637-G638-G639-G640-G641)&lt;&gt;0,"ERR",G566+F635))</f>
        <v>0</v>
      </c>
      <c r="H635" s="219">
        <f ca="1">IF($S$1&lt;DATE(2025,3,1)," ",IF((H566+G635-H637-H638-H639-H640-H641)&lt;&gt;0,"ERR",H566+G635))</f>
        <v>0</v>
      </c>
      <c r="I635" s="219">
        <f ca="1">IF($S$1&lt;DATE(2025,4,1)," ",IF((I566+H635-I637-I638-I639-I640-I641)&lt;&gt;0,"ERR",I566+H635))</f>
        <v>0</v>
      </c>
      <c r="J635" s="219">
        <f ca="1">IF($S$1&lt;DATE(2025,5,1)," ",IF((J566+I635-J637-J638-J639-J640-J641)&lt;&gt;0,"ERR",J566+I635))</f>
        <v>0</v>
      </c>
      <c r="K635" s="219">
        <f ca="1">IF($S$1&lt;DATE(2025,6,1)," ",IF((K566+J635-K637-K638-K639-K640-K641)&lt;&gt;0,"ERR",K566+J635))</f>
        <v>0</v>
      </c>
      <c r="L635" s="219">
        <f ca="1">IF($S$1&lt;DATE(2025,7,1)," ",IF((L566+K635-L637-L638-L639-L640-L641)&lt;&gt;0,"ERR",L566+K635))</f>
        <v>0</v>
      </c>
      <c r="M635" s="219">
        <f ca="1">IF($S$1&lt;DATE(2025,8,1)," ",IF((M566+L635-M637-M638-M639-M640-M641)&lt;&gt;0,"ERR",M566+L635))</f>
        <v>0</v>
      </c>
      <c r="N635" s="219">
        <f ca="1">IF($S$1&lt;DATE(2025,9,1)," ",IF((N566+M635-N637-N638-N639-N640-N641)&lt;&gt;0,"ERR",N566+M635))</f>
        <v>0</v>
      </c>
      <c r="O635" s="219">
        <f ca="1">IF($S$1&lt;DATE(2025,10,1)," ",IF((O566+N635-O637-O638-O639-O640-O641)&lt;&gt;0,"ERR",O566+N635))</f>
        <v>0.0587880000000001</v>
      </c>
      <c r="P635" s="219">
        <f ca="1">IF($S$1&lt;DATE(2025,11,1)," ",IF((P566+O635-P637-P638-P639-P640-P641)&lt;&gt;0,"ERR",P566+O635))</f>
        <v>0.0587880000000001</v>
      </c>
      <c r="Q635" s="219">
        <f ca="1">IF($S$1&lt;DATE(2025,12,1)," ",IF((Q566+P635-Q637-Q638-Q639-Q640-Q641)&lt;&gt;0,"ERR",Q566+P635))</f>
        <v>0.0587880000000001</v>
      </c>
    </row>
    <row r="636" ht="24" customHeight="1" spans="1:17">
      <c r="A636" s="99" t="s">
        <v>345</v>
      </c>
      <c r="B636" s="99" t="s">
        <v>299</v>
      </c>
      <c r="C636" s="99" t="s">
        <v>343</v>
      </c>
      <c r="D636" s="114" t="s">
        <v>292</v>
      </c>
      <c r="E636" s="53" t="s">
        <v>327</v>
      </c>
      <c r="F636" s="219">
        <f ca="1">IF($S$1&lt;DATE(2025,1,1)," ",IF((F567-SUM(F642:F646))&lt;&gt;0,"ERR",F567))</f>
        <v>0</v>
      </c>
      <c r="G636" s="219">
        <f ca="1">IF($S$1&lt;DATE(2025,2,1)," ",IF((G567+F636-SUM(G642:G646))&lt;&gt;0,"ERR",G567+F636))</f>
        <v>0.144451</v>
      </c>
      <c r="H636" s="219">
        <f ca="1">IF($S$1&lt;DATE(2025,3,1)," ",IF((H567+G636-SUM(H642:H646))&lt;&gt;0,"ERR",H567+G636))</f>
        <v>0.144451</v>
      </c>
      <c r="I636" s="219">
        <f ca="1">IF($S$1&lt;DATE(2025,4,1)," ",IF((I567+H636-SUM(I642:I646))&lt;&gt;0,"ERR",I567+H636))</f>
        <v>0.144451</v>
      </c>
      <c r="J636" s="219">
        <f ca="1">IF($S$1&lt;DATE(2025,5,1)," ",IF((J567+I636-SUM(J642:J646))&lt;&gt;0,"ERR",J567+I636))</f>
        <v>0.144451</v>
      </c>
      <c r="K636" s="219">
        <f ca="1">IF($S$1&lt;DATE(2025,6,1)," ",IF((K567+J636-SUM(K642:K646))&lt;&gt;0,"ERR",K567+J636))</f>
        <v>0.144451</v>
      </c>
      <c r="L636" s="219">
        <f ca="1">IF($S$1&lt;DATE(2025,7,1)," ",IF((L567+K636-SUM(L642:L646))&lt;&gt;0,"ERR",L567+K636))</f>
        <v>0.144451</v>
      </c>
      <c r="M636" s="219">
        <f ca="1">IF($S$1&lt;DATE(2025,8,1)," ",IF((M567+L636-SUM(M642:M646))&lt;&gt;0,"ERR",M567+L636))</f>
        <v>0.144451</v>
      </c>
      <c r="N636" s="219">
        <f ca="1">IF($S$1&lt;DATE(2025,9,1)," ",IF((N567+M636-SUM(N642:N646))&lt;&gt;0,"ERR",N567+M636))</f>
        <v>0.161522</v>
      </c>
      <c r="O636" s="219">
        <f ca="1">IF($S$1&lt;DATE(2025,10,1)," ",IF((O567+N636-SUM(O642:O646))&lt;&gt;0,"ERR",O567+N636))</f>
        <v>0.161522</v>
      </c>
      <c r="P636" s="219">
        <f ca="1">IF($S$1&lt;DATE(2025,11,1)," ",IF((P567+O636-SUM(P642:P646))&lt;&gt;0,"ERR",P567+O636))</f>
        <v>0.161522</v>
      </c>
      <c r="Q636" s="219">
        <f ca="1">IF($S$1&lt;DATE(2025,12,1)," ",IF((Q567+P636-SUM(Q642:Q646))&lt;&gt;0,"ERR",Q567+P636))</f>
        <v>0.161522</v>
      </c>
    </row>
    <row r="637" ht="24" customHeight="1" spans="1:17">
      <c r="A637" s="99" t="s">
        <v>345</v>
      </c>
      <c r="B637" s="99" t="s">
        <v>299</v>
      </c>
      <c r="C637" s="99" t="s">
        <v>343</v>
      </c>
      <c r="D637" s="53" t="s">
        <v>326</v>
      </c>
      <c r="E637" s="53" t="s">
        <v>93</v>
      </c>
      <c r="F637" s="219">
        <f ca="1" t="shared" ref="F637:F646" si="583">IF($S$1&lt;DATE(2025,1,1)," ",F569)</f>
        <v>0</v>
      </c>
      <c r="G637" s="219">
        <f ca="1" t="shared" ref="G637:G646" si="584">IF($S$1&lt;DATE(2025,2,1)," ",G569+F637)</f>
        <v>0</v>
      </c>
      <c r="H637" s="219">
        <f ca="1" t="shared" ref="H637:H646" si="585">IF($S$1&lt;DATE(2025,3,1)," ",H569+G637)</f>
        <v>0</v>
      </c>
      <c r="I637" s="219">
        <f ca="1" t="shared" ref="I637:I646" si="586">IF($S$1&lt;DATE(2025,4,1)," ",I569+H637)</f>
        <v>0</v>
      </c>
      <c r="J637" s="219">
        <f ca="1" t="shared" ref="J637:J646" si="587">IF($S$1&lt;DATE(2025,5,1)," ",J569+I637)</f>
        <v>0</v>
      </c>
      <c r="K637" s="219">
        <f ca="1" t="shared" ref="K637:K646" si="588">IF($S$1&lt;DATE(2025,6,1)," ",K569+J637)</f>
        <v>0</v>
      </c>
      <c r="L637" s="219">
        <f ca="1" t="shared" ref="L637:L646" si="589">IF($S$1&lt;DATE(2025,7,1)," ",L569+K637)</f>
        <v>0</v>
      </c>
      <c r="M637" s="219">
        <f ca="1" t="shared" ref="M637:M646" si="590">IF($S$1&lt;DATE(2025,8,1)," ",M569+L637)</f>
        <v>0</v>
      </c>
      <c r="N637" s="219">
        <f ca="1" t="shared" ref="N637:N646" si="591">IF($S$1&lt;DATE(2025,9,1)," ",N569+M637)</f>
        <v>0</v>
      </c>
      <c r="O637" s="219">
        <f ca="1" t="shared" ref="O637:O646" si="592">IF($S$1&lt;DATE(2025,10,1)," ",O569+N637)</f>
        <v>0.00146700000000001</v>
      </c>
      <c r="P637" s="219">
        <f ca="1" t="shared" ref="P637:P646" si="593">IF($S$1&lt;DATE(2025,11,1)," ",P569+O637)</f>
        <v>0.00146700000000001</v>
      </c>
      <c r="Q637" s="219">
        <f ca="1" t="shared" ref="Q637:Q646" si="594">IF($S$1&lt;DATE(2025,12,1)," ",Q569+P637)</f>
        <v>0.00146700000000001</v>
      </c>
    </row>
    <row r="638" ht="24" customHeight="1" spans="1:17">
      <c r="A638" s="99" t="s">
        <v>345</v>
      </c>
      <c r="B638" s="99" t="s">
        <v>299</v>
      </c>
      <c r="C638" s="99" t="s">
        <v>343</v>
      </c>
      <c r="D638" s="53" t="s">
        <v>326</v>
      </c>
      <c r="E638" s="53" t="s">
        <v>85</v>
      </c>
      <c r="F638" s="219">
        <f ca="1" t="shared" si="583"/>
        <v>0</v>
      </c>
      <c r="G638" s="219">
        <f ca="1" t="shared" si="584"/>
        <v>0</v>
      </c>
      <c r="H638" s="219">
        <f ca="1" t="shared" si="585"/>
        <v>0</v>
      </c>
      <c r="I638" s="219">
        <f ca="1" t="shared" si="586"/>
        <v>0</v>
      </c>
      <c r="J638" s="219">
        <f ca="1" t="shared" si="587"/>
        <v>0</v>
      </c>
      <c r="K638" s="219">
        <f ca="1" t="shared" si="588"/>
        <v>0</v>
      </c>
      <c r="L638" s="219">
        <f ca="1" t="shared" si="589"/>
        <v>0</v>
      </c>
      <c r="M638" s="219">
        <f ca="1" t="shared" si="590"/>
        <v>0</v>
      </c>
      <c r="N638" s="219">
        <f ca="1" t="shared" si="591"/>
        <v>0</v>
      </c>
      <c r="O638" s="219">
        <f ca="1" t="shared" si="592"/>
        <v>0.0573210000000001</v>
      </c>
      <c r="P638" s="219">
        <f ca="1" t="shared" si="593"/>
        <v>0.0573210000000001</v>
      </c>
      <c r="Q638" s="219">
        <f ca="1" t="shared" si="594"/>
        <v>0.0573210000000001</v>
      </c>
    </row>
    <row r="639" ht="24" customHeight="1" spans="1:17">
      <c r="A639" s="99" t="s">
        <v>345</v>
      </c>
      <c r="B639" s="99" t="s">
        <v>299</v>
      </c>
      <c r="C639" s="99" t="s">
        <v>343</v>
      </c>
      <c r="D639" s="53" t="s">
        <v>326</v>
      </c>
      <c r="E639" s="53" t="s">
        <v>81</v>
      </c>
      <c r="F639" s="219">
        <f ca="1" t="shared" si="583"/>
        <v>0</v>
      </c>
      <c r="G639" s="219">
        <f ca="1" t="shared" si="584"/>
        <v>0</v>
      </c>
      <c r="H639" s="219">
        <f ca="1" t="shared" si="585"/>
        <v>0</v>
      </c>
      <c r="I639" s="219">
        <f ca="1" t="shared" si="586"/>
        <v>0</v>
      </c>
      <c r="J639" s="219">
        <f ca="1" t="shared" si="587"/>
        <v>0</v>
      </c>
      <c r="K639" s="219">
        <f ca="1" t="shared" si="588"/>
        <v>0</v>
      </c>
      <c r="L639" s="219">
        <f ca="1" t="shared" si="589"/>
        <v>0</v>
      </c>
      <c r="M639" s="219">
        <f ca="1" t="shared" si="590"/>
        <v>0</v>
      </c>
      <c r="N639" s="219">
        <f ca="1" t="shared" si="591"/>
        <v>0</v>
      </c>
      <c r="O639" s="219">
        <f ca="1" t="shared" si="592"/>
        <v>0</v>
      </c>
      <c r="P639" s="219">
        <f ca="1" t="shared" si="593"/>
        <v>0</v>
      </c>
      <c r="Q639" s="219">
        <f ca="1" t="shared" si="594"/>
        <v>0</v>
      </c>
    </row>
    <row r="640" ht="24" customHeight="1" spans="1:17">
      <c r="A640" s="99" t="s">
        <v>345</v>
      </c>
      <c r="B640" s="99" t="s">
        <v>299</v>
      </c>
      <c r="C640" s="99" t="s">
        <v>343</v>
      </c>
      <c r="D640" s="53" t="s">
        <v>326</v>
      </c>
      <c r="E640" s="53" t="s">
        <v>96</v>
      </c>
      <c r="F640" s="219">
        <f ca="1" t="shared" si="583"/>
        <v>0</v>
      </c>
      <c r="G640" s="219">
        <f ca="1" t="shared" si="584"/>
        <v>0</v>
      </c>
      <c r="H640" s="219">
        <f ca="1" t="shared" si="585"/>
        <v>0</v>
      </c>
      <c r="I640" s="219">
        <f ca="1" t="shared" si="586"/>
        <v>0</v>
      </c>
      <c r="J640" s="219">
        <f ca="1" t="shared" si="587"/>
        <v>0</v>
      </c>
      <c r="K640" s="219">
        <f ca="1" t="shared" si="588"/>
        <v>0</v>
      </c>
      <c r="L640" s="219">
        <f ca="1" t="shared" si="589"/>
        <v>0</v>
      </c>
      <c r="M640" s="219">
        <f ca="1" t="shared" si="590"/>
        <v>0</v>
      </c>
      <c r="N640" s="219">
        <f ca="1" t="shared" si="591"/>
        <v>0</v>
      </c>
      <c r="O640" s="219">
        <f ca="1" t="shared" si="592"/>
        <v>0</v>
      </c>
      <c r="P640" s="219">
        <f ca="1" t="shared" si="593"/>
        <v>0</v>
      </c>
      <c r="Q640" s="219">
        <f ca="1" t="shared" si="594"/>
        <v>0</v>
      </c>
    </row>
    <row r="641" ht="24" customHeight="1" spans="1:17">
      <c r="A641" s="99" t="s">
        <v>345</v>
      </c>
      <c r="B641" s="99" t="s">
        <v>299</v>
      </c>
      <c r="C641" s="99" t="s">
        <v>343</v>
      </c>
      <c r="D641" s="53" t="s">
        <v>326</v>
      </c>
      <c r="E641" s="53" t="s">
        <v>160</v>
      </c>
      <c r="F641" s="219">
        <f ca="1" t="shared" si="583"/>
        <v>0</v>
      </c>
      <c r="G641" s="219">
        <f ca="1" t="shared" si="584"/>
        <v>0</v>
      </c>
      <c r="H641" s="219">
        <f ca="1" t="shared" si="585"/>
        <v>0</v>
      </c>
      <c r="I641" s="219">
        <f ca="1" t="shared" si="586"/>
        <v>0</v>
      </c>
      <c r="J641" s="219">
        <f ca="1" t="shared" si="587"/>
        <v>0</v>
      </c>
      <c r="K641" s="219">
        <f ca="1" t="shared" si="588"/>
        <v>0</v>
      </c>
      <c r="L641" s="219">
        <f ca="1" t="shared" si="589"/>
        <v>0</v>
      </c>
      <c r="M641" s="219">
        <f ca="1" t="shared" si="590"/>
        <v>0</v>
      </c>
      <c r="N641" s="219">
        <f ca="1" t="shared" si="591"/>
        <v>0</v>
      </c>
      <c r="O641" s="219">
        <f ca="1" t="shared" si="592"/>
        <v>0</v>
      </c>
      <c r="P641" s="219">
        <f ca="1" t="shared" si="593"/>
        <v>0</v>
      </c>
      <c r="Q641" s="219">
        <f ca="1" t="shared" si="594"/>
        <v>0</v>
      </c>
    </row>
    <row r="642" ht="24" customHeight="1" spans="1:17">
      <c r="A642" s="99" t="s">
        <v>345</v>
      </c>
      <c r="B642" s="99" t="s">
        <v>299</v>
      </c>
      <c r="C642" s="99" t="s">
        <v>343</v>
      </c>
      <c r="D642" s="53" t="s">
        <v>327</v>
      </c>
      <c r="E642" s="53" t="s">
        <v>93</v>
      </c>
      <c r="F642" s="219">
        <f ca="1" t="shared" si="583"/>
        <v>0</v>
      </c>
      <c r="G642" s="219">
        <f ca="1" t="shared" si="584"/>
        <v>0.144451</v>
      </c>
      <c r="H642" s="219">
        <f ca="1" t="shared" si="585"/>
        <v>0.144451</v>
      </c>
      <c r="I642" s="219">
        <f ca="1" t="shared" si="586"/>
        <v>0.144451</v>
      </c>
      <c r="J642" s="219">
        <f ca="1" t="shared" si="587"/>
        <v>0.144451</v>
      </c>
      <c r="K642" s="219">
        <f ca="1" t="shared" si="588"/>
        <v>0.144451</v>
      </c>
      <c r="L642" s="219">
        <f ca="1" t="shared" si="589"/>
        <v>0.144451</v>
      </c>
      <c r="M642" s="219">
        <f ca="1" t="shared" si="590"/>
        <v>0.144451</v>
      </c>
      <c r="N642" s="219">
        <f ca="1" t="shared" si="591"/>
        <v>0.161522</v>
      </c>
      <c r="O642" s="219">
        <f ca="1" t="shared" si="592"/>
        <v>0.161522</v>
      </c>
      <c r="P642" s="219">
        <f ca="1" t="shared" si="593"/>
        <v>0.161522</v>
      </c>
      <c r="Q642" s="219">
        <f ca="1" t="shared" si="594"/>
        <v>0.161522</v>
      </c>
    </row>
    <row r="643" ht="24" customHeight="1" spans="1:17">
      <c r="A643" s="99" t="s">
        <v>345</v>
      </c>
      <c r="B643" s="99" t="s">
        <v>299</v>
      </c>
      <c r="C643" s="99" t="s">
        <v>343</v>
      </c>
      <c r="D643" s="53" t="s">
        <v>327</v>
      </c>
      <c r="E643" s="53" t="s">
        <v>85</v>
      </c>
      <c r="F643" s="219">
        <f ca="1" t="shared" si="583"/>
        <v>0</v>
      </c>
      <c r="G643" s="219">
        <f ca="1" t="shared" si="584"/>
        <v>0</v>
      </c>
      <c r="H643" s="219">
        <f ca="1" t="shared" si="585"/>
        <v>0</v>
      </c>
      <c r="I643" s="219">
        <f ca="1" t="shared" si="586"/>
        <v>0</v>
      </c>
      <c r="J643" s="219">
        <f ca="1" t="shared" si="587"/>
        <v>0</v>
      </c>
      <c r="K643" s="219">
        <f ca="1" t="shared" si="588"/>
        <v>0</v>
      </c>
      <c r="L643" s="219">
        <f ca="1" t="shared" si="589"/>
        <v>0</v>
      </c>
      <c r="M643" s="219">
        <f ca="1" t="shared" si="590"/>
        <v>0</v>
      </c>
      <c r="N643" s="219">
        <f ca="1" t="shared" si="591"/>
        <v>0</v>
      </c>
      <c r="O643" s="219">
        <f ca="1" t="shared" si="592"/>
        <v>0</v>
      </c>
      <c r="P643" s="219">
        <f ca="1" t="shared" si="593"/>
        <v>0</v>
      </c>
      <c r="Q643" s="219">
        <f ca="1" t="shared" si="594"/>
        <v>0</v>
      </c>
    </row>
    <row r="644" ht="24" customHeight="1" spans="1:17">
      <c r="A644" s="99" t="s">
        <v>345</v>
      </c>
      <c r="B644" s="99" t="s">
        <v>299</v>
      </c>
      <c r="C644" s="99" t="s">
        <v>343</v>
      </c>
      <c r="D644" s="53" t="s">
        <v>327</v>
      </c>
      <c r="E644" s="53" t="s">
        <v>81</v>
      </c>
      <c r="F644" s="219">
        <f ca="1" t="shared" si="583"/>
        <v>0</v>
      </c>
      <c r="G644" s="219">
        <f ca="1" t="shared" si="584"/>
        <v>0</v>
      </c>
      <c r="H644" s="219">
        <f ca="1" t="shared" si="585"/>
        <v>0</v>
      </c>
      <c r="I644" s="219">
        <f ca="1" t="shared" si="586"/>
        <v>0</v>
      </c>
      <c r="J644" s="219">
        <f ca="1" t="shared" si="587"/>
        <v>0</v>
      </c>
      <c r="K644" s="219">
        <f ca="1" t="shared" si="588"/>
        <v>0</v>
      </c>
      <c r="L644" s="219">
        <f ca="1" t="shared" si="589"/>
        <v>0</v>
      </c>
      <c r="M644" s="219">
        <f ca="1" t="shared" si="590"/>
        <v>0</v>
      </c>
      <c r="N644" s="219">
        <f ca="1" t="shared" si="591"/>
        <v>0</v>
      </c>
      <c r="O644" s="219">
        <f ca="1" t="shared" si="592"/>
        <v>0</v>
      </c>
      <c r="P644" s="219">
        <f ca="1" t="shared" si="593"/>
        <v>0</v>
      </c>
      <c r="Q644" s="219">
        <f ca="1" t="shared" si="594"/>
        <v>0</v>
      </c>
    </row>
    <row r="645" ht="24" customHeight="1" spans="1:17">
      <c r="A645" s="99" t="s">
        <v>345</v>
      </c>
      <c r="B645" s="99" t="s">
        <v>299</v>
      </c>
      <c r="C645" s="99" t="s">
        <v>343</v>
      </c>
      <c r="D645" s="53" t="s">
        <v>327</v>
      </c>
      <c r="E645" s="53" t="s">
        <v>96</v>
      </c>
      <c r="F645" s="219">
        <f ca="1" t="shared" si="583"/>
        <v>0</v>
      </c>
      <c r="G645" s="219">
        <f ca="1" t="shared" si="584"/>
        <v>0</v>
      </c>
      <c r="H645" s="219">
        <f ca="1" t="shared" si="585"/>
        <v>0</v>
      </c>
      <c r="I645" s="219">
        <f ca="1" t="shared" si="586"/>
        <v>0</v>
      </c>
      <c r="J645" s="219">
        <f ca="1" t="shared" si="587"/>
        <v>0</v>
      </c>
      <c r="K645" s="219">
        <f ca="1" t="shared" si="588"/>
        <v>0</v>
      </c>
      <c r="L645" s="219">
        <f ca="1" t="shared" si="589"/>
        <v>0</v>
      </c>
      <c r="M645" s="219">
        <f ca="1" t="shared" si="590"/>
        <v>0</v>
      </c>
      <c r="N645" s="219">
        <f ca="1" t="shared" si="591"/>
        <v>0</v>
      </c>
      <c r="O645" s="219">
        <f ca="1" t="shared" si="592"/>
        <v>0</v>
      </c>
      <c r="P645" s="219">
        <f ca="1" t="shared" si="593"/>
        <v>0</v>
      </c>
      <c r="Q645" s="219">
        <f ca="1" t="shared" si="594"/>
        <v>0</v>
      </c>
    </row>
    <row r="646" ht="24" customHeight="1" spans="1:17">
      <c r="A646" s="99" t="s">
        <v>345</v>
      </c>
      <c r="B646" s="99" t="s">
        <v>299</v>
      </c>
      <c r="C646" s="99" t="s">
        <v>343</v>
      </c>
      <c r="D646" s="53" t="s">
        <v>327</v>
      </c>
      <c r="E646" s="53" t="s">
        <v>160</v>
      </c>
      <c r="F646" s="219">
        <f ca="1" t="shared" si="583"/>
        <v>0</v>
      </c>
      <c r="G646" s="219">
        <f ca="1" t="shared" si="584"/>
        <v>0</v>
      </c>
      <c r="H646" s="219">
        <f ca="1" t="shared" si="585"/>
        <v>0</v>
      </c>
      <c r="I646" s="219">
        <f ca="1" t="shared" si="586"/>
        <v>0</v>
      </c>
      <c r="J646" s="219">
        <f ca="1" t="shared" si="587"/>
        <v>0</v>
      </c>
      <c r="K646" s="219">
        <f ca="1" t="shared" si="588"/>
        <v>0</v>
      </c>
      <c r="L646" s="219">
        <f ca="1" t="shared" si="589"/>
        <v>0</v>
      </c>
      <c r="M646" s="219">
        <f ca="1" t="shared" si="590"/>
        <v>0</v>
      </c>
      <c r="N646" s="219">
        <f ca="1" t="shared" si="591"/>
        <v>0</v>
      </c>
      <c r="O646" s="219">
        <f ca="1" t="shared" si="592"/>
        <v>0</v>
      </c>
      <c r="P646" s="219">
        <f ca="1" t="shared" si="593"/>
        <v>0</v>
      </c>
      <c r="Q646" s="219">
        <f ca="1" t="shared" si="594"/>
        <v>0</v>
      </c>
    </row>
    <row r="647" ht="24" customHeight="1" spans="1:17">
      <c r="A647" s="99" t="s">
        <v>346</v>
      </c>
      <c r="B647" s="99" t="s">
        <v>290</v>
      </c>
      <c r="C647" s="99" t="s">
        <v>291</v>
      </c>
      <c r="D647" s="100" t="s">
        <v>292</v>
      </c>
      <c r="E647" s="100" t="s">
        <v>293</v>
      </c>
      <c r="F647" s="204">
        <f ca="1">IF($S$1&lt;DATE(2025,1,1)," ",IF((SUM(F648:F654)-MAX(F660,F664))&lt;0,"ERR",SUM(F648:F654)))</f>
        <v>6</v>
      </c>
      <c r="G647" s="204">
        <f ca="1">IF($S$1&lt;DATE(2025,2,1)," ",IF((SUM(G648:G654)-MAX(G660,G664))&lt;0,"ERR",SUM(G648:G654)))</f>
        <v>1</v>
      </c>
      <c r="H647" s="204">
        <f ca="1">IF($S$1&lt;DATE(2025,3,1)," ",IF((SUM(H648:H654)-MAX(H660,H664))&lt;0,"ERR",SUM(H648:H654)))</f>
        <v>6</v>
      </c>
      <c r="I647" s="204">
        <f ca="1">IF($S$1&lt;DATE(2025,4,1)," ",IF((SUM(I648:I654)-MAX(I660,I664))&lt;0,"ERR",SUM(I648:I654)))</f>
        <v>5</v>
      </c>
      <c r="J647" s="204">
        <f ca="1">IF($S$1&lt;DATE(2025,5,1)," ",IF((SUM(J648:J654)-MAX(J660,J664))&lt;0,"ERR",SUM(J648:J654)))</f>
        <v>1</v>
      </c>
      <c r="K647" s="204">
        <f ca="1">IF($S$1&lt;DATE(2025,6,1)," ",IF((SUM(K648:K654)-MAX(K660,K664))&lt;0,"ERR",SUM(K648:K654)))</f>
        <v>3</v>
      </c>
      <c r="L647" s="204">
        <f ca="1">IF($S$1&lt;DATE(2025,7,1)," ",IF((SUM(L648:L654)-MAX(L660,L664))&lt;0,"ERR",SUM(L648:L654)))</f>
        <v>6</v>
      </c>
      <c r="M647" s="204">
        <f ca="1">IF($S$1&lt;DATE(2025,8,1)," ",IF((SUM(M648:M654)-MAX(M660,M664))&lt;0,"ERR",SUM(M648:M654)))</f>
        <v>5</v>
      </c>
      <c r="N647" s="204">
        <f ca="1">IF($S$1&lt;DATE(2025,9,1)," ",IF((SUM(N648:N654)-MAX(N660,N664))&lt;0,"ERR",SUM(N648:N654)))</f>
        <v>4</v>
      </c>
      <c r="O647" s="204">
        <f ca="1">IF($S$1&lt;DATE(2025,10,1)," ",IF((SUM(O648:O654)-MAX(O660,O664))&lt;0,"ERR",SUM(O648:O654)))</f>
        <v>3</v>
      </c>
      <c r="P647" s="204">
        <f ca="1">IF($S$1&lt;DATE(2025,11,1)," ",IF((SUM(P648:P654)-MAX(P660,P664))&lt;0,"ERR",SUM(P648:P654)))</f>
        <v>6</v>
      </c>
      <c r="Q647" s="204">
        <f ca="1">IF($S$1&lt;DATE(2025,12,1)," ",IF((SUM(Q648:Q654)-MAX(Q660,Q664))&lt;0,"ERR",SUM(Q648:Q654)))</f>
        <v>6</v>
      </c>
    </row>
    <row r="648" ht="24" customHeight="1" spans="1:35">
      <c r="A648" s="99" t="s">
        <v>346</v>
      </c>
      <c r="B648" s="99" t="s">
        <v>290</v>
      </c>
      <c r="C648" s="99" t="s">
        <v>291</v>
      </c>
      <c r="D648" s="48" t="s">
        <v>31</v>
      </c>
      <c r="E648" s="48" t="s">
        <v>90</v>
      </c>
      <c r="F648" s="205">
        <f ca="1">IF($S$1&lt;DATE(2025,1,1)," ",COUNTIFS('2025数据'!$K$3:$K$181,"&gt;="&amp;DATE(2024,1,1),'2025数据'!$K$3:$K$181,"&lt;="&amp;DATE(2025,1,31),'2025数据'!$AE$3:$AE$181,$E648))</f>
        <v>1</v>
      </c>
      <c r="G648" s="205">
        <f ca="1">IF($S$1&lt;DATE(2025,2,1)," ",COUNTIFS('2025数据'!$K$3:$K$181,"&gt;="&amp;DATE(2025,2,1),'2025数据'!$K$3:$K$181,"&lt;="&amp;DATE(2025,2,28),'2025数据'!$AE$3:$AE$181,$E648))</f>
        <v>0</v>
      </c>
      <c r="H648" s="205">
        <f ca="1">IF($S$1&lt;DATE(2025,3,1)," ",COUNTIFS('2025数据'!$K$3:$K$181,"&gt;="&amp;DATE(2025,3,1),'2025数据'!$K$3:$K$181,"&lt;="&amp;DATE(2025,3,31),'2025数据'!$AE$3:$AE$181,$E648))</f>
        <v>3</v>
      </c>
      <c r="I648" s="205">
        <f ca="1">IF($S$1&lt;DATE(2025,4,1)," ",COUNTIFS('2025数据'!$K$3:$K$181,"&gt;="&amp;DATE(2025,4,1),'2025数据'!$K$3:$K$181,"&lt;="&amp;DATE(2025,4,30),'2025数据'!$AE$3:$AE$181,$E648))</f>
        <v>1</v>
      </c>
      <c r="J648" s="205">
        <f ca="1">IF($S$1&lt;DATE(2025,5,1)," ",COUNTIFS('2025数据'!$K$3:$K$181,"&gt;="&amp;DATE(2025,5,1),'2025数据'!$K$3:$K$181,"&lt;="&amp;DATE(2025,5,31),'2025数据'!$AE$3:$AE$181,$E648))</f>
        <v>0</v>
      </c>
      <c r="K648" s="205">
        <f ca="1">IF($S$1&lt;DATE(2025,6,1)," ",COUNTIFS('2025数据'!$K$3:$K$181,"&gt;="&amp;DATE(2025,6,1),'2025数据'!$K$3:$K$181,"&lt;="&amp;DATE(2025,6,30),'2025数据'!$AE$3:$AE$181,$E648))</f>
        <v>0</v>
      </c>
      <c r="L648" s="205">
        <f ca="1">IF($S$1&lt;DATE(2025,7,1)," ",COUNTIFS('2025数据'!$K$3:$K$181,"&gt;="&amp;DATE(2025,7,1),'2025数据'!$K$3:$K$181,"&lt;="&amp;DATE(2025,7,31),'2025数据'!$AE$3:$AE$181,$E648))</f>
        <v>2</v>
      </c>
      <c r="M648" s="205">
        <f ca="1">IF($S$1&lt;DATE(2025,8,1)," ",COUNTIFS('2025数据'!$K$3:$K$181,"&gt;="&amp;DATE(2025,8,1),'2025数据'!$K$3:$K$181,"&lt;="&amp;DATE(2025,8,31),'2025数据'!$AE$3:$AE$181,$E648))</f>
        <v>2</v>
      </c>
      <c r="N648" s="205">
        <f ca="1">IF($S$1&lt;DATE(2025,9,1)," ",COUNTIFS('2025数据'!$K$3:$K$181,"&gt;="&amp;DATE(2025,9,1),'2025数据'!$K$3:$K$181,"&lt;="&amp;DATE(2025,9,30),'2025数据'!$AE$3:$AE$181,$E648))</f>
        <v>2</v>
      </c>
      <c r="O648" s="205">
        <f ca="1">IF($S$1&lt;DATE(2025,10,1)," ",COUNTIFS('2025数据'!$K$3:$K$181,"&gt;="&amp;DATE(2025,10,1),'2025数据'!$K$3:$K$181,"&lt;="&amp;DATE(2025,10,31),'2025数据'!$AE$3:$AE$181,$E648))</f>
        <v>1</v>
      </c>
      <c r="P648" s="207">
        <f ca="1">IF($S$1&lt;DATE(2025,11,1)," ",COUNTIFS('2025数据'!$K$3:$K$181,"&gt;="&amp;DATE(2025,11,1),'2025数据'!$K$3:$K$181,"&lt;="&amp;DATE(2025,11,30),'2025数据'!$AE$3:$AE$181,$E648))</f>
        <v>1</v>
      </c>
      <c r="Q648" s="207">
        <f ca="1">IF($S$1&lt;DATE(2025,12,1)," ",COUNTIFS('2025数据'!$K$3:$K$181,"&gt;="&amp;DATE(2025,12,1),'2025数据'!$K$3:$K$181,"&lt;="&amp;DATE(2025,12,31),'2025数据'!$AE$3:$AE$181,$E648))</f>
        <v>4</v>
      </c>
      <c r="S648" s="108" t="s">
        <v>272</v>
      </c>
      <c r="T648" s="108" t="s">
        <v>273</v>
      </c>
      <c r="U648" s="108" t="s">
        <v>274</v>
      </c>
      <c r="V648" s="98" t="s">
        <v>275</v>
      </c>
      <c r="W648" s="98" t="s">
        <v>276</v>
      </c>
      <c r="X648" s="102" t="s">
        <v>277</v>
      </c>
      <c r="Y648" s="103" t="s">
        <v>278</v>
      </c>
      <c r="Z648" s="102" t="s">
        <v>279</v>
      </c>
      <c r="AA648" s="103" t="s">
        <v>280</v>
      </c>
      <c r="AB648" s="102" t="s">
        <v>281</v>
      </c>
      <c r="AC648" s="103" t="s">
        <v>282</v>
      </c>
      <c r="AD648" s="102" t="s">
        <v>283</v>
      </c>
      <c r="AE648" s="103" t="s">
        <v>284</v>
      </c>
      <c r="AF648" s="102" t="s">
        <v>285</v>
      </c>
      <c r="AG648" s="103" t="s">
        <v>286</v>
      </c>
      <c r="AH648" s="102" t="s">
        <v>287</v>
      </c>
      <c r="AI648" s="107" t="s">
        <v>288</v>
      </c>
    </row>
    <row r="649" ht="24" customHeight="1" spans="1:17">
      <c r="A649" s="99" t="s">
        <v>346</v>
      </c>
      <c r="B649" s="99" t="s">
        <v>290</v>
      </c>
      <c r="C649" s="99" t="s">
        <v>291</v>
      </c>
      <c r="D649" s="48" t="s">
        <v>31</v>
      </c>
      <c r="E649" s="48" t="s">
        <v>82</v>
      </c>
      <c r="F649" s="205">
        <f ca="1">IF($S$1&lt;DATE(2025,1,1)," ",COUNTIFS('2025数据'!$K$3:$K$181,"&gt;="&amp;DATE(2024,1,1),'2025数据'!$K$3:$K$181,"&lt;="&amp;DATE(2025,1,31),'2025数据'!$AE$3:$AE$181,$E649))</f>
        <v>3</v>
      </c>
      <c r="G649" s="205">
        <f ca="1">IF($S$1&lt;DATE(2025,2,1)," ",COUNTIFS('2025数据'!$K$3:$K$181,"&gt;="&amp;DATE(2025,2,1),'2025数据'!$K$3:$K$181,"&lt;="&amp;DATE(2025,2,28),'2025数据'!$AE$3:$AE$181,$E649))</f>
        <v>0</v>
      </c>
      <c r="H649" s="205">
        <f ca="1">IF($S$1&lt;DATE(2025,3,1)," ",COUNTIFS('2025数据'!$K$3:$K$181,"&gt;="&amp;DATE(2025,3,1),'2025数据'!$K$3:$K$181,"&lt;="&amp;DATE(2025,3,31),'2025数据'!$AE$3:$AE$181,$E649))</f>
        <v>0</v>
      </c>
      <c r="I649" s="205">
        <f ca="1">IF($S$1&lt;DATE(2025,4,1)," ",COUNTIFS('2025数据'!$K$3:$K$181,"&gt;="&amp;DATE(2025,4,1),'2025数据'!$K$3:$K$181,"&lt;="&amp;DATE(2025,4,30),'2025数据'!$AE$3:$AE$181,$E649))</f>
        <v>2</v>
      </c>
      <c r="J649" s="205">
        <f ca="1">IF($S$1&lt;DATE(2025,5,1)," ",COUNTIFS('2025数据'!$K$3:$K$181,"&gt;="&amp;DATE(2025,5,1),'2025数据'!$K$3:$K$181,"&lt;="&amp;DATE(2025,5,31),'2025数据'!$AE$3:$AE$181,$E649))</f>
        <v>1</v>
      </c>
      <c r="K649" s="205">
        <f ca="1">IF($S$1&lt;DATE(2025,6,1)," ",COUNTIFS('2025数据'!$K$3:$K$181,"&gt;="&amp;DATE(2025,6,1),'2025数据'!$K$3:$K$181,"&lt;="&amp;DATE(2025,6,30),'2025数据'!$AE$3:$AE$181,$E649))</f>
        <v>1</v>
      </c>
      <c r="L649" s="205">
        <f ca="1">IF($S$1&lt;DATE(2025,7,1)," ",COUNTIFS('2025数据'!$K$3:$K$181,"&gt;="&amp;DATE(2025,7,1),'2025数据'!$K$3:$K$181,"&lt;="&amp;DATE(2025,7,31),'2025数据'!$AE$3:$AE$181,$E649))</f>
        <v>3</v>
      </c>
      <c r="M649" s="205">
        <f ca="1">IF($S$1&lt;DATE(2025,8,1)," ",COUNTIFS('2025数据'!$K$3:$K$181,"&gt;="&amp;DATE(2025,8,1),'2025数据'!$K$3:$K$181,"&lt;="&amp;DATE(2025,8,31),'2025数据'!$AE$3:$AE$181,$E649))</f>
        <v>0</v>
      </c>
      <c r="N649" s="205">
        <f ca="1">IF($S$1&lt;DATE(2025,9,1)," ",COUNTIFS('2025数据'!$K$3:$K$181,"&gt;="&amp;DATE(2025,9,1),'2025数据'!$K$3:$K$181,"&lt;="&amp;DATE(2025,9,30),'2025数据'!$AE$3:$AE$181,$E649))</f>
        <v>1</v>
      </c>
      <c r="O649" s="205">
        <f ca="1">IF($S$1&lt;DATE(2025,10,1)," ",COUNTIFS('2025数据'!$K$3:$K$181,"&gt;="&amp;DATE(2025,10,1),'2025数据'!$K$3:$K$181,"&lt;="&amp;DATE(2025,10,31),'2025数据'!$AE$3:$AE$181,$E649))</f>
        <v>0</v>
      </c>
      <c r="P649" s="207">
        <f ca="1">IF($S$1&lt;DATE(2025,11,1)," ",COUNTIFS('2025数据'!$K$3:$K$181,"&gt;="&amp;DATE(2025,11,1),'2025数据'!$K$3:$K$181,"&lt;="&amp;DATE(2025,11,30),'2025数据'!$AE$3:$AE$181,$E649))</f>
        <v>2</v>
      </c>
      <c r="Q649" s="207">
        <f ca="1">IF($S$1&lt;DATE(2025,12,1)," ",COUNTIFS('2025数据'!$K$3:$K$181,"&gt;="&amp;DATE(2025,12,1),'2025数据'!$K$3:$K$181,"&lt;="&amp;DATE(2025,12,31),'2025数据'!$AE$3:$AE$181,$E649))</f>
        <v>1</v>
      </c>
    </row>
    <row r="650" ht="24" customHeight="1" spans="1:17">
      <c r="A650" s="99" t="s">
        <v>346</v>
      </c>
      <c r="B650" s="99" t="s">
        <v>290</v>
      </c>
      <c r="C650" s="99" t="s">
        <v>291</v>
      </c>
      <c r="D650" s="48" t="s">
        <v>31</v>
      </c>
      <c r="E650" s="48" t="s">
        <v>86</v>
      </c>
      <c r="F650" s="205">
        <f ca="1">IF($S$1&lt;DATE(2025,1,1)," ",COUNTIFS('2025数据'!$K$3:$K$181,"&gt;="&amp;DATE(2024,1,1),'2025数据'!$K$3:$K$181,"&lt;="&amp;DATE(2025,1,31),'2025数据'!$AE$3:$AE$181,$E650))</f>
        <v>1</v>
      </c>
      <c r="G650" s="205">
        <f ca="1">IF($S$1&lt;DATE(2025,2,1)," ",COUNTIFS('2025数据'!$K$3:$K$181,"&gt;="&amp;DATE(2025,2,1),'2025数据'!$K$3:$K$181,"&lt;="&amp;DATE(2025,2,28),'2025数据'!$AE$3:$AE$181,$E650))</f>
        <v>1</v>
      </c>
      <c r="H650" s="205">
        <f ca="1">IF($S$1&lt;DATE(2025,3,1)," ",COUNTIFS('2025数据'!$K$3:$K$181,"&gt;="&amp;DATE(2025,3,1),'2025数据'!$K$3:$K$181,"&lt;="&amp;DATE(2025,3,31),'2025数据'!$AE$3:$AE$181,$E650))</f>
        <v>0</v>
      </c>
      <c r="I650" s="205">
        <f ca="1">IF($S$1&lt;DATE(2025,4,1)," ",COUNTIFS('2025数据'!$K$3:$K$181,"&gt;="&amp;DATE(2025,4,1),'2025数据'!$K$3:$K$181,"&lt;="&amp;DATE(2025,4,30),'2025数据'!$AE$3:$AE$181,$E650))</f>
        <v>0</v>
      </c>
      <c r="J650" s="205">
        <f ca="1">IF($S$1&lt;DATE(2025,5,1)," ",COUNTIFS('2025数据'!$K$3:$K$181,"&gt;="&amp;DATE(2025,5,1),'2025数据'!$K$3:$K$181,"&lt;="&amp;DATE(2025,5,31),'2025数据'!$AE$3:$AE$181,$E650))</f>
        <v>0</v>
      </c>
      <c r="K650" s="205">
        <f ca="1">IF($S$1&lt;DATE(2025,6,1)," ",COUNTIFS('2025数据'!$K$3:$K$181,"&gt;="&amp;DATE(2025,6,1),'2025数据'!$K$3:$K$181,"&lt;="&amp;DATE(2025,6,30),'2025数据'!$AE$3:$AE$181,$E650))</f>
        <v>0</v>
      </c>
      <c r="L650" s="205">
        <f ca="1">IF($S$1&lt;DATE(2025,7,1)," ",COUNTIFS('2025数据'!$K$3:$K$181,"&gt;="&amp;DATE(2025,7,1),'2025数据'!$K$3:$K$181,"&lt;="&amp;DATE(2025,7,31),'2025数据'!$AE$3:$AE$181,$E650))</f>
        <v>0</v>
      </c>
      <c r="M650" s="205">
        <f ca="1">IF($S$1&lt;DATE(2025,8,1)," ",COUNTIFS('2025数据'!$K$3:$K$181,"&gt;="&amp;DATE(2025,8,1),'2025数据'!$K$3:$K$181,"&lt;="&amp;DATE(2025,8,31),'2025数据'!$AE$3:$AE$181,$E650))</f>
        <v>2</v>
      </c>
      <c r="N650" s="205">
        <f ca="1">IF($S$1&lt;DATE(2025,9,1)," ",COUNTIFS('2025数据'!$K$3:$K$181,"&gt;="&amp;DATE(2025,9,1),'2025数据'!$K$3:$K$181,"&lt;="&amp;DATE(2025,9,30),'2025数据'!$AE$3:$AE$181,$E650))</f>
        <v>1</v>
      </c>
      <c r="O650" s="205">
        <f ca="1">IF($S$1&lt;DATE(2025,10,1)," ",COUNTIFS('2025数据'!$K$3:$K$181,"&gt;="&amp;DATE(2025,10,1),'2025数据'!$K$3:$K$181,"&lt;="&amp;DATE(2025,10,31),'2025数据'!$AE$3:$AE$181,$E650))</f>
        <v>2</v>
      </c>
      <c r="P650" s="207">
        <f ca="1">IF($S$1&lt;DATE(2025,11,1)," ",COUNTIFS('2025数据'!$K$3:$K$181,"&gt;="&amp;DATE(2025,11,1),'2025数据'!$K$3:$K$181,"&lt;="&amp;DATE(2025,11,30),'2025数据'!$AE$3:$AE$181,$E650))</f>
        <v>2</v>
      </c>
      <c r="Q650" s="207">
        <f ca="1">IF($S$1&lt;DATE(2025,12,1)," ",COUNTIFS('2025数据'!$K$3:$K$181,"&gt;="&amp;DATE(2025,12,1),'2025数据'!$K$3:$K$181,"&lt;="&amp;DATE(2025,12,31),'2025数据'!$AE$3:$AE$181,$E650))</f>
        <v>0</v>
      </c>
    </row>
    <row r="651" ht="24" customHeight="1" spans="1:17">
      <c r="A651" s="99" t="s">
        <v>346</v>
      </c>
      <c r="B651" s="99" t="s">
        <v>290</v>
      </c>
      <c r="C651" s="99" t="s">
        <v>291</v>
      </c>
      <c r="D651" s="48" t="s">
        <v>31</v>
      </c>
      <c r="E651" s="48" t="s">
        <v>97</v>
      </c>
      <c r="F651" s="205">
        <f ca="1">IF($S$1&lt;DATE(2025,1,1)," ",COUNTIFS('2025数据'!$K$3:$K$181,"&gt;="&amp;DATE(2024,1,1),'2025数据'!$K$3:$K$181,"&lt;="&amp;DATE(2025,1,31),'2025数据'!$AE$3:$AE$181,$E651))</f>
        <v>0</v>
      </c>
      <c r="G651" s="205">
        <f ca="1">IF($S$1&lt;DATE(2025,2,1)," ",COUNTIFS('2025数据'!$K$3:$K$181,"&gt;="&amp;DATE(2025,2,1),'2025数据'!$K$3:$K$181,"&lt;="&amp;DATE(2025,2,28),'2025数据'!$AE$3:$AE$181,$E651))</f>
        <v>0</v>
      </c>
      <c r="H651" s="205">
        <f ca="1">IF($S$1&lt;DATE(2025,3,1)," ",COUNTIFS('2025数据'!$K$3:$K$181,"&gt;="&amp;DATE(2025,3,1),'2025数据'!$K$3:$K$181,"&lt;="&amp;DATE(2025,3,31),'2025数据'!$AE$3:$AE$181,$E651))</f>
        <v>2</v>
      </c>
      <c r="I651" s="205">
        <f ca="1">IF($S$1&lt;DATE(2025,4,1)," ",COUNTIFS('2025数据'!$K$3:$K$181,"&gt;="&amp;DATE(2025,4,1),'2025数据'!$K$3:$K$181,"&lt;="&amp;DATE(2025,4,30),'2025数据'!$AE$3:$AE$181,$E651))</f>
        <v>0</v>
      </c>
      <c r="J651" s="205">
        <f ca="1">IF($S$1&lt;DATE(2025,5,1)," ",COUNTIFS('2025数据'!$K$3:$K$181,"&gt;="&amp;DATE(2025,5,1),'2025数据'!$K$3:$K$181,"&lt;="&amp;DATE(2025,5,31),'2025数据'!$AE$3:$AE$181,$E651))</f>
        <v>0</v>
      </c>
      <c r="K651" s="205">
        <f ca="1">IF($S$1&lt;DATE(2025,6,1)," ",COUNTIFS('2025数据'!$K$3:$K$181,"&gt;="&amp;DATE(2025,6,1),'2025数据'!$K$3:$K$181,"&lt;="&amp;DATE(2025,6,30),'2025数据'!$AE$3:$AE$181,$E651))</f>
        <v>2</v>
      </c>
      <c r="L651" s="205">
        <f ca="1">IF($S$1&lt;DATE(2025,7,1)," ",COUNTIFS('2025数据'!$K$3:$K$181,"&gt;="&amp;DATE(2025,7,1),'2025数据'!$K$3:$K$181,"&lt;="&amp;DATE(2025,7,31),'2025数据'!$AE$3:$AE$181,$E651))</f>
        <v>1</v>
      </c>
      <c r="M651" s="205">
        <f ca="1">IF($S$1&lt;DATE(2025,8,1)," ",COUNTIFS('2025数据'!$K$3:$K$181,"&gt;="&amp;DATE(2025,8,1),'2025数据'!$K$3:$K$181,"&lt;="&amp;DATE(2025,8,31),'2025数据'!$AE$3:$AE$181,$E651))</f>
        <v>0</v>
      </c>
      <c r="N651" s="205">
        <f ca="1">IF($S$1&lt;DATE(2025,9,1)," ",COUNTIFS('2025数据'!$K$3:$K$181,"&gt;="&amp;DATE(2025,9,1),'2025数据'!$K$3:$K$181,"&lt;="&amp;DATE(2025,9,30),'2025数据'!$AE$3:$AE$181,$E651))</f>
        <v>0</v>
      </c>
      <c r="O651" s="205">
        <f ca="1">IF($S$1&lt;DATE(2025,10,1)," ",COUNTIFS('2025数据'!$K$3:$K$181,"&gt;="&amp;DATE(2025,10,1),'2025数据'!$K$3:$K$181,"&lt;="&amp;DATE(2025,10,31),'2025数据'!$AE$3:$AE$181,$E651))</f>
        <v>0</v>
      </c>
      <c r="P651" s="207">
        <f ca="1">IF($S$1&lt;DATE(2025,11,1)," ",COUNTIFS('2025数据'!$K$3:$K$181,"&gt;="&amp;DATE(2025,11,1),'2025数据'!$K$3:$K$181,"&lt;="&amp;DATE(2025,11,30),'2025数据'!$AE$3:$AE$181,$E651))</f>
        <v>1</v>
      </c>
      <c r="Q651" s="207">
        <f ca="1">IF($S$1&lt;DATE(2025,12,1)," ",COUNTIFS('2025数据'!$K$3:$K$181,"&gt;="&amp;DATE(2025,12,1),'2025数据'!$K$3:$K$181,"&lt;="&amp;DATE(2025,12,31),'2025数据'!$AE$3:$AE$181,$E651))</f>
        <v>0</v>
      </c>
    </row>
    <row r="652" ht="24" customHeight="1" spans="1:17">
      <c r="A652" s="99" t="s">
        <v>346</v>
      </c>
      <c r="B652" s="99" t="s">
        <v>290</v>
      </c>
      <c r="C652" s="99" t="s">
        <v>291</v>
      </c>
      <c r="D652" s="48" t="s">
        <v>31</v>
      </c>
      <c r="E652" s="48" t="s">
        <v>87</v>
      </c>
      <c r="F652" s="205">
        <f ca="1">IF($S$1&lt;DATE(2025,1,1)," ",COUNTIFS('2025数据'!$K$3:$K$181,"&gt;="&amp;DATE(2024,1,1),'2025数据'!$K$3:$K$181,"&lt;="&amp;DATE(2025,1,31),'2025数据'!$AE$3:$AE$181,$E652))</f>
        <v>1</v>
      </c>
      <c r="G652" s="205">
        <f ca="1">IF($S$1&lt;DATE(2025,2,1)," ",COUNTIFS('2025数据'!$K$3:$K$181,"&gt;="&amp;DATE(2025,2,1),'2025数据'!$K$3:$K$181,"&lt;="&amp;DATE(2025,2,28),'2025数据'!$AE$3:$AE$181,$E652))</f>
        <v>0</v>
      </c>
      <c r="H652" s="205">
        <f ca="1">IF($S$1&lt;DATE(2025,3,1)," ",COUNTIFS('2025数据'!$K$3:$K$181,"&gt;="&amp;DATE(2025,3,1),'2025数据'!$K$3:$K$181,"&lt;="&amp;DATE(2025,3,31),'2025数据'!$AE$3:$AE$181,$E652))</f>
        <v>0</v>
      </c>
      <c r="I652" s="205">
        <f ca="1">IF($S$1&lt;DATE(2025,4,1)," ",COUNTIFS('2025数据'!$K$3:$K$181,"&gt;="&amp;DATE(2025,4,1),'2025数据'!$K$3:$K$181,"&lt;="&amp;DATE(2025,4,30),'2025数据'!$AE$3:$AE$181,$E652))</f>
        <v>1</v>
      </c>
      <c r="J652" s="205">
        <f ca="1">IF($S$1&lt;DATE(2025,5,1)," ",COUNTIFS('2025数据'!$K$3:$K$181,"&gt;="&amp;DATE(2025,5,1),'2025数据'!$K$3:$K$181,"&lt;="&amp;DATE(2025,5,31),'2025数据'!$AE$3:$AE$181,$E652))</f>
        <v>0</v>
      </c>
      <c r="K652" s="205">
        <f ca="1">IF($S$1&lt;DATE(2025,6,1)," ",COUNTIFS('2025数据'!$K$3:$K$181,"&gt;="&amp;DATE(2025,6,1),'2025数据'!$K$3:$K$181,"&lt;="&amp;DATE(2025,6,30),'2025数据'!$AE$3:$AE$181,$E652))</f>
        <v>0</v>
      </c>
      <c r="L652" s="205">
        <f ca="1">IF($S$1&lt;DATE(2025,7,1)," ",COUNTIFS('2025数据'!$K$3:$K$181,"&gt;="&amp;DATE(2025,7,1),'2025数据'!$K$3:$K$181,"&lt;="&amp;DATE(2025,7,31),'2025数据'!$AE$3:$AE$181,$E652))</f>
        <v>0</v>
      </c>
      <c r="M652" s="205">
        <f ca="1">IF($S$1&lt;DATE(2025,8,1)," ",COUNTIFS('2025数据'!$K$3:$K$181,"&gt;="&amp;DATE(2025,8,1),'2025数据'!$K$3:$K$181,"&lt;="&amp;DATE(2025,8,31),'2025数据'!$AE$3:$AE$181,$E652))</f>
        <v>1</v>
      </c>
      <c r="N652" s="205">
        <f ca="1">IF($S$1&lt;DATE(2025,9,1)," ",COUNTIFS('2025数据'!$K$3:$K$181,"&gt;="&amp;DATE(2025,9,1),'2025数据'!$K$3:$K$181,"&lt;="&amp;DATE(2025,9,30),'2025数据'!$AE$3:$AE$181,$E652))</f>
        <v>0</v>
      </c>
      <c r="O652" s="205">
        <f ca="1">IF($S$1&lt;DATE(2025,10,1)," ",COUNTIFS('2025数据'!$K$3:$K$181,"&gt;="&amp;DATE(2025,10,1),'2025数据'!$K$3:$K$181,"&lt;="&amp;DATE(2025,10,31),'2025数据'!$AE$3:$AE$181,$E652))</f>
        <v>0</v>
      </c>
      <c r="P652" s="207">
        <f ca="1">IF($S$1&lt;DATE(2025,11,1)," ",COUNTIFS('2025数据'!$K$3:$K$181,"&gt;="&amp;DATE(2025,11,1),'2025数据'!$K$3:$K$181,"&lt;="&amp;DATE(2025,11,30),'2025数据'!$AE$3:$AE$181,$E652))</f>
        <v>0</v>
      </c>
      <c r="Q652" s="207">
        <f ca="1">IF($S$1&lt;DATE(2025,12,1)," ",COUNTIFS('2025数据'!$K$3:$K$181,"&gt;="&amp;DATE(2025,12,1),'2025数据'!$K$3:$K$181,"&lt;="&amp;DATE(2025,12,31),'2025数据'!$AE$3:$AE$181,$E652))</f>
        <v>1</v>
      </c>
    </row>
    <row r="653" ht="24" customHeight="1" spans="1:17">
      <c r="A653" s="99" t="s">
        <v>346</v>
      </c>
      <c r="B653" s="99" t="s">
        <v>290</v>
      </c>
      <c r="C653" s="99" t="s">
        <v>291</v>
      </c>
      <c r="D653" s="48" t="s">
        <v>31</v>
      </c>
      <c r="E653" s="48" t="s">
        <v>149</v>
      </c>
      <c r="F653" s="205">
        <f ca="1">IF($S$1&lt;DATE(2025,1,1)," ",COUNTIFS('2025数据'!$K$3:$K$181,"&gt;="&amp;DATE(2024,1,1),'2025数据'!$K$3:$K$181,"&lt;="&amp;DATE(2025,1,31),'2025数据'!$AE$3:$AE$181,$E653))</f>
        <v>0</v>
      </c>
      <c r="G653" s="205">
        <f ca="1">IF($S$1&lt;DATE(2025,2,1)," ",COUNTIFS('2025数据'!$K$3:$K$181,"&gt;="&amp;DATE(2025,2,1),'2025数据'!$K$3:$K$181,"&lt;="&amp;DATE(2025,2,28),'2025数据'!$AE$3:$AE$181,$E653))</f>
        <v>0</v>
      </c>
      <c r="H653" s="205">
        <f ca="1">IF($S$1&lt;DATE(2025,3,1)," ",COUNTIFS('2025数据'!$K$3:$K$181,"&gt;="&amp;DATE(2025,3,1),'2025数据'!$K$3:$K$181,"&lt;="&amp;DATE(2025,3,31),'2025数据'!$AE$3:$AE$181,$E653))</f>
        <v>0</v>
      </c>
      <c r="I653" s="205">
        <f ca="1">IF($S$1&lt;DATE(2025,4,1)," ",COUNTIFS('2025数据'!$K$3:$K$181,"&gt;="&amp;DATE(2025,4,1),'2025数据'!$K$3:$K$181,"&lt;="&amp;DATE(2025,4,30),'2025数据'!$AE$3:$AE$181,$E653))</f>
        <v>0</v>
      </c>
      <c r="J653" s="205">
        <f ca="1">IF($S$1&lt;DATE(2025,5,1)," ",COUNTIFS('2025数据'!$K$3:$K$181,"&gt;="&amp;DATE(2025,5,1),'2025数据'!$K$3:$K$181,"&lt;="&amp;DATE(2025,5,31),'2025数据'!$AE$3:$AE$181,$E653))</f>
        <v>0</v>
      </c>
      <c r="K653" s="205">
        <f ca="1">IF($S$1&lt;DATE(2025,6,1)," ",COUNTIFS('2025数据'!$K$3:$K$181,"&gt;="&amp;DATE(2025,6,1),'2025数据'!$K$3:$K$181,"&lt;="&amp;DATE(2025,6,30),'2025数据'!$AE$3:$AE$181,$E653))</f>
        <v>0</v>
      </c>
      <c r="L653" s="205">
        <f ca="1">IF($S$1&lt;DATE(2025,7,1)," ",COUNTIFS('2025数据'!$K$3:$K$181,"&gt;="&amp;DATE(2025,7,1),'2025数据'!$K$3:$K$181,"&lt;="&amp;DATE(2025,7,31),'2025数据'!$AE$3:$AE$181,$E653))</f>
        <v>0</v>
      </c>
      <c r="M653" s="205">
        <f ca="1">IF($S$1&lt;DATE(2025,8,1)," ",COUNTIFS('2025数据'!$K$3:$K$181,"&gt;="&amp;DATE(2025,8,1),'2025数据'!$K$3:$K$181,"&lt;="&amp;DATE(2025,8,31),'2025数据'!$AE$3:$AE$181,$E653))</f>
        <v>0</v>
      </c>
      <c r="N653" s="205">
        <f ca="1">IF($S$1&lt;DATE(2025,9,1)," ",COUNTIFS('2025数据'!$K$3:$K$181,"&gt;="&amp;DATE(2025,9,1),'2025数据'!$K$3:$K$181,"&lt;="&amp;DATE(2025,9,30),'2025数据'!$AE$3:$AE$181,$E653))</f>
        <v>0</v>
      </c>
      <c r="O653" s="205">
        <f ca="1">IF($S$1&lt;DATE(2025,10,1)," ",COUNTIFS('2025数据'!$K$3:$K$181,"&gt;="&amp;DATE(2025,10,1),'2025数据'!$K$3:$K$181,"&lt;="&amp;DATE(2025,10,31),'2025数据'!$AE$3:$AE$181,$E653))</f>
        <v>0</v>
      </c>
      <c r="P653" s="207">
        <f ca="1">IF($S$1&lt;DATE(2025,11,1)," ",COUNTIFS('2025数据'!$K$3:$K$181,"&gt;="&amp;DATE(2025,11,1),'2025数据'!$K$3:$K$181,"&lt;="&amp;DATE(2025,11,30),'2025数据'!$AE$3:$AE$181,$E653))</f>
        <v>0</v>
      </c>
      <c r="Q653" s="207">
        <f ca="1">IF($S$1&lt;DATE(2025,12,1)," ",COUNTIFS('2025数据'!$K$3:$K$181,"&gt;="&amp;DATE(2025,12,1),'2025数据'!$K$3:$K$181,"&lt;="&amp;DATE(2025,12,31),'2025数据'!$AE$3:$AE$181,$E653))</f>
        <v>0</v>
      </c>
    </row>
    <row r="654" ht="24" customHeight="1" spans="1:17">
      <c r="A654" s="99" t="s">
        <v>346</v>
      </c>
      <c r="B654" s="99" t="s">
        <v>290</v>
      </c>
      <c r="C654" s="99" t="s">
        <v>291</v>
      </c>
      <c r="D654" s="48" t="s">
        <v>31</v>
      </c>
      <c r="E654" s="48" t="s">
        <v>83</v>
      </c>
      <c r="F654" s="205">
        <f ca="1">IF($S$1&lt;DATE(2025,1,1)," ",COUNTIFS('2025数据'!$K$3:$K$181,"&gt;="&amp;DATE(2024,1,1),'2025数据'!$K$3:$K$181,"&lt;="&amp;DATE(2025,1,31),'2025数据'!$AE$3:$AE$181,$E654))</f>
        <v>0</v>
      </c>
      <c r="G654" s="205">
        <f ca="1">IF($S$1&lt;DATE(2025,2,1)," ",COUNTIFS('2025数据'!$K$3:$K$181,"&gt;="&amp;DATE(2025,2,1),'2025数据'!$K$3:$K$181,"&lt;="&amp;DATE(2025,2,28),'2025数据'!$AE$3:$AE$181,$E654))</f>
        <v>0</v>
      </c>
      <c r="H654" s="205">
        <f ca="1">IF($S$1&lt;DATE(2025,3,1)," ",COUNTIFS('2025数据'!$K$3:$K$181,"&gt;="&amp;DATE(2025,3,1),'2025数据'!$K$3:$K$181,"&lt;="&amp;DATE(2025,3,31),'2025数据'!$AE$3:$AE$181,$E654))</f>
        <v>1</v>
      </c>
      <c r="I654" s="205">
        <f ca="1">IF($S$1&lt;DATE(2025,4,1)," ",COUNTIFS('2025数据'!$K$3:$K$181,"&gt;="&amp;DATE(2025,4,1),'2025数据'!$K$3:$K$181,"&lt;="&amp;DATE(2025,4,30),'2025数据'!$AE$3:$AE$181,$E654))</f>
        <v>1</v>
      </c>
      <c r="J654" s="205">
        <f ca="1">IF($S$1&lt;DATE(2025,5,1)," ",COUNTIFS('2025数据'!$K$3:$K$181,"&gt;="&amp;DATE(2025,5,1),'2025数据'!$K$3:$K$181,"&lt;="&amp;DATE(2025,5,31),'2025数据'!$AE$3:$AE$181,$E654))</f>
        <v>0</v>
      </c>
      <c r="K654" s="205">
        <f ca="1">IF($S$1&lt;DATE(2025,6,1)," ",COUNTIFS('2025数据'!$K$3:$K$181,"&gt;="&amp;DATE(2025,6,1),'2025数据'!$K$3:$K$181,"&lt;="&amp;DATE(2025,6,30),'2025数据'!$AE$3:$AE$181,$E654))</f>
        <v>0</v>
      </c>
      <c r="L654" s="205">
        <f ca="1">IF($S$1&lt;DATE(2025,7,1)," ",COUNTIFS('2025数据'!$K$3:$K$181,"&gt;="&amp;DATE(2025,7,1),'2025数据'!$K$3:$K$181,"&lt;="&amp;DATE(2025,7,31),'2025数据'!$AE$3:$AE$181,$E654))</f>
        <v>0</v>
      </c>
      <c r="M654" s="205">
        <f ca="1">IF($S$1&lt;DATE(2025,8,1)," ",COUNTIFS('2025数据'!$K$3:$K$181,"&gt;="&amp;DATE(2025,8,1),'2025数据'!$K$3:$K$181,"&lt;="&amp;DATE(2025,8,31),'2025数据'!$AE$3:$AE$181,$E654))</f>
        <v>0</v>
      </c>
      <c r="N654" s="205">
        <f ca="1">IF($S$1&lt;DATE(2025,9,1)," ",COUNTIFS('2025数据'!$K$3:$K$181,"&gt;="&amp;DATE(2025,9,1),'2025数据'!$K$3:$K$181,"&lt;="&amp;DATE(2025,9,30),'2025数据'!$AE$3:$AE$181,$E654))</f>
        <v>0</v>
      </c>
      <c r="O654" s="205">
        <f ca="1">IF($S$1&lt;DATE(2025,10,1)," ",COUNTIFS('2025数据'!$K$3:$K$181,"&gt;="&amp;DATE(2025,10,1),'2025数据'!$K$3:$K$181,"&lt;="&amp;DATE(2025,10,31),'2025数据'!$AE$3:$AE$181,$E654))</f>
        <v>0</v>
      </c>
      <c r="P654" s="207">
        <f ca="1">IF($S$1&lt;DATE(2025,11,1)," ",COUNTIFS('2025数据'!$K$3:$K$181,"&gt;="&amp;DATE(2025,11,1),'2025数据'!$K$3:$K$181,"&lt;="&amp;DATE(2025,11,30),'2025数据'!$AE$3:$AE$181,$E654))</f>
        <v>0</v>
      </c>
      <c r="Q654" s="207">
        <f ca="1">IF($S$1&lt;DATE(2025,12,1)," ",COUNTIFS('2025数据'!$K$3:$K$181,"&gt;="&amp;DATE(2025,12,1),'2025数据'!$K$3:$K$181,"&lt;="&amp;DATE(2025,12,31),'2025数据'!$AE$3:$AE$181,$E654))</f>
        <v>0</v>
      </c>
    </row>
    <row r="655" ht="24" customHeight="1" spans="1:17">
      <c r="A655" s="99" t="s">
        <v>346</v>
      </c>
      <c r="B655" s="99" t="s">
        <v>290</v>
      </c>
      <c r="C655" s="99" t="s">
        <v>291</v>
      </c>
      <c r="D655" s="47" t="s">
        <v>294</v>
      </c>
      <c r="E655" s="47" t="s">
        <v>93</v>
      </c>
      <c r="F655" s="206">
        <f ca="1">IF($S$1&lt;DATE(2025,1,1)," ",COUNTIFS('2025数据'!$K$3:$K$181,"&gt;="&amp;DATE(2024,1,1),'2025数据'!$K$3:$K$181,"&lt;="&amp;DATE(2025,1,31),'2025数据'!$B$3:$B$181,$E655))</f>
        <v>3</v>
      </c>
      <c r="G655" s="206">
        <f ca="1">IF($S$1&lt;DATE(2025,2,1)," ",COUNTIFS('2025数据'!$K$3:$K$181,"&gt;="&amp;DATE(2025,2,1),'2025数据'!$K$3:$K$181,"&lt;="&amp;DATE(2025,2,28),'2025数据'!$B$3:$B$181,$E655))</f>
        <v>0</v>
      </c>
      <c r="H655" s="206">
        <f ca="1">IF($S$1&lt;DATE(2025,3,1)," ",COUNTIFS('2025数据'!$K$3:$K$181,"&gt;="&amp;DATE(2025,3,1),'2025数据'!$K$3:$K$181,"&lt;="&amp;DATE(2025,3,31),'2025数据'!$B$3:$B$181,$E655))</f>
        <v>2</v>
      </c>
      <c r="I655" s="206">
        <f ca="1">IF($S$1&lt;DATE(2025,4,1)," ",COUNTIFS('2025数据'!$K$3:$K$181,"&gt;="&amp;DATE(2025,4,1),'2025数据'!$K$3:$K$181,"&lt;="&amp;DATE(2025,4,30),'2025数据'!$B$3:$B$181,$E655))</f>
        <v>3</v>
      </c>
      <c r="J655" s="206">
        <f ca="1">IF($S$1&lt;DATE(2025,5,1)," ",COUNTIFS('2025数据'!$K$3:$K$181,"&gt;="&amp;DATE(2025,5,1),'2025数据'!$K$3:$K$181,"&lt;="&amp;DATE(2025,5,31),'2025数据'!$B$3:$B$181,$E655))</f>
        <v>0</v>
      </c>
      <c r="K655" s="206">
        <f ca="1">IF($S$1&lt;DATE(2025,6,1)," ",COUNTIFS('2025数据'!$K$3:$K$181,"&gt;="&amp;DATE(2025,6,1),'2025数据'!$K$3:$K$181,"&lt;="&amp;DATE(2025,6,30),'2025数据'!$B$3:$B$181,$E655))</f>
        <v>1</v>
      </c>
      <c r="L655" s="206">
        <f ca="1">IF($S$1&lt;DATE(2025,7,1)," ",COUNTIFS('2025数据'!$K$3:$K$181,"&gt;="&amp;DATE(2025,7,1),'2025数据'!$K$3:$K$181,"&lt;="&amp;DATE(2025,7,31),'2025数据'!$B$3:$B$181,$E655))</f>
        <v>4</v>
      </c>
      <c r="M655" s="206">
        <f ca="1">IF($S$1&lt;DATE(2025,8,1)," ",COUNTIFS('2025数据'!$K$3:$K$181,"&gt;="&amp;DATE(2025,8,1),'2025数据'!$K$3:$K$181,"&lt;="&amp;DATE(2025,8,31),'2025数据'!$B$3:$B$181,$E655))</f>
        <v>2</v>
      </c>
      <c r="N655" s="206">
        <f ca="1">IF($S$1&lt;DATE(2025,9,1)," ",COUNTIFS('2025数据'!$K$3:$K$181,"&gt;="&amp;DATE(2025,9,1),'2025数据'!$K$3:$K$181,"&lt;="&amp;DATE(2025,9,30),'2025数据'!$B$3:$B$181,$E655))</f>
        <v>1</v>
      </c>
      <c r="O655" s="206">
        <f ca="1">IF($S$1&lt;DATE(2025,10,1)," ",COUNTIFS('2025数据'!$K$3:$K$181,"&gt;="&amp;DATE(2025,10,1),'2025数据'!$K$3:$K$181,"&lt;="&amp;DATE(2025,10,31),'2025数据'!$B$3:$B$181,$E655))</f>
        <v>1</v>
      </c>
      <c r="P655" s="208">
        <f ca="1">IF($S$1&lt;DATE(2025,11,1)," ",COUNTIFS('2025数据'!$K$3:$K$181,"&gt;="&amp;DATE(2025,11,1),'2025数据'!$K$3:$K$181,"&lt;="&amp;DATE(2025,11,30),'2025数据'!$B$3:$B$181,$E655))</f>
        <v>2</v>
      </c>
      <c r="Q655" s="208">
        <f ca="1">IF($S$1&lt;DATE(2025,12,1)," ",COUNTIFS('2025数据'!$K$3:$K$181,"&gt;="&amp;DATE(2025,12,1),'2025数据'!$K$3:$K$181,"&lt;="&amp;DATE(2025,12,31),'2025数据'!$B$3:$B$181,$E655))</f>
        <v>3</v>
      </c>
    </row>
    <row r="656" ht="24" customHeight="1" spans="1:17">
      <c r="A656" s="99" t="s">
        <v>346</v>
      </c>
      <c r="B656" s="99" t="s">
        <v>290</v>
      </c>
      <c r="C656" s="99" t="s">
        <v>291</v>
      </c>
      <c r="D656" s="47" t="s">
        <v>294</v>
      </c>
      <c r="E656" s="47" t="s">
        <v>85</v>
      </c>
      <c r="F656" s="206">
        <f ca="1">IF($S$1&lt;DATE(2025,1,1)," ",COUNTIFS('2025数据'!$K$3:$K$181,"&gt;="&amp;DATE(2024,1,1),'2025数据'!$K$3:$K$181,"&lt;="&amp;DATE(2025,1,31),'2025数据'!$B$3:$B$181,$E656))</f>
        <v>3</v>
      </c>
      <c r="G656" s="206">
        <f ca="1">IF($S$1&lt;DATE(2025,2,1)," ",COUNTIFS('2025数据'!$K$3:$K$181,"&gt;="&amp;DATE(2025,2,1),'2025数据'!$K$3:$K$181,"&lt;="&amp;DATE(2025,2,28),'2025数据'!$B$3:$B$181,$E656))</f>
        <v>0</v>
      </c>
      <c r="H656" s="206">
        <f ca="1">IF($S$1&lt;DATE(2025,3,1)," ",COUNTIFS('2025数据'!$K$3:$K$181,"&gt;="&amp;DATE(2025,3,1),'2025数据'!$K$3:$K$181,"&lt;="&amp;DATE(2025,3,31),'2025数据'!$B$3:$B$181,$E656))</f>
        <v>2</v>
      </c>
      <c r="I656" s="206">
        <f ca="1">IF($S$1&lt;DATE(2025,4,1)," ",COUNTIFS('2025数据'!$K$3:$K$181,"&gt;="&amp;DATE(2025,4,1),'2025数据'!$K$3:$K$181,"&lt;="&amp;DATE(2025,4,30),'2025数据'!$B$3:$B$181,$E656))</f>
        <v>2</v>
      </c>
      <c r="J656" s="206">
        <f ca="1">IF($S$1&lt;DATE(2025,5,1)," ",COUNTIFS('2025数据'!$K$3:$K$181,"&gt;="&amp;DATE(2025,5,1),'2025数据'!$K$3:$K$181,"&lt;="&amp;DATE(2025,5,31),'2025数据'!$B$3:$B$181,$E656))</f>
        <v>0</v>
      </c>
      <c r="K656" s="206">
        <f ca="1">IF($S$1&lt;DATE(2025,6,1)," ",COUNTIFS('2025数据'!$K$3:$K$181,"&gt;="&amp;DATE(2025,6,1),'2025数据'!$K$3:$K$181,"&lt;="&amp;DATE(2025,6,30),'2025数据'!$B$3:$B$181,$E656))</f>
        <v>0</v>
      </c>
      <c r="L656" s="206">
        <f ca="1">IF($S$1&lt;DATE(2025,7,1)," ",COUNTIFS('2025数据'!$K$3:$K$181,"&gt;="&amp;DATE(2025,7,1),'2025数据'!$K$3:$K$181,"&lt;="&amp;DATE(2025,7,31),'2025数据'!$B$3:$B$181,$E656))</f>
        <v>1</v>
      </c>
      <c r="M656" s="206">
        <f ca="1">IF($S$1&lt;DATE(2025,8,1)," ",COUNTIFS('2025数据'!$K$3:$K$181,"&gt;="&amp;DATE(2025,8,1),'2025数据'!$K$3:$K$181,"&lt;="&amp;DATE(2025,8,31),'2025数据'!$B$3:$B$181,$E656))</f>
        <v>3</v>
      </c>
      <c r="N656" s="206">
        <f ca="1">IF($S$1&lt;DATE(2025,9,1)," ",COUNTIFS('2025数据'!$K$3:$K$181,"&gt;="&amp;DATE(2025,9,1),'2025数据'!$K$3:$K$181,"&lt;="&amp;DATE(2025,9,30),'2025数据'!$B$3:$B$181,$E656))</f>
        <v>1</v>
      </c>
      <c r="O656" s="206">
        <f ca="1">IF($S$1&lt;DATE(2025,10,1)," ",COUNTIFS('2025数据'!$K$3:$K$181,"&gt;="&amp;DATE(2025,10,1),'2025数据'!$K$3:$K$181,"&lt;="&amp;DATE(2025,10,31),'2025数据'!$B$3:$B$181,$E656))</f>
        <v>1</v>
      </c>
      <c r="P656" s="208">
        <f ca="1">IF($S$1&lt;DATE(2025,11,1)," ",COUNTIFS('2025数据'!$K$3:$K$181,"&gt;="&amp;DATE(2025,11,1),'2025数据'!$K$3:$K$181,"&lt;="&amp;DATE(2025,11,30),'2025数据'!$B$3:$B$181,$E656))</f>
        <v>3</v>
      </c>
      <c r="Q656" s="208">
        <f ca="1">IF($S$1&lt;DATE(2025,12,1)," ",COUNTIFS('2025数据'!$K$3:$K$181,"&gt;="&amp;DATE(2025,12,1),'2025数据'!$K$3:$K$181,"&lt;="&amp;DATE(2025,12,31),'2025数据'!$B$3:$B$181,$E656))</f>
        <v>2</v>
      </c>
    </row>
    <row r="657" ht="24" customHeight="1" spans="1:17">
      <c r="A657" s="99" t="s">
        <v>346</v>
      </c>
      <c r="B657" s="99" t="s">
        <v>290</v>
      </c>
      <c r="C657" s="99" t="s">
        <v>291</v>
      </c>
      <c r="D657" s="47" t="s">
        <v>294</v>
      </c>
      <c r="E657" s="47" t="s">
        <v>81</v>
      </c>
      <c r="F657" s="206">
        <f ca="1">IF($S$1&lt;DATE(2025,1,1)," ",COUNTIFS('2025数据'!$K$3:$K$181,"&gt;="&amp;DATE(2024,1,1),'2025数据'!$K$3:$K$181,"&lt;="&amp;DATE(2025,1,31),'2025数据'!$B$3:$B$181,$E657))</f>
        <v>0</v>
      </c>
      <c r="G657" s="206">
        <f ca="1">IF($S$1&lt;DATE(2025,2,1)," ",COUNTIFS('2025数据'!$K$3:$K$181,"&gt;="&amp;DATE(2025,2,1),'2025数据'!$K$3:$K$181,"&lt;="&amp;DATE(2025,2,28),'2025数据'!$B$3:$B$181,$E657))</f>
        <v>1</v>
      </c>
      <c r="H657" s="206">
        <f ca="1">IF($S$1&lt;DATE(2025,3,1)," ",COUNTIFS('2025数据'!$K$3:$K$181,"&gt;="&amp;DATE(2025,3,1),'2025数据'!$K$3:$K$181,"&lt;="&amp;DATE(2025,3,31),'2025数据'!$B$3:$B$181,$E657))</f>
        <v>0</v>
      </c>
      <c r="I657" s="206">
        <f ca="1">IF($S$1&lt;DATE(2025,4,1)," ",COUNTIFS('2025数据'!$K$3:$K$181,"&gt;="&amp;DATE(2025,4,1),'2025数据'!$K$3:$K$181,"&lt;="&amp;DATE(2025,4,30),'2025数据'!$B$3:$B$181,$E657))</f>
        <v>0</v>
      </c>
      <c r="J657" s="206">
        <f ca="1">IF($S$1&lt;DATE(2025,5,1)," ",COUNTIFS('2025数据'!$K$3:$K$181,"&gt;="&amp;DATE(2025,5,1),'2025数据'!$K$3:$K$181,"&lt;="&amp;DATE(2025,5,31),'2025数据'!$B$3:$B$181,$E657))</f>
        <v>1</v>
      </c>
      <c r="K657" s="206">
        <f ca="1">IF($S$1&lt;DATE(2025,6,1)," ",COUNTIFS('2025数据'!$K$3:$K$181,"&gt;="&amp;DATE(2025,6,1),'2025数据'!$K$3:$K$181,"&lt;="&amp;DATE(2025,6,30),'2025数据'!$B$3:$B$181,$E657))</f>
        <v>1</v>
      </c>
      <c r="L657" s="206">
        <f ca="1">IF($S$1&lt;DATE(2025,7,1)," ",COUNTIFS('2025数据'!$K$3:$K$181,"&gt;="&amp;DATE(2025,7,1),'2025数据'!$K$3:$K$181,"&lt;="&amp;DATE(2025,7,31),'2025数据'!$B$3:$B$181,$E657))</f>
        <v>1</v>
      </c>
      <c r="M657" s="206">
        <f ca="1">IF($S$1&lt;DATE(2025,8,1)," ",COUNTIFS('2025数据'!$K$3:$K$181,"&gt;="&amp;DATE(2025,8,1),'2025数据'!$K$3:$K$181,"&lt;="&amp;DATE(2025,8,31),'2025数据'!$B$3:$B$181,$E657))</f>
        <v>0</v>
      </c>
      <c r="N657" s="206">
        <f ca="1">IF($S$1&lt;DATE(2025,9,1)," ",COUNTIFS('2025数据'!$K$3:$K$181,"&gt;="&amp;DATE(2025,9,1),'2025数据'!$K$3:$K$181,"&lt;="&amp;DATE(2025,9,30),'2025数据'!$B$3:$B$181,$E657))</f>
        <v>2</v>
      </c>
      <c r="O657" s="206">
        <f ca="1">IF($S$1&lt;DATE(2025,10,1)," ",COUNTIFS('2025数据'!$K$3:$K$181,"&gt;="&amp;DATE(2025,10,1),'2025数据'!$K$3:$K$181,"&lt;="&amp;DATE(2025,10,31),'2025数据'!$B$3:$B$181,$E657))</f>
        <v>1</v>
      </c>
      <c r="P657" s="208">
        <f ca="1">IF($S$1&lt;DATE(2025,11,1)," ",COUNTIFS('2025数据'!$K$3:$K$181,"&gt;="&amp;DATE(2025,11,1),'2025数据'!$K$3:$K$181,"&lt;="&amp;DATE(2025,11,30),'2025数据'!$B$3:$B$181,$E657))</f>
        <v>1</v>
      </c>
      <c r="Q657" s="208">
        <f ca="1">IF($S$1&lt;DATE(2025,12,1)," ",COUNTIFS('2025数据'!$K$3:$K$181,"&gt;="&amp;DATE(2025,12,1),'2025数据'!$K$3:$K$181,"&lt;="&amp;DATE(2025,12,31),'2025数据'!$B$3:$B$181,$E657))</f>
        <v>1</v>
      </c>
    </row>
    <row r="658" ht="24" customHeight="1" spans="1:17">
      <c r="A658" s="99" t="s">
        <v>346</v>
      </c>
      <c r="B658" s="99" t="s">
        <v>290</v>
      </c>
      <c r="C658" s="99" t="s">
        <v>291</v>
      </c>
      <c r="D658" s="47" t="s">
        <v>294</v>
      </c>
      <c r="E658" s="47" t="s">
        <v>96</v>
      </c>
      <c r="F658" s="206">
        <f ca="1">IF($S$1&lt;DATE(2025,1,1)," ",COUNTIFS('2025数据'!$K$3:$K$181,"&gt;="&amp;DATE(2024,1,1),'2025数据'!$K$3:$K$181,"&lt;="&amp;DATE(2025,1,31),'2025数据'!$B$3:$B$181,$E658))</f>
        <v>0</v>
      </c>
      <c r="G658" s="206">
        <f ca="1">IF($S$1&lt;DATE(2025,2,1)," ",COUNTIFS('2025数据'!$K$3:$K$181,"&gt;="&amp;DATE(2025,2,1),'2025数据'!$K$3:$K$181,"&lt;="&amp;DATE(2025,2,28),'2025数据'!$B$3:$B$181,$E658))</f>
        <v>0</v>
      </c>
      <c r="H658" s="206">
        <f ca="1">IF($S$1&lt;DATE(2025,3,1)," ",COUNTIFS('2025数据'!$K$3:$K$181,"&gt;="&amp;DATE(2025,3,1),'2025数据'!$K$3:$K$181,"&lt;="&amp;DATE(2025,3,31),'2025数据'!$B$3:$B$181,$E658))</f>
        <v>1</v>
      </c>
      <c r="I658" s="206">
        <f ca="1">IF($S$1&lt;DATE(2025,4,1)," ",COUNTIFS('2025数据'!$K$3:$K$181,"&gt;="&amp;DATE(2025,4,1),'2025数据'!$K$3:$K$181,"&lt;="&amp;DATE(2025,4,30),'2025数据'!$B$3:$B$181,$E658))</f>
        <v>0</v>
      </c>
      <c r="J658" s="206">
        <f ca="1">IF($S$1&lt;DATE(2025,5,1)," ",COUNTIFS('2025数据'!$K$3:$K$181,"&gt;="&amp;DATE(2025,5,1),'2025数据'!$K$3:$K$181,"&lt;="&amp;DATE(2025,5,31),'2025数据'!$B$3:$B$181,$E658))</f>
        <v>0</v>
      </c>
      <c r="K658" s="206">
        <f ca="1">IF($S$1&lt;DATE(2025,6,1)," ",COUNTIFS('2025数据'!$K$3:$K$181,"&gt;="&amp;DATE(2025,6,1),'2025数据'!$K$3:$K$181,"&lt;="&amp;DATE(2025,6,30),'2025数据'!$B$3:$B$181,$E658))</f>
        <v>1</v>
      </c>
      <c r="L658" s="206">
        <f ca="1">IF($S$1&lt;DATE(2025,7,1)," ",COUNTIFS('2025数据'!$K$3:$K$181,"&gt;="&amp;DATE(2025,7,1),'2025数据'!$K$3:$K$181,"&lt;="&amp;DATE(2025,7,31),'2025数据'!$B$3:$B$181,$E658))</f>
        <v>0</v>
      </c>
      <c r="M658" s="206">
        <f ca="1">IF($S$1&lt;DATE(2025,8,1)," ",COUNTIFS('2025数据'!$K$3:$K$181,"&gt;="&amp;DATE(2025,8,1),'2025数据'!$K$3:$K$181,"&lt;="&amp;DATE(2025,8,31),'2025数据'!$B$3:$B$181,$E658))</f>
        <v>0</v>
      </c>
      <c r="N658" s="206">
        <f ca="1">IF($S$1&lt;DATE(2025,9,1)," ",COUNTIFS('2025数据'!$K$3:$K$181,"&gt;="&amp;DATE(2025,9,1),'2025数据'!$K$3:$K$181,"&lt;="&amp;DATE(2025,9,30),'2025数据'!$B$3:$B$181,$E658))</f>
        <v>0</v>
      </c>
      <c r="O658" s="206">
        <f ca="1">IF($S$1&lt;DATE(2025,10,1)," ",COUNTIFS('2025数据'!$K$3:$K$181,"&gt;="&amp;DATE(2025,10,1),'2025数据'!$K$3:$K$181,"&lt;="&amp;DATE(2025,10,31),'2025数据'!$B$3:$B$181,$E658))</f>
        <v>0</v>
      </c>
      <c r="P658" s="208">
        <f ca="1">IF($S$1&lt;DATE(2025,11,1)," ",COUNTIFS('2025数据'!$K$3:$K$181,"&gt;="&amp;DATE(2025,11,1),'2025数据'!$K$3:$K$181,"&lt;="&amp;DATE(2025,11,30),'2025数据'!$B$3:$B$181,$E658))</f>
        <v>0</v>
      </c>
      <c r="Q658" s="208">
        <f ca="1">IF($S$1&lt;DATE(2025,12,1)," ",COUNTIFS('2025数据'!$K$3:$K$181,"&gt;="&amp;DATE(2025,12,1),'2025数据'!$K$3:$K$181,"&lt;="&amp;DATE(2025,12,31),'2025数据'!$B$3:$B$181,$E658))</f>
        <v>0</v>
      </c>
    </row>
    <row r="659" ht="24" customHeight="1" spans="1:17">
      <c r="A659" s="99" t="s">
        <v>346</v>
      </c>
      <c r="B659" s="99" t="s">
        <v>290</v>
      </c>
      <c r="C659" s="99" t="s">
        <v>291</v>
      </c>
      <c r="D659" s="47" t="s">
        <v>294</v>
      </c>
      <c r="E659" s="47" t="s">
        <v>160</v>
      </c>
      <c r="F659" s="206">
        <f ca="1">IF($S$1&lt;DATE(2025,1,1)," ",COUNTIFS('2025数据'!$K$3:$K$181,"&gt;="&amp;DATE(2024,1,1),'2025数据'!$K$3:$K$181,"&lt;="&amp;DATE(2025,1,31),'2025数据'!$B$3:$B$181,$E659))</f>
        <v>0</v>
      </c>
      <c r="G659" s="206">
        <f ca="1">IF($S$1&lt;DATE(2025,2,1)," ",COUNTIFS('2025数据'!$K$3:$K$181,"&gt;="&amp;DATE(2025,2,1),'2025数据'!$K$3:$K$181,"&lt;="&amp;DATE(2025,2,28),'2025数据'!$B$3:$B$181,$E659))</f>
        <v>0</v>
      </c>
      <c r="H659" s="206">
        <f ca="1">IF($S$1&lt;DATE(2025,3,1)," ",COUNTIFS('2025数据'!$K$3:$K$181,"&gt;="&amp;DATE(2025,3,1),'2025数据'!$K$3:$K$181,"&lt;="&amp;DATE(2025,3,31),'2025数据'!$B$3:$B$181,$E659))</f>
        <v>1</v>
      </c>
      <c r="I659" s="206">
        <f ca="1">IF($S$1&lt;DATE(2025,4,1)," ",COUNTIFS('2025数据'!$K$3:$K$181,"&gt;="&amp;DATE(2025,4,1),'2025数据'!$K$3:$K$181,"&lt;="&amp;DATE(2025,4,30),'2025数据'!$B$3:$B$181,$E659))</f>
        <v>0</v>
      </c>
      <c r="J659" s="206">
        <f ca="1">IF($S$1&lt;DATE(2025,5,1)," ",COUNTIFS('2025数据'!$K$3:$K$181,"&gt;="&amp;DATE(2025,5,1),'2025数据'!$K$3:$K$181,"&lt;="&amp;DATE(2025,5,31),'2025数据'!$B$3:$B$181,$E659))</f>
        <v>0</v>
      </c>
      <c r="K659" s="206">
        <f ca="1">IF($S$1&lt;DATE(2025,6,1)," ",COUNTIFS('2025数据'!$K$3:$K$181,"&gt;="&amp;DATE(2025,6,1),'2025数据'!$K$3:$K$181,"&lt;="&amp;DATE(2025,6,30),'2025数据'!$B$3:$B$181,$E659))</f>
        <v>0</v>
      </c>
      <c r="L659" s="206">
        <f ca="1">IF($S$1&lt;DATE(2025,7,1)," ",COUNTIFS('2025数据'!$K$3:$K$181,"&gt;="&amp;DATE(2025,7,1),'2025数据'!$K$3:$K$181,"&lt;="&amp;DATE(2025,7,31),'2025数据'!$B$3:$B$181,$E659))</f>
        <v>0</v>
      </c>
      <c r="M659" s="206">
        <f ca="1">IF($S$1&lt;DATE(2025,8,1)," ",COUNTIFS('2025数据'!$K$3:$K$181,"&gt;="&amp;DATE(2025,8,1),'2025数据'!$K$3:$K$181,"&lt;="&amp;DATE(2025,8,31),'2025数据'!$B$3:$B$181,$E659))</f>
        <v>0</v>
      </c>
      <c r="N659" s="206">
        <f ca="1">IF($S$1&lt;DATE(2025,9,1)," ",COUNTIFS('2025数据'!$K$3:$K$181,"&gt;="&amp;DATE(2025,9,1),'2025数据'!$K$3:$K$181,"&lt;="&amp;DATE(2025,9,30),'2025数据'!$B$3:$B$181,$E659))</f>
        <v>0</v>
      </c>
      <c r="O659" s="206">
        <f ca="1">IF($S$1&lt;DATE(2025,10,1)," ",COUNTIFS('2025数据'!$K$3:$K$181,"&gt;="&amp;DATE(2025,10,1),'2025数据'!$K$3:$K$181,"&lt;="&amp;DATE(2025,10,31),'2025数据'!$B$3:$B$181,$E659))</f>
        <v>0</v>
      </c>
      <c r="P659" s="208">
        <f ca="1">IF($S$1&lt;DATE(2025,11,1)," ",COUNTIFS('2025数据'!$K$3:$K$181,"&gt;="&amp;DATE(2025,11,1),'2025数据'!$K$3:$K$181,"&lt;="&amp;DATE(2025,11,30),'2025数据'!$B$3:$B$181,$E659))</f>
        <v>0</v>
      </c>
      <c r="Q659" s="208">
        <f ca="1">IF($S$1&lt;DATE(2025,12,1)," ",COUNTIFS('2025数据'!$K$3:$K$181,"&gt;="&amp;DATE(2025,12,1),'2025数据'!$K$3:$K$181,"&lt;="&amp;DATE(2025,12,31),'2025数据'!$B$3:$B$181,$E659))</f>
        <v>0</v>
      </c>
    </row>
    <row r="660" ht="24" customHeight="1" spans="1:17">
      <c r="A660" s="99" t="s">
        <v>346</v>
      </c>
      <c r="B660" s="99" t="s">
        <v>290</v>
      </c>
      <c r="C660" s="99" t="s">
        <v>291</v>
      </c>
      <c r="D660" s="100" t="s">
        <v>292</v>
      </c>
      <c r="E660" s="100" t="s">
        <v>295</v>
      </c>
      <c r="F660" s="204">
        <f ca="1">IF($S$1&lt;DATE(2025,1,1)," ",SUM(F661:F663))</f>
        <v>5</v>
      </c>
      <c r="G660" s="204">
        <f ca="1">IF($S$1&lt;DATE(2025,2,1)," ",SUM(G661:G663))</f>
        <v>1</v>
      </c>
      <c r="H660" s="204">
        <f ca="1">IF($S$1&lt;DATE(2025,3,1)," ",SUM(H661:H663))</f>
        <v>4</v>
      </c>
      <c r="I660" s="204">
        <f ca="1">IF($S$1&lt;DATE(2025,4,1)," ",SUM(I661:I663))</f>
        <v>5</v>
      </c>
      <c r="J660" s="204">
        <f ca="1">IF($S$1&lt;DATE(2025,5,1)," ",SUM(J661:J663))</f>
        <v>1</v>
      </c>
      <c r="K660" s="204">
        <f ca="1">IF($S$1&lt;DATE(2025,6,1)," ",SUM(K661:K663))</f>
        <v>3</v>
      </c>
      <c r="L660" s="204">
        <f ca="1">IF($S$1&lt;DATE(2025,7,1)," ",SUM(L661:L663))</f>
        <v>6</v>
      </c>
      <c r="M660" s="204">
        <f ca="1">IF($S$1&lt;DATE(2025,8,1)," ",SUM(M661:M663))</f>
        <v>5</v>
      </c>
      <c r="N660" s="204">
        <f ca="1">IF($S$1&lt;DATE(2025,9,1)," ",SUM(N661:N663))</f>
        <v>4</v>
      </c>
      <c r="O660" s="204">
        <f ca="1">IF($S$1&lt;DATE(2025,10,1)," ",SUM(O661:O663))</f>
        <v>3</v>
      </c>
      <c r="P660" s="204">
        <f ca="1">IF($S$1&lt;DATE(2025,11,1)," ",SUM(P661:P663))</f>
        <v>6</v>
      </c>
      <c r="Q660" s="204">
        <f ca="1">IF($S$1&lt;DATE(2025,12,1)," ",SUM(Q661:Q663))</f>
        <v>5</v>
      </c>
    </row>
    <row r="661" ht="24" customHeight="1" spans="1:17">
      <c r="A661" s="99" t="s">
        <v>346</v>
      </c>
      <c r="B661" s="99" t="s">
        <v>290</v>
      </c>
      <c r="C661" s="99" t="s">
        <v>291</v>
      </c>
      <c r="D661" s="48" t="s">
        <v>296</v>
      </c>
      <c r="E661" s="48" t="s">
        <v>90</v>
      </c>
      <c r="F661" s="205">
        <f ca="1">IF($S$1&lt;DATE(2025,1,1)," ",COUNTIFS('2025数据'!$K$3:$K$181,"&gt;="&amp;DATE(2024,1,1),'2025数据'!$K$3:$K$181,"&lt;="&amp;DATE(2025,1,31),'2025数据'!$AF$3:$AF$181,$E661))</f>
        <v>1</v>
      </c>
      <c r="G661" s="205">
        <f ca="1">IF($S$1&lt;DATE(2025,2,1)," ",COUNTIFS('2025数据'!$K$3:$K$181,"&gt;="&amp;DATE(2025,2,1),'2025数据'!$K$3:$K$181,"&lt;="&amp;DATE(2025,2,28),'2025数据'!$AF$3:$AF$181,$E661))</f>
        <v>0</v>
      </c>
      <c r="H661" s="205">
        <f ca="1">IF($S$1&lt;DATE(2025,3,1)," ",COUNTIFS('2025数据'!$K$3:$K$181,"&gt;="&amp;DATE(2025,3,1),'2025数据'!$K$3:$K$181,"&lt;="&amp;DATE(2025,3,31),'2025数据'!$AF$3:$AF$181,$E661))</f>
        <v>3</v>
      </c>
      <c r="I661" s="205">
        <f ca="1">IF($S$1&lt;DATE(2025,4,1)," ",COUNTIFS('2025数据'!$K$3:$K$181,"&gt;="&amp;DATE(2025,4,1),'2025数据'!$K$3:$K$181,"&lt;="&amp;DATE(2025,4,30),'2025数据'!$AF$3:$AF$181,$E661))</f>
        <v>2</v>
      </c>
      <c r="J661" s="205">
        <f ca="1">IF($S$1&lt;DATE(2025,5,1)," ",COUNTIFS('2025数据'!$K$3:$K$181,"&gt;="&amp;DATE(2025,5,1),'2025数据'!$K$3:$K$181,"&lt;="&amp;DATE(2025,5,31),'2025数据'!$AF$3:$AF$181,$E661))</f>
        <v>0</v>
      </c>
      <c r="K661" s="205">
        <f ca="1">IF($S$1&lt;DATE(2025,6,1)," ",COUNTIFS('2025数据'!$K$3:$K$181,"&gt;="&amp;DATE(2025,6,1),'2025数据'!$K$3:$K$181,"&lt;="&amp;DATE(2025,6,30),'2025数据'!$AF$3:$AF$181,$E661))</f>
        <v>1</v>
      </c>
      <c r="L661" s="205">
        <f ca="1">IF($S$1&lt;DATE(2025,7,1)," ",COUNTIFS('2025数据'!$K$3:$K$181,"&gt;="&amp;DATE(2025,7,1),'2025数据'!$K$3:$K$181,"&lt;="&amp;DATE(2025,7,31),'2025数据'!$AF$3:$AF$181,$E661))</f>
        <v>2</v>
      </c>
      <c r="M661" s="205">
        <f ca="1">IF($S$1&lt;DATE(2025,8,1)," ",COUNTIFS('2025数据'!$K$3:$K$181,"&gt;="&amp;DATE(2025,8,1),'2025数据'!$K$3:$K$181,"&lt;="&amp;DATE(2025,8,31),'2025数据'!$AF$3:$AF$181,$E661))</f>
        <v>2</v>
      </c>
      <c r="N661" s="205">
        <f ca="1">IF($S$1&lt;DATE(2025,9,1)," ",COUNTIFS('2025数据'!$K$3:$K$181,"&gt;="&amp;DATE(2025,9,1),'2025数据'!$K$3:$K$181,"&lt;="&amp;DATE(2025,9,30),'2025数据'!$AF$3:$AF$181,$E661))</f>
        <v>2</v>
      </c>
      <c r="O661" s="205">
        <f ca="1">IF($S$1&lt;DATE(2025,10,1)," ",COUNTIFS('2025数据'!$K$3:$K$181,"&gt;="&amp;DATE(2025,10,1),'2025数据'!$K$3:$K$181,"&lt;="&amp;DATE(2025,10,31),'2025数据'!$AF$3:$AF$181,$E661))</f>
        <v>1</v>
      </c>
      <c r="P661" s="207">
        <f ca="1">IF($S$1&lt;DATE(2025,11,1)," ",COUNTIFS('2025数据'!$K$3:$K$181,"&gt;="&amp;DATE(2025,11,1),'2025数据'!$K$3:$K$181,"&lt;="&amp;DATE(2025,11,30),'2025数据'!$AF$3:$AF$181,$E661))</f>
        <v>2</v>
      </c>
      <c r="Q661" s="207">
        <f ca="1">IF($S$1&lt;DATE(2025,12,1)," ",COUNTIFS('2025数据'!$K$3:$K$181,"&gt;="&amp;DATE(2025,12,1),'2025数据'!$K$3:$K$181,"&lt;="&amp;DATE(2025,12,31),'2025数据'!$AF$3:$AF$181,$E661))</f>
        <v>4</v>
      </c>
    </row>
    <row r="662" ht="24" customHeight="1" spans="1:17">
      <c r="A662" s="99" t="s">
        <v>346</v>
      </c>
      <c r="B662" s="99" t="s">
        <v>290</v>
      </c>
      <c r="C662" s="99" t="s">
        <v>291</v>
      </c>
      <c r="D662" s="48" t="s">
        <v>296</v>
      </c>
      <c r="E662" s="48" t="s">
        <v>82</v>
      </c>
      <c r="F662" s="205">
        <f ca="1">IF($S$1&lt;DATE(2025,1,1)," ",COUNTIFS('2025数据'!$K$3:$K$181,"&gt;="&amp;DATE(2024,1,1),'2025数据'!$K$3:$K$181,"&lt;="&amp;DATE(2025,1,31),'2025数据'!$AF$3:$AF$181,$E662))</f>
        <v>3</v>
      </c>
      <c r="G662" s="205">
        <f ca="1">IF($S$1&lt;DATE(2025,2,1)," ",COUNTIFS('2025数据'!$K$3:$K$181,"&gt;="&amp;DATE(2025,2,1),'2025数据'!$K$3:$K$181,"&lt;="&amp;DATE(2025,2,28),'2025数据'!$AF$3:$AF$181,$E662))</f>
        <v>0</v>
      </c>
      <c r="H662" s="205">
        <f ca="1">IF($S$1&lt;DATE(2025,3,1)," ",COUNTIFS('2025数据'!$K$3:$K$181,"&gt;="&amp;DATE(2025,3,1),'2025数据'!$K$3:$K$181,"&lt;="&amp;DATE(2025,3,31),'2025数据'!$AF$3:$AF$181,$E662))</f>
        <v>0</v>
      </c>
      <c r="I662" s="205">
        <f ca="1">IF($S$1&lt;DATE(2025,4,1)," ",COUNTIFS('2025数据'!$K$3:$K$181,"&gt;="&amp;DATE(2025,4,1),'2025数据'!$K$3:$K$181,"&lt;="&amp;DATE(2025,4,30),'2025数据'!$AF$3:$AF$181,$E662))</f>
        <v>2</v>
      </c>
      <c r="J662" s="205">
        <f ca="1">IF($S$1&lt;DATE(2025,5,1)," ",COUNTIFS('2025数据'!$K$3:$K$181,"&gt;="&amp;DATE(2025,5,1),'2025数据'!$K$3:$K$181,"&lt;="&amp;DATE(2025,5,31),'2025数据'!$AF$3:$AF$181,$E662))</f>
        <v>1</v>
      </c>
      <c r="K662" s="205">
        <f ca="1">IF($S$1&lt;DATE(2025,6,1)," ",COUNTIFS('2025数据'!$K$3:$K$181,"&gt;="&amp;DATE(2025,6,1),'2025数据'!$K$3:$K$181,"&lt;="&amp;DATE(2025,6,30),'2025数据'!$AF$3:$AF$181,$E662))</f>
        <v>1</v>
      </c>
      <c r="L662" s="205">
        <f ca="1">IF($S$1&lt;DATE(2025,7,1)," ",COUNTIFS('2025数据'!$K$3:$K$181,"&gt;="&amp;DATE(2025,7,1),'2025数据'!$K$3:$K$181,"&lt;="&amp;DATE(2025,7,31),'2025数据'!$AF$3:$AF$181,$E662))</f>
        <v>4</v>
      </c>
      <c r="M662" s="205">
        <f ca="1">IF($S$1&lt;DATE(2025,8,1)," ",COUNTIFS('2025数据'!$K$3:$K$181,"&gt;="&amp;DATE(2025,8,1),'2025数据'!$K$3:$K$181,"&lt;="&amp;DATE(2025,8,31),'2025数据'!$AF$3:$AF$181,$E662))</f>
        <v>1</v>
      </c>
      <c r="N662" s="205">
        <f ca="1">IF($S$1&lt;DATE(2025,9,1)," ",COUNTIFS('2025数据'!$K$3:$K$181,"&gt;="&amp;DATE(2025,9,1),'2025数据'!$K$3:$K$181,"&lt;="&amp;DATE(2025,9,30),'2025数据'!$AF$3:$AF$181,$E662))</f>
        <v>1</v>
      </c>
      <c r="O662" s="205">
        <f ca="1">IF($S$1&lt;DATE(2025,10,1)," ",COUNTIFS('2025数据'!$K$3:$K$181,"&gt;="&amp;DATE(2025,10,1),'2025数据'!$K$3:$K$181,"&lt;="&amp;DATE(2025,10,31),'2025数据'!$AF$3:$AF$181,$E662))</f>
        <v>0</v>
      </c>
      <c r="P662" s="207">
        <f ca="1">IF($S$1&lt;DATE(2025,11,1)," ",COUNTIFS('2025数据'!$K$3:$K$181,"&gt;="&amp;DATE(2025,11,1),'2025数据'!$K$3:$K$181,"&lt;="&amp;DATE(2025,11,30),'2025数据'!$AF$3:$AF$181,$E662))</f>
        <v>2</v>
      </c>
      <c r="Q662" s="207">
        <f ca="1">IF($S$1&lt;DATE(2025,12,1)," ",COUNTIFS('2025数据'!$K$3:$K$181,"&gt;="&amp;DATE(2025,12,1),'2025数据'!$K$3:$K$181,"&lt;="&amp;DATE(2025,12,31),'2025数据'!$AF$3:$AF$181,$E662))</f>
        <v>1</v>
      </c>
    </row>
    <row r="663" ht="24" customHeight="1" spans="1:17">
      <c r="A663" s="99" t="s">
        <v>346</v>
      </c>
      <c r="B663" s="99" t="s">
        <v>290</v>
      </c>
      <c r="C663" s="99" t="s">
        <v>291</v>
      </c>
      <c r="D663" s="48" t="s">
        <v>296</v>
      </c>
      <c r="E663" s="48" t="s">
        <v>86</v>
      </c>
      <c r="F663" s="205">
        <f ca="1">IF($S$1&lt;DATE(2025,1,1)," ",COUNTIFS('2025数据'!$K$3:$K$181,"&gt;="&amp;DATE(2024,1,1),'2025数据'!$K$3:$K$181,"&lt;="&amp;DATE(2025,1,31),'2025数据'!$AF$3:$AF$181,$E663))</f>
        <v>1</v>
      </c>
      <c r="G663" s="205">
        <f ca="1">IF($S$1&lt;DATE(2025,2,1)," ",COUNTIFS('2025数据'!$K$3:$K$181,"&gt;="&amp;DATE(2025,2,1),'2025数据'!$K$3:$K$181,"&lt;="&amp;DATE(2025,2,28),'2025数据'!$AF$3:$AF$181,$E663))</f>
        <v>1</v>
      </c>
      <c r="H663" s="205">
        <f ca="1">IF($S$1&lt;DATE(2025,3,1)," ",COUNTIFS('2025数据'!$K$3:$K$181,"&gt;="&amp;DATE(2025,3,1),'2025数据'!$K$3:$K$181,"&lt;="&amp;DATE(2025,3,31),'2025数据'!$AF$3:$AF$181,$E663))</f>
        <v>1</v>
      </c>
      <c r="I663" s="205">
        <f ca="1">IF($S$1&lt;DATE(2025,4,1)," ",COUNTIFS('2025数据'!$K$3:$K$181,"&gt;="&amp;DATE(2025,4,1),'2025数据'!$K$3:$K$181,"&lt;="&amp;DATE(2025,4,30),'2025数据'!$AF$3:$AF$181,$E663))</f>
        <v>1</v>
      </c>
      <c r="J663" s="205">
        <f ca="1">IF($S$1&lt;DATE(2025,5,1)," ",COUNTIFS('2025数据'!$K$3:$K$181,"&gt;="&amp;DATE(2025,5,1),'2025数据'!$K$3:$K$181,"&lt;="&amp;DATE(2025,5,31),'2025数据'!$AF$3:$AF$181,$E663))</f>
        <v>0</v>
      </c>
      <c r="K663" s="205">
        <f ca="1">IF($S$1&lt;DATE(2025,6,1)," ",COUNTIFS('2025数据'!$K$3:$K$181,"&gt;="&amp;DATE(2025,6,1),'2025数据'!$K$3:$K$181,"&lt;="&amp;DATE(2025,6,30),'2025数据'!$AF$3:$AF$181,$E663))</f>
        <v>1</v>
      </c>
      <c r="L663" s="205">
        <f ca="1">IF($S$1&lt;DATE(2025,7,1)," ",COUNTIFS('2025数据'!$K$3:$K$181,"&gt;="&amp;DATE(2025,7,1),'2025数据'!$K$3:$K$181,"&lt;="&amp;DATE(2025,7,31),'2025数据'!$AF$3:$AF$181,$E663))</f>
        <v>0</v>
      </c>
      <c r="M663" s="205">
        <f ca="1">IF($S$1&lt;DATE(2025,8,1)," ",COUNTIFS('2025数据'!$K$3:$K$181,"&gt;="&amp;DATE(2025,8,1),'2025数据'!$K$3:$K$181,"&lt;="&amp;DATE(2025,8,31),'2025数据'!$AF$3:$AF$181,$E663))</f>
        <v>2</v>
      </c>
      <c r="N663" s="205">
        <f ca="1">IF($S$1&lt;DATE(2025,9,1)," ",COUNTIFS('2025数据'!$K$3:$K$181,"&gt;="&amp;DATE(2025,9,1),'2025数据'!$K$3:$K$181,"&lt;="&amp;DATE(2025,9,30),'2025数据'!$AF$3:$AF$181,$E663))</f>
        <v>1</v>
      </c>
      <c r="O663" s="205">
        <f ca="1">IF($S$1&lt;DATE(2025,10,1)," ",COUNTIFS('2025数据'!$K$3:$K$181,"&gt;="&amp;DATE(2025,10,1),'2025数据'!$K$3:$K$181,"&lt;="&amp;DATE(2025,10,31),'2025数据'!$AF$3:$AF$181,$E663))</f>
        <v>2</v>
      </c>
      <c r="P663" s="207">
        <f ca="1">IF($S$1&lt;DATE(2025,11,1)," ",COUNTIFS('2025数据'!$K$3:$K$181,"&gt;="&amp;DATE(2025,11,1),'2025数据'!$K$3:$K$181,"&lt;="&amp;DATE(2025,11,30),'2025数据'!$AF$3:$AF$181,$E663))</f>
        <v>2</v>
      </c>
      <c r="Q663" s="207">
        <f ca="1">IF($S$1&lt;DATE(2025,12,1)," ",COUNTIFS('2025数据'!$K$3:$K$181,"&gt;="&amp;DATE(2025,12,1),'2025数据'!$K$3:$K$181,"&lt;="&amp;DATE(2025,12,31),'2025数据'!$AF$3:$AF$181,$E663))</f>
        <v>0</v>
      </c>
    </row>
    <row r="664" ht="24" customHeight="1" spans="1:17">
      <c r="A664" s="99" t="s">
        <v>346</v>
      </c>
      <c r="B664" s="99" t="s">
        <v>290</v>
      </c>
      <c r="C664" s="99" t="s">
        <v>291</v>
      </c>
      <c r="D664" s="100" t="s">
        <v>292</v>
      </c>
      <c r="E664" s="100" t="s">
        <v>297</v>
      </c>
      <c r="F664" s="204">
        <f ca="1">IF($S$1&lt;DATE(2025,1,1)," ",SUM(F665:F668))</f>
        <v>3</v>
      </c>
      <c r="G664" s="204">
        <f ca="1">IF($S$1&lt;DATE(2025,2,1)," ",SUM(G665:G668))</f>
        <v>1</v>
      </c>
      <c r="H664" s="204">
        <f ca="1">IF($S$1&lt;DATE(2025,3,1)," ",SUM(H665:H668))</f>
        <v>6</v>
      </c>
      <c r="I664" s="204">
        <f ca="1">IF($S$1&lt;DATE(2025,4,1)," ",SUM(I665:I668))</f>
        <v>4</v>
      </c>
      <c r="J664" s="204">
        <f ca="1">IF($S$1&lt;DATE(2025,5,1)," ",SUM(J665:J668))</f>
        <v>0</v>
      </c>
      <c r="K664" s="204">
        <f ca="1">IF($S$1&lt;DATE(2025,6,1)," ",SUM(K665:K668))</f>
        <v>3</v>
      </c>
      <c r="L664" s="204">
        <f ca="1">IF($S$1&lt;DATE(2025,7,1)," ",SUM(L665:L668))</f>
        <v>4</v>
      </c>
      <c r="M664" s="204">
        <f ca="1">IF($S$1&lt;DATE(2025,8,1)," ",SUM(M665:M668))</f>
        <v>3</v>
      </c>
      <c r="N664" s="204">
        <f ca="1">IF($S$1&lt;DATE(2025,9,1)," ",SUM(N665:N668))</f>
        <v>4</v>
      </c>
      <c r="O664" s="204">
        <f ca="1">IF($S$1&lt;DATE(2025,10,1)," ",SUM(O665:O668))</f>
        <v>2</v>
      </c>
      <c r="P664" s="204">
        <f ca="1">IF($S$1&lt;DATE(2025,11,1)," ",SUM(P665:P668))</f>
        <v>5</v>
      </c>
      <c r="Q664" s="204">
        <f ca="1">IF($S$1&lt;DATE(2025,12,1)," ",SUM(Q665:Q668))</f>
        <v>6</v>
      </c>
    </row>
    <row r="665" ht="24" customHeight="1" spans="1:17">
      <c r="A665" s="99" t="s">
        <v>346</v>
      </c>
      <c r="B665" s="99" t="s">
        <v>290</v>
      </c>
      <c r="C665" s="99" t="s">
        <v>291</v>
      </c>
      <c r="D665" s="48" t="s">
        <v>298</v>
      </c>
      <c r="E665" s="48" t="s">
        <v>97</v>
      </c>
      <c r="F665" s="205">
        <f ca="1">IF($S$1&lt;DATE(2025,1,1)," ",COUNTIFS('2025数据'!$K$3:$K$181,"&gt;="&amp;DATE(2024,1,1),'2025数据'!$K$3:$K$181,"&lt;="&amp;DATE(2025,1,31),'2025数据'!$AG$3:$AG$181,$E665))</f>
        <v>2</v>
      </c>
      <c r="G665" s="205">
        <f ca="1">IF($S$1&lt;DATE(2025,2,1)," ",COUNTIFS('2025数据'!$K$3:$K$181,"&gt;="&amp;DATE(2025,2,1),'2025数据'!$K$3:$K$181,"&lt;="&amp;DATE(2025,2,28),'2025数据'!$AG$3:$AG$181,$E665))</f>
        <v>1</v>
      </c>
      <c r="H665" s="205">
        <f ca="1">IF($S$1&lt;DATE(2025,3,1)," ",COUNTIFS('2025数据'!$K$3:$K$181,"&gt;="&amp;DATE(2025,3,1),'2025数据'!$K$3:$K$181,"&lt;="&amp;DATE(2025,3,31),'2025数据'!$AG$3:$AG$181,$E665))</f>
        <v>3</v>
      </c>
      <c r="I665" s="205">
        <f ca="1">IF($S$1&lt;DATE(2025,4,1)," ",COUNTIFS('2025数据'!$K$3:$K$181,"&gt;="&amp;DATE(2025,4,1),'2025数据'!$K$3:$K$181,"&lt;="&amp;DATE(2025,4,30),'2025数据'!$AG$3:$AG$181,$E665))</f>
        <v>1</v>
      </c>
      <c r="J665" s="205">
        <f ca="1">IF($S$1&lt;DATE(2025,5,1)," ",COUNTIFS('2025数据'!$K$3:$K$181,"&gt;="&amp;DATE(2025,5,1),'2025数据'!$K$3:$K$181,"&lt;="&amp;DATE(2025,5,31),'2025数据'!$AG$3:$AG$181,$E665))</f>
        <v>0</v>
      </c>
      <c r="K665" s="205">
        <f ca="1">IF($S$1&lt;DATE(2025,6,1)," ",COUNTIFS('2025数据'!$K$3:$K$181,"&gt;="&amp;DATE(2025,6,1),'2025数据'!$K$3:$K$181,"&lt;="&amp;DATE(2025,6,30),'2025数据'!$AG$3:$AG$181,$E665))</f>
        <v>2</v>
      </c>
      <c r="L665" s="205">
        <f ca="1">IF($S$1&lt;DATE(2025,7,1)," ",COUNTIFS('2025数据'!$K$3:$K$181,"&gt;="&amp;DATE(2025,7,1),'2025数据'!$K$3:$K$181,"&lt;="&amp;DATE(2025,7,31),'2025数据'!$AG$3:$AG$181,$E665))</f>
        <v>1</v>
      </c>
      <c r="M665" s="205">
        <f ca="1">IF($S$1&lt;DATE(2025,8,1)," ",COUNTIFS('2025数据'!$K$3:$K$181,"&gt;="&amp;DATE(2025,8,1),'2025数据'!$K$3:$K$181,"&lt;="&amp;DATE(2025,8,31),'2025数据'!$AG$3:$AG$181,$E665))</f>
        <v>1</v>
      </c>
      <c r="N665" s="205">
        <f ca="1">IF($S$1&lt;DATE(2025,9,1)," ",COUNTIFS('2025数据'!$K$3:$K$181,"&gt;="&amp;DATE(2025,9,1),'2025数据'!$K$3:$K$181,"&lt;="&amp;DATE(2025,9,30),'2025数据'!$AG$3:$AG$181,$E665))</f>
        <v>1</v>
      </c>
      <c r="O665" s="205">
        <f ca="1">IF($S$1&lt;DATE(2025,10,1)," ",COUNTIFS('2025数据'!$K$3:$K$181,"&gt;="&amp;DATE(2025,10,1),'2025数据'!$K$3:$K$181,"&lt;="&amp;DATE(2025,10,31),'2025数据'!$AG$3:$AG$181,$E665))</f>
        <v>0</v>
      </c>
      <c r="P665" s="207">
        <f ca="1">IF($S$1&lt;DATE(2025,11,1)," ",COUNTIFS('2025数据'!$K$3:$K$181,"&gt;="&amp;DATE(2025,11,1),'2025数据'!$K$3:$K$181,"&lt;="&amp;DATE(2025,11,30),'2025数据'!$AG$3:$AG$181,$E665))</f>
        <v>1</v>
      </c>
      <c r="Q665" s="207">
        <f ca="1">IF($S$1&lt;DATE(2025,12,1)," ",COUNTIFS('2025数据'!$K$3:$K$181,"&gt;="&amp;DATE(2025,12,1),'2025数据'!$K$3:$K$181,"&lt;="&amp;DATE(2025,12,31),'2025数据'!$AG$3:$AG$181,$E665))</f>
        <v>0</v>
      </c>
    </row>
    <row r="666" ht="24" customHeight="1" spans="1:17">
      <c r="A666" s="99" t="s">
        <v>346</v>
      </c>
      <c r="B666" s="99" t="s">
        <v>290</v>
      </c>
      <c r="C666" s="99" t="s">
        <v>291</v>
      </c>
      <c r="D666" s="48" t="s">
        <v>298</v>
      </c>
      <c r="E666" s="48" t="s">
        <v>87</v>
      </c>
      <c r="F666" s="205">
        <f ca="1">IF($S$1&lt;DATE(2025,1,1)," ",COUNTIFS('2025数据'!$K$3:$K$181,"&gt;="&amp;DATE(2024,1,1),'2025数据'!$K$3:$K$181,"&lt;="&amp;DATE(2025,1,31),'2025数据'!$AG$3:$AG$181,$E666))</f>
        <v>1</v>
      </c>
      <c r="G666" s="205">
        <f ca="1">IF($S$1&lt;DATE(2025,2,1)," ",COUNTIFS('2025数据'!$K$3:$K$181,"&gt;="&amp;DATE(2025,2,1),'2025数据'!$K$3:$K$181,"&lt;="&amp;DATE(2025,2,28),'2025数据'!$AG$3:$AG$181,$E666))</f>
        <v>0</v>
      </c>
      <c r="H666" s="205">
        <f ca="1">IF($S$1&lt;DATE(2025,3,1)," ",COUNTIFS('2025数据'!$K$3:$K$181,"&gt;="&amp;DATE(2025,3,1),'2025数据'!$K$3:$K$181,"&lt;="&amp;DATE(2025,3,31),'2025数据'!$AG$3:$AG$181,$E666))</f>
        <v>1</v>
      </c>
      <c r="I666" s="205">
        <f ca="1">IF($S$1&lt;DATE(2025,4,1)," ",COUNTIFS('2025数据'!$K$3:$K$181,"&gt;="&amp;DATE(2025,4,1),'2025数据'!$K$3:$K$181,"&lt;="&amp;DATE(2025,4,30),'2025数据'!$AG$3:$AG$181,$E666))</f>
        <v>2</v>
      </c>
      <c r="J666" s="205">
        <f ca="1">IF($S$1&lt;DATE(2025,5,1)," ",COUNTIFS('2025数据'!$K$3:$K$181,"&gt;="&amp;DATE(2025,5,1),'2025数据'!$K$3:$K$181,"&lt;="&amp;DATE(2025,5,31),'2025数据'!$AG$3:$AG$181,$E666))</f>
        <v>0</v>
      </c>
      <c r="K666" s="205">
        <f ca="1">IF($S$1&lt;DATE(2025,6,1)," ",COUNTIFS('2025数据'!$K$3:$K$181,"&gt;="&amp;DATE(2025,6,1),'2025数据'!$K$3:$K$181,"&lt;="&amp;DATE(2025,6,30),'2025数据'!$AG$3:$AG$181,$E666))</f>
        <v>0</v>
      </c>
      <c r="L666" s="205">
        <f ca="1">IF($S$1&lt;DATE(2025,7,1)," ",COUNTIFS('2025数据'!$K$3:$K$181,"&gt;="&amp;DATE(2025,7,1),'2025数据'!$K$3:$K$181,"&lt;="&amp;DATE(2025,7,31),'2025数据'!$AG$3:$AG$181,$E666))</f>
        <v>3</v>
      </c>
      <c r="M666" s="205">
        <f ca="1">IF($S$1&lt;DATE(2025,8,1)," ",COUNTIFS('2025数据'!$K$3:$K$181,"&gt;="&amp;DATE(2025,8,1),'2025数据'!$K$3:$K$181,"&lt;="&amp;DATE(2025,8,31),'2025数据'!$AG$3:$AG$181,$E666))</f>
        <v>2</v>
      </c>
      <c r="N666" s="205">
        <f ca="1">IF($S$1&lt;DATE(2025,9,1)," ",COUNTIFS('2025数据'!$K$3:$K$181,"&gt;="&amp;DATE(2025,9,1),'2025数据'!$K$3:$K$181,"&lt;="&amp;DATE(2025,9,30),'2025数据'!$AG$3:$AG$181,$E666))</f>
        <v>3</v>
      </c>
      <c r="O666" s="205">
        <f ca="1">IF($S$1&lt;DATE(2025,10,1)," ",COUNTIFS('2025数据'!$K$3:$K$181,"&gt;="&amp;DATE(2025,10,1),'2025数据'!$K$3:$K$181,"&lt;="&amp;DATE(2025,10,31),'2025数据'!$AG$3:$AG$181,$E666))</f>
        <v>0</v>
      </c>
      <c r="P666" s="207">
        <f ca="1">IF($S$1&lt;DATE(2025,11,1)," ",COUNTIFS('2025数据'!$K$3:$K$181,"&gt;="&amp;DATE(2025,11,1),'2025数据'!$K$3:$K$181,"&lt;="&amp;DATE(2025,11,30),'2025数据'!$AG$3:$AG$181,$E666))</f>
        <v>3</v>
      </c>
      <c r="Q666" s="207">
        <f ca="1">IF($S$1&lt;DATE(2025,12,1)," ",COUNTIFS('2025数据'!$K$3:$K$181,"&gt;="&amp;DATE(2025,12,1),'2025数据'!$K$3:$K$181,"&lt;="&amp;DATE(2025,12,31),'2025数据'!$AG$3:$AG$181,$E666))</f>
        <v>6</v>
      </c>
    </row>
    <row r="667" ht="24" customHeight="1" spans="1:17">
      <c r="A667" s="99" t="s">
        <v>346</v>
      </c>
      <c r="B667" s="99" t="s">
        <v>290</v>
      </c>
      <c r="C667" s="99" t="s">
        <v>291</v>
      </c>
      <c r="D667" s="48" t="s">
        <v>298</v>
      </c>
      <c r="E667" s="48" t="s">
        <v>149</v>
      </c>
      <c r="F667" s="205">
        <f ca="1">IF($S$1&lt;DATE(2025,1,1)," ",COUNTIFS('2025数据'!$K$3:$K$181,"&gt;="&amp;DATE(2024,1,1),'2025数据'!$K$3:$K$181,"&lt;="&amp;DATE(2025,1,31),'2025数据'!$AG$3:$AG$181,$E667))</f>
        <v>0</v>
      </c>
      <c r="G667" s="205">
        <f ca="1">IF($S$1&lt;DATE(2025,2,1)," ",COUNTIFS('2025数据'!$K$3:$K$181,"&gt;="&amp;DATE(2025,2,1),'2025数据'!$K$3:$K$181,"&lt;="&amp;DATE(2025,2,28),'2025数据'!$AG$3:$AG$181,$E667))</f>
        <v>0</v>
      </c>
      <c r="H667" s="205">
        <f ca="1">IF($S$1&lt;DATE(2025,3,1)," ",COUNTIFS('2025数据'!$K$3:$K$181,"&gt;="&amp;DATE(2025,3,1),'2025数据'!$K$3:$K$181,"&lt;="&amp;DATE(2025,3,31),'2025数据'!$AG$3:$AG$181,$E667))</f>
        <v>0</v>
      </c>
      <c r="I667" s="205">
        <f ca="1">IF($S$1&lt;DATE(2025,4,1)," ",COUNTIFS('2025数据'!$K$3:$K$181,"&gt;="&amp;DATE(2025,4,1),'2025数据'!$K$3:$K$181,"&lt;="&amp;DATE(2025,4,30),'2025数据'!$AG$3:$AG$181,$E667))</f>
        <v>0</v>
      </c>
      <c r="J667" s="205">
        <f ca="1">IF($S$1&lt;DATE(2025,5,1)," ",COUNTIFS('2025数据'!$K$3:$K$181,"&gt;="&amp;DATE(2025,5,1),'2025数据'!$K$3:$K$181,"&lt;="&amp;DATE(2025,5,31),'2025数据'!$AG$3:$AG$181,$E667))</f>
        <v>0</v>
      </c>
      <c r="K667" s="205">
        <f ca="1">IF($S$1&lt;DATE(2025,6,1)," ",COUNTIFS('2025数据'!$K$3:$K$181,"&gt;="&amp;DATE(2025,6,1),'2025数据'!$K$3:$K$181,"&lt;="&amp;DATE(2025,6,30),'2025数据'!$AG$3:$AG$181,$E667))</f>
        <v>0</v>
      </c>
      <c r="L667" s="205">
        <f ca="1">IF($S$1&lt;DATE(2025,7,1)," ",COUNTIFS('2025数据'!$K$3:$K$181,"&gt;="&amp;DATE(2025,7,1),'2025数据'!$K$3:$K$181,"&lt;="&amp;DATE(2025,7,31),'2025数据'!$AG$3:$AG$181,$E667))</f>
        <v>0</v>
      </c>
      <c r="M667" s="205">
        <f ca="1">IF($S$1&lt;DATE(2025,8,1)," ",COUNTIFS('2025数据'!$K$3:$K$181,"&gt;="&amp;DATE(2025,8,1),'2025数据'!$K$3:$K$181,"&lt;="&amp;DATE(2025,8,31),'2025数据'!$AG$3:$AG$181,$E667))</f>
        <v>0</v>
      </c>
      <c r="N667" s="205">
        <f ca="1">IF($S$1&lt;DATE(2025,9,1)," ",COUNTIFS('2025数据'!$K$3:$K$181,"&gt;="&amp;DATE(2025,9,1),'2025数据'!$K$3:$K$181,"&lt;="&amp;DATE(2025,9,30),'2025数据'!$AG$3:$AG$181,$E667))</f>
        <v>0</v>
      </c>
      <c r="O667" s="205">
        <f ca="1">IF($S$1&lt;DATE(2025,10,1)," ",COUNTIFS('2025数据'!$K$3:$K$181,"&gt;="&amp;DATE(2025,10,1),'2025数据'!$K$3:$K$181,"&lt;="&amp;DATE(2025,10,31),'2025数据'!$AG$3:$AG$181,$E667))</f>
        <v>0</v>
      </c>
      <c r="P667" s="207">
        <f ca="1">IF($S$1&lt;DATE(2025,11,1)," ",COUNTIFS('2025数据'!$K$3:$K$181,"&gt;="&amp;DATE(2025,11,1),'2025数据'!$K$3:$K$181,"&lt;="&amp;DATE(2025,11,30),'2025数据'!$AG$3:$AG$181,$E667))</f>
        <v>0</v>
      </c>
      <c r="Q667" s="207">
        <f ca="1">IF($S$1&lt;DATE(2025,12,1)," ",COUNTIFS('2025数据'!$K$3:$K$181,"&gt;="&amp;DATE(2025,12,1),'2025数据'!$K$3:$K$181,"&lt;="&amp;DATE(2025,12,31),'2025数据'!$AG$3:$AG$181,$E667))</f>
        <v>0</v>
      </c>
    </row>
    <row r="668" ht="24" customHeight="1" spans="1:17">
      <c r="A668" s="99" t="s">
        <v>346</v>
      </c>
      <c r="B668" s="99" t="s">
        <v>290</v>
      </c>
      <c r="C668" s="99" t="s">
        <v>291</v>
      </c>
      <c r="D668" s="48" t="s">
        <v>298</v>
      </c>
      <c r="E668" s="48" t="s">
        <v>83</v>
      </c>
      <c r="F668" s="205">
        <f ca="1">IF($S$1&lt;DATE(2025,1,1)," ",COUNTIFS('2025数据'!$K$3:$K$181,"&gt;="&amp;DATE(2024,1,1),'2025数据'!$K$3:$K$181,"&lt;="&amp;DATE(2025,1,31),'2025数据'!$AG$3:$AG$181,$E668))</f>
        <v>0</v>
      </c>
      <c r="G668" s="205">
        <f ca="1">IF($S$1&lt;DATE(2025,2,1)," ",COUNTIFS('2025数据'!$K$3:$K$181,"&gt;="&amp;DATE(2025,2,1),'2025数据'!$K$3:$K$181,"&lt;="&amp;DATE(2025,2,28),'2025数据'!$AG$3:$AG$181,$E668))</f>
        <v>0</v>
      </c>
      <c r="H668" s="205">
        <f ca="1">IF($S$1&lt;DATE(2025,3,1)," ",COUNTIFS('2025数据'!$K$3:$K$181,"&gt;="&amp;DATE(2025,3,1),'2025数据'!$K$3:$K$181,"&lt;="&amp;DATE(2025,3,31),'2025数据'!$AG$3:$AG$181,$E668))</f>
        <v>2</v>
      </c>
      <c r="I668" s="205">
        <f ca="1">IF($S$1&lt;DATE(2025,4,1)," ",COUNTIFS('2025数据'!$K$3:$K$181,"&gt;="&amp;DATE(2025,4,1),'2025数据'!$K$3:$K$181,"&lt;="&amp;DATE(2025,4,30),'2025数据'!$AG$3:$AG$181,$E668))</f>
        <v>1</v>
      </c>
      <c r="J668" s="205">
        <f ca="1">IF($S$1&lt;DATE(2025,5,1)," ",COUNTIFS('2025数据'!$K$3:$K$181,"&gt;="&amp;DATE(2025,5,1),'2025数据'!$K$3:$K$181,"&lt;="&amp;DATE(2025,5,31),'2025数据'!$AG$3:$AG$181,$E668))</f>
        <v>0</v>
      </c>
      <c r="K668" s="205">
        <f ca="1">IF($S$1&lt;DATE(2025,6,1)," ",COUNTIFS('2025数据'!$K$3:$K$181,"&gt;="&amp;DATE(2025,6,1),'2025数据'!$K$3:$K$181,"&lt;="&amp;DATE(2025,6,30),'2025数据'!$AG$3:$AG$181,$E668))</f>
        <v>1</v>
      </c>
      <c r="L668" s="205">
        <f ca="1">IF($S$1&lt;DATE(2025,7,1)," ",COUNTIFS('2025数据'!$K$3:$K$181,"&gt;="&amp;DATE(2025,7,1),'2025数据'!$K$3:$K$181,"&lt;="&amp;DATE(2025,7,31),'2025数据'!$AG$3:$AG$181,$E668))</f>
        <v>0</v>
      </c>
      <c r="M668" s="205">
        <f ca="1">IF($S$1&lt;DATE(2025,8,1)," ",COUNTIFS('2025数据'!$K$3:$K$181,"&gt;="&amp;DATE(2025,8,1),'2025数据'!$K$3:$K$181,"&lt;="&amp;DATE(2025,8,31),'2025数据'!$AG$3:$AG$181,$E668))</f>
        <v>0</v>
      </c>
      <c r="N668" s="205">
        <f ca="1">IF($S$1&lt;DATE(2025,9,1)," ",COUNTIFS('2025数据'!$K$3:$K$181,"&gt;="&amp;DATE(2025,9,1),'2025数据'!$K$3:$K$181,"&lt;="&amp;DATE(2025,9,30),'2025数据'!$AG$3:$AG$181,$E668))</f>
        <v>0</v>
      </c>
      <c r="O668" s="205">
        <f ca="1">IF($S$1&lt;DATE(2025,10,1)," ",COUNTIFS('2025数据'!$K$3:$K$181,"&gt;="&amp;DATE(2025,10,1),'2025数据'!$K$3:$K$181,"&lt;="&amp;DATE(2025,10,31),'2025数据'!$AG$3:$AG$181,$E668))</f>
        <v>2</v>
      </c>
      <c r="P668" s="207">
        <f ca="1">IF($S$1&lt;DATE(2025,11,1)," ",COUNTIFS('2025数据'!$K$3:$K$181,"&gt;="&amp;DATE(2025,11,1),'2025数据'!$K$3:$K$181,"&lt;="&amp;DATE(2025,11,30),'2025数据'!$AG$3:$AG$181,$E668))</f>
        <v>1</v>
      </c>
      <c r="Q668" s="207">
        <f ca="1">IF($S$1&lt;DATE(2025,12,1)," ",COUNTIFS('2025数据'!$K$3:$K$181,"&gt;="&amp;DATE(2025,12,1),'2025数据'!$K$3:$K$181,"&lt;="&amp;DATE(2025,12,31),'2025数据'!$AG$3:$AG$181,$E668))</f>
        <v>0</v>
      </c>
    </row>
    <row r="669" ht="24" customHeight="1" spans="1:17">
      <c r="A669" s="99" t="s">
        <v>346</v>
      </c>
      <c r="B669" s="99" t="s">
        <v>299</v>
      </c>
      <c r="C669" s="99" t="s">
        <v>291</v>
      </c>
      <c r="D669" s="100" t="s">
        <v>292</v>
      </c>
      <c r="E669" s="100" t="s">
        <v>300</v>
      </c>
      <c r="F669" s="204">
        <f ca="1">IF($S$1&lt;DATE(2025,1,1)," ",IF((SUM(F670:F676)-MAX(F700,F704))&lt;0,"ERR",SUM(F670:F676)))</f>
        <v>6</v>
      </c>
      <c r="G669" s="204">
        <f ca="1">IF($S$1&lt;DATE(2025,2,1)," ",IF((SUM(G670:G676)-MAX(G700,G704))&lt;0,"ERR",SUM(G670:G676)))</f>
        <v>0</v>
      </c>
      <c r="H669" s="204">
        <f ca="1">IF($S$1&lt;DATE(2025,3,1)," ",IF((SUM(H670:H676)-MAX(H700,H704))&lt;0,"ERR",SUM(H670:H676)))</f>
        <v>1</v>
      </c>
      <c r="I669" s="204">
        <f ca="1">IF($S$1&lt;DATE(2025,4,1)," ",IF((SUM(I670:I676)-MAX(I700,I704))&lt;0,"ERR",SUM(I670:I676)))</f>
        <v>8</v>
      </c>
      <c r="J669" s="204">
        <f ca="1">IF($S$1&lt;DATE(2025,5,1)," ",IF((SUM(J670:J676)-MAX(J700,J704))&lt;0,"ERR",SUM(J670:J676)))</f>
        <v>3</v>
      </c>
      <c r="K669" s="204">
        <f ca="1">IF($S$1&lt;DATE(2025,6,1)," ",IF((SUM(K670:K676)-MAX(K700,K704))&lt;0,"ERR",SUM(K670:K676)))</f>
        <v>3</v>
      </c>
      <c r="L669" s="204">
        <f ca="1">IF($S$1&lt;DATE(2025,7,1)," ",IF((SUM(L670:L676)-MAX(L700,L704))&lt;0,"ERR",SUM(L670:L676)))</f>
        <v>4</v>
      </c>
      <c r="M669" s="204">
        <f ca="1">IF($S$1&lt;DATE(2025,8,1)," ",IF((SUM(M670:M676)-MAX(M700,M704))&lt;0,"ERR",SUM(M670:M676)))</f>
        <v>6</v>
      </c>
      <c r="N669" s="204">
        <f ca="1">IF($S$1&lt;DATE(2025,9,1)," ",IF((SUM(N670:N676)-MAX(N700,N704))&lt;0,"ERR",SUM(N670:N676)))</f>
        <v>4</v>
      </c>
      <c r="O669" s="204">
        <f ca="1">IF($S$1&lt;DATE(2025,10,1)," ",IF((SUM(O670:O676)-MAX(O700,O704))&lt;0,"ERR",SUM(O670:O676)))</f>
        <v>4</v>
      </c>
      <c r="P669" s="204">
        <f ca="1">IF($S$1&lt;DATE(2025,11,1)," ",IF((SUM(P670:P676)-MAX(P700,P704))&lt;0,"ERR",SUM(P670:P676)))</f>
        <v>2</v>
      </c>
      <c r="Q669" s="204">
        <f ca="1">IF($S$1&lt;DATE(2025,12,1)," ",IF((SUM(Q670:Q676)-MAX(Q700,Q704))&lt;0,"ERR",SUM(Q670:Q676)))</f>
        <v>5</v>
      </c>
    </row>
    <row r="670" ht="24" customHeight="1" spans="1:17">
      <c r="A670" s="99" t="s">
        <v>346</v>
      </c>
      <c r="B670" s="99" t="s">
        <v>299</v>
      </c>
      <c r="C670" s="99" t="s">
        <v>291</v>
      </c>
      <c r="D670" s="48" t="s">
        <v>31</v>
      </c>
      <c r="E670" s="48" t="s">
        <v>90</v>
      </c>
      <c r="F670" s="205">
        <f ca="1">IF($S$1&lt;DATE(2025,1,1)," ",COUNTIFS('2025数据'!$L$3:$L$181,"&gt;="&amp;DATE(2024,1,1),'2025数据'!$L$3:$L$181,"&lt;="&amp;DATE(2025,1,31),'2025数据'!$AE$3:$AE$181,$E670))</f>
        <v>1</v>
      </c>
      <c r="G670" s="205">
        <f ca="1">IF($S$1&lt;DATE(2025,2,1)," ",COUNTIFS('2025数据'!$L$3:$L$181,"&gt;="&amp;DATE(2025,2,1),'2025数据'!$L$3:$L$181,"&lt;="&amp;DATE(2025,2,28),'2025数据'!$AE$3:$AE$181,$E670))</f>
        <v>0</v>
      </c>
      <c r="H670" s="205">
        <f ca="1">IF($S$1&lt;DATE(2025,3,1)," ",COUNTIFS('2025数据'!$L$3:$L$181,"&gt;="&amp;DATE(2025,3,1),'2025数据'!$L$3:$L$181,"&lt;="&amp;DATE(2025,3,31),'2025数据'!$AE$3:$AE$181,$E670))</f>
        <v>0</v>
      </c>
      <c r="I670" s="205">
        <f ca="1">IF($S$1&lt;DATE(2025,4,1)," ",COUNTIFS('2025数据'!$L$3:$L$181,"&gt;="&amp;DATE(2025,4,1),'2025数据'!$L$3:$L$181,"&lt;="&amp;DATE(2025,4,30),'2025数据'!$AE$3:$AE$181,$E670))</f>
        <v>4</v>
      </c>
      <c r="J670" s="205">
        <f ca="1">IF($S$1&lt;DATE(2025,5,1)," ",COUNTIFS('2025数据'!$L$3:$L$181,"&gt;="&amp;DATE(2025,5,1),'2025数据'!$L$3:$L$181,"&lt;="&amp;DATE(2025,5,31),'2025数据'!$AE$3:$AE$181,$E670))</f>
        <v>0</v>
      </c>
      <c r="K670" s="205">
        <f ca="1">IF($S$1&lt;DATE(2025,6,1)," ",COUNTIFS('2025数据'!$L$3:$L$181,"&gt;="&amp;DATE(2025,6,1),'2025数据'!$L$3:$L$181,"&lt;="&amp;DATE(2025,6,30),'2025数据'!$AE$3:$AE$181,$E670))</f>
        <v>0</v>
      </c>
      <c r="L670" s="205">
        <f ca="1">IF($S$1&lt;DATE(2025,7,1)," ",COUNTIFS('2025数据'!$L$3:$L$181,"&gt;="&amp;DATE(2025,7,1),'2025数据'!$L$3:$L$181,"&lt;="&amp;DATE(2025,7,31),'2025数据'!$AE$3:$AE$181,$E670))</f>
        <v>1</v>
      </c>
      <c r="M670" s="205">
        <f ca="1">IF($S$1&lt;DATE(2025,8,1)," ",COUNTIFS('2025数据'!$L$3:$L$181,"&gt;="&amp;DATE(2025,8,1),'2025数据'!$L$3:$L$181,"&lt;="&amp;DATE(2025,8,31),'2025数据'!$AE$3:$AE$181,$E670))</f>
        <v>3</v>
      </c>
      <c r="N670" s="205">
        <f ca="1">IF($S$1&lt;DATE(2025,9,1)," ",COUNTIFS('2025数据'!$L$3:$L$181,"&gt;="&amp;DATE(2025,9,1),'2025数据'!$L$3:$L$181,"&lt;="&amp;DATE(2025,9,30),'2025数据'!$AE$3:$AE$181,$E670))</f>
        <v>1</v>
      </c>
      <c r="O670" s="205">
        <f ca="1">IF($S$1&lt;DATE(2025,10,1)," ",COUNTIFS('2025数据'!$L$3:$L$181,"&gt;="&amp;DATE(2025,10,1),'2025数据'!$L$3:$L$181,"&lt;="&amp;DATE(2025,10,31),'2025数据'!$AE$3:$AE$181,$E670))</f>
        <v>1</v>
      </c>
      <c r="P670" s="207">
        <f ca="1">IF($S$1&lt;DATE(2025,11,1)," ",COUNTIFS('2025数据'!$L$3:$L$181,"&gt;="&amp;DATE(2025,11,1),'2025数据'!$L$3:$L$181,"&lt;="&amp;DATE(2025,11,30),'2025数据'!$AE$3:$AE$181,$E670))</f>
        <v>2</v>
      </c>
      <c r="Q670" s="207">
        <f ca="1">IF($S$1&lt;DATE(2025,12,1)," ",COUNTIFS('2025数据'!$L$3:$L$181,"&gt;="&amp;DATE(2025,12,1),'2025数据'!$L$3:$L$181,"&lt;="&amp;DATE(2025,12,31),'2025数据'!$AE$3:$AE$181,$E670))</f>
        <v>1</v>
      </c>
    </row>
    <row r="671" ht="24" customHeight="1" spans="1:17">
      <c r="A671" s="99" t="s">
        <v>346</v>
      </c>
      <c r="B671" s="99" t="s">
        <v>299</v>
      </c>
      <c r="C671" s="99" t="s">
        <v>291</v>
      </c>
      <c r="D671" s="48" t="s">
        <v>31</v>
      </c>
      <c r="E671" s="48" t="s">
        <v>82</v>
      </c>
      <c r="F671" s="205">
        <f ca="1">IF($S$1&lt;DATE(2025,1,1)," ",COUNTIFS('2025数据'!$L$3:$L$181,"&gt;="&amp;DATE(2024,1,1),'2025数据'!$L$3:$L$181,"&lt;="&amp;DATE(2025,1,31),'2025数据'!$AE$3:$AE$181,$E671))</f>
        <v>3</v>
      </c>
      <c r="G671" s="205">
        <f ca="1">IF($S$1&lt;DATE(2025,2,1)," ",COUNTIFS('2025数据'!$L$3:$L$181,"&gt;="&amp;DATE(2025,2,1),'2025数据'!$L$3:$L$181,"&lt;="&amp;DATE(2025,2,28),'2025数据'!$AE$3:$AE$181,$E671))</f>
        <v>0</v>
      </c>
      <c r="H671" s="205">
        <f ca="1">IF($S$1&lt;DATE(2025,3,1)," ",COUNTIFS('2025数据'!$L$3:$L$181,"&gt;="&amp;DATE(2025,3,1),'2025数据'!$L$3:$L$181,"&lt;="&amp;DATE(2025,3,31),'2025数据'!$AE$3:$AE$181,$E671))</f>
        <v>0</v>
      </c>
      <c r="I671" s="205">
        <f ca="1">IF($S$1&lt;DATE(2025,4,1)," ",COUNTIFS('2025数据'!$L$3:$L$181,"&gt;="&amp;DATE(2025,4,1),'2025数据'!$L$3:$L$181,"&lt;="&amp;DATE(2025,4,30),'2025数据'!$AE$3:$AE$181,$E671))</f>
        <v>0</v>
      </c>
      <c r="J671" s="205">
        <f ca="1">IF($S$1&lt;DATE(2025,5,1)," ",COUNTIFS('2025数据'!$L$3:$L$181,"&gt;="&amp;DATE(2025,5,1),'2025数据'!$L$3:$L$181,"&lt;="&amp;DATE(2025,5,31),'2025数据'!$AE$3:$AE$181,$E671))</f>
        <v>2</v>
      </c>
      <c r="K671" s="205">
        <f ca="1">IF($S$1&lt;DATE(2025,6,1)," ",COUNTIFS('2025数据'!$L$3:$L$181,"&gt;="&amp;DATE(2025,6,1),'2025数据'!$L$3:$L$181,"&lt;="&amp;DATE(2025,6,30),'2025数据'!$AE$3:$AE$181,$E671))</f>
        <v>1</v>
      </c>
      <c r="L671" s="205">
        <f ca="1">IF($S$1&lt;DATE(2025,7,1)," ",COUNTIFS('2025数据'!$L$3:$L$181,"&gt;="&amp;DATE(2025,7,1),'2025数据'!$L$3:$L$181,"&lt;="&amp;DATE(2025,7,31),'2025数据'!$AE$3:$AE$181,$E671))</f>
        <v>2</v>
      </c>
      <c r="M671" s="205">
        <f ca="1">IF($S$1&lt;DATE(2025,8,1)," ",COUNTIFS('2025数据'!$L$3:$L$181,"&gt;="&amp;DATE(2025,8,1),'2025数据'!$L$3:$L$181,"&lt;="&amp;DATE(2025,8,31),'2025数据'!$AE$3:$AE$181,$E671))</f>
        <v>2</v>
      </c>
      <c r="N671" s="205">
        <f ca="1">IF($S$1&lt;DATE(2025,9,1)," ",COUNTIFS('2025数据'!$L$3:$L$181,"&gt;="&amp;DATE(2025,9,1),'2025数据'!$L$3:$L$181,"&lt;="&amp;DATE(2025,9,30),'2025数据'!$AE$3:$AE$181,$E671))</f>
        <v>0</v>
      </c>
      <c r="O671" s="205">
        <f ca="1">IF($S$1&lt;DATE(2025,10,1)," ",COUNTIFS('2025数据'!$L$3:$L$181,"&gt;="&amp;DATE(2025,10,1),'2025数据'!$L$3:$L$181,"&lt;="&amp;DATE(2025,10,31),'2025数据'!$AE$3:$AE$181,$E671))</f>
        <v>1</v>
      </c>
      <c r="P671" s="207">
        <f ca="1">IF($S$1&lt;DATE(2025,11,1)," ",COUNTIFS('2025数据'!$L$3:$L$181,"&gt;="&amp;DATE(2025,11,1),'2025数据'!$L$3:$L$181,"&lt;="&amp;DATE(2025,11,30),'2025数据'!$AE$3:$AE$181,$E671))</f>
        <v>0</v>
      </c>
      <c r="Q671" s="207">
        <f ca="1">IF($S$1&lt;DATE(2025,12,1)," ",COUNTIFS('2025数据'!$L$3:$L$181,"&gt;="&amp;DATE(2025,12,1),'2025数据'!$L$3:$L$181,"&lt;="&amp;DATE(2025,12,31),'2025数据'!$AE$3:$AE$181,$E671))</f>
        <v>0</v>
      </c>
    </row>
    <row r="672" ht="24" customHeight="1" spans="1:17">
      <c r="A672" s="99" t="s">
        <v>346</v>
      </c>
      <c r="B672" s="99" t="s">
        <v>299</v>
      </c>
      <c r="C672" s="99" t="s">
        <v>291</v>
      </c>
      <c r="D672" s="48" t="s">
        <v>31</v>
      </c>
      <c r="E672" s="48" t="s">
        <v>86</v>
      </c>
      <c r="F672" s="205">
        <f ca="1">IF($S$1&lt;DATE(2025,1,1)," ",COUNTIFS('2025数据'!$L$3:$L$181,"&gt;="&amp;DATE(2024,1,1),'2025数据'!$L$3:$L$181,"&lt;="&amp;DATE(2025,1,31),'2025数据'!$AE$3:$AE$181,$E672))</f>
        <v>1</v>
      </c>
      <c r="G672" s="205">
        <f ca="1">IF($S$1&lt;DATE(2025,2,1)," ",COUNTIFS('2025数据'!$L$3:$L$181,"&gt;="&amp;DATE(2025,2,1),'2025数据'!$L$3:$L$181,"&lt;="&amp;DATE(2025,2,28),'2025数据'!$AE$3:$AE$181,$E672))</f>
        <v>0</v>
      </c>
      <c r="H672" s="205">
        <f ca="1">IF($S$1&lt;DATE(2025,3,1)," ",COUNTIFS('2025数据'!$L$3:$L$181,"&gt;="&amp;DATE(2025,3,1),'2025数据'!$L$3:$L$181,"&lt;="&amp;DATE(2025,3,31),'2025数据'!$AE$3:$AE$181,$E672))</f>
        <v>1</v>
      </c>
      <c r="I672" s="205">
        <f ca="1">IF($S$1&lt;DATE(2025,4,1)," ",COUNTIFS('2025数据'!$L$3:$L$181,"&gt;="&amp;DATE(2025,4,1),'2025数据'!$L$3:$L$181,"&lt;="&amp;DATE(2025,4,30),'2025数据'!$AE$3:$AE$181,$E672))</f>
        <v>0</v>
      </c>
      <c r="J672" s="205">
        <f ca="1">IF($S$1&lt;DATE(2025,5,1)," ",COUNTIFS('2025数据'!$L$3:$L$181,"&gt;="&amp;DATE(2025,5,1),'2025数据'!$L$3:$L$181,"&lt;="&amp;DATE(2025,5,31),'2025数据'!$AE$3:$AE$181,$E672))</f>
        <v>0</v>
      </c>
      <c r="K672" s="205">
        <f ca="1">IF($S$1&lt;DATE(2025,6,1)," ",COUNTIFS('2025数据'!$L$3:$L$181,"&gt;="&amp;DATE(2025,6,1),'2025数据'!$L$3:$L$181,"&lt;="&amp;DATE(2025,6,30),'2025数据'!$AE$3:$AE$181,$E672))</f>
        <v>0</v>
      </c>
      <c r="L672" s="205">
        <f ca="1">IF($S$1&lt;DATE(2025,7,1)," ",COUNTIFS('2025数据'!$L$3:$L$181,"&gt;="&amp;DATE(2025,7,1),'2025数据'!$L$3:$L$181,"&lt;="&amp;DATE(2025,7,31),'2025数据'!$AE$3:$AE$181,$E672))</f>
        <v>0</v>
      </c>
      <c r="M672" s="205">
        <f ca="1">IF($S$1&lt;DATE(2025,8,1)," ",COUNTIFS('2025数据'!$L$3:$L$181,"&gt;="&amp;DATE(2025,8,1),'2025数据'!$L$3:$L$181,"&lt;="&amp;DATE(2025,8,31),'2025数据'!$AE$3:$AE$181,$E672))</f>
        <v>1</v>
      </c>
      <c r="N672" s="205">
        <f ca="1">IF($S$1&lt;DATE(2025,9,1)," ",COUNTIFS('2025数据'!$L$3:$L$181,"&gt;="&amp;DATE(2025,9,1),'2025数据'!$L$3:$L$181,"&lt;="&amp;DATE(2025,9,30),'2025数据'!$AE$3:$AE$181,$E672))</f>
        <v>2</v>
      </c>
      <c r="O672" s="205">
        <f ca="1">IF($S$1&lt;DATE(2025,10,1)," ",COUNTIFS('2025数据'!$L$3:$L$181,"&gt;="&amp;DATE(2025,10,1),'2025数据'!$L$3:$L$181,"&lt;="&amp;DATE(2025,10,31),'2025数据'!$AE$3:$AE$181,$E672))</f>
        <v>2</v>
      </c>
      <c r="P672" s="207">
        <f ca="1">IF($S$1&lt;DATE(2025,11,1)," ",COUNTIFS('2025数据'!$L$3:$L$181,"&gt;="&amp;DATE(2025,11,1),'2025数据'!$L$3:$L$181,"&lt;="&amp;DATE(2025,11,30),'2025数据'!$AE$3:$AE$181,$E672))</f>
        <v>0</v>
      </c>
      <c r="Q672" s="207">
        <f ca="1">IF($S$1&lt;DATE(2025,12,1)," ",COUNTIFS('2025数据'!$L$3:$L$181,"&gt;="&amp;DATE(2025,12,1),'2025数据'!$L$3:$L$181,"&lt;="&amp;DATE(2025,12,31),'2025数据'!$AE$3:$AE$181,$E672))</f>
        <v>2</v>
      </c>
    </row>
    <row r="673" ht="24" customHeight="1" spans="1:17">
      <c r="A673" s="99" t="s">
        <v>346</v>
      </c>
      <c r="B673" s="99" t="s">
        <v>299</v>
      </c>
      <c r="C673" s="99" t="s">
        <v>291</v>
      </c>
      <c r="D673" s="48" t="s">
        <v>31</v>
      </c>
      <c r="E673" s="48" t="s">
        <v>97</v>
      </c>
      <c r="F673" s="205">
        <f ca="1">IF($S$1&lt;DATE(2025,1,1)," ",COUNTIFS('2025数据'!$L$3:$L$181,"&gt;="&amp;DATE(2024,1,1),'2025数据'!$L$3:$L$181,"&lt;="&amp;DATE(2025,1,31),'2025数据'!$AE$3:$AE$181,$E673))</f>
        <v>0</v>
      </c>
      <c r="G673" s="205">
        <f ca="1">IF($S$1&lt;DATE(2025,2,1)," ",COUNTIFS('2025数据'!$L$3:$L$181,"&gt;="&amp;DATE(2025,2,1),'2025数据'!$L$3:$L$181,"&lt;="&amp;DATE(2025,2,28),'2025数据'!$AE$3:$AE$181,$E673))</f>
        <v>0</v>
      </c>
      <c r="H673" s="205">
        <f ca="1">IF($S$1&lt;DATE(2025,3,1)," ",COUNTIFS('2025数据'!$L$3:$L$181,"&gt;="&amp;DATE(2025,3,1),'2025数据'!$L$3:$L$181,"&lt;="&amp;DATE(2025,3,31),'2025数据'!$AE$3:$AE$181,$E673))</f>
        <v>0</v>
      </c>
      <c r="I673" s="205">
        <f ca="1">IF($S$1&lt;DATE(2025,4,1)," ",COUNTIFS('2025数据'!$L$3:$L$181,"&gt;="&amp;DATE(2025,4,1),'2025数据'!$L$3:$L$181,"&lt;="&amp;DATE(2025,4,30),'2025数据'!$AE$3:$AE$181,$E673))</f>
        <v>2</v>
      </c>
      <c r="J673" s="205">
        <f ca="1">IF($S$1&lt;DATE(2025,5,1)," ",COUNTIFS('2025数据'!$L$3:$L$181,"&gt;="&amp;DATE(2025,5,1),'2025数据'!$L$3:$L$181,"&lt;="&amp;DATE(2025,5,31),'2025数据'!$AE$3:$AE$181,$E673))</f>
        <v>0</v>
      </c>
      <c r="K673" s="205">
        <f ca="1">IF($S$1&lt;DATE(2025,6,1)," ",COUNTIFS('2025数据'!$L$3:$L$181,"&gt;="&amp;DATE(2025,6,1),'2025数据'!$L$3:$L$181,"&lt;="&amp;DATE(2025,6,30),'2025数据'!$AE$3:$AE$181,$E673))</f>
        <v>2</v>
      </c>
      <c r="L673" s="205">
        <f ca="1">IF($S$1&lt;DATE(2025,7,1)," ",COUNTIFS('2025数据'!$L$3:$L$181,"&gt;="&amp;DATE(2025,7,1),'2025数据'!$L$3:$L$181,"&lt;="&amp;DATE(2025,7,31),'2025数据'!$AE$3:$AE$181,$E673))</f>
        <v>1</v>
      </c>
      <c r="M673" s="205">
        <f ca="1">IF($S$1&lt;DATE(2025,8,1)," ",COUNTIFS('2025数据'!$L$3:$L$181,"&gt;="&amp;DATE(2025,8,1),'2025数据'!$L$3:$L$181,"&lt;="&amp;DATE(2025,8,31),'2025数据'!$AE$3:$AE$181,$E673))</f>
        <v>0</v>
      </c>
      <c r="N673" s="205">
        <f ca="1">IF($S$1&lt;DATE(2025,9,1)," ",COUNTIFS('2025数据'!$L$3:$L$181,"&gt;="&amp;DATE(2025,9,1),'2025数据'!$L$3:$L$181,"&lt;="&amp;DATE(2025,9,30),'2025数据'!$AE$3:$AE$181,$E673))</f>
        <v>0</v>
      </c>
      <c r="O673" s="205">
        <f ca="1">IF($S$1&lt;DATE(2025,10,1)," ",COUNTIFS('2025数据'!$L$3:$L$181,"&gt;="&amp;DATE(2025,10,1),'2025数据'!$L$3:$L$181,"&lt;="&amp;DATE(2025,10,31),'2025数据'!$AE$3:$AE$181,$E673))</f>
        <v>0</v>
      </c>
      <c r="P673" s="207">
        <f ca="1">IF($S$1&lt;DATE(2025,11,1)," ",COUNTIFS('2025数据'!$L$3:$L$181,"&gt;="&amp;DATE(2025,11,1),'2025数据'!$L$3:$L$181,"&lt;="&amp;DATE(2025,11,30),'2025数据'!$AE$3:$AE$181,$E673))</f>
        <v>0</v>
      </c>
      <c r="Q673" s="207">
        <f ca="1">IF($S$1&lt;DATE(2025,12,1)," ",COUNTIFS('2025数据'!$L$3:$L$181,"&gt;="&amp;DATE(2025,12,1),'2025数据'!$L$3:$L$181,"&lt;="&amp;DATE(2025,12,31),'2025数据'!$AE$3:$AE$181,$E673))</f>
        <v>1</v>
      </c>
    </row>
    <row r="674" ht="24" customHeight="1" spans="1:17">
      <c r="A674" s="99" t="s">
        <v>346</v>
      </c>
      <c r="B674" s="99" t="s">
        <v>299</v>
      </c>
      <c r="C674" s="99" t="s">
        <v>291</v>
      </c>
      <c r="D674" s="48" t="s">
        <v>31</v>
      </c>
      <c r="E674" s="48" t="s">
        <v>87</v>
      </c>
      <c r="F674" s="205">
        <f ca="1">IF($S$1&lt;DATE(2025,1,1)," ",COUNTIFS('2025数据'!$L$3:$L$181,"&gt;="&amp;DATE(2024,1,1),'2025数据'!$L$3:$L$181,"&lt;="&amp;DATE(2025,1,31),'2025数据'!$AE$3:$AE$181,$E674))</f>
        <v>1</v>
      </c>
      <c r="G674" s="205">
        <f ca="1">IF($S$1&lt;DATE(2025,2,1)," ",COUNTIFS('2025数据'!$L$3:$L$181,"&gt;="&amp;DATE(2025,2,1),'2025数据'!$L$3:$L$181,"&lt;="&amp;DATE(2025,2,28),'2025数据'!$AE$3:$AE$181,$E674))</f>
        <v>0</v>
      </c>
      <c r="H674" s="205">
        <f ca="1">IF($S$1&lt;DATE(2025,3,1)," ",COUNTIFS('2025数据'!$L$3:$L$181,"&gt;="&amp;DATE(2025,3,1),'2025数据'!$L$3:$L$181,"&lt;="&amp;DATE(2025,3,31),'2025数据'!$AE$3:$AE$181,$E674))</f>
        <v>0</v>
      </c>
      <c r="I674" s="205">
        <f ca="1">IF($S$1&lt;DATE(2025,4,1)," ",COUNTIFS('2025数据'!$L$3:$L$181,"&gt;="&amp;DATE(2025,4,1),'2025数据'!$L$3:$L$181,"&lt;="&amp;DATE(2025,4,30),'2025数据'!$AE$3:$AE$181,$E674))</f>
        <v>1</v>
      </c>
      <c r="J674" s="205">
        <f ca="1">IF($S$1&lt;DATE(2025,5,1)," ",COUNTIFS('2025数据'!$L$3:$L$181,"&gt;="&amp;DATE(2025,5,1),'2025数据'!$L$3:$L$181,"&lt;="&amp;DATE(2025,5,31),'2025数据'!$AE$3:$AE$181,$E674))</f>
        <v>0</v>
      </c>
      <c r="K674" s="205">
        <f ca="1">IF($S$1&lt;DATE(2025,6,1)," ",COUNTIFS('2025数据'!$L$3:$L$181,"&gt;="&amp;DATE(2025,6,1),'2025数据'!$L$3:$L$181,"&lt;="&amp;DATE(2025,6,30),'2025数据'!$AE$3:$AE$181,$E674))</f>
        <v>0</v>
      </c>
      <c r="L674" s="205">
        <f ca="1">IF($S$1&lt;DATE(2025,7,1)," ",COUNTIFS('2025数据'!$L$3:$L$181,"&gt;="&amp;DATE(2025,7,1),'2025数据'!$L$3:$L$181,"&lt;="&amp;DATE(2025,7,31),'2025数据'!$AE$3:$AE$181,$E674))</f>
        <v>0</v>
      </c>
      <c r="M674" s="205">
        <f ca="1">IF($S$1&lt;DATE(2025,8,1)," ",COUNTIFS('2025数据'!$L$3:$L$181,"&gt;="&amp;DATE(2025,8,1),'2025数据'!$L$3:$L$181,"&lt;="&amp;DATE(2025,8,31),'2025数据'!$AE$3:$AE$181,$E674))</f>
        <v>0</v>
      </c>
      <c r="N674" s="205">
        <f ca="1">IF($S$1&lt;DATE(2025,9,1)," ",COUNTIFS('2025数据'!$L$3:$L$181,"&gt;="&amp;DATE(2025,9,1),'2025数据'!$L$3:$L$181,"&lt;="&amp;DATE(2025,9,30),'2025数据'!$AE$3:$AE$181,$E674))</f>
        <v>1</v>
      </c>
      <c r="O674" s="205">
        <f ca="1">IF($S$1&lt;DATE(2025,10,1)," ",COUNTIFS('2025数据'!$L$3:$L$181,"&gt;="&amp;DATE(2025,10,1),'2025数据'!$L$3:$L$181,"&lt;="&amp;DATE(2025,10,31),'2025数据'!$AE$3:$AE$181,$E674))</f>
        <v>0</v>
      </c>
      <c r="P674" s="207">
        <f ca="1">IF($S$1&lt;DATE(2025,11,1)," ",COUNTIFS('2025数据'!$L$3:$L$181,"&gt;="&amp;DATE(2025,11,1),'2025数据'!$L$3:$L$181,"&lt;="&amp;DATE(2025,11,30),'2025数据'!$AE$3:$AE$181,$E674))</f>
        <v>0</v>
      </c>
      <c r="Q674" s="207">
        <f ca="1">IF($S$1&lt;DATE(2025,12,1)," ",COUNTIFS('2025数据'!$L$3:$L$181,"&gt;="&amp;DATE(2025,12,1),'2025数据'!$L$3:$L$181,"&lt;="&amp;DATE(2025,12,31),'2025数据'!$AE$3:$AE$181,$E674))</f>
        <v>1</v>
      </c>
    </row>
    <row r="675" ht="24" customHeight="1" spans="1:17">
      <c r="A675" s="99" t="s">
        <v>346</v>
      </c>
      <c r="B675" s="99" t="s">
        <v>299</v>
      </c>
      <c r="C675" s="99" t="s">
        <v>291</v>
      </c>
      <c r="D675" s="48" t="s">
        <v>31</v>
      </c>
      <c r="E675" s="48" t="s">
        <v>149</v>
      </c>
      <c r="F675" s="205">
        <f ca="1">IF($S$1&lt;DATE(2025,1,1)," ",COUNTIFS('2025数据'!$L$3:$L$181,"&gt;="&amp;DATE(2024,1,1),'2025数据'!$L$3:$L$181,"&lt;="&amp;DATE(2025,1,31),'2025数据'!$AE$3:$AE$181,$E675))</f>
        <v>0</v>
      </c>
      <c r="G675" s="205">
        <f ca="1">IF($S$1&lt;DATE(2025,2,1)," ",COUNTIFS('2025数据'!$L$3:$L$181,"&gt;="&amp;DATE(2025,2,1),'2025数据'!$L$3:$L$181,"&lt;="&amp;DATE(2025,2,28),'2025数据'!$AE$3:$AE$181,$E675))</f>
        <v>0</v>
      </c>
      <c r="H675" s="205">
        <f ca="1">IF($S$1&lt;DATE(2025,3,1)," ",COUNTIFS('2025数据'!$L$3:$L$181,"&gt;="&amp;DATE(2025,3,1),'2025数据'!$L$3:$L$181,"&lt;="&amp;DATE(2025,3,31),'2025数据'!$AE$3:$AE$181,$E675))</f>
        <v>0</v>
      </c>
      <c r="I675" s="205">
        <f ca="1">IF($S$1&lt;DATE(2025,4,1)," ",COUNTIFS('2025数据'!$L$3:$L$181,"&gt;="&amp;DATE(2025,4,1),'2025数据'!$L$3:$L$181,"&lt;="&amp;DATE(2025,4,30),'2025数据'!$AE$3:$AE$181,$E675))</f>
        <v>0</v>
      </c>
      <c r="J675" s="205">
        <f ca="1">IF($S$1&lt;DATE(2025,5,1)," ",COUNTIFS('2025数据'!$L$3:$L$181,"&gt;="&amp;DATE(2025,5,1),'2025数据'!$L$3:$L$181,"&lt;="&amp;DATE(2025,5,31),'2025数据'!$AE$3:$AE$181,$E675))</f>
        <v>0</v>
      </c>
      <c r="K675" s="205">
        <f ca="1">IF($S$1&lt;DATE(2025,6,1)," ",COUNTIFS('2025数据'!$L$3:$L$181,"&gt;="&amp;DATE(2025,6,1),'2025数据'!$L$3:$L$181,"&lt;="&amp;DATE(2025,6,30),'2025数据'!$AE$3:$AE$181,$E675))</f>
        <v>0</v>
      </c>
      <c r="L675" s="205">
        <f ca="1">IF($S$1&lt;DATE(2025,7,1)," ",COUNTIFS('2025数据'!$L$3:$L$181,"&gt;="&amp;DATE(2025,7,1),'2025数据'!$L$3:$L$181,"&lt;="&amp;DATE(2025,7,31),'2025数据'!$AE$3:$AE$181,$E675))</f>
        <v>0</v>
      </c>
      <c r="M675" s="205">
        <f ca="1">IF($S$1&lt;DATE(2025,8,1)," ",COUNTIFS('2025数据'!$L$3:$L$181,"&gt;="&amp;DATE(2025,8,1),'2025数据'!$L$3:$L$181,"&lt;="&amp;DATE(2025,8,31),'2025数据'!$AE$3:$AE$181,$E675))</f>
        <v>0</v>
      </c>
      <c r="N675" s="205">
        <f ca="1">IF($S$1&lt;DATE(2025,9,1)," ",COUNTIFS('2025数据'!$L$3:$L$181,"&gt;="&amp;DATE(2025,9,1),'2025数据'!$L$3:$L$181,"&lt;="&amp;DATE(2025,9,30),'2025数据'!$AE$3:$AE$181,$E675))</f>
        <v>0</v>
      </c>
      <c r="O675" s="205">
        <f ca="1">IF($S$1&lt;DATE(2025,10,1)," ",COUNTIFS('2025数据'!$L$3:$L$181,"&gt;="&amp;DATE(2025,10,1),'2025数据'!$L$3:$L$181,"&lt;="&amp;DATE(2025,10,31),'2025数据'!$AE$3:$AE$181,$E675))</f>
        <v>0</v>
      </c>
      <c r="P675" s="207">
        <f ca="1">IF($S$1&lt;DATE(2025,11,1)," ",COUNTIFS('2025数据'!$L$3:$L$181,"&gt;="&amp;DATE(2025,11,1),'2025数据'!$L$3:$L$181,"&lt;="&amp;DATE(2025,11,30),'2025数据'!$AE$3:$AE$181,$E675))</f>
        <v>0</v>
      </c>
      <c r="Q675" s="207">
        <f ca="1">IF($S$1&lt;DATE(2025,12,1)," ",COUNTIFS('2025数据'!$L$3:$L$181,"&gt;="&amp;DATE(2025,12,1),'2025数据'!$L$3:$L$181,"&lt;="&amp;DATE(2025,12,31),'2025数据'!$AE$3:$AE$181,$E675))</f>
        <v>0</v>
      </c>
    </row>
    <row r="676" ht="24" customHeight="1" spans="1:17">
      <c r="A676" s="99" t="s">
        <v>346</v>
      </c>
      <c r="B676" s="99" t="s">
        <v>299</v>
      </c>
      <c r="C676" s="99" t="s">
        <v>291</v>
      </c>
      <c r="D676" s="48" t="s">
        <v>31</v>
      </c>
      <c r="E676" s="48" t="s">
        <v>83</v>
      </c>
      <c r="F676" s="205">
        <f ca="1">IF($S$1&lt;DATE(2025,1,1)," ",COUNTIFS('2025数据'!$L$3:$L$181,"&gt;="&amp;DATE(2024,1,1),'2025数据'!$L$3:$L$181,"&lt;="&amp;DATE(2025,1,31),'2025数据'!$AE$3:$AE$181,$E676))</f>
        <v>0</v>
      </c>
      <c r="G676" s="205">
        <f ca="1">IF($S$1&lt;DATE(2025,2,1)," ",COUNTIFS('2025数据'!$L$3:$L$181,"&gt;="&amp;DATE(2025,2,1),'2025数据'!$L$3:$L$181,"&lt;="&amp;DATE(2025,2,28),'2025数据'!$AE$3:$AE$181,$E676))</f>
        <v>0</v>
      </c>
      <c r="H676" s="205">
        <f ca="1">IF($S$1&lt;DATE(2025,3,1)," ",COUNTIFS('2025数据'!$L$3:$L$181,"&gt;="&amp;DATE(2025,3,1),'2025数据'!$L$3:$L$181,"&lt;="&amp;DATE(2025,3,31),'2025数据'!$AE$3:$AE$181,$E676))</f>
        <v>0</v>
      </c>
      <c r="I676" s="205">
        <f ca="1">IF($S$1&lt;DATE(2025,4,1)," ",COUNTIFS('2025数据'!$L$3:$L$181,"&gt;="&amp;DATE(2025,4,1),'2025数据'!$L$3:$L$181,"&lt;="&amp;DATE(2025,4,30),'2025数据'!$AE$3:$AE$181,$E676))</f>
        <v>1</v>
      </c>
      <c r="J676" s="205">
        <f ca="1">IF($S$1&lt;DATE(2025,5,1)," ",COUNTIFS('2025数据'!$L$3:$L$181,"&gt;="&amp;DATE(2025,5,1),'2025数据'!$L$3:$L$181,"&lt;="&amp;DATE(2025,5,31),'2025数据'!$AE$3:$AE$181,$E676))</f>
        <v>1</v>
      </c>
      <c r="K676" s="205">
        <f ca="1">IF($S$1&lt;DATE(2025,6,1)," ",COUNTIFS('2025数据'!$L$3:$L$181,"&gt;="&amp;DATE(2025,6,1),'2025数据'!$L$3:$L$181,"&lt;="&amp;DATE(2025,6,30),'2025数据'!$AE$3:$AE$181,$E676))</f>
        <v>0</v>
      </c>
      <c r="L676" s="205">
        <f ca="1">IF($S$1&lt;DATE(2025,7,1)," ",COUNTIFS('2025数据'!$L$3:$L$181,"&gt;="&amp;DATE(2025,7,1),'2025数据'!$L$3:$L$181,"&lt;="&amp;DATE(2025,7,31),'2025数据'!$AE$3:$AE$181,$E676))</f>
        <v>0</v>
      </c>
      <c r="M676" s="205">
        <f ca="1">IF($S$1&lt;DATE(2025,8,1)," ",COUNTIFS('2025数据'!$L$3:$L$181,"&gt;="&amp;DATE(2025,8,1),'2025数据'!$L$3:$L$181,"&lt;="&amp;DATE(2025,8,31),'2025数据'!$AE$3:$AE$181,$E676))</f>
        <v>0</v>
      </c>
      <c r="N676" s="205">
        <f ca="1">IF($S$1&lt;DATE(2025,9,1)," ",COUNTIFS('2025数据'!$L$3:$L$181,"&gt;="&amp;DATE(2025,9,1),'2025数据'!$L$3:$L$181,"&lt;="&amp;DATE(2025,9,30),'2025数据'!$AE$3:$AE$181,$E676))</f>
        <v>0</v>
      </c>
      <c r="O676" s="205">
        <f ca="1">IF($S$1&lt;DATE(2025,10,1)," ",COUNTIFS('2025数据'!$L$3:$L$181,"&gt;="&amp;DATE(2025,10,1),'2025数据'!$L$3:$L$181,"&lt;="&amp;DATE(2025,10,31),'2025数据'!$AE$3:$AE$181,$E676))</f>
        <v>0</v>
      </c>
      <c r="P676" s="207">
        <f ca="1">IF($S$1&lt;DATE(2025,11,1)," ",COUNTIFS('2025数据'!$L$3:$L$181,"&gt;="&amp;DATE(2025,11,1),'2025数据'!$L$3:$L$181,"&lt;="&amp;DATE(2025,11,30),'2025数据'!$AE$3:$AE$181,$E676))</f>
        <v>0</v>
      </c>
      <c r="Q676" s="207">
        <f ca="1">IF($S$1&lt;DATE(2025,12,1)," ",COUNTIFS('2025数据'!$L$3:$L$181,"&gt;="&amp;DATE(2025,12,1),'2025数据'!$L$3:$L$181,"&lt;="&amp;DATE(2025,12,31),'2025数据'!$AE$3:$AE$181,$E676))</f>
        <v>0</v>
      </c>
    </row>
    <row r="677" ht="24" customHeight="1" spans="1:17">
      <c r="A677" s="99" t="s">
        <v>346</v>
      </c>
      <c r="B677" s="99" t="s">
        <v>299</v>
      </c>
      <c r="C677" s="99" t="s">
        <v>291</v>
      </c>
      <c r="D677" s="47" t="s">
        <v>294</v>
      </c>
      <c r="E677" s="47" t="s">
        <v>93</v>
      </c>
      <c r="F677" s="206">
        <f ca="1">IF($S$1&lt;DATE(2025,1,1)," ",COUNTIFS('2025数据'!$L$3:$L$181,"&gt;="&amp;DATE(2024,1,1),'2025数据'!$L$3:$L$181,"&lt;="&amp;DATE(2025,1,31),'2025数据'!$B$3:$B$181,$E677))</f>
        <v>3</v>
      </c>
      <c r="G677" s="206">
        <f ca="1">IF($S$1&lt;DATE(2025,2,1)," ",COUNTIFS('2025数据'!$L$3:$L$181,"&gt;="&amp;DATE(2025,2,1),'2025数据'!$L$3:$L$181,"&lt;="&amp;DATE(2025,2,28),'2025数据'!$B$3:$B$181,$E677))</f>
        <v>0</v>
      </c>
      <c r="H677" s="206">
        <f ca="1">IF($S$1&lt;DATE(2025,3,1)," ",COUNTIFS('2025数据'!$L$3:$L$181,"&gt;="&amp;DATE(2025,3,1),'2025数据'!$L$3:$L$181,"&lt;="&amp;DATE(2025,3,31),'2025数据'!$B$3:$B$181,$E677))</f>
        <v>0</v>
      </c>
      <c r="I677" s="206">
        <f ca="1">IF($S$1&lt;DATE(2025,4,1)," ",COUNTIFS('2025数据'!$L$3:$L$181,"&gt;="&amp;DATE(2025,4,1),'2025数据'!$L$3:$L$181,"&lt;="&amp;DATE(2025,4,30),'2025数据'!$B$3:$B$181,$E677))</f>
        <v>4</v>
      </c>
      <c r="J677" s="206">
        <f ca="1">IF($S$1&lt;DATE(2025,5,1)," ",COUNTIFS('2025数据'!$L$3:$L$181,"&gt;="&amp;DATE(2025,5,1),'2025数据'!$L$3:$L$181,"&lt;="&amp;DATE(2025,5,31),'2025数据'!$B$3:$B$181,$E677))</f>
        <v>1</v>
      </c>
      <c r="K677" s="206">
        <f ca="1">IF($S$1&lt;DATE(2025,6,1)," ",COUNTIFS('2025数据'!$L$3:$L$181,"&gt;="&amp;DATE(2025,6,1),'2025数据'!$L$3:$L$181,"&lt;="&amp;DATE(2025,6,30),'2025数据'!$B$3:$B$181,$E677))</f>
        <v>1</v>
      </c>
      <c r="L677" s="206">
        <f ca="1">IF($S$1&lt;DATE(2025,7,1)," ",COUNTIFS('2025数据'!$L$3:$L$181,"&gt;="&amp;DATE(2025,7,1),'2025数据'!$L$3:$L$181,"&lt;="&amp;DATE(2025,7,31),'2025数据'!$B$3:$B$181,$E677))</f>
        <v>3</v>
      </c>
      <c r="M677" s="206">
        <f ca="1">IF($S$1&lt;DATE(2025,8,1)," ",COUNTIFS('2025数据'!$L$3:$L$181,"&gt;="&amp;DATE(2025,8,1),'2025数据'!$L$3:$L$181,"&lt;="&amp;DATE(2025,8,31),'2025数据'!$B$3:$B$181,$E677))</f>
        <v>2</v>
      </c>
      <c r="N677" s="206">
        <f ca="1">IF($S$1&lt;DATE(2025,9,1)," ",COUNTIFS('2025数据'!$L$3:$L$181,"&gt;="&amp;DATE(2025,9,1),'2025数据'!$L$3:$L$181,"&lt;="&amp;DATE(2025,9,30),'2025数据'!$B$3:$B$181,$E677))</f>
        <v>2</v>
      </c>
      <c r="O677" s="206">
        <f ca="1">IF($S$1&lt;DATE(2025,10,1)," ",COUNTIFS('2025数据'!$L$3:$L$181,"&gt;="&amp;DATE(2025,10,1),'2025数据'!$L$3:$L$181,"&lt;="&amp;DATE(2025,10,31),'2025数据'!$B$3:$B$181,$E677))</f>
        <v>1</v>
      </c>
      <c r="P677" s="208">
        <f ca="1">IF($S$1&lt;DATE(2025,11,1)," ",COUNTIFS('2025数据'!$L$3:$L$181,"&gt;="&amp;DATE(2025,11,1),'2025数据'!$L$3:$L$181,"&lt;="&amp;DATE(2025,11,30),'2025数据'!$B$3:$B$181,$E677))</f>
        <v>1</v>
      </c>
      <c r="Q677" s="208">
        <f ca="1">IF($S$1&lt;DATE(2025,12,1)," ",COUNTIFS('2025数据'!$L$3:$L$181,"&gt;="&amp;DATE(2025,12,1),'2025数据'!$L$3:$L$181,"&lt;="&amp;DATE(2025,12,31),'2025数据'!$B$3:$B$181,$E677))</f>
        <v>1</v>
      </c>
    </row>
    <row r="678" ht="24" customHeight="1" spans="1:17">
      <c r="A678" s="99" t="s">
        <v>346</v>
      </c>
      <c r="B678" s="99" t="s">
        <v>299</v>
      </c>
      <c r="C678" s="99" t="s">
        <v>291</v>
      </c>
      <c r="D678" s="47" t="s">
        <v>294</v>
      </c>
      <c r="E678" s="47" t="s">
        <v>85</v>
      </c>
      <c r="F678" s="206">
        <f ca="1">IF($S$1&lt;DATE(2025,1,1)," ",COUNTIFS('2025数据'!$L$3:$L$181,"&gt;="&amp;DATE(2024,1,1),'2025数据'!$L$3:$L$181,"&lt;="&amp;DATE(2025,1,31),'2025数据'!$B$3:$B$181,$E678))</f>
        <v>3</v>
      </c>
      <c r="G678" s="206">
        <f ca="1">IF($S$1&lt;DATE(2025,2,1)," ",COUNTIFS('2025数据'!$L$3:$L$181,"&gt;="&amp;DATE(2025,2,1),'2025数据'!$L$3:$L$181,"&lt;="&amp;DATE(2025,2,28),'2025数据'!$B$3:$B$181,$E678))</f>
        <v>0</v>
      </c>
      <c r="H678" s="206">
        <f ca="1">IF($S$1&lt;DATE(2025,3,1)," ",COUNTIFS('2025数据'!$L$3:$L$181,"&gt;="&amp;DATE(2025,3,1),'2025数据'!$L$3:$L$181,"&lt;="&amp;DATE(2025,3,31),'2025数据'!$B$3:$B$181,$E678))</f>
        <v>0</v>
      </c>
      <c r="I678" s="206">
        <f ca="1">IF($S$1&lt;DATE(2025,4,1)," ",COUNTIFS('2025数据'!$L$3:$L$181,"&gt;="&amp;DATE(2025,4,1),'2025数据'!$L$3:$L$181,"&lt;="&amp;DATE(2025,4,30),'2025数据'!$B$3:$B$181,$E678))</f>
        <v>3</v>
      </c>
      <c r="J678" s="206">
        <f ca="1">IF($S$1&lt;DATE(2025,5,1)," ",COUNTIFS('2025数据'!$L$3:$L$181,"&gt;="&amp;DATE(2025,5,1),'2025数据'!$L$3:$L$181,"&lt;="&amp;DATE(2025,5,31),'2025数据'!$B$3:$B$181,$E678))</f>
        <v>1</v>
      </c>
      <c r="K678" s="206">
        <f ca="1">IF($S$1&lt;DATE(2025,6,1)," ",COUNTIFS('2025数据'!$L$3:$L$181,"&gt;="&amp;DATE(2025,6,1),'2025数据'!$L$3:$L$181,"&lt;="&amp;DATE(2025,6,30),'2025数据'!$B$3:$B$181,$E678))</f>
        <v>0</v>
      </c>
      <c r="L678" s="206">
        <f ca="1">IF($S$1&lt;DATE(2025,7,1)," ",COUNTIFS('2025数据'!$L$3:$L$181,"&gt;="&amp;DATE(2025,7,1),'2025数据'!$L$3:$L$181,"&lt;="&amp;DATE(2025,7,31),'2025数据'!$B$3:$B$181,$E678))</f>
        <v>0</v>
      </c>
      <c r="M678" s="206">
        <f ca="1">IF($S$1&lt;DATE(2025,8,1)," ",COUNTIFS('2025数据'!$L$3:$L$181,"&gt;="&amp;DATE(2025,8,1),'2025数据'!$L$3:$L$181,"&lt;="&amp;DATE(2025,8,31),'2025数据'!$B$3:$B$181,$E678))</f>
        <v>3</v>
      </c>
      <c r="N678" s="206">
        <f ca="1">IF($S$1&lt;DATE(2025,9,1)," ",COUNTIFS('2025数据'!$L$3:$L$181,"&gt;="&amp;DATE(2025,9,1),'2025数据'!$L$3:$L$181,"&lt;="&amp;DATE(2025,9,30),'2025数据'!$B$3:$B$181,$E678))</f>
        <v>1</v>
      </c>
      <c r="O678" s="206">
        <f ca="1">IF($S$1&lt;DATE(2025,10,1)," ",COUNTIFS('2025数据'!$L$3:$L$181,"&gt;="&amp;DATE(2025,10,1),'2025数据'!$L$3:$L$181,"&lt;="&amp;DATE(2025,10,31),'2025数据'!$B$3:$B$181,$E678))</f>
        <v>1</v>
      </c>
      <c r="P678" s="208">
        <f ca="1">IF($S$1&lt;DATE(2025,11,1)," ",COUNTIFS('2025数据'!$L$3:$L$181,"&gt;="&amp;DATE(2025,11,1),'2025数据'!$L$3:$L$181,"&lt;="&amp;DATE(2025,11,30),'2025数据'!$B$3:$B$181,$E678))</f>
        <v>1</v>
      </c>
      <c r="Q678" s="208">
        <f ca="1">IF($S$1&lt;DATE(2025,12,1)," ",COUNTIFS('2025数据'!$L$3:$L$181,"&gt;="&amp;DATE(2025,12,1),'2025数据'!$L$3:$L$181,"&lt;="&amp;DATE(2025,12,31),'2025数据'!$B$3:$B$181,$E678))</f>
        <v>3</v>
      </c>
    </row>
    <row r="679" ht="24" customHeight="1" spans="1:17">
      <c r="A679" s="99" t="s">
        <v>346</v>
      </c>
      <c r="B679" s="99" t="s">
        <v>299</v>
      </c>
      <c r="C679" s="99" t="s">
        <v>291</v>
      </c>
      <c r="D679" s="47" t="s">
        <v>294</v>
      </c>
      <c r="E679" s="47" t="s">
        <v>81</v>
      </c>
      <c r="F679" s="206">
        <f ca="1">IF($S$1&lt;DATE(2025,1,1)," ",COUNTIFS('2025数据'!$L$3:$L$181,"&gt;="&amp;DATE(2024,1,1),'2025数据'!$L$3:$L$181,"&lt;="&amp;DATE(2025,1,31),'2025数据'!$B$3:$B$181,$E679))</f>
        <v>0</v>
      </c>
      <c r="G679" s="206">
        <f ca="1">IF($S$1&lt;DATE(2025,2,1)," ",COUNTIFS('2025数据'!$L$3:$L$181,"&gt;="&amp;DATE(2025,2,1),'2025数据'!$L$3:$L$181,"&lt;="&amp;DATE(2025,2,28),'2025数据'!$B$3:$B$181,$E679))</f>
        <v>0</v>
      </c>
      <c r="H679" s="206">
        <f ca="1">IF($S$1&lt;DATE(2025,3,1)," ",COUNTIFS('2025数据'!$L$3:$L$181,"&gt;="&amp;DATE(2025,3,1),'2025数据'!$L$3:$L$181,"&lt;="&amp;DATE(2025,3,31),'2025数据'!$B$3:$B$181,$E679))</f>
        <v>1</v>
      </c>
      <c r="I679" s="206">
        <f ca="1">IF($S$1&lt;DATE(2025,4,1)," ",COUNTIFS('2025数据'!$L$3:$L$181,"&gt;="&amp;DATE(2025,4,1),'2025数据'!$L$3:$L$181,"&lt;="&amp;DATE(2025,4,30),'2025数据'!$B$3:$B$181,$E679))</f>
        <v>0</v>
      </c>
      <c r="J679" s="206">
        <f ca="1">IF($S$1&lt;DATE(2025,5,1)," ",COUNTIFS('2025数据'!$L$3:$L$181,"&gt;="&amp;DATE(2025,5,1),'2025数据'!$L$3:$L$181,"&lt;="&amp;DATE(2025,5,31),'2025数据'!$B$3:$B$181,$E679))</f>
        <v>0</v>
      </c>
      <c r="K679" s="206">
        <f ca="1">IF($S$1&lt;DATE(2025,6,1)," ",COUNTIFS('2025数据'!$L$3:$L$181,"&gt;="&amp;DATE(2025,6,1),'2025数据'!$L$3:$L$181,"&lt;="&amp;DATE(2025,6,30),'2025数据'!$B$3:$B$181,$E679))</f>
        <v>1</v>
      </c>
      <c r="L679" s="206">
        <f ca="1">IF($S$1&lt;DATE(2025,7,1)," ",COUNTIFS('2025数据'!$L$3:$L$181,"&gt;="&amp;DATE(2025,7,1),'2025数据'!$L$3:$L$181,"&lt;="&amp;DATE(2025,7,31),'2025数据'!$B$3:$B$181,$E679))</f>
        <v>1</v>
      </c>
      <c r="M679" s="206">
        <f ca="1">IF($S$1&lt;DATE(2025,8,1)," ",COUNTIFS('2025数据'!$L$3:$L$181,"&gt;="&amp;DATE(2025,8,1),'2025数据'!$L$3:$L$181,"&lt;="&amp;DATE(2025,8,31),'2025数据'!$B$3:$B$181,$E679))</f>
        <v>1</v>
      </c>
      <c r="N679" s="206">
        <f ca="1">IF($S$1&lt;DATE(2025,9,1)," ",COUNTIFS('2025数据'!$L$3:$L$181,"&gt;="&amp;DATE(2025,9,1),'2025数据'!$L$3:$L$181,"&lt;="&amp;DATE(2025,9,30),'2025数据'!$B$3:$B$181,$E679))</f>
        <v>1</v>
      </c>
      <c r="O679" s="206">
        <f ca="1">IF($S$1&lt;DATE(2025,10,1)," ",COUNTIFS('2025数据'!$L$3:$L$181,"&gt;="&amp;DATE(2025,10,1),'2025数据'!$L$3:$L$181,"&lt;="&amp;DATE(2025,10,31),'2025数据'!$B$3:$B$181,$E679))</f>
        <v>2</v>
      </c>
      <c r="P679" s="208">
        <f ca="1">IF($S$1&lt;DATE(2025,11,1)," ",COUNTIFS('2025数据'!$L$3:$L$181,"&gt;="&amp;DATE(2025,11,1),'2025数据'!$L$3:$L$181,"&lt;="&amp;DATE(2025,11,30),'2025数据'!$B$3:$B$181,$E679))</f>
        <v>0</v>
      </c>
      <c r="Q679" s="208">
        <f ca="1">IF($S$1&lt;DATE(2025,12,1)," ",COUNTIFS('2025数据'!$L$3:$L$181,"&gt;="&amp;DATE(2025,12,1),'2025数据'!$L$3:$L$181,"&lt;="&amp;DATE(2025,12,31),'2025数据'!$B$3:$B$181,$E679))</f>
        <v>1</v>
      </c>
    </row>
    <row r="680" ht="24" customHeight="1" spans="1:17">
      <c r="A680" s="99" t="s">
        <v>346</v>
      </c>
      <c r="B680" s="99" t="s">
        <v>299</v>
      </c>
      <c r="C680" s="99" t="s">
        <v>291</v>
      </c>
      <c r="D680" s="47" t="s">
        <v>294</v>
      </c>
      <c r="E680" s="47" t="s">
        <v>96</v>
      </c>
      <c r="F680" s="206">
        <f ca="1">IF($S$1&lt;DATE(2025,1,1)," ",COUNTIFS('2025数据'!$L$3:$L$181,"&gt;="&amp;DATE(2024,1,1),'2025数据'!$L$3:$L$181,"&lt;="&amp;DATE(2025,1,31),'2025数据'!$B$3:$B$181,$E680))</f>
        <v>0</v>
      </c>
      <c r="G680" s="206">
        <f ca="1">IF($S$1&lt;DATE(2025,2,1)," ",COUNTIFS('2025数据'!$L$3:$L$181,"&gt;="&amp;DATE(2025,2,1),'2025数据'!$L$3:$L$181,"&lt;="&amp;DATE(2025,2,28),'2025数据'!$B$3:$B$181,$E680))</f>
        <v>0</v>
      </c>
      <c r="H680" s="206">
        <f ca="1">IF($S$1&lt;DATE(2025,3,1)," ",COUNTIFS('2025数据'!$L$3:$L$181,"&gt;="&amp;DATE(2025,3,1),'2025数据'!$L$3:$L$181,"&lt;="&amp;DATE(2025,3,31),'2025数据'!$B$3:$B$181,$E680))</f>
        <v>0</v>
      </c>
      <c r="I680" s="206">
        <f ca="1">IF($S$1&lt;DATE(2025,4,1)," ",COUNTIFS('2025数据'!$L$3:$L$181,"&gt;="&amp;DATE(2025,4,1),'2025数据'!$L$3:$L$181,"&lt;="&amp;DATE(2025,4,30),'2025数据'!$B$3:$B$181,$E680))</f>
        <v>1</v>
      </c>
      <c r="J680" s="206">
        <f ca="1">IF($S$1&lt;DATE(2025,5,1)," ",COUNTIFS('2025数据'!$L$3:$L$181,"&gt;="&amp;DATE(2025,5,1),'2025数据'!$L$3:$L$181,"&lt;="&amp;DATE(2025,5,31),'2025数据'!$B$3:$B$181,$E680))</f>
        <v>0</v>
      </c>
      <c r="K680" s="206">
        <f ca="1">IF($S$1&lt;DATE(2025,6,1)," ",COUNTIFS('2025数据'!$L$3:$L$181,"&gt;="&amp;DATE(2025,6,1),'2025数据'!$L$3:$L$181,"&lt;="&amp;DATE(2025,6,30),'2025数据'!$B$3:$B$181,$E680))</f>
        <v>1</v>
      </c>
      <c r="L680" s="206">
        <f ca="1">IF($S$1&lt;DATE(2025,7,1)," ",COUNTIFS('2025数据'!$L$3:$L$181,"&gt;="&amp;DATE(2025,7,1),'2025数据'!$L$3:$L$181,"&lt;="&amp;DATE(2025,7,31),'2025数据'!$B$3:$B$181,$E680))</f>
        <v>0</v>
      </c>
      <c r="M680" s="206">
        <f ca="1">IF($S$1&lt;DATE(2025,8,1)," ",COUNTIFS('2025数据'!$L$3:$L$181,"&gt;="&amp;DATE(2025,8,1),'2025数据'!$L$3:$L$181,"&lt;="&amp;DATE(2025,8,31),'2025数据'!$B$3:$B$181,$E680))</f>
        <v>0</v>
      </c>
      <c r="N680" s="206">
        <f ca="1">IF($S$1&lt;DATE(2025,9,1)," ",COUNTIFS('2025数据'!$L$3:$L$181,"&gt;="&amp;DATE(2025,9,1),'2025数据'!$L$3:$L$181,"&lt;="&amp;DATE(2025,9,30),'2025数据'!$B$3:$B$181,$E680))</f>
        <v>0</v>
      </c>
      <c r="O680" s="206">
        <f ca="1">IF($S$1&lt;DATE(2025,10,1)," ",COUNTIFS('2025数据'!$L$3:$L$181,"&gt;="&amp;DATE(2025,10,1),'2025数据'!$L$3:$L$181,"&lt;="&amp;DATE(2025,10,31),'2025数据'!$B$3:$B$181,$E680))</f>
        <v>0</v>
      </c>
      <c r="P680" s="208">
        <f ca="1">IF($S$1&lt;DATE(2025,11,1)," ",COUNTIFS('2025数据'!$L$3:$L$181,"&gt;="&amp;DATE(2025,11,1),'2025数据'!$L$3:$L$181,"&lt;="&amp;DATE(2025,11,30),'2025数据'!$B$3:$B$181,$E680))</f>
        <v>0</v>
      </c>
      <c r="Q680" s="208">
        <f ca="1">IF($S$1&lt;DATE(2025,12,1)," ",COUNTIFS('2025数据'!$L$3:$L$181,"&gt;="&amp;DATE(2025,12,1),'2025数据'!$L$3:$L$181,"&lt;="&amp;DATE(2025,12,31),'2025数据'!$B$3:$B$181,$E680))</f>
        <v>0</v>
      </c>
    </row>
    <row r="681" ht="24" customHeight="1" spans="1:17">
      <c r="A681" s="99" t="s">
        <v>346</v>
      </c>
      <c r="B681" s="99" t="s">
        <v>299</v>
      </c>
      <c r="C681" s="99" t="s">
        <v>291</v>
      </c>
      <c r="D681" s="47" t="s">
        <v>294</v>
      </c>
      <c r="E681" s="47" t="s">
        <v>160</v>
      </c>
      <c r="F681" s="206">
        <f ca="1">IF($S$1&lt;DATE(2025,1,1)," ",COUNTIFS('2025数据'!$L$3:$L$181,"&gt;="&amp;DATE(2024,1,1),'2025数据'!$L$3:$L$181,"&lt;="&amp;DATE(2025,1,31),'2025数据'!$B$3:$B$181,$E681))</f>
        <v>0</v>
      </c>
      <c r="G681" s="206">
        <f ca="1">IF($S$1&lt;DATE(2025,2,1)," ",COUNTIFS('2025数据'!$L$3:$L$181,"&gt;="&amp;DATE(2025,2,1),'2025数据'!$L$3:$L$181,"&lt;="&amp;DATE(2025,2,28),'2025数据'!$B$3:$B$181,$E681))</f>
        <v>0</v>
      </c>
      <c r="H681" s="206">
        <f ca="1">IF($S$1&lt;DATE(2025,3,1)," ",COUNTIFS('2025数据'!$L$3:$L$181,"&gt;="&amp;DATE(2025,3,1),'2025数据'!$L$3:$L$181,"&lt;="&amp;DATE(2025,3,31),'2025数据'!$B$3:$B$181,$E681))</f>
        <v>0</v>
      </c>
      <c r="I681" s="206">
        <f ca="1">IF($S$1&lt;DATE(2025,4,1)," ",COUNTIFS('2025数据'!$L$3:$L$181,"&gt;="&amp;DATE(2025,4,1),'2025数据'!$L$3:$L$181,"&lt;="&amp;DATE(2025,4,30),'2025数据'!$B$3:$B$181,$E681))</f>
        <v>0</v>
      </c>
      <c r="J681" s="206">
        <f ca="1">IF($S$1&lt;DATE(2025,5,1)," ",COUNTIFS('2025数据'!$L$3:$L$181,"&gt;="&amp;DATE(2025,5,1),'2025数据'!$L$3:$L$181,"&lt;="&amp;DATE(2025,5,31),'2025数据'!$B$3:$B$181,$E681))</f>
        <v>1</v>
      </c>
      <c r="K681" s="206">
        <f ca="1">IF($S$1&lt;DATE(2025,6,1)," ",COUNTIFS('2025数据'!$L$3:$L$181,"&gt;="&amp;DATE(2025,6,1),'2025数据'!$L$3:$L$181,"&lt;="&amp;DATE(2025,6,30),'2025数据'!$B$3:$B$181,$E681))</f>
        <v>0</v>
      </c>
      <c r="L681" s="206">
        <f ca="1">IF($S$1&lt;DATE(2025,7,1)," ",COUNTIFS('2025数据'!$L$3:$L$181,"&gt;="&amp;DATE(2025,7,1),'2025数据'!$L$3:$L$181,"&lt;="&amp;DATE(2025,7,31),'2025数据'!$B$3:$B$181,$E681))</f>
        <v>0</v>
      </c>
      <c r="M681" s="206">
        <f ca="1">IF($S$1&lt;DATE(2025,8,1)," ",COUNTIFS('2025数据'!$L$3:$L$181,"&gt;="&amp;DATE(2025,8,1),'2025数据'!$L$3:$L$181,"&lt;="&amp;DATE(2025,8,31),'2025数据'!$B$3:$B$181,$E681))</f>
        <v>0</v>
      </c>
      <c r="N681" s="206">
        <f ca="1">IF($S$1&lt;DATE(2025,9,1)," ",COUNTIFS('2025数据'!$L$3:$L$181,"&gt;="&amp;DATE(2025,9,1),'2025数据'!$L$3:$L$181,"&lt;="&amp;DATE(2025,9,30),'2025数据'!$B$3:$B$181,$E681))</f>
        <v>0</v>
      </c>
      <c r="O681" s="206">
        <f ca="1">IF($S$1&lt;DATE(2025,10,1)," ",COUNTIFS('2025数据'!$L$3:$L$181,"&gt;="&amp;DATE(2025,10,1),'2025数据'!$L$3:$L$181,"&lt;="&amp;DATE(2025,10,31),'2025数据'!$B$3:$B$181,$E681))</f>
        <v>0</v>
      </c>
      <c r="P681" s="208">
        <f ca="1">IF($S$1&lt;DATE(2025,11,1)," ",COUNTIFS('2025数据'!$L$3:$L$181,"&gt;="&amp;DATE(2025,11,1),'2025数据'!$L$3:$L$181,"&lt;="&amp;DATE(2025,11,30),'2025数据'!$B$3:$B$181,$E681))</f>
        <v>0</v>
      </c>
      <c r="Q681" s="208">
        <f ca="1">IF($S$1&lt;DATE(2025,12,1)," ",COUNTIFS('2025数据'!$L$3:$L$181,"&gt;="&amp;DATE(2025,12,1),'2025数据'!$L$3:$L$181,"&lt;="&amp;DATE(2025,12,31),'2025数据'!$B$3:$B$181,$E681))</f>
        <v>0</v>
      </c>
    </row>
    <row r="682" ht="24" customHeight="1" spans="1:17">
      <c r="A682" s="99" t="s">
        <v>346</v>
      </c>
      <c r="B682" s="99" t="s">
        <v>299</v>
      </c>
      <c r="C682" s="99" t="s">
        <v>291</v>
      </c>
      <c r="D682" s="100" t="s">
        <v>292</v>
      </c>
      <c r="E682" s="110" t="s">
        <v>301</v>
      </c>
      <c r="F682" s="210">
        <f ca="1">IF($S$1&lt;DATE(2025,1,1)," ",COUNTIFS('2025数据'!$L$3:$L$181,"&gt;="&amp;DATE(2025,1,1),'2025数据'!$L$3:$L$181,"&lt;="&amp;DATE(2025,1,31),'2025数据'!$AY$3:$AY$181,$E682))</f>
        <v>4</v>
      </c>
      <c r="G682" s="210">
        <f ca="1">IF($S$1&lt;DATE(2025,2,1)," ",COUNTIFS('2025数据'!$L$3:$L$181,"&gt;="&amp;DATE(2025,2,1),'2025数据'!$L$3:$L$181,"&lt;="&amp;DATE(2025,2,28),'2025数据'!$AY$3:$AY$181,$E682))</f>
        <v>0</v>
      </c>
      <c r="H682" s="210">
        <f ca="1">IF($S$1&lt;DATE(2025,3,1)," ",COUNTIFS('2025数据'!$L$3:$L$181,"&gt;="&amp;DATE(2025,3,1),'2025数据'!$L$3:$L$181,"&lt;="&amp;DATE(2025,3,31),'2025数据'!$AY$3:$AY$181,$E682))</f>
        <v>0</v>
      </c>
      <c r="I682" s="210">
        <f ca="1">IF($S$1&lt;DATE(2025,4,1)," ",COUNTIFS('2025数据'!$L$3:$L$181,"&gt;="&amp;DATE(2025,4,1),'2025数据'!$L$3:$L$181,"&lt;="&amp;DATE(2025,4,30),'2025数据'!$AY$3:$AY$181,$E682))</f>
        <v>3</v>
      </c>
      <c r="J682" s="210">
        <f ca="1">IF($S$1&lt;DATE(2025,5,1)," ",COUNTIFS('2025数据'!$L$3:$L$181,"&gt;="&amp;DATE(2025,5,1),'2025数据'!$L$3:$L$181,"&lt;="&amp;DATE(2025,5,31),'2025数据'!$AY$3:$AY$181,$E682))</f>
        <v>3</v>
      </c>
      <c r="K682" s="210">
        <f ca="1">IF($S$1&lt;DATE(2025,6,1)," ",COUNTIFS('2025数据'!$L$3:$L$181,"&gt;="&amp;DATE(2025,6,1),'2025数据'!$L$3:$L$181,"&lt;="&amp;DATE(2025,6,30),'2025数据'!$AY$3:$AY$181,$E682))</f>
        <v>3</v>
      </c>
      <c r="L682" s="210">
        <f ca="1">IF($S$1&lt;DATE(2025,7,1)," ",COUNTIFS('2025数据'!$L$3:$L$181,"&gt;="&amp;DATE(2025,7,1),'2025数据'!$L$3:$L$181,"&lt;="&amp;DATE(2025,7,31),'2025数据'!$AY$3:$AY$181,$E682))</f>
        <v>2</v>
      </c>
      <c r="M682" s="210">
        <f ca="1">IF($S$1&lt;DATE(2025,8,1)," ",COUNTIFS('2025数据'!$L$3:$L$181,"&gt;="&amp;DATE(2025,8,1),'2025数据'!$L$3:$L$181,"&lt;="&amp;DATE(2025,8,31),'2025数据'!$AY$3:$AY$181,$E682))</f>
        <v>5</v>
      </c>
      <c r="N682" s="210">
        <f ca="1">IF($S$1&lt;DATE(2025,9,1)," ",COUNTIFS('2025数据'!$L$3:$L$181,"&gt;="&amp;DATE(2025,9,1),'2025数据'!$L$3:$L$181,"&lt;="&amp;DATE(2025,9,30),'2025数据'!$AY$3:$AY$181,$E682))</f>
        <v>4</v>
      </c>
      <c r="O682" s="210">
        <f ca="1">IF($S$1&lt;DATE(2025,10,1)," ",COUNTIFS('2025数据'!$L$3:$L$181,"&gt;="&amp;DATE(2025,10,1),'2025数据'!$L$3:$L$181,"&lt;="&amp;DATE(2025,10,31),'2025数据'!$AY$3:$AY$181,$E682))</f>
        <v>3</v>
      </c>
      <c r="P682" s="212">
        <f ca="1">IF($S$1&lt;DATE(2025,11,1)," ",COUNTIFS('2025数据'!$L$3:$L$181,"&gt;="&amp;DATE(2025,11,1),'2025数据'!$L$3:$L$181,"&lt;="&amp;DATE(2025,11,30),'2025数据'!$AY$3:$AY$181,$E682))</f>
        <v>1</v>
      </c>
      <c r="Q682" s="212">
        <f ca="1">IF($S$1&lt;DATE(2025,12,1)," ",COUNTIFS('2025数据'!$L$3:$L$181,"&gt;="&amp;DATE(2025,12,1),'2025数据'!$L$3:$L$181,"&lt;="&amp;DATE(2025,12,31),'2025数据'!$AY$3:$AY$181,$E682))</f>
        <v>4</v>
      </c>
    </row>
    <row r="683" ht="24" customHeight="1" spans="1:17">
      <c r="A683" s="99" t="s">
        <v>346</v>
      </c>
      <c r="B683" s="99" t="s">
        <v>299</v>
      </c>
      <c r="C683" s="99" t="s">
        <v>291</v>
      </c>
      <c r="D683" s="100" t="s">
        <v>292</v>
      </c>
      <c r="E683" s="110" t="s">
        <v>302</v>
      </c>
      <c r="F683" s="210">
        <f ca="1">IF($S$1&lt;DATE(2025,1,1)," ",COUNTIFS('2025数据'!$L$3:$L$181,"&gt;="&amp;DATE(2025,1,1),'2025数据'!$L$3:$L$181,"&lt;="&amp;DATE(2025,1,31),'2025数据'!$AY$3:$AY$181,$E683))</f>
        <v>2</v>
      </c>
      <c r="G683" s="210">
        <f ca="1">IF($S$1&lt;DATE(2025,2,1)," ",COUNTIFS('2025数据'!$L$3:$L$181,"&gt;="&amp;DATE(2025,2,1),'2025数据'!$L$3:$L$181,"&lt;="&amp;DATE(2025,2,28),'2025数据'!$AY$3:$AY$181,$E683))</f>
        <v>0</v>
      </c>
      <c r="H683" s="210">
        <f ca="1">IF($S$1&lt;DATE(2025,3,1)," ",COUNTIFS('2025数据'!$L$3:$L$181,"&gt;="&amp;DATE(2025,3,1),'2025数据'!$L$3:$L$181,"&lt;="&amp;DATE(2025,3,31),'2025数据'!$AY$3:$AY$181,$E683))</f>
        <v>1</v>
      </c>
      <c r="I683" s="210">
        <f ca="1">IF($S$1&lt;DATE(2025,4,1)," ",COUNTIFS('2025数据'!$L$3:$L$181,"&gt;="&amp;DATE(2025,4,1),'2025数据'!$L$3:$L$181,"&lt;="&amp;DATE(2025,4,30),'2025数据'!$AY$3:$AY$181,$E683))</f>
        <v>4</v>
      </c>
      <c r="J683" s="210">
        <f ca="1">IF($S$1&lt;DATE(2025,5,1)," ",COUNTIFS('2025数据'!$L$3:$L$181,"&gt;="&amp;DATE(2025,5,1),'2025数据'!$L$3:$L$181,"&lt;="&amp;DATE(2025,5,31),'2025数据'!$AY$3:$AY$181,$E683))</f>
        <v>0</v>
      </c>
      <c r="K683" s="210">
        <f ca="1">IF($S$1&lt;DATE(2025,6,1)," ",COUNTIFS('2025数据'!$L$3:$L$181,"&gt;="&amp;DATE(2025,6,1),'2025数据'!$L$3:$L$181,"&lt;="&amp;DATE(2025,6,30),'2025数据'!$AY$3:$AY$181,$E683))</f>
        <v>0</v>
      </c>
      <c r="L683" s="210">
        <f ca="1">IF($S$1&lt;DATE(2025,7,1)," ",COUNTIFS('2025数据'!$L$3:$L$181,"&gt;="&amp;DATE(2025,7,1),'2025数据'!$L$3:$L$181,"&lt;="&amp;DATE(2025,7,31),'2025数据'!$AY$3:$AY$181,$E683))</f>
        <v>2</v>
      </c>
      <c r="M683" s="210">
        <f ca="1">IF($S$1&lt;DATE(2025,8,1)," ",COUNTIFS('2025数据'!$L$3:$L$181,"&gt;="&amp;DATE(2025,8,1),'2025数据'!$L$3:$L$181,"&lt;="&amp;DATE(2025,8,31),'2025数据'!$AY$3:$AY$181,$E683))</f>
        <v>1</v>
      </c>
      <c r="N683" s="210">
        <f ca="1">IF($S$1&lt;DATE(2025,9,1)," ",COUNTIFS('2025数据'!$L$3:$L$181,"&gt;="&amp;DATE(2025,9,1),'2025数据'!$L$3:$L$181,"&lt;="&amp;DATE(2025,9,30),'2025数据'!$AY$3:$AY$181,$E683))</f>
        <v>0</v>
      </c>
      <c r="O683" s="210">
        <f ca="1">IF($S$1&lt;DATE(2025,10,1)," ",COUNTIFS('2025数据'!$L$3:$L$181,"&gt;="&amp;DATE(2025,10,1),'2025数据'!$L$3:$L$181,"&lt;="&amp;DATE(2025,10,31),'2025数据'!$AY$3:$AY$181,$E683))</f>
        <v>1</v>
      </c>
      <c r="P683" s="212">
        <f ca="1">IF($S$1&lt;DATE(2025,11,1)," ",COUNTIFS('2025数据'!$L$3:$L$181,"&gt;="&amp;DATE(2025,11,1),'2025数据'!$L$3:$L$181,"&lt;="&amp;DATE(2025,11,30),'2025数据'!$AY$3:$AY$181,$E683))</f>
        <v>1</v>
      </c>
      <c r="Q683" s="212">
        <f ca="1">IF($S$1&lt;DATE(2025,12,1)," ",COUNTIFS('2025数据'!$L$3:$L$181,"&gt;="&amp;DATE(2025,12,1),'2025数据'!$L$3:$L$181,"&lt;="&amp;DATE(2025,12,31),'2025数据'!$AY$3:$AY$181,$E683))</f>
        <v>1</v>
      </c>
    </row>
    <row r="684" ht="24" customHeight="1" spans="1:17">
      <c r="A684" s="99" t="s">
        <v>346</v>
      </c>
      <c r="B684" s="99" t="s">
        <v>299</v>
      </c>
      <c r="C684" s="99" t="s">
        <v>291</v>
      </c>
      <c r="D684" s="100" t="s">
        <v>292</v>
      </c>
      <c r="E684" s="110" t="s">
        <v>150</v>
      </c>
      <c r="F684" s="210">
        <f ca="1">IF($S$1&lt;DATE(2025,1,1)," ",COUNTIFS('2025数据'!$L$3:$L$181,"&gt;="&amp;DATE(2025,1,1),'2025数据'!$L$3:$L$181,"&lt;="&amp;DATE(2025,1,31),'2025数据'!$AY$3:$AY$181,$E684))</f>
        <v>0</v>
      </c>
      <c r="G684" s="210">
        <f ca="1">IF($S$1&lt;DATE(2025,2,1)," ",COUNTIFS('2025数据'!$L$3:$L$181,"&gt;="&amp;DATE(2025,2,1),'2025数据'!$L$3:$L$181,"&lt;="&amp;DATE(2025,2,28),'2025数据'!$AY$3:$AY$181,$E684))</f>
        <v>0</v>
      </c>
      <c r="H684" s="210">
        <f ca="1">IF($S$1&lt;DATE(2025,3,1)," ",COUNTIFS('2025数据'!$L$3:$L$181,"&gt;="&amp;DATE(2025,3,1),'2025数据'!$L$3:$L$181,"&lt;="&amp;DATE(2025,3,31),'2025数据'!$AY$3:$AY$181,$E684))</f>
        <v>0</v>
      </c>
      <c r="I684" s="210">
        <f ca="1">IF($S$1&lt;DATE(2025,4,1)," ",COUNTIFS('2025数据'!$L$3:$L$181,"&gt;="&amp;DATE(2025,4,1),'2025数据'!$L$3:$L$181,"&lt;="&amp;DATE(2025,4,30),'2025数据'!$AY$3:$AY$181,$E684))</f>
        <v>1</v>
      </c>
      <c r="J684" s="210">
        <f ca="1">IF($S$1&lt;DATE(2025,5,1)," ",COUNTIFS('2025数据'!$L$3:$L$181,"&gt;="&amp;DATE(2025,5,1),'2025数据'!$L$3:$L$181,"&lt;="&amp;DATE(2025,5,31),'2025数据'!$AY$3:$AY$181,$E684))</f>
        <v>0</v>
      </c>
      <c r="K684" s="210">
        <f ca="1">IF($S$1&lt;DATE(2025,6,1)," ",COUNTIFS('2025数据'!$L$3:$L$181,"&gt;="&amp;DATE(2025,6,1),'2025数据'!$L$3:$L$181,"&lt;="&amp;DATE(2025,6,30),'2025数据'!$AY$3:$AY$181,$E684))</f>
        <v>0</v>
      </c>
      <c r="L684" s="210">
        <f ca="1">IF($S$1&lt;DATE(2025,7,1)," ",COUNTIFS('2025数据'!$L$3:$L$181,"&gt;="&amp;DATE(2025,7,1),'2025数据'!$L$3:$L$181,"&lt;="&amp;DATE(2025,7,31),'2025数据'!$AY$3:$AY$181,$E684))</f>
        <v>0</v>
      </c>
      <c r="M684" s="210">
        <f ca="1">IF($S$1&lt;DATE(2025,8,1)," ",COUNTIFS('2025数据'!$L$3:$L$181,"&gt;="&amp;DATE(2025,8,1),'2025数据'!$L$3:$L$181,"&lt;="&amp;DATE(2025,8,31),'2025数据'!$AY$3:$AY$181,$E684))</f>
        <v>0</v>
      </c>
      <c r="N684" s="210">
        <f ca="1">IF($S$1&lt;DATE(2025,9,1)," ",COUNTIFS('2025数据'!$L$3:$L$181,"&gt;="&amp;DATE(2025,9,1),'2025数据'!$L$3:$L$181,"&lt;="&amp;DATE(2025,9,30),'2025数据'!$AY$3:$AY$181,$E684))</f>
        <v>0</v>
      </c>
      <c r="O684" s="210">
        <f ca="1">IF($S$1&lt;DATE(2025,10,1)," ",COUNTIFS('2025数据'!$L$3:$L$181,"&gt;="&amp;DATE(2025,10,1),'2025数据'!$L$3:$L$181,"&lt;="&amp;DATE(2025,10,31),'2025数据'!$AY$3:$AY$181,$E684))</f>
        <v>0</v>
      </c>
      <c r="P684" s="212">
        <f ca="1">IF($S$1&lt;DATE(2025,11,1)," ",COUNTIFS('2025数据'!$L$3:$L$181,"&gt;="&amp;DATE(2025,11,1),'2025数据'!$L$3:$L$181,"&lt;="&amp;DATE(2025,11,30),'2025数据'!$AY$3:$AY$181,$E684))</f>
        <v>0</v>
      </c>
      <c r="Q684" s="212">
        <f ca="1">IF($S$1&lt;DATE(2025,12,1)," ",COUNTIFS('2025数据'!$L$3:$L$181,"&gt;="&amp;DATE(2025,12,1),'2025数据'!$L$3:$L$181,"&lt;="&amp;DATE(2025,12,31),'2025数据'!$AY$3:$AY$181,$E684))</f>
        <v>0</v>
      </c>
    </row>
    <row r="685" ht="24" customHeight="1" spans="1:17">
      <c r="A685" s="99" t="s">
        <v>346</v>
      </c>
      <c r="B685" s="99" t="s">
        <v>299</v>
      </c>
      <c r="C685" s="99" t="s">
        <v>291</v>
      </c>
      <c r="D685" s="53" t="s">
        <v>303</v>
      </c>
      <c r="E685" s="53" t="s">
        <v>93</v>
      </c>
      <c r="F685" s="210">
        <f ca="1">IF($S$1&lt;DATE(2025,1,1)," ",COUNTIFS('2025数据'!$L$3:$L$181,"&gt;="&amp;DATE(2025,1,1),'2025数据'!$L$3:$L$181,"&lt;="&amp;DATE(2025,1,31),'2025数据'!$AY$3:$AY$181,$E$37,'2025数据'!$B$3:$B$181,$E685))</f>
        <v>2</v>
      </c>
      <c r="G685" s="210">
        <f ca="1">IF($S$1&lt;DATE(2025,2,1)," ",COUNTIFS('2025数据'!$L$3:$L$181,"&gt;="&amp;DATE(2025,2,1),'2025数据'!$L$3:$L$181,"&lt;="&amp;DATE(2025,2,28),'2025数据'!$AY$3:$AY$181,$E$37,'2025数据'!$B$3:$B$181,$E685))</f>
        <v>0</v>
      </c>
      <c r="H685" s="210">
        <f ca="1">IF($S$1&lt;DATE(2025,3,1)," ",COUNTIFS('2025数据'!$L$3:$L$181,"&gt;="&amp;DATE(2025,3,1),'2025数据'!$L$3:$L$181,"&lt;="&amp;DATE(2025,3,31),'2025数据'!$AY$3:$AY$181,$E$37,'2025数据'!$B$3:$B$181,$E685))</f>
        <v>0</v>
      </c>
      <c r="I685" s="210">
        <f ca="1">IF($S$1&lt;DATE(2025,4,1)," ",COUNTIFS('2025数据'!$L$3:$L$181,"&gt;="&amp;DATE(2025,4,1),'2025数据'!$L$3:$L$181,"&lt;="&amp;DATE(2025,4,30),'2025数据'!$AY$3:$AY$181,$E$37,'2025数据'!$B$3:$B$181,$E685))</f>
        <v>1</v>
      </c>
      <c r="J685" s="210">
        <f ca="1">IF($S$1&lt;DATE(2025,5,1)," ",COUNTIFS('2025数据'!$L$3:$L$181,"&gt;="&amp;DATE(2025,5,1),'2025数据'!$L$3:$L$181,"&lt;="&amp;DATE(2025,5,31),'2025数据'!$AY$3:$AY$181,$E$37,'2025数据'!$B$3:$B$181,$E685))</f>
        <v>1</v>
      </c>
      <c r="K685" s="210">
        <f ca="1">IF($S$1&lt;DATE(2025,6,1)," ",COUNTIFS('2025数据'!$L$3:$L$181,"&gt;="&amp;DATE(2025,6,1),'2025数据'!$L$3:$L$181,"&lt;="&amp;DATE(2025,6,30),'2025数据'!$AY$3:$AY$181,$E$37,'2025数据'!$B$3:$B$181,$E685))</f>
        <v>1</v>
      </c>
      <c r="L685" s="210">
        <f ca="1">IF($S$1&lt;DATE(2025,7,1)," ",COUNTIFS('2025数据'!$L$3:$L$181,"&gt;="&amp;DATE(2025,7,1),'2025数据'!$L$3:$L$181,"&lt;="&amp;DATE(2025,7,31),'2025数据'!$AY$3:$AY$181,$E$37,'2025数据'!$B$3:$B$181,$E685))</f>
        <v>2</v>
      </c>
      <c r="M685" s="210">
        <f ca="1">IF($S$1&lt;DATE(2025,8,1)," ",COUNTIFS('2025数据'!$L$3:$L$181,"&gt;="&amp;DATE(2025,8,1),'2025数据'!$L$3:$L$181,"&lt;="&amp;DATE(2025,8,31),'2025数据'!$AY$3:$AY$181,$E$37,'2025数据'!$B$3:$B$181,$E685))</f>
        <v>1</v>
      </c>
      <c r="N685" s="210">
        <f ca="1">IF($S$1&lt;DATE(2025,9,1)," ",COUNTIFS('2025数据'!$L$3:$L$181,"&gt;="&amp;DATE(2025,9,1),'2025数据'!$L$3:$L$181,"&lt;="&amp;DATE(2025,9,30),'2025数据'!$AY$3:$AY$181,$E$37,'2025数据'!$B$3:$B$181,$E685))</f>
        <v>2</v>
      </c>
      <c r="O685" s="210">
        <f ca="1">IF($S$1&lt;DATE(2025,10,1)," ",COUNTIFS('2025数据'!$L$3:$L$181,"&gt;="&amp;DATE(2025,10,1),'2025数据'!$L$3:$L$181,"&lt;="&amp;DATE(2025,10,31),'2025数据'!$AY$3:$AY$181,$E$37,'2025数据'!$B$3:$B$181,$E685))</f>
        <v>1</v>
      </c>
      <c r="P685" s="212">
        <f ca="1">IF($S$1&lt;DATE(2025,11,1)," ",COUNTIFS('2025数据'!$L$3:$L$181,"&gt;="&amp;DATE(2025,11,1),'2025数据'!$L$3:$L$181,"&lt;="&amp;DATE(2025,11,30),'2025数据'!$AY$3:$AY$181,$E$37,'2025数据'!$B$3:$B$181,$E685))</f>
        <v>1</v>
      </c>
      <c r="Q685" s="212">
        <f ca="1">IF($S$1&lt;DATE(2025,12,1)," ",COUNTIFS('2025数据'!$L$3:$L$181,"&gt;="&amp;DATE(2025,12,1),'2025数据'!$L$3:$L$181,"&lt;="&amp;DATE(2025,12,31),'2025数据'!$AY$3:$AY$181,$E$37,'2025数据'!$B$3:$B$181,$E685))</f>
        <v>1</v>
      </c>
    </row>
    <row r="686" ht="24" customHeight="1" spans="1:17">
      <c r="A686" s="99" t="s">
        <v>346</v>
      </c>
      <c r="B686" s="99" t="s">
        <v>299</v>
      </c>
      <c r="C686" s="99" t="s">
        <v>291</v>
      </c>
      <c r="D686" s="53" t="s">
        <v>303</v>
      </c>
      <c r="E686" s="53" t="s">
        <v>85</v>
      </c>
      <c r="F686" s="210">
        <f ca="1">IF($S$1&lt;DATE(2025,1,1)," ",COUNTIFS('2025数据'!$L$3:$L$181,"&gt;="&amp;DATE(2025,1,1),'2025数据'!$L$3:$L$181,"&lt;="&amp;DATE(2025,1,31),'2025数据'!$AY$3:$AY$181,$E$37,'2025数据'!$B$3:$B$181,$E686))</f>
        <v>2</v>
      </c>
      <c r="G686" s="210">
        <f ca="1">IF($S$1&lt;DATE(2025,2,1)," ",COUNTIFS('2025数据'!$L$3:$L$181,"&gt;="&amp;DATE(2025,2,1),'2025数据'!$L$3:$L$181,"&lt;="&amp;DATE(2025,2,28),'2025数据'!$AY$3:$AY$181,$E$37,'2025数据'!$B$3:$B$181,$E686))</f>
        <v>0</v>
      </c>
      <c r="H686" s="210">
        <f ca="1">IF($S$1&lt;DATE(2025,3,1)," ",COUNTIFS('2025数据'!$L$3:$L$181,"&gt;="&amp;DATE(2025,3,1),'2025数据'!$L$3:$L$181,"&lt;="&amp;DATE(2025,3,31),'2025数据'!$AY$3:$AY$181,$E$37,'2025数据'!$B$3:$B$181,$E686))</f>
        <v>0</v>
      </c>
      <c r="I686" s="210">
        <f ca="1">IF($S$1&lt;DATE(2025,4,1)," ",COUNTIFS('2025数据'!$L$3:$L$181,"&gt;="&amp;DATE(2025,4,1),'2025数据'!$L$3:$L$181,"&lt;="&amp;DATE(2025,4,30),'2025数据'!$AY$3:$AY$181,$E$37,'2025数据'!$B$3:$B$181,$E686))</f>
        <v>2</v>
      </c>
      <c r="J686" s="210">
        <f ca="1">IF($S$1&lt;DATE(2025,5,1)," ",COUNTIFS('2025数据'!$L$3:$L$181,"&gt;="&amp;DATE(2025,5,1),'2025数据'!$L$3:$L$181,"&lt;="&amp;DATE(2025,5,31),'2025数据'!$AY$3:$AY$181,$E$37,'2025数据'!$B$3:$B$181,$E686))</f>
        <v>1</v>
      </c>
      <c r="K686" s="210">
        <f ca="1">IF($S$1&lt;DATE(2025,6,1)," ",COUNTIFS('2025数据'!$L$3:$L$181,"&gt;="&amp;DATE(2025,6,1),'2025数据'!$L$3:$L$181,"&lt;="&amp;DATE(2025,6,30),'2025数据'!$AY$3:$AY$181,$E$37,'2025数据'!$B$3:$B$181,$E686))</f>
        <v>0</v>
      </c>
      <c r="L686" s="210">
        <f ca="1">IF($S$1&lt;DATE(2025,7,1)," ",COUNTIFS('2025数据'!$L$3:$L$181,"&gt;="&amp;DATE(2025,7,1),'2025数据'!$L$3:$L$181,"&lt;="&amp;DATE(2025,7,31),'2025数据'!$AY$3:$AY$181,$E$37,'2025数据'!$B$3:$B$181,$E686))</f>
        <v>0</v>
      </c>
      <c r="M686" s="210">
        <f ca="1">IF($S$1&lt;DATE(2025,8,1)," ",COUNTIFS('2025数据'!$L$3:$L$181,"&gt;="&amp;DATE(2025,8,1),'2025数据'!$L$3:$L$181,"&lt;="&amp;DATE(2025,8,31),'2025数据'!$AY$3:$AY$181,$E$37,'2025数据'!$B$3:$B$181,$E686))</f>
        <v>3</v>
      </c>
      <c r="N686" s="210">
        <f ca="1">IF($S$1&lt;DATE(2025,9,1)," ",COUNTIFS('2025数据'!$L$3:$L$181,"&gt;="&amp;DATE(2025,9,1),'2025数据'!$L$3:$L$181,"&lt;="&amp;DATE(2025,9,30),'2025数据'!$AY$3:$AY$181,$E$37,'2025数据'!$B$3:$B$181,$E686))</f>
        <v>1</v>
      </c>
      <c r="O686" s="210">
        <f ca="1">IF($S$1&lt;DATE(2025,10,1)," ",COUNTIFS('2025数据'!$L$3:$L$181,"&gt;="&amp;DATE(2025,10,1),'2025数据'!$L$3:$L$181,"&lt;="&amp;DATE(2025,10,31),'2025数据'!$AY$3:$AY$181,$E$37,'2025数据'!$B$3:$B$181,$E686))</f>
        <v>1</v>
      </c>
      <c r="P686" s="212">
        <f ca="1">IF($S$1&lt;DATE(2025,11,1)," ",COUNTIFS('2025数据'!$L$3:$L$181,"&gt;="&amp;DATE(2025,11,1),'2025数据'!$L$3:$L$181,"&lt;="&amp;DATE(2025,11,30),'2025数据'!$AY$3:$AY$181,$E$37,'2025数据'!$B$3:$B$181,$E686))</f>
        <v>0</v>
      </c>
      <c r="Q686" s="212">
        <f ca="1">IF($S$1&lt;DATE(2025,12,1)," ",COUNTIFS('2025数据'!$L$3:$L$181,"&gt;="&amp;DATE(2025,12,1),'2025数据'!$L$3:$L$181,"&lt;="&amp;DATE(2025,12,31),'2025数据'!$AY$3:$AY$181,$E$37,'2025数据'!$B$3:$B$181,$E686))</f>
        <v>2</v>
      </c>
    </row>
    <row r="687" ht="24" customHeight="1" spans="1:17">
      <c r="A687" s="99" t="s">
        <v>346</v>
      </c>
      <c r="B687" s="99" t="s">
        <v>299</v>
      </c>
      <c r="C687" s="99" t="s">
        <v>291</v>
      </c>
      <c r="D687" s="53" t="s">
        <v>303</v>
      </c>
      <c r="E687" s="53" t="s">
        <v>81</v>
      </c>
      <c r="F687" s="210">
        <f ca="1">IF($S$1&lt;DATE(2025,1,1)," ",COUNTIFS('2025数据'!$L$3:$L$181,"&gt;="&amp;DATE(2025,1,1),'2025数据'!$L$3:$L$181,"&lt;="&amp;DATE(2025,1,31),'2025数据'!$AY$3:$AY$181,$E$37,'2025数据'!$B$3:$B$181,$E687))</f>
        <v>0</v>
      </c>
      <c r="G687" s="210">
        <f ca="1">IF($S$1&lt;DATE(2025,2,1)," ",COUNTIFS('2025数据'!$L$3:$L$181,"&gt;="&amp;DATE(2025,2,1),'2025数据'!$L$3:$L$181,"&lt;="&amp;DATE(2025,2,28),'2025数据'!$AY$3:$AY$181,$E$37,'2025数据'!$B$3:$B$181,$E687))</f>
        <v>0</v>
      </c>
      <c r="H687" s="210">
        <f ca="1">IF($S$1&lt;DATE(2025,3,1)," ",COUNTIFS('2025数据'!$L$3:$L$181,"&gt;="&amp;DATE(2025,3,1),'2025数据'!$L$3:$L$181,"&lt;="&amp;DATE(2025,3,31),'2025数据'!$AY$3:$AY$181,$E$37,'2025数据'!$B$3:$B$181,$E687))</f>
        <v>0</v>
      </c>
      <c r="I687" s="210">
        <f ca="1">IF($S$1&lt;DATE(2025,4,1)," ",COUNTIFS('2025数据'!$L$3:$L$181,"&gt;="&amp;DATE(2025,4,1),'2025数据'!$L$3:$L$181,"&lt;="&amp;DATE(2025,4,30),'2025数据'!$AY$3:$AY$181,$E$37,'2025数据'!$B$3:$B$181,$E687))</f>
        <v>0</v>
      </c>
      <c r="J687" s="210">
        <f ca="1">IF($S$1&lt;DATE(2025,5,1)," ",COUNTIFS('2025数据'!$L$3:$L$181,"&gt;="&amp;DATE(2025,5,1),'2025数据'!$L$3:$L$181,"&lt;="&amp;DATE(2025,5,31),'2025数据'!$AY$3:$AY$181,$E$37,'2025数据'!$B$3:$B$181,$E687))</f>
        <v>0</v>
      </c>
      <c r="K687" s="210">
        <f ca="1">IF($S$1&lt;DATE(2025,6,1)," ",COUNTIFS('2025数据'!$L$3:$L$181,"&gt;="&amp;DATE(2025,6,1),'2025数据'!$L$3:$L$181,"&lt;="&amp;DATE(2025,6,30),'2025数据'!$AY$3:$AY$181,$E$37,'2025数据'!$B$3:$B$181,$E687))</f>
        <v>1</v>
      </c>
      <c r="L687" s="210">
        <f ca="1">IF($S$1&lt;DATE(2025,7,1)," ",COUNTIFS('2025数据'!$L$3:$L$181,"&gt;="&amp;DATE(2025,7,1),'2025数据'!$L$3:$L$181,"&lt;="&amp;DATE(2025,7,31),'2025数据'!$AY$3:$AY$181,$E$37,'2025数据'!$B$3:$B$181,$E687))</f>
        <v>0</v>
      </c>
      <c r="M687" s="210">
        <f ca="1">IF($S$1&lt;DATE(2025,8,1)," ",COUNTIFS('2025数据'!$L$3:$L$181,"&gt;="&amp;DATE(2025,8,1),'2025数据'!$L$3:$L$181,"&lt;="&amp;DATE(2025,8,31),'2025数据'!$AY$3:$AY$181,$E$37,'2025数据'!$B$3:$B$181,$E687))</f>
        <v>1</v>
      </c>
      <c r="N687" s="210">
        <f ca="1">IF($S$1&lt;DATE(2025,9,1)," ",COUNTIFS('2025数据'!$L$3:$L$181,"&gt;="&amp;DATE(2025,9,1),'2025数据'!$L$3:$L$181,"&lt;="&amp;DATE(2025,9,30),'2025数据'!$AY$3:$AY$181,$E$37,'2025数据'!$B$3:$B$181,$E687))</f>
        <v>1</v>
      </c>
      <c r="O687" s="210">
        <f ca="1">IF($S$1&lt;DATE(2025,10,1)," ",COUNTIFS('2025数据'!$L$3:$L$181,"&gt;="&amp;DATE(2025,10,1),'2025数据'!$L$3:$L$181,"&lt;="&amp;DATE(2025,10,31),'2025数据'!$AY$3:$AY$181,$E$37,'2025数据'!$B$3:$B$181,$E687))</f>
        <v>1</v>
      </c>
      <c r="P687" s="212">
        <f ca="1">IF($S$1&lt;DATE(2025,11,1)," ",COUNTIFS('2025数据'!$L$3:$L$181,"&gt;="&amp;DATE(2025,11,1),'2025数据'!$L$3:$L$181,"&lt;="&amp;DATE(2025,11,30),'2025数据'!$AY$3:$AY$181,$E$37,'2025数据'!$B$3:$B$181,$E687))</f>
        <v>0</v>
      </c>
      <c r="Q687" s="212">
        <f ca="1">IF($S$1&lt;DATE(2025,12,1)," ",COUNTIFS('2025数据'!$L$3:$L$181,"&gt;="&amp;DATE(2025,12,1),'2025数据'!$L$3:$L$181,"&lt;="&amp;DATE(2025,12,31),'2025数据'!$AY$3:$AY$181,$E$37,'2025数据'!$B$3:$B$181,$E687))</f>
        <v>1</v>
      </c>
    </row>
    <row r="688" ht="24" customHeight="1" spans="1:17">
      <c r="A688" s="99" t="s">
        <v>346</v>
      </c>
      <c r="B688" s="99" t="s">
        <v>299</v>
      </c>
      <c r="C688" s="99" t="s">
        <v>291</v>
      </c>
      <c r="D688" s="53" t="s">
        <v>303</v>
      </c>
      <c r="E688" s="53" t="s">
        <v>96</v>
      </c>
      <c r="F688" s="210">
        <f ca="1">IF($S$1&lt;DATE(2025,1,1)," ",COUNTIFS('2025数据'!$L$3:$L$181,"&gt;="&amp;DATE(2025,1,1),'2025数据'!$L$3:$L$181,"&lt;="&amp;DATE(2025,1,31),'2025数据'!$AY$3:$AY$181,$E$37,'2025数据'!$B$3:$B$181,$E688))</f>
        <v>0</v>
      </c>
      <c r="G688" s="210">
        <f ca="1">IF($S$1&lt;DATE(2025,2,1)," ",COUNTIFS('2025数据'!$L$3:$L$181,"&gt;="&amp;DATE(2025,2,1),'2025数据'!$L$3:$L$181,"&lt;="&amp;DATE(2025,2,28),'2025数据'!$AY$3:$AY$181,$E$37,'2025数据'!$B$3:$B$181,$E688))</f>
        <v>0</v>
      </c>
      <c r="H688" s="210">
        <f ca="1">IF($S$1&lt;DATE(2025,3,1)," ",COUNTIFS('2025数据'!$L$3:$L$181,"&gt;="&amp;DATE(2025,3,1),'2025数据'!$L$3:$L$181,"&lt;="&amp;DATE(2025,3,31),'2025数据'!$AY$3:$AY$181,$E$37,'2025数据'!$B$3:$B$181,$E688))</f>
        <v>0</v>
      </c>
      <c r="I688" s="210">
        <f ca="1">IF($S$1&lt;DATE(2025,4,1)," ",COUNTIFS('2025数据'!$L$3:$L$181,"&gt;="&amp;DATE(2025,4,1),'2025数据'!$L$3:$L$181,"&lt;="&amp;DATE(2025,4,30),'2025数据'!$AY$3:$AY$181,$E$37,'2025数据'!$B$3:$B$181,$E688))</f>
        <v>0</v>
      </c>
      <c r="J688" s="210">
        <f ca="1">IF($S$1&lt;DATE(2025,5,1)," ",COUNTIFS('2025数据'!$L$3:$L$181,"&gt;="&amp;DATE(2025,5,1),'2025数据'!$L$3:$L$181,"&lt;="&amp;DATE(2025,5,31),'2025数据'!$AY$3:$AY$181,$E$37,'2025数据'!$B$3:$B$181,$E688))</f>
        <v>0</v>
      </c>
      <c r="K688" s="210">
        <f ca="1">IF($S$1&lt;DATE(2025,6,1)," ",COUNTIFS('2025数据'!$L$3:$L$181,"&gt;="&amp;DATE(2025,6,1),'2025数据'!$L$3:$L$181,"&lt;="&amp;DATE(2025,6,30),'2025数据'!$AY$3:$AY$181,$E$37,'2025数据'!$B$3:$B$181,$E688))</f>
        <v>1</v>
      </c>
      <c r="L688" s="210">
        <f ca="1">IF($S$1&lt;DATE(2025,7,1)," ",COUNTIFS('2025数据'!$L$3:$L$181,"&gt;="&amp;DATE(2025,7,1),'2025数据'!$L$3:$L$181,"&lt;="&amp;DATE(2025,7,31),'2025数据'!$AY$3:$AY$181,$E$37,'2025数据'!$B$3:$B$181,$E688))</f>
        <v>0</v>
      </c>
      <c r="M688" s="210">
        <f ca="1">IF($S$1&lt;DATE(2025,8,1)," ",COUNTIFS('2025数据'!$L$3:$L$181,"&gt;="&amp;DATE(2025,8,1),'2025数据'!$L$3:$L$181,"&lt;="&amp;DATE(2025,8,31),'2025数据'!$AY$3:$AY$181,$E$37,'2025数据'!$B$3:$B$181,$E688))</f>
        <v>0</v>
      </c>
      <c r="N688" s="210">
        <f ca="1">IF($S$1&lt;DATE(2025,9,1)," ",COUNTIFS('2025数据'!$L$3:$L$181,"&gt;="&amp;DATE(2025,9,1),'2025数据'!$L$3:$L$181,"&lt;="&amp;DATE(2025,9,30),'2025数据'!$AY$3:$AY$181,$E$37,'2025数据'!$B$3:$B$181,$E688))</f>
        <v>0</v>
      </c>
      <c r="O688" s="210">
        <f ca="1">IF($S$1&lt;DATE(2025,10,1)," ",COUNTIFS('2025数据'!$L$3:$L$181,"&gt;="&amp;DATE(2025,10,1),'2025数据'!$L$3:$L$181,"&lt;="&amp;DATE(2025,10,31),'2025数据'!$AY$3:$AY$181,$E$37,'2025数据'!$B$3:$B$181,$E688))</f>
        <v>0</v>
      </c>
      <c r="P688" s="212">
        <f ca="1">IF($S$1&lt;DATE(2025,11,1)," ",COUNTIFS('2025数据'!$L$3:$L$181,"&gt;="&amp;DATE(2025,11,1),'2025数据'!$L$3:$L$181,"&lt;="&amp;DATE(2025,11,30),'2025数据'!$AY$3:$AY$181,$E$37,'2025数据'!$B$3:$B$181,$E688))</f>
        <v>0</v>
      </c>
      <c r="Q688" s="212">
        <f ca="1">IF($S$1&lt;DATE(2025,12,1)," ",COUNTIFS('2025数据'!$L$3:$L$181,"&gt;="&amp;DATE(2025,12,1),'2025数据'!$L$3:$L$181,"&lt;="&amp;DATE(2025,12,31),'2025数据'!$AY$3:$AY$181,$E$37,'2025数据'!$B$3:$B$181,$E688))</f>
        <v>0</v>
      </c>
    </row>
    <row r="689" ht="24" customHeight="1" spans="1:17">
      <c r="A689" s="99" t="s">
        <v>346</v>
      </c>
      <c r="B689" s="99" t="s">
        <v>299</v>
      </c>
      <c r="C689" s="99" t="s">
        <v>291</v>
      </c>
      <c r="D689" s="53" t="s">
        <v>303</v>
      </c>
      <c r="E689" s="53" t="s">
        <v>160</v>
      </c>
      <c r="F689" s="210">
        <f ca="1">IF($S$1&lt;DATE(2025,1,1)," ",COUNTIFS('2025数据'!$L$3:$L$181,"&gt;="&amp;DATE(2025,1,1),'2025数据'!$L$3:$L$181,"&lt;="&amp;DATE(2025,1,31),'2025数据'!$AY$3:$AY$181,$E$37,'2025数据'!$B$3:$B$181,$E689))</f>
        <v>0</v>
      </c>
      <c r="G689" s="210">
        <f ca="1">IF($S$1&lt;DATE(2025,2,1)," ",COUNTIFS('2025数据'!$L$3:$L$181,"&gt;="&amp;DATE(2025,2,1),'2025数据'!$L$3:$L$181,"&lt;="&amp;DATE(2025,2,28),'2025数据'!$AY$3:$AY$181,$E$37,'2025数据'!$B$3:$B$181,$E689))</f>
        <v>0</v>
      </c>
      <c r="H689" s="210">
        <f ca="1">IF($S$1&lt;DATE(2025,3,1)," ",COUNTIFS('2025数据'!$L$3:$L$181,"&gt;="&amp;DATE(2025,3,1),'2025数据'!$L$3:$L$181,"&lt;="&amp;DATE(2025,3,31),'2025数据'!$AY$3:$AY$181,$E$37,'2025数据'!$B$3:$B$181,$E689))</f>
        <v>0</v>
      </c>
      <c r="I689" s="210">
        <f ca="1">IF($S$1&lt;DATE(2025,4,1)," ",COUNTIFS('2025数据'!$L$3:$L$181,"&gt;="&amp;DATE(2025,4,1),'2025数据'!$L$3:$L$181,"&lt;="&amp;DATE(2025,4,30),'2025数据'!$AY$3:$AY$181,$E$37,'2025数据'!$B$3:$B$181,$E689))</f>
        <v>0</v>
      </c>
      <c r="J689" s="210">
        <f ca="1">IF($S$1&lt;DATE(2025,5,1)," ",COUNTIFS('2025数据'!$L$3:$L$181,"&gt;="&amp;DATE(2025,5,1),'2025数据'!$L$3:$L$181,"&lt;="&amp;DATE(2025,5,31),'2025数据'!$AY$3:$AY$181,$E$37,'2025数据'!$B$3:$B$181,$E689))</f>
        <v>1</v>
      </c>
      <c r="K689" s="210">
        <f ca="1">IF($S$1&lt;DATE(2025,6,1)," ",COUNTIFS('2025数据'!$L$3:$L$181,"&gt;="&amp;DATE(2025,6,1),'2025数据'!$L$3:$L$181,"&lt;="&amp;DATE(2025,6,30),'2025数据'!$AY$3:$AY$181,$E$37,'2025数据'!$B$3:$B$181,$E689))</f>
        <v>0</v>
      </c>
      <c r="L689" s="210">
        <f ca="1">IF($S$1&lt;DATE(2025,7,1)," ",COUNTIFS('2025数据'!$L$3:$L$181,"&gt;="&amp;DATE(2025,7,1),'2025数据'!$L$3:$L$181,"&lt;="&amp;DATE(2025,7,31),'2025数据'!$AY$3:$AY$181,$E$37,'2025数据'!$B$3:$B$181,$E689))</f>
        <v>0</v>
      </c>
      <c r="M689" s="210">
        <f ca="1">IF($S$1&lt;DATE(2025,8,1)," ",COUNTIFS('2025数据'!$L$3:$L$181,"&gt;="&amp;DATE(2025,8,1),'2025数据'!$L$3:$L$181,"&lt;="&amp;DATE(2025,8,31),'2025数据'!$AY$3:$AY$181,$E$37,'2025数据'!$B$3:$B$181,$E689))</f>
        <v>0</v>
      </c>
      <c r="N689" s="210">
        <f ca="1">IF($S$1&lt;DATE(2025,9,1)," ",COUNTIFS('2025数据'!$L$3:$L$181,"&gt;="&amp;DATE(2025,9,1),'2025数据'!$L$3:$L$181,"&lt;="&amp;DATE(2025,9,30),'2025数据'!$AY$3:$AY$181,$E$37,'2025数据'!$B$3:$B$181,$E689))</f>
        <v>0</v>
      </c>
      <c r="O689" s="210">
        <f ca="1">IF($S$1&lt;DATE(2025,10,1)," ",COUNTIFS('2025数据'!$L$3:$L$181,"&gt;="&amp;DATE(2025,10,1),'2025数据'!$L$3:$L$181,"&lt;="&amp;DATE(2025,10,31),'2025数据'!$AY$3:$AY$181,$E$37,'2025数据'!$B$3:$B$181,$E689))</f>
        <v>0</v>
      </c>
      <c r="P689" s="212">
        <f ca="1">IF($S$1&lt;DATE(2025,11,1)," ",COUNTIFS('2025数据'!$L$3:$L$181,"&gt;="&amp;DATE(2025,11,1),'2025数据'!$L$3:$L$181,"&lt;="&amp;DATE(2025,11,30),'2025数据'!$AY$3:$AY$181,$E$37,'2025数据'!$B$3:$B$181,$E689))</f>
        <v>0</v>
      </c>
      <c r="Q689" s="212">
        <f ca="1">IF($S$1&lt;DATE(2025,12,1)," ",COUNTIFS('2025数据'!$L$3:$L$181,"&gt;="&amp;DATE(2025,12,1),'2025数据'!$L$3:$L$181,"&lt;="&amp;DATE(2025,12,31),'2025数据'!$AY$3:$AY$181,$E$37,'2025数据'!$B$3:$B$181,$E689))</f>
        <v>0</v>
      </c>
    </row>
    <row r="690" ht="24" customHeight="1" spans="1:17">
      <c r="A690" s="99" t="s">
        <v>346</v>
      </c>
      <c r="B690" s="99" t="s">
        <v>299</v>
      </c>
      <c r="C690" s="99" t="s">
        <v>291</v>
      </c>
      <c r="D690" s="53" t="s">
        <v>304</v>
      </c>
      <c r="E690" s="53" t="s">
        <v>93</v>
      </c>
      <c r="F690" s="210">
        <f ca="1">IF($S$1&lt;DATE(2025,1,1)," ",COUNTIFS('2025数据'!$L$3:$L$181,"&gt;="&amp;DATE(2025,1,1),'2025数据'!$L$3:$L$181,"&lt;="&amp;DATE(2025,1,31),'2025数据'!$AY$3:$AY$181,$E$38,'2025数据'!$B$3:$B$181,$E690))</f>
        <v>1</v>
      </c>
      <c r="G690" s="210">
        <f ca="1">IF($S$1&lt;DATE(2025,2,1)," ",COUNTIFS('2025数据'!$L$3:$L$181,"&gt;="&amp;DATE(2025,2,1),'2025数据'!$L$3:$L$181,"&lt;="&amp;DATE(2025,2,28),'2025数据'!$AY$3:$AY$181,$E$38,'2025数据'!$B$3:$B$181,$E690))</f>
        <v>0</v>
      </c>
      <c r="H690" s="210">
        <f ca="1">IF($S$1&lt;DATE(2025,3,1)," ",COUNTIFS('2025数据'!$L$3:$L$181,"&gt;="&amp;DATE(2025,3,1),'2025数据'!$L$3:$L$181,"&lt;="&amp;DATE(2025,3,31),'2025数据'!$AY$3:$AY$181,$E$38,'2025数据'!$B$3:$B$181,$E690))</f>
        <v>0</v>
      </c>
      <c r="I690" s="210">
        <f ca="1">IF($S$1&lt;DATE(2025,4,1)," ",COUNTIFS('2025数据'!$L$3:$L$181,"&gt;="&amp;DATE(2025,4,1),'2025数据'!$L$3:$L$181,"&lt;="&amp;DATE(2025,4,30),'2025数据'!$AY$3:$AY$181,$E$38,'2025数据'!$B$3:$B$181,$E690))</f>
        <v>3</v>
      </c>
      <c r="J690" s="210">
        <f ca="1">IF($S$1&lt;DATE(2025,5,1)," ",COUNTIFS('2025数据'!$L$3:$L$181,"&gt;="&amp;DATE(2025,5,1),'2025数据'!$L$3:$L$181,"&lt;="&amp;DATE(2025,5,31),'2025数据'!$AY$3:$AY$181,$E$38,'2025数据'!$B$3:$B$181,$E690))</f>
        <v>0</v>
      </c>
      <c r="K690" s="210">
        <f ca="1">IF($S$1&lt;DATE(2025,6,1)," ",COUNTIFS('2025数据'!$L$3:$L$181,"&gt;="&amp;DATE(2025,6,1),'2025数据'!$L$3:$L$181,"&lt;="&amp;DATE(2025,6,30),'2025数据'!$AY$3:$AY$181,$E$38,'2025数据'!$B$3:$B$181,$E690))</f>
        <v>0</v>
      </c>
      <c r="L690" s="210">
        <f ca="1">IF($S$1&lt;DATE(2025,7,1)," ",COUNTIFS('2025数据'!$L$3:$L$181,"&gt;="&amp;DATE(2025,7,1),'2025数据'!$L$3:$L$181,"&lt;="&amp;DATE(2025,7,31),'2025数据'!$AY$3:$AY$181,$E$38,'2025数据'!$B$3:$B$181,$E690))</f>
        <v>1</v>
      </c>
      <c r="M690" s="210">
        <f ca="1">IF($S$1&lt;DATE(2025,8,1)," ",COUNTIFS('2025数据'!$L$3:$L$181,"&gt;="&amp;DATE(2025,8,1),'2025数据'!$L$3:$L$181,"&lt;="&amp;DATE(2025,8,31),'2025数据'!$AY$3:$AY$181,$E$38,'2025数据'!$B$3:$B$181,$E690))</f>
        <v>1</v>
      </c>
      <c r="N690" s="210">
        <f ca="1">IF($S$1&lt;DATE(2025,9,1)," ",COUNTIFS('2025数据'!$L$3:$L$181,"&gt;="&amp;DATE(2025,9,1),'2025数据'!$L$3:$L$181,"&lt;="&amp;DATE(2025,9,30),'2025数据'!$AY$3:$AY$181,$E$38,'2025数据'!$B$3:$B$181,$E690))</f>
        <v>0</v>
      </c>
      <c r="O690" s="210">
        <f ca="1">IF($S$1&lt;DATE(2025,10,1)," ",COUNTIFS('2025数据'!$L$3:$L$181,"&gt;="&amp;DATE(2025,10,1),'2025数据'!$L$3:$L$181,"&lt;="&amp;DATE(2025,10,31),'2025数据'!$AY$3:$AY$181,$E$38,'2025数据'!$B$3:$B$181,$E690))</f>
        <v>0</v>
      </c>
      <c r="P690" s="212">
        <f ca="1">IF($S$1&lt;DATE(2025,11,1)," ",COUNTIFS('2025数据'!$L$3:$L$181,"&gt;="&amp;DATE(2025,11,1),'2025数据'!$L$3:$L$181,"&lt;="&amp;DATE(2025,11,30),'2025数据'!$AY$3:$AY$181,$E$38,'2025数据'!$B$3:$B$181,$E690))</f>
        <v>0</v>
      </c>
      <c r="Q690" s="212">
        <f ca="1">IF($S$1&lt;DATE(2025,12,1)," ",COUNTIFS('2025数据'!$L$3:$L$181,"&gt;="&amp;DATE(2025,12,1),'2025数据'!$L$3:$L$181,"&lt;="&amp;DATE(2025,12,31),'2025数据'!$AY$3:$AY$181,$E$38,'2025数据'!$B$3:$B$181,$E690))</f>
        <v>0</v>
      </c>
    </row>
    <row r="691" ht="24" customHeight="1" spans="1:17">
      <c r="A691" s="99" t="s">
        <v>346</v>
      </c>
      <c r="B691" s="99" t="s">
        <v>299</v>
      </c>
      <c r="C691" s="99" t="s">
        <v>291</v>
      </c>
      <c r="D691" s="53" t="s">
        <v>304</v>
      </c>
      <c r="E691" s="53" t="s">
        <v>85</v>
      </c>
      <c r="F691" s="210">
        <f ca="1">IF($S$1&lt;DATE(2025,1,1)," ",COUNTIFS('2025数据'!$L$3:$L$181,"&gt;="&amp;DATE(2025,1,1),'2025数据'!$L$3:$L$181,"&lt;="&amp;DATE(2025,1,31),'2025数据'!$AY$3:$AY$181,$E$38,'2025数据'!$B$3:$B$181,$E691))</f>
        <v>1</v>
      </c>
      <c r="G691" s="210">
        <f ca="1">IF($S$1&lt;DATE(2025,2,1)," ",COUNTIFS('2025数据'!$L$3:$L$181,"&gt;="&amp;DATE(2025,2,1),'2025数据'!$L$3:$L$181,"&lt;="&amp;DATE(2025,2,28),'2025数据'!$AY$3:$AY$181,$E$38,'2025数据'!$B$3:$B$181,$E691))</f>
        <v>0</v>
      </c>
      <c r="H691" s="210">
        <f ca="1">IF($S$1&lt;DATE(2025,3,1)," ",COUNTIFS('2025数据'!$L$3:$L$181,"&gt;="&amp;DATE(2025,3,1),'2025数据'!$L$3:$L$181,"&lt;="&amp;DATE(2025,3,31),'2025数据'!$AY$3:$AY$181,$E$38,'2025数据'!$B$3:$B$181,$E691))</f>
        <v>0</v>
      </c>
      <c r="I691" s="210">
        <f ca="1">IF($S$1&lt;DATE(2025,4,1)," ",COUNTIFS('2025数据'!$L$3:$L$181,"&gt;="&amp;DATE(2025,4,1),'2025数据'!$L$3:$L$181,"&lt;="&amp;DATE(2025,4,30),'2025数据'!$AY$3:$AY$181,$E$38,'2025数据'!$B$3:$B$181,$E691))</f>
        <v>1</v>
      </c>
      <c r="J691" s="210">
        <f ca="1">IF($S$1&lt;DATE(2025,5,1)," ",COUNTIFS('2025数据'!$L$3:$L$181,"&gt;="&amp;DATE(2025,5,1),'2025数据'!$L$3:$L$181,"&lt;="&amp;DATE(2025,5,31),'2025数据'!$AY$3:$AY$181,$E$38,'2025数据'!$B$3:$B$181,$E691))</f>
        <v>0</v>
      </c>
      <c r="K691" s="210">
        <f ca="1">IF($S$1&lt;DATE(2025,6,1)," ",COUNTIFS('2025数据'!$L$3:$L$181,"&gt;="&amp;DATE(2025,6,1),'2025数据'!$L$3:$L$181,"&lt;="&amp;DATE(2025,6,30),'2025数据'!$AY$3:$AY$181,$E$38,'2025数据'!$B$3:$B$181,$E691))</f>
        <v>0</v>
      </c>
      <c r="L691" s="210">
        <f ca="1">IF($S$1&lt;DATE(2025,7,1)," ",COUNTIFS('2025数据'!$L$3:$L$181,"&gt;="&amp;DATE(2025,7,1),'2025数据'!$L$3:$L$181,"&lt;="&amp;DATE(2025,7,31),'2025数据'!$AY$3:$AY$181,$E$38,'2025数据'!$B$3:$B$181,$E691))</f>
        <v>0</v>
      </c>
      <c r="M691" s="210">
        <f ca="1">IF($S$1&lt;DATE(2025,8,1)," ",COUNTIFS('2025数据'!$L$3:$L$181,"&gt;="&amp;DATE(2025,8,1),'2025数据'!$L$3:$L$181,"&lt;="&amp;DATE(2025,8,31),'2025数据'!$AY$3:$AY$181,$E$38,'2025数据'!$B$3:$B$181,$E691))</f>
        <v>0</v>
      </c>
      <c r="N691" s="210">
        <f ca="1">IF($S$1&lt;DATE(2025,9,1)," ",COUNTIFS('2025数据'!$L$3:$L$181,"&gt;="&amp;DATE(2025,9,1),'2025数据'!$L$3:$L$181,"&lt;="&amp;DATE(2025,9,30),'2025数据'!$AY$3:$AY$181,$E$38,'2025数据'!$B$3:$B$181,$E691))</f>
        <v>0</v>
      </c>
      <c r="O691" s="210">
        <f ca="1">IF($S$1&lt;DATE(2025,10,1)," ",COUNTIFS('2025数据'!$L$3:$L$181,"&gt;="&amp;DATE(2025,10,1),'2025数据'!$L$3:$L$181,"&lt;="&amp;DATE(2025,10,31),'2025数据'!$AY$3:$AY$181,$E$38,'2025数据'!$B$3:$B$181,$E691))</f>
        <v>0</v>
      </c>
      <c r="P691" s="212">
        <f ca="1">IF($S$1&lt;DATE(2025,11,1)," ",COUNTIFS('2025数据'!$L$3:$L$181,"&gt;="&amp;DATE(2025,11,1),'2025数据'!$L$3:$L$181,"&lt;="&amp;DATE(2025,11,30),'2025数据'!$AY$3:$AY$181,$E$38,'2025数据'!$B$3:$B$181,$E691))</f>
        <v>1</v>
      </c>
      <c r="Q691" s="212">
        <f ca="1">IF($S$1&lt;DATE(2025,12,1)," ",COUNTIFS('2025数据'!$L$3:$L$181,"&gt;="&amp;DATE(2025,12,1),'2025数据'!$L$3:$L$181,"&lt;="&amp;DATE(2025,12,31),'2025数据'!$AY$3:$AY$181,$E$38,'2025数据'!$B$3:$B$181,$E691))</f>
        <v>1</v>
      </c>
    </row>
    <row r="692" ht="24" customHeight="1" spans="1:17">
      <c r="A692" s="99" t="s">
        <v>346</v>
      </c>
      <c r="B692" s="99" t="s">
        <v>299</v>
      </c>
      <c r="C692" s="99" t="s">
        <v>291</v>
      </c>
      <c r="D692" s="53" t="s">
        <v>304</v>
      </c>
      <c r="E692" s="53" t="s">
        <v>81</v>
      </c>
      <c r="F692" s="210">
        <f ca="1">IF($S$1&lt;DATE(2025,1,1)," ",COUNTIFS('2025数据'!$L$3:$L$181,"&gt;="&amp;DATE(2025,1,1),'2025数据'!$L$3:$L$181,"&lt;="&amp;DATE(2025,1,31),'2025数据'!$AY$3:$AY$181,$E$38,'2025数据'!$B$3:$B$181,$E692))</f>
        <v>0</v>
      </c>
      <c r="G692" s="210">
        <f ca="1">IF($S$1&lt;DATE(2025,2,1)," ",COUNTIFS('2025数据'!$L$3:$L$181,"&gt;="&amp;DATE(2025,2,1),'2025数据'!$L$3:$L$181,"&lt;="&amp;DATE(2025,2,28),'2025数据'!$AY$3:$AY$181,$E$38,'2025数据'!$B$3:$B$181,$E692))</f>
        <v>0</v>
      </c>
      <c r="H692" s="210">
        <f ca="1">IF($S$1&lt;DATE(2025,3,1)," ",COUNTIFS('2025数据'!$L$3:$L$181,"&gt;="&amp;DATE(2025,3,1),'2025数据'!$L$3:$L$181,"&lt;="&amp;DATE(2025,3,31),'2025数据'!$AY$3:$AY$181,$E$38,'2025数据'!$B$3:$B$181,$E692))</f>
        <v>1</v>
      </c>
      <c r="I692" s="210">
        <f ca="1">IF($S$1&lt;DATE(2025,4,1)," ",COUNTIFS('2025数据'!$L$3:$L$181,"&gt;="&amp;DATE(2025,4,1),'2025数据'!$L$3:$L$181,"&lt;="&amp;DATE(2025,4,30),'2025数据'!$AY$3:$AY$181,$E$38,'2025数据'!$B$3:$B$181,$E692))</f>
        <v>0</v>
      </c>
      <c r="J692" s="210">
        <f ca="1">IF($S$1&lt;DATE(2025,5,1)," ",COUNTIFS('2025数据'!$L$3:$L$181,"&gt;="&amp;DATE(2025,5,1),'2025数据'!$L$3:$L$181,"&lt;="&amp;DATE(2025,5,31),'2025数据'!$AY$3:$AY$181,$E$38,'2025数据'!$B$3:$B$181,$E692))</f>
        <v>0</v>
      </c>
      <c r="K692" s="210">
        <f ca="1">IF($S$1&lt;DATE(2025,6,1)," ",COUNTIFS('2025数据'!$L$3:$L$181,"&gt;="&amp;DATE(2025,6,1),'2025数据'!$L$3:$L$181,"&lt;="&amp;DATE(2025,6,30),'2025数据'!$AY$3:$AY$181,$E$38,'2025数据'!$B$3:$B$181,$E692))</f>
        <v>0</v>
      </c>
      <c r="L692" s="210">
        <f ca="1">IF($S$1&lt;DATE(2025,7,1)," ",COUNTIFS('2025数据'!$L$3:$L$181,"&gt;="&amp;DATE(2025,7,1),'2025数据'!$L$3:$L$181,"&lt;="&amp;DATE(2025,7,31),'2025数据'!$AY$3:$AY$181,$E$38,'2025数据'!$B$3:$B$181,$E692))</f>
        <v>1</v>
      </c>
      <c r="M692" s="210">
        <f ca="1">IF($S$1&lt;DATE(2025,8,1)," ",COUNTIFS('2025数据'!$L$3:$L$181,"&gt;="&amp;DATE(2025,8,1),'2025数据'!$L$3:$L$181,"&lt;="&amp;DATE(2025,8,31),'2025数据'!$AY$3:$AY$181,$E$38,'2025数据'!$B$3:$B$181,$E692))</f>
        <v>0</v>
      </c>
      <c r="N692" s="210">
        <f ca="1">IF($S$1&lt;DATE(2025,9,1)," ",COUNTIFS('2025数据'!$L$3:$L$181,"&gt;="&amp;DATE(2025,9,1),'2025数据'!$L$3:$L$181,"&lt;="&amp;DATE(2025,9,30),'2025数据'!$AY$3:$AY$181,$E$38,'2025数据'!$B$3:$B$181,$E692))</f>
        <v>0</v>
      </c>
      <c r="O692" s="210">
        <f ca="1">IF($S$1&lt;DATE(2025,10,1)," ",COUNTIFS('2025数据'!$L$3:$L$181,"&gt;="&amp;DATE(2025,10,1),'2025数据'!$L$3:$L$181,"&lt;="&amp;DATE(2025,10,31),'2025数据'!$AY$3:$AY$181,$E$38,'2025数据'!$B$3:$B$181,$E692))</f>
        <v>1</v>
      </c>
      <c r="P692" s="212">
        <f ca="1">IF($S$1&lt;DATE(2025,11,1)," ",COUNTIFS('2025数据'!$L$3:$L$181,"&gt;="&amp;DATE(2025,11,1),'2025数据'!$L$3:$L$181,"&lt;="&amp;DATE(2025,11,30),'2025数据'!$AY$3:$AY$181,$E$38,'2025数据'!$B$3:$B$181,$E692))</f>
        <v>0</v>
      </c>
      <c r="Q692" s="212">
        <f ca="1">IF($S$1&lt;DATE(2025,12,1)," ",COUNTIFS('2025数据'!$L$3:$L$181,"&gt;="&amp;DATE(2025,12,1),'2025数据'!$L$3:$L$181,"&lt;="&amp;DATE(2025,12,31),'2025数据'!$AY$3:$AY$181,$E$38,'2025数据'!$B$3:$B$181,$E692))</f>
        <v>0</v>
      </c>
    </row>
    <row r="693" ht="24" customHeight="1" spans="1:17">
      <c r="A693" s="99" t="s">
        <v>346</v>
      </c>
      <c r="B693" s="99" t="s">
        <v>299</v>
      </c>
      <c r="C693" s="99" t="s">
        <v>291</v>
      </c>
      <c r="D693" s="53" t="s">
        <v>304</v>
      </c>
      <c r="E693" s="53" t="s">
        <v>96</v>
      </c>
      <c r="F693" s="210">
        <f ca="1">IF($S$1&lt;DATE(2025,1,1)," ",COUNTIFS('2025数据'!$L$3:$L$181,"&gt;="&amp;DATE(2025,1,1),'2025数据'!$L$3:$L$181,"&lt;="&amp;DATE(2025,1,31),'2025数据'!$AY$3:$AY$181,$E$38,'2025数据'!$B$3:$B$181,$E693))</f>
        <v>0</v>
      </c>
      <c r="G693" s="210">
        <f ca="1">IF($S$1&lt;DATE(2025,2,1)," ",COUNTIFS('2025数据'!$L$3:$L$181,"&gt;="&amp;DATE(2025,2,1),'2025数据'!$L$3:$L$181,"&lt;="&amp;DATE(2025,2,28),'2025数据'!$AY$3:$AY$181,$E$38,'2025数据'!$B$3:$B$181,$E693))</f>
        <v>0</v>
      </c>
      <c r="H693" s="210">
        <f ca="1">IF($S$1&lt;DATE(2025,3,1)," ",COUNTIFS('2025数据'!$L$3:$L$181,"&gt;="&amp;DATE(2025,3,1),'2025数据'!$L$3:$L$181,"&lt;="&amp;DATE(2025,3,31),'2025数据'!$AY$3:$AY$181,$E$38,'2025数据'!$B$3:$B$181,$E693))</f>
        <v>0</v>
      </c>
      <c r="I693" s="210">
        <f ca="1">IF($S$1&lt;DATE(2025,4,1)," ",COUNTIFS('2025数据'!$L$3:$L$181,"&gt;="&amp;DATE(2025,4,1),'2025数据'!$L$3:$L$181,"&lt;="&amp;DATE(2025,4,30),'2025数据'!$AY$3:$AY$181,$E$38,'2025数据'!$B$3:$B$181,$E693))</f>
        <v>0</v>
      </c>
      <c r="J693" s="210">
        <f ca="1">IF($S$1&lt;DATE(2025,5,1)," ",COUNTIFS('2025数据'!$L$3:$L$181,"&gt;="&amp;DATE(2025,5,1),'2025数据'!$L$3:$L$181,"&lt;="&amp;DATE(2025,5,31),'2025数据'!$AY$3:$AY$181,$E$38,'2025数据'!$B$3:$B$181,$E693))</f>
        <v>0</v>
      </c>
      <c r="K693" s="210">
        <f ca="1">IF($S$1&lt;DATE(2025,6,1)," ",COUNTIFS('2025数据'!$L$3:$L$181,"&gt;="&amp;DATE(2025,6,1),'2025数据'!$L$3:$L$181,"&lt;="&amp;DATE(2025,6,30),'2025数据'!$AY$3:$AY$181,$E$38,'2025数据'!$B$3:$B$181,$E693))</f>
        <v>0</v>
      </c>
      <c r="L693" s="210">
        <f ca="1">IF($S$1&lt;DATE(2025,7,1)," ",COUNTIFS('2025数据'!$L$3:$L$181,"&gt;="&amp;DATE(2025,7,1),'2025数据'!$L$3:$L$181,"&lt;="&amp;DATE(2025,7,31),'2025数据'!$AY$3:$AY$181,$E$38,'2025数据'!$B$3:$B$181,$E693))</f>
        <v>0</v>
      </c>
      <c r="M693" s="210">
        <f ca="1">IF($S$1&lt;DATE(2025,8,1)," ",COUNTIFS('2025数据'!$L$3:$L$181,"&gt;="&amp;DATE(2025,8,1),'2025数据'!$L$3:$L$181,"&lt;="&amp;DATE(2025,8,31),'2025数据'!$AY$3:$AY$181,$E$38,'2025数据'!$B$3:$B$181,$E693))</f>
        <v>0</v>
      </c>
      <c r="N693" s="210">
        <f ca="1">IF($S$1&lt;DATE(2025,9,1)," ",COUNTIFS('2025数据'!$L$3:$L$181,"&gt;="&amp;DATE(2025,9,1),'2025数据'!$L$3:$L$181,"&lt;="&amp;DATE(2025,9,30),'2025数据'!$AY$3:$AY$181,$E$38,'2025数据'!$B$3:$B$181,$E693))</f>
        <v>0</v>
      </c>
      <c r="O693" s="210">
        <f ca="1">IF($S$1&lt;DATE(2025,10,1)," ",COUNTIFS('2025数据'!$L$3:$L$181,"&gt;="&amp;DATE(2025,10,1),'2025数据'!$L$3:$L$181,"&lt;="&amp;DATE(2025,10,31),'2025数据'!$AY$3:$AY$181,$E$38,'2025数据'!$B$3:$B$181,$E693))</f>
        <v>0</v>
      </c>
      <c r="P693" s="212">
        <f ca="1">IF($S$1&lt;DATE(2025,11,1)," ",COUNTIFS('2025数据'!$L$3:$L$181,"&gt;="&amp;DATE(2025,11,1),'2025数据'!$L$3:$L$181,"&lt;="&amp;DATE(2025,11,30),'2025数据'!$AY$3:$AY$181,$E$38,'2025数据'!$B$3:$B$181,$E693))</f>
        <v>0</v>
      </c>
      <c r="Q693" s="212">
        <f ca="1">IF($S$1&lt;DATE(2025,12,1)," ",COUNTIFS('2025数据'!$L$3:$L$181,"&gt;="&amp;DATE(2025,12,1),'2025数据'!$L$3:$L$181,"&lt;="&amp;DATE(2025,12,31),'2025数据'!$AY$3:$AY$181,$E$38,'2025数据'!$B$3:$B$181,$E693))</f>
        <v>0</v>
      </c>
    </row>
    <row r="694" ht="24" customHeight="1" spans="1:17">
      <c r="A694" s="99" t="s">
        <v>346</v>
      </c>
      <c r="B694" s="99" t="s">
        <v>299</v>
      </c>
      <c r="C694" s="99" t="s">
        <v>291</v>
      </c>
      <c r="D694" s="53" t="s">
        <v>304</v>
      </c>
      <c r="E694" s="53" t="s">
        <v>160</v>
      </c>
      <c r="F694" s="210">
        <f ca="1">IF($S$1&lt;DATE(2025,1,1)," ",COUNTIFS('2025数据'!$L$3:$L$181,"&gt;="&amp;DATE(2025,1,1),'2025数据'!$L$3:$L$181,"&lt;="&amp;DATE(2025,1,31),'2025数据'!$AY$3:$AY$181,$E$38,'2025数据'!$B$3:$B$181,$E694))</f>
        <v>0</v>
      </c>
      <c r="G694" s="210">
        <f ca="1">IF($S$1&lt;DATE(2025,2,1)," ",COUNTIFS('2025数据'!$L$3:$L$181,"&gt;="&amp;DATE(2025,2,1),'2025数据'!$L$3:$L$181,"&lt;="&amp;DATE(2025,2,28),'2025数据'!$AY$3:$AY$181,$E$38,'2025数据'!$B$3:$B$181,$E694))</f>
        <v>0</v>
      </c>
      <c r="H694" s="210">
        <f ca="1">IF($S$1&lt;DATE(2025,3,1)," ",COUNTIFS('2025数据'!$L$3:$L$181,"&gt;="&amp;DATE(2025,3,1),'2025数据'!$L$3:$L$181,"&lt;="&amp;DATE(2025,3,31),'2025数据'!$AY$3:$AY$181,$E$38,'2025数据'!$B$3:$B$181,$E694))</f>
        <v>0</v>
      </c>
      <c r="I694" s="210">
        <f ca="1">IF($S$1&lt;DATE(2025,4,1)," ",COUNTIFS('2025数据'!$L$3:$L$181,"&gt;="&amp;DATE(2025,4,1),'2025数据'!$L$3:$L$181,"&lt;="&amp;DATE(2025,4,30),'2025数据'!$AY$3:$AY$181,$E$38,'2025数据'!$B$3:$B$181,$E694))</f>
        <v>0</v>
      </c>
      <c r="J694" s="210">
        <f ca="1">IF($S$1&lt;DATE(2025,5,1)," ",COUNTIFS('2025数据'!$L$3:$L$181,"&gt;="&amp;DATE(2025,5,1),'2025数据'!$L$3:$L$181,"&lt;="&amp;DATE(2025,5,31),'2025数据'!$AY$3:$AY$181,$E$38,'2025数据'!$B$3:$B$181,$E694))</f>
        <v>0</v>
      </c>
      <c r="K694" s="210">
        <f ca="1">IF($S$1&lt;DATE(2025,6,1)," ",COUNTIFS('2025数据'!$L$3:$L$181,"&gt;="&amp;DATE(2025,6,1),'2025数据'!$L$3:$L$181,"&lt;="&amp;DATE(2025,6,30),'2025数据'!$AY$3:$AY$181,$E$38,'2025数据'!$B$3:$B$181,$E694))</f>
        <v>0</v>
      </c>
      <c r="L694" s="210">
        <f ca="1">IF($S$1&lt;DATE(2025,7,1)," ",COUNTIFS('2025数据'!$L$3:$L$181,"&gt;="&amp;DATE(2025,7,1),'2025数据'!$L$3:$L$181,"&lt;="&amp;DATE(2025,7,31),'2025数据'!$AY$3:$AY$181,$E$38,'2025数据'!$B$3:$B$181,$E694))</f>
        <v>0</v>
      </c>
      <c r="M694" s="210">
        <f ca="1">IF($S$1&lt;DATE(2025,8,1)," ",COUNTIFS('2025数据'!$L$3:$L$181,"&gt;="&amp;DATE(2025,8,1),'2025数据'!$L$3:$L$181,"&lt;="&amp;DATE(2025,8,31),'2025数据'!$AY$3:$AY$181,$E$38,'2025数据'!$B$3:$B$181,$E694))</f>
        <v>0</v>
      </c>
      <c r="N694" s="210">
        <f ca="1">IF($S$1&lt;DATE(2025,9,1)," ",COUNTIFS('2025数据'!$L$3:$L$181,"&gt;="&amp;DATE(2025,9,1),'2025数据'!$L$3:$L$181,"&lt;="&amp;DATE(2025,9,30),'2025数据'!$AY$3:$AY$181,$E$38,'2025数据'!$B$3:$B$181,$E694))</f>
        <v>0</v>
      </c>
      <c r="O694" s="210">
        <f ca="1">IF($S$1&lt;DATE(2025,10,1)," ",COUNTIFS('2025数据'!$L$3:$L$181,"&gt;="&amp;DATE(2025,10,1),'2025数据'!$L$3:$L$181,"&lt;="&amp;DATE(2025,10,31),'2025数据'!$AY$3:$AY$181,$E$38,'2025数据'!$B$3:$B$181,$E694))</f>
        <v>0</v>
      </c>
      <c r="P694" s="212">
        <f ca="1">IF($S$1&lt;DATE(2025,11,1)," ",COUNTIFS('2025数据'!$L$3:$L$181,"&gt;="&amp;DATE(2025,11,1),'2025数据'!$L$3:$L$181,"&lt;="&amp;DATE(2025,11,30),'2025数据'!$AY$3:$AY$181,$E$38,'2025数据'!$B$3:$B$181,$E694))</f>
        <v>0</v>
      </c>
      <c r="Q694" s="212">
        <f ca="1">IF($S$1&lt;DATE(2025,12,1)," ",COUNTIFS('2025数据'!$L$3:$L$181,"&gt;="&amp;DATE(2025,12,1),'2025数据'!$L$3:$L$181,"&lt;="&amp;DATE(2025,12,31),'2025数据'!$AY$3:$AY$181,$E$38,'2025数据'!$B$3:$B$181,$E694))</f>
        <v>0</v>
      </c>
    </row>
    <row r="695" ht="24" customHeight="1" spans="1:17">
      <c r="A695" s="99" t="s">
        <v>346</v>
      </c>
      <c r="B695" s="99" t="s">
        <v>299</v>
      </c>
      <c r="C695" s="99" t="s">
        <v>291</v>
      </c>
      <c r="D695" s="53" t="s">
        <v>305</v>
      </c>
      <c r="E695" s="53" t="s">
        <v>93</v>
      </c>
      <c r="F695" s="210">
        <f ca="1">IF($S$1&lt;DATE(2025,1,1)," ",COUNTIFS('2025数据'!$L$3:$L$181,"&gt;="&amp;DATE(2025,1,1),'2025数据'!$L$3:$L$181,"&lt;="&amp;DATE(2025,1,31),'2025数据'!$AY$3:$AY$181,$E$39,'2025数据'!$B$3:$B$181,$E695))</f>
        <v>0</v>
      </c>
      <c r="G695" s="210">
        <f ca="1">IF($S$1&lt;DATE(2025,2,1)," ",COUNTIFS('2025数据'!$L$3:$L$181,"&gt;="&amp;DATE(2025,2,1),'2025数据'!$L$3:$L$181,"&lt;="&amp;DATE(2025,2,28),'2025数据'!$AY$3:$AY$181,$E$39,'2025数据'!$B$3:$B$181,$E695))</f>
        <v>0</v>
      </c>
      <c r="H695" s="210">
        <f ca="1">IF($S$1&lt;DATE(2025,3,1)," ",COUNTIFS('2025数据'!$L$3:$L$181,"&gt;="&amp;DATE(2025,3,1),'2025数据'!$L$3:$L$181,"&lt;="&amp;DATE(2025,3,31),'2025数据'!$AY$3:$AY$181,$E$39,'2025数据'!$B$3:$B$181,$E695))</f>
        <v>0</v>
      </c>
      <c r="I695" s="210">
        <f ca="1">IF($S$1&lt;DATE(2025,4,1)," ",COUNTIFS('2025数据'!$L$3:$L$181,"&gt;="&amp;DATE(2025,4,1),'2025数据'!$L$3:$L$181,"&lt;="&amp;DATE(2025,4,30),'2025数据'!$AY$3:$AY$181,$E$39,'2025数据'!$B$3:$B$181,$E695))</f>
        <v>0</v>
      </c>
      <c r="J695" s="210">
        <f ca="1">IF($S$1&lt;DATE(2025,5,1)," ",COUNTIFS('2025数据'!$L$3:$L$181,"&gt;="&amp;DATE(2025,5,1),'2025数据'!$L$3:$L$181,"&lt;="&amp;DATE(2025,5,31),'2025数据'!$AY$3:$AY$181,$E$39,'2025数据'!$B$3:$B$181,$E695))</f>
        <v>0</v>
      </c>
      <c r="K695" s="210">
        <f ca="1">IF($S$1&lt;DATE(2025,6,1)," ",COUNTIFS('2025数据'!$L$3:$L$181,"&gt;="&amp;DATE(2025,6,1),'2025数据'!$L$3:$L$181,"&lt;="&amp;DATE(2025,6,30),'2025数据'!$AY$3:$AY$181,$E$39,'2025数据'!$B$3:$B$181,$E695))</f>
        <v>0</v>
      </c>
      <c r="L695" s="210">
        <f ca="1">IF($S$1&lt;DATE(2025,7,1)," ",COUNTIFS('2025数据'!$L$3:$L$181,"&gt;="&amp;DATE(2025,7,1),'2025数据'!$L$3:$L$181,"&lt;="&amp;DATE(2025,7,31),'2025数据'!$AY$3:$AY$181,$E$39,'2025数据'!$B$3:$B$181,$E695))</f>
        <v>0</v>
      </c>
      <c r="M695" s="210">
        <f ca="1">IF($S$1&lt;DATE(2025,8,1)," ",COUNTIFS('2025数据'!$L$3:$L$181,"&gt;="&amp;DATE(2025,8,1),'2025数据'!$L$3:$L$181,"&lt;="&amp;DATE(2025,8,31),'2025数据'!$AY$3:$AY$181,$E$39,'2025数据'!$B$3:$B$181,$E695))</f>
        <v>0</v>
      </c>
      <c r="N695" s="210">
        <f ca="1">IF($S$1&lt;DATE(2025,9,1)," ",COUNTIFS('2025数据'!$L$3:$L$181,"&gt;="&amp;DATE(2025,9,1),'2025数据'!$L$3:$L$181,"&lt;="&amp;DATE(2025,9,30),'2025数据'!$AY$3:$AY$181,$E$39,'2025数据'!$B$3:$B$181,$E695))</f>
        <v>0</v>
      </c>
      <c r="O695" s="210">
        <f ca="1">IF($S$1&lt;DATE(2025,10,1)," ",COUNTIFS('2025数据'!$L$3:$L$181,"&gt;="&amp;DATE(2025,10,1),'2025数据'!$L$3:$L$181,"&lt;="&amp;DATE(2025,10,31),'2025数据'!$AY$3:$AY$181,$E$39,'2025数据'!$B$3:$B$181,$E695))</f>
        <v>0</v>
      </c>
      <c r="P695" s="212">
        <f ca="1">IF($S$1&lt;DATE(2025,11,1)," ",COUNTIFS('2025数据'!$L$3:$L$181,"&gt;="&amp;DATE(2025,11,1),'2025数据'!$L$3:$L$181,"&lt;="&amp;DATE(2025,11,30),'2025数据'!$AY$3:$AY$181,$E$39,'2025数据'!$B$3:$B$181,$E695))</f>
        <v>0</v>
      </c>
      <c r="Q695" s="212">
        <f ca="1">IF($S$1&lt;DATE(2025,12,1)," ",COUNTIFS('2025数据'!$L$3:$L$181,"&gt;="&amp;DATE(2025,12,1),'2025数据'!$L$3:$L$181,"&lt;="&amp;DATE(2025,12,31),'2025数据'!$AY$3:$AY$181,$E$39,'2025数据'!$B$3:$B$181,$E695))</f>
        <v>0</v>
      </c>
    </row>
    <row r="696" ht="24" customHeight="1" spans="1:17">
      <c r="A696" s="99" t="s">
        <v>346</v>
      </c>
      <c r="B696" s="99" t="s">
        <v>299</v>
      </c>
      <c r="C696" s="99" t="s">
        <v>291</v>
      </c>
      <c r="D696" s="53" t="s">
        <v>305</v>
      </c>
      <c r="E696" s="53" t="s">
        <v>85</v>
      </c>
      <c r="F696" s="210">
        <f ca="1">IF($S$1&lt;DATE(2025,1,1)," ",COUNTIFS('2025数据'!$L$3:$L$181,"&gt;="&amp;DATE(2025,1,1),'2025数据'!$L$3:$L$181,"&lt;="&amp;DATE(2025,1,31),'2025数据'!$AY$3:$AY$181,$E$39,'2025数据'!$B$3:$B$181,$E696))</f>
        <v>0</v>
      </c>
      <c r="G696" s="210">
        <f ca="1">IF($S$1&lt;DATE(2025,2,1)," ",COUNTIFS('2025数据'!$L$3:$L$181,"&gt;="&amp;DATE(2025,2,1),'2025数据'!$L$3:$L$181,"&lt;="&amp;DATE(2025,2,28),'2025数据'!$AY$3:$AY$181,$E$39,'2025数据'!$B$3:$B$181,$E696))</f>
        <v>0</v>
      </c>
      <c r="H696" s="210">
        <f ca="1">IF($S$1&lt;DATE(2025,3,1)," ",COUNTIFS('2025数据'!$L$3:$L$181,"&gt;="&amp;DATE(2025,3,1),'2025数据'!$L$3:$L$181,"&lt;="&amp;DATE(2025,3,31),'2025数据'!$AY$3:$AY$181,$E$39,'2025数据'!$B$3:$B$181,$E696))</f>
        <v>0</v>
      </c>
      <c r="I696" s="210">
        <f ca="1">IF($S$1&lt;DATE(2025,4,1)," ",COUNTIFS('2025数据'!$L$3:$L$181,"&gt;="&amp;DATE(2025,4,1),'2025数据'!$L$3:$L$181,"&lt;="&amp;DATE(2025,4,30),'2025数据'!$AY$3:$AY$181,$E$39,'2025数据'!$B$3:$B$181,$E696))</f>
        <v>0</v>
      </c>
      <c r="J696" s="210">
        <f ca="1">IF($S$1&lt;DATE(2025,5,1)," ",COUNTIFS('2025数据'!$L$3:$L$181,"&gt;="&amp;DATE(2025,5,1),'2025数据'!$L$3:$L$181,"&lt;="&amp;DATE(2025,5,31),'2025数据'!$AY$3:$AY$181,$E$39,'2025数据'!$B$3:$B$181,$E696))</f>
        <v>0</v>
      </c>
      <c r="K696" s="210">
        <f ca="1">IF($S$1&lt;DATE(2025,6,1)," ",COUNTIFS('2025数据'!$L$3:$L$181,"&gt;="&amp;DATE(2025,6,1),'2025数据'!$L$3:$L$181,"&lt;="&amp;DATE(2025,6,30),'2025数据'!$AY$3:$AY$181,$E$39,'2025数据'!$B$3:$B$181,$E696))</f>
        <v>0</v>
      </c>
      <c r="L696" s="210">
        <f ca="1">IF($S$1&lt;DATE(2025,7,1)," ",COUNTIFS('2025数据'!$L$3:$L$181,"&gt;="&amp;DATE(2025,7,1),'2025数据'!$L$3:$L$181,"&lt;="&amp;DATE(2025,7,31),'2025数据'!$AY$3:$AY$181,$E$39,'2025数据'!$B$3:$B$181,$E696))</f>
        <v>0</v>
      </c>
      <c r="M696" s="210">
        <f ca="1">IF($S$1&lt;DATE(2025,8,1)," ",COUNTIFS('2025数据'!$L$3:$L$181,"&gt;="&amp;DATE(2025,8,1),'2025数据'!$L$3:$L$181,"&lt;="&amp;DATE(2025,8,31),'2025数据'!$AY$3:$AY$181,$E$39,'2025数据'!$B$3:$B$181,$E696))</f>
        <v>0</v>
      </c>
      <c r="N696" s="210">
        <f ca="1">IF($S$1&lt;DATE(2025,9,1)," ",COUNTIFS('2025数据'!$L$3:$L$181,"&gt;="&amp;DATE(2025,9,1),'2025数据'!$L$3:$L$181,"&lt;="&amp;DATE(2025,9,30),'2025数据'!$AY$3:$AY$181,$E$39,'2025数据'!$B$3:$B$181,$E696))</f>
        <v>0</v>
      </c>
      <c r="O696" s="210">
        <f ca="1">IF($S$1&lt;DATE(2025,10,1)," ",COUNTIFS('2025数据'!$L$3:$L$181,"&gt;="&amp;DATE(2025,10,1),'2025数据'!$L$3:$L$181,"&lt;="&amp;DATE(2025,10,31),'2025数据'!$AY$3:$AY$181,$E$39,'2025数据'!$B$3:$B$181,$E696))</f>
        <v>0</v>
      </c>
      <c r="P696" s="212">
        <f ca="1">IF($S$1&lt;DATE(2025,11,1)," ",COUNTIFS('2025数据'!$L$3:$L$181,"&gt;="&amp;DATE(2025,11,1),'2025数据'!$L$3:$L$181,"&lt;="&amp;DATE(2025,11,30),'2025数据'!$AY$3:$AY$181,$E$39,'2025数据'!$B$3:$B$181,$E696))</f>
        <v>0</v>
      </c>
      <c r="Q696" s="212">
        <f ca="1">IF($S$1&lt;DATE(2025,12,1)," ",COUNTIFS('2025数据'!$L$3:$L$181,"&gt;="&amp;DATE(2025,12,1),'2025数据'!$L$3:$L$181,"&lt;="&amp;DATE(2025,12,31),'2025数据'!$AY$3:$AY$181,$E$39,'2025数据'!$B$3:$B$181,$E696))</f>
        <v>0</v>
      </c>
    </row>
    <row r="697" ht="24" customHeight="1" spans="1:17">
      <c r="A697" s="99" t="s">
        <v>346</v>
      </c>
      <c r="B697" s="99" t="s">
        <v>299</v>
      </c>
      <c r="C697" s="99" t="s">
        <v>291</v>
      </c>
      <c r="D697" s="53" t="s">
        <v>305</v>
      </c>
      <c r="E697" s="53" t="s">
        <v>81</v>
      </c>
      <c r="F697" s="210">
        <f ca="1">IF($S$1&lt;DATE(2025,1,1)," ",COUNTIFS('2025数据'!$L$3:$L$181,"&gt;="&amp;DATE(2025,1,1),'2025数据'!$L$3:$L$181,"&lt;="&amp;DATE(2025,1,31),'2025数据'!$AY$3:$AY$181,$E$39,'2025数据'!$B$3:$B$181,$E697))</f>
        <v>0</v>
      </c>
      <c r="G697" s="210">
        <f ca="1">IF($S$1&lt;DATE(2025,2,1)," ",COUNTIFS('2025数据'!$L$3:$L$181,"&gt;="&amp;DATE(2025,2,1),'2025数据'!$L$3:$L$181,"&lt;="&amp;DATE(2025,2,28),'2025数据'!$AY$3:$AY$181,$E$39,'2025数据'!$B$3:$B$181,$E697))</f>
        <v>0</v>
      </c>
      <c r="H697" s="210">
        <f ca="1">IF($S$1&lt;DATE(2025,3,1)," ",COUNTIFS('2025数据'!$L$3:$L$181,"&gt;="&amp;DATE(2025,3,1),'2025数据'!$L$3:$L$181,"&lt;="&amp;DATE(2025,3,31),'2025数据'!$AY$3:$AY$181,$E$39,'2025数据'!$B$3:$B$181,$E697))</f>
        <v>0</v>
      </c>
      <c r="I697" s="210">
        <f ca="1">IF($S$1&lt;DATE(2025,4,1)," ",COUNTIFS('2025数据'!$L$3:$L$181,"&gt;="&amp;DATE(2025,4,1),'2025数据'!$L$3:$L$181,"&lt;="&amp;DATE(2025,4,30),'2025数据'!$AY$3:$AY$181,$E$39,'2025数据'!$B$3:$B$181,$E697))</f>
        <v>0</v>
      </c>
      <c r="J697" s="210">
        <f ca="1">IF($S$1&lt;DATE(2025,5,1)," ",COUNTIFS('2025数据'!$L$3:$L$181,"&gt;="&amp;DATE(2025,5,1),'2025数据'!$L$3:$L$181,"&lt;="&amp;DATE(2025,5,31),'2025数据'!$AY$3:$AY$181,$E$39,'2025数据'!$B$3:$B$181,$E697))</f>
        <v>0</v>
      </c>
      <c r="K697" s="210">
        <f ca="1">IF($S$1&lt;DATE(2025,6,1)," ",COUNTIFS('2025数据'!$L$3:$L$181,"&gt;="&amp;DATE(2025,6,1),'2025数据'!$L$3:$L$181,"&lt;="&amp;DATE(2025,6,30),'2025数据'!$AY$3:$AY$181,$E$39,'2025数据'!$B$3:$B$181,$E697))</f>
        <v>0</v>
      </c>
      <c r="L697" s="210">
        <f ca="1">IF($S$1&lt;DATE(2025,7,1)," ",COUNTIFS('2025数据'!$L$3:$L$181,"&gt;="&amp;DATE(2025,7,1),'2025数据'!$L$3:$L$181,"&lt;="&amp;DATE(2025,7,31),'2025数据'!$AY$3:$AY$181,$E$39,'2025数据'!$B$3:$B$181,$E697))</f>
        <v>0</v>
      </c>
      <c r="M697" s="210">
        <f ca="1">IF($S$1&lt;DATE(2025,8,1)," ",COUNTIFS('2025数据'!$L$3:$L$181,"&gt;="&amp;DATE(2025,8,1),'2025数据'!$L$3:$L$181,"&lt;="&amp;DATE(2025,8,31),'2025数据'!$AY$3:$AY$181,$E$39,'2025数据'!$B$3:$B$181,$E697))</f>
        <v>0</v>
      </c>
      <c r="N697" s="210">
        <f ca="1">IF($S$1&lt;DATE(2025,9,1)," ",COUNTIFS('2025数据'!$L$3:$L$181,"&gt;="&amp;DATE(2025,9,1),'2025数据'!$L$3:$L$181,"&lt;="&amp;DATE(2025,9,30),'2025数据'!$AY$3:$AY$181,$E$39,'2025数据'!$B$3:$B$181,$E697))</f>
        <v>0</v>
      </c>
      <c r="O697" s="210">
        <f ca="1">IF($S$1&lt;DATE(2025,10,1)," ",COUNTIFS('2025数据'!$L$3:$L$181,"&gt;="&amp;DATE(2025,10,1),'2025数据'!$L$3:$L$181,"&lt;="&amp;DATE(2025,10,31),'2025数据'!$AY$3:$AY$181,$E$39,'2025数据'!$B$3:$B$181,$E697))</f>
        <v>0</v>
      </c>
      <c r="P697" s="212">
        <f ca="1">IF($S$1&lt;DATE(2025,11,1)," ",COUNTIFS('2025数据'!$L$3:$L$181,"&gt;="&amp;DATE(2025,11,1),'2025数据'!$L$3:$L$181,"&lt;="&amp;DATE(2025,11,30),'2025数据'!$AY$3:$AY$181,$E$39,'2025数据'!$B$3:$B$181,$E697))</f>
        <v>0</v>
      </c>
      <c r="Q697" s="212">
        <f ca="1">IF($S$1&lt;DATE(2025,12,1)," ",COUNTIFS('2025数据'!$L$3:$L$181,"&gt;="&amp;DATE(2025,12,1),'2025数据'!$L$3:$L$181,"&lt;="&amp;DATE(2025,12,31),'2025数据'!$AY$3:$AY$181,$E$39,'2025数据'!$B$3:$B$181,$E697))</f>
        <v>0</v>
      </c>
    </row>
    <row r="698" ht="24" customHeight="1" spans="1:17">
      <c r="A698" s="99" t="s">
        <v>346</v>
      </c>
      <c r="B698" s="99" t="s">
        <v>299</v>
      </c>
      <c r="C698" s="99" t="s">
        <v>291</v>
      </c>
      <c r="D698" s="53" t="s">
        <v>305</v>
      </c>
      <c r="E698" s="53" t="s">
        <v>96</v>
      </c>
      <c r="F698" s="210">
        <f ca="1">IF($S$1&lt;DATE(2025,1,1)," ",COUNTIFS('2025数据'!$L$3:$L$181,"&gt;="&amp;DATE(2025,1,1),'2025数据'!$L$3:$L$181,"&lt;="&amp;DATE(2025,1,31),'2025数据'!$AY$3:$AY$181,$E$39,'2025数据'!$B$3:$B$181,$E698))</f>
        <v>0</v>
      </c>
      <c r="G698" s="210">
        <f ca="1">IF($S$1&lt;DATE(2025,2,1)," ",COUNTIFS('2025数据'!$L$3:$L$181,"&gt;="&amp;DATE(2025,2,1),'2025数据'!$L$3:$L$181,"&lt;="&amp;DATE(2025,2,28),'2025数据'!$AY$3:$AY$181,$E$39,'2025数据'!$B$3:$B$181,$E698))</f>
        <v>0</v>
      </c>
      <c r="H698" s="210">
        <f ca="1">IF($S$1&lt;DATE(2025,3,1)," ",COUNTIFS('2025数据'!$L$3:$L$181,"&gt;="&amp;DATE(2025,3,1),'2025数据'!$L$3:$L$181,"&lt;="&amp;DATE(2025,3,31),'2025数据'!$AY$3:$AY$181,$E$39,'2025数据'!$B$3:$B$181,$E698))</f>
        <v>0</v>
      </c>
      <c r="I698" s="210">
        <f ca="1">IF($S$1&lt;DATE(2025,4,1)," ",COUNTIFS('2025数据'!$L$3:$L$181,"&gt;="&amp;DATE(2025,4,1),'2025数据'!$L$3:$L$181,"&lt;="&amp;DATE(2025,4,30),'2025数据'!$AY$3:$AY$181,$E$39,'2025数据'!$B$3:$B$181,$E698))</f>
        <v>1</v>
      </c>
      <c r="J698" s="210">
        <f ca="1">IF($S$1&lt;DATE(2025,5,1)," ",COUNTIFS('2025数据'!$L$3:$L$181,"&gt;="&amp;DATE(2025,5,1),'2025数据'!$L$3:$L$181,"&lt;="&amp;DATE(2025,5,31),'2025数据'!$AY$3:$AY$181,$E$39,'2025数据'!$B$3:$B$181,$E698))</f>
        <v>0</v>
      </c>
      <c r="K698" s="210">
        <f ca="1">IF($S$1&lt;DATE(2025,6,1)," ",COUNTIFS('2025数据'!$L$3:$L$181,"&gt;="&amp;DATE(2025,6,1),'2025数据'!$L$3:$L$181,"&lt;="&amp;DATE(2025,6,30),'2025数据'!$AY$3:$AY$181,$E$39,'2025数据'!$B$3:$B$181,$E698))</f>
        <v>0</v>
      </c>
      <c r="L698" s="210">
        <f ca="1">IF($S$1&lt;DATE(2025,7,1)," ",COUNTIFS('2025数据'!$L$3:$L$181,"&gt;="&amp;DATE(2025,7,1),'2025数据'!$L$3:$L$181,"&lt;="&amp;DATE(2025,7,31),'2025数据'!$AY$3:$AY$181,$E$39,'2025数据'!$B$3:$B$181,$E698))</f>
        <v>0</v>
      </c>
      <c r="M698" s="210">
        <f ca="1">IF($S$1&lt;DATE(2025,8,1)," ",COUNTIFS('2025数据'!$L$3:$L$181,"&gt;="&amp;DATE(2025,8,1),'2025数据'!$L$3:$L$181,"&lt;="&amp;DATE(2025,8,31),'2025数据'!$AY$3:$AY$181,$E$39,'2025数据'!$B$3:$B$181,$E698))</f>
        <v>0</v>
      </c>
      <c r="N698" s="210">
        <f ca="1">IF($S$1&lt;DATE(2025,9,1)," ",COUNTIFS('2025数据'!$L$3:$L$181,"&gt;="&amp;DATE(2025,9,1),'2025数据'!$L$3:$L$181,"&lt;="&amp;DATE(2025,9,30),'2025数据'!$AY$3:$AY$181,$E$39,'2025数据'!$B$3:$B$181,$E698))</f>
        <v>0</v>
      </c>
      <c r="O698" s="210">
        <f ca="1">IF($S$1&lt;DATE(2025,10,1)," ",COUNTIFS('2025数据'!$L$3:$L$181,"&gt;="&amp;DATE(2025,10,1),'2025数据'!$L$3:$L$181,"&lt;="&amp;DATE(2025,10,31),'2025数据'!$AY$3:$AY$181,$E$39,'2025数据'!$B$3:$B$181,$E698))</f>
        <v>0</v>
      </c>
      <c r="P698" s="212">
        <f ca="1">IF($S$1&lt;DATE(2025,11,1)," ",COUNTIFS('2025数据'!$L$3:$L$181,"&gt;="&amp;DATE(2025,11,1),'2025数据'!$L$3:$L$181,"&lt;="&amp;DATE(2025,11,30),'2025数据'!$AY$3:$AY$181,$E$39,'2025数据'!$B$3:$B$181,$E698))</f>
        <v>0</v>
      </c>
      <c r="Q698" s="212">
        <f ca="1">IF($S$1&lt;DATE(2025,12,1)," ",COUNTIFS('2025数据'!$L$3:$L$181,"&gt;="&amp;DATE(2025,12,1),'2025数据'!$L$3:$L$181,"&lt;="&amp;DATE(2025,12,31),'2025数据'!$AY$3:$AY$181,$E$39,'2025数据'!$B$3:$B$181,$E698))</f>
        <v>0</v>
      </c>
    </row>
    <row r="699" ht="24" customHeight="1" spans="1:17">
      <c r="A699" s="99" t="s">
        <v>346</v>
      </c>
      <c r="B699" s="99" t="s">
        <v>299</v>
      </c>
      <c r="C699" s="99" t="s">
        <v>291</v>
      </c>
      <c r="D699" s="53" t="s">
        <v>305</v>
      </c>
      <c r="E699" s="53" t="s">
        <v>160</v>
      </c>
      <c r="F699" s="210">
        <f ca="1">IF($S$1&lt;DATE(2025,1,1)," ",COUNTIFS('2025数据'!$L$3:$L$181,"&gt;="&amp;DATE(2025,1,1),'2025数据'!$L$3:$L$181,"&lt;="&amp;DATE(2025,1,31),'2025数据'!$AY$3:$AY$181,$E$39,'2025数据'!$B$3:$B$181,$E699))</f>
        <v>0</v>
      </c>
      <c r="G699" s="210">
        <f ca="1">IF($S$1&lt;DATE(2025,2,1)," ",COUNTIFS('2025数据'!$L$3:$L$181,"&gt;="&amp;DATE(2025,2,1),'2025数据'!$L$3:$L$181,"&lt;="&amp;DATE(2025,2,28),'2025数据'!$AY$3:$AY$181,$E$39,'2025数据'!$B$3:$B$181,$E699))</f>
        <v>0</v>
      </c>
      <c r="H699" s="210">
        <f ca="1">IF($S$1&lt;DATE(2025,3,1)," ",COUNTIFS('2025数据'!$L$3:$L$181,"&gt;="&amp;DATE(2025,3,1),'2025数据'!$L$3:$L$181,"&lt;="&amp;DATE(2025,3,31),'2025数据'!$AY$3:$AY$181,$E$39,'2025数据'!$B$3:$B$181,$E699))</f>
        <v>0</v>
      </c>
      <c r="I699" s="210">
        <f ca="1">IF($S$1&lt;DATE(2025,4,1)," ",COUNTIFS('2025数据'!$L$3:$L$181,"&gt;="&amp;DATE(2025,4,1),'2025数据'!$L$3:$L$181,"&lt;="&amp;DATE(2025,4,30),'2025数据'!$AY$3:$AY$181,$E$39,'2025数据'!$B$3:$B$181,$E699))</f>
        <v>0</v>
      </c>
      <c r="J699" s="210">
        <f ca="1">IF($S$1&lt;DATE(2025,5,1)," ",COUNTIFS('2025数据'!$L$3:$L$181,"&gt;="&amp;DATE(2025,5,1),'2025数据'!$L$3:$L$181,"&lt;="&amp;DATE(2025,5,31),'2025数据'!$AY$3:$AY$181,$E$39,'2025数据'!$B$3:$B$181,$E699))</f>
        <v>0</v>
      </c>
      <c r="K699" s="210">
        <f ca="1">IF($S$1&lt;DATE(2025,6,1)," ",COUNTIFS('2025数据'!$L$3:$L$181,"&gt;="&amp;DATE(2025,6,1),'2025数据'!$L$3:$L$181,"&lt;="&amp;DATE(2025,6,30),'2025数据'!$AY$3:$AY$181,$E$39,'2025数据'!$B$3:$B$181,$E699))</f>
        <v>0</v>
      </c>
      <c r="L699" s="210">
        <f ca="1">IF($S$1&lt;DATE(2025,7,1)," ",COUNTIFS('2025数据'!$L$3:$L$181,"&gt;="&amp;DATE(2025,7,1),'2025数据'!$L$3:$L$181,"&lt;="&amp;DATE(2025,7,31),'2025数据'!$AY$3:$AY$181,$E$39,'2025数据'!$B$3:$B$181,$E699))</f>
        <v>0</v>
      </c>
      <c r="M699" s="210">
        <f ca="1">IF($S$1&lt;DATE(2025,8,1)," ",COUNTIFS('2025数据'!$L$3:$L$181,"&gt;="&amp;DATE(2025,8,1),'2025数据'!$L$3:$L$181,"&lt;="&amp;DATE(2025,8,31),'2025数据'!$AY$3:$AY$181,$E$39,'2025数据'!$B$3:$B$181,$E699))</f>
        <v>0</v>
      </c>
      <c r="N699" s="210">
        <f ca="1">IF($S$1&lt;DATE(2025,9,1)," ",COUNTIFS('2025数据'!$L$3:$L$181,"&gt;="&amp;DATE(2025,9,1),'2025数据'!$L$3:$L$181,"&lt;="&amp;DATE(2025,9,30),'2025数据'!$AY$3:$AY$181,$E$39,'2025数据'!$B$3:$B$181,$E699))</f>
        <v>0</v>
      </c>
      <c r="O699" s="210">
        <f ca="1">IF($S$1&lt;DATE(2025,10,1)," ",COUNTIFS('2025数据'!$L$3:$L$181,"&gt;="&amp;DATE(2025,10,1),'2025数据'!$L$3:$L$181,"&lt;="&amp;DATE(2025,10,31),'2025数据'!$AY$3:$AY$181,$E$39,'2025数据'!$B$3:$B$181,$E699))</f>
        <v>0</v>
      </c>
      <c r="P699" s="212">
        <f ca="1">IF($S$1&lt;DATE(2025,11,1)," ",COUNTIFS('2025数据'!$L$3:$L$181,"&gt;="&amp;DATE(2025,11,1),'2025数据'!$L$3:$L$181,"&lt;="&amp;DATE(2025,11,30),'2025数据'!$AY$3:$AY$181,$E$39,'2025数据'!$B$3:$B$181,$E699))</f>
        <v>0</v>
      </c>
      <c r="Q699" s="212">
        <f ca="1">IF($S$1&lt;DATE(2025,12,1)," ",COUNTIFS('2025数据'!$L$3:$L$181,"&gt;="&amp;DATE(2025,12,1),'2025数据'!$L$3:$L$181,"&lt;="&amp;DATE(2025,12,31),'2025数据'!$AY$3:$AY$181,$E$39,'2025数据'!$B$3:$B$181,$E699))</f>
        <v>0</v>
      </c>
    </row>
    <row r="700" ht="24" customHeight="1" spans="1:17">
      <c r="A700" s="99" t="s">
        <v>346</v>
      </c>
      <c r="B700" s="99" t="s">
        <v>299</v>
      </c>
      <c r="C700" s="99" t="s">
        <v>291</v>
      </c>
      <c r="D700" s="100" t="s">
        <v>292</v>
      </c>
      <c r="E700" s="100" t="s">
        <v>306</v>
      </c>
      <c r="F700" s="204">
        <f ca="1">IF($S$1&lt;DATE(2025,1,1)," ",SUM(F701:F703))</f>
        <v>5</v>
      </c>
      <c r="G700" s="204">
        <f ca="1">IF($S$1&lt;DATE(2025,2,1)," ",SUM(G701:G703))</f>
        <v>0</v>
      </c>
      <c r="H700" s="204">
        <f ca="1">IF($S$1&lt;DATE(2025,3,1)," ",SUM(H701:H703))</f>
        <v>1</v>
      </c>
      <c r="I700" s="204">
        <f ca="1">IF($S$1&lt;DATE(2025,4,1)," ",SUM(I701:I703))</f>
        <v>7</v>
      </c>
      <c r="J700" s="204">
        <f ca="1">IF($S$1&lt;DATE(2025,5,1)," ",SUM(J701:J703))</f>
        <v>2</v>
      </c>
      <c r="K700" s="204">
        <f ca="1">IF($S$1&lt;DATE(2025,6,1)," ",SUM(K701:K703))</f>
        <v>3</v>
      </c>
      <c r="L700" s="204">
        <f ca="1">IF($S$1&lt;DATE(2025,7,1)," ",SUM(L701:L703))</f>
        <v>4</v>
      </c>
      <c r="M700" s="204">
        <f ca="1">IF($S$1&lt;DATE(2025,8,1)," ",SUM(M701:M703))</f>
        <v>6</v>
      </c>
      <c r="N700" s="204">
        <f ca="1">IF($S$1&lt;DATE(2025,9,1)," ",SUM(N701:N703))</f>
        <v>4</v>
      </c>
      <c r="O700" s="204">
        <f ca="1">IF($S$1&lt;DATE(2025,10,1)," ",SUM(O701:O703))</f>
        <v>4</v>
      </c>
      <c r="P700" s="204">
        <f ca="1">IF($S$1&lt;DATE(2025,11,1)," ",SUM(P701:P703))</f>
        <v>2</v>
      </c>
      <c r="Q700" s="204">
        <f ca="1">IF($S$1&lt;DATE(2025,12,1)," ",SUM(Q701:Q703))</f>
        <v>4</v>
      </c>
    </row>
    <row r="701" ht="24" customHeight="1" spans="1:17">
      <c r="A701" s="99" t="s">
        <v>346</v>
      </c>
      <c r="B701" s="99" t="s">
        <v>299</v>
      </c>
      <c r="C701" s="99" t="s">
        <v>291</v>
      </c>
      <c r="D701" s="48" t="s">
        <v>296</v>
      </c>
      <c r="E701" s="48" t="s">
        <v>90</v>
      </c>
      <c r="F701" s="205">
        <f ca="1">IF($S$1&lt;DATE(2025,1,1)," ",COUNTIFS('2025数据'!$L$3:$L$181,"&gt;="&amp;DATE(2024,1,1),'2025数据'!$L$3:$L$181,"&lt;="&amp;DATE(2025,1,31),'2025数据'!$AF$3:$AF$181,$E701))</f>
        <v>1</v>
      </c>
      <c r="G701" s="205">
        <f ca="1">IF($S$1&lt;DATE(2025,2,1)," ",COUNTIFS('2025数据'!$L$3:$L$181,"&gt;="&amp;DATE(2025,2,1),'2025数据'!$L$3:$L$181,"&lt;="&amp;DATE(2025,2,28),'2025数据'!$AF$3:$AF$181,$E701))</f>
        <v>0</v>
      </c>
      <c r="H701" s="205">
        <f ca="1">IF($S$1&lt;DATE(2025,3,1)," ",COUNTIFS('2025数据'!$L$3:$L$181,"&gt;="&amp;DATE(2025,3,1),'2025数据'!$L$3:$L$181,"&lt;="&amp;DATE(2025,3,31),'2025数据'!$AF$3:$AF$181,$E701))</f>
        <v>0</v>
      </c>
      <c r="I701" s="205">
        <f ca="1">IF($S$1&lt;DATE(2025,4,1)," ",COUNTIFS('2025数据'!$L$3:$L$181,"&gt;="&amp;DATE(2025,4,1),'2025数据'!$L$3:$L$181,"&lt;="&amp;DATE(2025,4,30),'2025数据'!$AF$3:$AF$181,$E701))</f>
        <v>5</v>
      </c>
      <c r="J701" s="205">
        <f ca="1">IF($S$1&lt;DATE(2025,5,1)," ",COUNTIFS('2025数据'!$L$3:$L$181,"&gt;="&amp;DATE(2025,5,1),'2025数据'!$L$3:$L$181,"&lt;="&amp;DATE(2025,5,31),'2025数据'!$AF$3:$AF$181,$E701))</f>
        <v>0</v>
      </c>
      <c r="K701" s="205">
        <f ca="1">IF($S$1&lt;DATE(2025,6,1)," ",COUNTIFS('2025数据'!$L$3:$L$181,"&gt;="&amp;DATE(2025,6,1),'2025数据'!$L$3:$L$181,"&lt;="&amp;DATE(2025,6,30),'2025数据'!$AF$3:$AF$181,$E701))</f>
        <v>1</v>
      </c>
      <c r="L701" s="205">
        <f ca="1">IF($S$1&lt;DATE(2025,7,1)," ",COUNTIFS('2025数据'!$L$3:$L$181,"&gt;="&amp;DATE(2025,7,1),'2025数据'!$L$3:$L$181,"&lt;="&amp;DATE(2025,7,31),'2025数据'!$AF$3:$AF$181,$E701))</f>
        <v>1</v>
      </c>
      <c r="M701" s="205">
        <f ca="1">IF($S$1&lt;DATE(2025,8,1)," ",COUNTIFS('2025数据'!$L$3:$L$181,"&gt;="&amp;DATE(2025,8,1),'2025数据'!$L$3:$L$181,"&lt;="&amp;DATE(2025,8,31),'2025数据'!$AF$3:$AF$181,$E701))</f>
        <v>3</v>
      </c>
      <c r="N701" s="205">
        <f ca="1">IF($S$1&lt;DATE(2025,9,1)," ",COUNTIFS('2025数据'!$L$3:$L$181,"&gt;="&amp;DATE(2025,9,1),'2025数据'!$L$3:$L$181,"&lt;="&amp;DATE(2025,9,30),'2025数据'!$AF$3:$AF$181,$E701))</f>
        <v>1</v>
      </c>
      <c r="O701" s="205">
        <f ca="1">IF($S$1&lt;DATE(2025,10,1)," ",COUNTIFS('2025数据'!$L$3:$L$181,"&gt;="&amp;DATE(2025,10,1),'2025数据'!$L$3:$L$181,"&lt;="&amp;DATE(2025,10,31),'2025数据'!$AF$3:$AF$181,$E701))</f>
        <v>1</v>
      </c>
      <c r="P701" s="207">
        <f ca="1">IF($S$1&lt;DATE(2025,11,1)," ",COUNTIFS('2025数据'!$L$3:$L$181,"&gt;="&amp;DATE(2025,11,1),'2025数据'!$L$3:$L$181,"&lt;="&amp;DATE(2025,11,30),'2025数据'!$AF$3:$AF$181,$E701))</f>
        <v>2</v>
      </c>
      <c r="Q701" s="207">
        <f ca="1">IF($S$1&lt;DATE(2025,12,1)," ",COUNTIFS('2025数据'!$L$3:$L$181,"&gt;="&amp;DATE(2025,12,1),'2025数据'!$L$3:$L$181,"&lt;="&amp;DATE(2025,12,31),'2025数据'!$AF$3:$AF$181,$E701))</f>
        <v>2</v>
      </c>
    </row>
    <row r="702" ht="24" customHeight="1" spans="1:17">
      <c r="A702" s="99" t="s">
        <v>346</v>
      </c>
      <c r="B702" s="99" t="s">
        <v>299</v>
      </c>
      <c r="C702" s="99" t="s">
        <v>291</v>
      </c>
      <c r="D702" s="48" t="s">
        <v>296</v>
      </c>
      <c r="E702" s="48" t="s">
        <v>82</v>
      </c>
      <c r="F702" s="205">
        <f ca="1">IF($S$1&lt;DATE(2025,1,1)," ",COUNTIFS('2025数据'!$L$3:$L$181,"&gt;="&amp;DATE(2024,1,1),'2025数据'!$L$3:$L$181,"&lt;="&amp;DATE(2025,1,31),'2025数据'!$AF$3:$AF$181,$E702))</f>
        <v>3</v>
      </c>
      <c r="G702" s="205">
        <f ca="1">IF($S$1&lt;DATE(2025,2,1)," ",COUNTIFS('2025数据'!$L$3:$L$181,"&gt;="&amp;DATE(2025,2,1),'2025数据'!$L$3:$L$181,"&lt;="&amp;DATE(2025,2,28),'2025数据'!$AF$3:$AF$181,$E702))</f>
        <v>0</v>
      </c>
      <c r="H702" s="205">
        <f ca="1">IF($S$1&lt;DATE(2025,3,1)," ",COUNTIFS('2025数据'!$L$3:$L$181,"&gt;="&amp;DATE(2025,3,1),'2025数据'!$L$3:$L$181,"&lt;="&amp;DATE(2025,3,31),'2025数据'!$AF$3:$AF$181,$E702))</f>
        <v>0</v>
      </c>
      <c r="I702" s="205">
        <f ca="1">IF($S$1&lt;DATE(2025,4,1)," ",COUNTIFS('2025数据'!$L$3:$L$181,"&gt;="&amp;DATE(2025,4,1),'2025数据'!$L$3:$L$181,"&lt;="&amp;DATE(2025,4,30),'2025数据'!$AF$3:$AF$181,$E702))</f>
        <v>0</v>
      </c>
      <c r="J702" s="205">
        <f ca="1">IF($S$1&lt;DATE(2025,5,1)," ",COUNTIFS('2025数据'!$L$3:$L$181,"&gt;="&amp;DATE(2025,5,1),'2025数据'!$L$3:$L$181,"&lt;="&amp;DATE(2025,5,31),'2025数据'!$AF$3:$AF$181,$E702))</f>
        <v>2</v>
      </c>
      <c r="K702" s="205">
        <f ca="1">IF($S$1&lt;DATE(2025,6,1)," ",COUNTIFS('2025数据'!$L$3:$L$181,"&gt;="&amp;DATE(2025,6,1),'2025数据'!$L$3:$L$181,"&lt;="&amp;DATE(2025,6,30),'2025数据'!$AF$3:$AF$181,$E702))</f>
        <v>1</v>
      </c>
      <c r="L702" s="205">
        <f ca="1">IF($S$1&lt;DATE(2025,7,1)," ",COUNTIFS('2025数据'!$L$3:$L$181,"&gt;="&amp;DATE(2025,7,1),'2025数据'!$L$3:$L$181,"&lt;="&amp;DATE(2025,7,31),'2025数据'!$AF$3:$AF$181,$E702))</f>
        <v>3</v>
      </c>
      <c r="M702" s="205">
        <f ca="1">IF($S$1&lt;DATE(2025,8,1)," ",COUNTIFS('2025数据'!$L$3:$L$181,"&gt;="&amp;DATE(2025,8,1),'2025数据'!$L$3:$L$181,"&lt;="&amp;DATE(2025,8,31),'2025数据'!$AF$3:$AF$181,$E702))</f>
        <v>2</v>
      </c>
      <c r="N702" s="205">
        <f ca="1">IF($S$1&lt;DATE(2025,9,1)," ",COUNTIFS('2025数据'!$L$3:$L$181,"&gt;="&amp;DATE(2025,9,1),'2025数据'!$L$3:$L$181,"&lt;="&amp;DATE(2025,9,30),'2025数据'!$AF$3:$AF$181,$E702))</f>
        <v>1</v>
      </c>
      <c r="O702" s="205">
        <f ca="1">IF($S$1&lt;DATE(2025,10,1)," ",COUNTIFS('2025数据'!$L$3:$L$181,"&gt;="&amp;DATE(2025,10,1),'2025数据'!$L$3:$L$181,"&lt;="&amp;DATE(2025,10,31),'2025数据'!$AF$3:$AF$181,$E702))</f>
        <v>1</v>
      </c>
      <c r="P702" s="207">
        <f ca="1">IF($S$1&lt;DATE(2025,11,1)," ",COUNTIFS('2025数据'!$L$3:$L$181,"&gt;="&amp;DATE(2025,11,1),'2025数据'!$L$3:$L$181,"&lt;="&amp;DATE(2025,11,30),'2025数据'!$AF$3:$AF$181,$E702))</f>
        <v>0</v>
      </c>
      <c r="Q702" s="207">
        <f ca="1">IF($S$1&lt;DATE(2025,12,1)," ",COUNTIFS('2025数据'!$L$3:$L$181,"&gt;="&amp;DATE(2025,12,1),'2025数据'!$L$3:$L$181,"&lt;="&amp;DATE(2025,12,31),'2025数据'!$AF$3:$AF$181,$E702))</f>
        <v>0</v>
      </c>
    </row>
    <row r="703" ht="24" customHeight="1" spans="1:17">
      <c r="A703" s="99" t="s">
        <v>346</v>
      </c>
      <c r="B703" s="99" t="s">
        <v>299</v>
      </c>
      <c r="C703" s="99" t="s">
        <v>291</v>
      </c>
      <c r="D703" s="48" t="s">
        <v>296</v>
      </c>
      <c r="E703" s="48" t="s">
        <v>86</v>
      </c>
      <c r="F703" s="205">
        <f ca="1">IF($S$1&lt;DATE(2025,1,1)," ",COUNTIFS('2025数据'!$L$3:$L$181,"&gt;="&amp;DATE(2024,1,1),'2025数据'!$L$3:$L$181,"&lt;="&amp;DATE(2025,1,31),'2025数据'!$AF$3:$AF$181,$E703))</f>
        <v>1</v>
      </c>
      <c r="G703" s="205">
        <f ca="1">IF($S$1&lt;DATE(2025,2,1)," ",COUNTIFS('2025数据'!$L$3:$L$181,"&gt;="&amp;DATE(2025,2,1),'2025数据'!$L$3:$L$181,"&lt;="&amp;DATE(2025,2,28),'2025数据'!$AF$3:$AF$181,$E703))</f>
        <v>0</v>
      </c>
      <c r="H703" s="205">
        <f ca="1">IF($S$1&lt;DATE(2025,3,1)," ",COUNTIFS('2025数据'!$L$3:$L$181,"&gt;="&amp;DATE(2025,3,1),'2025数据'!$L$3:$L$181,"&lt;="&amp;DATE(2025,3,31),'2025数据'!$AF$3:$AF$181,$E703))</f>
        <v>1</v>
      </c>
      <c r="I703" s="205">
        <f ca="1">IF($S$1&lt;DATE(2025,4,1)," ",COUNTIFS('2025数据'!$L$3:$L$181,"&gt;="&amp;DATE(2025,4,1),'2025数据'!$L$3:$L$181,"&lt;="&amp;DATE(2025,4,30),'2025数据'!$AF$3:$AF$181,$E703))</f>
        <v>2</v>
      </c>
      <c r="J703" s="205">
        <f ca="1">IF($S$1&lt;DATE(2025,5,1)," ",COUNTIFS('2025数据'!$L$3:$L$181,"&gt;="&amp;DATE(2025,5,1),'2025数据'!$L$3:$L$181,"&lt;="&amp;DATE(2025,5,31),'2025数据'!$AF$3:$AF$181,$E703))</f>
        <v>0</v>
      </c>
      <c r="K703" s="205">
        <f ca="1">IF($S$1&lt;DATE(2025,6,1)," ",COUNTIFS('2025数据'!$L$3:$L$181,"&gt;="&amp;DATE(2025,6,1),'2025数据'!$L$3:$L$181,"&lt;="&amp;DATE(2025,6,30),'2025数据'!$AF$3:$AF$181,$E703))</f>
        <v>1</v>
      </c>
      <c r="L703" s="205">
        <f ca="1">IF($S$1&lt;DATE(2025,7,1)," ",COUNTIFS('2025数据'!$L$3:$L$181,"&gt;="&amp;DATE(2025,7,1),'2025数据'!$L$3:$L$181,"&lt;="&amp;DATE(2025,7,31),'2025数据'!$AF$3:$AF$181,$E703))</f>
        <v>0</v>
      </c>
      <c r="M703" s="205">
        <f ca="1">IF($S$1&lt;DATE(2025,8,1)," ",COUNTIFS('2025数据'!$L$3:$L$181,"&gt;="&amp;DATE(2025,8,1),'2025数据'!$L$3:$L$181,"&lt;="&amp;DATE(2025,8,31),'2025数据'!$AF$3:$AF$181,$E703))</f>
        <v>1</v>
      </c>
      <c r="N703" s="205">
        <f ca="1">IF($S$1&lt;DATE(2025,9,1)," ",COUNTIFS('2025数据'!$L$3:$L$181,"&gt;="&amp;DATE(2025,9,1),'2025数据'!$L$3:$L$181,"&lt;="&amp;DATE(2025,9,30),'2025数据'!$AF$3:$AF$181,$E703))</f>
        <v>2</v>
      </c>
      <c r="O703" s="205">
        <f ca="1">IF($S$1&lt;DATE(2025,10,1)," ",COUNTIFS('2025数据'!$L$3:$L$181,"&gt;="&amp;DATE(2025,10,1),'2025数据'!$L$3:$L$181,"&lt;="&amp;DATE(2025,10,31),'2025数据'!$AF$3:$AF$181,$E703))</f>
        <v>2</v>
      </c>
      <c r="P703" s="207">
        <f ca="1">IF($S$1&lt;DATE(2025,11,1)," ",COUNTIFS('2025数据'!$L$3:$L$181,"&gt;="&amp;DATE(2025,11,1),'2025数据'!$L$3:$L$181,"&lt;="&amp;DATE(2025,11,30),'2025数据'!$AF$3:$AF$181,$E703))</f>
        <v>0</v>
      </c>
      <c r="Q703" s="207">
        <f ca="1">IF($S$1&lt;DATE(2025,12,1)," ",COUNTIFS('2025数据'!$L$3:$L$181,"&gt;="&amp;DATE(2025,12,1),'2025数据'!$L$3:$L$181,"&lt;="&amp;DATE(2025,12,31),'2025数据'!$AF$3:$AF$181,$E703))</f>
        <v>2</v>
      </c>
    </row>
    <row r="704" ht="24" customHeight="1" spans="1:17">
      <c r="A704" s="99" t="s">
        <v>346</v>
      </c>
      <c r="B704" s="99" t="s">
        <v>299</v>
      </c>
      <c r="C704" s="99" t="s">
        <v>291</v>
      </c>
      <c r="D704" s="100" t="s">
        <v>292</v>
      </c>
      <c r="E704" s="100" t="s">
        <v>307</v>
      </c>
      <c r="F704" s="204">
        <f ca="1">IF($S$1&lt;DATE(2025,1,1)," ",SUM(F705:F708))</f>
        <v>3</v>
      </c>
      <c r="G704" s="204">
        <f ca="1">IF($S$1&lt;DATE(2025,2,1)," ",SUM(G705:G708))</f>
        <v>0</v>
      </c>
      <c r="H704" s="204">
        <f ca="1">IF($S$1&lt;DATE(2025,3,1)," ",SUM(H705:H708))</f>
        <v>1</v>
      </c>
      <c r="I704" s="204">
        <f ca="1">IF($S$1&lt;DATE(2025,4,1)," ",SUM(I705:I708))</f>
        <v>8</v>
      </c>
      <c r="J704" s="204">
        <f ca="1">IF($S$1&lt;DATE(2025,5,1)," ",SUM(J705:J708))</f>
        <v>2</v>
      </c>
      <c r="K704" s="204">
        <f ca="1">IF($S$1&lt;DATE(2025,6,1)," ",SUM(K705:K708))</f>
        <v>2</v>
      </c>
      <c r="L704" s="204">
        <f ca="1">IF($S$1&lt;DATE(2025,7,1)," ",SUM(L705:L708))</f>
        <v>2</v>
      </c>
      <c r="M704" s="204">
        <f ca="1">IF($S$1&lt;DATE(2025,8,1)," ",SUM(M705:M708))</f>
        <v>5</v>
      </c>
      <c r="N704" s="204">
        <f ca="1">IF($S$1&lt;DATE(2025,9,1)," ",SUM(N705:N708))</f>
        <v>3</v>
      </c>
      <c r="O704" s="204">
        <f ca="1">IF($S$1&lt;DATE(2025,10,1)," ",SUM(O705:O708))</f>
        <v>4</v>
      </c>
      <c r="P704" s="204">
        <f ca="1">IF($S$1&lt;DATE(2025,11,1)," ",SUM(P705:P708))</f>
        <v>1</v>
      </c>
      <c r="Q704" s="204">
        <f ca="1">IF($S$1&lt;DATE(2025,12,1)," ",SUM(Q705:Q708))</f>
        <v>5</v>
      </c>
    </row>
    <row r="705" ht="24" customHeight="1" spans="1:17">
      <c r="A705" s="99" t="s">
        <v>346</v>
      </c>
      <c r="B705" s="99" t="s">
        <v>299</v>
      </c>
      <c r="C705" s="99" t="s">
        <v>291</v>
      </c>
      <c r="D705" s="48" t="s">
        <v>298</v>
      </c>
      <c r="E705" s="48" t="s">
        <v>97</v>
      </c>
      <c r="F705" s="205">
        <f ca="1">IF($S$1&lt;DATE(2025,1,1)," ",COUNTIFS('2025数据'!$L$3:$L$181,"&gt;="&amp;DATE(2024,1,1),'2025数据'!$L$3:$L$181,"&lt;="&amp;DATE(2025,1,31),'2025数据'!$AG$3:$AG$181,$E705))</f>
        <v>2</v>
      </c>
      <c r="G705" s="205">
        <f ca="1">IF($S$1&lt;DATE(2025,2,1)," ",COUNTIFS('2025数据'!$L$3:$L$181,"&gt;="&amp;DATE(2025,2,1),'2025数据'!$L$3:$L$181,"&lt;="&amp;DATE(2025,2,28),'2025数据'!$AG$3:$AG$181,$E705))</f>
        <v>0</v>
      </c>
      <c r="H705" s="205">
        <f ca="1">IF($S$1&lt;DATE(2025,3,1)," ",COUNTIFS('2025数据'!$L$3:$L$181,"&gt;="&amp;DATE(2025,3,1),'2025数据'!$L$3:$L$181,"&lt;="&amp;DATE(2025,3,31),'2025数据'!$AG$3:$AG$181,$E705))</f>
        <v>1</v>
      </c>
      <c r="I705" s="205">
        <f ca="1">IF($S$1&lt;DATE(2025,4,1)," ",COUNTIFS('2025数据'!$L$3:$L$181,"&gt;="&amp;DATE(2025,4,1),'2025数据'!$L$3:$L$181,"&lt;="&amp;DATE(2025,4,30),'2025数据'!$AG$3:$AG$181,$E705))</f>
        <v>3</v>
      </c>
      <c r="J705" s="205">
        <f ca="1">IF($S$1&lt;DATE(2025,5,1)," ",COUNTIFS('2025数据'!$L$3:$L$181,"&gt;="&amp;DATE(2025,5,1),'2025数据'!$L$3:$L$181,"&lt;="&amp;DATE(2025,5,31),'2025数据'!$AG$3:$AG$181,$E705))</f>
        <v>1</v>
      </c>
      <c r="K705" s="205">
        <f ca="1">IF($S$1&lt;DATE(2025,6,1)," ",COUNTIFS('2025数据'!$L$3:$L$181,"&gt;="&amp;DATE(2025,6,1),'2025数据'!$L$3:$L$181,"&lt;="&amp;DATE(2025,6,30),'2025数据'!$AG$3:$AG$181,$E705))</f>
        <v>2</v>
      </c>
      <c r="L705" s="205">
        <f ca="1">IF($S$1&lt;DATE(2025,7,1)," ",COUNTIFS('2025数据'!$L$3:$L$181,"&gt;="&amp;DATE(2025,7,1),'2025数据'!$L$3:$L$181,"&lt;="&amp;DATE(2025,7,31),'2025数据'!$AG$3:$AG$181,$E705))</f>
        <v>1</v>
      </c>
      <c r="M705" s="205">
        <f ca="1">IF($S$1&lt;DATE(2025,8,1)," ",COUNTIFS('2025数据'!$L$3:$L$181,"&gt;="&amp;DATE(2025,8,1),'2025数据'!$L$3:$L$181,"&lt;="&amp;DATE(2025,8,31),'2025数据'!$AG$3:$AG$181,$E705))</f>
        <v>1</v>
      </c>
      <c r="N705" s="205">
        <f ca="1">IF($S$1&lt;DATE(2025,9,1)," ",COUNTIFS('2025数据'!$L$3:$L$181,"&gt;="&amp;DATE(2025,9,1),'2025数据'!$L$3:$L$181,"&lt;="&amp;DATE(2025,9,30),'2025数据'!$AG$3:$AG$181,$E705))</f>
        <v>0</v>
      </c>
      <c r="O705" s="205">
        <f ca="1">IF($S$1&lt;DATE(2025,10,1)," ",COUNTIFS('2025数据'!$L$3:$L$181,"&gt;="&amp;DATE(2025,10,1),'2025数据'!$L$3:$L$181,"&lt;="&amp;DATE(2025,10,31),'2025数据'!$AG$3:$AG$181,$E705))</f>
        <v>1</v>
      </c>
      <c r="P705" s="207">
        <f ca="1">IF($S$1&lt;DATE(2025,11,1)," ",COUNTIFS('2025数据'!$L$3:$L$181,"&gt;="&amp;DATE(2025,11,1),'2025数据'!$L$3:$L$181,"&lt;="&amp;DATE(2025,11,30),'2025数据'!$AG$3:$AG$181,$E705))</f>
        <v>0</v>
      </c>
      <c r="Q705" s="207">
        <f ca="1">IF($S$1&lt;DATE(2025,12,1)," ",COUNTIFS('2025数据'!$L$3:$L$181,"&gt;="&amp;DATE(2025,12,1),'2025数据'!$L$3:$L$181,"&lt;="&amp;DATE(2025,12,31),'2025数据'!$AG$3:$AG$181,$E705))</f>
        <v>1</v>
      </c>
    </row>
    <row r="706" ht="24" customHeight="1" spans="1:17">
      <c r="A706" s="99" t="s">
        <v>346</v>
      </c>
      <c r="B706" s="99" t="s">
        <v>299</v>
      </c>
      <c r="C706" s="99" t="s">
        <v>291</v>
      </c>
      <c r="D706" s="48" t="s">
        <v>298</v>
      </c>
      <c r="E706" s="48" t="s">
        <v>87</v>
      </c>
      <c r="F706" s="205">
        <f ca="1">IF($S$1&lt;DATE(2025,1,1)," ",COUNTIFS('2025数据'!$L$3:$L$181,"&gt;="&amp;DATE(2024,1,1),'2025数据'!$L$3:$L$181,"&lt;="&amp;DATE(2025,1,31),'2025数据'!$AG$3:$AG$181,$E706))</f>
        <v>1</v>
      </c>
      <c r="G706" s="205">
        <f ca="1">IF($S$1&lt;DATE(2025,2,1)," ",COUNTIFS('2025数据'!$L$3:$L$181,"&gt;="&amp;DATE(2025,2,1),'2025数据'!$L$3:$L$181,"&lt;="&amp;DATE(2025,2,28),'2025数据'!$AG$3:$AG$181,$E706))</f>
        <v>0</v>
      </c>
      <c r="H706" s="205">
        <f ca="1">IF($S$1&lt;DATE(2025,3,1)," ",COUNTIFS('2025数据'!$L$3:$L$181,"&gt;="&amp;DATE(2025,3,1),'2025数据'!$L$3:$L$181,"&lt;="&amp;DATE(2025,3,31),'2025数据'!$AG$3:$AG$181,$E706))</f>
        <v>0</v>
      </c>
      <c r="I706" s="205">
        <f ca="1">IF($S$1&lt;DATE(2025,4,1)," ",COUNTIFS('2025数据'!$L$3:$L$181,"&gt;="&amp;DATE(2025,4,1),'2025数据'!$L$3:$L$181,"&lt;="&amp;DATE(2025,4,30),'2025数据'!$AG$3:$AG$181,$E706))</f>
        <v>3</v>
      </c>
      <c r="J706" s="205">
        <f ca="1">IF($S$1&lt;DATE(2025,5,1)," ",COUNTIFS('2025数据'!$L$3:$L$181,"&gt;="&amp;DATE(2025,5,1),'2025数据'!$L$3:$L$181,"&lt;="&amp;DATE(2025,5,31),'2025数据'!$AG$3:$AG$181,$E706))</f>
        <v>0</v>
      </c>
      <c r="K706" s="205">
        <f ca="1">IF($S$1&lt;DATE(2025,6,1)," ",COUNTIFS('2025数据'!$L$3:$L$181,"&gt;="&amp;DATE(2025,6,1),'2025数据'!$L$3:$L$181,"&lt;="&amp;DATE(2025,6,30),'2025数据'!$AG$3:$AG$181,$E706))</f>
        <v>0</v>
      </c>
      <c r="L706" s="205">
        <f ca="1">IF($S$1&lt;DATE(2025,7,1)," ",COUNTIFS('2025数据'!$L$3:$L$181,"&gt;="&amp;DATE(2025,7,1),'2025数据'!$L$3:$L$181,"&lt;="&amp;DATE(2025,7,31),'2025数据'!$AG$3:$AG$181,$E706))</f>
        <v>0</v>
      </c>
      <c r="M706" s="205">
        <f ca="1">IF($S$1&lt;DATE(2025,8,1)," ",COUNTIFS('2025数据'!$L$3:$L$181,"&gt;="&amp;DATE(2025,8,1),'2025数据'!$L$3:$L$181,"&lt;="&amp;DATE(2025,8,31),'2025数据'!$AG$3:$AG$181,$E706))</f>
        <v>4</v>
      </c>
      <c r="N706" s="205">
        <f ca="1">IF($S$1&lt;DATE(2025,9,1)," ",COUNTIFS('2025数据'!$L$3:$L$181,"&gt;="&amp;DATE(2025,9,1),'2025数据'!$L$3:$L$181,"&lt;="&amp;DATE(2025,9,30),'2025数据'!$AG$3:$AG$181,$E706))</f>
        <v>3</v>
      </c>
      <c r="O706" s="205">
        <f ca="1">IF($S$1&lt;DATE(2025,10,1)," ",COUNTIFS('2025数据'!$L$3:$L$181,"&gt;="&amp;DATE(2025,10,1),'2025数据'!$L$3:$L$181,"&lt;="&amp;DATE(2025,10,31),'2025数据'!$AG$3:$AG$181,$E706))</f>
        <v>1</v>
      </c>
      <c r="P706" s="207">
        <f ca="1">IF($S$1&lt;DATE(2025,11,1)," ",COUNTIFS('2025数据'!$L$3:$L$181,"&gt;="&amp;DATE(2025,11,1),'2025数据'!$L$3:$L$181,"&lt;="&amp;DATE(2025,11,30),'2025数据'!$AG$3:$AG$181,$E706))</f>
        <v>0</v>
      </c>
      <c r="Q706" s="207">
        <f ca="1">IF($S$1&lt;DATE(2025,12,1)," ",COUNTIFS('2025数据'!$L$3:$L$181,"&gt;="&amp;DATE(2025,12,1),'2025数据'!$L$3:$L$181,"&lt;="&amp;DATE(2025,12,31),'2025数据'!$AG$3:$AG$181,$E706))</f>
        <v>4</v>
      </c>
    </row>
    <row r="707" ht="24" customHeight="1" spans="1:17">
      <c r="A707" s="99" t="s">
        <v>346</v>
      </c>
      <c r="B707" s="99" t="s">
        <v>299</v>
      </c>
      <c r="C707" s="99" t="s">
        <v>291</v>
      </c>
      <c r="D707" s="48" t="s">
        <v>298</v>
      </c>
      <c r="E707" s="48" t="s">
        <v>149</v>
      </c>
      <c r="F707" s="205">
        <f ca="1">IF($S$1&lt;DATE(2025,1,1)," ",COUNTIFS('2025数据'!$L$3:$L$181,"&gt;="&amp;DATE(2024,1,1),'2025数据'!$L$3:$L$181,"&lt;="&amp;DATE(2025,1,31),'2025数据'!$AG$3:$AG$181,$E707))</f>
        <v>0</v>
      </c>
      <c r="G707" s="205">
        <f ca="1">IF($S$1&lt;DATE(2025,2,1)," ",COUNTIFS('2025数据'!$L$3:$L$181,"&gt;="&amp;DATE(2025,2,1),'2025数据'!$L$3:$L$181,"&lt;="&amp;DATE(2025,2,28),'2025数据'!$AG$3:$AG$181,$E707))</f>
        <v>0</v>
      </c>
      <c r="H707" s="205">
        <f ca="1">IF($S$1&lt;DATE(2025,3,1)," ",COUNTIFS('2025数据'!$L$3:$L$181,"&gt;="&amp;DATE(2025,3,1),'2025数据'!$L$3:$L$181,"&lt;="&amp;DATE(2025,3,31),'2025数据'!$AG$3:$AG$181,$E707))</f>
        <v>0</v>
      </c>
      <c r="I707" s="205">
        <f ca="1">IF($S$1&lt;DATE(2025,4,1)," ",COUNTIFS('2025数据'!$L$3:$L$181,"&gt;="&amp;DATE(2025,4,1),'2025数据'!$L$3:$L$181,"&lt;="&amp;DATE(2025,4,30),'2025数据'!$AG$3:$AG$181,$E707))</f>
        <v>0</v>
      </c>
      <c r="J707" s="205">
        <f ca="1">IF($S$1&lt;DATE(2025,5,1)," ",COUNTIFS('2025数据'!$L$3:$L$181,"&gt;="&amp;DATE(2025,5,1),'2025数据'!$L$3:$L$181,"&lt;="&amp;DATE(2025,5,31),'2025数据'!$AG$3:$AG$181,$E707))</f>
        <v>0</v>
      </c>
      <c r="K707" s="205">
        <f ca="1">IF($S$1&lt;DATE(2025,6,1)," ",COUNTIFS('2025数据'!$L$3:$L$181,"&gt;="&amp;DATE(2025,6,1),'2025数据'!$L$3:$L$181,"&lt;="&amp;DATE(2025,6,30),'2025数据'!$AG$3:$AG$181,$E707))</f>
        <v>0</v>
      </c>
      <c r="L707" s="205">
        <f ca="1">IF($S$1&lt;DATE(2025,7,1)," ",COUNTIFS('2025数据'!$L$3:$L$181,"&gt;="&amp;DATE(2025,7,1),'2025数据'!$L$3:$L$181,"&lt;="&amp;DATE(2025,7,31),'2025数据'!$AG$3:$AG$181,$E707))</f>
        <v>0</v>
      </c>
      <c r="M707" s="205">
        <f ca="1">IF($S$1&lt;DATE(2025,8,1)," ",COUNTIFS('2025数据'!$L$3:$L$181,"&gt;="&amp;DATE(2025,8,1),'2025数据'!$L$3:$L$181,"&lt;="&amp;DATE(2025,8,31),'2025数据'!$AG$3:$AG$181,$E707))</f>
        <v>0</v>
      </c>
      <c r="N707" s="205">
        <f ca="1">IF($S$1&lt;DATE(2025,9,1)," ",COUNTIFS('2025数据'!$L$3:$L$181,"&gt;="&amp;DATE(2025,9,1),'2025数据'!$L$3:$L$181,"&lt;="&amp;DATE(2025,9,30),'2025数据'!$AG$3:$AG$181,$E707))</f>
        <v>0</v>
      </c>
      <c r="O707" s="205">
        <f ca="1">IF($S$1&lt;DATE(2025,10,1)," ",COUNTIFS('2025数据'!$L$3:$L$181,"&gt;="&amp;DATE(2025,10,1),'2025数据'!$L$3:$L$181,"&lt;="&amp;DATE(2025,10,31),'2025数据'!$AG$3:$AG$181,$E707))</f>
        <v>0</v>
      </c>
      <c r="P707" s="207">
        <f ca="1">IF($S$1&lt;DATE(2025,11,1)," ",COUNTIFS('2025数据'!$L$3:$L$181,"&gt;="&amp;DATE(2025,11,1),'2025数据'!$L$3:$L$181,"&lt;="&amp;DATE(2025,11,30),'2025数据'!$AG$3:$AG$181,$E707))</f>
        <v>0</v>
      </c>
      <c r="Q707" s="207">
        <f ca="1">IF($S$1&lt;DATE(2025,12,1)," ",COUNTIFS('2025数据'!$L$3:$L$181,"&gt;="&amp;DATE(2025,12,1),'2025数据'!$L$3:$L$181,"&lt;="&amp;DATE(2025,12,31),'2025数据'!$AG$3:$AG$181,$E707))</f>
        <v>0</v>
      </c>
    </row>
    <row r="708" ht="24" customHeight="1" spans="1:17">
      <c r="A708" s="99" t="s">
        <v>346</v>
      </c>
      <c r="B708" s="99" t="s">
        <v>299</v>
      </c>
      <c r="C708" s="99" t="s">
        <v>291</v>
      </c>
      <c r="D708" s="48" t="s">
        <v>298</v>
      </c>
      <c r="E708" s="48" t="s">
        <v>83</v>
      </c>
      <c r="F708" s="205">
        <f ca="1">IF($S$1&lt;DATE(2025,1,1)," ",COUNTIFS('2025数据'!$L$3:$L$181,"&gt;="&amp;DATE(2024,1,1),'2025数据'!$L$3:$L$181,"&lt;="&amp;DATE(2025,1,31),'2025数据'!$AG$3:$AG$181,$E708))</f>
        <v>0</v>
      </c>
      <c r="G708" s="205">
        <f ca="1">IF($S$1&lt;DATE(2025,2,1)," ",COUNTIFS('2025数据'!$L$3:$L$181,"&gt;="&amp;DATE(2025,2,1),'2025数据'!$L$3:$L$181,"&lt;="&amp;DATE(2025,2,28),'2025数据'!$AG$3:$AG$181,$E708))</f>
        <v>0</v>
      </c>
      <c r="H708" s="205">
        <f ca="1">IF($S$1&lt;DATE(2025,3,1)," ",COUNTIFS('2025数据'!$L$3:$L$181,"&gt;="&amp;DATE(2025,3,1),'2025数据'!$L$3:$L$181,"&lt;="&amp;DATE(2025,3,31),'2025数据'!$AG$3:$AG$181,$E708))</f>
        <v>0</v>
      </c>
      <c r="I708" s="205">
        <f ca="1">IF($S$1&lt;DATE(2025,4,1)," ",COUNTIFS('2025数据'!$L$3:$L$181,"&gt;="&amp;DATE(2025,4,1),'2025数据'!$L$3:$L$181,"&lt;="&amp;DATE(2025,4,30),'2025数据'!$AG$3:$AG$181,$E708))</f>
        <v>2</v>
      </c>
      <c r="J708" s="205">
        <f ca="1">IF($S$1&lt;DATE(2025,5,1)," ",COUNTIFS('2025数据'!$L$3:$L$181,"&gt;="&amp;DATE(2025,5,1),'2025数据'!$L$3:$L$181,"&lt;="&amp;DATE(2025,5,31),'2025数据'!$AG$3:$AG$181,$E708))</f>
        <v>1</v>
      </c>
      <c r="K708" s="205">
        <f ca="1">IF($S$1&lt;DATE(2025,6,1)," ",COUNTIFS('2025数据'!$L$3:$L$181,"&gt;="&amp;DATE(2025,6,1),'2025数据'!$L$3:$L$181,"&lt;="&amp;DATE(2025,6,30),'2025数据'!$AG$3:$AG$181,$E708))</f>
        <v>0</v>
      </c>
      <c r="L708" s="205">
        <f ca="1">IF($S$1&lt;DATE(2025,7,1)," ",COUNTIFS('2025数据'!$L$3:$L$181,"&gt;="&amp;DATE(2025,7,1),'2025数据'!$L$3:$L$181,"&lt;="&amp;DATE(2025,7,31),'2025数据'!$AG$3:$AG$181,$E708))</f>
        <v>1</v>
      </c>
      <c r="M708" s="205">
        <f ca="1">IF($S$1&lt;DATE(2025,8,1)," ",COUNTIFS('2025数据'!$L$3:$L$181,"&gt;="&amp;DATE(2025,8,1),'2025数据'!$L$3:$L$181,"&lt;="&amp;DATE(2025,8,31),'2025数据'!$AG$3:$AG$181,$E708))</f>
        <v>0</v>
      </c>
      <c r="N708" s="205">
        <f ca="1">IF($S$1&lt;DATE(2025,9,1)," ",COUNTIFS('2025数据'!$L$3:$L$181,"&gt;="&amp;DATE(2025,9,1),'2025数据'!$L$3:$L$181,"&lt;="&amp;DATE(2025,9,30),'2025数据'!$AG$3:$AG$181,$E708))</f>
        <v>0</v>
      </c>
      <c r="O708" s="205">
        <f ca="1">IF($S$1&lt;DATE(2025,10,1)," ",COUNTIFS('2025数据'!$L$3:$L$181,"&gt;="&amp;DATE(2025,10,1),'2025数据'!$L$3:$L$181,"&lt;="&amp;DATE(2025,10,31),'2025数据'!$AG$3:$AG$181,$E708))</f>
        <v>2</v>
      </c>
      <c r="P708" s="207">
        <f ca="1">IF($S$1&lt;DATE(2025,11,1)," ",COUNTIFS('2025数据'!$L$3:$L$181,"&gt;="&amp;DATE(2025,11,1),'2025数据'!$L$3:$L$181,"&lt;="&amp;DATE(2025,11,30),'2025数据'!$AG$3:$AG$181,$E708))</f>
        <v>1</v>
      </c>
      <c r="Q708" s="207">
        <f ca="1">IF($S$1&lt;DATE(2025,12,1)," ",COUNTIFS('2025数据'!$L$3:$L$181,"&gt;="&amp;DATE(2025,12,1),'2025数据'!$L$3:$L$181,"&lt;="&amp;DATE(2025,12,31),'2025数据'!$AG$3:$AG$181,$E708))</f>
        <v>0</v>
      </c>
    </row>
    <row r="709" ht="24" customHeight="1" spans="1:17">
      <c r="A709" s="99" t="s">
        <v>346</v>
      </c>
      <c r="B709" s="99" t="s">
        <v>308</v>
      </c>
      <c r="C709" s="99" t="s">
        <v>309</v>
      </c>
      <c r="D709" s="100" t="s">
        <v>292</v>
      </c>
      <c r="E709" s="211" t="s">
        <v>310</v>
      </c>
      <c r="F709" s="204">
        <f ca="1">IF($S$1&lt;DATE(2025,1,1)," ",IF((SUM(F710:F716)-MAX(F729,F736))&lt;0,"ERR",SUM(F710:F716)))</f>
        <v>0</v>
      </c>
      <c r="G709" s="204">
        <f ca="1">IF($S$1&lt;DATE(2025,2,1)," ",IF((SUM(G710:G716)-MAX(G729,G736))&lt;0,"ERR",SUM(G710:G716)))</f>
        <v>1</v>
      </c>
      <c r="H709" s="204">
        <f ca="1">IF($S$1&lt;DATE(2025,3,1)," ",IF((SUM(H710:H716)-MAX(H729,H736))&lt;0,"ERR",SUM(H710:H716)))</f>
        <v>6</v>
      </c>
      <c r="I709" s="204">
        <f ca="1">IF($S$1&lt;DATE(2025,4,1)," ",IF((SUM(I710:I716)-MAX(I729,I736))&lt;0,"ERR",SUM(I710:I716)))</f>
        <v>3</v>
      </c>
      <c r="J709" s="204">
        <f ca="1">IF($S$1&lt;DATE(2025,5,1)," ",IF((SUM(J710:J716)-MAX(J729,J736))&lt;0,"ERR",SUM(J710:J716)))</f>
        <v>1</v>
      </c>
      <c r="K709" s="204">
        <f ca="1">IF($S$1&lt;DATE(2025,6,1)," ",IF((SUM(K710:K716)-MAX(K729,K736))&lt;0,"ERR",SUM(K710:K716)))</f>
        <v>1</v>
      </c>
      <c r="L709" s="204">
        <f ca="1">IF($S$1&lt;DATE(2025,7,1)," ",IF((SUM(L710:L716)-MAX(L729,L736))&lt;0,"ERR",SUM(L710:L716)))</f>
        <v>3</v>
      </c>
      <c r="M709" s="204">
        <f ca="1">IF($S$1&lt;DATE(2025,8,1)," ",IF((SUM(M710:M716)-MAX(M729,M736))&lt;0,"ERR",SUM(M710:M716)))</f>
        <v>2</v>
      </c>
      <c r="N709" s="204">
        <f ca="1">IF($S$1&lt;DATE(2025,9,1)," ",IF((SUM(N710:N716)-MAX(N729,N736))&lt;0,"ERR",SUM(N710:N716)))</f>
        <v>2</v>
      </c>
      <c r="O709" s="204">
        <f ca="1">IF($S$1&lt;DATE(2025,10,1)," ",IF((SUM(O710:O716)-MAX(O729,O736))&lt;0,"ERR",SUM(O710:O716)))</f>
        <v>1</v>
      </c>
      <c r="P709" s="204">
        <f ca="1">IF($S$1&lt;DATE(2025,11,1)," ",IF((SUM(P710:P716)-MAX(P729,P736))&lt;0,"ERR",SUM(P710:P716)))</f>
        <v>5</v>
      </c>
      <c r="Q709" s="204">
        <f ca="1">IF($S$1&lt;DATE(2025,12,1)," ",IF((SUM(Q710:Q716)-MAX(Q729,Q736))&lt;0,"ERR",SUM(Q710:Q716)))</f>
        <v>6</v>
      </c>
    </row>
    <row r="710" ht="24" customHeight="1" spans="1:17">
      <c r="A710" s="99" t="s">
        <v>346</v>
      </c>
      <c r="B710" s="99" t="s">
        <v>308</v>
      </c>
      <c r="C710" s="99" t="s">
        <v>309</v>
      </c>
      <c r="D710" s="48" t="s">
        <v>31</v>
      </c>
      <c r="E710" s="48" t="s">
        <v>90</v>
      </c>
      <c r="F710" s="205">
        <f ca="1" t="shared" ref="F710:F716" si="595">IF($S$1&lt;DATE(2025,1,1)," ",F746-F768)</f>
        <v>0</v>
      </c>
      <c r="G710" s="205">
        <f ca="1" t="shared" ref="G710:G716" si="596">IF($S$1&lt;DATE(2025,2,1)," ",G746-G768)</f>
        <v>0</v>
      </c>
      <c r="H710" s="205">
        <f ca="1" t="shared" ref="H710:H716" si="597">IF($S$1&lt;DATE(2025,3,1)," ",H746-H768)</f>
        <v>3</v>
      </c>
      <c r="I710" s="205">
        <f ca="1" t="shared" ref="I710:I716" si="598">IF($S$1&lt;DATE(2025,4,1)," ",I746-I768)</f>
        <v>0</v>
      </c>
      <c r="J710" s="205">
        <f ca="1" t="shared" ref="J710:J716" si="599">IF($S$1&lt;DATE(2025,5,1)," ",J746-J768)</f>
        <v>0</v>
      </c>
      <c r="K710" s="205">
        <f ca="1" t="shared" ref="K710:K716" si="600">IF($S$1&lt;DATE(2025,6,1)," ",K746-K768)</f>
        <v>0</v>
      </c>
      <c r="L710" s="205">
        <f ca="1" t="shared" ref="L710:L716" si="601">IF($S$1&lt;DATE(2025,7,1)," ",L746-L768)</f>
        <v>1</v>
      </c>
      <c r="M710" s="205">
        <f ca="1" t="shared" ref="M710:M716" si="602">IF($S$1&lt;DATE(2025,8,1)," ",M746-M768)</f>
        <v>0</v>
      </c>
      <c r="N710" s="205">
        <f ca="1" t="shared" ref="N710:N716" si="603">IF($S$1&lt;DATE(2025,9,1)," ",N746-N768)</f>
        <v>1</v>
      </c>
      <c r="O710" s="205">
        <f ca="1" t="shared" ref="O710:O716" si="604">IF($S$1&lt;DATE(2025,10,1)," ",O746-O768)</f>
        <v>1</v>
      </c>
      <c r="P710" s="205">
        <f ca="1" t="shared" ref="P710:P716" si="605">IF($S$1&lt;DATE(2025,11,1)," ",P746-P768)</f>
        <v>0</v>
      </c>
      <c r="Q710" s="205">
        <f ca="1" t="shared" ref="Q710:Q716" si="606">IF($S$1&lt;DATE(2025,12,1)," ",Q746-Q768)</f>
        <v>3</v>
      </c>
    </row>
    <row r="711" ht="24" customHeight="1" spans="1:17">
      <c r="A711" s="99" t="s">
        <v>346</v>
      </c>
      <c r="B711" s="99" t="s">
        <v>308</v>
      </c>
      <c r="C711" s="99" t="s">
        <v>309</v>
      </c>
      <c r="D711" s="48" t="s">
        <v>31</v>
      </c>
      <c r="E711" s="48" t="s">
        <v>82</v>
      </c>
      <c r="F711" s="205">
        <f ca="1" t="shared" si="595"/>
        <v>0</v>
      </c>
      <c r="G711" s="205">
        <f ca="1" t="shared" si="596"/>
        <v>0</v>
      </c>
      <c r="H711" s="205">
        <f ca="1" t="shared" si="597"/>
        <v>0</v>
      </c>
      <c r="I711" s="205">
        <f ca="1" t="shared" si="598"/>
        <v>2</v>
      </c>
      <c r="J711" s="205">
        <f ca="1" t="shared" si="599"/>
        <v>1</v>
      </c>
      <c r="K711" s="205">
        <f ca="1" t="shared" si="600"/>
        <v>1</v>
      </c>
      <c r="L711" s="205">
        <f ca="1" t="shared" si="601"/>
        <v>2</v>
      </c>
      <c r="M711" s="205">
        <f ca="1" t="shared" si="602"/>
        <v>0</v>
      </c>
      <c r="N711" s="205">
        <f ca="1" t="shared" si="603"/>
        <v>1</v>
      </c>
      <c r="O711" s="205">
        <f ca="1" t="shared" si="604"/>
        <v>0</v>
      </c>
      <c r="P711" s="205">
        <f ca="1" t="shared" si="605"/>
        <v>2</v>
      </c>
      <c r="Q711" s="205">
        <f ca="1" t="shared" si="606"/>
        <v>3</v>
      </c>
    </row>
    <row r="712" ht="24" customHeight="1" spans="1:17">
      <c r="A712" s="99" t="s">
        <v>346</v>
      </c>
      <c r="B712" s="99" t="s">
        <v>308</v>
      </c>
      <c r="C712" s="99" t="s">
        <v>309</v>
      </c>
      <c r="D712" s="48" t="s">
        <v>31</v>
      </c>
      <c r="E712" s="48" t="s">
        <v>86</v>
      </c>
      <c r="F712" s="205">
        <f ca="1" t="shared" si="595"/>
        <v>0</v>
      </c>
      <c r="G712" s="205">
        <f ca="1" t="shared" si="596"/>
        <v>1</v>
      </c>
      <c r="H712" s="205">
        <f ca="1" t="shared" si="597"/>
        <v>0</v>
      </c>
      <c r="I712" s="205">
        <f ca="1" t="shared" si="598"/>
        <v>0</v>
      </c>
      <c r="J712" s="205">
        <f ca="1" t="shared" si="599"/>
        <v>0</v>
      </c>
      <c r="K712" s="205">
        <f ca="1" t="shared" si="600"/>
        <v>0</v>
      </c>
      <c r="L712" s="205">
        <f ca="1" t="shared" si="601"/>
        <v>0</v>
      </c>
      <c r="M712" s="205">
        <f ca="1" t="shared" si="602"/>
        <v>1</v>
      </c>
      <c r="N712" s="205">
        <f ca="1" t="shared" si="603"/>
        <v>0</v>
      </c>
      <c r="O712" s="205">
        <f ca="1" t="shared" si="604"/>
        <v>0</v>
      </c>
      <c r="P712" s="205">
        <f ca="1" t="shared" si="605"/>
        <v>2</v>
      </c>
      <c r="Q712" s="205">
        <f ca="1" t="shared" si="606"/>
        <v>0</v>
      </c>
    </row>
    <row r="713" ht="24" customHeight="1" spans="1:17">
      <c r="A713" s="99" t="s">
        <v>346</v>
      </c>
      <c r="B713" s="99" t="s">
        <v>308</v>
      </c>
      <c r="C713" s="99" t="s">
        <v>309</v>
      </c>
      <c r="D713" s="48" t="s">
        <v>31</v>
      </c>
      <c r="E713" s="48" t="s">
        <v>97</v>
      </c>
      <c r="F713" s="205">
        <f ca="1" t="shared" si="595"/>
        <v>0</v>
      </c>
      <c r="G713" s="205">
        <f ca="1" t="shared" si="596"/>
        <v>0</v>
      </c>
      <c r="H713" s="205">
        <f ca="1" t="shared" si="597"/>
        <v>2</v>
      </c>
      <c r="I713" s="205">
        <f ca="1" t="shared" si="598"/>
        <v>0</v>
      </c>
      <c r="J713" s="205">
        <f ca="1" t="shared" si="599"/>
        <v>0</v>
      </c>
      <c r="K713" s="205">
        <f ca="1" t="shared" si="600"/>
        <v>0</v>
      </c>
      <c r="L713" s="205">
        <f ca="1" t="shared" si="601"/>
        <v>0</v>
      </c>
      <c r="M713" s="205">
        <f ca="1" t="shared" si="602"/>
        <v>0</v>
      </c>
      <c r="N713" s="205">
        <f ca="1" t="shared" si="603"/>
        <v>0</v>
      </c>
      <c r="O713" s="205">
        <f ca="1" t="shared" si="604"/>
        <v>0</v>
      </c>
      <c r="P713" s="205">
        <f ca="1" t="shared" si="605"/>
        <v>1</v>
      </c>
      <c r="Q713" s="205">
        <f ca="1" t="shared" si="606"/>
        <v>0</v>
      </c>
    </row>
    <row r="714" ht="24" customHeight="1" spans="1:17">
      <c r="A714" s="99" t="s">
        <v>346</v>
      </c>
      <c r="B714" s="99" t="s">
        <v>308</v>
      </c>
      <c r="C714" s="99" t="s">
        <v>309</v>
      </c>
      <c r="D714" s="48" t="s">
        <v>31</v>
      </c>
      <c r="E714" s="48" t="s">
        <v>87</v>
      </c>
      <c r="F714" s="205">
        <f ca="1" t="shared" si="595"/>
        <v>0</v>
      </c>
      <c r="G714" s="205">
        <f ca="1" t="shared" si="596"/>
        <v>0</v>
      </c>
      <c r="H714" s="205">
        <f ca="1" t="shared" si="597"/>
        <v>0</v>
      </c>
      <c r="I714" s="205">
        <f ca="1" t="shared" si="598"/>
        <v>0</v>
      </c>
      <c r="J714" s="205">
        <f ca="1" t="shared" si="599"/>
        <v>0</v>
      </c>
      <c r="K714" s="205">
        <f ca="1" t="shared" si="600"/>
        <v>0</v>
      </c>
      <c r="L714" s="205">
        <f ca="1" t="shared" si="601"/>
        <v>0</v>
      </c>
      <c r="M714" s="205">
        <f ca="1" t="shared" si="602"/>
        <v>1</v>
      </c>
      <c r="N714" s="205">
        <f ca="1" t="shared" si="603"/>
        <v>0</v>
      </c>
      <c r="O714" s="205">
        <f ca="1" t="shared" si="604"/>
        <v>0</v>
      </c>
      <c r="P714" s="205">
        <f ca="1" t="shared" si="605"/>
        <v>0</v>
      </c>
      <c r="Q714" s="205">
        <f ca="1" t="shared" si="606"/>
        <v>0</v>
      </c>
    </row>
    <row r="715" ht="24" customHeight="1" spans="1:17">
      <c r="A715" s="99" t="s">
        <v>346</v>
      </c>
      <c r="B715" s="99" t="s">
        <v>308</v>
      </c>
      <c r="C715" s="99" t="s">
        <v>309</v>
      </c>
      <c r="D715" s="48" t="s">
        <v>31</v>
      </c>
      <c r="E715" s="48" t="s">
        <v>149</v>
      </c>
      <c r="F715" s="205">
        <f ca="1" t="shared" si="595"/>
        <v>0</v>
      </c>
      <c r="G715" s="205">
        <f ca="1" t="shared" si="596"/>
        <v>0</v>
      </c>
      <c r="H715" s="205">
        <f ca="1" t="shared" si="597"/>
        <v>0</v>
      </c>
      <c r="I715" s="205">
        <f ca="1" t="shared" si="598"/>
        <v>0</v>
      </c>
      <c r="J715" s="205">
        <f ca="1" t="shared" si="599"/>
        <v>0</v>
      </c>
      <c r="K715" s="205">
        <f ca="1" t="shared" si="600"/>
        <v>0</v>
      </c>
      <c r="L715" s="205">
        <f ca="1" t="shared" si="601"/>
        <v>0</v>
      </c>
      <c r="M715" s="205">
        <f ca="1" t="shared" si="602"/>
        <v>0</v>
      </c>
      <c r="N715" s="205">
        <f ca="1" t="shared" si="603"/>
        <v>0</v>
      </c>
      <c r="O715" s="205">
        <f ca="1" t="shared" si="604"/>
        <v>0</v>
      </c>
      <c r="P715" s="205">
        <f ca="1" t="shared" si="605"/>
        <v>0</v>
      </c>
      <c r="Q715" s="205">
        <f ca="1" t="shared" si="606"/>
        <v>0</v>
      </c>
    </row>
    <row r="716" ht="24" customHeight="1" spans="1:17">
      <c r="A716" s="99" t="s">
        <v>346</v>
      </c>
      <c r="B716" s="99" t="s">
        <v>308</v>
      </c>
      <c r="C716" s="99" t="s">
        <v>309</v>
      </c>
      <c r="D716" s="48" t="s">
        <v>31</v>
      </c>
      <c r="E716" s="48" t="s">
        <v>83</v>
      </c>
      <c r="F716" s="205">
        <f ca="1" t="shared" si="595"/>
        <v>0</v>
      </c>
      <c r="G716" s="205">
        <f ca="1" t="shared" si="596"/>
        <v>0</v>
      </c>
      <c r="H716" s="205">
        <f ca="1" t="shared" si="597"/>
        <v>1</v>
      </c>
      <c r="I716" s="205">
        <f ca="1" t="shared" si="598"/>
        <v>1</v>
      </c>
      <c r="J716" s="205">
        <f ca="1" t="shared" si="599"/>
        <v>0</v>
      </c>
      <c r="K716" s="205">
        <f ca="1" t="shared" si="600"/>
        <v>0</v>
      </c>
      <c r="L716" s="205">
        <f ca="1" t="shared" si="601"/>
        <v>0</v>
      </c>
      <c r="M716" s="205">
        <f ca="1" t="shared" si="602"/>
        <v>0</v>
      </c>
      <c r="N716" s="205">
        <f ca="1" t="shared" si="603"/>
        <v>0</v>
      </c>
      <c r="O716" s="205">
        <f ca="1" t="shared" si="604"/>
        <v>0</v>
      </c>
      <c r="P716" s="205">
        <f ca="1" t="shared" si="605"/>
        <v>0</v>
      </c>
      <c r="Q716" s="205">
        <f ca="1" t="shared" si="606"/>
        <v>0</v>
      </c>
    </row>
    <row r="717" ht="24" customHeight="1" spans="1:17">
      <c r="A717" s="99" t="s">
        <v>346</v>
      </c>
      <c r="B717" s="99" t="s">
        <v>308</v>
      </c>
      <c r="C717" s="99" t="s">
        <v>309</v>
      </c>
      <c r="D717" s="48" t="s">
        <v>311</v>
      </c>
      <c r="E717" s="48" t="s">
        <v>90</v>
      </c>
      <c r="F717" s="112" t="str">
        <f ca="1" t="shared" ref="F717:Q717" si="607">IFERROR(F710/F709," ")</f>
        <v> </v>
      </c>
      <c r="G717" s="112">
        <f ca="1" t="shared" si="607"/>
        <v>0</v>
      </c>
      <c r="H717" s="112">
        <f ca="1" t="shared" si="607"/>
        <v>0.5</v>
      </c>
      <c r="I717" s="112">
        <f ca="1" t="shared" si="607"/>
        <v>0</v>
      </c>
      <c r="J717" s="112">
        <f ca="1" t="shared" si="607"/>
        <v>0</v>
      </c>
      <c r="K717" s="112">
        <f ca="1" t="shared" si="607"/>
        <v>0</v>
      </c>
      <c r="L717" s="112">
        <f ca="1" t="shared" si="607"/>
        <v>0.333333333333333</v>
      </c>
      <c r="M717" s="112">
        <f ca="1" t="shared" si="607"/>
        <v>0</v>
      </c>
      <c r="N717" s="112">
        <f ca="1" t="shared" si="607"/>
        <v>0.5</v>
      </c>
      <c r="O717" s="112">
        <f ca="1" t="shared" si="607"/>
        <v>1</v>
      </c>
      <c r="P717" s="112">
        <f ca="1" t="shared" si="607"/>
        <v>0</v>
      </c>
      <c r="Q717" s="112">
        <f ca="1" t="shared" si="607"/>
        <v>0.5</v>
      </c>
    </row>
    <row r="718" ht="24" customHeight="1" spans="1:17">
      <c r="A718" s="99" t="s">
        <v>346</v>
      </c>
      <c r="B718" s="99" t="s">
        <v>308</v>
      </c>
      <c r="C718" s="99" t="s">
        <v>309</v>
      </c>
      <c r="D718" s="48" t="s">
        <v>311</v>
      </c>
      <c r="E718" s="48" t="s">
        <v>82</v>
      </c>
      <c r="F718" s="112" t="str">
        <f ca="1" t="shared" ref="F718:Q718" si="608">IFERROR(F711/F709," ")</f>
        <v> </v>
      </c>
      <c r="G718" s="112">
        <f ca="1" t="shared" si="608"/>
        <v>0</v>
      </c>
      <c r="H718" s="112">
        <f ca="1" t="shared" si="608"/>
        <v>0</v>
      </c>
      <c r="I718" s="112">
        <f ca="1" t="shared" si="608"/>
        <v>0.666666666666667</v>
      </c>
      <c r="J718" s="112">
        <f ca="1" t="shared" si="608"/>
        <v>1</v>
      </c>
      <c r="K718" s="112">
        <f ca="1" t="shared" si="608"/>
        <v>1</v>
      </c>
      <c r="L718" s="112">
        <f ca="1" t="shared" si="608"/>
        <v>0.666666666666667</v>
      </c>
      <c r="M718" s="112">
        <f ca="1" t="shared" si="608"/>
        <v>0</v>
      </c>
      <c r="N718" s="112">
        <f ca="1" t="shared" si="608"/>
        <v>0.5</v>
      </c>
      <c r="O718" s="112">
        <f ca="1" t="shared" si="608"/>
        <v>0</v>
      </c>
      <c r="P718" s="112">
        <f ca="1" t="shared" si="608"/>
        <v>0.4</v>
      </c>
      <c r="Q718" s="112">
        <f ca="1" t="shared" si="608"/>
        <v>0.5</v>
      </c>
    </row>
    <row r="719" ht="24" customHeight="1" spans="1:17">
      <c r="A719" s="99" t="s">
        <v>346</v>
      </c>
      <c r="B719" s="99" t="s">
        <v>308</v>
      </c>
      <c r="C719" s="99" t="s">
        <v>309</v>
      </c>
      <c r="D719" s="48" t="s">
        <v>311</v>
      </c>
      <c r="E719" s="48" t="s">
        <v>86</v>
      </c>
      <c r="F719" s="112" t="str">
        <f ca="1" t="shared" ref="F719:Q719" si="609">IFERROR(F712/F709," ")</f>
        <v> </v>
      </c>
      <c r="G719" s="112">
        <f ca="1" t="shared" si="609"/>
        <v>1</v>
      </c>
      <c r="H719" s="112">
        <f ca="1" t="shared" si="609"/>
        <v>0</v>
      </c>
      <c r="I719" s="112">
        <f ca="1" t="shared" si="609"/>
        <v>0</v>
      </c>
      <c r="J719" s="112">
        <f ca="1" t="shared" si="609"/>
        <v>0</v>
      </c>
      <c r="K719" s="112">
        <f ca="1" t="shared" si="609"/>
        <v>0</v>
      </c>
      <c r="L719" s="112">
        <f ca="1" t="shared" si="609"/>
        <v>0</v>
      </c>
      <c r="M719" s="112">
        <f ca="1" t="shared" si="609"/>
        <v>0.5</v>
      </c>
      <c r="N719" s="112">
        <f ca="1" t="shared" si="609"/>
        <v>0</v>
      </c>
      <c r="O719" s="112">
        <f ca="1" t="shared" si="609"/>
        <v>0</v>
      </c>
      <c r="P719" s="112">
        <f ca="1" t="shared" si="609"/>
        <v>0.4</v>
      </c>
      <c r="Q719" s="112">
        <f ca="1" t="shared" si="609"/>
        <v>0</v>
      </c>
    </row>
    <row r="720" ht="24" customHeight="1" spans="1:17">
      <c r="A720" s="99" t="s">
        <v>346</v>
      </c>
      <c r="B720" s="99" t="s">
        <v>308</v>
      </c>
      <c r="C720" s="99" t="s">
        <v>309</v>
      </c>
      <c r="D720" s="48" t="s">
        <v>311</v>
      </c>
      <c r="E720" s="48" t="s">
        <v>97</v>
      </c>
      <c r="F720" s="112" t="str">
        <f ca="1" t="shared" ref="F720:Q720" si="610">IFERROR(F713/F709," ")</f>
        <v> </v>
      </c>
      <c r="G720" s="112">
        <f ca="1" t="shared" si="610"/>
        <v>0</v>
      </c>
      <c r="H720" s="112">
        <f ca="1" t="shared" si="610"/>
        <v>0.333333333333333</v>
      </c>
      <c r="I720" s="112">
        <f ca="1" t="shared" si="610"/>
        <v>0</v>
      </c>
      <c r="J720" s="112">
        <f ca="1" t="shared" si="610"/>
        <v>0</v>
      </c>
      <c r="K720" s="112">
        <f ca="1" t="shared" si="610"/>
        <v>0</v>
      </c>
      <c r="L720" s="112">
        <f ca="1" t="shared" si="610"/>
        <v>0</v>
      </c>
      <c r="M720" s="112">
        <f ca="1" t="shared" si="610"/>
        <v>0</v>
      </c>
      <c r="N720" s="112">
        <f ca="1" t="shared" si="610"/>
        <v>0</v>
      </c>
      <c r="O720" s="112">
        <f ca="1" t="shared" si="610"/>
        <v>0</v>
      </c>
      <c r="P720" s="112">
        <f ca="1" t="shared" si="610"/>
        <v>0.2</v>
      </c>
      <c r="Q720" s="112">
        <f ca="1" t="shared" si="610"/>
        <v>0</v>
      </c>
    </row>
    <row r="721" ht="24" customHeight="1" spans="1:17">
      <c r="A721" s="99" t="s">
        <v>346</v>
      </c>
      <c r="B721" s="99" t="s">
        <v>308</v>
      </c>
      <c r="C721" s="99" t="s">
        <v>309</v>
      </c>
      <c r="D721" s="48" t="s">
        <v>311</v>
      </c>
      <c r="E721" s="48" t="s">
        <v>87</v>
      </c>
      <c r="F721" s="112" t="str">
        <f ca="1" t="shared" ref="F721:Q721" si="611">IFERROR(F714/F709," ")</f>
        <v> </v>
      </c>
      <c r="G721" s="112">
        <f ca="1" t="shared" si="611"/>
        <v>0</v>
      </c>
      <c r="H721" s="112">
        <f ca="1" t="shared" si="611"/>
        <v>0</v>
      </c>
      <c r="I721" s="112">
        <f ca="1" t="shared" si="611"/>
        <v>0</v>
      </c>
      <c r="J721" s="112">
        <f ca="1" t="shared" si="611"/>
        <v>0</v>
      </c>
      <c r="K721" s="112">
        <f ca="1" t="shared" si="611"/>
        <v>0</v>
      </c>
      <c r="L721" s="112">
        <f ca="1" t="shared" si="611"/>
        <v>0</v>
      </c>
      <c r="M721" s="112">
        <f ca="1" t="shared" si="611"/>
        <v>0.5</v>
      </c>
      <c r="N721" s="112">
        <f ca="1" t="shared" si="611"/>
        <v>0</v>
      </c>
      <c r="O721" s="112">
        <f ca="1" t="shared" si="611"/>
        <v>0</v>
      </c>
      <c r="P721" s="112">
        <f ca="1" t="shared" si="611"/>
        <v>0</v>
      </c>
      <c r="Q721" s="112">
        <f ca="1" t="shared" si="611"/>
        <v>0</v>
      </c>
    </row>
    <row r="722" ht="24" customHeight="1" spans="1:17">
      <c r="A722" s="99" t="s">
        <v>346</v>
      </c>
      <c r="B722" s="99" t="s">
        <v>308</v>
      </c>
      <c r="C722" s="99" t="s">
        <v>309</v>
      </c>
      <c r="D722" s="48" t="s">
        <v>311</v>
      </c>
      <c r="E722" s="48" t="s">
        <v>149</v>
      </c>
      <c r="F722" s="112" t="str">
        <f ca="1" t="shared" ref="F722:Q722" si="612">IFERROR(F715/F709," ")</f>
        <v> </v>
      </c>
      <c r="G722" s="112">
        <f ca="1" t="shared" si="612"/>
        <v>0</v>
      </c>
      <c r="H722" s="112">
        <f ca="1" t="shared" si="612"/>
        <v>0</v>
      </c>
      <c r="I722" s="112">
        <f ca="1" t="shared" si="612"/>
        <v>0</v>
      </c>
      <c r="J722" s="112">
        <f ca="1" t="shared" si="612"/>
        <v>0</v>
      </c>
      <c r="K722" s="112">
        <f ca="1" t="shared" si="612"/>
        <v>0</v>
      </c>
      <c r="L722" s="112">
        <f ca="1" t="shared" si="612"/>
        <v>0</v>
      </c>
      <c r="M722" s="112">
        <f ca="1" t="shared" si="612"/>
        <v>0</v>
      </c>
      <c r="N722" s="112">
        <f ca="1" t="shared" si="612"/>
        <v>0</v>
      </c>
      <c r="O722" s="112">
        <f ca="1" t="shared" si="612"/>
        <v>0</v>
      </c>
      <c r="P722" s="112">
        <f ca="1" t="shared" si="612"/>
        <v>0</v>
      </c>
      <c r="Q722" s="112">
        <f ca="1" t="shared" si="612"/>
        <v>0</v>
      </c>
    </row>
    <row r="723" ht="24" customHeight="1" spans="1:17">
      <c r="A723" s="99" t="s">
        <v>346</v>
      </c>
      <c r="B723" s="99" t="s">
        <v>308</v>
      </c>
      <c r="C723" s="99" t="s">
        <v>309</v>
      </c>
      <c r="D723" s="48" t="s">
        <v>311</v>
      </c>
      <c r="E723" s="48" t="s">
        <v>83</v>
      </c>
      <c r="F723" s="112" t="str">
        <f ca="1" t="shared" ref="F723:Q723" si="613">IFERROR(F716/F709," ")</f>
        <v> </v>
      </c>
      <c r="G723" s="112">
        <f ca="1" t="shared" si="613"/>
        <v>0</v>
      </c>
      <c r="H723" s="112">
        <f ca="1" t="shared" si="613"/>
        <v>0.166666666666667</v>
      </c>
      <c r="I723" s="112">
        <f ca="1" t="shared" si="613"/>
        <v>0.333333333333333</v>
      </c>
      <c r="J723" s="112">
        <f ca="1" t="shared" si="613"/>
        <v>0</v>
      </c>
      <c r="K723" s="112">
        <f ca="1" t="shared" si="613"/>
        <v>0</v>
      </c>
      <c r="L723" s="112">
        <f ca="1" t="shared" si="613"/>
        <v>0</v>
      </c>
      <c r="M723" s="112">
        <f ca="1" t="shared" si="613"/>
        <v>0</v>
      </c>
      <c r="N723" s="112">
        <f ca="1" t="shared" si="613"/>
        <v>0</v>
      </c>
      <c r="O723" s="112">
        <f ca="1" t="shared" si="613"/>
        <v>0</v>
      </c>
      <c r="P723" s="112">
        <f ca="1" t="shared" si="613"/>
        <v>0</v>
      </c>
      <c r="Q723" s="112">
        <f ca="1" t="shared" si="613"/>
        <v>0</v>
      </c>
    </row>
    <row r="724" ht="24" customHeight="1" spans="1:17">
      <c r="A724" s="99" t="s">
        <v>346</v>
      </c>
      <c r="B724" s="99" t="s">
        <v>308</v>
      </c>
      <c r="C724" s="99" t="s">
        <v>309</v>
      </c>
      <c r="D724" s="47" t="s">
        <v>294</v>
      </c>
      <c r="E724" s="47" t="s">
        <v>93</v>
      </c>
      <c r="F724" s="206">
        <f ca="1" t="shared" ref="F724:F728" si="614">IF($S$1&lt;DATE(2025,1,1)," ",F753-F782)</f>
        <v>1</v>
      </c>
      <c r="G724" s="206">
        <f ca="1" t="shared" ref="G724:G728" si="615">IF($S$1&lt;DATE(2025,2,1)," ",G753-G782)</f>
        <v>3</v>
      </c>
      <c r="H724" s="206">
        <f ca="1" t="shared" ref="H724:H728" si="616">IF($S$1&lt;DATE(2025,3,1)," ",H753-H782)</f>
        <v>5</v>
      </c>
      <c r="I724" s="206">
        <f ca="1" t="shared" ref="I724:I728" si="617">IF($S$1&lt;DATE(2025,4,1)," ",I753-I782)</f>
        <v>7</v>
      </c>
      <c r="J724" s="206">
        <f ca="1" t="shared" ref="J724:J728" si="618">IF($S$1&lt;DATE(2025,5,1)," ",J753-J782)</f>
        <v>7</v>
      </c>
      <c r="K724" s="206">
        <f ca="1" t="shared" ref="K724:K728" si="619">IF($S$1&lt;DATE(2025,6,1)," ",K753-K782)</f>
        <v>8</v>
      </c>
      <c r="L724" s="206">
        <f ca="1" t="shared" ref="L724:L728" si="620">IF($S$1&lt;DATE(2025,7,1)," ",L753-L782)</f>
        <v>11</v>
      </c>
      <c r="M724" s="206">
        <f ca="1" t="shared" ref="M724:M728" si="621">IF($S$1&lt;DATE(2025,8,1)," ",M753-M782)</f>
        <v>14</v>
      </c>
      <c r="N724" s="206">
        <f ca="1" t="shared" ref="N724:N728" si="622">IF($S$1&lt;DATE(2025,9,1)," ",N753-N782)</f>
        <v>14</v>
      </c>
      <c r="O724" s="206">
        <f ca="1" t="shared" ref="O724:O728" si="623">IF($S$1&lt;DATE(2025,10,1)," ",O753-O782)</f>
        <v>16</v>
      </c>
      <c r="P724" s="206">
        <f ca="1" t="shared" ref="P724:P728" si="624">IF($S$1&lt;DATE(2025,11,1)," ",P753-P782)</f>
        <v>18</v>
      </c>
      <c r="Q724" s="206">
        <f ca="1" t="shared" ref="Q724:Q728" si="625">IF($S$1&lt;DATE(2025,12,1)," ",Q753-Q782)</f>
        <v>21</v>
      </c>
    </row>
    <row r="725" ht="24" customHeight="1" spans="1:17">
      <c r="A725" s="99" t="s">
        <v>346</v>
      </c>
      <c r="B725" s="99" t="s">
        <v>308</v>
      </c>
      <c r="C725" s="99" t="s">
        <v>309</v>
      </c>
      <c r="D725" s="47" t="s">
        <v>294</v>
      </c>
      <c r="E725" s="47" t="s">
        <v>85</v>
      </c>
      <c r="F725" s="206">
        <f ca="1" t="shared" si="614"/>
        <v>1</v>
      </c>
      <c r="G725" s="206">
        <f ca="1" t="shared" si="615"/>
        <v>3</v>
      </c>
      <c r="H725" s="206">
        <f ca="1" t="shared" si="616"/>
        <v>5</v>
      </c>
      <c r="I725" s="206">
        <f ca="1" t="shared" si="617"/>
        <v>5</v>
      </c>
      <c r="J725" s="206">
        <f ca="1" t="shared" si="618"/>
        <v>6</v>
      </c>
      <c r="K725" s="206">
        <f ca="1" t="shared" si="619"/>
        <v>7</v>
      </c>
      <c r="L725" s="206">
        <f ca="1" t="shared" si="620"/>
        <v>8</v>
      </c>
      <c r="M725" s="206">
        <f ca="1" t="shared" si="621"/>
        <v>8</v>
      </c>
      <c r="N725" s="206">
        <f ca="1" t="shared" si="622"/>
        <v>11</v>
      </c>
      <c r="O725" s="206">
        <f ca="1" t="shared" si="623"/>
        <v>12</v>
      </c>
      <c r="P725" s="206">
        <f ca="1" t="shared" si="624"/>
        <v>16</v>
      </c>
      <c r="Q725" s="206">
        <f ca="1" t="shared" si="625"/>
        <v>16</v>
      </c>
    </row>
    <row r="726" ht="24" customHeight="1" spans="1:17">
      <c r="A726" s="99" t="s">
        <v>346</v>
      </c>
      <c r="B726" s="99" t="s">
        <v>308</v>
      </c>
      <c r="C726" s="99" t="s">
        <v>309</v>
      </c>
      <c r="D726" s="47" t="s">
        <v>294</v>
      </c>
      <c r="E726" s="47" t="s">
        <v>81</v>
      </c>
      <c r="F726" s="206">
        <f ca="1" t="shared" si="614"/>
        <v>0</v>
      </c>
      <c r="G726" s="206">
        <f ca="1" t="shared" si="615"/>
        <v>1</v>
      </c>
      <c r="H726" s="206">
        <f ca="1" t="shared" si="616"/>
        <v>1</v>
      </c>
      <c r="I726" s="206">
        <f ca="1" t="shared" si="617"/>
        <v>1</v>
      </c>
      <c r="J726" s="206">
        <f ca="1" t="shared" si="618"/>
        <v>2</v>
      </c>
      <c r="K726" s="206">
        <f ca="1" t="shared" si="619"/>
        <v>2</v>
      </c>
      <c r="L726" s="206">
        <f ca="1" t="shared" si="620"/>
        <v>4</v>
      </c>
      <c r="M726" s="206">
        <f ca="1" t="shared" si="621"/>
        <v>3</v>
      </c>
      <c r="N726" s="206">
        <f ca="1" t="shared" si="622"/>
        <v>5</v>
      </c>
      <c r="O726" s="206">
        <f ca="1" t="shared" si="623"/>
        <v>6</v>
      </c>
      <c r="P726" s="206">
        <f ca="1" t="shared" si="624"/>
        <v>8</v>
      </c>
      <c r="Q726" s="206">
        <f ca="1" t="shared" si="625"/>
        <v>8</v>
      </c>
    </row>
    <row r="727" ht="24" customHeight="1" spans="1:17">
      <c r="A727" s="99" t="s">
        <v>346</v>
      </c>
      <c r="B727" s="99" t="s">
        <v>308</v>
      </c>
      <c r="C727" s="99" t="s">
        <v>309</v>
      </c>
      <c r="D727" s="47" t="s">
        <v>294</v>
      </c>
      <c r="E727" s="47" t="s">
        <v>96</v>
      </c>
      <c r="F727" s="206">
        <f ca="1" t="shared" si="614"/>
        <v>0</v>
      </c>
      <c r="G727" s="206">
        <f ca="1" t="shared" si="615"/>
        <v>0</v>
      </c>
      <c r="H727" s="206">
        <f ca="1" t="shared" si="616"/>
        <v>1</v>
      </c>
      <c r="I727" s="206">
        <f ca="1" t="shared" si="617"/>
        <v>1</v>
      </c>
      <c r="J727" s="206">
        <f ca="1" t="shared" si="618"/>
        <v>1</v>
      </c>
      <c r="K727" s="206">
        <f ca="1" t="shared" si="619"/>
        <v>1</v>
      </c>
      <c r="L727" s="206">
        <f ca="1" t="shared" si="620"/>
        <v>2</v>
      </c>
      <c r="M727" s="206">
        <f ca="1" t="shared" si="621"/>
        <v>2</v>
      </c>
      <c r="N727" s="206">
        <f ca="1" t="shared" si="622"/>
        <v>2</v>
      </c>
      <c r="O727" s="206">
        <f ca="1" t="shared" si="623"/>
        <v>2</v>
      </c>
      <c r="P727" s="206">
        <f ca="1" t="shared" si="624"/>
        <v>2</v>
      </c>
      <c r="Q727" s="206">
        <f ca="1" t="shared" si="625"/>
        <v>2</v>
      </c>
    </row>
    <row r="728" ht="24" customHeight="1" spans="1:17">
      <c r="A728" s="99" t="s">
        <v>346</v>
      </c>
      <c r="B728" s="99" t="s">
        <v>308</v>
      </c>
      <c r="C728" s="99" t="s">
        <v>309</v>
      </c>
      <c r="D728" s="47" t="s">
        <v>294</v>
      </c>
      <c r="E728" s="47" t="s">
        <v>160</v>
      </c>
      <c r="F728" s="206">
        <f ca="1" t="shared" si="614"/>
        <v>0</v>
      </c>
      <c r="G728" s="206">
        <f ca="1" t="shared" si="615"/>
        <v>0</v>
      </c>
      <c r="H728" s="206">
        <f ca="1" t="shared" si="616"/>
        <v>1</v>
      </c>
      <c r="I728" s="206">
        <f ca="1" t="shared" si="617"/>
        <v>1</v>
      </c>
      <c r="J728" s="206">
        <f ca="1" t="shared" si="618"/>
        <v>0</v>
      </c>
      <c r="K728" s="206">
        <f ca="1" t="shared" si="619"/>
        <v>1</v>
      </c>
      <c r="L728" s="206">
        <f ca="1" t="shared" si="620"/>
        <v>1</v>
      </c>
      <c r="M728" s="206">
        <f ca="1" t="shared" si="621"/>
        <v>1</v>
      </c>
      <c r="N728" s="206">
        <f ca="1" t="shared" si="622"/>
        <v>1</v>
      </c>
      <c r="O728" s="206">
        <f ca="1" t="shared" si="623"/>
        <v>1</v>
      </c>
      <c r="P728" s="206">
        <f ca="1" t="shared" si="624"/>
        <v>1</v>
      </c>
      <c r="Q728" s="206">
        <f ca="1" t="shared" si="625"/>
        <v>1</v>
      </c>
    </row>
    <row r="729" ht="24" customHeight="1" spans="1:17">
      <c r="A729" s="99" t="s">
        <v>346</v>
      </c>
      <c r="B729" s="99" t="s">
        <v>308</v>
      </c>
      <c r="C729" s="99" t="s">
        <v>309</v>
      </c>
      <c r="D729" s="100" t="s">
        <v>292</v>
      </c>
      <c r="E729" s="100" t="s">
        <v>312</v>
      </c>
      <c r="F729" s="204">
        <f ca="1">IF($S$1&lt;DATE(2025,1,1)," ",SUM(F730:F732))</f>
        <v>0</v>
      </c>
      <c r="G729" s="204">
        <f ca="1">IF($S$1&lt;DATE(2025,2,1)," ",SUM(G730:G732))</f>
        <v>1</v>
      </c>
      <c r="H729" s="204">
        <f ca="1">IF($S$1&lt;DATE(2025,3,1)," ",SUM(H730:H732))</f>
        <v>4</v>
      </c>
      <c r="I729" s="204">
        <f ca="1">IF($S$1&lt;DATE(2025,4,1)," ",SUM(I730:I732))</f>
        <v>2</v>
      </c>
      <c r="J729" s="204">
        <f ca="1">IF($S$1&lt;DATE(2025,5,1)," ",SUM(J730:J732))</f>
        <v>1</v>
      </c>
      <c r="K729" s="204">
        <f ca="1">IF($S$1&lt;DATE(2025,6,1)," ",SUM(K730:K732))</f>
        <v>1</v>
      </c>
      <c r="L729" s="204">
        <f ca="1">IF($S$1&lt;DATE(2025,7,1)," ",SUM(L730:L732))</f>
        <v>3</v>
      </c>
      <c r="M729" s="204">
        <f ca="1">IF($S$1&lt;DATE(2025,8,1)," ",SUM(M730:M732))</f>
        <v>2</v>
      </c>
      <c r="N729" s="204">
        <f ca="1">IF($S$1&lt;DATE(2025,9,1)," ",SUM(N730:N732))</f>
        <v>2</v>
      </c>
      <c r="O729" s="204">
        <f ca="1">IF($S$1&lt;DATE(2025,10,1)," ",SUM(O730:O732))</f>
        <v>1</v>
      </c>
      <c r="P729" s="204">
        <f ca="1">IF($S$1&lt;DATE(2025,11,1)," ",SUM(P730:P732))</f>
        <v>5</v>
      </c>
      <c r="Q729" s="204">
        <f ca="1">IF($S$1&lt;DATE(2025,12,1)," ",SUM(Q730:Q732))</f>
        <v>6</v>
      </c>
    </row>
    <row r="730" ht="24" customHeight="1" spans="1:17">
      <c r="A730" s="99" t="s">
        <v>346</v>
      </c>
      <c r="B730" s="99" t="s">
        <v>308</v>
      </c>
      <c r="C730" s="99" t="s">
        <v>309</v>
      </c>
      <c r="D730" s="48" t="s">
        <v>296</v>
      </c>
      <c r="E730" s="48" t="s">
        <v>90</v>
      </c>
      <c r="F730" s="205">
        <f ca="1" t="shared" ref="F730:F732" si="626">IF($S$1&lt;DATE(2025,1,1)," ",F759-F788)</f>
        <v>0</v>
      </c>
      <c r="G730" s="205">
        <f ca="1" t="shared" ref="G730:G732" si="627">IF($S$1&lt;DATE(2025,2,1)," ",G759-G788)</f>
        <v>0</v>
      </c>
      <c r="H730" s="205">
        <f ca="1" t="shared" ref="H730:H732" si="628">IF($S$1&lt;DATE(2025,3,1)," ",H759-H788)</f>
        <v>3</v>
      </c>
      <c r="I730" s="205">
        <f ca="1" t="shared" ref="I730:I732" si="629">IF($S$1&lt;DATE(2025,4,1)," ",I759-I788)</f>
        <v>0</v>
      </c>
      <c r="J730" s="205">
        <f ca="1" t="shared" ref="J730:J732" si="630">IF($S$1&lt;DATE(2025,5,1)," ",J759-J788)</f>
        <v>0</v>
      </c>
      <c r="K730" s="205">
        <f ca="1" t="shared" ref="K730:K732" si="631">IF($S$1&lt;DATE(2025,6,1)," ",K759-K788)</f>
        <v>0</v>
      </c>
      <c r="L730" s="205">
        <f ca="1" t="shared" ref="L730:L732" si="632">IF($S$1&lt;DATE(2025,7,1)," ",L759-L788)</f>
        <v>1</v>
      </c>
      <c r="M730" s="205">
        <f ca="1" t="shared" ref="M730:M732" si="633">IF($S$1&lt;DATE(2025,8,1)," ",M759-M788)</f>
        <v>0</v>
      </c>
      <c r="N730" s="205">
        <f ca="1" t="shared" ref="N730:N732" si="634">IF($S$1&lt;DATE(2025,9,1)," ",N759-N788)</f>
        <v>1</v>
      </c>
      <c r="O730" s="205">
        <f ca="1" t="shared" ref="O730:O732" si="635">IF($S$1&lt;DATE(2025,10,1)," ",O759-O788)</f>
        <v>1</v>
      </c>
      <c r="P730" s="205">
        <f ca="1" t="shared" ref="P730:P732" si="636">IF($S$1&lt;DATE(2025,11,1)," ",P759-P788)</f>
        <v>1</v>
      </c>
      <c r="Q730" s="205">
        <f ca="1" t="shared" ref="Q730:Q732" si="637">IF($S$1&lt;DATE(2025,12,1)," ",Q759-Q788)</f>
        <v>3</v>
      </c>
    </row>
    <row r="731" ht="24" customHeight="1" spans="1:17">
      <c r="A731" s="99" t="s">
        <v>346</v>
      </c>
      <c r="B731" s="99" t="s">
        <v>308</v>
      </c>
      <c r="C731" s="99" t="s">
        <v>309</v>
      </c>
      <c r="D731" s="48" t="s">
        <v>296</v>
      </c>
      <c r="E731" s="48" t="s">
        <v>82</v>
      </c>
      <c r="F731" s="205">
        <f ca="1" t="shared" si="626"/>
        <v>0</v>
      </c>
      <c r="G731" s="205">
        <f ca="1" t="shared" si="627"/>
        <v>0</v>
      </c>
      <c r="H731" s="205">
        <f ca="1" t="shared" si="628"/>
        <v>0</v>
      </c>
      <c r="I731" s="205">
        <f ca="1" t="shared" si="629"/>
        <v>2</v>
      </c>
      <c r="J731" s="205">
        <f ca="1" t="shared" si="630"/>
        <v>1</v>
      </c>
      <c r="K731" s="205">
        <f ca="1" t="shared" si="631"/>
        <v>1</v>
      </c>
      <c r="L731" s="205">
        <f ca="1" t="shared" si="632"/>
        <v>2</v>
      </c>
      <c r="M731" s="205">
        <f ca="1" t="shared" si="633"/>
        <v>1</v>
      </c>
      <c r="N731" s="205">
        <f ca="1" t="shared" si="634"/>
        <v>1</v>
      </c>
      <c r="O731" s="205">
        <f ca="1" t="shared" si="635"/>
        <v>0</v>
      </c>
      <c r="P731" s="205">
        <f ca="1" t="shared" si="636"/>
        <v>2</v>
      </c>
      <c r="Q731" s="205">
        <f ca="1" t="shared" si="637"/>
        <v>3</v>
      </c>
    </row>
    <row r="732" ht="24" customHeight="1" spans="1:17">
      <c r="A732" s="99" t="s">
        <v>346</v>
      </c>
      <c r="B732" s="99" t="s">
        <v>308</v>
      </c>
      <c r="C732" s="99" t="s">
        <v>309</v>
      </c>
      <c r="D732" s="48" t="s">
        <v>296</v>
      </c>
      <c r="E732" s="48" t="s">
        <v>86</v>
      </c>
      <c r="F732" s="205">
        <f ca="1" t="shared" si="626"/>
        <v>0</v>
      </c>
      <c r="G732" s="205">
        <f ca="1" t="shared" si="627"/>
        <v>1</v>
      </c>
      <c r="H732" s="205">
        <f ca="1" t="shared" si="628"/>
        <v>1</v>
      </c>
      <c r="I732" s="205">
        <f ca="1" t="shared" si="629"/>
        <v>0</v>
      </c>
      <c r="J732" s="205">
        <f ca="1" t="shared" si="630"/>
        <v>0</v>
      </c>
      <c r="K732" s="205">
        <f ca="1" t="shared" si="631"/>
        <v>0</v>
      </c>
      <c r="L732" s="205">
        <f ca="1" t="shared" si="632"/>
        <v>0</v>
      </c>
      <c r="M732" s="205">
        <f ca="1" t="shared" si="633"/>
        <v>1</v>
      </c>
      <c r="N732" s="205">
        <f ca="1" t="shared" si="634"/>
        <v>0</v>
      </c>
      <c r="O732" s="205">
        <f ca="1" t="shared" si="635"/>
        <v>0</v>
      </c>
      <c r="P732" s="205">
        <f ca="1" t="shared" si="636"/>
        <v>2</v>
      </c>
      <c r="Q732" s="205">
        <f ca="1" t="shared" si="637"/>
        <v>0</v>
      </c>
    </row>
    <row r="733" ht="24" customHeight="1" spans="1:17">
      <c r="A733" s="99" t="s">
        <v>346</v>
      </c>
      <c r="B733" s="99" t="s">
        <v>308</v>
      </c>
      <c r="C733" s="99" t="s">
        <v>309</v>
      </c>
      <c r="D733" s="48" t="s">
        <v>313</v>
      </c>
      <c r="E733" s="48" t="s">
        <v>90</v>
      </c>
      <c r="F733" s="112" t="str">
        <f ca="1" t="shared" ref="F733:Q733" si="638">IFERROR(F730/F729," ")</f>
        <v> </v>
      </c>
      <c r="G733" s="112">
        <f ca="1" t="shared" si="638"/>
        <v>0</v>
      </c>
      <c r="H733" s="112">
        <f ca="1" t="shared" si="638"/>
        <v>0.75</v>
      </c>
      <c r="I733" s="112">
        <f ca="1" t="shared" si="638"/>
        <v>0</v>
      </c>
      <c r="J733" s="112">
        <f ca="1" t="shared" si="638"/>
        <v>0</v>
      </c>
      <c r="K733" s="112">
        <f ca="1" t="shared" si="638"/>
        <v>0</v>
      </c>
      <c r="L733" s="112">
        <f ca="1" t="shared" si="638"/>
        <v>0.333333333333333</v>
      </c>
      <c r="M733" s="112">
        <f ca="1" t="shared" si="638"/>
        <v>0</v>
      </c>
      <c r="N733" s="112">
        <f ca="1" t="shared" si="638"/>
        <v>0.5</v>
      </c>
      <c r="O733" s="112">
        <f ca="1" t="shared" si="638"/>
        <v>1</v>
      </c>
      <c r="P733" s="112">
        <f ca="1" t="shared" si="638"/>
        <v>0.2</v>
      </c>
      <c r="Q733" s="112">
        <f ca="1" t="shared" si="638"/>
        <v>0.5</v>
      </c>
    </row>
    <row r="734" ht="24" customHeight="1" spans="1:17">
      <c r="A734" s="99" t="s">
        <v>346</v>
      </c>
      <c r="B734" s="99" t="s">
        <v>308</v>
      </c>
      <c r="C734" s="99" t="s">
        <v>309</v>
      </c>
      <c r="D734" s="48" t="s">
        <v>313</v>
      </c>
      <c r="E734" s="48" t="s">
        <v>82</v>
      </c>
      <c r="F734" s="112" t="str">
        <f ca="1" t="shared" ref="F734:Q734" si="639">IFERROR(F731/F729," ")</f>
        <v> </v>
      </c>
      <c r="G734" s="112">
        <f ca="1" t="shared" si="639"/>
        <v>0</v>
      </c>
      <c r="H734" s="112">
        <f ca="1" t="shared" si="639"/>
        <v>0</v>
      </c>
      <c r="I734" s="112">
        <f ca="1" t="shared" si="639"/>
        <v>1</v>
      </c>
      <c r="J734" s="112">
        <f ca="1" t="shared" si="639"/>
        <v>1</v>
      </c>
      <c r="K734" s="112">
        <f ca="1" t="shared" si="639"/>
        <v>1</v>
      </c>
      <c r="L734" s="112">
        <f ca="1" t="shared" si="639"/>
        <v>0.666666666666667</v>
      </c>
      <c r="M734" s="112">
        <f ca="1" t="shared" si="639"/>
        <v>0.5</v>
      </c>
      <c r="N734" s="112">
        <f ca="1" t="shared" si="639"/>
        <v>0.5</v>
      </c>
      <c r="O734" s="112">
        <f ca="1" t="shared" si="639"/>
        <v>0</v>
      </c>
      <c r="P734" s="112">
        <f ca="1" t="shared" si="639"/>
        <v>0.4</v>
      </c>
      <c r="Q734" s="112">
        <f ca="1" t="shared" si="639"/>
        <v>0.5</v>
      </c>
    </row>
    <row r="735" ht="24" customHeight="1" spans="1:17">
      <c r="A735" s="99" t="s">
        <v>346</v>
      </c>
      <c r="B735" s="99" t="s">
        <v>308</v>
      </c>
      <c r="C735" s="99" t="s">
        <v>309</v>
      </c>
      <c r="D735" s="48" t="s">
        <v>313</v>
      </c>
      <c r="E735" s="48" t="s">
        <v>86</v>
      </c>
      <c r="F735" s="112" t="str">
        <f ca="1" t="shared" ref="F735:Q735" si="640">IFERROR(F732/F729," ")</f>
        <v> </v>
      </c>
      <c r="G735" s="112">
        <f ca="1" t="shared" si="640"/>
        <v>1</v>
      </c>
      <c r="H735" s="112">
        <f ca="1" t="shared" si="640"/>
        <v>0.25</v>
      </c>
      <c r="I735" s="112">
        <f ca="1" t="shared" si="640"/>
        <v>0</v>
      </c>
      <c r="J735" s="112">
        <f ca="1" t="shared" si="640"/>
        <v>0</v>
      </c>
      <c r="K735" s="112">
        <f ca="1" t="shared" si="640"/>
        <v>0</v>
      </c>
      <c r="L735" s="112">
        <f ca="1" t="shared" si="640"/>
        <v>0</v>
      </c>
      <c r="M735" s="112">
        <f ca="1" t="shared" si="640"/>
        <v>0.5</v>
      </c>
      <c r="N735" s="112">
        <f ca="1" t="shared" si="640"/>
        <v>0</v>
      </c>
      <c r="O735" s="112">
        <f ca="1" t="shared" si="640"/>
        <v>0</v>
      </c>
      <c r="P735" s="112">
        <f ca="1" t="shared" si="640"/>
        <v>0.4</v>
      </c>
      <c r="Q735" s="112">
        <f ca="1" t="shared" si="640"/>
        <v>0</v>
      </c>
    </row>
    <row r="736" ht="24" customHeight="1" spans="1:17">
      <c r="A736" s="99" t="s">
        <v>346</v>
      </c>
      <c r="B736" s="99" t="s">
        <v>308</v>
      </c>
      <c r="C736" s="99" t="s">
        <v>309</v>
      </c>
      <c r="D736" s="100" t="s">
        <v>292</v>
      </c>
      <c r="E736" s="100" t="s">
        <v>314</v>
      </c>
      <c r="F736" s="204">
        <f ca="1">IF($S$1&lt;DATE(2025,1,1)," ",SUM(F737:F740))</f>
        <v>0</v>
      </c>
      <c r="G736" s="204">
        <f ca="1">IF($S$1&lt;DATE(2025,2,1)," ",SUM(G737:G740))</f>
        <v>1</v>
      </c>
      <c r="H736" s="204">
        <f ca="1">IF($S$1&lt;DATE(2025,3,1)," ",SUM(H737:H740))</f>
        <v>6</v>
      </c>
      <c r="I736" s="204">
        <f ca="1">IF($S$1&lt;DATE(2025,4,1)," ",SUM(I737:I740))</f>
        <v>2</v>
      </c>
      <c r="J736" s="204">
        <f ca="1">IF($S$1&lt;DATE(2025,5,1)," ",SUM(J737:J740))</f>
        <v>0</v>
      </c>
      <c r="K736" s="204">
        <f ca="1">IF($S$1&lt;DATE(2025,6,1)," ",SUM(K737:K740))</f>
        <v>1</v>
      </c>
      <c r="L736" s="204">
        <f ca="1">IF($S$1&lt;DATE(2025,7,1)," ",SUM(L737:L740))</f>
        <v>3</v>
      </c>
      <c r="M736" s="204">
        <f ca="1">IF($S$1&lt;DATE(2025,8,1)," ",SUM(M737:M740))</f>
        <v>1</v>
      </c>
      <c r="N736" s="204">
        <f ca="1">IF($S$1&lt;DATE(2025,9,1)," ",SUM(N737:N740))</f>
        <v>2</v>
      </c>
      <c r="O736" s="204">
        <f ca="1">IF($S$1&lt;DATE(2025,10,1)," ",SUM(O737:O740))</f>
        <v>0</v>
      </c>
      <c r="P736" s="204">
        <f ca="1">IF($S$1&lt;DATE(2025,11,1)," ",SUM(P737:P740))</f>
        <v>4</v>
      </c>
      <c r="Q736" s="204">
        <f ca="1">IF($S$1&lt;DATE(2025,12,1)," ",SUM(Q737:Q740))</f>
        <v>5</v>
      </c>
    </row>
    <row r="737" ht="24" customHeight="1" spans="1:17">
      <c r="A737" s="99" t="s">
        <v>346</v>
      </c>
      <c r="B737" s="99" t="s">
        <v>308</v>
      </c>
      <c r="C737" s="99" t="s">
        <v>309</v>
      </c>
      <c r="D737" s="48" t="s">
        <v>298</v>
      </c>
      <c r="E737" s="48" t="s">
        <v>97</v>
      </c>
      <c r="F737" s="205">
        <f ca="1" t="shared" ref="F737:F740" si="641">IF($S$1&lt;DATE(2025,1,1)," ",F763-F795)</f>
        <v>0</v>
      </c>
      <c r="G737" s="205">
        <f ca="1" t="shared" ref="G737:G740" si="642">IF($S$1&lt;DATE(2025,2,1)," ",G763-G795)</f>
        <v>1</v>
      </c>
      <c r="H737" s="205">
        <f ca="1" t="shared" ref="H737:H740" si="643">IF($S$1&lt;DATE(2025,3,1)," ",H763-H795)</f>
        <v>3</v>
      </c>
      <c r="I737" s="205">
        <f ca="1" t="shared" ref="I737:I740" si="644">IF($S$1&lt;DATE(2025,4,1)," ",I763-I795)</f>
        <v>1</v>
      </c>
      <c r="J737" s="205">
        <f ca="1" t="shared" ref="J737:J740" si="645">IF($S$1&lt;DATE(2025,5,1)," ",J763-J795)</f>
        <v>0</v>
      </c>
      <c r="K737" s="205">
        <f ca="1" t="shared" ref="K737:K740" si="646">IF($S$1&lt;DATE(2025,6,1)," ",K763-K795)</f>
        <v>0</v>
      </c>
      <c r="L737" s="205">
        <f ca="1" t="shared" ref="L737:L740" si="647">IF($S$1&lt;DATE(2025,7,1)," ",L763-L795)</f>
        <v>0</v>
      </c>
      <c r="M737" s="205">
        <f ca="1" t="shared" ref="M737:M740" si="648">IF($S$1&lt;DATE(2025,8,1)," ",M763-M795)</f>
        <v>0</v>
      </c>
      <c r="N737" s="205">
        <f ca="1" t="shared" ref="N737:N740" si="649">IF($S$1&lt;DATE(2025,9,1)," ",N763-N795)</f>
        <v>1</v>
      </c>
      <c r="O737" s="205">
        <f ca="1" t="shared" ref="O737:O740" si="650">IF($S$1&lt;DATE(2025,10,1)," ",O763-O795)</f>
        <v>0</v>
      </c>
      <c r="P737" s="205">
        <f ca="1" t="shared" ref="P737:P740" si="651">IF($S$1&lt;DATE(2025,11,1)," ",P763-P795)</f>
        <v>1</v>
      </c>
      <c r="Q737" s="205">
        <f ca="1" t="shared" ref="Q737:Q740" si="652">IF($S$1&lt;DATE(2025,12,1)," ",Q763-Q795)</f>
        <v>0</v>
      </c>
    </row>
    <row r="738" ht="24" customHeight="1" spans="1:17">
      <c r="A738" s="99" t="s">
        <v>346</v>
      </c>
      <c r="B738" s="99" t="s">
        <v>308</v>
      </c>
      <c r="C738" s="99" t="s">
        <v>309</v>
      </c>
      <c r="D738" s="48" t="s">
        <v>298</v>
      </c>
      <c r="E738" s="48" t="s">
        <v>87</v>
      </c>
      <c r="F738" s="205">
        <f ca="1" t="shared" si="641"/>
        <v>0</v>
      </c>
      <c r="G738" s="205">
        <f ca="1" t="shared" si="642"/>
        <v>0</v>
      </c>
      <c r="H738" s="205">
        <f ca="1" t="shared" si="643"/>
        <v>1</v>
      </c>
      <c r="I738" s="205">
        <f ca="1" t="shared" si="644"/>
        <v>0</v>
      </c>
      <c r="J738" s="205">
        <f ca="1" t="shared" si="645"/>
        <v>0</v>
      </c>
      <c r="K738" s="205">
        <f ca="1" t="shared" si="646"/>
        <v>0</v>
      </c>
      <c r="L738" s="205">
        <f ca="1" t="shared" si="647"/>
        <v>3</v>
      </c>
      <c r="M738" s="205">
        <f ca="1" t="shared" si="648"/>
        <v>1</v>
      </c>
      <c r="N738" s="205">
        <f ca="1" t="shared" si="649"/>
        <v>1</v>
      </c>
      <c r="O738" s="205">
        <f ca="1" t="shared" si="650"/>
        <v>0</v>
      </c>
      <c r="P738" s="205">
        <f ca="1" t="shared" si="651"/>
        <v>3</v>
      </c>
      <c r="Q738" s="205">
        <f ca="1" t="shared" si="652"/>
        <v>5</v>
      </c>
    </row>
    <row r="739" ht="24" customHeight="1" spans="1:17">
      <c r="A739" s="99" t="s">
        <v>346</v>
      </c>
      <c r="B739" s="99" t="s">
        <v>308</v>
      </c>
      <c r="C739" s="99" t="s">
        <v>309</v>
      </c>
      <c r="D739" s="48" t="s">
        <v>298</v>
      </c>
      <c r="E739" s="48" t="s">
        <v>149</v>
      </c>
      <c r="F739" s="205">
        <f ca="1" t="shared" si="641"/>
        <v>0</v>
      </c>
      <c r="G739" s="205">
        <f ca="1" t="shared" si="642"/>
        <v>0</v>
      </c>
      <c r="H739" s="205">
        <f ca="1" t="shared" si="643"/>
        <v>0</v>
      </c>
      <c r="I739" s="205">
        <f ca="1" t="shared" si="644"/>
        <v>0</v>
      </c>
      <c r="J739" s="205">
        <f ca="1" t="shared" si="645"/>
        <v>0</v>
      </c>
      <c r="K739" s="205">
        <f ca="1" t="shared" si="646"/>
        <v>0</v>
      </c>
      <c r="L739" s="205">
        <f ca="1" t="shared" si="647"/>
        <v>0</v>
      </c>
      <c r="M739" s="205">
        <f ca="1" t="shared" si="648"/>
        <v>0</v>
      </c>
      <c r="N739" s="205">
        <f ca="1" t="shared" si="649"/>
        <v>0</v>
      </c>
      <c r="O739" s="205">
        <f ca="1" t="shared" si="650"/>
        <v>0</v>
      </c>
      <c r="P739" s="205">
        <f ca="1" t="shared" si="651"/>
        <v>0</v>
      </c>
      <c r="Q739" s="205">
        <f ca="1" t="shared" si="652"/>
        <v>0</v>
      </c>
    </row>
    <row r="740" ht="24" customHeight="1" spans="1:17">
      <c r="A740" s="99" t="s">
        <v>346</v>
      </c>
      <c r="B740" s="99" t="s">
        <v>308</v>
      </c>
      <c r="C740" s="99" t="s">
        <v>309</v>
      </c>
      <c r="D740" s="48" t="s">
        <v>298</v>
      </c>
      <c r="E740" s="48" t="s">
        <v>83</v>
      </c>
      <c r="F740" s="205">
        <f ca="1" t="shared" si="641"/>
        <v>0</v>
      </c>
      <c r="G740" s="205">
        <f ca="1" t="shared" si="642"/>
        <v>0</v>
      </c>
      <c r="H740" s="205">
        <f ca="1" t="shared" si="643"/>
        <v>2</v>
      </c>
      <c r="I740" s="205">
        <f ca="1" t="shared" si="644"/>
        <v>1</v>
      </c>
      <c r="J740" s="205">
        <f ca="1" t="shared" si="645"/>
        <v>0</v>
      </c>
      <c r="K740" s="205">
        <f ca="1" t="shared" si="646"/>
        <v>1</v>
      </c>
      <c r="L740" s="205">
        <f ca="1" t="shared" si="647"/>
        <v>0</v>
      </c>
      <c r="M740" s="205">
        <f ca="1" t="shared" si="648"/>
        <v>0</v>
      </c>
      <c r="N740" s="205">
        <f ca="1" t="shared" si="649"/>
        <v>0</v>
      </c>
      <c r="O740" s="205">
        <f ca="1" t="shared" si="650"/>
        <v>0</v>
      </c>
      <c r="P740" s="205">
        <f ca="1" t="shared" si="651"/>
        <v>0</v>
      </c>
      <c r="Q740" s="205">
        <f ca="1" t="shared" si="652"/>
        <v>0</v>
      </c>
    </row>
    <row r="741" ht="24" customHeight="1" spans="1:17">
      <c r="A741" s="99" t="s">
        <v>346</v>
      </c>
      <c r="B741" s="99" t="s">
        <v>308</v>
      </c>
      <c r="C741" s="99" t="s">
        <v>309</v>
      </c>
      <c r="D741" s="48" t="s">
        <v>315</v>
      </c>
      <c r="E741" s="48" t="s">
        <v>97</v>
      </c>
      <c r="F741" s="112" t="str">
        <f ca="1" t="shared" ref="F741:F744" si="653">IFERROR(IF($S$1&lt;DATE(2025,1,1)," ",F737/F$736),"")</f>
        <v/>
      </c>
      <c r="G741" s="112">
        <f ca="1" t="shared" ref="G741:G744" si="654">IFERROR(IF($S$1&lt;DATE(2025,2,1)," ",G737/G$736),"")</f>
        <v>1</v>
      </c>
      <c r="H741" s="112">
        <f ca="1">IF($S$1&lt;DATE(2025,3,1)," ",H737/H736)</f>
        <v>0.5</v>
      </c>
      <c r="I741" s="112">
        <f ca="1">IF($S$1&lt;DATE(2025,4,1)," ",I737/I736)</f>
        <v>0.5</v>
      </c>
      <c r="J741" s="112" t="str">
        <f ca="1" t="shared" ref="J741:J744" si="655">IFERROR("",IF($S$1&lt;DATE(2025,5,1)," ",J737/$J$736))</f>
        <v/>
      </c>
      <c r="K741" s="112">
        <f ca="1">IF($S$1&lt;DATE(2025,6,1)," ",K737/K736)</f>
        <v>0</v>
      </c>
      <c r="L741" s="112">
        <f ca="1">IF($S$1&lt;DATE(2025,7,1)," ",L737/L736)</f>
        <v>0</v>
      </c>
      <c r="M741" s="112">
        <f ca="1">IF($S$1&lt;DATE(2025,8,1)," ",M737/M736)</f>
        <v>0</v>
      </c>
      <c r="N741" s="112">
        <f ca="1">IF($S$1&lt;DATE(2025,9,1)," ",N737/N736)</f>
        <v>0.5</v>
      </c>
      <c r="O741" s="112" t="str">
        <f ca="1" t="shared" ref="O741:O744" si="656">IF(O737=0,"",IF($S$1&lt;DATE(2025,10,1)," ",O737/O$736))</f>
        <v/>
      </c>
      <c r="P741" s="112">
        <f ca="1">IF($S$1&lt;DATE(2025,11,1)," ",P737/P736)</f>
        <v>0.25</v>
      </c>
      <c r="Q741" s="112">
        <f ca="1">IF($S$1&lt;DATE(2025,12,1)," ",Q737/Q736)</f>
        <v>0</v>
      </c>
    </row>
    <row r="742" ht="24" customHeight="1" spans="1:17">
      <c r="A742" s="99" t="s">
        <v>346</v>
      </c>
      <c r="B742" s="99" t="s">
        <v>308</v>
      </c>
      <c r="C742" s="99" t="s">
        <v>309</v>
      </c>
      <c r="D742" s="48" t="s">
        <v>315</v>
      </c>
      <c r="E742" s="48" t="s">
        <v>87</v>
      </c>
      <c r="F742" s="112" t="str">
        <f ca="1" t="shared" si="653"/>
        <v/>
      </c>
      <c r="G742" s="112">
        <f ca="1" t="shared" si="654"/>
        <v>0</v>
      </c>
      <c r="H742" s="112">
        <f ca="1">IF($S$1&lt;DATE(2025,3,1)," ",H738/H736)</f>
        <v>0.166666666666667</v>
      </c>
      <c r="I742" s="112">
        <f ca="1">IF($S$1&lt;DATE(2025,4,1)," ",I738/I736)</f>
        <v>0</v>
      </c>
      <c r="J742" s="112" t="str">
        <f ca="1" t="shared" si="655"/>
        <v/>
      </c>
      <c r="K742" s="112">
        <f ca="1">IF($S$1&lt;DATE(2025,6,1)," ",K738/K736)</f>
        <v>0</v>
      </c>
      <c r="L742" s="112">
        <f ca="1">IF($S$1&lt;DATE(2025,7,1)," ",L738/L736)</f>
        <v>1</v>
      </c>
      <c r="M742" s="112">
        <f ca="1">IF($S$1&lt;DATE(2025,8,1)," ",M738/M736)</f>
        <v>1</v>
      </c>
      <c r="N742" s="112">
        <f ca="1">IF($S$1&lt;DATE(2025,9,1)," ",N738/N736)</f>
        <v>0.5</v>
      </c>
      <c r="O742" s="112" t="str">
        <f ca="1" t="shared" si="656"/>
        <v/>
      </c>
      <c r="P742" s="112">
        <f ca="1">IF($S$1&lt;DATE(2025,11,1)," ",P738/P736)</f>
        <v>0.75</v>
      </c>
      <c r="Q742" s="112">
        <f ca="1">IF($S$1&lt;DATE(2025,12,1)," ",Q738/Q736)</f>
        <v>1</v>
      </c>
    </row>
    <row r="743" ht="24" customHeight="1" spans="1:17">
      <c r="A743" s="99" t="s">
        <v>346</v>
      </c>
      <c r="B743" s="99" t="s">
        <v>308</v>
      </c>
      <c r="C743" s="99" t="s">
        <v>309</v>
      </c>
      <c r="D743" s="48" t="s">
        <v>315</v>
      </c>
      <c r="E743" s="48" t="s">
        <v>149</v>
      </c>
      <c r="F743" s="112" t="str">
        <f ca="1" t="shared" si="653"/>
        <v/>
      </c>
      <c r="G743" s="112">
        <f ca="1" t="shared" si="654"/>
        <v>0</v>
      </c>
      <c r="H743" s="112">
        <f ca="1">IF($S$1&lt;DATE(2025,3,1)," ",H739/H736)</f>
        <v>0</v>
      </c>
      <c r="I743" s="112">
        <f ca="1">IF($S$1&lt;DATE(2025,4,1)," ",I739/I736)</f>
        <v>0</v>
      </c>
      <c r="J743" s="112" t="str">
        <f ca="1" t="shared" si="655"/>
        <v/>
      </c>
      <c r="K743" s="112">
        <f ca="1">IF($S$1&lt;DATE(2025,6,1)," ",K739/K736)</f>
        <v>0</v>
      </c>
      <c r="L743" s="112">
        <f ca="1">IF($S$1&lt;DATE(2025,7,1)," ",L739/L736)</f>
        <v>0</v>
      </c>
      <c r="M743" s="112">
        <f ca="1">IF($S$1&lt;DATE(2025,8,1)," ",M739/M736)</f>
        <v>0</v>
      </c>
      <c r="N743" s="112">
        <f ca="1">IF($S$1&lt;DATE(2025,9,1)," ",N739/N736)</f>
        <v>0</v>
      </c>
      <c r="O743" s="112" t="str">
        <f ca="1" t="shared" si="656"/>
        <v/>
      </c>
      <c r="P743" s="112">
        <f ca="1">IF($S$1&lt;DATE(2025,11,1)," ",P739/P736)</f>
        <v>0</v>
      </c>
      <c r="Q743" s="112">
        <f ca="1">IF($S$1&lt;DATE(2025,12,1)," ",Q739/Q736)</f>
        <v>0</v>
      </c>
    </row>
    <row r="744" ht="24" customHeight="1" spans="1:17">
      <c r="A744" s="99" t="s">
        <v>346</v>
      </c>
      <c r="B744" s="99" t="s">
        <v>308</v>
      </c>
      <c r="C744" s="99" t="s">
        <v>309</v>
      </c>
      <c r="D744" s="48" t="s">
        <v>315</v>
      </c>
      <c r="E744" s="48" t="s">
        <v>83</v>
      </c>
      <c r="F744" s="112" t="str">
        <f ca="1" t="shared" si="653"/>
        <v/>
      </c>
      <c r="G744" s="112">
        <f ca="1" t="shared" si="654"/>
        <v>0</v>
      </c>
      <c r="H744" s="112">
        <f ca="1">IF($S$1&lt;DATE(2025,3,1)," ",H740/H736)</f>
        <v>0.333333333333333</v>
      </c>
      <c r="I744" s="112">
        <f ca="1">IF($S$1&lt;DATE(2025,4,1)," ",I740/I736)</f>
        <v>0.5</v>
      </c>
      <c r="J744" s="112" t="str">
        <f ca="1" t="shared" si="655"/>
        <v/>
      </c>
      <c r="K744" s="112">
        <f ca="1">IF($S$1&lt;DATE(2025,6,1)," ",K740/K736)</f>
        <v>1</v>
      </c>
      <c r="L744" s="112">
        <f ca="1">IF($S$1&lt;DATE(2025,7,1)," ",L740/L736)</f>
        <v>0</v>
      </c>
      <c r="M744" s="112">
        <f ca="1">IF($S$1&lt;DATE(2025,8,1)," ",M740/M736)</f>
        <v>0</v>
      </c>
      <c r="N744" s="112">
        <f ca="1">IF($S$1&lt;DATE(2025,9,1)," ",N740/N736)</f>
        <v>0</v>
      </c>
      <c r="O744" s="112" t="str">
        <f ca="1" t="shared" si="656"/>
        <v/>
      </c>
      <c r="P744" s="112">
        <f ca="1">IF($S$1&lt;DATE(2025,11,1)," ",P740/P736)</f>
        <v>0</v>
      </c>
      <c r="Q744" s="112">
        <f ca="1">IF($S$1&lt;DATE(2025,12,1)," ",Q740/Q736)</f>
        <v>0</v>
      </c>
    </row>
    <row r="745" ht="24" customHeight="1" spans="1:17">
      <c r="A745" s="99" t="s">
        <v>346</v>
      </c>
      <c r="B745" s="99" t="s">
        <v>290</v>
      </c>
      <c r="C745" s="99" t="s">
        <v>316</v>
      </c>
      <c r="D745" s="100" t="s">
        <v>292</v>
      </c>
      <c r="E745" s="100" t="s">
        <v>317</v>
      </c>
      <c r="F745" s="204">
        <f ca="1">IF($S$1&lt;DATE(2025,1,1)," ",IF((SUM(F746:F752)-MAX(F758,F762))&lt;0,"ERR",SUM(F746:F752)))</f>
        <v>6</v>
      </c>
      <c r="G745" s="204">
        <f ca="1">IF($S$1&lt;DATE(2025,2,1)," ",IF((SUM(G746:G752)-MAX(G758,G762))&lt;0,"ERR",SUM(G746:G752)))</f>
        <v>7</v>
      </c>
      <c r="H745" s="204">
        <f ca="1">IF($S$1&lt;DATE(2025,3,1)," ",IF((SUM(H746:H752)-MAX(H758,H762))&lt;0,"ERR",SUM(H746:H752)))</f>
        <v>13</v>
      </c>
      <c r="I745" s="204">
        <f ca="1">IF($S$1&lt;DATE(2025,4,1)," ",IF((SUM(I746:I752)-MAX(I758,I762))&lt;0,"ERR",SUM(I746:I752)))</f>
        <v>18</v>
      </c>
      <c r="J745" s="204">
        <f ca="1">IF($S$1&lt;DATE(2025,5,1)," ",IF((SUM(J746:J752)-MAX(J758,J762))&lt;0,"ERR",SUM(J746:J752)))</f>
        <v>19</v>
      </c>
      <c r="K745" s="204">
        <f ca="1">IF($S$1&lt;DATE(2025,6,1)," ",IF((SUM(K746:K752)-MAX(K758,K762))&lt;0,"ERR",SUM(K746:K752)))</f>
        <v>22</v>
      </c>
      <c r="L745" s="204">
        <f ca="1">IF($S$1&lt;DATE(2025,7,1)," ",IF((SUM(L746:L752)-MAX(L758,L762))&lt;0,"ERR",SUM(L746:L752)))</f>
        <v>28</v>
      </c>
      <c r="M745" s="204">
        <f ca="1">IF($S$1&lt;DATE(2025,8,1)," ",IF((SUM(M746:M752)-MAX(M758,M762))&lt;0,"ERR",SUM(M746:M752)))</f>
        <v>33</v>
      </c>
      <c r="N745" s="204">
        <f ca="1">IF($S$1&lt;DATE(2025,9,1)," ",IF((SUM(N746:N752)-MAX(N758,N762))&lt;0,"ERR",SUM(N746:N752)))</f>
        <v>37</v>
      </c>
      <c r="O745" s="204">
        <f ca="1">IF($S$1&lt;DATE(2025,10,1)," ",IF((SUM(O746:O752)-MAX(O758,O762))&lt;0,"ERR",SUM(O746:O752)))</f>
        <v>40</v>
      </c>
      <c r="P745" s="204">
        <f ca="1">IF($S$1&lt;DATE(2025,11,1)," ",IF((SUM(P746:P752)-MAX(P758,P762))&lt;0,"ERR",SUM(P746:P752)))</f>
        <v>46</v>
      </c>
      <c r="Q745" s="204">
        <f ca="1">IF($S$1&lt;DATE(2025,12,1)," ",IF((SUM(Q746:Q752)-MAX(Q758,Q762))&lt;0,"ERR",SUM(Q746:Q752)))</f>
        <v>52</v>
      </c>
    </row>
    <row r="746" ht="24" customHeight="1" spans="1:17">
      <c r="A746" s="99" t="s">
        <v>346</v>
      </c>
      <c r="B746" s="99" t="s">
        <v>290</v>
      </c>
      <c r="C746" s="99" t="s">
        <v>316</v>
      </c>
      <c r="D746" s="48" t="s">
        <v>31</v>
      </c>
      <c r="E746" s="48" t="s">
        <v>90</v>
      </c>
      <c r="F746" s="205">
        <f ca="1" t="shared" ref="F746:F757" si="657">IF($S$1&lt;DATE(2025,1,1)," ",F648)</f>
        <v>1</v>
      </c>
      <c r="G746" s="205">
        <f ca="1" t="shared" ref="G746:G757" si="658">IF($S$1&lt;DATE(2025,2,1)," ",G648+F746)</f>
        <v>1</v>
      </c>
      <c r="H746" s="205">
        <f ca="1" t="shared" ref="H746:H757" si="659">IF($S$1&lt;DATE(2025,3,1)," ",H648+G746)</f>
        <v>4</v>
      </c>
      <c r="I746" s="205">
        <f ca="1" t="shared" ref="I746:I757" si="660">IF($S$1&lt;DATE(2025,4,1)," ",I648+H746)</f>
        <v>5</v>
      </c>
      <c r="J746" s="205">
        <f ca="1" t="shared" ref="J746:J757" si="661">IF($S$1&lt;DATE(2025,5,1)," ",J648+I746)</f>
        <v>5</v>
      </c>
      <c r="K746" s="205">
        <f ca="1" t="shared" ref="K746:K757" si="662">IF($S$1&lt;DATE(2025,6,1)," ",K648+J746)</f>
        <v>5</v>
      </c>
      <c r="L746" s="205">
        <f ca="1" t="shared" ref="L746:L757" si="663">IF($S$1&lt;DATE(2025,7,1)," ",L648+K746)</f>
        <v>7</v>
      </c>
      <c r="M746" s="205">
        <f ca="1" t="shared" ref="M746:M757" si="664">IF($S$1&lt;DATE(2025,8,1)," ",M648+L746)</f>
        <v>9</v>
      </c>
      <c r="N746" s="205">
        <f ca="1" t="shared" ref="N746:N757" si="665">IF($S$1&lt;DATE(2025,9,1)," ",N648+M746)</f>
        <v>11</v>
      </c>
      <c r="O746" s="205">
        <f ca="1" t="shared" ref="O746:O757" si="666">IF($S$1&lt;DATE(2025,10,1)," ",O648+N746)</f>
        <v>12</v>
      </c>
      <c r="P746" s="205">
        <f ca="1" t="shared" ref="P746:P757" si="667">IF($S$1&lt;DATE(2025,11,1)," ",P648+O746)</f>
        <v>13</v>
      </c>
      <c r="Q746" s="205">
        <f ca="1" t="shared" ref="Q746:Q757" si="668">IF($S$1&lt;DATE(2025,12,1)," ",Q648+P746)</f>
        <v>17</v>
      </c>
    </row>
    <row r="747" ht="24" customHeight="1" spans="1:17">
      <c r="A747" s="99" t="s">
        <v>346</v>
      </c>
      <c r="B747" s="99" t="s">
        <v>290</v>
      </c>
      <c r="C747" s="99" t="s">
        <v>316</v>
      </c>
      <c r="D747" s="48" t="s">
        <v>31</v>
      </c>
      <c r="E747" s="48" t="s">
        <v>82</v>
      </c>
      <c r="F747" s="205">
        <f ca="1" t="shared" si="657"/>
        <v>3</v>
      </c>
      <c r="G747" s="205">
        <f ca="1" t="shared" si="658"/>
        <v>3</v>
      </c>
      <c r="H747" s="205">
        <f ca="1" t="shared" si="659"/>
        <v>3</v>
      </c>
      <c r="I747" s="205">
        <f ca="1" t="shared" si="660"/>
        <v>5</v>
      </c>
      <c r="J747" s="205">
        <f ca="1" t="shared" si="661"/>
        <v>6</v>
      </c>
      <c r="K747" s="205">
        <f ca="1" t="shared" si="662"/>
        <v>7</v>
      </c>
      <c r="L747" s="205">
        <f ca="1" t="shared" si="663"/>
        <v>10</v>
      </c>
      <c r="M747" s="205">
        <f ca="1" t="shared" si="664"/>
        <v>10</v>
      </c>
      <c r="N747" s="205">
        <f ca="1" t="shared" si="665"/>
        <v>11</v>
      </c>
      <c r="O747" s="205">
        <f ca="1" t="shared" si="666"/>
        <v>11</v>
      </c>
      <c r="P747" s="205">
        <f ca="1" t="shared" si="667"/>
        <v>13</v>
      </c>
      <c r="Q747" s="205">
        <f ca="1" t="shared" si="668"/>
        <v>14</v>
      </c>
    </row>
    <row r="748" ht="24" customHeight="1" spans="1:17">
      <c r="A748" s="99" t="s">
        <v>346</v>
      </c>
      <c r="B748" s="99" t="s">
        <v>290</v>
      </c>
      <c r="C748" s="99" t="s">
        <v>316</v>
      </c>
      <c r="D748" s="48" t="s">
        <v>31</v>
      </c>
      <c r="E748" s="48" t="s">
        <v>86</v>
      </c>
      <c r="F748" s="205">
        <f ca="1" t="shared" si="657"/>
        <v>1</v>
      </c>
      <c r="G748" s="205">
        <f ca="1" t="shared" si="658"/>
        <v>2</v>
      </c>
      <c r="H748" s="205">
        <f ca="1" t="shared" si="659"/>
        <v>2</v>
      </c>
      <c r="I748" s="205">
        <f ca="1" t="shared" si="660"/>
        <v>2</v>
      </c>
      <c r="J748" s="205">
        <f ca="1" t="shared" si="661"/>
        <v>2</v>
      </c>
      <c r="K748" s="205">
        <f ca="1" t="shared" si="662"/>
        <v>2</v>
      </c>
      <c r="L748" s="205">
        <f ca="1" t="shared" si="663"/>
        <v>2</v>
      </c>
      <c r="M748" s="205">
        <f ca="1" t="shared" si="664"/>
        <v>4</v>
      </c>
      <c r="N748" s="205">
        <f ca="1" t="shared" si="665"/>
        <v>5</v>
      </c>
      <c r="O748" s="205">
        <f ca="1" t="shared" si="666"/>
        <v>7</v>
      </c>
      <c r="P748" s="205">
        <f ca="1" t="shared" si="667"/>
        <v>9</v>
      </c>
      <c r="Q748" s="205">
        <f ca="1" t="shared" si="668"/>
        <v>9</v>
      </c>
    </row>
    <row r="749" ht="24" customHeight="1" spans="1:17">
      <c r="A749" s="99" t="s">
        <v>346</v>
      </c>
      <c r="B749" s="99" t="s">
        <v>290</v>
      </c>
      <c r="C749" s="99" t="s">
        <v>316</v>
      </c>
      <c r="D749" s="48" t="s">
        <v>31</v>
      </c>
      <c r="E749" s="48" t="s">
        <v>97</v>
      </c>
      <c r="F749" s="205">
        <f ca="1" t="shared" si="657"/>
        <v>0</v>
      </c>
      <c r="G749" s="205">
        <f ca="1" t="shared" si="658"/>
        <v>0</v>
      </c>
      <c r="H749" s="205">
        <f ca="1" t="shared" si="659"/>
        <v>2</v>
      </c>
      <c r="I749" s="205">
        <f ca="1" t="shared" si="660"/>
        <v>2</v>
      </c>
      <c r="J749" s="205">
        <f ca="1" t="shared" si="661"/>
        <v>2</v>
      </c>
      <c r="K749" s="205">
        <f ca="1" t="shared" si="662"/>
        <v>4</v>
      </c>
      <c r="L749" s="205">
        <f ca="1" t="shared" si="663"/>
        <v>5</v>
      </c>
      <c r="M749" s="205">
        <f ca="1" t="shared" si="664"/>
        <v>5</v>
      </c>
      <c r="N749" s="205">
        <f ca="1" t="shared" si="665"/>
        <v>5</v>
      </c>
      <c r="O749" s="205">
        <f ca="1" t="shared" si="666"/>
        <v>5</v>
      </c>
      <c r="P749" s="205">
        <f ca="1" t="shared" si="667"/>
        <v>6</v>
      </c>
      <c r="Q749" s="205">
        <f ca="1" t="shared" si="668"/>
        <v>6</v>
      </c>
    </row>
    <row r="750" ht="24" customHeight="1" spans="1:17">
      <c r="A750" s="99" t="s">
        <v>346</v>
      </c>
      <c r="B750" s="99" t="s">
        <v>290</v>
      </c>
      <c r="C750" s="99" t="s">
        <v>316</v>
      </c>
      <c r="D750" s="48" t="s">
        <v>31</v>
      </c>
      <c r="E750" s="48" t="s">
        <v>87</v>
      </c>
      <c r="F750" s="205">
        <f ca="1" t="shared" si="657"/>
        <v>1</v>
      </c>
      <c r="G750" s="205">
        <f ca="1" t="shared" si="658"/>
        <v>1</v>
      </c>
      <c r="H750" s="205">
        <f ca="1" t="shared" si="659"/>
        <v>1</v>
      </c>
      <c r="I750" s="205">
        <f ca="1" t="shared" si="660"/>
        <v>2</v>
      </c>
      <c r="J750" s="205">
        <f ca="1" t="shared" si="661"/>
        <v>2</v>
      </c>
      <c r="K750" s="205">
        <f ca="1" t="shared" si="662"/>
        <v>2</v>
      </c>
      <c r="L750" s="205">
        <f ca="1" t="shared" si="663"/>
        <v>2</v>
      </c>
      <c r="M750" s="205">
        <f ca="1" t="shared" si="664"/>
        <v>3</v>
      </c>
      <c r="N750" s="205">
        <f ca="1" t="shared" si="665"/>
        <v>3</v>
      </c>
      <c r="O750" s="205">
        <f ca="1" t="shared" si="666"/>
        <v>3</v>
      </c>
      <c r="P750" s="205">
        <f ca="1" t="shared" si="667"/>
        <v>3</v>
      </c>
      <c r="Q750" s="205">
        <f ca="1" t="shared" si="668"/>
        <v>4</v>
      </c>
    </row>
    <row r="751" ht="24" customHeight="1" spans="1:17">
      <c r="A751" s="99" t="s">
        <v>346</v>
      </c>
      <c r="B751" s="99" t="s">
        <v>290</v>
      </c>
      <c r="C751" s="99" t="s">
        <v>316</v>
      </c>
      <c r="D751" s="48" t="s">
        <v>31</v>
      </c>
      <c r="E751" s="48" t="s">
        <v>149</v>
      </c>
      <c r="F751" s="205">
        <f ca="1" t="shared" si="657"/>
        <v>0</v>
      </c>
      <c r="G751" s="205">
        <f ca="1" t="shared" si="658"/>
        <v>0</v>
      </c>
      <c r="H751" s="205">
        <f ca="1" t="shared" si="659"/>
        <v>0</v>
      </c>
      <c r="I751" s="205">
        <f ca="1" t="shared" si="660"/>
        <v>0</v>
      </c>
      <c r="J751" s="205">
        <f ca="1" t="shared" si="661"/>
        <v>0</v>
      </c>
      <c r="K751" s="205">
        <f ca="1" t="shared" si="662"/>
        <v>0</v>
      </c>
      <c r="L751" s="205">
        <f ca="1" t="shared" si="663"/>
        <v>0</v>
      </c>
      <c r="M751" s="205">
        <f ca="1" t="shared" si="664"/>
        <v>0</v>
      </c>
      <c r="N751" s="205">
        <f ca="1" t="shared" si="665"/>
        <v>0</v>
      </c>
      <c r="O751" s="205">
        <f ca="1" t="shared" si="666"/>
        <v>0</v>
      </c>
      <c r="P751" s="205">
        <f ca="1" t="shared" si="667"/>
        <v>0</v>
      </c>
      <c r="Q751" s="205">
        <f ca="1" t="shared" si="668"/>
        <v>0</v>
      </c>
    </row>
    <row r="752" ht="24" customHeight="1" spans="1:17">
      <c r="A752" s="99" t="s">
        <v>346</v>
      </c>
      <c r="B752" s="99" t="s">
        <v>290</v>
      </c>
      <c r="C752" s="99" t="s">
        <v>316</v>
      </c>
      <c r="D752" s="48" t="s">
        <v>31</v>
      </c>
      <c r="E752" s="48" t="s">
        <v>83</v>
      </c>
      <c r="F752" s="205">
        <f ca="1" t="shared" si="657"/>
        <v>0</v>
      </c>
      <c r="G752" s="205">
        <f ca="1" t="shared" si="658"/>
        <v>0</v>
      </c>
      <c r="H752" s="205">
        <f ca="1" t="shared" si="659"/>
        <v>1</v>
      </c>
      <c r="I752" s="205">
        <f ca="1" t="shared" si="660"/>
        <v>2</v>
      </c>
      <c r="J752" s="205">
        <f ca="1" t="shared" si="661"/>
        <v>2</v>
      </c>
      <c r="K752" s="205">
        <f ca="1" t="shared" si="662"/>
        <v>2</v>
      </c>
      <c r="L752" s="205">
        <f ca="1" t="shared" si="663"/>
        <v>2</v>
      </c>
      <c r="M752" s="205">
        <f ca="1" t="shared" si="664"/>
        <v>2</v>
      </c>
      <c r="N752" s="205">
        <f ca="1" t="shared" si="665"/>
        <v>2</v>
      </c>
      <c r="O752" s="205">
        <f ca="1" t="shared" si="666"/>
        <v>2</v>
      </c>
      <c r="P752" s="205">
        <f ca="1" t="shared" si="667"/>
        <v>2</v>
      </c>
      <c r="Q752" s="205">
        <f ca="1" t="shared" si="668"/>
        <v>2</v>
      </c>
    </row>
    <row r="753" ht="24" customHeight="1" spans="1:17">
      <c r="A753" s="99" t="s">
        <v>346</v>
      </c>
      <c r="B753" s="99" t="s">
        <v>290</v>
      </c>
      <c r="C753" s="99" t="s">
        <v>316</v>
      </c>
      <c r="D753" s="47" t="s">
        <v>294</v>
      </c>
      <c r="E753" s="47" t="s">
        <v>93</v>
      </c>
      <c r="F753" s="206">
        <f ca="1" t="shared" si="657"/>
        <v>3</v>
      </c>
      <c r="G753" s="206">
        <f ca="1" t="shared" si="658"/>
        <v>3</v>
      </c>
      <c r="H753" s="206">
        <f ca="1" t="shared" si="659"/>
        <v>5</v>
      </c>
      <c r="I753" s="206">
        <f ca="1" t="shared" si="660"/>
        <v>8</v>
      </c>
      <c r="J753" s="206">
        <f ca="1" t="shared" si="661"/>
        <v>8</v>
      </c>
      <c r="K753" s="206">
        <f ca="1" t="shared" si="662"/>
        <v>9</v>
      </c>
      <c r="L753" s="206">
        <f ca="1" t="shared" si="663"/>
        <v>13</v>
      </c>
      <c r="M753" s="206">
        <f ca="1" t="shared" si="664"/>
        <v>15</v>
      </c>
      <c r="N753" s="206">
        <f ca="1" t="shared" si="665"/>
        <v>16</v>
      </c>
      <c r="O753" s="206">
        <f ca="1" t="shared" si="666"/>
        <v>17</v>
      </c>
      <c r="P753" s="206">
        <f ca="1" t="shared" si="667"/>
        <v>19</v>
      </c>
      <c r="Q753" s="206">
        <f ca="1" t="shared" si="668"/>
        <v>22</v>
      </c>
    </row>
    <row r="754" ht="24" customHeight="1" spans="1:17">
      <c r="A754" s="99" t="s">
        <v>346</v>
      </c>
      <c r="B754" s="99" t="s">
        <v>290</v>
      </c>
      <c r="C754" s="99" t="s">
        <v>316</v>
      </c>
      <c r="D754" s="47" t="s">
        <v>294</v>
      </c>
      <c r="E754" s="47" t="s">
        <v>85</v>
      </c>
      <c r="F754" s="206">
        <f ca="1" t="shared" si="657"/>
        <v>3</v>
      </c>
      <c r="G754" s="206">
        <f ca="1" t="shared" si="658"/>
        <v>3</v>
      </c>
      <c r="H754" s="206">
        <f ca="1" t="shared" si="659"/>
        <v>5</v>
      </c>
      <c r="I754" s="206">
        <f ca="1" t="shared" si="660"/>
        <v>7</v>
      </c>
      <c r="J754" s="206">
        <f ca="1" t="shared" si="661"/>
        <v>7</v>
      </c>
      <c r="K754" s="206">
        <f ca="1" t="shared" si="662"/>
        <v>7</v>
      </c>
      <c r="L754" s="206">
        <f ca="1" t="shared" si="663"/>
        <v>8</v>
      </c>
      <c r="M754" s="206">
        <f ca="1" t="shared" si="664"/>
        <v>11</v>
      </c>
      <c r="N754" s="206">
        <f ca="1" t="shared" si="665"/>
        <v>12</v>
      </c>
      <c r="O754" s="206">
        <f ca="1" t="shared" si="666"/>
        <v>13</v>
      </c>
      <c r="P754" s="206">
        <f ca="1" t="shared" si="667"/>
        <v>16</v>
      </c>
      <c r="Q754" s="206">
        <f ca="1" t="shared" si="668"/>
        <v>18</v>
      </c>
    </row>
    <row r="755" ht="24" customHeight="1" spans="1:17">
      <c r="A755" s="99" t="s">
        <v>346</v>
      </c>
      <c r="B755" s="99" t="s">
        <v>290</v>
      </c>
      <c r="C755" s="99" t="s">
        <v>316</v>
      </c>
      <c r="D755" s="47" t="s">
        <v>294</v>
      </c>
      <c r="E755" s="47" t="s">
        <v>81</v>
      </c>
      <c r="F755" s="206">
        <f ca="1" t="shared" si="657"/>
        <v>0</v>
      </c>
      <c r="G755" s="206">
        <f ca="1" t="shared" si="658"/>
        <v>1</v>
      </c>
      <c r="H755" s="206">
        <f ca="1" t="shared" si="659"/>
        <v>1</v>
      </c>
      <c r="I755" s="206">
        <f ca="1" t="shared" si="660"/>
        <v>1</v>
      </c>
      <c r="J755" s="206">
        <f ca="1" t="shared" si="661"/>
        <v>2</v>
      </c>
      <c r="K755" s="206">
        <f ca="1" t="shared" si="662"/>
        <v>3</v>
      </c>
      <c r="L755" s="206">
        <f ca="1" t="shared" si="663"/>
        <v>4</v>
      </c>
      <c r="M755" s="206">
        <f ca="1" t="shared" si="664"/>
        <v>4</v>
      </c>
      <c r="N755" s="206">
        <f ca="1" t="shared" si="665"/>
        <v>6</v>
      </c>
      <c r="O755" s="206">
        <f ca="1" t="shared" si="666"/>
        <v>7</v>
      </c>
      <c r="P755" s="206">
        <f ca="1" t="shared" si="667"/>
        <v>8</v>
      </c>
      <c r="Q755" s="206">
        <f ca="1" t="shared" si="668"/>
        <v>9</v>
      </c>
    </row>
    <row r="756" ht="24" customHeight="1" spans="1:17">
      <c r="A756" s="99" t="s">
        <v>346</v>
      </c>
      <c r="B756" s="99" t="s">
        <v>290</v>
      </c>
      <c r="C756" s="99" t="s">
        <v>316</v>
      </c>
      <c r="D756" s="47" t="s">
        <v>294</v>
      </c>
      <c r="E756" s="47" t="s">
        <v>96</v>
      </c>
      <c r="F756" s="206">
        <f ca="1" t="shared" si="657"/>
        <v>0</v>
      </c>
      <c r="G756" s="206">
        <f ca="1" t="shared" si="658"/>
        <v>0</v>
      </c>
      <c r="H756" s="206">
        <f ca="1" t="shared" si="659"/>
        <v>1</v>
      </c>
      <c r="I756" s="206">
        <f ca="1" t="shared" si="660"/>
        <v>1</v>
      </c>
      <c r="J756" s="206">
        <f ca="1" t="shared" si="661"/>
        <v>1</v>
      </c>
      <c r="K756" s="206">
        <f ca="1" t="shared" si="662"/>
        <v>2</v>
      </c>
      <c r="L756" s="206">
        <f ca="1" t="shared" si="663"/>
        <v>2</v>
      </c>
      <c r="M756" s="206">
        <f ca="1" t="shared" si="664"/>
        <v>2</v>
      </c>
      <c r="N756" s="206">
        <f ca="1" t="shared" si="665"/>
        <v>2</v>
      </c>
      <c r="O756" s="206">
        <f ca="1" t="shared" si="666"/>
        <v>2</v>
      </c>
      <c r="P756" s="206">
        <f ca="1" t="shared" si="667"/>
        <v>2</v>
      </c>
      <c r="Q756" s="206">
        <f ca="1" t="shared" si="668"/>
        <v>2</v>
      </c>
    </row>
    <row r="757" ht="24" customHeight="1" spans="1:17">
      <c r="A757" s="99" t="s">
        <v>346</v>
      </c>
      <c r="B757" s="99" t="s">
        <v>290</v>
      </c>
      <c r="C757" s="99" t="s">
        <v>316</v>
      </c>
      <c r="D757" s="47" t="s">
        <v>294</v>
      </c>
      <c r="E757" s="47" t="s">
        <v>160</v>
      </c>
      <c r="F757" s="206">
        <f ca="1" t="shared" si="657"/>
        <v>0</v>
      </c>
      <c r="G757" s="206">
        <f ca="1" t="shared" si="658"/>
        <v>0</v>
      </c>
      <c r="H757" s="206">
        <f ca="1" t="shared" si="659"/>
        <v>1</v>
      </c>
      <c r="I757" s="206">
        <f ca="1" t="shared" si="660"/>
        <v>1</v>
      </c>
      <c r="J757" s="206">
        <f ca="1" t="shared" si="661"/>
        <v>1</v>
      </c>
      <c r="K757" s="206">
        <f ca="1" t="shared" si="662"/>
        <v>1</v>
      </c>
      <c r="L757" s="206">
        <f ca="1" t="shared" si="663"/>
        <v>1</v>
      </c>
      <c r="M757" s="206">
        <f ca="1" t="shared" si="664"/>
        <v>1</v>
      </c>
      <c r="N757" s="206">
        <f ca="1" t="shared" si="665"/>
        <v>1</v>
      </c>
      <c r="O757" s="206">
        <f ca="1" t="shared" si="666"/>
        <v>1</v>
      </c>
      <c r="P757" s="206">
        <f ca="1" t="shared" si="667"/>
        <v>1</v>
      </c>
      <c r="Q757" s="206">
        <f ca="1" t="shared" si="668"/>
        <v>1</v>
      </c>
    </row>
    <row r="758" ht="24" customHeight="1" spans="1:17">
      <c r="A758" s="99" t="s">
        <v>346</v>
      </c>
      <c r="B758" s="99" t="s">
        <v>290</v>
      </c>
      <c r="C758" s="99" t="s">
        <v>316</v>
      </c>
      <c r="D758" s="100" t="s">
        <v>292</v>
      </c>
      <c r="E758" s="100" t="s">
        <v>318</v>
      </c>
      <c r="F758" s="204">
        <f ca="1">IF($S$1&lt;DATE(2025,1,1)," ",SUM(F759:F761))</f>
        <v>5</v>
      </c>
      <c r="G758" s="204">
        <f ca="1">IF($S$1&lt;DATE(2025,2,1)," ",SUM(G759:G761))</f>
        <v>6</v>
      </c>
      <c r="H758" s="204">
        <f ca="1">IF($S$1&lt;DATE(2025,3,1)," ",SUM(H759:H761))</f>
        <v>10</v>
      </c>
      <c r="I758" s="204">
        <f ca="1">IF($S$1&lt;DATE(2025,4,1)," ",SUM(I759:I761))</f>
        <v>15</v>
      </c>
      <c r="J758" s="204">
        <f ca="1">IF($S$1&lt;DATE(2025,5,1)," ",SUM(J759:J761))</f>
        <v>16</v>
      </c>
      <c r="K758" s="204">
        <f ca="1">IF($S$1&lt;DATE(2025,6,1)," ",SUM(K759:K761))</f>
        <v>19</v>
      </c>
      <c r="L758" s="204">
        <f ca="1">IF($S$1&lt;DATE(2025,7,1)," ",SUM(L759:L761))</f>
        <v>25</v>
      </c>
      <c r="M758" s="204">
        <f ca="1">IF($S$1&lt;DATE(2025,8,1)," ",SUM(M759:M761))</f>
        <v>30</v>
      </c>
      <c r="N758" s="204">
        <f ca="1">IF($S$1&lt;DATE(2025,9,1)," ",SUM(N759:N761))</f>
        <v>34</v>
      </c>
      <c r="O758" s="204">
        <f ca="1">IF($S$1&lt;DATE(2025,10,1)," ",SUM(O759:O761))</f>
        <v>37</v>
      </c>
      <c r="P758" s="204">
        <f ca="1">IF($S$1&lt;DATE(2025,11,1)," ",SUM(P759:P761))</f>
        <v>43</v>
      </c>
      <c r="Q758" s="204">
        <f ca="1">IF($S$1&lt;DATE(2025,12,1)," ",SUM(Q759:Q761))</f>
        <v>48</v>
      </c>
    </row>
    <row r="759" ht="24" customHeight="1" spans="1:17">
      <c r="A759" s="99" t="s">
        <v>346</v>
      </c>
      <c r="B759" s="99" t="s">
        <v>290</v>
      </c>
      <c r="C759" s="99" t="s">
        <v>316</v>
      </c>
      <c r="D759" s="48" t="s">
        <v>296</v>
      </c>
      <c r="E759" s="48" t="s">
        <v>90</v>
      </c>
      <c r="F759" s="205">
        <f ca="1" t="shared" ref="F759:F761" si="669">IF($S$1&lt;DATE(2025,1,1)," ",F661)</f>
        <v>1</v>
      </c>
      <c r="G759" s="205">
        <f ca="1" t="shared" ref="G759:G761" si="670">IF($S$1&lt;DATE(2025,2,1)," ",G661+F759)</f>
        <v>1</v>
      </c>
      <c r="H759" s="205">
        <f ca="1" t="shared" ref="H759:H761" si="671">IF($S$1&lt;DATE(2025,3,1)," ",H661+G759)</f>
        <v>4</v>
      </c>
      <c r="I759" s="205">
        <f ca="1" t="shared" ref="I759:I761" si="672">IF($S$1&lt;DATE(2025,4,1)," ",I661+H759)</f>
        <v>6</v>
      </c>
      <c r="J759" s="205">
        <f ca="1" t="shared" ref="J759:J761" si="673">IF($S$1&lt;DATE(2025,5,1)," ",J661+I759)</f>
        <v>6</v>
      </c>
      <c r="K759" s="205">
        <f ca="1" t="shared" ref="K759:K761" si="674">IF($S$1&lt;DATE(2025,6,1)," ",K661+J759)</f>
        <v>7</v>
      </c>
      <c r="L759" s="205">
        <f ca="1" t="shared" ref="L759:L761" si="675">IF($S$1&lt;DATE(2025,7,1)," ",L661+K759)</f>
        <v>9</v>
      </c>
      <c r="M759" s="205">
        <f ca="1" t="shared" ref="M759:M761" si="676">IF($S$1&lt;DATE(2025,8,1)," ",M661+L759)</f>
        <v>11</v>
      </c>
      <c r="N759" s="205">
        <f ca="1" t="shared" ref="N759:N761" si="677">IF($S$1&lt;DATE(2025,9,1)," ",N661+M759)</f>
        <v>13</v>
      </c>
      <c r="O759" s="205">
        <f ca="1" t="shared" ref="O759:O761" si="678">IF($S$1&lt;DATE(2025,10,1)," ",O661+N759)</f>
        <v>14</v>
      </c>
      <c r="P759" s="205">
        <f ca="1" t="shared" ref="P759:P761" si="679">IF($S$1&lt;DATE(2025,11,1)," ",P661+O759)</f>
        <v>16</v>
      </c>
      <c r="Q759" s="205">
        <f ca="1" t="shared" ref="Q759:Q761" si="680">IF($S$1&lt;DATE(2025,12,1)," ",Q661+P759)</f>
        <v>20</v>
      </c>
    </row>
    <row r="760" ht="24" customHeight="1" spans="1:17">
      <c r="A760" s="99" t="s">
        <v>346</v>
      </c>
      <c r="B760" s="99" t="s">
        <v>290</v>
      </c>
      <c r="C760" s="99" t="s">
        <v>316</v>
      </c>
      <c r="D760" s="48" t="s">
        <v>296</v>
      </c>
      <c r="E760" s="48" t="s">
        <v>82</v>
      </c>
      <c r="F760" s="205">
        <f ca="1" t="shared" si="669"/>
        <v>3</v>
      </c>
      <c r="G760" s="205">
        <f ca="1" t="shared" si="670"/>
        <v>3</v>
      </c>
      <c r="H760" s="205">
        <f ca="1" t="shared" si="671"/>
        <v>3</v>
      </c>
      <c r="I760" s="205">
        <f ca="1" t="shared" si="672"/>
        <v>5</v>
      </c>
      <c r="J760" s="205">
        <f ca="1" t="shared" si="673"/>
        <v>6</v>
      </c>
      <c r="K760" s="205">
        <f ca="1" t="shared" si="674"/>
        <v>7</v>
      </c>
      <c r="L760" s="205">
        <f ca="1" t="shared" si="675"/>
        <v>11</v>
      </c>
      <c r="M760" s="205">
        <f ca="1" t="shared" si="676"/>
        <v>12</v>
      </c>
      <c r="N760" s="205">
        <f ca="1" t="shared" si="677"/>
        <v>13</v>
      </c>
      <c r="O760" s="205">
        <f ca="1" t="shared" si="678"/>
        <v>13</v>
      </c>
      <c r="P760" s="205">
        <f ca="1" t="shared" si="679"/>
        <v>15</v>
      </c>
      <c r="Q760" s="205">
        <f ca="1" t="shared" si="680"/>
        <v>16</v>
      </c>
    </row>
    <row r="761" ht="24" customHeight="1" spans="1:17">
      <c r="A761" s="99" t="s">
        <v>346</v>
      </c>
      <c r="B761" s="99" t="s">
        <v>290</v>
      </c>
      <c r="C761" s="99" t="s">
        <v>316</v>
      </c>
      <c r="D761" s="48" t="s">
        <v>296</v>
      </c>
      <c r="E761" s="48" t="s">
        <v>86</v>
      </c>
      <c r="F761" s="205">
        <f ca="1" t="shared" si="669"/>
        <v>1</v>
      </c>
      <c r="G761" s="205">
        <f ca="1" t="shared" si="670"/>
        <v>2</v>
      </c>
      <c r="H761" s="205">
        <f ca="1" t="shared" si="671"/>
        <v>3</v>
      </c>
      <c r="I761" s="205">
        <f ca="1" t="shared" si="672"/>
        <v>4</v>
      </c>
      <c r="J761" s="205">
        <f ca="1" t="shared" si="673"/>
        <v>4</v>
      </c>
      <c r="K761" s="205">
        <f ca="1" t="shared" si="674"/>
        <v>5</v>
      </c>
      <c r="L761" s="205">
        <f ca="1" t="shared" si="675"/>
        <v>5</v>
      </c>
      <c r="M761" s="205">
        <f ca="1" t="shared" si="676"/>
        <v>7</v>
      </c>
      <c r="N761" s="205">
        <f ca="1" t="shared" si="677"/>
        <v>8</v>
      </c>
      <c r="O761" s="205">
        <f ca="1" t="shared" si="678"/>
        <v>10</v>
      </c>
      <c r="P761" s="205">
        <f ca="1" t="shared" si="679"/>
        <v>12</v>
      </c>
      <c r="Q761" s="205">
        <f ca="1" t="shared" si="680"/>
        <v>12</v>
      </c>
    </row>
    <row r="762" ht="24" customHeight="1" spans="1:17">
      <c r="A762" s="99" t="s">
        <v>346</v>
      </c>
      <c r="B762" s="99" t="s">
        <v>290</v>
      </c>
      <c r="C762" s="99" t="s">
        <v>316</v>
      </c>
      <c r="D762" s="100" t="s">
        <v>292</v>
      </c>
      <c r="E762" s="100" t="s">
        <v>319</v>
      </c>
      <c r="F762" s="204">
        <f ca="1">IF($S$1&lt;DATE(2025,1,1)," ",SUM(F763:F766))</f>
        <v>3</v>
      </c>
      <c r="G762" s="204">
        <f ca="1">IF($S$1&lt;DATE(2025,2,1)," ",SUM(G763:G766))</f>
        <v>4</v>
      </c>
      <c r="H762" s="204">
        <f ca="1">IF($S$1&lt;DATE(2025,3,1)," ",SUM(H763:H766))</f>
        <v>10</v>
      </c>
      <c r="I762" s="204">
        <f ca="1">IF($S$1&lt;DATE(2025,4,1)," ",SUM(I763:I766))</f>
        <v>14</v>
      </c>
      <c r="J762" s="204">
        <f ca="1">IF($S$1&lt;DATE(2025,5,1)," ",SUM(J763:J766))</f>
        <v>14</v>
      </c>
      <c r="K762" s="204">
        <f ca="1">IF($S$1&lt;DATE(2025,6,1)," ",SUM(K763:K766))</f>
        <v>17</v>
      </c>
      <c r="L762" s="204">
        <f ca="1">IF($S$1&lt;DATE(2025,7,1)," ",SUM(L763:L766))</f>
        <v>21</v>
      </c>
      <c r="M762" s="204">
        <f ca="1">IF($S$1&lt;DATE(2025,8,1)," ",SUM(M763:M766))</f>
        <v>24</v>
      </c>
      <c r="N762" s="204">
        <f ca="1">IF($S$1&lt;DATE(2025,9,1)," ",SUM(N763:N766))</f>
        <v>28</v>
      </c>
      <c r="O762" s="204">
        <f ca="1">IF($S$1&lt;DATE(2025,10,1)," ",SUM(O763:O766))</f>
        <v>30</v>
      </c>
      <c r="P762" s="204">
        <f ca="1">IF($S$1&lt;DATE(2025,11,1)," ",SUM(P763:P766))</f>
        <v>35</v>
      </c>
      <c r="Q762" s="204">
        <f ca="1">IF($S$1&lt;DATE(2025,12,1)," ",SUM(Q763:Q766))</f>
        <v>41</v>
      </c>
    </row>
    <row r="763" ht="24" customHeight="1" spans="1:17">
      <c r="A763" s="99" t="s">
        <v>346</v>
      </c>
      <c r="B763" s="99" t="s">
        <v>290</v>
      </c>
      <c r="C763" s="99" t="s">
        <v>316</v>
      </c>
      <c r="D763" s="48" t="s">
        <v>298</v>
      </c>
      <c r="E763" s="48" t="s">
        <v>97</v>
      </c>
      <c r="F763" s="205">
        <f ca="1" t="shared" ref="F763:F766" si="681">IF($S$1&lt;DATE(2025,1,1)," ",F665)</f>
        <v>2</v>
      </c>
      <c r="G763" s="205">
        <f ca="1" t="shared" ref="G763:G766" si="682">IF($S$1&lt;DATE(2025,2,1)," ",G665+F763)</f>
        <v>3</v>
      </c>
      <c r="H763" s="205">
        <f ca="1" t="shared" ref="H763:H766" si="683">IF($S$1&lt;DATE(2025,3,1)," ",H665+G763)</f>
        <v>6</v>
      </c>
      <c r="I763" s="205">
        <f ca="1" t="shared" ref="I763:I766" si="684">IF($S$1&lt;DATE(2025,4,1)," ",I665+H763)</f>
        <v>7</v>
      </c>
      <c r="J763" s="205">
        <f ca="1" t="shared" ref="J763:J766" si="685">IF($S$1&lt;DATE(2025,5,1)," ",J665+I763)</f>
        <v>7</v>
      </c>
      <c r="K763" s="205">
        <f ca="1" t="shared" ref="K763:K766" si="686">IF($S$1&lt;DATE(2025,6,1)," ",K665+J763)</f>
        <v>9</v>
      </c>
      <c r="L763" s="205">
        <f ca="1" t="shared" ref="L763:L766" si="687">IF($S$1&lt;DATE(2025,7,1)," ",L665+K763)</f>
        <v>10</v>
      </c>
      <c r="M763" s="205">
        <f ca="1" t="shared" ref="M763:M766" si="688">IF($S$1&lt;DATE(2025,8,1)," ",M665+L763)</f>
        <v>11</v>
      </c>
      <c r="N763" s="205">
        <f ca="1" t="shared" ref="N763:N766" si="689">IF($S$1&lt;DATE(2025,9,1)," ",N665+M763)</f>
        <v>12</v>
      </c>
      <c r="O763" s="205">
        <f ca="1" t="shared" ref="O763:O766" si="690">IF($S$1&lt;DATE(2025,10,1)," ",O665+N763)</f>
        <v>12</v>
      </c>
      <c r="P763" s="205">
        <f ca="1" t="shared" ref="P763:P766" si="691">IF($S$1&lt;DATE(2025,11,1)," ",P665+O763)</f>
        <v>13</v>
      </c>
      <c r="Q763" s="205">
        <f ca="1" t="shared" ref="Q763:Q766" si="692">IF($S$1&lt;DATE(2025,12,1)," ",Q665+P763)</f>
        <v>13</v>
      </c>
    </row>
    <row r="764" ht="24" customHeight="1" spans="1:17">
      <c r="A764" s="99" t="s">
        <v>346</v>
      </c>
      <c r="B764" s="99" t="s">
        <v>290</v>
      </c>
      <c r="C764" s="99" t="s">
        <v>316</v>
      </c>
      <c r="D764" s="48" t="s">
        <v>298</v>
      </c>
      <c r="E764" s="48" t="s">
        <v>87</v>
      </c>
      <c r="F764" s="205">
        <f ca="1" t="shared" si="681"/>
        <v>1</v>
      </c>
      <c r="G764" s="205">
        <f ca="1" t="shared" si="682"/>
        <v>1</v>
      </c>
      <c r="H764" s="205">
        <f ca="1" t="shared" si="683"/>
        <v>2</v>
      </c>
      <c r="I764" s="205">
        <f ca="1" t="shared" si="684"/>
        <v>4</v>
      </c>
      <c r="J764" s="205">
        <f ca="1" t="shared" si="685"/>
        <v>4</v>
      </c>
      <c r="K764" s="205">
        <f ca="1" t="shared" si="686"/>
        <v>4</v>
      </c>
      <c r="L764" s="205">
        <f ca="1" t="shared" si="687"/>
        <v>7</v>
      </c>
      <c r="M764" s="205">
        <f ca="1" t="shared" si="688"/>
        <v>9</v>
      </c>
      <c r="N764" s="205">
        <f ca="1" t="shared" si="689"/>
        <v>12</v>
      </c>
      <c r="O764" s="205">
        <f ca="1" t="shared" si="690"/>
        <v>12</v>
      </c>
      <c r="P764" s="205">
        <f ca="1" t="shared" si="691"/>
        <v>15</v>
      </c>
      <c r="Q764" s="205">
        <f ca="1" t="shared" si="692"/>
        <v>21</v>
      </c>
    </row>
    <row r="765" ht="24" customHeight="1" spans="1:17">
      <c r="A765" s="99" t="s">
        <v>346</v>
      </c>
      <c r="B765" s="99" t="s">
        <v>290</v>
      </c>
      <c r="C765" s="99" t="s">
        <v>316</v>
      </c>
      <c r="D765" s="48" t="s">
        <v>298</v>
      </c>
      <c r="E765" s="48" t="s">
        <v>149</v>
      </c>
      <c r="F765" s="205">
        <f ca="1" t="shared" si="681"/>
        <v>0</v>
      </c>
      <c r="G765" s="205">
        <f ca="1" t="shared" si="682"/>
        <v>0</v>
      </c>
      <c r="H765" s="205">
        <f ca="1" t="shared" si="683"/>
        <v>0</v>
      </c>
      <c r="I765" s="205">
        <f ca="1" t="shared" si="684"/>
        <v>0</v>
      </c>
      <c r="J765" s="205">
        <f ca="1" t="shared" si="685"/>
        <v>0</v>
      </c>
      <c r="K765" s="205">
        <f ca="1" t="shared" si="686"/>
        <v>0</v>
      </c>
      <c r="L765" s="205">
        <f ca="1" t="shared" si="687"/>
        <v>0</v>
      </c>
      <c r="M765" s="205">
        <f ca="1" t="shared" si="688"/>
        <v>0</v>
      </c>
      <c r="N765" s="205">
        <f ca="1" t="shared" si="689"/>
        <v>0</v>
      </c>
      <c r="O765" s="205">
        <f ca="1" t="shared" si="690"/>
        <v>0</v>
      </c>
      <c r="P765" s="205">
        <f ca="1" t="shared" si="691"/>
        <v>0</v>
      </c>
      <c r="Q765" s="205">
        <f ca="1" t="shared" si="692"/>
        <v>0</v>
      </c>
    </row>
    <row r="766" ht="24" customHeight="1" spans="1:17">
      <c r="A766" s="99" t="s">
        <v>346</v>
      </c>
      <c r="B766" s="99" t="s">
        <v>290</v>
      </c>
      <c r="C766" s="99" t="s">
        <v>316</v>
      </c>
      <c r="D766" s="48" t="s">
        <v>298</v>
      </c>
      <c r="E766" s="48" t="s">
        <v>83</v>
      </c>
      <c r="F766" s="205">
        <f ca="1" t="shared" si="681"/>
        <v>0</v>
      </c>
      <c r="G766" s="205">
        <f ca="1" t="shared" si="682"/>
        <v>0</v>
      </c>
      <c r="H766" s="205">
        <f ca="1" t="shared" si="683"/>
        <v>2</v>
      </c>
      <c r="I766" s="205">
        <f ca="1" t="shared" si="684"/>
        <v>3</v>
      </c>
      <c r="J766" s="205">
        <f ca="1" t="shared" si="685"/>
        <v>3</v>
      </c>
      <c r="K766" s="205">
        <f ca="1" t="shared" si="686"/>
        <v>4</v>
      </c>
      <c r="L766" s="205">
        <f ca="1" t="shared" si="687"/>
        <v>4</v>
      </c>
      <c r="M766" s="205">
        <f ca="1" t="shared" si="688"/>
        <v>4</v>
      </c>
      <c r="N766" s="205">
        <f ca="1" t="shared" si="689"/>
        <v>4</v>
      </c>
      <c r="O766" s="205">
        <f ca="1" t="shared" si="690"/>
        <v>6</v>
      </c>
      <c r="P766" s="205">
        <f ca="1" t="shared" si="691"/>
        <v>7</v>
      </c>
      <c r="Q766" s="205">
        <f ca="1" t="shared" si="692"/>
        <v>7</v>
      </c>
    </row>
    <row r="767" ht="24" customHeight="1" spans="1:17">
      <c r="A767" s="99" t="s">
        <v>346</v>
      </c>
      <c r="B767" s="99" t="s">
        <v>299</v>
      </c>
      <c r="C767" s="99" t="s">
        <v>316</v>
      </c>
      <c r="D767" s="100" t="s">
        <v>292</v>
      </c>
      <c r="E767" s="100" t="s">
        <v>320</v>
      </c>
      <c r="F767" s="204">
        <f ca="1">IF($S$1&lt;DATE(2025,1,1)," ",IF((SUM(F768:F774)-MAX(F787,F794))&lt;0,"ERR",SUM(F768:F774)))</f>
        <v>6</v>
      </c>
      <c r="G767" s="204">
        <f ca="1">IF($S$1&lt;DATE(2025,2,1)," ",IF((SUM(G768:G774)-MAX(G787,G794))&lt;0,"ERR",SUM(G768:G774)))</f>
        <v>6</v>
      </c>
      <c r="H767" s="204">
        <f ca="1">IF($S$1&lt;DATE(2025,3,1)," ",IF((SUM(H768:H774)-MAX(H787,H794))&lt;0,"ERR",SUM(H768:H774)))</f>
        <v>7</v>
      </c>
      <c r="I767" s="204">
        <f ca="1">IF($S$1&lt;DATE(2025,4,1)," ",IF((SUM(I768:I774)-MAX(I787,I794))&lt;0,"ERR",SUM(I768:I774)))</f>
        <v>15</v>
      </c>
      <c r="J767" s="204">
        <f ca="1">IF($S$1&lt;DATE(2025,5,1)," ",IF((SUM(J768:J774)-MAX(J787,J794))&lt;0,"ERR",SUM(J768:J774)))</f>
        <v>18</v>
      </c>
      <c r="K767" s="204">
        <f ca="1">IF($S$1&lt;DATE(2025,6,1)," ",IF((SUM(K768:K774)-MAX(K787,K794))&lt;0,"ERR",SUM(K768:K774)))</f>
        <v>21</v>
      </c>
      <c r="L767" s="204">
        <f ca="1">IF($S$1&lt;DATE(2025,7,1)," ",IF((SUM(L768:L774)-MAX(L787,L794))&lt;0,"ERR",SUM(L768:L774)))</f>
        <v>25</v>
      </c>
      <c r="M767" s="204">
        <f ca="1">IF($S$1&lt;DATE(2025,8,1)," ",IF((SUM(M768:M774)-MAX(M787,M794))&lt;0,"ERR",SUM(M768:M774)))</f>
        <v>31</v>
      </c>
      <c r="N767" s="204">
        <f ca="1">IF($S$1&lt;DATE(2025,9,1)," ",IF((SUM(N768:N774)-MAX(N787,N794))&lt;0,"ERR",SUM(N768:N774)))</f>
        <v>35</v>
      </c>
      <c r="O767" s="204">
        <f ca="1">IF($S$1&lt;DATE(2025,10,1)," ",IF((SUM(O768:O774)-MAX(O787,O794))&lt;0,"ERR",SUM(O768:O774)))</f>
        <v>39</v>
      </c>
      <c r="P767" s="204">
        <f ca="1">IF($S$1&lt;DATE(2025,11,1)," ",IF((SUM(P768:P774)-MAX(P787,P794))&lt;0,"ERR",SUM(P768:P774)))</f>
        <v>41</v>
      </c>
      <c r="Q767" s="204">
        <f ca="1">IF($S$1&lt;DATE(2025,12,1)," ",IF((SUM(Q768:Q774)-MAX(Q787,Q794))&lt;0,"ERR",SUM(Q768:Q774)))</f>
        <v>46</v>
      </c>
    </row>
    <row r="768" ht="24" customHeight="1" spans="1:17">
      <c r="A768" s="99" t="s">
        <v>346</v>
      </c>
      <c r="B768" s="99" t="s">
        <v>299</v>
      </c>
      <c r="C768" s="99" t="s">
        <v>316</v>
      </c>
      <c r="D768" s="48" t="s">
        <v>31</v>
      </c>
      <c r="E768" s="48" t="s">
        <v>90</v>
      </c>
      <c r="F768" s="205">
        <f ca="1" t="shared" ref="F768:F774" si="693">IF($S$1&lt;DATE(2025,1,1)," ",F670)</f>
        <v>1</v>
      </c>
      <c r="G768" s="205">
        <f ca="1" t="shared" ref="G768:G774" si="694">IF($S$1&lt;DATE(2025,2,1)," ",G670+F768)</f>
        <v>1</v>
      </c>
      <c r="H768" s="205">
        <f ca="1" t="shared" ref="H768:H774" si="695">IF($S$1&lt;DATE(2025,3,1)," ",H670+G768)</f>
        <v>1</v>
      </c>
      <c r="I768" s="205">
        <f ca="1" t="shared" ref="I768:I774" si="696">IF($S$1&lt;DATE(2025,4,1)," ",I670+H768)</f>
        <v>5</v>
      </c>
      <c r="J768" s="205">
        <f ca="1" t="shared" ref="J768:J774" si="697">IF($S$1&lt;DATE(2025,5,1)," ",J670+I768)</f>
        <v>5</v>
      </c>
      <c r="K768" s="205">
        <f ca="1" t="shared" ref="K768:K774" si="698">IF($S$1&lt;DATE(2025,6,1)," ",K670+J768)</f>
        <v>5</v>
      </c>
      <c r="L768" s="205">
        <f ca="1" t="shared" ref="L768:L774" si="699">IF($S$1&lt;DATE(2025,7,1)," ",L670+K768)</f>
        <v>6</v>
      </c>
      <c r="M768" s="205">
        <f ca="1" t="shared" ref="M768:M774" si="700">IF($S$1&lt;DATE(2025,8,1)," ",M670+L768)</f>
        <v>9</v>
      </c>
      <c r="N768" s="205">
        <f ca="1" t="shared" ref="N768:N774" si="701">IF($S$1&lt;DATE(2025,9,1)," ",N670+M768)</f>
        <v>10</v>
      </c>
      <c r="O768" s="205">
        <f ca="1" t="shared" ref="O768:O774" si="702">IF($S$1&lt;DATE(2025,10,1)," ",O670+N768)</f>
        <v>11</v>
      </c>
      <c r="P768" s="205">
        <f ca="1" t="shared" ref="P768:P774" si="703">IF($S$1&lt;DATE(2025,11,1)," ",P670+O768)</f>
        <v>13</v>
      </c>
      <c r="Q768" s="205">
        <f ca="1" t="shared" ref="Q768:Q774" si="704">IF($S$1&lt;DATE(2025,12,1)," ",Q670+P768)</f>
        <v>14</v>
      </c>
    </row>
    <row r="769" ht="24" customHeight="1" spans="1:17">
      <c r="A769" s="99" t="s">
        <v>346</v>
      </c>
      <c r="B769" s="99" t="s">
        <v>299</v>
      </c>
      <c r="C769" s="99" t="s">
        <v>316</v>
      </c>
      <c r="D769" s="48" t="s">
        <v>31</v>
      </c>
      <c r="E769" s="48" t="s">
        <v>82</v>
      </c>
      <c r="F769" s="205">
        <f ca="1" t="shared" si="693"/>
        <v>3</v>
      </c>
      <c r="G769" s="205">
        <f ca="1" t="shared" si="694"/>
        <v>3</v>
      </c>
      <c r="H769" s="205">
        <f ca="1" t="shared" si="695"/>
        <v>3</v>
      </c>
      <c r="I769" s="205">
        <f ca="1" t="shared" si="696"/>
        <v>3</v>
      </c>
      <c r="J769" s="205">
        <f ca="1" t="shared" si="697"/>
        <v>5</v>
      </c>
      <c r="K769" s="205">
        <f ca="1" t="shared" si="698"/>
        <v>6</v>
      </c>
      <c r="L769" s="205">
        <f ca="1" t="shared" si="699"/>
        <v>8</v>
      </c>
      <c r="M769" s="205">
        <f ca="1" t="shared" si="700"/>
        <v>10</v>
      </c>
      <c r="N769" s="205">
        <f ca="1" t="shared" si="701"/>
        <v>10</v>
      </c>
      <c r="O769" s="205">
        <f ca="1" t="shared" si="702"/>
        <v>11</v>
      </c>
      <c r="P769" s="205">
        <f ca="1" t="shared" si="703"/>
        <v>11</v>
      </c>
      <c r="Q769" s="205">
        <f ca="1" t="shared" si="704"/>
        <v>11</v>
      </c>
    </row>
    <row r="770" ht="24" customHeight="1" spans="1:17">
      <c r="A770" s="99" t="s">
        <v>346</v>
      </c>
      <c r="B770" s="99" t="s">
        <v>299</v>
      </c>
      <c r="C770" s="99" t="s">
        <v>316</v>
      </c>
      <c r="D770" s="48" t="s">
        <v>31</v>
      </c>
      <c r="E770" s="48" t="s">
        <v>86</v>
      </c>
      <c r="F770" s="205">
        <f ca="1" t="shared" si="693"/>
        <v>1</v>
      </c>
      <c r="G770" s="205">
        <f ca="1" t="shared" si="694"/>
        <v>1</v>
      </c>
      <c r="H770" s="205">
        <f ca="1" t="shared" si="695"/>
        <v>2</v>
      </c>
      <c r="I770" s="205">
        <f ca="1" t="shared" si="696"/>
        <v>2</v>
      </c>
      <c r="J770" s="205">
        <f ca="1" t="shared" si="697"/>
        <v>2</v>
      </c>
      <c r="K770" s="205">
        <f ca="1" t="shared" si="698"/>
        <v>2</v>
      </c>
      <c r="L770" s="205">
        <f ca="1" t="shared" si="699"/>
        <v>2</v>
      </c>
      <c r="M770" s="205">
        <f ca="1" t="shared" si="700"/>
        <v>3</v>
      </c>
      <c r="N770" s="205">
        <f ca="1" t="shared" si="701"/>
        <v>5</v>
      </c>
      <c r="O770" s="205">
        <f ca="1" t="shared" si="702"/>
        <v>7</v>
      </c>
      <c r="P770" s="205">
        <f ca="1" t="shared" si="703"/>
        <v>7</v>
      </c>
      <c r="Q770" s="205">
        <f ca="1" t="shared" si="704"/>
        <v>9</v>
      </c>
    </row>
    <row r="771" ht="24" customHeight="1" spans="1:17">
      <c r="A771" s="99" t="s">
        <v>346</v>
      </c>
      <c r="B771" s="99" t="s">
        <v>299</v>
      </c>
      <c r="C771" s="99" t="s">
        <v>316</v>
      </c>
      <c r="D771" s="48" t="s">
        <v>31</v>
      </c>
      <c r="E771" s="48" t="s">
        <v>97</v>
      </c>
      <c r="F771" s="205">
        <f ca="1" t="shared" si="693"/>
        <v>0</v>
      </c>
      <c r="G771" s="205">
        <f ca="1" t="shared" si="694"/>
        <v>0</v>
      </c>
      <c r="H771" s="205">
        <f ca="1" t="shared" si="695"/>
        <v>0</v>
      </c>
      <c r="I771" s="205">
        <f ca="1" t="shared" si="696"/>
        <v>2</v>
      </c>
      <c r="J771" s="205">
        <f ca="1" t="shared" si="697"/>
        <v>2</v>
      </c>
      <c r="K771" s="205">
        <f ca="1" t="shared" si="698"/>
        <v>4</v>
      </c>
      <c r="L771" s="205">
        <f ca="1" t="shared" si="699"/>
        <v>5</v>
      </c>
      <c r="M771" s="205">
        <f ca="1" t="shared" si="700"/>
        <v>5</v>
      </c>
      <c r="N771" s="205">
        <f ca="1" t="shared" si="701"/>
        <v>5</v>
      </c>
      <c r="O771" s="205">
        <f ca="1" t="shared" si="702"/>
        <v>5</v>
      </c>
      <c r="P771" s="205">
        <f ca="1" t="shared" si="703"/>
        <v>5</v>
      </c>
      <c r="Q771" s="205">
        <f ca="1" t="shared" si="704"/>
        <v>6</v>
      </c>
    </row>
    <row r="772" ht="24" customHeight="1" spans="1:17">
      <c r="A772" s="99" t="s">
        <v>346</v>
      </c>
      <c r="B772" s="99" t="s">
        <v>299</v>
      </c>
      <c r="C772" s="99" t="s">
        <v>316</v>
      </c>
      <c r="D772" s="48" t="s">
        <v>31</v>
      </c>
      <c r="E772" s="48" t="s">
        <v>87</v>
      </c>
      <c r="F772" s="205">
        <f ca="1" t="shared" si="693"/>
        <v>1</v>
      </c>
      <c r="G772" s="205">
        <f ca="1" t="shared" si="694"/>
        <v>1</v>
      </c>
      <c r="H772" s="205">
        <f ca="1" t="shared" si="695"/>
        <v>1</v>
      </c>
      <c r="I772" s="205">
        <f ca="1" t="shared" si="696"/>
        <v>2</v>
      </c>
      <c r="J772" s="205">
        <f ca="1" t="shared" si="697"/>
        <v>2</v>
      </c>
      <c r="K772" s="205">
        <f ca="1" t="shared" si="698"/>
        <v>2</v>
      </c>
      <c r="L772" s="205">
        <f ca="1" t="shared" si="699"/>
        <v>2</v>
      </c>
      <c r="M772" s="205">
        <f ca="1" t="shared" si="700"/>
        <v>2</v>
      </c>
      <c r="N772" s="205">
        <f ca="1" t="shared" si="701"/>
        <v>3</v>
      </c>
      <c r="O772" s="205">
        <f ca="1" t="shared" si="702"/>
        <v>3</v>
      </c>
      <c r="P772" s="205">
        <f ca="1" t="shared" si="703"/>
        <v>3</v>
      </c>
      <c r="Q772" s="205">
        <f ca="1" t="shared" si="704"/>
        <v>4</v>
      </c>
    </row>
    <row r="773" ht="24" customHeight="1" spans="1:17">
      <c r="A773" s="99" t="s">
        <v>346</v>
      </c>
      <c r="B773" s="99" t="s">
        <v>299</v>
      </c>
      <c r="C773" s="99" t="s">
        <v>316</v>
      </c>
      <c r="D773" s="48" t="s">
        <v>31</v>
      </c>
      <c r="E773" s="48" t="s">
        <v>149</v>
      </c>
      <c r="F773" s="205">
        <f ca="1" t="shared" si="693"/>
        <v>0</v>
      </c>
      <c r="G773" s="205">
        <f ca="1" t="shared" si="694"/>
        <v>0</v>
      </c>
      <c r="H773" s="205">
        <f ca="1" t="shared" si="695"/>
        <v>0</v>
      </c>
      <c r="I773" s="205">
        <f ca="1" t="shared" si="696"/>
        <v>0</v>
      </c>
      <c r="J773" s="205">
        <f ca="1" t="shared" si="697"/>
        <v>0</v>
      </c>
      <c r="K773" s="205">
        <f ca="1" t="shared" si="698"/>
        <v>0</v>
      </c>
      <c r="L773" s="205">
        <f ca="1" t="shared" si="699"/>
        <v>0</v>
      </c>
      <c r="M773" s="205">
        <f ca="1" t="shared" si="700"/>
        <v>0</v>
      </c>
      <c r="N773" s="205">
        <f ca="1" t="shared" si="701"/>
        <v>0</v>
      </c>
      <c r="O773" s="205">
        <f ca="1" t="shared" si="702"/>
        <v>0</v>
      </c>
      <c r="P773" s="205">
        <f ca="1" t="shared" si="703"/>
        <v>0</v>
      </c>
      <c r="Q773" s="205">
        <f ca="1" t="shared" si="704"/>
        <v>0</v>
      </c>
    </row>
    <row r="774" ht="24" customHeight="1" spans="1:17">
      <c r="A774" s="99" t="s">
        <v>346</v>
      </c>
      <c r="B774" s="99" t="s">
        <v>299</v>
      </c>
      <c r="C774" s="99" t="s">
        <v>316</v>
      </c>
      <c r="D774" s="48" t="s">
        <v>31</v>
      </c>
      <c r="E774" s="48" t="s">
        <v>83</v>
      </c>
      <c r="F774" s="205">
        <f ca="1" t="shared" si="693"/>
        <v>0</v>
      </c>
      <c r="G774" s="205">
        <f ca="1" t="shared" si="694"/>
        <v>0</v>
      </c>
      <c r="H774" s="205">
        <f ca="1" t="shared" si="695"/>
        <v>0</v>
      </c>
      <c r="I774" s="205">
        <f ca="1" t="shared" si="696"/>
        <v>1</v>
      </c>
      <c r="J774" s="205">
        <f ca="1" t="shared" si="697"/>
        <v>2</v>
      </c>
      <c r="K774" s="205">
        <f ca="1" t="shared" si="698"/>
        <v>2</v>
      </c>
      <c r="L774" s="205">
        <f ca="1" t="shared" si="699"/>
        <v>2</v>
      </c>
      <c r="M774" s="205">
        <f ca="1" t="shared" si="700"/>
        <v>2</v>
      </c>
      <c r="N774" s="205">
        <f ca="1" t="shared" si="701"/>
        <v>2</v>
      </c>
      <c r="O774" s="205">
        <f ca="1" t="shared" si="702"/>
        <v>2</v>
      </c>
      <c r="P774" s="205">
        <f ca="1" t="shared" si="703"/>
        <v>2</v>
      </c>
      <c r="Q774" s="205">
        <f ca="1" t="shared" si="704"/>
        <v>2</v>
      </c>
    </row>
    <row r="775" ht="24" customHeight="1" spans="1:17">
      <c r="A775" s="99" t="s">
        <v>346</v>
      </c>
      <c r="B775" s="99" t="s">
        <v>299</v>
      </c>
      <c r="C775" s="99" t="s">
        <v>316</v>
      </c>
      <c r="D775" s="48" t="s">
        <v>321</v>
      </c>
      <c r="E775" s="48" t="s">
        <v>90</v>
      </c>
      <c r="F775" s="112">
        <f ca="1" t="shared" ref="F775:Q775" si="705">IFERROR(F768/F767," ")</f>
        <v>0.166666666666667</v>
      </c>
      <c r="G775" s="112">
        <f ca="1" t="shared" si="705"/>
        <v>0.166666666666667</v>
      </c>
      <c r="H775" s="112">
        <f ca="1" t="shared" si="705"/>
        <v>0.142857142857143</v>
      </c>
      <c r="I775" s="112">
        <f ca="1" t="shared" si="705"/>
        <v>0.333333333333333</v>
      </c>
      <c r="J775" s="112">
        <f ca="1" t="shared" si="705"/>
        <v>0.277777777777778</v>
      </c>
      <c r="K775" s="112">
        <f ca="1" t="shared" si="705"/>
        <v>0.238095238095238</v>
      </c>
      <c r="L775" s="112">
        <f ca="1" t="shared" si="705"/>
        <v>0.24</v>
      </c>
      <c r="M775" s="112">
        <f ca="1" t="shared" si="705"/>
        <v>0.290322580645161</v>
      </c>
      <c r="N775" s="112">
        <f ca="1" t="shared" si="705"/>
        <v>0.285714285714286</v>
      </c>
      <c r="O775" s="112">
        <f ca="1" t="shared" si="705"/>
        <v>0.282051282051282</v>
      </c>
      <c r="P775" s="112">
        <f ca="1" t="shared" si="705"/>
        <v>0.317073170731707</v>
      </c>
      <c r="Q775" s="112">
        <f ca="1" t="shared" si="705"/>
        <v>0.304347826086957</v>
      </c>
    </row>
    <row r="776" ht="24" customHeight="1" spans="1:17">
      <c r="A776" s="99" t="s">
        <v>346</v>
      </c>
      <c r="B776" s="99" t="s">
        <v>299</v>
      </c>
      <c r="C776" s="99" t="s">
        <v>316</v>
      </c>
      <c r="D776" s="48" t="s">
        <v>321</v>
      </c>
      <c r="E776" s="48" t="s">
        <v>82</v>
      </c>
      <c r="F776" s="112">
        <f ca="1" t="shared" ref="F776:Q776" si="706">IFERROR(F769/F767," ")</f>
        <v>0.5</v>
      </c>
      <c r="G776" s="112">
        <f ca="1" t="shared" si="706"/>
        <v>0.5</v>
      </c>
      <c r="H776" s="112">
        <f ca="1" t="shared" si="706"/>
        <v>0.428571428571429</v>
      </c>
      <c r="I776" s="112">
        <f ca="1" t="shared" si="706"/>
        <v>0.2</v>
      </c>
      <c r="J776" s="112">
        <f ca="1" t="shared" si="706"/>
        <v>0.277777777777778</v>
      </c>
      <c r="K776" s="112">
        <f ca="1" t="shared" si="706"/>
        <v>0.285714285714286</v>
      </c>
      <c r="L776" s="112">
        <f ca="1" t="shared" si="706"/>
        <v>0.32</v>
      </c>
      <c r="M776" s="112">
        <f ca="1" t="shared" si="706"/>
        <v>0.32258064516129</v>
      </c>
      <c r="N776" s="112">
        <f ca="1" t="shared" si="706"/>
        <v>0.285714285714286</v>
      </c>
      <c r="O776" s="112">
        <f ca="1" t="shared" si="706"/>
        <v>0.282051282051282</v>
      </c>
      <c r="P776" s="112">
        <f ca="1" t="shared" si="706"/>
        <v>0.268292682926829</v>
      </c>
      <c r="Q776" s="112">
        <f ca="1" t="shared" si="706"/>
        <v>0.239130434782609</v>
      </c>
    </row>
    <row r="777" ht="24" customHeight="1" spans="1:17">
      <c r="A777" s="99" t="s">
        <v>346</v>
      </c>
      <c r="B777" s="99" t="s">
        <v>299</v>
      </c>
      <c r="C777" s="99" t="s">
        <v>316</v>
      </c>
      <c r="D777" s="48" t="s">
        <v>321</v>
      </c>
      <c r="E777" s="48" t="s">
        <v>86</v>
      </c>
      <c r="F777" s="112">
        <f ca="1" t="shared" ref="F777:Q777" si="707">IFERROR(F770/F767," ")</f>
        <v>0.166666666666667</v>
      </c>
      <c r="G777" s="112">
        <f ca="1" t="shared" si="707"/>
        <v>0.166666666666667</v>
      </c>
      <c r="H777" s="112">
        <f ca="1" t="shared" si="707"/>
        <v>0.285714285714286</v>
      </c>
      <c r="I777" s="112">
        <f ca="1" t="shared" si="707"/>
        <v>0.133333333333333</v>
      </c>
      <c r="J777" s="112">
        <f ca="1" t="shared" si="707"/>
        <v>0.111111111111111</v>
      </c>
      <c r="K777" s="112">
        <f ca="1" t="shared" si="707"/>
        <v>0.0952380952380952</v>
      </c>
      <c r="L777" s="112">
        <f ca="1" t="shared" si="707"/>
        <v>0.08</v>
      </c>
      <c r="M777" s="112">
        <f ca="1" t="shared" si="707"/>
        <v>0.0967741935483871</v>
      </c>
      <c r="N777" s="112">
        <f ca="1" t="shared" si="707"/>
        <v>0.142857142857143</v>
      </c>
      <c r="O777" s="112">
        <f ca="1" t="shared" si="707"/>
        <v>0.179487179487179</v>
      </c>
      <c r="P777" s="112">
        <f ca="1" t="shared" si="707"/>
        <v>0.170731707317073</v>
      </c>
      <c r="Q777" s="112">
        <f ca="1" t="shared" si="707"/>
        <v>0.195652173913043</v>
      </c>
    </row>
    <row r="778" ht="24" customHeight="1" spans="1:17">
      <c r="A778" s="99" t="s">
        <v>346</v>
      </c>
      <c r="B778" s="99" t="s">
        <v>299</v>
      </c>
      <c r="C778" s="99" t="s">
        <v>316</v>
      </c>
      <c r="D778" s="48" t="s">
        <v>321</v>
      </c>
      <c r="E778" s="48" t="s">
        <v>97</v>
      </c>
      <c r="F778" s="112">
        <f ca="1" t="shared" ref="F778:Q778" si="708">IFERROR(F771/F767," ")</f>
        <v>0</v>
      </c>
      <c r="G778" s="112">
        <f ca="1" t="shared" si="708"/>
        <v>0</v>
      </c>
      <c r="H778" s="112">
        <f ca="1" t="shared" si="708"/>
        <v>0</v>
      </c>
      <c r="I778" s="112">
        <f ca="1" t="shared" si="708"/>
        <v>0.133333333333333</v>
      </c>
      <c r="J778" s="112">
        <f ca="1" t="shared" si="708"/>
        <v>0.111111111111111</v>
      </c>
      <c r="K778" s="112">
        <f ca="1" t="shared" si="708"/>
        <v>0.19047619047619</v>
      </c>
      <c r="L778" s="112">
        <f ca="1" t="shared" si="708"/>
        <v>0.2</v>
      </c>
      <c r="M778" s="112">
        <f ca="1" t="shared" si="708"/>
        <v>0.161290322580645</v>
      </c>
      <c r="N778" s="112">
        <f ca="1" t="shared" si="708"/>
        <v>0.142857142857143</v>
      </c>
      <c r="O778" s="112">
        <f ca="1" t="shared" si="708"/>
        <v>0.128205128205128</v>
      </c>
      <c r="P778" s="112">
        <f ca="1" t="shared" si="708"/>
        <v>0.121951219512195</v>
      </c>
      <c r="Q778" s="112">
        <f ca="1" t="shared" si="708"/>
        <v>0.130434782608696</v>
      </c>
    </row>
    <row r="779" ht="24" customHeight="1" spans="1:17">
      <c r="A779" s="99" t="s">
        <v>346</v>
      </c>
      <c r="B779" s="99" t="s">
        <v>299</v>
      </c>
      <c r="C779" s="99" t="s">
        <v>316</v>
      </c>
      <c r="D779" s="48" t="s">
        <v>321</v>
      </c>
      <c r="E779" s="48" t="s">
        <v>87</v>
      </c>
      <c r="F779" s="112">
        <f ca="1" t="shared" ref="F779:Q779" si="709">IFERROR(F772/F767," ")</f>
        <v>0.166666666666667</v>
      </c>
      <c r="G779" s="112">
        <f ca="1" t="shared" si="709"/>
        <v>0.166666666666667</v>
      </c>
      <c r="H779" s="112">
        <f ca="1" t="shared" si="709"/>
        <v>0.142857142857143</v>
      </c>
      <c r="I779" s="112">
        <f ca="1" t="shared" si="709"/>
        <v>0.133333333333333</v>
      </c>
      <c r="J779" s="112">
        <f ca="1" t="shared" si="709"/>
        <v>0.111111111111111</v>
      </c>
      <c r="K779" s="112">
        <f ca="1" t="shared" si="709"/>
        <v>0.0952380952380952</v>
      </c>
      <c r="L779" s="112">
        <f ca="1" t="shared" si="709"/>
        <v>0.08</v>
      </c>
      <c r="M779" s="112">
        <f ca="1" t="shared" si="709"/>
        <v>0.0645161290322581</v>
      </c>
      <c r="N779" s="112">
        <f ca="1" t="shared" si="709"/>
        <v>0.0857142857142857</v>
      </c>
      <c r="O779" s="112">
        <f ca="1" t="shared" si="709"/>
        <v>0.0769230769230769</v>
      </c>
      <c r="P779" s="112">
        <f ca="1" t="shared" si="709"/>
        <v>0.0731707317073171</v>
      </c>
      <c r="Q779" s="112">
        <f ca="1" t="shared" si="709"/>
        <v>0.0869565217391304</v>
      </c>
    </row>
    <row r="780" ht="24" customHeight="1" spans="1:17">
      <c r="A780" s="99" t="s">
        <v>346</v>
      </c>
      <c r="B780" s="99" t="s">
        <v>299</v>
      </c>
      <c r="C780" s="99" t="s">
        <v>316</v>
      </c>
      <c r="D780" s="48" t="s">
        <v>321</v>
      </c>
      <c r="E780" s="48" t="s">
        <v>149</v>
      </c>
      <c r="F780" s="112">
        <f ca="1" t="shared" ref="F780:I780" si="710">IFERROR(F773/F767," ")</f>
        <v>0</v>
      </c>
      <c r="G780" s="112">
        <f ca="1" t="shared" si="710"/>
        <v>0</v>
      </c>
      <c r="H780" s="112">
        <f ca="1" t="shared" si="710"/>
        <v>0</v>
      </c>
      <c r="I780" s="112">
        <f ca="1" t="shared" si="710"/>
        <v>0</v>
      </c>
      <c r="J780" s="112">
        <f ca="1" t="shared" ref="J780:Q780" si="711">IFERROR(J773/J766," ")</f>
        <v>0</v>
      </c>
      <c r="K780" s="112">
        <f ca="1" t="shared" si="711"/>
        <v>0</v>
      </c>
      <c r="L780" s="112">
        <f ca="1" t="shared" si="711"/>
        <v>0</v>
      </c>
      <c r="M780" s="112">
        <f ca="1" t="shared" si="711"/>
        <v>0</v>
      </c>
      <c r="N780" s="112">
        <f ca="1" t="shared" si="711"/>
        <v>0</v>
      </c>
      <c r="O780" s="112">
        <f ca="1" t="shared" si="711"/>
        <v>0</v>
      </c>
      <c r="P780" s="112">
        <f ca="1" t="shared" si="711"/>
        <v>0</v>
      </c>
      <c r="Q780" s="112">
        <f ca="1" t="shared" si="711"/>
        <v>0</v>
      </c>
    </row>
    <row r="781" ht="24" customHeight="1" spans="1:17">
      <c r="A781" s="99" t="s">
        <v>346</v>
      </c>
      <c r="B781" s="99" t="s">
        <v>299</v>
      </c>
      <c r="C781" s="99" t="s">
        <v>316</v>
      </c>
      <c r="D781" s="48" t="s">
        <v>321</v>
      </c>
      <c r="E781" s="48" t="s">
        <v>83</v>
      </c>
      <c r="F781" s="112">
        <f ca="1" t="shared" ref="F781:Q781" si="712">IFERROR(F774/F767," ")</f>
        <v>0</v>
      </c>
      <c r="G781" s="112">
        <f ca="1" t="shared" si="712"/>
        <v>0</v>
      </c>
      <c r="H781" s="112">
        <f ca="1" t="shared" si="712"/>
        <v>0</v>
      </c>
      <c r="I781" s="112">
        <f ca="1" t="shared" si="712"/>
        <v>0.0666666666666667</v>
      </c>
      <c r="J781" s="112">
        <f ca="1" t="shared" si="712"/>
        <v>0.111111111111111</v>
      </c>
      <c r="K781" s="112">
        <f ca="1" t="shared" si="712"/>
        <v>0.0952380952380952</v>
      </c>
      <c r="L781" s="112">
        <f ca="1" t="shared" si="712"/>
        <v>0.08</v>
      </c>
      <c r="M781" s="112">
        <f ca="1" t="shared" si="712"/>
        <v>0.0645161290322581</v>
      </c>
      <c r="N781" s="112">
        <f ca="1" t="shared" si="712"/>
        <v>0.0571428571428571</v>
      </c>
      <c r="O781" s="112">
        <f ca="1" t="shared" si="712"/>
        <v>0.0512820512820513</v>
      </c>
      <c r="P781" s="112">
        <f ca="1" t="shared" si="712"/>
        <v>0.0487804878048781</v>
      </c>
      <c r="Q781" s="112">
        <f ca="1" t="shared" si="712"/>
        <v>0.0434782608695652</v>
      </c>
    </row>
    <row r="782" ht="24" customHeight="1" spans="1:17">
      <c r="A782" s="99" t="s">
        <v>346</v>
      </c>
      <c r="B782" s="99" t="s">
        <v>299</v>
      </c>
      <c r="C782" s="99" t="s">
        <v>316</v>
      </c>
      <c r="D782" s="47" t="s">
        <v>294</v>
      </c>
      <c r="E782" s="47" t="s">
        <v>93</v>
      </c>
      <c r="F782" s="206">
        <f ca="1" t="shared" ref="F782:Q782" si="713">IF($S$1&lt;DATE(2025,1,1)," ",F685)</f>
        <v>2</v>
      </c>
      <c r="G782" s="206">
        <f ca="1" t="shared" si="713"/>
        <v>0</v>
      </c>
      <c r="H782" s="206">
        <f ca="1" t="shared" si="713"/>
        <v>0</v>
      </c>
      <c r="I782" s="206">
        <f ca="1" t="shared" si="713"/>
        <v>1</v>
      </c>
      <c r="J782" s="206">
        <f ca="1" t="shared" si="713"/>
        <v>1</v>
      </c>
      <c r="K782" s="206">
        <f ca="1" t="shared" si="713"/>
        <v>1</v>
      </c>
      <c r="L782" s="206">
        <f ca="1" t="shared" si="713"/>
        <v>2</v>
      </c>
      <c r="M782" s="206">
        <f ca="1" t="shared" si="713"/>
        <v>1</v>
      </c>
      <c r="N782" s="206">
        <f ca="1" t="shared" si="713"/>
        <v>2</v>
      </c>
      <c r="O782" s="206">
        <f ca="1" t="shared" si="713"/>
        <v>1</v>
      </c>
      <c r="P782" s="206">
        <f ca="1" t="shared" si="713"/>
        <v>1</v>
      </c>
      <c r="Q782" s="206">
        <f ca="1" t="shared" si="713"/>
        <v>1</v>
      </c>
    </row>
    <row r="783" ht="24" customHeight="1" spans="1:17">
      <c r="A783" s="99" t="s">
        <v>346</v>
      </c>
      <c r="B783" s="99" t="s">
        <v>299</v>
      </c>
      <c r="C783" s="99" t="s">
        <v>316</v>
      </c>
      <c r="D783" s="47" t="s">
        <v>294</v>
      </c>
      <c r="E783" s="47" t="s">
        <v>85</v>
      </c>
      <c r="F783" s="206">
        <f ca="1" t="shared" ref="F783:Q783" si="714">IF($S$1&lt;DATE(2025,1,1)," ",F686)</f>
        <v>2</v>
      </c>
      <c r="G783" s="206">
        <f ca="1" t="shared" si="714"/>
        <v>0</v>
      </c>
      <c r="H783" s="206">
        <f ca="1" t="shared" si="714"/>
        <v>0</v>
      </c>
      <c r="I783" s="206">
        <f ca="1" t="shared" si="714"/>
        <v>2</v>
      </c>
      <c r="J783" s="206">
        <f ca="1" t="shared" si="714"/>
        <v>1</v>
      </c>
      <c r="K783" s="206">
        <f ca="1" t="shared" si="714"/>
        <v>0</v>
      </c>
      <c r="L783" s="206">
        <f ca="1" t="shared" si="714"/>
        <v>0</v>
      </c>
      <c r="M783" s="206">
        <f ca="1" t="shared" si="714"/>
        <v>3</v>
      </c>
      <c r="N783" s="206">
        <f ca="1" t="shared" si="714"/>
        <v>1</v>
      </c>
      <c r="O783" s="206">
        <f ca="1" t="shared" si="714"/>
        <v>1</v>
      </c>
      <c r="P783" s="206">
        <f ca="1" t="shared" si="714"/>
        <v>0</v>
      </c>
      <c r="Q783" s="206">
        <f ca="1" t="shared" si="714"/>
        <v>2</v>
      </c>
    </row>
    <row r="784" ht="24" customHeight="1" spans="1:17">
      <c r="A784" s="99" t="s">
        <v>346</v>
      </c>
      <c r="B784" s="99" t="s">
        <v>299</v>
      </c>
      <c r="C784" s="99" t="s">
        <v>316</v>
      </c>
      <c r="D784" s="47" t="s">
        <v>294</v>
      </c>
      <c r="E784" s="47" t="s">
        <v>81</v>
      </c>
      <c r="F784" s="206">
        <f ca="1" t="shared" ref="F784:Q784" si="715">IF($S$1&lt;DATE(2025,1,1)," ",F687)</f>
        <v>0</v>
      </c>
      <c r="G784" s="206">
        <f ca="1" t="shared" si="715"/>
        <v>0</v>
      </c>
      <c r="H784" s="206">
        <f ca="1" t="shared" si="715"/>
        <v>0</v>
      </c>
      <c r="I784" s="206">
        <f ca="1" t="shared" si="715"/>
        <v>0</v>
      </c>
      <c r="J784" s="206">
        <f ca="1" t="shared" si="715"/>
        <v>0</v>
      </c>
      <c r="K784" s="206">
        <f ca="1" t="shared" si="715"/>
        <v>1</v>
      </c>
      <c r="L784" s="206">
        <f ca="1" t="shared" si="715"/>
        <v>0</v>
      </c>
      <c r="M784" s="206">
        <f ca="1" t="shared" si="715"/>
        <v>1</v>
      </c>
      <c r="N784" s="206">
        <f ca="1" t="shared" si="715"/>
        <v>1</v>
      </c>
      <c r="O784" s="206">
        <f ca="1" t="shared" si="715"/>
        <v>1</v>
      </c>
      <c r="P784" s="206">
        <f ca="1" t="shared" si="715"/>
        <v>0</v>
      </c>
      <c r="Q784" s="206">
        <f ca="1" t="shared" si="715"/>
        <v>1</v>
      </c>
    </row>
    <row r="785" ht="24" customHeight="1" spans="1:17">
      <c r="A785" s="99" t="s">
        <v>346</v>
      </c>
      <c r="B785" s="99" t="s">
        <v>299</v>
      </c>
      <c r="C785" s="99" t="s">
        <v>316</v>
      </c>
      <c r="D785" s="47" t="s">
        <v>294</v>
      </c>
      <c r="E785" s="47" t="s">
        <v>96</v>
      </c>
      <c r="F785" s="206">
        <f ca="1" t="shared" ref="F785:Q785" si="716">IF($S$1&lt;DATE(2025,1,1)," ",F688)</f>
        <v>0</v>
      </c>
      <c r="G785" s="206">
        <f ca="1" t="shared" si="716"/>
        <v>0</v>
      </c>
      <c r="H785" s="206">
        <f ca="1" t="shared" si="716"/>
        <v>0</v>
      </c>
      <c r="I785" s="206">
        <f ca="1" t="shared" si="716"/>
        <v>0</v>
      </c>
      <c r="J785" s="206">
        <f ca="1" t="shared" si="716"/>
        <v>0</v>
      </c>
      <c r="K785" s="206">
        <f ca="1" t="shared" si="716"/>
        <v>1</v>
      </c>
      <c r="L785" s="206">
        <f ca="1" t="shared" si="716"/>
        <v>0</v>
      </c>
      <c r="M785" s="206">
        <f ca="1" t="shared" si="716"/>
        <v>0</v>
      </c>
      <c r="N785" s="206">
        <f ca="1" t="shared" si="716"/>
        <v>0</v>
      </c>
      <c r="O785" s="206">
        <f ca="1" t="shared" si="716"/>
        <v>0</v>
      </c>
      <c r="P785" s="206">
        <f ca="1" t="shared" si="716"/>
        <v>0</v>
      </c>
      <c r="Q785" s="206">
        <f ca="1" t="shared" si="716"/>
        <v>0</v>
      </c>
    </row>
    <row r="786" ht="24" customHeight="1" spans="1:17">
      <c r="A786" s="99" t="s">
        <v>346</v>
      </c>
      <c r="B786" s="99" t="s">
        <v>299</v>
      </c>
      <c r="C786" s="99" t="s">
        <v>316</v>
      </c>
      <c r="D786" s="47" t="s">
        <v>294</v>
      </c>
      <c r="E786" s="47" t="s">
        <v>160</v>
      </c>
      <c r="F786" s="206">
        <f ca="1" t="shared" ref="F786:Q786" si="717">IF($S$1&lt;DATE(2025,1,1)," ",F689)</f>
        <v>0</v>
      </c>
      <c r="G786" s="206">
        <f ca="1" t="shared" si="717"/>
        <v>0</v>
      </c>
      <c r="H786" s="206">
        <f ca="1" t="shared" si="717"/>
        <v>0</v>
      </c>
      <c r="I786" s="206">
        <f ca="1" t="shared" si="717"/>
        <v>0</v>
      </c>
      <c r="J786" s="206">
        <f ca="1" t="shared" si="717"/>
        <v>1</v>
      </c>
      <c r="K786" s="206">
        <f ca="1" t="shared" si="717"/>
        <v>0</v>
      </c>
      <c r="L786" s="206">
        <f ca="1" t="shared" si="717"/>
        <v>0</v>
      </c>
      <c r="M786" s="206">
        <f ca="1" t="shared" si="717"/>
        <v>0</v>
      </c>
      <c r="N786" s="206">
        <f ca="1" t="shared" si="717"/>
        <v>0</v>
      </c>
      <c r="O786" s="206">
        <f ca="1" t="shared" si="717"/>
        <v>0</v>
      </c>
      <c r="P786" s="206">
        <f ca="1" t="shared" si="717"/>
        <v>0</v>
      </c>
      <c r="Q786" s="206">
        <f ca="1" t="shared" si="717"/>
        <v>0</v>
      </c>
    </row>
    <row r="787" ht="24" customHeight="1" spans="1:17">
      <c r="A787" s="99" t="s">
        <v>346</v>
      </c>
      <c r="B787" s="99" t="s">
        <v>299</v>
      </c>
      <c r="C787" s="99" t="s">
        <v>316</v>
      </c>
      <c r="D787" s="100" t="s">
        <v>292</v>
      </c>
      <c r="E787" s="100" t="s">
        <v>322</v>
      </c>
      <c r="F787" s="204">
        <f ca="1">IF($S$1&lt;DATE(2025,1,1)," ",SUM(F788:F790))</f>
        <v>5</v>
      </c>
      <c r="G787" s="204">
        <f ca="1">IF($S$1&lt;DATE(2025,2,1)," ",SUM(G788:G790))</f>
        <v>5</v>
      </c>
      <c r="H787" s="204">
        <f ca="1">IF($S$1&lt;DATE(2025,3,1)," ",SUM(H788:H790))</f>
        <v>6</v>
      </c>
      <c r="I787" s="204">
        <f ca="1">IF($S$1&lt;DATE(2025,4,1)," ",SUM(I788:I790))</f>
        <v>13</v>
      </c>
      <c r="J787" s="204">
        <f ca="1">IF($S$1&lt;DATE(2025,5,1)," ",SUM(J788:J790))</f>
        <v>15</v>
      </c>
      <c r="K787" s="204">
        <f ca="1">IF($S$1&lt;DATE(2025,6,1)," ",SUM(K788:K790))</f>
        <v>18</v>
      </c>
      <c r="L787" s="204">
        <f ca="1">IF($S$1&lt;DATE(2025,7,1)," ",SUM(L788:L790))</f>
        <v>22</v>
      </c>
      <c r="M787" s="204">
        <f ca="1">IF($S$1&lt;DATE(2025,8,1)," ",SUM(M788:M790))</f>
        <v>28</v>
      </c>
      <c r="N787" s="204">
        <f ca="1">IF($S$1&lt;DATE(2025,9,1)," ",SUM(N788:N790))</f>
        <v>32</v>
      </c>
      <c r="O787" s="204">
        <f ca="1">IF($S$1&lt;DATE(2025,10,1)," ",SUM(O788:O790))</f>
        <v>36</v>
      </c>
      <c r="P787" s="204">
        <f ca="1">IF($S$1&lt;DATE(2025,11,1)," ",SUM(P788:P790))</f>
        <v>38</v>
      </c>
      <c r="Q787" s="204">
        <f ca="1">IF($S$1&lt;DATE(2025,12,1)," ",SUM(Q788:Q790))</f>
        <v>42</v>
      </c>
    </row>
    <row r="788" ht="24" customHeight="1" spans="1:17">
      <c r="A788" s="99" t="s">
        <v>346</v>
      </c>
      <c r="B788" s="99" t="s">
        <v>299</v>
      </c>
      <c r="C788" s="99" t="s">
        <v>316</v>
      </c>
      <c r="D788" s="48" t="s">
        <v>296</v>
      </c>
      <c r="E788" s="48" t="s">
        <v>90</v>
      </c>
      <c r="F788" s="205">
        <f ca="1" t="shared" ref="F788:F790" si="718">IF($S$1&lt;DATE(2025,1,1)," ",F701)</f>
        <v>1</v>
      </c>
      <c r="G788" s="205">
        <f ca="1" t="shared" ref="G788:G790" si="719">IF($S$1&lt;DATE(2025,2,1)," ",G701+F788)</f>
        <v>1</v>
      </c>
      <c r="H788" s="205">
        <f ca="1" t="shared" ref="H788:H790" si="720">IF($S$1&lt;DATE(2025,3,1)," ",H701+G788)</f>
        <v>1</v>
      </c>
      <c r="I788" s="205">
        <f ca="1" t="shared" ref="I788:I790" si="721">IF($S$1&lt;DATE(2025,4,1)," ",I701+H788)</f>
        <v>6</v>
      </c>
      <c r="J788" s="205">
        <f ca="1" t="shared" ref="J788:J790" si="722">IF($S$1&lt;DATE(2025,5,1)," ",J701+I788)</f>
        <v>6</v>
      </c>
      <c r="K788" s="205">
        <f ca="1" t="shared" ref="K788:K790" si="723">IF($S$1&lt;DATE(2025,6,1)," ",K701+J788)</f>
        <v>7</v>
      </c>
      <c r="L788" s="205">
        <f ca="1" t="shared" ref="L788:L790" si="724">IF($S$1&lt;DATE(2025,7,1)," ",L701+K788)</f>
        <v>8</v>
      </c>
      <c r="M788" s="205">
        <f ca="1" t="shared" ref="M788:M790" si="725">IF($S$1&lt;DATE(2025,8,1)," ",M701+L788)</f>
        <v>11</v>
      </c>
      <c r="N788" s="205">
        <f ca="1" t="shared" ref="N788:N790" si="726">IF($S$1&lt;DATE(2025,9,1)," ",N701+M788)</f>
        <v>12</v>
      </c>
      <c r="O788" s="205">
        <f ca="1" t="shared" ref="O788:O790" si="727">IF($S$1&lt;DATE(2025,10,1)," ",O701+N788)</f>
        <v>13</v>
      </c>
      <c r="P788" s="205">
        <f ca="1" t="shared" ref="P788:P790" si="728">IF($S$1&lt;DATE(2025,11,1)," ",P701+O788)</f>
        <v>15</v>
      </c>
      <c r="Q788" s="205">
        <f ca="1" t="shared" ref="Q788:Q790" si="729">IF($S$1&lt;DATE(2025,12,1)," ",Q701+P788)</f>
        <v>17</v>
      </c>
    </row>
    <row r="789" ht="24" customHeight="1" spans="1:17">
      <c r="A789" s="99" t="s">
        <v>346</v>
      </c>
      <c r="B789" s="99" t="s">
        <v>299</v>
      </c>
      <c r="C789" s="99" t="s">
        <v>316</v>
      </c>
      <c r="D789" s="48" t="s">
        <v>296</v>
      </c>
      <c r="E789" s="48" t="s">
        <v>82</v>
      </c>
      <c r="F789" s="205">
        <f ca="1" t="shared" si="718"/>
        <v>3</v>
      </c>
      <c r="G789" s="205">
        <f ca="1" t="shared" si="719"/>
        <v>3</v>
      </c>
      <c r="H789" s="205">
        <f ca="1" t="shared" si="720"/>
        <v>3</v>
      </c>
      <c r="I789" s="205">
        <f ca="1" t="shared" si="721"/>
        <v>3</v>
      </c>
      <c r="J789" s="205">
        <f ca="1" t="shared" si="722"/>
        <v>5</v>
      </c>
      <c r="K789" s="205">
        <f ca="1" t="shared" si="723"/>
        <v>6</v>
      </c>
      <c r="L789" s="205">
        <f ca="1" t="shared" si="724"/>
        <v>9</v>
      </c>
      <c r="M789" s="205">
        <f ca="1" t="shared" si="725"/>
        <v>11</v>
      </c>
      <c r="N789" s="205">
        <f ca="1" t="shared" si="726"/>
        <v>12</v>
      </c>
      <c r="O789" s="205">
        <f ca="1" t="shared" si="727"/>
        <v>13</v>
      </c>
      <c r="P789" s="205">
        <f ca="1" t="shared" si="728"/>
        <v>13</v>
      </c>
      <c r="Q789" s="205">
        <f ca="1" t="shared" si="729"/>
        <v>13</v>
      </c>
    </row>
    <row r="790" ht="24" customHeight="1" spans="1:17">
      <c r="A790" s="99" t="s">
        <v>346</v>
      </c>
      <c r="B790" s="99" t="s">
        <v>299</v>
      </c>
      <c r="C790" s="99" t="s">
        <v>316</v>
      </c>
      <c r="D790" s="48" t="s">
        <v>296</v>
      </c>
      <c r="E790" s="48" t="s">
        <v>86</v>
      </c>
      <c r="F790" s="205">
        <f ca="1" t="shared" si="718"/>
        <v>1</v>
      </c>
      <c r="G790" s="205">
        <f ca="1" t="shared" si="719"/>
        <v>1</v>
      </c>
      <c r="H790" s="205">
        <f ca="1" t="shared" si="720"/>
        <v>2</v>
      </c>
      <c r="I790" s="205">
        <f ca="1" t="shared" si="721"/>
        <v>4</v>
      </c>
      <c r="J790" s="205">
        <f ca="1" t="shared" si="722"/>
        <v>4</v>
      </c>
      <c r="K790" s="205">
        <f ca="1" t="shared" si="723"/>
        <v>5</v>
      </c>
      <c r="L790" s="205">
        <f ca="1" t="shared" si="724"/>
        <v>5</v>
      </c>
      <c r="M790" s="205">
        <f ca="1" t="shared" si="725"/>
        <v>6</v>
      </c>
      <c r="N790" s="205">
        <f ca="1" t="shared" si="726"/>
        <v>8</v>
      </c>
      <c r="O790" s="205">
        <f ca="1" t="shared" si="727"/>
        <v>10</v>
      </c>
      <c r="P790" s="205">
        <f ca="1" t="shared" si="728"/>
        <v>10</v>
      </c>
      <c r="Q790" s="205">
        <f ca="1" t="shared" si="729"/>
        <v>12</v>
      </c>
    </row>
    <row r="791" ht="24" customHeight="1" spans="1:17">
      <c r="A791" s="99" t="s">
        <v>346</v>
      </c>
      <c r="B791" s="99" t="s">
        <v>299</v>
      </c>
      <c r="C791" s="99" t="s">
        <v>316</v>
      </c>
      <c r="D791" s="48" t="s">
        <v>323</v>
      </c>
      <c r="E791" s="48" t="s">
        <v>90</v>
      </c>
      <c r="F791" s="112">
        <f ca="1" t="shared" ref="F791:Q791" si="730">IFERROR(F788/F787," ")</f>
        <v>0.2</v>
      </c>
      <c r="G791" s="112">
        <f ca="1" t="shared" si="730"/>
        <v>0.2</v>
      </c>
      <c r="H791" s="112">
        <f ca="1" t="shared" si="730"/>
        <v>0.166666666666667</v>
      </c>
      <c r="I791" s="112">
        <f ca="1" t="shared" si="730"/>
        <v>0.461538461538462</v>
      </c>
      <c r="J791" s="112">
        <f ca="1" t="shared" si="730"/>
        <v>0.4</v>
      </c>
      <c r="K791" s="112">
        <f ca="1" t="shared" si="730"/>
        <v>0.388888888888889</v>
      </c>
      <c r="L791" s="112">
        <f ca="1" t="shared" si="730"/>
        <v>0.363636363636364</v>
      </c>
      <c r="M791" s="112">
        <f ca="1" t="shared" si="730"/>
        <v>0.392857142857143</v>
      </c>
      <c r="N791" s="112">
        <f ca="1" t="shared" si="730"/>
        <v>0.375</v>
      </c>
      <c r="O791" s="112">
        <f ca="1" t="shared" si="730"/>
        <v>0.361111111111111</v>
      </c>
      <c r="P791" s="112">
        <f ca="1" t="shared" si="730"/>
        <v>0.394736842105263</v>
      </c>
      <c r="Q791" s="112">
        <f ca="1" t="shared" si="730"/>
        <v>0.404761904761905</v>
      </c>
    </row>
    <row r="792" ht="24" customHeight="1" spans="1:17">
      <c r="A792" s="99" t="s">
        <v>346</v>
      </c>
      <c r="B792" s="99" t="s">
        <v>299</v>
      </c>
      <c r="C792" s="99" t="s">
        <v>316</v>
      </c>
      <c r="D792" s="48" t="s">
        <v>323</v>
      </c>
      <c r="E792" s="48" t="s">
        <v>82</v>
      </c>
      <c r="F792" s="112">
        <f ca="1" t="shared" ref="F792:Q792" si="731">IFERROR(F789/F787," ")</f>
        <v>0.6</v>
      </c>
      <c r="G792" s="112">
        <f ca="1" t="shared" si="731"/>
        <v>0.6</v>
      </c>
      <c r="H792" s="112">
        <f ca="1" t="shared" si="731"/>
        <v>0.5</v>
      </c>
      <c r="I792" s="112">
        <f ca="1" t="shared" si="731"/>
        <v>0.230769230769231</v>
      </c>
      <c r="J792" s="112">
        <f ca="1" t="shared" si="731"/>
        <v>0.333333333333333</v>
      </c>
      <c r="K792" s="112">
        <f ca="1" t="shared" si="731"/>
        <v>0.333333333333333</v>
      </c>
      <c r="L792" s="112">
        <f ca="1" t="shared" si="731"/>
        <v>0.409090909090909</v>
      </c>
      <c r="M792" s="112">
        <f ca="1" t="shared" si="731"/>
        <v>0.392857142857143</v>
      </c>
      <c r="N792" s="112">
        <f ca="1" t="shared" si="731"/>
        <v>0.375</v>
      </c>
      <c r="O792" s="112">
        <f ca="1" t="shared" si="731"/>
        <v>0.361111111111111</v>
      </c>
      <c r="P792" s="112">
        <f ca="1" t="shared" si="731"/>
        <v>0.342105263157895</v>
      </c>
      <c r="Q792" s="112">
        <f ca="1" t="shared" si="731"/>
        <v>0.30952380952381</v>
      </c>
    </row>
    <row r="793" ht="24" customHeight="1" spans="1:17">
      <c r="A793" s="99" t="s">
        <v>346</v>
      </c>
      <c r="B793" s="99" t="s">
        <v>299</v>
      </c>
      <c r="C793" s="99" t="s">
        <v>316</v>
      </c>
      <c r="D793" s="48" t="s">
        <v>323</v>
      </c>
      <c r="E793" s="48" t="s">
        <v>86</v>
      </c>
      <c r="F793" s="112">
        <f ca="1" t="shared" ref="F793:Q793" si="732">IFERROR(F790/F787," ")</f>
        <v>0.2</v>
      </c>
      <c r="G793" s="112">
        <f ca="1" t="shared" si="732"/>
        <v>0.2</v>
      </c>
      <c r="H793" s="112">
        <f ca="1" t="shared" si="732"/>
        <v>0.333333333333333</v>
      </c>
      <c r="I793" s="112">
        <f ca="1" t="shared" si="732"/>
        <v>0.307692307692308</v>
      </c>
      <c r="J793" s="112">
        <f ca="1" t="shared" si="732"/>
        <v>0.266666666666667</v>
      </c>
      <c r="K793" s="112">
        <f ca="1" t="shared" si="732"/>
        <v>0.277777777777778</v>
      </c>
      <c r="L793" s="112">
        <f ca="1" t="shared" si="732"/>
        <v>0.227272727272727</v>
      </c>
      <c r="M793" s="112">
        <f ca="1" t="shared" si="732"/>
        <v>0.214285714285714</v>
      </c>
      <c r="N793" s="112">
        <f ca="1" t="shared" si="732"/>
        <v>0.25</v>
      </c>
      <c r="O793" s="112">
        <f ca="1" t="shared" si="732"/>
        <v>0.277777777777778</v>
      </c>
      <c r="P793" s="112">
        <f ca="1" t="shared" si="732"/>
        <v>0.263157894736842</v>
      </c>
      <c r="Q793" s="112">
        <f ca="1" t="shared" si="732"/>
        <v>0.285714285714286</v>
      </c>
    </row>
    <row r="794" ht="24" customHeight="1" spans="1:17">
      <c r="A794" s="99" t="s">
        <v>346</v>
      </c>
      <c r="B794" s="99" t="s">
        <v>299</v>
      </c>
      <c r="C794" s="99" t="s">
        <v>316</v>
      </c>
      <c r="D794" s="100" t="s">
        <v>292</v>
      </c>
      <c r="E794" s="100" t="s">
        <v>324</v>
      </c>
      <c r="F794" s="204">
        <f ca="1">IF($S$1&lt;DATE(2025,1,1)," ",SUM(F795:F798))</f>
        <v>3</v>
      </c>
      <c r="G794" s="204">
        <f ca="1">IF($S$1&lt;DATE(2025,2,1)," ",SUM(G795:G798))</f>
        <v>3</v>
      </c>
      <c r="H794" s="204">
        <f ca="1">IF($S$1&lt;DATE(2025,3,1)," ",SUM(H795:H798))</f>
        <v>4</v>
      </c>
      <c r="I794" s="204">
        <f ca="1">IF($S$1&lt;DATE(2025,4,1)," ",SUM(I795:I798))</f>
        <v>12</v>
      </c>
      <c r="J794" s="204">
        <f ca="1">IF($S$1&lt;DATE(2025,5,1)," ",SUM(J795:J798))</f>
        <v>14</v>
      </c>
      <c r="K794" s="204">
        <f ca="1">IF($S$1&lt;DATE(2025,6,1)," ",SUM(K795:K798))</f>
        <v>16</v>
      </c>
      <c r="L794" s="204">
        <f ca="1">IF($S$1&lt;DATE(2025,7,1)," ",SUM(L795:L798))</f>
        <v>18</v>
      </c>
      <c r="M794" s="204">
        <f ca="1">IF($S$1&lt;DATE(2025,8,1)," ",SUM(M795:M798))</f>
        <v>23</v>
      </c>
      <c r="N794" s="204">
        <f ca="1">IF($S$1&lt;DATE(2025,9,1)," ",SUM(N795:N798))</f>
        <v>26</v>
      </c>
      <c r="O794" s="204">
        <f ca="1">IF($S$1&lt;DATE(2025,10,1)," ",SUM(O795:O798))</f>
        <v>30</v>
      </c>
      <c r="P794" s="204">
        <f ca="1">IF($S$1&lt;DATE(2025,11,1)," ",SUM(P795:P798))</f>
        <v>31</v>
      </c>
      <c r="Q794" s="204">
        <f ca="1">IF($S$1&lt;DATE(2025,12,1)," ",SUM(Q795:Q798))</f>
        <v>36</v>
      </c>
    </row>
    <row r="795" ht="24" customHeight="1" spans="1:17">
      <c r="A795" s="99" t="s">
        <v>346</v>
      </c>
      <c r="B795" s="99" t="s">
        <v>299</v>
      </c>
      <c r="C795" s="99" t="s">
        <v>316</v>
      </c>
      <c r="D795" s="48" t="s">
        <v>298</v>
      </c>
      <c r="E795" s="48" t="s">
        <v>97</v>
      </c>
      <c r="F795" s="205">
        <f ca="1" t="shared" ref="F795:F798" si="733">IF($S$1&lt;DATE(2025,1,1)," ",F705)</f>
        <v>2</v>
      </c>
      <c r="G795" s="205">
        <f ca="1" t="shared" ref="G795:G798" si="734">IF($S$1&lt;DATE(2025,2,1)," ",G705+F795)</f>
        <v>2</v>
      </c>
      <c r="H795" s="205">
        <f ca="1" t="shared" ref="H795:H798" si="735">IF($S$1&lt;DATE(2025,3,1)," ",H705+G795)</f>
        <v>3</v>
      </c>
      <c r="I795" s="205">
        <f ca="1" t="shared" ref="I795:I798" si="736">IF($S$1&lt;DATE(2025,4,1)," ",I705+H795)</f>
        <v>6</v>
      </c>
      <c r="J795" s="205">
        <f ca="1" t="shared" ref="J795:J798" si="737">IF($S$1&lt;DATE(2025,5,1)," ",J705+I795)</f>
        <v>7</v>
      </c>
      <c r="K795" s="205">
        <f ca="1" t="shared" ref="K795:K798" si="738">IF($S$1&lt;DATE(2025,6,1)," ",K705+J795)</f>
        <v>9</v>
      </c>
      <c r="L795" s="205">
        <f ca="1" t="shared" ref="L795:L798" si="739">IF($S$1&lt;DATE(2025,7,1)," ",L705+K795)</f>
        <v>10</v>
      </c>
      <c r="M795" s="205">
        <f ca="1" t="shared" ref="M795:M798" si="740">IF($S$1&lt;DATE(2025,8,1)," ",M705+L795)</f>
        <v>11</v>
      </c>
      <c r="N795" s="205">
        <f ca="1" t="shared" ref="N795:N798" si="741">IF($S$1&lt;DATE(2025,9,1)," ",N705+M795)</f>
        <v>11</v>
      </c>
      <c r="O795" s="205">
        <f ca="1" t="shared" ref="O795:O798" si="742">IF($S$1&lt;DATE(2025,10,1)," ",O705+N795)</f>
        <v>12</v>
      </c>
      <c r="P795" s="205">
        <f ca="1" t="shared" ref="P795:P798" si="743">IF($S$1&lt;DATE(2025,11,1)," ",P705+O795)</f>
        <v>12</v>
      </c>
      <c r="Q795" s="205">
        <f ca="1" t="shared" ref="Q795:Q798" si="744">IF($S$1&lt;DATE(2025,12,1)," ",Q705+P795)</f>
        <v>13</v>
      </c>
    </row>
    <row r="796" ht="24" customHeight="1" spans="1:17">
      <c r="A796" s="99" t="s">
        <v>346</v>
      </c>
      <c r="B796" s="99" t="s">
        <v>299</v>
      </c>
      <c r="C796" s="99" t="s">
        <v>316</v>
      </c>
      <c r="D796" s="48" t="s">
        <v>298</v>
      </c>
      <c r="E796" s="48" t="s">
        <v>87</v>
      </c>
      <c r="F796" s="205">
        <f ca="1" t="shared" si="733"/>
        <v>1</v>
      </c>
      <c r="G796" s="205">
        <f ca="1" t="shared" si="734"/>
        <v>1</v>
      </c>
      <c r="H796" s="205">
        <f ca="1" t="shared" si="735"/>
        <v>1</v>
      </c>
      <c r="I796" s="205">
        <f ca="1" t="shared" si="736"/>
        <v>4</v>
      </c>
      <c r="J796" s="205">
        <f ca="1" t="shared" si="737"/>
        <v>4</v>
      </c>
      <c r="K796" s="205">
        <f ca="1" t="shared" si="738"/>
        <v>4</v>
      </c>
      <c r="L796" s="205">
        <f ca="1" t="shared" si="739"/>
        <v>4</v>
      </c>
      <c r="M796" s="205">
        <f ca="1" t="shared" si="740"/>
        <v>8</v>
      </c>
      <c r="N796" s="205">
        <f ca="1" t="shared" si="741"/>
        <v>11</v>
      </c>
      <c r="O796" s="205">
        <f ca="1" t="shared" si="742"/>
        <v>12</v>
      </c>
      <c r="P796" s="205">
        <f ca="1" t="shared" si="743"/>
        <v>12</v>
      </c>
      <c r="Q796" s="205">
        <f ca="1" t="shared" si="744"/>
        <v>16</v>
      </c>
    </row>
    <row r="797" ht="24" customHeight="1" spans="1:17">
      <c r="A797" s="99" t="s">
        <v>346</v>
      </c>
      <c r="B797" s="99" t="s">
        <v>299</v>
      </c>
      <c r="C797" s="99" t="s">
        <v>316</v>
      </c>
      <c r="D797" s="48" t="s">
        <v>298</v>
      </c>
      <c r="E797" s="48" t="s">
        <v>149</v>
      </c>
      <c r="F797" s="205">
        <f ca="1" t="shared" si="733"/>
        <v>0</v>
      </c>
      <c r="G797" s="205">
        <f ca="1" t="shared" si="734"/>
        <v>0</v>
      </c>
      <c r="H797" s="205">
        <f ca="1" t="shared" si="735"/>
        <v>0</v>
      </c>
      <c r="I797" s="205">
        <f ca="1" t="shared" si="736"/>
        <v>0</v>
      </c>
      <c r="J797" s="205">
        <f ca="1" t="shared" si="737"/>
        <v>0</v>
      </c>
      <c r="K797" s="205">
        <f ca="1" t="shared" si="738"/>
        <v>0</v>
      </c>
      <c r="L797" s="205">
        <f ca="1" t="shared" si="739"/>
        <v>0</v>
      </c>
      <c r="M797" s="205">
        <f ca="1" t="shared" si="740"/>
        <v>0</v>
      </c>
      <c r="N797" s="205">
        <f ca="1" t="shared" si="741"/>
        <v>0</v>
      </c>
      <c r="O797" s="205">
        <f ca="1" t="shared" si="742"/>
        <v>0</v>
      </c>
      <c r="P797" s="205">
        <f ca="1" t="shared" si="743"/>
        <v>0</v>
      </c>
      <c r="Q797" s="205">
        <f ca="1" t="shared" si="744"/>
        <v>0</v>
      </c>
    </row>
    <row r="798" ht="24" customHeight="1" spans="1:17">
      <c r="A798" s="99" t="s">
        <v>346</v>
      </c>
      <c r="B798" s="99" t="s">
        <v>299</v>
      </c>
      <c r="C798" s="99" t="s">
        <v>316</v>
      </c>
      <c r="D798" s="48" t="s">
        <v>298</v>
      </c>
      <c r="E798" s="48" t="s">
        <v>83</v>
      </c>
      <c r="F798" s="205">
        <f ca="1" t="shared" si="733"/>
        <v>0</v>
      </c>
      <c r="G798" s="205">
        <f ca="1" t="shared" si="734"/>
        <v>0</v>
      </c>
      <c r="H798" s="205">
        <f ca="1" t="shared" si="735"/>
        <v>0</v>
      </c>
      <c r="I798" s="205">
        <f ca="1" t="shared" si="736"/>
        <v>2</v>
      </c>
      <c r="J798" s="205">
        <f ca="1" t="shared" si="737"/>
        <v>3</v>
      </c>
      <c r="K798" s="205">
        <f ca="1" t="shared" si="738"/>
        <v>3</v>
      </c>
      <c r="L798" s="205">
        <f ca="1" t="shared" si="739"/>
        <v>4</v>
      </c>
      <c r="M798" s="205">
        <f ca="1" t="shared" si="740"/>
        <v>4</v>
      </c>
      <c r="N798" s="205">
        <f ca="1" t="shared" si="741"/>
        <v>4</v>
      </c>
      <c r="O798" s="205">
        <f ca="1" t="shared" si="742"/>
        <v>6</v>
      </c>
      <c r="P798" s="205">
        <f ca="1" t="shared" si="743"/>
        <v>7</v>
      </c>
      <c r="Q798" s="205">
        <f ca="1" t="shared" si="744"/>
        <v>7</v>
      </c>
    </row>
    <row r="799" ht="24" customHeight="1" spans="1:17">
      <c r="A799" s="99" t="s">
        <v>346</v>
      </c>
      <c r="B799" s="99" t="s">
        <v>299</v>
      </c>
      <c r="C799" s="99" t="s">
        <v>316</v>
      </c>
      <c r="D799" s="48" t="s">
        <v>325</v>
      </c>
      <c r="E799" s="48" t="s">
        <v>97</v>
      </c>
      <c r="F799" s="112">
        <f ca="1" t="shared" ref="F799:Q799" si="745">IFERROR(F795/F794," ")</f>
        <v>0.666666666666667</v>
      </c>
      <c r="G799" s="112">
        <f ca="1" t="shared" si="745"/>
        <v>0.666666666666667</v>
      </c>
      <c r="H799" s="112">
        <f ca="1" t="shared" si="745"/>
        <v>0.75</v>
      </c>
      <c r="I799" s="112">
        <f ca="1" t="shared" si="745"/>
        <v>0.5</v>
      </c>
      <c r="J799" s="112">
        <f ca="1" t="shared" si="745"/>
        <v>0.5</v>
      </c>
      <c r="K799" s="112">
        <f ca="1" t="shared" si="745"/>
        <v>0.5625</v>
      </c>
      <c r="L799" s="112">
        <f ca="1" t="shared" si="745"/>
        <v>0.555555555555556</v>
      </c>
      <c r="M799" s="112">
        <f ca="1" t="shared" si="745"/>
        <v>0.478260869565217</v>
      </c>
      <c r="N799" s="112">
        <f ca="1" t="shared" si="745"/>
        <v>0.423076923076923</v>
      </c>
      <c r="O799" s="112">
        <f ca="1" t="shared" si="745"/>
        <v>0.4</v>
      </c>
      <c r="P799" s="112">
        <f ca="1" t="shared" si="745"/>
        <v>0.387096774193548</v>
      </c>
      <c r="Q799" s="112">
        <f ca="1" t="shared" si="745"/>
        <v>0.361111111111111</v>
      </c>
    </row>
    <row r="800" ht="24" customHeight="1" spans="1:17">
      <c r="A800" s="99" t="s">
        <v>346</v>
      </c>
      <c r="B800" s="99" t="s">
        <v>299</v>
      </c>
      <c r="C800" s="99" t="s">
        <v>316</v>
      </c>
      <c r="D800" s="48" t="s">
        <v>325</v>
      </c>
      <c r="E800" s="48" t="s">
        <v>87</v>
      </c>
      <c r="F800" s="112">
        <f ca="1" t="shared" ref="F800:Q800" si="746">IFERROR(F796/F794," ")</f>
        <v>0.333333333333333</v>
      </c>
      <c r="G800" s="112">
        <f ca="1" t="shared" si="746"/>
        <v>0.333333333333333</v>
      </c>
      <c r="H800" s="112">
        <f ca="1" t="shared" si="746"/>
        <v>0.25</v>
      </c>
      <c r="I800" s="112">
        <f ca="1" t="shared" si="746"/>
        <v>0.333333333333333</v>
      </c>
      <c r="J800" s="112">
        <f ca="1" t="shared" si="746"/>
        <v>0.285714285714286</v>
      </c>
      <c r="K800" s="112">
        <f ca="1" t="shared" si="746"/>
        <v>0.25</v>
      </c>
      <c r="L800" s="112">
        <f ca="1" t="shared" si="746"/>
        <v>0.222222222222222</v>
      </c>
      <c r="M800" s="112">
        <f ca="1" t="shared" si="746"/>
        <v>0.347826086956522</v>
      </c>
      <c r="N800" s="112">
        <f ca="1" t="shared" si="746"/>
        <v>0.423076923076923</v>
      </c>
      <c r="O800" s="112">
        <f ca="1" t="shared" si="746"/>
        <v>0.4</v>
      </c>
      <c r="P800" s="112">
        <f ca="1" t="shared" si="746"/>
        <v>0.387096774193548</v>
      </c>
      <c r="Q800" s="112">
        <f ca="1" t="shared" si="746"/>
        <v>0.444444444444444</v>
      </c>
    </row>
    <row r="801" ht="24" customHeight="1" spans="1:17">
      <c r="A801" s="99" t="s">
        <v>346</v>
      </c>
      <c r="B801" s="99" t="s">
        <v>299</v>
      </c>
      <c r="C801" s="99" t="s">
        <v>316</v>
      </c>
      <c r="D801" s="48" t="s">
        <v>325</v>
      </c>
      <c r="E801" s="48" t="s">
        <v>149</v>
      </c>
      <c r="F801" s="112">
        <f ca="1" t="shared" ref="F801:Q801" si="747">IFERROR(F797/F794," ")</f>
        <v>0</v>
      </c>
      <c r="G801" s="112">
        <f ca="1" t="shared" si="747"/>
        <v>0</v>
      </c>
      <c r="H801" s="112">
        <f ca="1" t="shared" si="747"/>
        <v>0</v>
      </c>
      <c r="I801" s="112">
        <f ca="1" t="shared" si="747"/>
        <v>0</v>
      </c>
      <c r="J801" s="112">
        <f ca="1" t="shared" si="747"/>
        <v>0</v>
      </c>
      <c r="K801" s="112">
        <f ca="1" t="shared" si="747"/>
        <v>0</v>
      </c>
      <c r="L801" s="112">
        <f ca="1" t="shared" si="747"/>
        <v>0</v>
      </c>
      <c r="M801" s="112">
        <f ca="1" t="shared" si="747"/>
        <v>0</v>
      </c>
      <c r="N801" s="112">
        <f ca="1" t="shared" si="747"/>
        <v>0</v>
      </c>
      <c r="O801" s="112">
        <f ca="1" t="shared" si="747"/>
        <v>0</v>
      </c>
      <c r="P801" s="112">
        <f ca="1" t="shared" si="747"/>
        <v>0</v>
      </c>
      <c r="Q801" s="112">
        <f ca="1" t="shared" si="747"/>
        <v>0</v>
      </c>
    </row>
    <row r="802" ht="24" customHeight="1" spans="1:17">
      <c r="A802" s="99" t="s">
        <v>346</v>
      </c>
      <c r="B802" s="99" t="s">
        <v>299</v>
      </c>
      <c r="C802" s="99" t="s">
        <v>316</v>
      </c>
      <c r="D802" s="48" t="s">
        <v>325</v>
      </c>
      <c r="E802" s="48" t="s">
        <v>83</v>
      </c>
      <c r="F802" s="112">
        <f ca="1" t="shared" ref="F802:Q802" si="748">IFERROR(F798/F794," ")</f>
        <v>0</v>
      </c>
      <c r="G802" s="112">
        <f ca="1" t="shared" si="748"/>
        <v>0</v>
      </c>
      <c r="H802" s="112">
        <f ca="1" t="shared" si="748"/>
        <v>0</v>
      </c>
      <c r="I802" s="112">
        <f ca="1" t="shared" si="748"/>
        <v>0.166666666666667</v>
      </c>
      <c r="J802" s="112">
        <f ca="1" t="shared" si="748"/>
        <v>0.214285714285714</v>
      </c>
      <c r="K802" s="112">
        <f ca="1" t="shared" si="748"/>
        <v>0.1875</v>
      </c>
      <c r="L802" s="112">
        <f ca="1" t="shared" si="748"/>
        <v>0.222222222222222</v>
      </c>
      <c r="M802" s="112">
        <f ca="1" t="shared" si="748"/>
        <v>0.173913043478261</v>
      </c>
      <c r="N802" s="112">
        <f ca="1" t="shared" si="748"/>
        <v>0.153846153846154</v>
      </c>
      <c r="O802" s="112">
        <f ca="1" t="shared" si="748"/>
        <v>0.2</v>
      </c>
      <c r="P802" s="112">
        <f ca="1" t="shared" si="748"/>
        <v>0.225806451612903</v>
      </c>
      <c r="Q802" s="112">
        <f ca="1" t="shared" si="748"/>
        <v>0.194444444444444</v>
      </c>
    </row>
    <row r="803" ht="24" customHeight="1" spans="1:17">
      <c r="A803" s="99" t="s">
        <v>346</v>
      </c>
      <c r="B803" s="99" t="s">
        <v>299</v>
      </c>
      <c r="C803" s="99" t="s">
        <v>316</v>
      </c>
      <c r="D803" s="100" t="s">
        <v>292</v>
      </c>
      <c r="E803" s="53" t="s">
        <v>326</v>
      </c>
      <c r="F803" s="210">
        <f ca="1">IF($S$1&lt;DATE(2025,1,1)," ",IF((F682-F806-F807-F808-F809-F810)&lt;&gt;0,"ERR",F682))</f>
        <v>4</v>
      </c>
      <c r="G803" s="210">
        <f ca="1">IF($S$1&lt;DATE(2025,2,1)," ",IF((G682+F803-G806-G807-G808-G809-G810)&lt;&gt;0,"ERR",G682+F803))</f>
        <v>4</v>
      </c>
      <c r="H803" s="210">
        <f ca="1">IF($S$1&lt;DATE(2025,3,1)," ",IF((H682+G803-H806-H807-H808-H809-H810)&lt;&gt;0,"ERR",H682+G803))</f>
        <v>4</v>
      </c>
      <c r="I803" s="210">
        <f ca="1">IF($S$1&lt;DATE(2025,4,1)," ",IF((I682+H803-I806-I807-I808-I809-I810)&lt;&gt;0,"ERR",I682+H803))</f>
        <v>7</v>
      </c>
      <c r="J803" s="210">
        <f ca="1">IF($S$1&lt;DATE(2025,5,1)," ",IF((J682+I803-J806-J807-J808-J809-J810)&lt;&gt;0,"ERR",J682+I803))</f>
        <v>10</v>
      </c>
      <c r="K803" s="210">
        <f ca="1">IF($S$1&lt;DATE(2025,6,1)," ",IF((K682+J803-K806-K807-K808-K809-K810)&lt;&gt;0,"ERR",K682+J803))</f>
        <v>13</v>
      </c>
      <c r="L803" s="210">
        <f ca="1">IF($S$1&lt;DATE(2025,7,1)," ",IF((L682+K803-L806-L807-L808-L809-L810)&lt;&gt;0,"ERR",L682+K803))</f>
        <v>15</v>
      </c>
      <c r="M803" s="210">
        <f ca="1">IF($S$1&lt;DATE(2025,8,1)," ",IF((M682+L803-M806-M807-M808-M809-M810)&lt;&gt;0,"ERR",M682+L803))</f>
        <v>20</v>
      </c>
      <c r="N803" s="210">
        <f ca="1">IF($S$1&lt;DATE(2025,9,1)," ",IF((N682+M803-N806-N807-N808-N809-N810)&lt;&gt;0,"ERR",N682+M803))</f>
        <v>24</v>
      </c>
      <c r="O803" s="210">
        <f ca="1">IF($S$1&lt;DATE(2025,10,1)," ",IF((O682+N803-O806-O807-O808-O809-O810)&lt;&gt;0,"ERR",O682+N803))</f>
        <v>27</v>
      </c>
      <c r="P803" s="210">
        <f ca="1">IF($S$1&lt;DATE(2025,11,1)," ",IF((P682+O803-P806-P807-P808-P809-P810)&lt;&gt;0,"ERR",P682+O803))</f>
        <v>28</v>
      </c>
      <c r="Q803" s="210">
        <f ca="1">IF($S$1&lt;DATE(2025,12,1)," ",IF((Q682+P803-Q806-Q807-Q808-Q809-Q810)&lt;&gt;0,"ERR",Q682+P803))</f>
        <v>32</v>
      </c>
    </row>
    <row r="804" ht="24" customHeight="1" spans="1:17">
      <c r="A804" s="99" t="s">
        <v>346</v>
      </c>
      <c r="B804" s="99" t="s">
        <v>299</v>
      </c>
      <c r="C804" s="99" t="s">
        <v>316</v>
      </c>
      <c r="D804" s="100" t="s">
        <v>292</v>
      </c>
      <c r="E804" s="53" t="s">
        <v>327</v>
      </c>
      <c r="F804" s="210">
        <f ca="1">IF($S$1&lt;DATE(2025,1,1)," ",IF((F683-F811-F812-F813-F814-F815)&lt;&gt;0,"ERR",F683))</f>
        <v>2</v>
      </c>
      <c r="G804" s="210">
        <f ca="1">IF($S$1&lt;DATE(2025,2,1)," ",IF((G683+F804-G811-G812-G813-G814-G815)&lt;&gt;0,"ERR",G683+F804))</f>
        <v>2</v>
      </c>
      <c r="H804" s="210">
        <f ca="1">IF($S$1&lt;DATE(2025,3,1)," ",IF((H683+G804-H811-H812-H813-H814-H815)&lt;&gt;0,"ERR",H683+G804))</f>
        <v>3</v>
      </c>
      <c r="I804" s="210">
        <f ca="1">IF($S$1&lt;DATE(2025,4,1)," ",IF((I683+H804-I811-I812-I813-I814-I815)&lt;&gt;0,"ERR",I683+H804))</f>
        <v>7</v>
      </c>
      <c r="J804" s="210">
        <f ca="1">IF($S$1&lt;DATE(2025,5,1)," ",IF((J683+I804-J811-J812-J813-J814-J815)&lt;&gt;0,"ERR",J683+I804))</f>
        <v>7</v>
      </c>
      <c r="K804" s="210">
        <f ca="1">IF($S$1&lt;DATE(2025,6,1)," ",IF((K683+J804-K811-K812-K813-K814-K815)&lt;&gt;0,"ERR",K683+J804))</f>
        <v>7</v>
      </c>
      <c r="L804" s="210">
        <f ca="1">IF($S$1&lt;DATE(2025,7,1)," ",IF((L683+K804-L811-L812-L813-L814-L815)&lt;&gt;0,"ERR",L683+K804))</f>
        <v>9</v>
      </c>
      <c r="M804" s="210">
        <f ca="1">IF($S$1&lt;DATE(2025,8,1)," ",IF((M683+L804-M811-M812-M813-M814-M815)&lt;&gt;0,"ERR",M683+L804))</f>
        <v>10</v>
      </c>
      <c r="N804" s="210">
        <f ca="1">IF($S$1&lt;DATE(2025,9,1)," ",IF((N683+M804-N811-N812-N813-N814-N815)&lt;&gt;0,"ERR",N683+M804))</f>
        <v>10</v>
      </c>
      <c r="O804" s="210">
        <f ca="1">IF($S$1&lt;DATE(2025,10,1)," ",IF((O683+N804-O811-O812-O813-O814-O815)&lt;&gt;0,"ERR",O683+N804))</f>
        <v>11</v>
      </c>
      <c r="P804" s="210">
        <f ca="1">IF($S$1&lt;DATE(2025,11,1)," ",IF((P683+O804-P811-P812-P813-P814-P815)&lt;&gt;0,"ERR",P683+O804))</f>
        <v>12</v>
      </c>
      <c r="Q804" s="210">
        <f ca="1">IF($S$1&lt;DATE(2025,12,1)," ",IF((Q683+P804-Q811-Q812-Q813-Q814-Q815)&lt;&gt;0,"ERR",Q683+P804))</f>
        <v>13</v>
      </c>
    </row>
    <row r="805" ht="24" customHeight="1" spans="1:17">
      <c r="A805" s="99" t="s">
        <v>346</v>
      </c>
      <c r="B805" s="99" t="s">
        <v>299</v>
      </c>
      <c r="C805" s="99" t="s">
        <v>316</v>
      </c>
      <c r="D805" s="100" t="s">
        <v>292</v>
      </c>
      <c r="E805" s="53" t="s">
        <v>328</v>
      </c>
      <c r="F805" s="210">
        <f ca="1">IF($S$1&lt;DATE(2025,1,1)," ",IF((F684-F816-F817-F818-F819-F820)&lt;&gt;0,"ERR",F684))</f>
        <v>0</v>
      </c>
      <c r="G805" s="210">
        <f ca="1">IF($S$1&lt;DATE(2025,2,1)," ",IF((G684+F805-G816-G817-G818-G819-G820)&lt;&gt;0,"ERR",G684+F805))</f>
        <v>0</v>
      </c>
      <c r="H805" s="210">
        <f ca="1">IF($S$1&lt;DATE(2025,3,1)," ",IF((H684+G805-H816-H817-H818-H819-H820)&lt;&gt;0,"ERR",H684+G805))</f>
        <v>0</v>
      </c>
      <c r="I805" s="210">
        <f ca="1">IF($S$1&lt;DATE(2025,4,1)," ",IF((I684+H805-I816-I817-I818-I819-I820)&lt;&gt;0,"ERR",I684+H805))</f>
        <v>1</v>
      </c>
      <c r="J805" s="210">
        <f ca="1">IF($S$1&lt;DATE(2025,5,1)," ",IF((J684+I805-J816-J817-J818-J819-J820)&lt;&gt;0,"ERR",J684+I805))</f>
        <v>1</v>
      </c>
      <c r="K805" s="210">
        <f ca="1">IF($S$1&lt;DATE(2025,6,1)," ",IF((K684+J805-K816-K817-K818-K819-K820)&lt;&gt;0,"ERR",K684+J805))</f>
        <v>1</v>
      </c>
      <c r="L805" s="210">
        <f ca="1">IF($S$1&lt;DATE(2025,7,1)," ",IF((L684+K805-L816-L817-L818-L819-L820)&lt;&gt;0,"ERR",L684+K805))</f>
        <v>1</v>
      </c>
      <c r="M805" s="210">
        <f ca="1">IF($S$1&lt;DATE(2025,8,1)," ",IF((M684+L805-M816-M817-M818-M819-M820)&lt;&gt;0,"ERR",M684+L805))</f>
        <v>1</v>
      </c>
      <c r="N805" s="210">
        <f ca="1">IF($S$1&lt;DATE(2025,9,1)," ",IF((N684+M805-N816-N817-N818-N819-N820)&lt;&gt;0,"ERR",N684+M805))</f>
        <v>1</v>
      </c>
      <c r="O805" s="210">
        <f ca="1">IF($S$1&lt;DATE(2025,10,1)," ",IF((O684+N805-O816-O817-O818-O819-O820)&lt;&gt;0,"ERR",O684+N805))</f>
        <v>1</v>
      </c>
      <c r="P805" s="210">
        <f ca="1">IF($S$1&lt;DATE(2025,11,1)," ",IF((P684+O805-P816-P817-P818-P819-P820)&lt;&gt;0,"ERR",P684+O805))</f>
        <v>1</v>
      </c>
      <c r="Q805" s="210">
        <f ca="1">IF($S$1&lt;DATE(2025,12,1)," ",IF((Q684+P805-Q816-Q817-Q818-Q819-Q820)&lt;&gt;0,"ERR",Q684+P805))</f>
        <v>1</v>
      </c>
    </row>
    <row r="806" ht="24" customHeight="1" spans="1:17">
      <c r="A806" s="99" t="s">
        <v>346</v>
      </c>
      <c r="B806" s="99" t="s">
        <v>299</v>
      </c>
      <c r="C806" s="99" t="s">
        <v>316</v>
      </c>
      <c r="D806" s="53" t="s">
        <v>326</v>
      </c>
      <c r="E806" s="53" t="s">
        <v>93</v>
      </c>
      <c r="F806" s="210">
        <f ca="1" t="shared" ref="F806:F820" si="749">IF($S$1&lt;DATE(2025,1,1)," ",F685)</f>
        <v>2</v>
      </c>
      <c r="G806" s="210">
        <f ca="1" t="shared" ref="G806:G820" si="750">IF($S$1&lt;DATE(2025,2,1)," ",G685+F806)</f>
        <v>2</v>
      </c>
      <c r="H806" s="210">
        <f ca="1" t="shared" ref="H806:H820" si="751">IF($S$1&lt;DATE(2025,3,1)," ",H685+G806)</f>
        <v>2</v>
      </c>
      <c r="I806" s="210">
        <f ca="1" t="shared" ref="I806:I820" si="752">IF($S$1&lt;DATE(2025,4,1)," ",I685+H806)</f>
        <v>3</v>
      </c>
      <c r="J806" s="210">
        <f ca="1" t="shared" ref="J806:J820" si="753">IF($S$1&lt;DATE(2025,5,1)," ",J685+I806)</f>
        <v>4</v>
      </c>
      <c r="K806" s="210">
        <f ca="1" t="shared" ref="K806:K820" si="754">IF($S$1&lt;DATE(2025,6,1)," ",K685+J806)</f>
        <v>5</v>
      </c>
      <c r="L806" s="210">
        <f ca="1" t="shared" ref="L806:L820" si="755">IF($S$1&lt;DATE(2025,7,1)," ",L685+K806)</f>
        <v>7</v>
      </c>
      <c r="M806" s="210">
        <f ca="1" t="shared" ref="M806:M820" si="756">IF($S$1&lt;DATE(2025,8,1)," ",M685+L806)</f>
        <v>8</v>
      </c>
      <c r="N806" s="210">
        <f ca="1" t="shared" ref="N806:N820" si="757">IF($S$1&lt;DATE(2025,9,1)," ",N685+M806)</f>
        <v>10</v>
      </c>
      <c r="O806" s="210">
        <f ca="1" t="shared" ref="O806:O820" si="758">IF($S$1&lt;DATE(2025,10,1)," ",O685+N806)</f>
        <v>11</v>
      </c>
      <c r="P806" s="210">
        <f ca="1" t="shared" ref="P806:P820" si="759">IF($S$1&lt;DATE(2025,11,1)," ",P685+O806)</f>
        <v>12</v>
      </c>
      <c r="Q806" s="210">
        <f ca="1" t="shared" ref="Q806:Q820" si="760">IF($S$1&lt;DATE(2025,12,1)," ",Q685+P806)</f>
        <v>13</v>
      </c>
    </row>
    <row r="807" ht="24" customHeight="1" spans="1:17">
      <c r="A807" s="99" t="s">
        <v>346</v>
      </c>
      <c r="B807" s="99" t="s">
        <v>299</v>
      </c>
      <c r="C807" s="99" t="s">
        <v>316</v>
      </c>
      <c r="D807" s="53" t="s">
        <v>326</v>
      </c>
      <c r="E807" s="53" t="s">
        <v>85</v>
      </c>
      <c r="F807" s="210">
        <f ca="1" t="shared" si="749"/>
        <v>2</v>
      </c>
      <c r="G807" s="210">
        <f ca="1" t="shared" si="750"/>
        <v>2</v>
      </c>
      <c r="H807" s="210">
        <f ca="1" t="shared" si="751"/>
        <v>2</v>
      </c>
      <c r="I807" s="210">
        <f ca="1" t="shared" si="752"/>
        <v>4</v>
      </c>
      <c r="J807" s="210">
        <f ca="1" t="shared" si="753"/>
        <v>5</v>
      </c>
      <c r="K807" s="210">
        <f ca="1" t="shared" si="754"/>
        <v>5</v>
      </c>
      <c r="L807" s="210">
        <f ca="1" t="shared" si="755"/>
        <v>5</v>
      </c>
      <c r="M807" s="210">
        <f ca="1" t="shared" si="756"/>
        <v>8</v>
      </c>
      <c r="N807" s="210">
        <f ca="1" t="shared" si="757"/>
        <v>9</v>
      </c>
      <c r="O807" s="210">
        <f ca="1" t="shared" si="758"/>
        <v>10</v>
      </c>
      <c r="P807" s="210">
        <f ca="1" t="shared" si="759"/>
        <v>10</v>
      </c>
      <c r="Q807" s="210">
        <f ca="1" t="shared" si="760"/>
        <v>12</v>
      </c>
    </row>
    <row r="808" ht="24" customHeight="1" spans="1:17">
      <c r="A808" s="99" t="s">
        <v>346</v>
      </c>
      <c r="B808" s="99" t="s">
        <v>299</v>
      </c>
      <c r="C808" s="99" t="s">
        <v>316</v>
      </c>
      <c r="D808" s="53" t="s">
        <v>326</v>
      </c>
      <c r="E808" s="53" t="s">
        <v>81</v>
      </c>
      <c r="F808" s="210">
        <f ca="1" t="shared" si="749"/>
        <v>0</v>
      </c>
      <c r="G808" s="210">
        <f ca="1" t="shared" si="750"/>
        <v>0</v>
      </c>
      <c r="H808" s="210">
        <f ca="1" t="shared" si="751"/>
        <v>0</v>
      </c>
      <c r="I808" s="210">
        <f ca="1" t="shared" si="752"/>
        <v>0</v>
      </c>
      <c r="J808" s="210">
        <f ca="1" t="shared" si="753"/>
        <v>0</v>
      </c>
      <c r="K808" s="210">
        <f ca="1" t="shared" si="754"/>
        <v>1</v>
      </c>
      <c r="L808" s="210">
        <f ca="1" t="shared" si="755"/>
        <v>1</v>
      </c>
      <c r="M808" s="210">
        <f ca="1" t="shared" si="756"/>
        <v>2</v>
      </c>
      <c r="N808" s="210">
        <f ca="1" t="shared" si="757"/>
        <v>3</v>
      </c>
      <c r="O808" s="210">
        <f ca="1" t="shared" si="758"/>
        <v>4</v>
      </c>
      <c r="P808" s="210">
        <f ca="1" t="shared" si="759"/>
        <v>4</v>
      </c>
      <c r="Q808" s="210">
        <f ca="1" t="shared" si="760"/>
        <v>5</v>
      </c>
    </row>
    <row r="809" ht="24" customHeight="1" spans="1:17">
      <c r="A809" s="99" t="s">
        <v>346</v>
      </c>
      <c r="B809" s="99" t="s">
        <v>299</v>
      </c>
      <c r="C809" s="99" t="s">
        <v>316</v>
      </c>
      <c r="D809" s="53" t="s">
        <v>326</v>
      </c>
      <c r="E809" s="53" t="s">
        <v>96</v>
      </c>
      <c r="F809" s="210">
        <f ca="1" t="shared" si="749"/>
        <v>0</v>
      </c>
      <c r="G809" s="210">
        <f ca="1" t="shared" si="750"/>
        <v>0</v>
      </c>
      <c r="H809" s="210">
        <f ca="1" t="shared" si="751"/>
        <v>0</v>
      </c>
      <c r="I809" s="210">
        <f ca="1" t="shared" si="752"/>
        <v>0</v>
      </c>
      <c r="J809" s="210">
        <f ca="1" t="shared" si="753"/>
        <v>0</v>
      </c>
      <c r="K809" s="210">
        <f ca="1" t="shared" si="754"/>
        <v>1</v>
      </c>
      <c r="L809" s="210">
        <f ca="1" t="shared" si="755"/>
        <v>1</v>
      </c>
      <c r="M809" s="210">
        <f ca="1" t="shared" si="756"/>
        <v>1</v>
      </c>
      <c r="N809" s="210">
        <f ca="1" t="shared" si="757"/>
        <v>1</v>
      </c>
      <c r="O809" s="210">
        <f ca="1" t="shared" si="758"/>
        <v>1</v>
      </c>
      <c r="P809" s="210">
        <f ca="1" t="shared" si="759"/>
        <v>1</v>
      </c>
      <c r="Q809" s="210">
        <f ca="1" t="shared" si="760"/>
        <v>1</v>
      </c>
    </row>
    <row r="810" ht="24" customHeight="1" spans="1:17">
      <c r="A810" s="99" t="s">
        <v>346</v>
      </c>
      <c r="B810" s="99" t="s">
        <v>299</v>
      </c>
      <c r="C810" s="99" t="s">
        <v>316</v>
      </c>
      <c r="D810" s="53" t="s">
        <v>326</v>
      </c>
      <c r="E810" s="53" t="s">
        <v>160</v>
      </c>
      <c r="F810" s="210">
        <f ca="1" t="shared" si="749"/>
        <v>0</v>
      </c>
      <c r="G810" s="210">
        <f ca="1" t="shared" si="750"/>
        <v>0</v>
      </c>
      <c r="H810" s="210">
        <f ca="1" t="shared" si="751"/>
        <v>0</v>
      </c>
      <c r="I810" s="210">
        <f ca="1" t="shared" si="752"/>
        <v>0</v>
      </c>
      <c r="J810" s="210">
        <f ca="1" t="shared" si="753"/>
        <v>1</v>
      </c>
      <c r="K810" s="210">
        <f ca="1" t="shared" si="754"/>
        <v>1</v>
      </c>
      <c r="L810" s="210">
        <f ca="1" t="shared" si="755"/>
        <v>1</v>
      </c>
      <c r="M810" s="210">
        <f ca="1" t="shared" si="756"/>
        <v>1</v>
      </c>
      <c r="N810" s="210">
        <f ca="1" t="shared" si="757"/>
        <v>1</v>
      </c>
      <c r="O810" s="210">
        <f ca="1" t="shared" si="758"/>
        <v>1</v>
      </c>
      <c r="P810" s="210">
        <f ca="1" t="shared" si="759"/>
        <v>1</v>
      </c>
      <c r="Q810" s="210">
        <f ca="1" t="shared" si="760"/>
        <v>1</v>
      </c>
    </row>
    <row r="811" ht="24" customHeight="1" spans="1:17">
      <c r="A811" s="99" t="s">
        <v>346</v>
      </c>
      <c r="B811" s="99" t="s">
        <v>299</v>
      </c>
      <c r="C811" s="99" t="s">
        <v>316</v>
      </c>
      <c r="D811" s="53" t="s">
        <v>327</v>
      </c>
      <c r="E811" s="53" t="s">
        <v>93</v>
      </c>
      <c r="F811" s="210">
        <f ca="1" t="shared" si="749"/>
        <v>1</v>
      </c>
      <c r="G811" s="210">
        <f ca="1" t="shared" si="750"/>
        <v>1</v>
      </c>
      <c r="H811" s="210">
        <f ca="1" t="shared" si="751"/>
        <v>1</v>
      </c>
      <c r="I811" s="210">
        <f ca="1" t="shared" si="752"/>
        <v>4</v>
      </c>
      <c r="J811" s="210">
        <f ca="1" t="shared" si="753"/>
        <v>4</v>
      </c>
      <c r="K811" s="210">
        <f ca="1" t="shared" si="754"/>
        <v>4</v>
      </c>
      <c r="L811" s="210">
        <f ca="1" t="shared" si="755"/>
        <v>5</v>
      </c>
      <c r="M811" s="210">
        <f ca="1" t="shared" si="756"/>
        <v>6</v>
      </c>
      <c r="N811" s="210">
        <f ca="1" t="shared" si="757"/>
        <v>6</v>
      </c>
      <c r="O811" s="210">
        <f ca="1" t="shared" si="758"/>
        <v>6</v>
      </c>
      <c r="P811" s="210">
        <f ca="1" t="shared" si="759"/>
        <v>6</v>
      </c>
      <c r="Q811" s="210">
        <f ca="1" t="shared" si="760"/>
        <v>6</v>
      </c>
    </row>
    <row r="812" ht="24" customHeight="1" spans="1:17">
      <c r="A812" s="99" t="s">
        <v>346</v>
      </c>
      <c r="B812" s="99" t="s">
        <v>299</v>
      </c>
      <c r="C812" s="99" t="s">
        <v>316</v>
      </c>
      <c r="D812" s="53" t="s">
        <v>327</v>
      </c>
      <c r="E812" s="53" t="s">
        <v>85</v>
      </c>
      <c r="F812" s="210">
        <f ca="1" t="shared" si="749"/>
        <v>1</v>
      </c>
      <c r="G812" s="210">
        <f ca="1" t="shared" si="750"/>
        <v>1</v>
      </c>
      <c r="H812" s="210">
        <f ca="1" t="shared" si="751"/>
        <v>1</v>
      </c>
      <c r="I812" s="210">
        <f ca="1" t="shared" si="752"/>
        <v>2</v>
      </c>
      <c r="J812" s="210">
        <f ca="1" t="shared" si="753"/>
        <v>2</v>
      </c>
      <c r="K812" s="210">
        <f ca="1" t="shared" si="754"/>
        <v>2</v>
      </c>
      <c r="L812" s="210">
        <f ca="1" t="shared" si="755"/>
        <v>2</v>
      </c>
      <c r="M812" s="210">
        <f ca="1" t="shared" si="756"/>
        <v>2</v>
      </c>
      <c r="N812" s="210">
        <f ca="1" t="shared" si="757"/>
        <v>2</v>
      </c>
      <c r="O812" s="210">
        <f ca="1" t="shared" si="758"/>
        <v>2</v>
      </c>
      <c r="P812" s="210">
        <f ca="1" t="shared" si="759"/>
        <v>3</v>
      </c>
      <c r="Q812" s="210">
        <f ca="1" t="shared" si="760"/>
        <v>4</v>
      </c>
    </row>
    <row r="813" ht="24" customHeight="1" spans="1:17">
      <c r="A813" s="99" t="s">
        <v>346</v>
      </c>
      <c r="B813" s="99" t="s">
        <v>299</v>
      </c>
      <c r="C813" s="99" t="s">
        <v>316</v>
      </c>
      <c r="D813" s="53" t="s">
        <v>327</v>
      </c>
      <c r="E813" s="53" t="s">
        <v>81</v>
      </c>
      <c r="F813" s="210">
        <f ca="1" t="shared" si="749"/>
        <v>0</v>
      </c>
      <c r="G813" s="210">
        <f ca="1" t="shared" si="750"/>
        <v>0</v>
      </c>
      <c r="H813" s="210">
        <f ca="1" t="shared" si="751"/>
        <v>1</v>
      </c>
      <c r="I813" s="210">
        <f ca="1" t="shared" si="752"/>
        <v>1</v>
      </c>
      <c r="J813" s="210">
        <f ca="1" t="shared" si="753"/>
        <v>1</v>
      </c>
      <c r="K813" s="210">
        <f ca="1" t="shared" si="754"/>
        <v>1</v>
      </c>
      <c r="L813" s="210">
        <f ca="1" t="shared" si="755"/>
        <v>2</v>
      </c>
      <c r="M813" s="210">
        <f ca="1" t="shared" si="756"/>
        <v>2</v>
      </c>
      <c r="N813" s="210">
        <f ca="1" t="shared" si="757"/>
        <v>2</v>
      </c>
      <c r="O813" s="210">
        <f ca="1" t="shared" si="758"/>
        <v>3</v>
      </c>
      <c r="P813" s="210">
        <f ca="1" t="shared" si="759"/>
        <v>3</v>
      </c>
      <c r="Q813" s="210">
        <f ca="1" t="shared" si="760"/>
        <v>3</v>
      </c>
    </row>
    <row r="814" ht="24" customHeight="1" spans="1:17">
      <c r="A814" s="99" t="s">
        <v>346</v>
      </c>
      <c r="B814" s="99" t="s">
        <v>299</v>
      </c>
      <c r="C814" s="99" t="s">
        <v>316</v>
      </c>
      <c r="D814" s="53" t="s">
        <v>327</v>
      </c>
      <c r="E814" s="53" t="s">
        <v>96</v>
      </c>
      <c r="F814" s="210">
        <f ca="1" t="shared" si="749"/>
        <v>0</v>
      </c>
      <c r="G814" s="210">
        <f ca="1" t="shared" si="750"/>
        <v>0</v>
      </c>
      <c r="H814" s="210">
        <f ca="1" t="shared" si="751"/>
        <v>0</v>
      </c>
      <c r="I814" s="210">
        <f ca="1" t="shared" si="752"/>
        <v>0</v>
      </c>
      <c r="J814" s="210">
        <f ca="1" t="shared" si="753"/>
        <v>0</v>
      </c>
      <c r="K814" s="210">
        <f ca="1" t="shared" si="754"/>
        <v>0</v>
      </c>
      <c r="L814" s="210">
        <f ca="1" t="shared" si="755"/>
        <v>0</v>
      </c>
      <c r="M814" s="210">
        <f ca="1" t="shared" si="756"/>
        <v>0</v>
      </c>
      <c r="N814" s="210">
        <f ca="1" t="shared" si="757"/>
        <v>0</v>
      </c>
      <c r="O814" s="210">
        <f ca="1" t="shared" si="758"/>
        <v>0</v>
      </c>
      <c r="P814" s="210">
        <f ca="1" t="shared" si="759"/>
        <v>0</v>
      </c>
      <c r="Q814" s="210">
        <f ca="1" t="shared" si="760"/>
        <v>0</v>
      </c>
    </row>
    <row r="815" ht="24" customHeight="1" spans="1:17">
      <c r="A815" s="99" t="s">
        <v>346</v>
      </c>
      <c r="B815" s="99" t="s">
        <v>299</v>
      </c>
      <c r="C815" s="99" t="s">
        <v>316</v>
      </c>
      <c r="D815" s="53" t="s">
        <v>327</v>
      </c>
      <c r="E815" s="53" t="s">
        <v>160</v>
      </c>
      <c r="F815" s="210">
        <f ca="1" t="shared" si="749"/>
        <v>0</v>
      </c>
      <c r="G815" s="210">
        <f ca="1" t="shared" si="750"/>
        <v>0</v>
      </c>
      <c r="H815" s="210">
        <f ca="1" t="shared" si="751"/>
        <v>0</v>
      </c>
      <c r="I815" s="210">
        <f ca="1" t="shared" si="752"/>
        <v>0</v>
      </c>
      <c r="J815" s="210">
        <f ca="1" t="shared" si="753"/>
        <v>0</v>
      </c>
      <c r="K815" s="210">
        <f ca="1" t="shared" si="754"/>
        <v>0</v>
      </c>
      <c r="L815" s="210">
        <f ca="1" t="shared" si="755"/>
        <v>0</v>
      </c>
      <c r="M815" s="210">
        <f ca="1" t="shared" si="756"/>
        <v>0</v>
      </c>
      <c r="N815" s="210">
        <f ca="1" t="shared" si="757"/>
        <v>0</v>
      </c>
      <c r="O815" s="210">
        <f ca="1" t="shared" si="758"/>
        <v>0</v>
      </c>
      <c r="P815" s="210">
        <f ca="1" t="shared" si="759"/>
        <v>0</v>
      </c>
      <c r="Q815" s="210">
        <f ca="1" t="shared" si="760"/>
        <v>0</v>
      </c>
    </row>
    <row r="816" ht="24" customHeight="1" spans="1:17">
      <c r="A816" s="99" t="s">
        <v>346</v>
      </c>
      <c r="B816" s="99" t="s">
        <v>299</v>
      </c>
      <c r="C816" s="99" t="s">
        <v>316</v>
      </c>
      <c r="D816" s="53" t="s">
        <v>328</v>
      </c>
      <c r="E816" s="53" t="s">
        <v>93</v>
      </c>
      <c r="F816" s="210">
        <f ca="1" t="shared" si="749"/>
        <v>0</v>
      </c>
      <c r="G816" s="210">
        <f ca="1" t="shared" si="750"/>
        <v>0</v>
      </c>
      <c r="H816" s="210">
        <f ca="1" t="shared" si="751"/>
        <v>0</v>
      </c>
      <c r="I816" s="210">
        <f ca="1" t="shared" si="752"/>
        <v>0</v>
      </c>
      <c r="J816" s="210">
        <f ca="1" t="shared" si="753"/>
        <v>0</v>
      </c>
      <c r="K816" s="210">
        <f ca="1" t="shared" si="754"/>
        <v>0</v>
      </c>
      <c r="L816" s="210">
        <f ca="1" t="shared" si="755"/>
        <v>0</v>
      </c>
      <c r="M816" s="210">
        <f ca="1" t="shared" si="756"/>
        <v>0</v>
      </c>
      <c r="N816" s="210">
        <f ca="1" t="shared" si="757"/>
        <v>0</v>
      </c>
      <c r="O816" s="210">
        <f ca="1" t="shared" si="758"/>
        <v>0</v>
      </c>
      <c r="P816" s="210">
        <f ca="1" t="shared" si="759"/>
        <v>0</v>
      </c>
      <c r="Q816" s="210">
        <f ca="1" t="shared" si="760"/>
        <v>0</v>
      </c>
    </row>
    <row r="817" ht="24" customHeight="1" spans="1:17">
      <c r="A817" s="99" t="s">
        <v>346</v>
      </c>
      <c r="B817" s="99" t="s">
        <v>299</v>
      </c>
      <c r="C817" s="99" t="s">
        <v>316</v>
      </c>
      <c r="D817" s="53" t="s">
        <v>328</v>
      </c>
      <c r="E817" s="53" t="s">
        <v>85</v>
      </c>
      <c r="F817" s="210">
        <f ca="1" t="shared" si="749"/>
        <v>0</v>
      </c>
      <c r="G817" s="210">
        <f ca="1" t="shared" si="750"/>
        <v>0</v>
      </c>
      <c r="H817" s="210">
        <f ca="1" t="shared" si="751"/>
        <v>0</v>
      </c>
      <c r="I817" s="210">
        <f ca="1" t="shared" si="752"/>
        <v>0</v>
      </c>
      <c r="J817" s="210">
        <f ca="1" t="shared" si="753"/>
        <v>0</v>
      </c>
      <c r="K817" s="210">
        <f ca="1" t="shared" si="754"/>
        <v>0</v>
      </c>
      <c r="L817" s="210">
        <f ca="1" t="shared" si="755"/>
        <v>0</v>
      </c>
      <c r="M817" s="210">
        <f ca="1" t="shared" si="756"/>
        <v>0</v>
      </c>
      <c r="N817" s="210">
        <f ca="1" t="shared" si="757"/>
        <v>0</v>
      </c>
      <c r="O817" s="210">
        <f ca="1" t="shared" si="758"/>
        <v>0</v>
      </c>
      <c r="P817" s="210">
        <f ca="1" t="shared" si="759"/>
        <v>0</v>
      </c>
      <c r="Q817" s="210">
        <f ca="1" t="shared" si="760"/>
        <v>0</v>
      </c>
    </row>
    <row r="818" ht="24" customHeight="1" spans="1:17">
      <c r="A818" s="99" t="s">
        <v>346</v>
      </c>
      <c r="B818" s="99" t="s">
        <v>299</v>
      </c>
      <c r="C818" s="99" t="s">
        <v>316</v>
      </c>
      <c r="D818" s="53" t="s">
        <v>328</v>
      </c>
      <c r="E818" s="53" t="s">
        <v>81</v>
      </c>
      <c r="F818" s="210">
        <f ca="1" t="shared" si="749"/>
        <v>0</v>
      </c>
      <c r="G818" s="210">
        <f ca="1" t="shared" si="750"/>
        <v>0</v>
      </c>
      <c r="H818" s="210">
        <f ca="1" t="shared" si="751"/>
        <v>0</v>
      </c>
      <c r="I818" s="210">
        <f ca="1" t="shared" si="752"/>
        <v>0</v>
      </c>
      <c r="J818" s="210">
        <f ca="1" t="shared" si="753"/>
        <v>0</v>
      </c>
      <c r="K818" s="210">
        <f ca="1" t="shared" si="754"/>
        <v>0</v>
      </c>
      <c r="L818" s="210">
        <f ca="1" t="shared" si="755"/>
        <v>0</v>
      </c>
      <c r="M818" s="210">
        <f ca="1" t="shared" si="756"/>
        <v>0</v>
      </c>
      <c r="N818" s="210">
        <f ca="1" t="shared" si="757"/>
        <v>0</v>
      </c>
      <c r="O818" s="210">
        <f ca="1" t="shared" si="758"/>
        <v>0</v>
      </c>
      <c r="P818" s="210">
        <f ca="1" t="shared" si="759"/>
        <v>0</v>
      </c>
      <c r="Q818" s="210">
        <f ca="1" t="shared" si="760"/>
        <v>0</v>
      </c>
    </row>
    <row r="819" ht="24" customHeight="1" spans="1:17">
      <c r="A819" s="99" t="s">
        <v>346</v>
      </c>
      <c r="B819" s="99" t="s">
        <v>299</v>
      </c>
      <c r="C819" s="99" t="s">
        <v>316</v>
      </c>
      <c r="D819" s="53" t="s">
        <v>328</v>
      </c>
      <c r="E819" s="53" t="s">
        <v>96</v>
      </c>
      <c r="F819" s="210">
        <f ca="1" t="shared" si="749"/>
        <v>0</v>
      </c>
      <c r="G819" s="210">
        <f ca="1" t="shared" si="750"/>
        <v>0</v>
      </c>
      <c r="H819" s="210">
        <f ca="1" t="shared" si="751"/>
        <v>0</v>
      </c>
      <c r="I819" s="210">
        <f ca="1" t="shared" si="752"/>
        <v>1</v>
      </c>
      <c r="J819" s="210">
        <f ca="1" t="shared" si="753"/>
        <v>1</v>
      </c>
      <c r="K819" s="210">
        <f ca="1" t="shared" si="754"/>
        <v>1</v>
      </c>
      <c r="L819" s="210">
        <f ca="1" t="shared" si="755"/>
        <v>1</v>
      </c>
      <c r="M819" s="210">
        <f ca="1" t="shared" si="756"/>
        <v>1</v>
      </c>
      <c r="N819" s="210">
        <f ca="1" t="shared" si="757"/>
        <v>1</v>
      </c>
      <c r="O819" s="210">
        <f ca="1" t="shared" si="758"/>
        <v>1</v>
      </c>
      <c r="P819" s="210">
        <f ca="1" t="shared" si="759"/>
        <v>1</v>
      </c>
      <c r="Q819" s="210">
        <f ca="1" t="shared" si="760"/>
        <v>1</v>
      </c>
    </row>
    <row r="820" ht="24" customHeight="1" spans="1:17">
      <c r="A820" s="99" t="s">
        <v>346</v>
      </c>
      <c r="B820" s="99" t="s">
        <v>299</v>
      </c>
      <c r="C820" s="99" t="s">
        <v>316</v>
      </c>
      <c r="D820" s="53" t="s">
        <v>328</v>
      </c>
      <c r="E820" s="53" t="s">
        <v>160</v>
      </c>
      <c r="F820" s="210">
        <f ca="1" t="shared" si="749"/>
        <v>0</v>
      </c>
      <c r="G820" s="210">
        <f ca="1" t="shared" si="750"/>
        <v>0</v>
      </c>
      <c r="H820" s="210">
        <f ca="1" t="shared" si="751"/>
        <v>0</v>
      </c>
      <c r="I820" s="210">
        <f ca="1" t="shared" si="752"/>
        <v>0</v>
      </c>
      <c r="J820" s="210">
        <f ca="1" t="shared" si="753"/>
        <v>0</v>
      </c>
      <c r="K820" s="210">
        <f ca="1" t="shared" si="754"/>
        <v>0</v>
      </c>
      <c r="L820" s="210">
        <f ca="1" t="shared" si="755"/>
        <v>0</v>
      </c>
      <c r="M820" s="210">
        <f ca="1" t="shared" si="756"/>
        <v>0</v>
      </c>
      <c r="N820" s="210">
        <f ca="1" t="shared" si="757"/>
        <v>0</v>
      </c>
      <c r="O820" s="210">
        <f ca="1" t="shared" si="758"/>
        <v>0</v>
      </c>
      <c r="P820" s="210">
        <f ca="1" t="shared" si="759"/>
        <v>0</v>
      </c>
      <c r="Q820" s="210">
        <f ca="1" t="shared" si="760"/>
        <v>0</v>
      </c>
    </row>
    <row r="821" ht="24" customHeight="1" spans="1:17">
      <c r="A821" s="99" t="s">
        <v>346</v>
      </c>
      <c r="B821" s="99" t="s">
        <v>299</v>
      </c>
      <c r="C821" s="99" t="s">
        <v>329</v>
      </c>
      <c r="D821" s="113" t="s">
        <v>292</v>
      </c>
      <c r="E821" s="113" t="s">
        <v>330</v>
      </c>
      <c r="F821" s="115">
        <f ca="1" t="shared" ref="F821:Q821" si="761">IFERROR(IF(F745=" "," ",F767/F745)," ")</f>
        <v>1</v>
      </c>
      <c r="G821" s="115">
        <f ca="1" t="shared" si="761"/>
        <v>0.857142857142857</v>
      </c>
      <c r="H821" s="115">
        <f ca="1" t="shared" si="761"/>
        <v>0.538461538461538</v>
      </c>
      <c r="I821" s="115">
        <f ca="1" t="shared" si="761"/>
        <v>0.833333333333333</v>
      </c>
      <c r="J821" s="115">
        <f ca="1" t="shared" si="761"/>
        <v>0.947368421052632</v>
      </c>
      <c r="K821" s="115">
        <f ca="1" t="shared" si="761"/>
        <v>0.954545454545455</v>
      </c>
      <c r="L821" s="115">
        <f ca="1" t="shared" si="761"/>
        <v>0.892857142857143</v>
      </c>
      <c r="M821" s="115">
        <f ca="1" t="shared" si="761"/>
        <v>0.939393939393939</v>
      </c>
      <c r="N821" s="115">
        <f ca="1" t="shared" si="761"/>
        <v>0.945945945945946</v>
      </c>
      <c r="O821" s="115">
        <f ca="1" t="shared" si="761"/>
        <v>0.975</v>
      </c>
      <c r="P821" s="115">
        <f ca="1" t="shared" si="761"/>
        <v>0.891304347826087</v>
      </c>
      <c r="Q821" s="115">
        <f ca="1" t="shared" si="761"/>
        <v>0.884615384615385</v>
      </c>
    </row>
    <row r="822" ht="24" customHeight="1" spans="1:17">
      <c r="A822" s="99" t="s">
        <v>346</v>
      </c>
      <c r="B822" s="99" t="s">
        <v>299</v>
      </c>
      <c r="C822" s="99" t="s">
        <v>329</v>
      </c>
      <c r="D822" s="48" t="s">
        <v>296</v>
      </c>
      <c r="E822" s="116" t="s">
        <v>90</v>
      </c>
      <c r="F822" s="117">
        <f ca="1" t="shared" ref="F822:Q822" si="762">IF(F746=" "," ",F768/F746)</f>
        <v>1</v>
      </c>
      <c r="G822" s="117">
        <f ca="1" t="shared" si="762"/>
        <v>1</v>
      </c>
      <c r="H822" s="117">
        <f ca="1" t="shared" si="762"/>
        <v>0.25</v>
      </c>
      <c r="I822" s="117">
        <f ca="1" t="shared" si="762"/>
        <v>1</v>
      </c>
      <c r="J822" s="117">
        <f ca="1" t="shared" si="762"/>
        <v>1</v>
      </c>
      <c r="K822" s="117">
        <f ca="1" t="shared" si="762"/>
        <v>1</v>
      </c>
      <c r="L822" s="117">
        <f ca="1" t="shared" si="762"/>
        <v>0.857142857142857</v>
      </c>
      <c r="M822" s="117">
        <f ca="1" t="shared" si="762"/>
        <v>1</v>
      </c>
      <c r="N822" s="117">
        <f ca="1" t="shared" si="762"/>
        <v>0.909090909090909</v>
      </c>
      <c r="O822" s="117">
        <f ca="1" t="shared" si="762"/>
        <v>0.916666666666667</v>
      </c>
      <c r="P822" s="117">
        <f ca="1" t="shared" si="762"/>
        <v>1</v>
      </c>
      <c r="Q822" s="117">
        <f ca="1" t="shared" si="762"/>
        <v>0.823529411764706</v>
      </c>
    </row>
    <row r="823" ht="24" customHeight="1" spans="1:17">
      <c r="A823" s="99" t="s">
        <v>346</v>
      </c>
      <c r="B823" s="99" t="s">
        <v>299</v>
      </c>
      <c r="C823" s="99" t="s">
        <v>329</v>
      </c>
      <c r="D823" s="48" t="s">
        <v>296</v>
      </c>
      <c r="E823" s="116" t="s">
        <v>82</v>
      </c>
      <c r="F823" s="117">
        <f ca="1" t="shared" ref="F823:Q823" si="763">IF(F747=" "," ",F769/F747)</f>
        <v>1</v>
      </c>
      <c r="G823" s="117">
        <f ca="1" t="shared" si="763"/>
        <v>1</v>
      </c>
      <c r="H823" s="117">
        <f ca="1" t="shared" si="763"/>
        <v>1</v>
      </c>
      <c r="I823" s="117">
        <f ca="1" t="shared" si="763"/>
        <v>0.6</v>
      </c>
      <c r="J823" s="117">
        <f ca="1" t="shared" si="763"/>
        <v>0.833333333333333</v>
      </c>
      <c r="K823" s="117">
        <f ca="1" t="shared" si="763"/>
        <v>0.857142857142857</v>
      </c>
      <c r="L823" s="117">
        <f ca="1" t="shared" si="763"/>
        <v>0.8</v>
      </c>
      <c r="M823" s="117">
        <f ca="1" t="shared" si="763"/>
        <v>1</v>
      </c>
      <c r="N823" s="117">
        <f ca="1" t="shared" si="763"/>
        <v>0.909090909090909</v>
      </c>
      <c r="O823" s="117">
        <f ca="1" t="shared" si="763"/>
        <v>1</v>
      </c>
      <c r="P823" s="117">
        <f ca="1" t="shared" si="763"/>
        <v>0.846153846153846</v>
      </c>
      <c r="Q823" s="117">
        <f ca="1" t="shared" si="763"/>
        <v>0.785714285714286</v>
      </c>
    </row>
    <row r="824" ht="24" customHeight="1" spans="1:17">
      <c r="A824" s="99" t="s">
        <v>346</v>
      </c>
      <c r="B824" s="99" t="s">
        <v>299</v>
      </c>
      <c r="C824" s="99" t="s">
        <v>329</v>
      </c>
      <c r="D824" s="48" t="s">
        <v>296</v>
      </c>
      <c r="E824" s="116" t="s">
        <v>86</v>
      </c>
      <c r="F824" s="117">
        <f ca="1" t="shared" ref="F824:Q824" si="764">IF(F748=" "," ",F770/F748)</f>
        <v>1</v>
      </c>
      <c r="G824" s="117">
        <f ca="1" t="shared" si="764"/>
        <v>0.5</v>
      </c>
      <c r="H824" s="117">
        <f ca="1" t="shared" si="764"/>
        <v>1</v>
      </c>
      <c r="I824" s="117">
        <f ca="1" t="shared" si="764"/>
        <v>1</v>
      </c>
      <c r="J824" s="117">
        <f ca="1" t="shared" si="764"/>
        <v>1</v>
      </c>
      <c r="K824" s="117">
        <f ca="1" t="shared" si="764"/>
        <v>1</v>
      </c>
      <c r="L824" s="117">
        <f ca="1" t="shared" si="764"/>
        <v>1</v>
      </c>
      <c r="M824" s="117">
        <f ca="1" t="shared" si="764"/>
        <v>0.75</v>
      </c>
      <c r="N824" s="117">
        <f ca="1" t="shared" si="764"/>
        <v>1</v>
      </c>
      <c r="O824" s="117">
        <f ca="1" t="shared" si="764"/>
        <v>1</v>
      </c>
      <c r="P824" s="117">
        <f ca="1" t="shared" si="764"/>
        <v>0.777777777777778</v>
      </c>
      <c r="Q824" s="117">
        <f ca="1" t="shared" si="764"/>
        <v>1</v>
      </c>
    </row>
    <row r="825" ht="24" customHeight="1" spans="1:17">
      <c r="A825" s="99" t="s">
        <v>346</v>
      </c>
      <c r="B825" s="99" t="s">
        <v>299</v>
      </c>
      <c r="C825" s="99" t="s">
        <v>329</v>
      </c>
      <c r="D825" s="48" t="s">
        <v>298</v>
      </c>
      <c r="E825" s="116" t="s">
        <v>97</v>
      </c>
      <c r="F825" s="117" t="str">
        <f ca="1" t="shared" ref="F825:I825" si="765">IFERROR(IF(F749=" "," ",F771/F749)," ")</f>
        <v> </v>
      </c>
      <c r="G825" s="117" t="str">
        <f ca="1" t="shared" si="765"/>
        <v> </v>
      </c>
      <c r="H825" s="117">
        <f ca="1" t="shared" si="765"/>
        <v>0</v>
      </c>
      <c r="I825" s="117">
        <f ca="1" t="shared" si="765"/>
        <v>1</v>
      </c>
      <c r="J825" s="117">
        <f ca="1" t="shared" ref="J825:Q825" si="766">IF(J749=" "," ",J771/J749)</f>
        <v>1</v>
      </c>
      <c r="K825" s="117">
        <f ca="1" t="shared" si="766"/>
        <v>1</v>
      </c>
      <c r="L825" s="117">
        <f ca="1" t="shared" si="766"/>
        <v>1</v>
      </c>
      <c r="M825" s="117">
        <f ca="1" t="shared" si="766"/>
        <v>1</v>
      </c>
      <c r="N825" s="117">
        <f ca="1" t="shared" si="766"/>
        <v>1</v>
      </c>
      <c r="O825" s="117">
        <f ca="1" t="shared" si="766"/>
        <v>1</v>
      </c>
      <c r="P825" s="117">
        <f ca="1" t="shared" si="766"/>
        <v>0.833333333333333</v>
      </c>
      <c r="Q825" s="117">
        <f ca="1" t="shared" si="766"/>
        <v>1</v>
      </c>
    </row>
    <row r="826" ht="24" customHeight="1" spans="1:17">
      <c r="A826" s="99" t="s">
        <v>346</v>
      </c>
      <c r="B826" s="99" t="s">
        <v>299</v>
      </c>
      <c r="C826" s="99" t="s">
        <v>329</v>
      </c>
      <c r="D826" s="48" t="s">
        <v>298</v>
      </c>
      <c r="E826" s="116" t="s">
        <v>87</v>
      </c>
      <c r="F826" s="117">
        <f ca="1" t="shared" ref="F826:Q826" si="767">IF(F750=" "," ",F772/F750)</f>
        <v>1</v>
      </c>
      <c r="G826" s="117">
        <f ca="1" t="shared" si="767"/>
        <v>1</v>
      </c>
      <c r="H826" s="117">
        <f ca="1" t="shared" si="767"/>
        <v>1</v>
      </c>
      <c r="I826" s="117">
        <f ca="1" t="shared" si="767"/>
        <v>1</v>
      </c>
      <c r="J826" s="117">
        <f ca="1" t="shared" si="767"/>
        <v>1</v>
      </c>
      <c r="K826" s="117">
        <f ca="1" t="shared" si="767"/>
        <v>1</v>
      </c>
      <c r="L826" s="117">
        <f ca="1" t="shared" si="767"/>
        <v>1</v>
      </c>
      <c r="M826" s="117">
        <f ca="1" t="shared" si="767"/>
        <v>0.666666666666667</v>
      </c>
      <c r="N826" s="117">
        <f ca="1" t="shared" si="767"/>
        <v>1</v>
      </c>
      <c r="O826" s="117">
        <f ca="1" t="shared" si="767"/>
        <v>1</v>
      </c>
      <c r="P826" s="117">
        <f ca="1" t="shared" si="767"/>
        <v>1</v>
      </c>
      <c r="Q826" s="117">
        <f ca="1" t="shared" si="767"/>
        <v>1</v>
      </c>
    </row>
    <row r="827" ht="24" customHeight="1" spans="1:17">
      <c r="A827" s="99" t="s">
        <v>346</v>
      </c>
      <c r="B827" s="99" t="s">
        <v>299</v>
      </c>
      <c r="C827" s="99" t="s">
        <v>329</v>
      </c>
      <c r="D827" s="48" t="s">
        <v>298</v>
      </c>
      <c r="E827" s="116" t="s">
        <v>149</v>
      </c>
      <c r="F827" s="117" t="str">
        <f ca="1" t="shared" ref="F827:Q827" si="768">IFERROR(IF(F751=" "," ",F773/F751)," ")</f>
        <v> </v>
      </c>
      <c r="G827" s="117" t="str">
        <f ca="1" t="shared" si="768"/>
        <v> </v>
      </c>
      <c r="H827" s="117" t="str">
        <f ca="1" t="shared" si="768"/>
        <v> </v>
      </c>
      <c r="I827" s="117" t="str">
        <f ca="1" t="shared" si="768"/>
        <v> </v>
      </c>
      <c r="J827" s="117" t="str">
        <f ca="1" t="shared" si="768"/>
        <v> </v>
      </c>
      <c r="K827" s="117" t="str">
        <f ca="1" t="shared" si="768"/>
        <v> </v>
      </c>
      <c r="L827" s="117" t="str">
        <f ca="1" t="shared" si="768"/>
        <v> </v>
      </c>
      <c r="M827" s="117" t="str">
        <f ca="1" t="shared" si="768"/>
        <v> </v>
      </c>
      <c r="N827" s="117" t="str">
        <f ca="1" t="shared" si="768"/>
        <v> </v>
      </c>
      <c r="O827" s="117" t="str">
        <f ca="1" t="shared" si="768"/>
        <v> </v>
      </c>
      <c r="P827" s="117" t="str">
        <f ca="1" t="shared" si="768"/>
        <v> </v>
      </c>
      <c r="Q827" s="117" t="str">
        <f ca="1" t="shared" si="768"/>
        <v> </v>
      </c>
    </row>
    <row r="828" ht="24" customHeight="1" spans="1:17">
      <c r="A828" s="99" t="s">
        <v>346</v>
      </c>
      <c r="B828" s="99" t="s">
        <v>299</v>
      </c>
      <c r="C828" s="99" t="s">
        <v>329</v>
      </c>
      <c r="D828" s="48" t="s">
        <v>298</v>
      </c>
      <c r="E828" s="116" t="s">
        <v>83</v>
      </c>
      <c r="F828" s="117" t="str">
        <f ca="1" t="shared" ref="F828:I828" si="769">IFERROR(IF(F752=" "," ",F774/F752)," ")</f>
        <v> </v>
      </c>
      <c r="G828" s="117" t="str">
        <f ca="1" t="shared" si="769"/>
        <v> </v>
      </c>
      <c r="H828" s="117">
        <f ca="1" t="shared" si="769"/>
        <v>0</v>
      </c>
      <c r="I828" s="117">
        <f ca="1" t="shared" si="769"/>
        <v>0.5</v>
      </c>
      <c r="J828" s="117">
        <f ca="1" t="shared" ref="J828:Q828" si="770">IF(J752=" "," ",J774/J752)</f>
        <v>1</v>
      </c>
      <c r="K828" s="117">
        <f ca="1" t="shared" si="770"/>
        <v>1</v>
      </c>
      <c r="L828" s="117">
        <f ca="1" t="shared" si="770"/>
        <v>1</v>
      </c>
      <c r="M828" s="117">
        <f ca="1" t="shared" si="770"/>
        <v>1</v>
      </c>
      <c r="N828" s="117">
        <f ca="1" t="shared" si="770"/>
        <v>1</v>
      </c>
      <c r="O828" s="117">
        <f ca="1" t="shared" si="770"/>
        <v>1</v>
      </c>
      <c r="P828" s="117">
        <f ca="1" t="shared" si="770"/>
        <v>1</v>
      </c>
      <c r="Q828" s="117">
        <f ca="1" t="shared" si="770"/>
        <v>1</v>
      </c>
    </row>
    <row r="829" ht="24" customHeight="1" spans="1:17">
      <c r="A829" s="99" t="s">
        <v>346</v>
      </c>
      <c r="B829" s="99" t="s">
        <v>299</v>
      </c>
      <c r="C829" s="99" t="s">
        <v>329</v>
      </c>
      <c r="D829" s="47" t="s">
        <v>294</v>
      </c>
      <c r="E829" s="118" t="s">
        <v>93</v>
      </c>
      <c r="F829" s="119">
        <f ca="1" t="shared" ref="F829:Q829" si="771">IF(F753=" "," ",F782/F753)</f>
        <v>0.666666666666667</v>
      </c>
      <c r="G829" s="119">
        <f ca="1" t="shared" si="771"/>
        <v>0</v>
      </c>
      <c r="H829" s="119">
        <f ca="1" t="shared" si="771"/>
        <v>0</v>
      </c>
      <c r="I829" s="119">
        <f ca="1" t="shared" si="771"/>
        <v>0.125</v>
      </c>
      <c r="J829" s="119">
        <f ca="1" t="shared" si="771"/>
        <v>0.125</v>
      </c>
      <c r="K829" s="119">
        <f ca="1" t="shared" si="771"/>
        <v>0.111111111111111</v>
      </c>
      <c r="L829" s="119">
        <f ca="1" t="shared" si="771"/>
        <v>0.153846153846154</v>
      </c>
      <c r="M829" s="119">
        <f ca="1" t="shared" si="771"/>
        <v>0.0666666666666667</v>
      </c>
      <c r="N829" s="119">
        <f ca="1" t="shared" si="771"/>
        <v>0.125</v>
      </c>
      <c r="O829" s="119">
        <f ca="1" t="shared" si="771"/>
        <v>0.0588235294117647</v>
      </c>
      <c r="P829" s="119">
        <f ca="1" t="shared" si="771"/>
        <v>0.0526315789473684</v>
      </c>
      <c r="Q829" s="119">
        <f ca="1" t="shared" si="771"/>
        <v>0.0454545454545455</v>
      </c>
    </row>
    <row r="830" ht="24" customHeight="1" spans="1:17">
      <c r="A830" s="99" t="s">
        <v>346</v>
      </c>
      <c r="B830" s="99" t="s">
        <v>299</v>
      </c>
      <c r="C830" s="99" t="s">
        <v>329</v>
      </c>
      <c r="D830" s="47" t="s">
        <v>294</v>
      </c>
      <c r="E830" s="118" t="s">
        <v>85</v>
      </c>
      <c r="F830" s="119">
        <f ca="1">IFERROR(IF(F754=" "," ",F783/F754)," ")</f>
        <v>0.666666666666667</v>
      </c>
      <c r="G830" s="119">
        <f ca="1" t="shared" ref="G830:Q830" si="772">IF(G754=" "," ",G783/G754)</f>
        <v>0</v>
      </c>
      <c r="H830" s="119">
        <f ca="1" t="shared" si="772"/>
        <v>0</v>
      </c>
      <c r="I830" s="119">
        <f ca="1" t="shared" si="772"/>
        <v>0.285714285714286</v>
      </c>
      <c r="J830" s="119">
        <f ca="1" t="shared" si="772"/>
        <v>0.142857142857143</v>
      </c>
      <c r="K830" s="119">
        <f ca="1" t="shared" si="772"/>
        <v>0</v>
      </c>
      <c r="L830" s="119">
        <f ca="1" t="shared" si="772"/>
        <v>0</v>
      </c>
      <c r="M830" s="119">
        <f ca="1" t="shared" si="772"/>
        <v>0.272727272727273</v>
      </c>
      <c r="N830" s="119">
        <f ca="1" t="shared" si="772"/>
        <v>0.0833333333333333</v>
      </c>
      <c r="O830" s="119">
        <f ca="1" t="shared" si="772"/>
        <v>0.0769230769230769</v>
      </c>
      <c r="P830" s="119">
        <f ca="1" t="shared" si="772"/>
        <v>0</v>
      </c>
      <c r="Q830" s="119">
        <f ca="1" t="shared" si="772"/>
        <v>0.111111111111111</v>
      </c>
    </row>
    <row r="831" ht="24" customHeight="1" spans="1:17">
      <c r="A831" s="99" t="s">
        <v>346</v>
      </c>
      <c r="B831" s="99" t="s">
        <v>299</v>
      </c>
      <c r="C831" s="99" t="s">
        <v>329</v>
      </c>
      <c r="D831" s="47" t="s">
        <v>294</v>
      </c>
      <c r="E831" s="118" t="s">
        <v>81</v>
      </c>
      <c r="F831" s="119" t="str">
        <f ca="1">IFERROR(IF(F755=" "," ",F784/F755),"")</f>
        <v/>
      </c>
      <c r="G831" s="119">
        <f ca="1" t="shared" ref="G831:Q831" si="773">IF(G755=" "," ",G784/G755)</f>
        <v>0</v>
      </c>
      <c r="H831" s="119">
        <f ca="1" t="shared" si="773"/>
        <v>0</v>
      </c>
      <c r="I831" s="119">
        <f ca="1" t="shared" si="773"/>
        <v>0</v>
      </c>
      <c r="J831" s="119">
        <f ca="1" t="shared" si="773"/>
        <v>0</v>
      </c>
      <c r="K831" s="119">
        <f ca="1" t="shared" si="773"/>
        <v>0.333333333333333</v>
      </c>
      <c r="L831" s="119">
        <f ca="1" t="shared" si="773"/>
        <v>0</v>
      </c>
      <c r="M831" s="119">
        <f ca="1" t="shared" si="773"/>
        <v>0.25</v>
      </c>
      <c r="N831" s="119">
        <f ca="1" t="shared" si="773"/>
        <v>0.166666666666667</v>
      </c>
      <c r="O831" s="119">
        <f ca="1" t="shared" si="773"/>
        <v>0.142857142857143</v>
      </c>
      <c r="P831" s="119">
        <f ca="1" t="shared" si="773"/>
        <v>0</v>
      </c>
      <c r="Q831" s="119">
        <f ca="1" t="shared" si="773"/>
        <v>0.111111111111111</v>
      </c>
    </row>
    <row r="832" ht="24" customHeight="1" spans="1:17">
      <c r="A832" s="99" t="s">
        <v>346</v>
      </c>
      <c r="B832" s="99" t="s">
        <v>299</v>
      </c>
      <c r="C832" s="99" t="s">
        <v>329</v>
      </c>
      <c r="D832" s="47" t="s">
        <v>294</v>
      </c>
      <c r="E832" s="118" t="s">
        <v>96</v>
      </c>
      <c r="F832" s="119" t="str">
        <f ca="1" t="shared" ref="F832:I832" si="774">IFERROR(IF(F756=" "," ",F785/F756)," ")</f>
        <v> </v>
      </c>
      <c r="G832" s="119" t="str">
        <f ca="1" t="shared" si="774"/>
        <v> </v>
      </c>
      <c r="H832" s="119">
        <f ca="1" t="shared" si="774"/>
        <v>0</v>
      </c>
      <c r="I832" s="119">
        <f ca="1" t="shared" si="774"/>
        <v>0</v>
      </c>
      <c r="J832" s="119">
        <f ca="1" t="shared" ref="J832:Q832" si="775">IF(J756=" "," ",J785/J756)</f>
        <v>0</v>
      </c>
      <c r="K832" s="119">
        <f ca="1" t="shared" si="775"/>
        <v>0.5</v>
      </c>
      <c r="L832" s="119">
        <f ca="1" t="shared" si="775"/>
        <v>0</v>
      </c>
      <c r="M832" s="119">
        <f ca="1" t="shared" si="775"/>
        <v>0</v>
      </c>
      <c r="N832" s="119">
        <f ca="1" t="shared" si="775"/>
        <v>0</v>
      </c>
      <c r="O832" s="119">
        <f ca="1" t="shared" si="775"/>
        <v>0</v>
      </c>
      <c r="P832" s="119">
        <f ca="1" t="shared" si="775"/>
        <v>0</v>
      </c>
      <c r="Q832" s="119">
        <f ca="1" t="shared" si="775"/>
        <v>0</v>
      </c>
    </row>
    <row r="833" ht="24" customHeight="1" spans="1:17">
      <c r="A833" s="99" t="s">
        <v>346</v>
      </c>
      <c r="B833" s="99" t="s">
        <v>299</v>
      </c>
      <c r="C833" s="99" t="s">
        <v>329</v>
      </c>
      <c r="D833" s="47" t="s">
        <v>294</v>
      </c>
      <c r="E833" s="118" t="s">
        <v>160</v>
      </c>
      <c r="F833" s="119" t="str">
        <f ca="1" t="shared" ref="F833:Q833" si="776">IFERROR(IF(F757=" "," ",F786/F757)," ")</f>
        <v> </v>
      </c>
      <c r="G833" s="119" t="str">
        <f ca="1" t="shared" si="776"/>
        <v> </v>
      </c>
      <c r="H833" s="119">
        <f ca="1" t="shared" si="776"/>
        <v>0</v>
      </c>
      <c r="I833" s="119">
        <f ca="1" t="shared" si="776"/>
        <v>0</v>
      </c>
      <c r="J833" s="119">
        <f ca="1" t="shared" si="776"/>
        <v>1</v>
      </c>
      <c r="K833" s="119">
        <f ca="1" t="shared" si="776"/>
        <v>0</v>
      </c>
      <c r="L833" s="119">
        <f ca="1" t="shared" si="776"/>
        <v>0</v>
      </c>
      <c r="M833" s="119">
        <f ca="1" t="shared" si="776"/>
        <v>0</v>
      </c>
      <c r="N833" s="119">
        <f ca="1" t="shared" si="776"/>
        <v>0</v>
      </c>
      <c r="O833" s="119">
        <f ca="1" t="shared" si="776"/>
        <v>0</v>
      </c>
      <c r="P833" s="119">
        <f ca="1" t="shared" si="776"/>
        <v>0</v>
      </c>
      <c r="Q833" s="119">
        <f ca="1" t="shared" si="776"/>
        <v>0</v>
      </c>
    </row>
    <row r="834" ht="24" customHeight="1" spans="1:17">
      <c r="A834" s="99" t="s">
        <v>346</v>
      </c>
      <c r="B834" s="99" t="s">
        <v>299</v>
      </c>
      <c r="C834" s="99" t="s">
        <v>329</v>
      </c>
      <c r="D834" s="113" t="s">
        <v>292</v>
      </c>
      <c r="E834" s="113" t="s">
        <v>331</v>
      </c>
      <c r="F834" s="115">
        <f ca="1" t="shared" ref="F834:Q834" si="777">IFERROR(IF(F758=" "," ",F787/F758)," ")</f>
        <v>1</v>
      </c>
      <c r="G834" s="115">
        <f ca="1" t="shared" si="777"/>
        <v>0.833333333333333</v>
      </c>
      <c r="H834" s="115">
        <f ca="1" t="shared" si="777"/>
        <v>0.6</v>
      </c>
      <c r="I834" s="115">
        <f ca="1" t="shared" si="777"/>
        <v>0.866666666666667</v>
      </c>
      <c r="J834" s="115">
        <f ca="1" t="shared" si="777"/>
        <v>0.9375</v>
      </c>
      <c r="K834" s="115">
        <f ca="1" t="shared" si="777"/>
        <v>0.947368421052632</v>
      </c>
      <c r="L834" s="115">
        <f ca="1" t="shared" si="777"/>
        <v>0.88</v>
      </c>
      <c r="M834" s="115">
        <f ca="1" t="shared" si="777"/>
        <v>0.933333333333333</v>
      </c>
      <c r="N834" s="115">
        <f ca="1" t="shared" si="777"/>
        <v>0.941176470588235</v>
      </c>
      <c r="O834" s="115">
        <f ca="1" t="shared" si="777"/>
        <v>0.972972972972973</v>
      </c>
      <c r="P834" s="115">
        <f ca="1" t="shared" si="777"/>
        <v>0.883720930232558</v>
      </c>
      <c r="Q834" s="115">
        <f ca="1" t="shared" si="777"/>
        <v>0.875</v>
      </c>
    </row>
    <row r="835" ht="24" customHeight="1" spans="1:17">
      <c r="A835" s="99" t="s">
        <v>346</v>
      </c>
      <c r="B835" s="99" t="s">
        <v>299</v>
      </c>
      <c r="C835" s="99" t="s">
        <v>329</v>
      </c>
      <c r="D835" s="48" t="s">
        <v>296</v>
      </c>
      <c r="E835" s="116" t="s">
        <v>90</v>
      </c>
      <c r="F835" s="117">
        <f ca="1" t="shared" ref="F835:Q835" si="778">IF(F759=" "," ",F788/F759)</f>
        <v>1</v>
      </c>
      <c r="G835" s="117">
        <f ca="1" t="shared" si="778"/>
        <v>1</v>
      </c>
      <c r="H835" s="117">
        <f ca="1" t="shared" si="778"/>
        <v>0.25</v>
      </c>
      <c r="I835" s="117">
        <f ca="1" t="shared" si="778"/>
        <v>1</v>
      </c>
      <c r="J835" s="117">
        <f ca="1" t="shared" si="778"/>
        <v>1</v>
      </c>
      <c r="K835" s="117">
        <f ca="1" t="shared" si="778"/>
        <v>1</v>
      </c>
      <c r="L835" s="117">
        <f ca="1" t="shared" si="778"/>
        <v>0.888888888888889</v>
      </c>
      <c r="M835" s="117">
        <f ca="1" t="shared" si="778"/>
        <v>1</v>
      </c>
      <c r="N835" s="117">
        <f ca="1" t="shared" si="778"/>
        <v>0.923076923076923</v>
      </c>
      <c r="O835" s="117">
        <f ca="1" t="shared" si="778"/>
        <v>0.928571428571429</v>
      </c>
      <c r="P835" s="117">
        <f ca="1" t="shared" si="778"/>
        <v>0.9375</v>
      </c>
      <c r="Q835" s="117">
        <f ca="1" t="shared" si="778"/>
        <v>0.85</v>
      </c>
    </row>
    <row r="836" ht="24" customHeight="1" spans="1:17">
      <c r="A836" s="99" t="s">
        <v>346</v>
      </c>
      <c r="B836" s="99" t="s">
        <v>299</v>
      </c>
      <c r="C836" s="99" t="s">
        <v>329</v>
      </c>
      <c r="D836" s="48" t="s">
        <v>296</v>
      </c>
      <c r="E836" s="116" t="s">
        <v>82</v>
      </c>
      <c r="F836" s="117">
        <f ca="1" t="shared" ref="F836:Q836" si="779">IF(F760=" "," ",F789/F760)</f>
        <v>1</v>
      </c>
      <c r="G836" s="117">
        <f ca="1" t="shared" si="779"/>
        <v>1</v>
      </c>
      <c r="H836" s="117">
        <f ca="1" t="shared" si="779"/>
        <v>1</v>
      </c>
      <c r="I836" s="117">
        <f ca="1" t="shared" si="779"/>
        <v>0.6</v>
      </c>
      <c r="J836" s="117">
        <f ca="1" t="shared" si="779"/>
        <v>0.833333333333333</v>
      </c>
      <c r="K836" s="117">
        <f ca="1" t="shared" si="779"/>
        <v>0.857142857142857</v>
      </c>
      <c r="L836" s="117">
        <f ca="1" t="shared" si="779"/>
        <v>0.818181818181818</v>
      </c>
      <c r="M836" s="117">
        <f ca="1" t="shared" si="779"/>
        <v>0.916666666666667</v>
      </c>
      <c r="N836" s="117">
        <f ca="1" t="shared" si="779"/>
        <v>0.923076923076923</v>
      </c>
      <c r="O836" s="117">
        <f ca="1" t="shared" si="779"/>
        <v>1</v>
      </c>
      <c r="P836" s="117">
        <f ca="1" t="shared" si="779"/>
        <v>0.866666666666667</v>
      </c>
      <c r="Q836" s="117">
        <f ca="1" t="shared" si="779"/>
        <v>0.8125</v>
      </c>
    </row>
    <row r="837" ht="24" customHeight="1" spans="1:17">
      <c r="A837" s="99" t="s">
        <v>346</v>
      </c>
      <c r="B837" s="99" t="s">
        <v>299</v>
      </c>
      <c r="C837" s="99" t="s">
        <v>329</v>
      </c>
      <c r="D837" s="48" t="s">
        <v>296</v>
      </c>
      <c r="E837" s="116" t="s">
        <v>86</v>
      </c>
      <c r="F837" s="117">
        <f ca="1" t="shared" ref="F837:Q837" si="780">IF(F761=" "," ",F790/F761)</f>
        <v>1</v>
      </c>
      <c r="G837" s="117">
        <f ca="1" t="shared" si="780"/>
        <v>0.5</v>
      </c>
      <c r="H837" s="117">
        <f ca="1" t="shared" si="780"/>
        <v>0.666666666666667</v>
      </c>
      <c r="I837" s="117">
        <f ca="1" t="shared" si="780"/>
        <v>1</v>
      </c>
      <c r="J837" s="117">
        <f ca="1" t="shared" si="780"/>
        <v>1</v>
      </c>
      <c r="K837" s="117">
        <f ca="1" t="shared" si="780"/>
        <v>1</v>
      </c>
      <c r="L837" s="117">
        <f ca="1" t="shared" si="780"/>
        <v>1</v>
      </c>
      <c r="M837" s="117">
        <f ca="1" t="shared" si="780"/>
        <v>0.857142857142857</v>
      </c>
      <c r="N837" s="117">
        <f ca="1" t="shared" si="780"/>
        <v>1</v>
      </c>
      <c r="O837" s="117">
        <f ca="1" t="shared" si="780"/>
        <v>1</v>
      </c>
      <c r="P837" s="117">
        <f ca="1" t="shared" si="780"/>
        <v>0.833333333333333</v>
      </c>
      <c r="Q837" s="117">
        <f ca="1" t="shared" si="780"/>
        <v>1</v>
      </c>
    </row>
    <row r="838" ht="24" customHeight="1" spans="1:17">
      <c r="A838" s="99" t="s">
        <v>346</v>
      </c>
      <c r="B838" s="99" t="s">
        <v>299</v>
      </c>
      <c r="C838" s="99" t="s">
        <v>329</v>
      </c>
      <c r="D838" s="113" t="s">
        <v>292</v>
      </c>
      <c r="E838" s="113" t="s">
        <v>332</v>
      </c>
      <c r="F838" s="115">
        <f ca="1" t="shared" ref="F838:Q838" si="781">IFERROR(IF(F762=" "," ",F794/F762)," ")</f>
        <v>1</v>
      </c>
      <c r="G838" s="115">
        <f ca="1" t="shared" si="781"/>
        <v>0.75</v>
      </c>
      <c r="H838" s="115">
        <f ca="1" t="shared" si="781"/>
        <v>0.4</v>
      </c>
      <c r="I838" s="115">
        <f ca="1" t="shared" si="781"/>
        <v>0.857142857142857</v>
      </c>
      <c r="J838" s="115">
        <f ca="1" t="shared" si="781"/>
        <v>1</v>
      </c>
      <c r="K838" s="115">
        <f ca="1" t="shared" si="781"/>
        <v>0.941176470588235</v>
      </c>
      <c r="L838" s="115">
        <f ca="1" t="shared" si="781"/>
        <v>0.857142857142857</v>
      </c>
      <c r="M838" s="115">
        <f ca="1" t="shared" si="781"/>
        <v>0.958333333333333</v>
      </c>
      <c r="N838" s="115">
        <f ca="1" t="shared" si="781"/>
        <v>0.928571428571429</v>
      </c>
      <c r="O838" s="115">
        <f ca="1" t="shared" si="781"/>
        <v>1</v>
      </c>
      <c r="P838" s="115">
        <f ca="1" t="shared" si="781"/>
        <v>0.885714285714286</v>
      </c>
      <c r="Q838" s="115">
        <f ca="1" t="shared" si="781"/>
        <v>0.878048780487805</v>
      </c>
    </row>
    <row r="839" ht="24" customHeight="1" spans="1:17">
      <c r="A839" s="99" t="s">
        <v>346</v>
      </c>
      <c r="B839" s="99" t="s">
        <v>299</v>
      </c>
      <c r="C839" s="99" t="s">
        <v>329</v>
      </c>
      <c r="D839" s="48" t="s">
        <v>298</v>
      </c>
      <c r="E839" s="116" t="s">
        <v>97</v>
      </c>
      <c r="F839" s="117">
        <f ca="1" t="shared" ref="F839:F842" si="782">IFERROR(IF(F763=" "," ",F795/F763)," ")</f>
        <v>1</v>
      </c>
      <c r="G839" s="117">
        <f ca="1" t="shared" ref="G839:Q839" si="783">IF(G763=" "," ",G795/G763)</f>
        <v>0.666666666666667</v>
      </c>
      <c r="H839" s="117">
        <f ca="1" t="shared" si="783"/>
        <v>0.5</v>
      </c>
      <c r="I839" s="117">
        <f ca="1" t="shared" si="783"/>
        <v>0.857142857142857</v>
      </c>
      <c r="J839" s="117">
        <f ca="1" t="shared" si="783"/>
        <v>1</v>
      </c>
      <c r="K839" s="117">
        <f ca="1" t="shared" si="783"/>
        <v>1</v>
      </c>
      <c r="L839" s="117">
        <f ca="1" t="shared" si="783"/>
        <v>1</v>
      </c>
      <c r="M839" s="117">
        <f ca="1" t="shared" si="783"/>
        <v>1</v>
      </c>
      <c r="N839" s="117">
        <f ca="1" t="shared" si="783"/>
        <v>0.916666666666667</v>
      </c>
      <c r="O839" s="117">
        <f ca="1" t="shared" si="783"/>
        <v>1</v>
      </c>
      <c r="P839" s="117">
        <f ca="1" t="shared" si="783"/>
        <v>0.923076923076923</v>
      </c>
      <c r="Q839" s="117">
        <f ca="1" t="shared" si="783"/>
        <v>1</v>
      </c>
    </row>
    <row r="840" ht="24" customHeight="1" spans="1:17">
      <c r="A840" s="99" t="s">
        <v>346</v>
      </c>
      <c r="B840" s="99" t="s">
        <v>299</v>
      </c>
      <c r="C840" s="99" t="s">
        <v>329</v>
      </c>
      <c r="D840" s="48" t="s">
        <v>298</v>
      </c>
      <c r="E840" s="116" t="s">
        <v>87</v>
      </c>
      <c r="F840" s="117">
        <f ca="1" t="shared" si="782"/>
        <v>1</v>
      </c>
      <c r="G840" s="117">
        <f ca="1" t="shared" ref="G840:Q840" si="784">IF(G764=" "," ",G796/G764)</f>
        <v>1</v>
      </c>
      <c r="H840" s="117">
        <f ca="1" t="shared" si="784"/>
        <v>0.5</v>
      </c>
      <c r="I840" s="117">
        <f ca="1" t="shared" si="784"/>
        <v>1</v>
      </c>
      <c r="J840" s="117">
        <f ca="1" t="shared" si="784"/>
        <v>1</v>
      </c>
      <c r="K840" s="117">
        <f ca="1" t="shared" si="784"/>
        <v>1</v>
      </c>
      <c r="L840" s="117">
        <f ca="1" t="shared" si="784"/>
        <v>0.571428571428571</v>
      </c>
      <c r="M840" s="117">
        <f ca="1" t="shared" si="784"/>
        <v>0.888888888888889</v>
      </c>
      <c r="N840" s="117">
        <f ca="1" t="shared" si="784"/>
        <v>0.916666666666667</v>
      </c>
      <c r="O840" s="117">
        <f ca="1" t="shared" si="784"/>
        <v>1</v>
      </c>
      <c r="P840" s="117">
        <f ca="1" t="shared" si="784"/>
        <v>0.8</v>
      </c>
      <c r="Q840" s="117">
        <f ca="1" t="shared" si="784"/>
        <v>0.761904761904762</v>
      </c>
    </row>
    <row r="841" ht="24" customHeight="1" spans="1:17">
      <c r="A841" s="99" t="s">
        <v>346</v>
      </c>
      <c r="B841" s="99" t="s">
        <v>299</v>
      </c>
      <c r="C841" s="99" t="s">
        <v>329</v>
      </c>
      <c r="D841" s="48" t="s">
        <v>298</v>
      </c>
      <c r="E841" s="116" t="s">
        <v>149</v>
      </c>
      <c r="F841" s="117" t="str">
        <f ca="1" t="shared" si="782"/>
        <v> </v>
      </c>
      <c r="G841" s="117" t="str">
        <f ca="1" t="shared" ref="G841:Q841" si="785">IFERROR(IF(G765=" "," ",G797/G765)," ")</f>
        <v> </v>
      </c>
      <c r="H841" s="117" t="str">
        <f ca="1" t="shared" si="785"/>
        <v> </v>
      </c>
      <c r="I841" s="117" t="str">
        <f ca="1" t="shared" si="785"/>
        <v> </v>
      </c>
      <c r="J841" s="117" t="str">
        <f ca="1" t="shared" si="785"/>
        <v> </v>
      </c>
      <c r="K841" s="117" t="str">
        <f ca="1" t="shared" si="785"/>
        <v> </v>
      </c>
      <c r="L841" s="117" t="str">
        <f ca="1" t="shared" si="785"/>
        <v> </v>
      </c>
      <c r="M841" s="117" t="str">
        <f ca="1" t="shared" si="785"/>
        <v> </v>
      </c>
      <c r="N841" s="117" t="str">
        <f ca="1" t="shared" si="785"/>
        <v> </v>
      </c>
      <c r="O841" s="117" t="str">
        <f ca="1" t="shared" si="785"/>
        <v> </v>
      </c>
      <c r="P841" s="117" t="str">
        <f ca="1" t="shared" si="785"/>
        <v> </v>
      </c>
      <c r="Q841" s="117" t="str">
        <f ca="1" t="shared" si="785"/>
        <v> </v>
      </c>
    </row>
    <row r="842" ht="24" customHeight="1" spans="1:17">
      <c r="A842" s="99" t="s">
        <v>346</v>
      </c>
      <c r="B842" s="99" t="s">
        <v>299</v>
      </c>
      <c r="C842" s="99" t="s">
        <v>329</v>
      </c>
      <c r="D842" s="48" t="s">
        <v>298</v>
      </c>
      <c r="E842" s="116" t="s">
        <v>83</v>
      </c>
      <c r="F842" s="117" t="str">
        <f ca="1" t="shared" si="782"/>
        <v> </v>
      </c>
      <c r="G842" s="117" t="str">
        <f ca="1" t="shared" ref="G842:I842" si="786">IFERROR(IF(G766=" "," ",G798/G766)," ")</f>
        <v> </v>
      </c>
      <c r="H842" s="117">
        <f ca="1" t="shared" si="786"/>
        <v>0</v>
      </c>
      <c r="I842" s="117">
        <f ca="1" t="shared" si="786"/>
        <v>0.666666666666667</v>
      </c>
      <c r="J842" s="117">
        <f ca="1" t="shared" ref="J842:Q842" si="787">IF(J766=" "," ",J798/J766)</f>
        <v>1</v>
      </c>
      <c r="K842" s="117">
        <f ca="1" t="shared" si="787"/>
        <v>0.75</v>
      </c>
      <c r="L842" s="117">
        <f ca="1" t="shared" si="787"/>
        <v>1</v>
      </c>
      <c r="M842" s="117">
        <f ca="1" t="shared" si="787"/>
        <v>1</v>
      </c>
      <c r="N842" s="117">
        <f ca="1" t="shared" si="787"/>
        <v>1</v>
      </c>
      <c r="O842" s="117">
        <f ca="1" t="shared" si="787"/>
        <v>1</v>
      </c>
      <c r="P842" s="117">
        <f ca="1" t="shared" si="787"/>
        <v>1</v>
      </c>
      <c r="Q842" s="117">
        <f ca="1" t="shared" si="787"/>
        <v>1</v>
      </c>
    </row>
    <row r="843" ht="24" customHeight="1" spans="1:17">
      <c r="A843" s="99" t="s">
        <v>346</v>
      </c>
      <c r="B843" s="99" t="s">
        <v>299</v>
      </c>
      <c r="C843" s="99" t="s">
        <v>333</v>
      </c>
      <c r="D843" s="114" t="s">
        <v>292</v>
      </c>
      <c r="E843" s="114" t="s">
        <v>300</v>
      </c>
      <c r="F843" s="215">
        <f ca="1">IF($S$1&lt;DATE(2025,1,1)," ",SUM(F844:F850))</f>
        <v>5.099529</v>
      </c>
      <c r="G843" s="215">
        <f ca="1">IF($S$1&lt;DATE(2025,2,1)," ",SUM(G844:G850))</f>
        <v>0</v>
      </c>
      <c r="H843" s="215">
        <f ca="1">IF($S$1&lt;DATE(2025,3,1)," ",SUM(H844:H850))</f>
        <v>0.892898</v>
      </c>
      <c r="I843" s="215">
        <f ca="1">IF($S$1&lt;DATE(2025,4,1)," ",SUM(I844:I850))</f>
        <v>19.532082</v>
      </c>
      <c r="J843" s="215">
        <f ca="1">IF($S$1&lt;DATE(2025,5,1)," ",SUM(J844:J850))</f>
        <v>1.40134</v>
      </c>
      <c r="K843" s="215">
        <f ca="1">IF($S$1&lt;DATE(2025,6,1)," ",SUM(K844:K850))</f>
        <v>13.22027</v>
      </c>
      <c r="L843" s="215">
        <f ca="1">IF($S$1&lt;DATE(2025,7,1)," ",SUM(L844:L850))</f>
        <v>2.259918</v>
      </c>
      <c r="M843" s="215">
        <f ca="1">IF($S$1&lt;DATE(2025,8,1)," ",SUM(M844:M850))</f>
        <v>4.075848</v>
      </c>
      <c r="N843" s="215">
        <f ca="1">IF($S$1&lt;DATE(2025,9,1)," ",SUM(N844:N850))</f>
        <v>3.550466</v>
      </c>
      <c r="O843" s="215">
        <f ca="1">IF($S$1&lt;DATE(2025,10,1)," ",SUM(O844:O850))</f>
        <v>2.406417</v>
      </c>
      <c r="P843" s="215">
        <f ca="1">IF($S$1&lt;DATE(2025,11,1)," ",SUM(P844:P850))</f>
        <v>0.458683</v>
      </c>
      <c r="Q843" s="215">
        <f ca="1">IF($S$1&lt;DATE(2025,12,1)," ",SUM(Q844:Q850))</f>
        <v>3.442302</v>
      </c>
    </row>
    <row r="844" ht="24" customHeight="1" spans="1:17">
      <c r="A844" s="99" t="s">
        <v>346</v>
      </c>
      <c r="B844" s="99" t="s">
        <v>299</v>
      </c>
      <c r="C844" s="99" t="s">
        <v>333</v>
      </c>
      <c r="D844" s="48" t="s">
        <v>31</v>
      </c>
      <c r="E844" s="48" t="s">
        <v>90</v>
      </c>
      <c r="F844" s="51">
        <f ca="1">IF($S$1&lt;DATE(2025,1,1)," ",SUMIFS('2025数据'!$AX$3:$AX$181,'2025数据'!$L$3:$L$181,"&gt;="&amp;DATE(2025,1,1),'2025数据'!$L$3:$L$181,"&lt;="&amp;DATE(2025,1,31),'2025数据'!$AE$3:$AE$181,$E844)/10000)</f>
        <v>1.036278</v>
      </c>
      <c r="G844" s="51">
        <f ca="1">IF($S$1&lt;DATE(2025,2,1)," ",SUMIFS('2025数据'!$AX$3:$AX$181,'2025数据'!$L$3:$L$181,"&gt;="&amp;DATE(2025,2,1),'2025数据'!$L$3:$L$181,"&lt;="&amp;DATE(2025,2,28),'2025数据'!$AE$3:$AE$181,$E844)/10000)</f>
        <v>0</v>
      </c>
      <c r="H844" s="51">
        <f ca="1">IF($S$1&lt;DATE(2025,3,1)," ",SUMIFS('2025数据'!$AX$3:$AX$181,'2025数据'!$L$3:$L$181,"&gt;="&amp;DATE(2025,3,1),'2025数据'!$L$3:$L$181,"&lt;="&amp;DATE(2025,3,31),'2025数据'!$AE$3:$AE$181,$E844)/10000)</f>
        <v>0</v>
      </c>
      <c r="I844" s="51">
        <f ca="1">IF($S$1&lt;DATE(2025,4,1)," ",SUMIFS('2025数据'!$AX$3:$AX$181,'2025数据'!$L$3:$L$181,"&gt;="&amp;DATE(2025,4,1),'2025数据'!$L$3:$L$181,"&lt;="&amp;DATE(2025,4,30),'2025数据'!$AE$3:$AE$181,$E844)/10000)</f>
        <v>4.619507</v>
      </c>
      <c r="J844" s="51">
        <f ca="1">IF($S$1&lt;DATE(2025,5,1)," ",SUMIFS('2025数据'!$AX$3:$AX$181,'2025数据'!$L$3:$L$181,"&gt;="&amp;DATE(2025,5,1),'2025数据'!$L$3:$L$181,"&lt;="&amp;DATE(2025,5,31),'2025数据'!$AE$3:$AE$181,$E844)/10000)</f>
        <v>0</v>
      </c>
      <c r="K844" s="51">
        <f ca="1">IF($S$1&lt;DATE(2025,6,1)," ",SUMIFS('2025数据'!$AX$3:$AX$181,'2025数据'!$L$3:$L$181,"&gt;="&amp;DATE(2025,6,1),'2025数据'!$L$3:$L$181,"&lt;="&amp;DATE(2025,6,30),'2025数据'!$AE$3:$AE$181,$E844)/10000)</f>
        <v>0</v>
      </c>
      <c r="L844" s="51">
        <f ca="1">IF($S$1&lt;DATE(2025,7,1)," ",SUMIFS('2025数据'!$AX$3:$AX$181,'2025数据'!$L$3:$L$181,"&gt;="&amp;DATE(2025,7,1),'2025数据'!$L$3:$L$181,"&lt;="&amp;DATE(2025,7,31),'2025数据'!$AE$3:$AE$181,$E844)/10000)</f>
        <v>0.887731</v>
      </c>
      <c r="M844" s="51">
        <f ca="1">IF($S$1&lt;DATE(2025,8,1)," ",SUMIFS('2025数据'!$AX$3:$AX$181,'2025数据'!$L$3:$L$181,"&gt;="&amp;DATE(2025,8,1),'2025数据'!$L$3:$L$181,"&lt;="&amp;DATE(2025,8,31),'2025数据'!$AE$3:$AE$181,$E844)/10000)</f>
        <v>1.601892</v>
      </c>
      <c r="N844" s="51">
        <f ca="1">IF($S$1&lt;DATE(2025,9,1)," ",SUMIFS('2025数据'!$AX$3:$AX$181,'2025数据'!$L$3:$L$181,"&gt;="&amp;DATE(2025,9,1),'2025数据'!$L$3:$L$181,"&lt;="&amp;DATE(2025,9,30),'2025数据'!$AE$3:$AE$181,$E844)/10000)</f>
        <v>1.699608</v>
      </c>
      <c r="O844" s="51">
        <f ca="1">IF($S$1&lt;DATE(2025,10,1)," ",SUMIFS('2025数据'!$AX$3:$AX$181,'2025数据'!$L$3:$L$181,"&gt;="&amp;DATE(2025,10,1),'2025数据'!$L$3:$L$181,"&lt;="&amp;DATE(2025,10,31),'2025数据'!$AE$3:$AE$181,$E844)/10000)</f>
        <v>0.3591</v>
      </c>
      <c r="P844" s="217">
        <f ca="1">IF($S$1&lt;DATE(2025,11,1)," ",SUMIFS('2025数据'!$AX$3:$AX$181,'2025数据'!$L$3:$L$181,"&gt;="&amp;DATE(2025,11,1),'2025数据'!$L$3:$L$181,"&lt;="&amp;DATE(2025,11,30),'2025数据'!$AE$3:$AE$181,$E844)/10000)</f>
        <v>0.458683</v>
      </c>
      <c r="Q844" s="217">
        <f ca="1">IF($S$1&lt;DATE(2025,12,1)," ",SUMIFS('2025数据'!$AX$3:$AX$181,'2025数据'!$L$3:$L$181,"&gt;="&amp;DATE(2025,12,1),'2025数据'!$L$3:$L$181,"&lt;="&amp;DATE(2025,12,31),'2025数据'!$AE$3:$AE$181,$E844)/10000)</f>
        <v>0.406273</v>
      </c>
    </row>
    <row r="845" ht="24" customHeight="1" spans="1:17">
      <c r="A845" s="99" t="s">
        <v>346</v>
      </c>
      <c r="B845" s="99" t="s">
        <v>299</v>
      </c>
      <c r="C845" s="99" t="s">
        <v>333</v>
      </c>
      <c r="D845" s="48" t="s">
        <v>31</v>
      </c>
      <c r="E845" s="48" t="s">
        <v>82</v>
      </c>
      <c r="F845" s="51">
        <f ca="1">IF($S$1&lt;DATE(2025,1,1)," ",SUMIFS('2025数据'!$AX$3:$AX$181,'2025数据'!$L$3:$L$181,"&gt;="&amp;DATE(2025,1,1),'2025数据'!$L$3:$L$181,"&lt;="&amp;DATE(2025,1,31),'2025数据'!$AE$3:$AE$181,$E845)/10000)</f>
        <v>3.209296</v>
      </c>
      <c r="G845" s="51">
        <f ca="1">IF($S$1&lt;DATE(2025,2,1)," ",SUMIFS('2025数据'!$AX$3:$AX$181,'2025数据'!$L$3:$L$181,"&gt;="&amp;DATE(2025,2,1),'2025数据'!$L$3:$L$181,"&lt;="&amp;DATE(2025,2,28),'2025数据'!$AE$3:$AE$181,$E845)/10000)</f>
        <v>0</v>
      </c>
      <c r="H845" s="51">
        <f ca="1">IF($S$1&lt;DATE(2025,3,1)," ",SUMIFS('2025数据'!$AX$3:$AX$181,'2025数据'!$L$3:$L$181,"&gt;="&amp;DATE(2025,3,1),'2025数据'!$L$3:$L$181,"&lt;="&amp;DATE(2025,3,31),'2025数据'!$AE$3:$AE$181,$E845)/10000)</f>
        <v>0</v>
      </c>
      <c r="I845" s="51">
        <f ca="1">IF($S$1&lt;DATE(2025,4,1)," ",SUMIFS('2025数据'!$AX$3:$AX$181,'2025数据'!$L$3:$L$181,"&gt;="&amp;DATE(2025,4,1),'2025数据'!$L$3:$L$181,"&lt;="&amp;DATE(2025,4,30),'2025数据'!$AE$3:$AE$181,$E845)/10000)</f>
        <v>0</v>
      </c>
      <c r="J845" s="51">
        <f ca="1">IF($S$1&lt;DATE(2025,5,1)," ",SUMIFS('2025数据'!$AX$3:$AX$181,'2025数据'!$L$3:$L$181,"&gt;="&amp;DATE(2025,5,1),'2025数据'!$L$3:$L$181,"&lt;="&amp;DATE(2025,5,31),'2025数据'!$AE$3:$AE$181,$E845)/10000)</f>
        <v>0.786016</v>
      </c>
      <c r="K845" s="51">
        <f ca="1">IF($S$1&lt;DATE(2025,6,1)," ",SUMIFS('2025数据'!$AX$3:$AX$181,'2025数据'!$L$3:$L$181,"&gt;="&amp;DATE(2025,6,1),'2025数据'!$L$3:$L$181,"&lt;="&amp;DATE(2025,6,30),'2025数据'!$AE$3:$AE$181,$E845)/10000)</f>
        <v>0.398154</v>
      </c>
      <c r="L845" s="51">
        <f ca="1">IF($S$1&lt;DATE(2025,7,1)," ",SUMIFS('2025数据'!$AX$3:$AX$181,'2025数据'!$L$3:$L$181,"&gt;="&amp;DATE(2025,7,1),'2025数据'!$L$3:$L$181,"&lt;="&amp;DATE(2025,7,31),'2025数据'!$AE$3:$AE$181,$E845)/10000)</f>
        <v>0.775495</v>
      </c>
      <c r="M845" s="51">
        <f ca="1">IF($S$1&lt;DATE(2025,8,1)," ",SUMIFS('2025数据'!$AX$3:$AX$181,'2025数据'!$L$3:$L$181,"&gt;="&amp;DATE(2025,8,1),'2025数据'!$L$3:$L$181,"&lt;="&amp;DATE(2025,8,31),'2025数据'!$AE$3:$AE$181,$E845)/10000)</f>
        <v>1.256626</v>
      </c>
      <c r="N845" s="51">
        <f ca="1">IF($S$1&lt;DATE(2025,9,1)," ",SUMIFS('2025数据'!$AX$3:$AX$181,'2025数据'!$L$3:$L$181,"&gt;="&amp;DATE(2025,9,1),'2025数据'!$L$3:$L$181,"&lt;="&amp;DATE(2025,9,30),'2025数据'!$AE$3:$AE$181,$E845)/10000)</f>
        <v>0</v>
      </c>
      <c r="O845" s="51">
        <f ca="1">IF($S$1&lt;DATE(2025,10,1)," ",SUMIFS('2025数据'!$AX$3:$AX$181,'2025数据'!$L$3:$L$181,"&gt;="&amp;DATE(2025,10,1),'2025数据'!$L$3:$L$181,"&lt;="&amp;DATE(2025,10,31),'2025数据'!$AE$3:$AE$181,$E845)/10000)</f>
        <v>0.889364</v>
      </c>
      <c r="P845" s="217">
        <f ca="1">IF($S$1&lt;DATE(2025,11,1)," ",SUMIFS('2025数据'!$AX$3:$AX$181,'2025数据'!$L$3:$L$181,"&gt;="&amp;DATE(2025,11,1),'2025数据'!$L$3:$L$181,"&lt;="&amp;DATE(2025,11,30),'2025数据'!$AE$3:$AE$181,$E845)/10000)</f>
        <v>0</v>
      </c>
      <c r="Q845" s="217">
        <f ca="1">IF($S$1&lt;DATE(2025,12,1)," ",SUMIFS('2025数据'!$AX$3:$AX$181,'2025数据'!$L$3:$L$181,"&gt;="&amp;DATE(2025,12,1),'2025数据'!$L$3:$L$181,"&lt;="&amp;DATE(2025,12,31),'2025数据'!$AE$3:$AE$181,$E845)/10000)</f>
        <v>0</v>
      </c>
    </row>
    <row r="846" ht="24" customHeight="1" spans="1:17">
      <c r="A846" s="99" t="s">
        <v>346</v>
      </c>
      <c r="B846" s="99" t="s">
        <v>299</v>
      </c>
      <c r="C846" s="99" t="s">
        <v>333</v>
      </c>
      <c r="D846" s="48" t="s">
        <v>31</v>
      </c>
      <c r="E846" s="48" t="s">
        <v>86</v>
      </c>
      <c r="F846" s="51">
        <f ca="1">IF($S$1&lt;DATE(2025,1,1)," ",SUMIFS('2025数据'!$AX$3:$AX$181,'2025数据'!$L$3:$L$181,"&gt;="&amp;DATE(2025,1,1),'2025数据'!$L$3:$L$181,"&lt;="&amp;DATE(2025,1,31),'2025数据'!$AE$3:$AE$181,$E846)/10000)</f>
        <v>0.405967</v>
      </c>
      <c r="G846" s="51">
        <f ca="1">IF($S$1&lt;DATE(2025,2,1)," ",SUMIFS('2025数据'!$AX$3:$AX$181,'2025数据'!$L$3:$L$181,"&gt;="&amp;DATE(2025,2,1),'2025数据'!$L$3:$L$181,"&lt;="&amp;DATE(2025,2,28),'2025数据'!$AE$3:$AE$181,$E846)/10000)</f>
        <v>0</v>
      </c>
      <c r="H846" s="51">
        <f ca="1">IF($S$1&lt;DATE(2025,3,1)," ",SUMIFS('2025数据'!$AX$3:$AX$181,'2025数据'!$L$3:$L$181,"&gt;="&amp;DATE(2025,3,1),'2025数据'!$L$3:$L$181,"&lt;="&amp;DATE(2025,3,31),'2025数据'!$AE$3:$AE$181,$E846)/10000)</f>
        <v>0.892898</v>
      </c>
      <c r="I846" s="51">
        <f ca="1">IF($S$1&lt;DATE(2025,4,1)," ",SUMIFS('2025数据'!$AX$3:$AX$181,'2025数据'!$L$3:$L$181,"&gt;="&amp;DATE(2025,4,1),'2025数据'!$L$3:$L$181,"&lt;="&amp;DATE(2025,4,30),'2025数据'!$AE$3:$AE$181,$E846)/10000)</f>
        <v>0</v>
      </c>
      <c r="J846" s="51">
        <f ca="1">IF($S$1&lt;DATE(2025,5,1)," ",SUMIFS('2025数据'!$AX$3:$AX$181,'2025数据'!$L$3:$L$181,"&gt;="&amp;DATE(2025,5,1),'2025数据'!$L$3:$L$181,"&lt;="&amp;DATE(2025,5,31),'2025数据'!$AE$3:$AE$181,$E846)/10000)</f>
        <v>0</v>
      </c>
      <c r="K846" s="51">
        <f ca="1">IF($S$1&lt;DATE(2025,6,1)," ",SUMIFS('2025数据'!$AX$3:$AX$181,'2025数据'!$L$3:$L$181,"&gt;="&amp;DATE(2025,6,1),'2025数据'!$L$3:$L$181,"&lt;="&amp;DATE(2025,6,30),'2025数据'!$AE$3:$AE$181,$E846)/10000)</f>
        <v>0</v>
      </c>
      <c r="L846" s="51">
        <f ca="1">IF($S$1&lt;DATE(2025,7,1)," ",SUMIFS('2025数据'!$AX$3:$AX$181,'2025数据'!$L$3:$L$181,"&gt;="&amp;DATE(2025,7,1),'2025数据'!$L$3:$L$181,"&lt;="&amp;DATE(2025,7,31),'2025数据'!$AE$3:$AE$181,$E846)/10000)</f>
        <v>0</v>
      </c>
      <c r="M846" s="51">
        <f ca="1">IF($S$1&lt;DATE(2025,8,1)," ",SUMIFS('2025数据'!$AX$3:$AX$181,'2025数据'!$L$3:$L$181,"&gt;="&amp;DATE(2025,8,1),'2025数据'!$L$3:$L$181,"&lt;="&amp;DATE(2025,8,31),'2025数据'!$AE$3:$AE$181,$E846)/10000)</f>
        <v>1.21733</v>
      </c>
      <c r="N846" s="51">
        <f ca="1">IF($S$1&lt;DATE(2025,9,1)," ",SUMIFS('2025数据'!$AX$3:$AX$181,'2025数据'!$L$3:$L$181,"&gt;="&amp;DATE(2025,9,1),'2025数据'!$L$3:$L$181,"&lt;="&amp;DATE(2025,9,30),'2025数据'!$AE$3:$AE$181,$E846)/10000)</f>
        <v>0.698154</v>
      </c>
      <c r="O846" s="51">
        <f ca="1">IF($S$1&lt;DATE(2025,10,1)," ",SUMIFS('2025数据'!$AX$3:$AX$181,'2025数据'!$L$3:$L$181,"&gt;="&amp;DATE(2025,10,1),'2025数据'!$L$3:$L$181,"&lt;="&amp;DATE(2025,10,31),'2025数据'!$AE$3:$AE$181,$E846)/10000)</f>
        <v>1.157953</v>
      </c>
      <c r="P846" s="217">
        <f ca="1">IF($S$1&lt;DATE(2025,11,1)," ",SUMIFS('2025数据'!$AX$3:$AX$181,'2025数据'!$L$3:$L$181,"&gt;="&amp;DATE(2025,11,1),'2025数据'!$L$3:$L$181,"&lt;="&amp;DATE(2025,11,30),'2025数据'!$AE$3:$AE$181,$E846)/10000)</f>
        <v>0</v>
      </c>
      <c r="Q846" s="217">
        <f ca="1">IF($S$1&lt;DATE(2025,12,1)," ",SUMIFS('2025数据'!$AX$3:$AX$181,'2025数据'!$L$3:$L$181,"&gt;="&amp;DATE(2025,12,1),'2025数据'!$L$3:$L$181,"&lt;="&amp;DATE(2025,12,31),'2025数据'!$AE$3:$AE$181,$E846)/10000)</f>
        <v>2.577422</v>
      </c>
    </row>
    <row r="847" ht="24" customHeight="1" spans="1:17">
      <c r="A847" s="99" t="s">
        <v>346</v>
      </c>
      <c r="B847" s="99" t="s">
        <v>299</v>
      </c>
      <c r="C847" s="99" t="s">
        <v>333</v>
      </c>
      <c r="D847" s="48" t="s">
        <v>31</v>
      </c>
      <c r="E847" s="48" t="s">
        <v>97</v>
      </c>
      <c r="F847" s="51">
        <f ca="1">IF($S$1&lt;DATE(2025,1,1)," ",SUMIFS('2025数据'!$AX$3:$AX$181,'2025数据'!$L$3:$L$181,"&gt;="&amp;DATE(2025,1,1),'2025数据'!$L$3:$L$181,"&lt;="&amp;DATE(2025,1,31),'2025数据'!$AE$3:$AE$181,$E847)/10000)</f>
        <v>0</v>
      </c>
      <c r="G847" s="51">
        <f ca="1">IF($S$1&lt;DATE(2025,2,1)," ",SUMIFS('2025数据'!$AX$3:$AX$181,'2025数据'!$L$3:$L$181,"&gt;="&amp;DATE(2025,2,1),'2025数据'!$L$3:$L$181,"&lt;="&amp;DATE(2025,2,28),'2025数据'!$AE$3:$AE$181,$E847)/10000)</f>
        <v>0</v>
      </c>
      <c r="H847" s="51">
        <f ca="1">IF($S$1&lt;DATE(2025,3,1)," ",SUMIFS('2025数据'!$AX$3:$AX$181,'2025数据'!$L$3:$L$181,"&gt;="&amp;DATE(2025,3,1),'2025数据'!$L$3:$L$181,"&lt;="&amp;DATE(2025,3,31),'2025数据'!$AE$3:$AE$181,$E847)/10000)</f>
        <v>0</v>
      </c>
      <c r="I847" s="51">
        <f ca="1">IF($S$1&lt;DATE(2025,4,1)," ",SUMIFS('2025数据'!$AX$3:$AX$181,'2025数据'!$L$3:$L$181,"&gt;="&amp;DATE(2025,4,1),'2025数据'!$L$3:$L$181,"&lt;="&amp;DATE(2025,4,30),'2025数据'!$AE$3:$AE$181,$E847)/10000)</f>
        <v>11.070785</v>
      </c>
      <c r="J847" s="51">
        <f ca="1">IF($S$1&lt;DATE(2025,5,1)," ",SUMIFS('2025数据'!$AX$3:$AX$181,'2025数据'!$L$3:$L$181,"&gt;="&amp;DATE(2025,5,1),'2025数据'!$L$3:$L$181,"&lt;="&amp;DATE(2025,5,31),'2025数据'!$AE$3:$AE$181,$E847)/10000)</f>
        <v>0</v>
      </c>
      <c r="K847" s="51">
        <f ca="1">IF($S$1&lt;DATE(2025,6,1)," ",SUMIFS('2025数据'!$AX$3:$AX$181,'2025数据'!$L$3:$L$181,"&gt;="&amp;DATE(2025,6,1),'2025数据'!$L$3:$L$181,"&lt;="&amp;DATE(2025,6,30),'2025数据'!$AE$3:$AE$181,$E847)/10000)</f>
        <v>12.822116</v>
      </c>
      <c r="L847" s="51">
        <f ca="1">IF($S$1&lt;DATE(2025,7,1)," ",SUMIFS('2025数据'!$AX$3:$AX$181,'2025数据'!$L$3:$L$181,"&gt;="&amp;DATE(2025,7,1),'2025数据'!$L$3:$L$181,"&lt;="&amp;DATE(2025,7,31),'2025数据'!$AE$3:$AE$181,$E847)/10000)</f>
        <v>0.596692</v>
      </c>
      <c r="M847" s="51">
        <f ca="1">IF($S$1&lt;DATE(2025,8,1)," ",SUMIFS('2025数据'!$AX$3:$AX$181,'2025数据'!$L$3:$L$181,"&gt;="&amp;DATE(2025,8,1),'2025数据'!$L$3:$L$181,"&lt;="&amp;DATE(2025,8,31),'2025数据'!$AE$3:$AE$181,$E847)/10000)</f>
        <v>0</v>
      </c>
      <c r="N847" s="51">
        <f ca="1">IF($S$1&lt;DATE(2025,9,1)," ",SUMIFS('2025数据'!$AX$3:$AX$181,'2025数据'!$L$3:$L$181,"&gt;="&amp;DATE(2025,9,1),'2025数据'!$L$3:$L$181,"&lt;="&amp;DATE(2025,9,30),'2025数据'!$AE$3:$AE$181,$E847)/10000)</f>
        <v>0</v>
      </c>
      <c r="O847" s="51">
        <f ca="1">IF($S$1&lt;DATE(2025,10,1)," ",SUMIFS('2025数据'!$AX$3:$AX$181,'2025数据'!$L$3:$L$181,"&gt;="&amp;DATE(2025,10,1),'2025数据'!$L$3:$L$181,"&lt;="&amp;DATE(2025,10,31),'2025数据'!$AE$3:$AE$181,$E847)/10000)</f>
        <v>0</v>
      </c>
      <c r="P847" s="217">
        <f ca="1">IF($S$1&lt;DATE(2025,11,1)," ",SUMIFS('2025数据'!$AX$3:$AX$181,'2025数据'!$L$3:$L$181,"&gt;="&amp;DATE(2025,11,1),'2025数据'!$L$3:$L$181,"&lt;="&amp;DATE(2025,11,30),'2025数据'!$AE$3:$AE$181,$E847)/10000)</f>
        <v>0</v>
      </c>
      <c r="Q847" s="217">
        <f ca="1">IF($S$1&lt;DATE(2025,12,1)," ",SUMIFS('2025数据'!$AX$3:$AX$181,'2025数据'!$L$3:$L$181,"&gt;="&amp;DATE(2025,12,1),'2025数据'!$L$3:$L$181,"&lt;="&amp;DATE(2025,12,31),'2025数据'!$AE$3:$AE$181,$E847)/10000)</f>
        <v>0.297443</v>
      </c>
    </row>
    <row r="848" ht="24" customHeight="1" spans="1:17">
      <c r="A848" s="99" t="s">
        <v>346</v>
      </c>
      <c r="B848" s="99" t="s">
        <v>299</v>
      </c>
      <c r="C848" s="99" t="s">
        <v>333</v>
      </c>
      <c r="D848" s="48" t="s">
        <v>31</v>
      </c>
      <c r="E848" s="48" t="s">
        <v>87</v>
      </c>
      <c r="F848" s="51">
        <f ca="1">IF($S$1&lt;DATE(2025,1,1)," ",SUMIFS('2025数据'!$AX$3:$AX$181,'2025数据'!$L$3:$L$181,"&gt;="&amp;DATE(2025,1,1),'2025数据'!$L$3:$L$181,"&lt;="&amp;DATE(2025,1,31),'2025数据'!$AE$3:$AE$181,$E848)/10000)</f>
        <v>0.447988</v>
      </c>
      <c r="G848" s="51">
        <f ca="1">IF($S$1&lt;DATE(2025,2,1)," ",SUMIFS('2025数据'!$AX$3:$AX$181,'2025数据'!$L$3:$L$181,"&gt;="&amp;DATE(2025,2,1),'2025数据'!$L$3:$L$181,"&lt;="&amp;DATE(2025,2,28),'2025数据'!$AE$3:$AE$181,$E848)/10000)</f>
        <v>0</v>
      </c>
      <c r="H848" s="51">
        <f ca="1">IF($S$1&lt;DATE(2025,3,1)," ",SUMIFS('2025数据'!$AX$3:$AX$181,'2025数据'!$L$3:$L$181,"&gt;="&amp;DATE(2025,3,1),'2025数据'!$L$3:$L$181,"&lt;="&amp;DATE(2025,3,31),'2025数据'!$AE$3:$AE$181,$E848)/10000)</f>
        <v>0</v>
      </c>
      <c r="I848" s="51">
        <f ca="1">IF($S$1&lt;DATE(2025,4,1)," ",SUMIFS('2025数据'!$AX$3:$AX$181,'2025数据'!$L$3:$L$181,"&gt;="&amp;DATE(2025,4,1),'2025数据'!$L$3:$L$181,"&lt;="&amp;DATE(2025,4,30),'2025数据'!$AE$3:$AE$181,$E848)/10000)</f>
        <v>1.226273</v>
      </c>
      <c r="J848" s="51">
        <f ca="1">IF($S$1&lt;DATE(2025,5,1)," ",SUMIFS('2025数据'!$AX$3:$AX$181,'2025数据'!$L$3:$L$181,"&gt;="&amp;DATE(2025,5,1),'2025数据'!$L$3:$L$181,"&lt;="&amp;DATE(2025,5,31),'2025数据'!$AE$3:$AE$181,$E848)/10000)</f>
        <v>0</v>
      </c>
      <c r="K848" s="51">
        <f ca="1">IF($S$1&lt;DATE(2025,6,1)," ",SUMIFS('2025数据'!$AX$3:$AX$181,'2025数据'!$L$3:$L$181,"&gt;="&amp;DATE(2025,6,1),'2025数据'!$L$3:$L$181,"&lt;="&amp;DATE(2025,6,30),'2025数据'!$AE$3:$AE$181,$E848)/10000)</f>
        <v>0</v>
      </c>
      <c r="L848" s="51">
        <f ca="1">IF($S$1&lt;DATE(2025,7,1)," ",SUMIFS('2025数据'!$AX$3:$AX$181,'2025数据'!$L$3:$L$181,"&gt;="&amp;DATE(2025,7,1),'2025数据'!$L$3:$L$181,"&lt;="&amp;DATE(2025,7,31),'2025数据'!$AE$3:$AE$181,$E848)/10000)</f>
        <v>0</v>
      </c>
      <c r="M848" s="51">
        <f ca="1">IF($S$1&lt;DATE(2025,8,1)," ",SUMIFS('2025数据'!$AX$3:$AX$181,'2025数据'!$L$3:$L$181,"&gt;="&amp;DATE(2025,8,1),'2025数据'!$L$3:$L$181,"&lt;="&amp;DATE(2025,8,31),'2025数据'!$AE$3:$AE$181,$E848)/10000)</f>
        <v>0</v>
      </c>
      <c r="N848" s="51">
        <f ca="1">IF($S$1&lt;DATE(2025,9,1)," ",SUMIFS('2025数据'!$AX$3:$AX$181,'2025数据'!$L$3:$L$181,"&gt;="&amp;DATE(2025,9,1),'2025数据'!$L$3:$L$181,"&lt;="&amp;DATE(2025,9,30),'2025数据'!$AE$3:$AE$181,$E848)/10000)</f>
        <v>1.152704</v>
      </c>
      <c r="O848" s="51">
        <f ca="1">IF($S$1&lt;DATE(2025,10,1)," ",SUMIFS('2025数据'!$AX$3:$AX$181,'2025数据'!$L$3:$L$181,"&gt;="&amp;DATE(2025,10,1),'2025数据'!$L$3:$L$181,"&lt;="&amp;DATE(2025,10,31),'2025数据'!$AE$3:$AE$181,$E848)/10000)</f>
        <v>0</v>
      </c>
      <c r="P848" s="217">
        <f ca="1">IF($S$1&lt;DATE(2025,11,1)," ",SUMIFS('2025数据'!$AX$3:$AX$181,'2025数据'!$L$3:$L$181,"&gt;="&amp;DATE(2025,11,1),'2025数据'!$L$3:$L$181,"&lt;="&amp;DATE(2025,11,30),'2025数据'!$AE$3:$AE$181,$E848)/10000)</f>
        <v>0</v>
      </c>
      <c r="Q848" s="217">
        <f ca="1">IF($S$1&lt;DATE(2025,12,1)," ",SUMIFS('2025数据'!$AX$3:$AX$181,'2025数据'!$L$3:$L$181,"&gt;="&amp;DATE(2025,12,1),'2025数据'!$L$3:$L$181,"&lt;="&amp;DATE(2025,12,31),'2025数据'!$AE$3:$AE$181,$E848)/10000)</f>
        <v>0.161164</v>
      </c>
    </row>
    <row r="849" ht="24" customHeight="1" spans="1:17">
      <c r="A849" s="99" t="s">
        <v>346</v>
      </c>
      <c r="B849" s="99" t="s">
        <v>299</v>
      </c>
      <c r="C849" s="99" t="s">
        <v>333</v>
      </c>
      <c r="D849" s="48" t="s">
        <v>31</v>
      </c>
      <c r="E849" s="48" t="s">
        <v>149</v>
      </c>
      <c r="F849" s="51">
        <f ca="1">IF($S$1&lt;DATE(2025,1,1)," ",SUMIFS('2025数据'!$AX$3:$AX$181,'2025数据'!$L$3:$L$181,"&gt;="&amp;DATE(2025,1,1),'2025数据'!$L$3:$L$181,"&lt;="&amp;DATE(2025,1,31),'2025数据'!$AE$3:$AE$181,$E849)/10000)</f>
        <v>0</v>
      </c>
      <c r="G849" s="51">
        <f ca="1">IF($S$1&lt;DATE(2025,2,1)," ",SUMIFS('2025数据'!$AX$3:$AX$181,'2025数据'!$L$3:$L$181,"&gt;="&amp;DATE(2025,2,1),'2025数据'!$L$3:$L$181,"&lt;="&amp;DATE(2025,2,28),'2025数据'!$AE$3:$AE$181,$E849)/10000)</f>
        <v>0</v>
      </c>
      <c r="H849" s="51">
        <f ca="1">IF($S$1&lt;DATE(2025,3,1)," ",SUMIFS('2025数据'!$AX$3:$AX$181,'2025数据'!$L$3:$L$181,"&gt;="&amp;DATE(2025,3,1),'2025数据'!$L$3:$L$181,"&lt;="&amp;DATE(2025,3,31),'2025数据'!$AE$3:$AE$181,$E849)/10000)</f>
        <v>0</v>
      </c>
      <c r="I849" s="51">
        <f ca="1">IF($S$1&lt;DATE(2025,4,1)," ",SUMIFS('2025数据'!$AX$3:$AX$181,'2025数据'!$L$3:$L$181,"&gt;="&amp;DATE(2025,4,1),'2025数据'!$L$3:$L$181,"&lt;="&amp;DATE(2025,4,30),'2025数据'!$AE$3:$AE$181,$E849)/10000)</f>
        <v>0</v>
      </c>
      <c r="J849" s="51">
        <f ca="1">IF($S$1&lt;DATE(2025,5,1)," ",SUMIFS('2025数据'!$AX$3:$AX$181,'2025数据'!$L$3:$L$181,"&gt;="&amp;DATE(2025,5,1),'2025数据'!$L$3:$L$181,"&lt;="&amp;DATE(2025,5,31),'2025数据'!$AE$3:$AE$181,$E849)/10000)</f>
        <v>0</v>
      </c>
      <c r="K849" s="51">
        <f ca="1">IF($S$1&lt;DATE(2025,6,1)," ",SUMIFS('2025数据'!$AX$3:$AX$181,'2025数据'!$L$3:$L$181,"&gt;="&amp;DATE(2025,6,1),'2025数据'!$L$3:$L$181,"&lt;="&amp;DATE(2025,6,30),'2025数据'!$AE$3:$AE$181,$E849)/10000)</f>
        <v>0</v>
      </c>
      <c r="L849" s="51">
        <f ca="1">IF($S$1&lt;DATE(2025,7,1)," ",SUMIFS('2025数据'!$AX$3:$AX$181,'2025数据'!$L$3:$L$181,"&gt;="&amp;DATE(2025,7,1),'2025数据'!$L$3:$L$181,"&lt;="&amp;DATE(2025,7,31),'2025数据'!$AE$3:$AE$181,$E849)/10000)</f>
        <v>0</v>
      </c>
      <c r="M849" s="51">
        <f ca="1">IF($S$1&lt;DATE(2025,8,1)," ",SUMIFS('2025数据'!$AX$3:$AX$181,'2025数据'!$L$3:$L$181,"&gt;="&amp;DATE(2025,8,1),'2025数据'!$L$3:$L$181,"&lt;="&amp;DATE(2025,8,31),'2025数据'!$AE$3:$AE$181,$E849)/10000)</f>
        <v>0</v>
      </c>
      <c r="N849" s="51">
        <f ca="1">IF($S$1&lt;DATE(2025,9,1)," ",SUMIFS('2025数据'!$AX$3:$AX$181,'2025数据'!$L$3:$L$181,"&gt;="&amp;DATE(2025,9,1),'2025数据'!$L$3:$L$181,"&lt;="&amp;DATE(2025,9,30),'2025数据'!$AE$3:$AE$181,$E849)/10000)</f>
        <v>0</v>
      </c>
      <c r="O849" s="51">
        <f ca="1">IF($S$1&lt;DATE(2025,10,1)," ",SUMIFS('2025数据'!$AX$3:$AX$181,'2025数据'!$L$3:$L$181,"&gt;="&amp;DATE(2025,10,1),'2025数据'!$L$3:$L$181,"&lt;="&amp;DATE(2025,10,31),'2025数据'!$AE$3:$AE$181,$E849)/10000)</f>
        <v>0</v>
      </c>
      <c r="P849" s="217">
        <f ca="1">IF($S$1&lt;DATE(2025,11,1)," ",SUMIFS('2025数据'!$AX$3:$AX$181,'2025数据'!$L$3:$L$181,"&gt;="&amp;DATE(2025,11,1),'2025数据'!$L$3:$L$181,"&lt;="&amp;DATE(2025,11,30),'2025数据'!$AE$3:$AE$181,$E849)/10000)</f>
        <v>0</v>
      </c>
      <c r="Q849" s="217">
        <f ca="1">IF($S$1&lt;DATE(2025,12,1)," ",SUMIFS('2025数据'!$AX$3:$AX$181,'2025数据'!$L$3:$L$181,"&gt;="&amp;DATE(2025,12,1),'2025数据'!$L$3:$L$181,"&lt;="&amp;DATE(2025,12,31),'2025数据'!$AE$3:$AE$181,$E849)/10000)</f>
        <v>0</v>
      </c>
    </row>
    <row r="850" ht="24" customHeight="1" spans="1:17">
      <c r="A850" s="99" t="s">
        <v>346</v>
      </c>
      <c r="B850" s="99" t="s">
        <v>299</v>
      </c>
      <c r="C850" s="99" t="s">
        <v>333</v>
      </c>
      <c r="D850" s="48" t="s">
        <v>31</v>
      </c>
      <c r="E850" s="48" t="s">
        <v>83</v>
      </c>
      <c r="F850" s="51">
        <f ca="1">IF($S$1&lt;DATE(2025,1,1)," ",SUMIFS('2025数据'!$AX$3:$AX$181,'2025数据'!$L$3:$L$181,"&gt;="&amp;DATE(2025,1,1),'2025数据'!$L$3:$L$181,"&lt;="&amp;DATE(2025,1,31),'2025数据'!$AE$3:$AE$181,$E850)/10000)</f>
        <v>0</v>
      </c>
      <c r="G850" s="51">
        <f ca="1">IF($S$1&lt;DATE(2025,2,1)," ",SUMIFS('2025数据'!$AX$3:$AX$181,'2025数据'!$L$3:$L$181,"&gt;="&amp;DATE(2025,2,1),'2025数据'!$L$3:$L$181,"&lt;="&amp;DATE(2025,2,28),'2025数据'!$AE$3:$AE$181,$E850)/10000)</f>
        <v>0</v>
      </c>
      <c r="H850" s="51">
        <f ca="1">IF($S$1&lt;DATE(2025,3,1)," ",SUMIFS('2025数据'!$AX$3:$AX$181,'2025数据'!$L$3:$L$181,"&gt;="&amp;DATE(2025,3,1),'2025数据'!$L$3:$L$181,"&lt;="&amp;DATE(2025,3,31),'2025数据'!$AE$3:$AE$181,$E850)/10000)</f>
        <v>0</v>
      </c>
      <c r="I850" s="51">
        <f ca="1">IF($S$1&lt;DATE(2025,4,1)," ",SUMIFS('2025数据'!$AX$3:$AX$181,'2025数据'!$L$3:$L$181,"&gt;="&amp;DATE(2025,4,1),'2025数据'!$L$3:$L$181,"&lt;="&amp;DATE(2025,4,30),'2025数据'!$AE$3:$AE$181,$E850)/10000)</f>
        <v>2.615517</v>
      </c>
      <c r="J850" s="51">
        <f ca="1">IF($S$1&lt;DATE(2025,5,1)," ",SUMIFS('2025数据'!$AX$3:$AX$181,'2025数据'!$L$3:$L$181,"&gt;="&amp;DATE(2025,5,1),'2025数据'!$L$3:$L$181,"&lt;="&amp;DATE(2025,5,31),'2025数据'!$AE$3:$AE$181,$E850)/10000)</f>
        <v>0.615324</v>
      </c>
      <c r="K850" s="51">
        <f ca="1">IF($S$1&lt;DATE(2025,6,1)," ",SUMIFS('2025数据'!$AX$3:$AX$181,'2025数据'!$L$3:$L$181,"&gt;="&amp;DATE(2025,6,1),'2025数据'!$L$3:$L$181,"&lt;="&amp;DATE(2025,6,30),'2025数据'!$AE$3:$AE$181,$E850)/10000)</f>
        <v>0</v>
      </c>
      <c r="L850" s="51">
        <f ca="1">IF($S$1&lt;DATE(2025,7,1)," ",SUMIFS('2025数据'!$AX$3:$AX$181,'2025数据'!$L$3:$L$181,"&gt;="&amp;DATE(2025,7,1),'2025数据'!$L$3:$L$181,"&lt;="&amp;DATE(2025,7,31),'2025数据'!$AE$3:$AE$181,$E850)/10000)</f>
        <v>0</v>
      </c>
      <c r="M850" s="51">
        <f ca="1">IF($S$1&lt;DATE(2025,8,1)," ",SUMIFS('2025数据'!$AX$3:$AX$181,'2025数据'!$L$3:$L$181,"&gt;="&amp;DATE(2025,8,1),'2025数据'!$L$3:$L$181,"&lt;="&amp;DATE(2025,8,31),'2025数据'!$AE$3:$AE$181,$E850)/10000)</f>
        <v>0</v>
      </c>
      <c r="N850" s="51">
        <f ca="1">IF($S$1&lt;DATE(2025,9,1)," ",SUMIFS('2025数据'!$AX$3:$AX$181,'2025数据'!$L$3:$L$181,"&gt;="&amp;DATE(2025,9,1),'2025数据'!$L$3:$L$181,"&lt;="&amp;DATE(2025,9,30),'2025数据'!$AE$3:$AE$181,$E850)/10000)</f>
        <v>0</v>
      </c>
      <c r="O850" s="51">
        <f ca="1">IF($S$1&lt;DATE(2025,10,1)," ",SUMIFS('2025数据'!$AX$3:$AX$181,'2025数据'!$L$3:$L$181,"&gt;="&amp;DATE(2025,10,1),'2025数据'!$L$3:$L$181,"&lt;="&amp;DATE(2025,10,31),'2025数据'!$AE$3:$AE$181,$E850)/10000)</f>
        <v>0</v>
      </c>
      <c r="P850" s="217">
        <f ca="1">IF($S$1&lt;DATE(2025,11,1)," ",SUMIFS('2025数据'!$AX$3:$AX$181,'2025数据'!$L$3:$L$181,"&gt;="&amp;DATE(2025,11,1),'2025数据'!$L$3:$L$181,"&lt;="&amp;DATE(2025,11,30),'2025数据'!$AE$3:$AE$181,$E850)/10000)</f>
        <v>0</v>
      </c>
      <c r="Q850" s="217">
        <f ca="1">IF($S$1&lt;DATE(2025,12,1)," ",SUMIFS('2025数据'!$AX$3:$AX$181,'2025数据'!$L$3:$L$181,"&gt;="&amp;DATE(2025,12,1),'2025数据'!$L$3:$L$181,"&lt;="&amp;DATE(2025,12,31),'2025数据'!$AE$3:$AE$181,$E850)/10000)</f>
        <v>0</v>
      </c>
    </row>
    <row r="851" ht="24" customHeight="1" spans="1:17">
      <c r="A851" s="99" t="s">
        <v>346</v>
      </c>
      <c r="B851" s="99" t="s">
        <v>299</v>
      </c>
      <c r="C851" s="99" t="s">
        <v>333</v>
      </c>
      <c r="D851" s="47" t="s">
        <v>294</v>
      </c>
      <c r="E851" s="47" t="s">
        <v>93</v>
      </c>
      <c r="F851" s="51">
        <f ca="1">IF($S$1&lt;DATE(2025,1,1)," ",SUMIFS('2025数据'!$AX$3:$AX$181,'2025数据'!$L$3:$L$181,"&gt;="&amp;DATE(2025,1,1),'2025数据'!$L$3:$L$181,"&lt;="&amp;DATE(2025,1,31),'2025数据'!$B$3:$B$181,$E851)/10000)</f>
        <v>0.812759</v>
      </c>
      <c r="G851" s="51">
        <f ca="1">IF($S$1&lt;DATE(2025,2,1)," ",SUMIFS('2025数据'!$AX$3:$AX$181,'2025数据'!$L$3:$L$181,"&gt;="&amp;DATE(2025,2,1),'2025数据'!$L$3:$L$181,"&lt;="&amp;DATE(2025,2,28),'2025数据'!$B$3:$B$181,$E851)/10000)</f>
        <v>0</v>
      </c>
      <c r="H851" s="51">
        <f ca="1">IF($S$1&lt;DATE(2025,3,1)," ",SUMIFS('2025数据'!$AX$3:$AX$181,'2025数据'!$L$3:$L$181,"&gt;="&amp;DATE(2025,3,1),'2025数据'!$L$3:$L$181,"&lt;="&amp;DATE(2025,3,31),'2025数据'!$B$3:$B$181,$E851)/10000)</f>
        <v>0</v>
      </c>
      <c r="I851" s="51">
        <f ca="1">IF($S$1&lt;DATE(2025,4,1)," ",SUMIFS('2025数据'!$AX$3:$AX$181,'2025数据'!$L$3:$L$181,"&gt;="&amp;DATE(2025,4,1),'2025数据'!$L$3:$L$181,"&lt;="&amp;DATE(2025,4,30),'2025数据'!$B$3:$B$181,$E851)/10000)</f>
        <v>16.08927</v>
      </c>
      <c r="J851" s="51">
        <f ca="1">IF($S$1&lt;DATE(2025,5,1)," ",SUMIFS('2025数据'!$AX$3:$AX$181,'2025数据'!$L$3:$L$181,"&gt;="&amp;DATE(2025,5,1),'2025数据'!$L$3:$L$181,"&lt;="&amp;DATE(2025,5,31),'2025数据'!$B$3:$B$181,$E851)/10000)</f>
        <v>0.462317</v>
      </c>
      <c r="K851" s="51">
        <f ca="1">IF($S$1&lt;DATE(2025,6,1)," ",SUMIFS('2025数据'!$AX$3:$AX$181,'2025数据'!$L$3:$L$181,"&gt;="&amp;DATE(2025,6,1),'2025数据'!$L$3:$L$181,"&lt;="&amp;DATE(2025,6,30),'2025数据'!$B$3:$B$181,$E851)/10000)</f>
        <v>4.420412</v>
      </c>
      <c r="L851" s="51">
        <f ca="1">IF($S$1&lt;DATE(2025,7,1)," ",SUMIFS('2025数据'!$AX$3:$AX$181,'2025数据'!$L$3:$L$181,"&gt;="&amp;DATE(2025,7,1),'2025数据'!$L$3:$L$181,"&lt;="&amp;DATE(2025,7,31),'2025数据'!$B$3:$B$181,$E851)/10000)</f>
        <v>1.915779</v>
      </c>
      <c r="M851" s="51">
        <f ca="1">IF($S$1&lt;DATE(2025,8,1)," ",SUMIFS('2025数据'!$AX$3:$AX$181,'2025数据'!$L$3:$L$181,"&gt;="&amp;DATE(2025,8,1),'2025数据'!$L$3:$L$181,"&lt;="&amp;DATE(2025,8,31),'2025数据'!$B$3:$B$181,$E851)/10000)</f>
        <v>1.58014</v>
      </c>
      <c r="N851" s="51">
        <f ca="1">IF($S$1&lt;DATE(2025,9,1)," ",SUMIFS('2025数据'!$AX$3:$AX$181,'2025数据'!$L$3:$L$181,"&gt;="&amp;DATE(2025,9,1),'2025数据'!$L$3:$L$181,"&lt;="&amp;DATE(2025,9,30),'2025数据'!$B$3:$B$181,$E851)/10000)</f>
        <v>2.852312</v>
      </c>
      <c r="O851" s="51">
        <f ca="1">IF($S$1&lt;DATE(2025,10,1)," ",SUMIFS('2025数据'!$AX$3:$AX$181,'2025数据'!$L$3:$L$181,"&gt;="&amp;DATE(2025,10,1),'2025数据'!$L$3:$L$181,"&lt;="&amp;DATE(2025,10,31),'2025数据'!$B$3:$B$181,$E851)/10000)</f>
        <v>0.736945</v>
      </c>
      <c r="P851" s="217">
        <f ca="1">IF($S$1&lt;DATE(2025,11,1)," ",SUMIFS('2025数据'!$AX$3:$AX$181,'2025数据'!$L$3:$L$181,"&gt;="&amp;DATE(2025,11,1),'2025数据'!$L$3:$L$181,"&lt;="&amp;DATE(2025,11,30),'2025数据'!$B$3:$B$181,$E851)/10000)</f>
        <v>0.198217</v>
      </c>
      <c r="Q851" s="217">
        <f ca="1">IF($S$1&lt;DATE(2025,12,1)," ",SUMIFS('2025数据'!$AX$3:$AX$181,'2025数据'!$L$3:$L$181,"&gt;="&amp;DATE(2025,12,1),'2025数据'!$L$3:$L$181,"&lt;="&amp;DATE(2025,12,31),'2025数据'!$B$3:$B$181,$E851)/10000)</f>
        <v>0.406273</v>
      </c>
    </row>
    <row r="852" ht="24" customHeight="1" spans="1:17">
      <c r="A852" s="99" t="s">
        <v>346</v>
      </c>
      <c r="B852" s="99" t="s">
        <v>299</v>
      </c>
      <c r="C852" s="99" t="s">
        <v>333</v>
      </c>
      <c r="D852" s="47" t="s">
        <v>294</v>
      </c>
      <c r="E852" s="47" t="s">
        <v>85</v>
      </c>
      <c r="F852" s="51">
        <f ca="1">IF($S$1&lt;DATE(2025,1,1)," ",SUMIFS('2025数据'!$AX$3:$AX$181,'2025数据'!$L$3:$L$181,"&gt;="&amp;DATE(2025,1,1),'2025数据'!$L$3:$L$181,"&lt;="&amp;DATE(2025,1,31),'2025数据'!$B$3:$B$181,$E852)/10000)</f>
        <v>4.28677</v>
      </c>
      <c r="G852" s="51">
        <f ca="1">IF($S$1&lt;DATE(2025,2,1)," ",SUMIFS('2025数据'!$AX$3:$AX$181,'2025数据'!$L$3:$L$181,"&gt;="&amp;DATE(2025,2,1),'2025数据'!$L$3:$L$181,"&lt;="&amp;DATE(2025,2,28),'2025数据'!$B$3:$B$181,$E852)/10000)</f>
        <v>0</v>
      </c>
      <c r="H852" s="51">
        <f ca="1">IF($S$1&lt;DATE(2025,3,1)," ",SUMIFS('2025数据'!$AX$3:$AX$181,'2025数据'!$L$3:$L$181,"&gt;="&amp;DATE(2025,3,1),'2025数据'!$L$3:$L$181,"&lt;="&amp;DATE(2025,3,31),'2025数据'!$B$3:$B$181,$E852)/10000)</f>
        <v>0</v>
      </c>
      <c r="I852" s="51">
        <f ca="1">IF($S$1&lt;DATE(2025,4,1)," ",SUMIFS('2025数据'!$AX$3:$AX$181,'2025数据'!$L$3:$L$181,"&gt;="&amp;DATE(2025,4,1),'2025数据'!$L$3:$L$181,"&lt;="&amp;DATE(2025,4,30),'2025数据'!$B$3:$B$181,$E852)/10000)</f>
        <v>3.142818</v>
      </c>
      <c r="J852" s="51">
        <f ca="1">IF($S$1&lt;DATE(2025,5,1)," ",SUMIFS('2025数据'!$AX$3:$AX$181,'2025数据'!$L$3:$L$181,"&gt;="&amp;DATE(2025,5,1),'2025数据'!$L$3:$L$181,"&lt;="&amp;DATE(2025,5,31),'2025数据'!$B$3:$B$181,$E852)/10000)</f>
        <v>0.323699</v>
      </c>
      <c r="K852" s="51">
        <f ca="1">IF($S$1&lt;DATE(2025,6,1)," ",SUMIFS('2025数据'!$AX$3:$AX$181,'2025数据'!$L$3:$L$181,"&gt;="&amp;DATE(2025,6,1),'2025数据'!$L$3:$L$181,"&lt;="&amp;DATE(2025,6,30),'2025数据'!$B$3:$B$181,$E852)/10000)</f>
        <v>0</v>
      </c>
      <c r="L852" s="51">
        <f ca="1">IF($S$1&lt;DATE(2025,7,1)," ",SUMIFS('2025数据'!$AX$3:$AX$181,'2025数据'!$L$3:$L$181,"&gt;="&amp;DATE(2025,7,1),'2025数据'!$L$3:$L$181,"&lt;="&amp;DATE(2025,7,31),'2025数据'!$B$3:$B$181,$E852)/10000)</f>
        <v>0</v>
      </c>
      <c r="M852" s="51">
        <f ca="1">IF($S$1&lt;DATE(2025,8,1)," ",SUMIFS('2025数据'!$AX$3:$AX$181,'2025数据'!$L$3:$L$181,"&gt;="&amp;DATE(2025,8,1),'2025数据'!$L$3:$L$181,"&lt;="&amp;DATE(2025,8,31),'2025数据'!$B$3:$B$181,$E852)/10000)</f>
        <v>1.779672</v>
      </c>
      <c r="N852" s="51">
        <f ca="1">IF($S$1&lt;DATE(2025,9,1)," ",SUMIFS('2025数据'!$AX$3:$AX$181,'2025数据'!$L$3:$L$181,"&gt;="&amp;DATE(2025,9,1),'2025数据'!$L$3:$L$181,"&lt;="&amp;DATE(2025,9,30),'2025数据'!$B$3:$B$181,$E852)/10000)</f>
        <v>0.467092</v>
      </c>
      <c r="O852" s="51">
        <f ca="1">IF($S$1&lt;DATE(2025,10,1)," ",SUMIFS('2025数据'!$AX$3:$AX$181,'2025数据'!$L$3:$L$181,"&gt;="&amp;DATE(2025,10,1),'2025数据'!$L$3:$L$181,"&lt;="&amp;DATE(2025,10,31),'2025数据'!$B$3:$B$181,$E852)/10000)</f>
        <v>0.3591</v>
      </c>
      <c r="P852" s="217">
        <f ca="1">IF($S$1&lt;DATE(2025,11,1)," ",SUMIFS('2025数据'!$AX$3:$AX$181,'2025数据'!$L$3:$L$181,"&gt;="&amp;DATE(2025,11,1),'2025数据'!$L$3:$L$181,"&lt;="&amp;DATE(2025,11,30),'2025数据'!$B$3:$B$181,$E852)/10000)</f>
        <v>0.260466</v>
      </c>
      <c r="Q852" s="217">
        <f ca="1">IF($S$1&lt;DATE(2025,12,1)," ",SUMIFS('2025数据'!$AX$3:$AX$181,'2025数据'!$L$3:$L$181,"&gt;="&amp;DATE(2025,12,1),'2025数据'!$L$3:$L$181,"&lt;="&amp;DATE(2025,12,31),'2025数据'!$B$3:$B$181,$E852)/10000)</f>
        <v>2.738586</v>
      </c>
    </row>
    <row r="853" ht="24" customHeight="1" spans="1:17">
      <c r="A853" s="99" t="s">
        <v>346</v>
      </c>
      <c r="B853" s="99" t="s">
        <v>299</v>
      </c>
      <c r="C853" s="99" t="s">
        <v>333</v>
      </c>
      <c r="D853" s="47" t="s">
        <v>294</v>
      </c>
      <c r="E853" s="47" t="s">
        <v>81</v>
      </c>
      <c r="F853" s="51">
        <f ca="1">IF($S$1&lt;DATE(2025,1,1)," ",SUMIFS('2025数据'!$AX$3:$AX$181,'2025数据'!$L$3:$L$181,"&gt;="&amp;DATE(2025,1,1),'2025数据'!$L$3:$L$181,"&lt;="&amp;DATE(2025,1,31),'2025数据'!$B$3:$B$181,$E853)/10000)</f>
        <v>0</v>
      </c>
      <c r="G853" s="51">
        <f ca="1">IF($S$1&lt;DATE(2025,2,1)," ",SUMIFS('2025数据'!$AX$3:$AX$181,'2025数据'!$L$3:$L$181,"&gt;="&amp;DATE(2025,2,1),'2025数据'!$L$3:$L$181,"&lt;="&amp;DATE(2025,2,28),'2025数据'!$B$3:$B$181,$E853)/10000)</f>
        <v>0</v>
      </c>
      <c r="H853" s="51">
        <f ca="1">IF($S$1&lt;DATE(2025,3,1)," ",SUMIFS('2025数据'!$AX$3:$AX$181,'2025数据'!$L$3:$L$181,"&gt;="&amp;DATE(2025,3,1),'2025数据'!$L$3:$L$181,"&lt;="&amp;DATE(2025,3,31),'2025数据'!$B$3:$B$181,$E853)/10000)</f>
        <v>0.892898</v>
      </c>
      <c r="I853" s="51">
        <f ca="1">IF($S$1&lt;DATE(2025,4,1)," ",SUMIFS('2025数据'!$AX$3:$AX$181,'2025数据'!$L$3:$L$181,"&gt;="&amp;DATE(2025,4,1),'2025数据'!$L$3:$L$181,"&lt;="&amp;DATE(2025,4,30),'2025数据'!$B$3:$B$181,$E853)/10000)</f>
        <v>0</v>
      </c>
      <c r="J853" s="51">
        <f ca="1">IF($S$1&lt;DATE(2025,5,1)," ",SUMIFS('2025数据'!$AX$3:$AX$181,'2025数据'!$L$3:$L$181,"&gt;="&amp;DATE(2025,5,1),'2025数据'!$L$3:$L$181,"&lt;="&amp;DATE(2025,5,31),'2025数据'!$B$3:$B$181,$E853)/10000)</f>
        <v>0</v>
      </c>
      <c r="K853" s="51">
        <f ca="1">IF($S$1&lt;DATE(2025,6,1)," ",SUMIFS('2025数据'!$AX$3:$AX$181,'2025数据'!$L$3:$L$181,"&gt;="&amp;DATE(2025,6,1),'2025数据'!$L$3:$L$181,"&lt;="&amp;DATE(2025,6,30),'2025数据'!$B$3:$B$181,$E853)/10000)</f>
        <v>0.398154</v>
      </c>
      <c r="L853" s="51">
        <f ca="1">IF($S$1&lt;DATE(2025,7,1)," ",SUMIFS('2025数据'!$AX$3:$AX$181,'2025数据'!$L$3:$L$181,"&gt;="&amp;DATE(2025,7,1),'2025数据'!$L$3:$L$181,"&lt;="&amp;DATE(2025,7,31),'2025数据'!$B$3:$B$181,$E853)/10000)</f>
        <v>0.344139</v>
      </c>
      <c r="M853" s="51">
        <f ca="1">IF($S$1&lt;DATE(2025,8,1)," ",SUMIFS('2025数据'!$AX$3:$AX$181,'2025数据'!$L$3:$L$181,"&gt;="&amp;DATE(2025,8,1),'2025数据'!$L$3:$L$181,"&lt;="&amp;DATE(2025,8,31),'2025数据'!$B$3:$B$181,$E853)/10000)</f>
        <v>0.716036</v>
      </c>
      <c r="N853" s="51">
        <f ca="1">IF($S$1&lt;DATE(2025,9,1)," ",SUMIFS('2025数据'!$AX$3:$AX$181,'2025数据'!$L$3:$L$181,"&gt;="&amp;DATE(2025,9,1),'2025数据'!$L$3:$L$181,"&lt;="&amp;DATE(2025,9,30),'2025数据'!$B$3:$B$181,$E853)/10000)</f>
        <v>0.231062</v>
      </c>
      <c r="O853" s="51">
        <f ca="1">IF($S$1&lt;DATE(2025,10,1)," ",SUMIFS('2025数据'!$AX$3:$AX$181,'2025数据'!$L$3:$L$181,"&gt;="&amp;DATE(2025,10,1),'2025数据'!$L$3:$L$181,"&lt;="&amp;DATE(2025,10,31),'2025数据'!$B$3:$B$181,$E853)/10000)</f>
        <v>1.310372</v>
      </c>
      <c r="P853" s="217">
        <f ca="1">IF($S$1&lt;DATE(2025,11,1)," ",SUMIFS('2025数据'!$AX$3:$AX$181,'2025数据'!$L$3:$L$181,"&gt;="&amp;DATE(2025,11,1),'2025数据'!$L$3:$L$181,"&lt;="&amp;DATE(2025,11,30),'2025数据'!$B$3:$B$181,$E853)/10000)</f>
        <v>0</v>
      </c>
      <c r="Q853" s="217">
        <f ca="1">IF($S$1&lt;DATE(2025,12,1)," ",SUMIFS('2025数据'!$AX$3:$AX$181,'2025数据'!$L$3:$L$181,"&gt;="&amp;DATE(2025,12,1),'2025数据'!$L$3:$L$181,"&lt;="&amp;DATE(2025,12,31),'2025数据'!$B$3:$B$181,$E853)/10000)</f>
        <v>0.297443</v>
      </c>
    </row>
    <row r="854" ht="24" customHeight="1" spans="1:17">
      <c r="A854" s="99" t="s">
        <v>346</v>
      </c>
      <c r="B854" s="99" t="s">
        <v>299</v>
      </c>
      <c r="C854" s="99" t="s">
        <v>333</v>
      </c>
      <c r="D854" s="47" t="s">
        <v>294</v>
      </c>
      <c r="E854" s="47" t="s">
        <v>96</v>
      </c>
      <c r="F854" s="51">
        <f ca="1">IF($S$1&lt;DATE(2025,1,1)," ",SUMIFS('2025数据'!$AX$3:$AX$181,'2025数据'!$L$3:$L$181,"&gt;="&amp;DATE(2025,1,1),'2025数据'!$L$3:$L$181,"&lt;="&amp;DATE(2025,1,31),'2025数据'!$B$3:$B$181,$E854)/10000)</f>
        <v>0</v>
      </c>
      <c r="G854" s="51">
        <f ca="1">IF($S$1&lt;DATE(2025,2,1)," ",SUMIFS('2025数据'!$AX$3:$AX$181,'2025数据'!$L$3:$L$181,"&gt;="&amp;DATE(2025,2,1),'2025数据'!$L$3:$L$181,"&lt;="&amp;DATE(2025,2,28),'2025数据'!$B$3:$B$181,$E854)/10000)</f>
        <v>0</v>
      </c>
      <c r="H854" s="51">
        <f ca="1">IF($S$1&lt;DATE(2025,3,1)," ",SUMIFS('2025数据'!$AX$3:$AX$181,'2025数据'!$L$3:$L$181,"&gt;="&amp;DATE(2025,3,1),'2025数据'!$L$3:$L$181,"&lt;="&amp;DATE(2025,3,31),'2025数据'!$B$3:$B$181,$E854)/10000)</f>
        <v>0</v>
      </c>
      <c r="I854" s="51">
        <f ca="1">IF($S$1&lt;DATE(2025,4,1)," ",SUMIFS('2025数据'!$AX$3:$AX$181,'2025数据'!$L$3:$L$181,"&gt;="&amp;DATE(2025,4,1),'2025数据'!$L$3:$L$181,"&lt;="&amp;DATE(2025,4,30),'2025数据'!$B$3:$B$181,$E854)/10000)</f>
        <v>0.299994</v>
      </c>
      <c r="J854" s="51">
        <f ca="1">IF($S$1&lt;DATE(2025,5,1)," ",SUMIFS('2025数据'!$AX$3:$AX$181,'2025数据'!$L$3:$L$181,"&gt;="&amp;DATE(2025,5,1),'2025数据'!$L$3:$L$181,"&lt;="&amp;DATE(2025,5,31),'2025数据'!$B$3:$B$181,$E854)/10000)</f>
        <v>0</v>
      </c>
      <c r="K854" s="51">
        <f ca="1">IF($S$1&lt;DATE(2025,6,1)," ",SUMIFS('2025数据'!$AX$3:$AX$181,'2025数据'!$L$3:$L$181,"&gt;="&amp;DATE(2025,6,1),'2025数据'!$L$3:$L$181,"&lt;="&amp;DATE(2025,6,30),'2025数据'!$B$3:$B$181,$E854)/10000)</f>
        <v>8.401704</v>
      </c>
      <c r="L854" s="51">
        <f ca="1">IF($S$1&lt;DATE(2025,7,1)," ",SUMIFS('2025数据'!$AX$3:$AX$181,'2025数据'!$L$3:$L$181,"&gt;="&amp;DATE(2025,7,1),'2025数据'!$L$3:$L$181,"&lt;="&amp;DATE(2025,7,31),'2025数据'!$B$3:$B$181,$E854)/10000)</f>
        <v>0</v>
      </c>
      <c r="M854" s="51">
        <f ca="1">IF($S$1&lt;DATE(2025,8,1)," ",SUMIFS('2025数据'!$AX$3:$AX$181,'2025数据'!$L$3:$L$181,"&gt;="&amp;DATE(2025,8,1),'2025数据'!$L$3:$L$181,"&lt;="&amp;DATE(2025,8,31),'2025数据'!$B$3:$B$181,$E854)/10000)</f>
        <v>0</v>
      </c>
      <c r="N854" s="51">
        <f ca="1">IF($S$1&lt;DATE(2025,9,1)," ",SUMIFS('2025数据'!$AX$3:$AX$181,'2025数据'!$L$3:$L$181,"&gt;="&amp;DATE(2025,9,1),'2025数据'!$L$3:$L$181,"&lt;="&amp;DATE(2025,9,30),'2025数据'!$B$3:$B$181,$E854)/10000)</f>
        <v>0</v>
      </c>
      <c r="O854" s="51">
        <f ca="1">IF($S$1&lt;DATE(2025,10,1)," ",SUMIFS('2025数据'!$AX$3:$AX$181,'2025数据'!$L$3:$L$181,"&gt;="&amp;DATE(2025,10,1),'2025数据'!$L$3:$L$181,"&lt;="&amp;DATE(2025,10,31),'2025数据'!$B$3:$B$181,$E854)/10000)</f>
        <v>0</v>
      </c>
      <c r="P854" s="217">
        <f ca="1">IF($S$1&lt;DATE(2025,11,1)," ",SUMIFS('2025数据'!$AX$3:$AX$181,'2025数据'!$L$3:$L$181,"&gt;="&amp;DATE(2025,11,1),'2025数据'!$L$3:$L$181,"&lt;="&amp;DATE(2025,11,30),'2025数据'!$B$3:$B$181,$E854)/10000)</f>
        <v>0</v>
      </c>
      <c r="Q854" s="217">
        <f ca="1">IF($S$1&lt;DATE(2025,12,1)," ",SUMIFS('2025数据'!$AX$3:$AX$181,'2025数据'!$L$3:$L$181,"&gt;="&amp;DATE(2025,12,1),'2025数据'!$L$3:$L$181,"&lt;="&amp;DATE(2025,12,31),'2025数据'!$B$3:$B$181,$E854)/10000)</f>
        <v>0</v>
      </c>
    </row>
    <row r="855" ht="24" customHeight="1" spans="1:17">
      <c r="A855" s="99" t="s">
        <v>346</v>
      </c>
      <c r="B855" s="99" t="s">
        <v>299</v>
      </c>
      <c r="C855" s="99" t="s">
        <v>333</v>
      </c>
      <c r="D855" s="47" t="s">
        <v>294</v>
      </c>
      <c r="E855" s="47" t="s">
        <v>160</v>
      </c>
      <c r="F855" s="51">
        <f ca="1">IF($S$1&lt;DATE(2025,1,1)," ",SUMIFS('2025数据'!$AX$3:$AX$181,'2025数据'!$L$3:$L$181,"&gt;="&amp;DATE(2025,1,1),'2025数据'!$L$3:$L$181,"&lt;="&amp;DATE(2025,1,31),'2025数据'!$B$3:$B$181,$E855)/10000)</f>
        <v>0</v>
      </c>
      <c r="G855" s="51">
        <f ca="1">IF($S$1&lt;DATE(2025,2,1)," ",SUMIFS('2025数据'!$AX$3:$AX$181,'2025数据'!$L$3:$L$181,"&gt;="&amp;DATE(2025,2,1),'2025数据'!$L$3:$L$181,"&lt;="&amp;DATE(2025,2,28),'2025数据'!$B$3:$B$181,$E855)/10000)</f>
        <v>0</v>
      </c>
      <c r="H855" s="51">
        <f ca="1">IF($S$1&lt;DATE(2025,3,1)," ",SUMIFS('2025数据'!$AX$3:$AX$181,'2025数据'!$L$3:$L$181,"&gt;="&amp;DATE(2025,3,1),'2025数据'!$L$3:$L$181,"&lt;="&amp;DATE(2025,3,31),'2025数据'!$B$3:$B$181,$E855)/10000)</f>
        <v>0</v>
      </c>
      <c r="I855" s="51">
        <f ca="1">IF($S$1&lt;DATE(2025,4,1)," ",SUMIFS('2025数据'!$AX$3:$AX$181,'2025数据'!$L$3:$L$181,"&gt;="&amp;DATE(2025,4,1),'2025数据'!$L$3:$L$181,"&lt;="&amp;DATE(2025,4,30),'2025数据'!$B$3:$B$181,$E855)/10000)</f>
        <v>0</v>
      </c>
      <c r="J855" s="51">
        <f ca="1">IF($S$1&lt;DATE(2025,5,1)," ",SUMIFS('2025数据'!$AX$3:$AX$181,'2025数据'!$L$3:$L$181,"&gt;="&amp;DATE(2025,5,1),'2025数据'!$L$3:$L$181,"&lt;="&amp;DATE(2025,5,31),'2025数据'!$B$3:$B$181,$E855)/10000)</f>
        <v>0.615324</v>
      </c>
      <c r="K855" s="51">
        <f ca="1">IF($S$1&lt;DATE(2025,6,1)," ",SUMIFS('2025数据'!$AX$3:$AX$181,'2025数据'!$L$3:$L$181,"&gt;="&amp;DATE(2025,6,1),'2025数据'!$L$3:$L$181,"&lt;="&amp;DATE(2025,6,30),'2025数据'!$B$3:$B$181,$E855)/10000)</f>
        <v>0</v>
      </c>
      <c r="L855" s="51">
        <f ca="1">IF($S$1&lt;DATE(2025,7,1)," ",SUMIFS('2025数据'!$AX$3:$AX$181,'2025数据'!$L$3:$L$181,"&gt;="&amp;DATE(2025,7,1),'2025数据'!$L$3:$L$181,"&lt;="&amp;DATE(2025,7,31),'2025数据'!$B$3:$B$181,$E855)/10000)</f>
        <v>0</v>
      </c>
      <c r="M855" s="51">
        <f ca="1">IF($S$1&lt;DATE(2025,8,1)," ",SUMIFS('2025数据'!$AX$3:$AX$181,'2025数据'!$L$3:$L$181,"&gt;="&amp;DATE(2025,8,1),'2025数据'!$L$3:$L$181,"&lt;="&amp;DATE(2025,8,31),'2025数据'!$B$3:$B$181,$E855)/10000)</f>
        <v>0</v>
      </c>
      <c r="N855" s="51">
        <f ca="1">IF($S$1&lt;DATE(2025,9,1)," ",SUMIFS('2025数据'!$AX$3:$AX$181,'2025数据'!$L$3:$L$181,"&gt;="&amp;DATE(2025,9,1),'2025数据'!$L$3:$L$181,"&lt;="&amp;DATE(2025,9,30),'2025数据'!$B$3:$B$181,$E855)/10000)</f>
        <v>0</v>
      </c>
      <c r="O855" s="51">
        <f ca="1">IF($S$1&lt;DATE(2025,10,1)," ",SUMIFS('2025数据'!$AX$3:$AX$181,'2025数据'!$L$3:$L$181,"&gt;="&amp;DATE(2025,10,1),'2025数据'!$L$3:$L$181,"&lt;="&amp;DATE(2025,10,31),'2025数据'!$B$3:$B$181,$E855)/10000)</f>
        <v>0</v>
      </c>
      <c r="P855" s="217">
        <f ca="1">IF($S$1&lt;DATE(2025,11,1)," ",SUMIFS('2025数据'!$AX$3:$AX$181,'2025数据'!$L$3:$L$181,"&gt;="&amp;DATE(2025,11,1),'2025数据'!$L$3:$L$181,"&lt;="&amp;DATE(2025,11,30),'2025数据'!$B$3:$B$181,$E855)/10000)</f>
        <v>0</v>
      </c>
      <c r="Q855" s="217">
        <f ca="1">IF($S$1&lt;DATE(2025,12,1)," ",SUMIFS('2025数据'!$AX$3:$AX$181,'2025数据'!$L$3:$L$181,"&gt;="&amp;DATE(2025,12,1),'2025数据'!$L$3:$L$181,"&lt;="&amp;DATE(2025,12,31),'2025数据'!$B$3:$B$181,$E855)/10000)</f>
        <v>0</v>
      </c>
    </row>
    <row r="856" ht="24" customHeight="1" spans="1:17">
      <c r="A856" s="99" t="s">
        <v>346</v>
      </c>
      <c r="B856" s="99" t="s">
        <v>299</v>
      </c>
      <c r="C856" s="99" t="s">
        <v>334</v>
      </c>
      <c r="D856" s="213" t="s">
        <v>292</v>
      </c>
      <c r="E856" s="213" t="s">
        <v>300</v>
      </c>
      <c r="F856" s="216">
        <f ca="1">IF($S$1&lt;DATE(2025,1,1)," ",SUM(F857:F861))</f>
        <v>5.397393</v>
      </c>
      <c r="G856" s="216">
        <f ca="1">IF($S$1&lt;DATE(2025,2,1)," ",SUM(G857:G861))</f>
        <v>0</v>
      </c>
      <c r="H856" s="216">
        <f ca="1">IF($S$1&lt;DATE(2025,3,1)," ",SUM(H857:H861))</f>
        <v>0.865404</v>
      </c>
      <c r="I856" s="216">
        <f ca="1">IF($S$1&lt;DATE(2025,4,1)," ",SUM(I857:I861))</f>
        <v>19.291854</v>
      </c>
      <c r="J856" s="216">
        <f ca="1">IF($S$1&lt;DATE(2025,5,1)," ",SUM(J857:J861))</f>
        <v>1.494286</v>
      </c>
      <c r="K856" s="216">
        <f ca="1">IF($S$1&lt;DATE(2025,6,1)," ",SUM(K857:K861))</f>
        <v>13.394773</v>
      </c>
      <c r="L856" s="216">
        <f ca="1">IF($S$1&lt;DATE(2025,7,1)," ",SUM(L857:L861))</f>
        <v>2.291495</v>
      </c>
      <c r="M856" s="216">
        <f ca="1">IF($S$1&lt;DATE(2025,8,1)," ",SUM(M857:M861))</f>
        <v>4.190835</v>
      </c>
      <c r="N856" s="216">
        <f ca="1">IF($S$1&lt;DATE(2025,9,1)," ",SUM(N857:N861))</f>
        <v>3.660584</v>
      </c>
      <c r="O856" s="216">
        <f ca="1">IF($S$1&lt;DATE(2025,10,1)," ",SUM(O857:O861))</f>
        <v>2.458989</v>
      </c>
      <c r="P856" s="216">
        <f ca="1">IF($S$1&lt;DATE(2025,11,1)," ",SUM(P857:P861))</f>
        <v>0.46475</v>
      </c>
      <c r="Q856" s="216">
        <f ca="1">IF($S$1&lt;DATE(2025,12,1)," ",SUM(Q857:Q861))</f>
        <v>3.475502</v>
      </c>
    </row>
    <row r="857" ht="24" customHeight="1" spans="1:17">
      <c r="A857" s="99" t="s">
        <v>346</v>
      </c>
      <c r="B857" s="99" t="s">
        <v>299</v>
      </c>
      <c r="C857" s="99" t="s">
        <v>334</v>
      </c>
      <c r="D857" s="214" t="s">
        <v>294</v>
      </c>
      <c r="E857" s="214" t="s">
        <v>93</v>
      </c>
      <c r="F857" s="51">
        <f ca="1">IF($S$1&lt;DATE(2025,1,1)," ",SUMIFS('2025数据'!$AW$3:$AW$181,'2025数据'!$L$3:$L$181,"&gt;="&amp;DATE(2025,1,1),'2025数据'!$L$3:$L$181,"&lt;="&amp;DATE(2025,1,31),'2025数据'!$B$3:$B$181,$E857)/10000)</f>
        <v>0.806164</v>
      </c>
      <c r="G857" s="51">
        <f ca="1">IF($S$1&lt;DATE(2025,2,1)," ",SUMIFS('2025数据'!$AW$3:$AW$181,'2025数据'!$L$3:$L$181,"&gt;="&amp;DATE(2025,2,1),'2025数据'!$L$3:$L$181,"&lt;="&amp;DATE(2025,2,28),'2025数据'!$B$3:$B$181,$E857)/10000)</f>
        <v>0</v>
      </c>
      <c r="H857" s="51">
        <f ca="1">IF($S$1&lt;DATE(2025,3,1)," ",SUMIFS('2025数据'!$AW$3:$AW$181,'2025数据'!$L$3:$L$181,"&gt;="&amp;DATE(2025,3,1),'2025数据'!$L$3:$L$181,"&lt;="&amp;DATE(2025,3,31),'2025数据'!$B$3:$B$181,$E857)/10000)</f>
        <v>0</v>
      </c>
      <c r="I857" s="51">
        <f ca="1">IF($S$1&lt;DATE(2025,4,1)," ",SUMIFS('2025数据'!$AW$3:$AW$181,'2025数据'!$L$3:$L$181,"&gt;="&amp;DATE(2025,4,1),'2025数据'!$L$3:$L$181,"&lt;="&amp;DATE(2025,4,30),'2025数据'!$B$3:$B$181,$E857)/10000)</f>
        <v>15.786421</v>
      </c>
      <c r="J857" s="51">
        <f ca="1">IF($S$1&lt;DATE(2025,5,1)," ",SUMIFS('2025数据'!$AW$3:$AW$181,'2025数据'!$L$3:$L$181,"&gt;="&amp;DATE(2025,5,1),'2025数据'!$L$3:$L$181,"&lt;="&amp;DATE(2025,5,31),'2025数据'!$B$3:$B$181,$E857)/10000)</f>
        <v>0.525975</v>
      </c>
      <c r="K857" s="51">
        <f ca="1">IF($S$1&lt;DATE(2025,6,1)," ",SUMIFS('2025数据'!$AW$3:$AW$181,'2025数据'!$L$3:$L$181,"&gt;="&amp;DATE(2025,6,1),'2025数据'!$L$3:$L$181,"&lt;="&amp;DATE(2025,6,30),'2025数据'!$B$3:$B$181,$E857)/10000)</f>
        <v>4.421965</v>
      </c>
      <c r="L857" s="51">
        <f ca="1">IF($S$1&lt;DATE(2025,7,1)," ",SUMIFS('2025数据'!$AW$3:$AW$181,'2025数据'!$L$3:$L$181,"&gt;="&amp;DATE(2025,7,1),'2025数据'!$L$3:$L$181,"&lt;="&amp;DATE(2025,7,31),'2025数据'!$B$3:$B$181,$E857)/10000)</f>
        <v>1.948284</v>
      </c>
      <c r="M857" s="51">
        <f ca="1">IF($S$1&lt;DATE(2025,8,1)," ",SUMIFS('2025数据'!$AW$3:$AW$181,'2025数据'!$L$3:$L$181,"&gt;="&amp;DATE(2025,8,1),'2025数据'!$L$3:$L$181,"&lt;="&amp;DATE(2025,8,31),'2025数据'!$B$3:$B$181,$E857)/10000)</f>
        <v>1.585799</v>
      </c>
      <c r="N857" s="51">
        <f ca="1">IF($S$1&lt;DATE(2025,9,1)," ",SUMIFS('2025数据'!$AW$3:$AW$181,'2025数据'!$L$3:$L$181,"&gt;="&amp;DATE(2025,9,1),'2025数据'!$L$3:$L$181,"&lt;="&amp;DATE(2025,9,30),'2025数据'!$B$3:$B$181,$E857)/10000)</f>
        <v>2.945991</v>
      </c>
      <c r="O857" s="51">
        <f ca="1">IF($S$1&lt;DATE(2025,10,1)," ",SUMIFS('2025数据'!$AW$3:$AW$181,'2025数据'!$L$3:$L$181,"&gt;="&amp;DATE(2025,10,1),'2025数据'!$L$3:$L$181,"&lt;="&amp;DATE(2025,10,31),'2025数据'!$B$3:$B$181,$E857)/10000)</f>
        <v>0.777922</v>
      </c>
      <c r="P857" s="217">
        <f ca="1">IF($S$1&lt;DATE(2025,11,1)," ",SUMIFS('2025数据'!$AW$3:$AW$181,'2025数据'!$L$3:$L$181,"&gt;="&amp;DATE(2025,11,1),'2025数据'!$L$3:$L$181,"&lt;="&amp;DATE(2025,11,30),'2025数据'!$B$3:$B$181,$E857)/10000)</f>
        <v>0.204482</v>
      </c>
      <c r="Q857" s="217">
        <f ca="1">IF($S$1&lt;DATE(2025,12,1)," ",SUMIFS('2025数据'!$AW$3:$AW$181,'2025数据'!$L$3:$L$181,"&gt;="&amp;DATE(2025,12,1),'2025数据'!$L$3:$L$181,"&lt;="&amp;DATE(2025,12,31),'2025数据'!$B$3:$B$181,$E857)/10000)</f>
        <v>0.414477</v>
      </c>
    </row>
    <row r="858" ht="24" customHeight="1" spans="1:17">
      <c r="A858" s="99" t="s">
        <v>346</v>
      </c>
      <c r="B858" s="99" t="s">
        <v>299</v>
      </c>
      <c r="C858" s="99" t="s">
        <v>334</v>
      </c>
      <c r="D858" s="214" t="s">
        <v>294</v>
      </c>
      <c r="E858" s="214" t="s">
        <v>85</v>
      </c>
      <c r="F858" s="51">
        <f ca="1">IF($S$1&lt;DATE(2025,1,1)," ",SUMIFS('2025数据'!$AW$3:$AW$181,'2025数据'!$L$3:$L$181,"&gt;="&amp;DATE(2025,1,1),'2025数据'!$L$3:$L$181,"&lt;="&amp;DATE(2025,1,31),'2025数据'!$B$3:$B$181,$E858)/10000)</f>
        <v>4.591229</v>
      </c>
      <c r="G858" s="51">
        <f ca="1">IF($S$1&lt;DATE(2025,2,1)," ",SUMIFS('2025数据'!$AW$3:$AW$181,'2025数据'!$L$3:$L$181,"&gt;="&amp;DATE(2025,2,1),'2025数据'!$L$3:$L$181,"&lt;="&amp;DATE(2025,2,28),'2025数据'!$B$3:$B$181,$E858)/10000)</f>
        <v>0</v>
      </c>
      <c r="H858" s="51">
        <f ca="1">IF($S$1&lt;DATE(2025,3,1)," ",SUMIFS('2025数据'!$AW$3:$AW$181,'2025数据'!$L$3:$L$181,"&gt;="&amp;DATE(2025,3,1),'2025数据'!$L$3:$L$181,"&lt;="&amp;DATE(2025,3,31),'2025数据'!$B$3:$B$181,$E858)/10000)</f>
        <v>0</v>
      </c>
      <c r="I858" s="51">
        <f ca="1">IF($S$1&lt;DATE(2025,4,1)," ",SUMIFS('2025数据'!$AW$3:$AW$181,'2025数据'!$L$3:$L$181,"&gt;="&amp;DATE(2025,4,1),'2025数据'!$L$3:$L$181,"&lt;="&amp;DATE(2025,4,30),'2025数据'!$B$3:$B$181,$E858)/10000)</f>
        <v>3.205439</v>
      </c>
      <c r="J858" s="51">
        <f ca="1">IF($S$1&lt;DATE(2025,5,1)," ",SUMIFS('2025数据'!$AW$3:$AW$181,'2025数据'!$L$3:$L$181,"&gt;="&amp;DATE(2025,5,1),'2025数据'!$L$3:$L$181,"&lt;="&amp;DATE(2025,5,31),'2025数据'!$B$3:$B$181,$E858)/10000)</f>
        <v>0.334073</v>
      </c>
      <c r="K858" s="51">
        <f ca="1">IF($S$1&lt;DATE(2025,6,1)," ",SUMIFS('2025数据'!$AW$3:$AW$181,'2025数据'!$L$3:$L$181,"&gt;="&amp;DATE(2025,6,1),'2025数据'!$L$3:$L$181,"&lt;="&amp;DATE(2025,6,30),'2025数据'!$B$3:$B$181,$E858)/10000)</f>
        <v>0</v>
      </c>
      <c r="L858" s="51">
        <f ca="1">IF($S$1&lt;DATE(2025,7,1)," ",SUMIFS('2025数据'!$AW$3:$AW$181,'2025数据'!$L$3:$L$181,"&gt;="&amp;DATE(2025,7,1),'2025数据'!$L$3:$L$181,"&lt;="&amp;DATE(2025,7,31),'2025数据'!$B$3:$B$181,$E858)/10000)</f>
        <v>0</v>
      </c>
      <c r="M858" s="51">
        <f ca="1">IF($S$1&lt;DATE(2025,8,1)," ",SUMIFS('2025数据'!$AW$3:$AW$181,'2025数据'!$L$3:$L$181,"&gt;="&amp;DATE(2025,8,1),'2025数据'!$L$3:$L$181,"&lt;="&amp;DATE(2025,8,31),'2025数据'!$B$3:$B$181,$E858)/10000)</f>
        <v>1.837541</v>
      </c>
      <c r="N858" s="51">
        <f ca="1">IF($S$1&lt;DATE(2025,9,1)," ",SUMIFS('2025数据'!$AW$3:$AW$181,'2025数据'!$L$3:$L$181,"&gt;="&amp;DATE(2025,9,1),'2025数据'!$L$3:$L$181,"&lt;="&amp;DATE(2025,9,30),'2025数据'!$B$3:$B$181,$E858)/10000)</f>
        <v>0.472054</v>
      </c>
      <c r="O858" s="51">
        <f ca="1">IF($S$1&lt;DATE(2025,10,1)," ",SUMIFS('2025数据'!$AW$3:$AW$181,'2025数据'!$L$3:$L$181,"&gt;="&amp;DATE(2025,10,1),'2025数据'!$L$3:$L$181,"&lt;="&amp;DATE(2025,10,31),'2025数据'!$B$3:$B$181,$E858)/10000)</f>
        <v>0.367408</v>
      </c>
      <c r="P858" s="217">
        <f ca="1">IF($S$1&lt;DATE(2025,11,1)," ",SUMIFS('2025数据'!$AW$3:$AW$181,'2025数据'!$L$3:$L$181,"&gt;="&amp;DATE(2025,11,1),'2025数据'!$L$3:$L$181,"&lt;="&amp;DATE(2025,11,30),'2025数据'!$B$3:$B$181,$E858)/10000)</f>
        <v>0.260268</v>
      </c>
      <c r="Q858" s="217">
        <f ca="1">IF($S$1&lt;DATE(2025,12,1)," ",SUMIFS('2025数据'!$AW$3:$AW$181,'2025数据'!$L$3:$L$181,"&gt;="&amp;DATE(2025,12,1),'2025数据'!$L$3:$L$181,"&lt;="&amp;DATE(2025,12,31),'2025数据'!$B$3:$B$181,$E858)/10000)</f>
        <v>2.762453</v>
      </c>
    </row>
    <row r="859" ht="24" customHeight="1" spans="1:17">
      <c r="A859" s="99" t="s">
        <v>346</v>
      </c>
      <c r="B859" s="99" t="s">
        <v>299</v>
      </c>
      <c r="C859" s="99" t="s">
        <v>334</v>
      </c>
      <c r="D859" s="214" t="s">
        <v>294</v>
      </c>
      <c r="E859" s="214" t="s">
        <v>81</v>
      </c>
      <c r="F859" s="51">
        <f ca="1">IF($S$1&lt;DATE(2025,1,1)," ",SUMIFS('2025数据'!$AW$3:$AW$181,'2025数据'!$L$3:$L$181,"&gt;="&amp;DATE(2025,1,1),'2025数据'!$L$3:$L$181,"&lt;="&amp;DATE(2025,1,31),'2025数据'!$B$3:$B$181,$E859)/10000)</f>
        <v>0</v>
      </c>
      <c r="G859" s="51">
        <f ca="1">IF($S$1&lt;DATE(2025,2,1)," ",SUMIFS('2025数据'!$AW$3:$AW$181,'2025数据'!$L$3:$L$181,"&gt;="&amp;DATE(2025,2,1),'2025数据'!$L$3:$L$181,"&lt;="&amp;DATE(2025,2,28),'2025数据'!$B$3:$B$181,$E859)/10000)</f>
        <v>0</v>
      </c>
      <c r="H859" s="51">
        <f ca="1">IF($S$1&lt;DATE(2025,3,1)," ",SUMIFS('2025数据'!$AW$3:$AW$181,'2025数据'!$L$3:$L$181,"&gt;="&amp;DATE(2025,3,1),'2025数据'!$L$3:$L$181,"&lt;="&amp;DATE(2025,3,31),'2025数据'!$B$3:$B$181,$E859)/10000)</f>
        <v>0.865404</v>
      </c>
      <c r="I859" s="51">
        <f ca="1">IF($S$1&lt;DATE(2025,4,1)," ",SUMIFS('2025数据'!$AW$3:$AW$181,'2025数据'!$L$3:$L$181,"&gt;="&amp;DATE(2025,4,1),'2025数据'!$L$3:$L$181,"&lt;="&amp;DATE(2025,4,30),'2025数据'!$B$3:$B$181,$E859)/10000)</f>
        <v>0</v>
      </c>
      <c r="J859" s="51">
        <f ca="1">IF($S$1&lt;DATE(2025,5,1)," ",SUMIFS('2025数据'!$AW$3:$AW$181,'2025数据'!$L$3:$L$181,"&gt;="&amp;DATE(2025,5,1),'2025数据'!$L$3:$L$181,"&lt;="&amp;DATE(2025,5,31),'2025数据'!$B$3:$B$181,$E859)/10000)</f>
        <v>0</v>
      </c>
      <c r="K859" s="51">
        <f ca="1">IF($S$1&lt;DATE(2025,6,1)," ",SUMIFS('2025数据'!$AW$3:$AW$181,'2025数据'!$L$3:$L$181,"&gt;="&amp;DATE(2025,6,1),'2025数据'!$L$3:$L$181,"&lt;="&amp;DATE(2025,6,30),'2025数据'!$B$3:$B$181,$E859)/10000)</f>
        <v>0.40767</v>
      </c>
      <c r="L859" s="51">
        <f ca="1">IF($S$1&lt;DATE(2025,7,1)," ",SUMIFS('2025数据'!$AW$3:$AW$181,'2025数据'!$L$3:$L$181,"&gt;="&amp;DATE(2025,7,1),'2025数据'!$L$3:$L$181,"&lt;="&amp;DATE(2025,7,31),'2025数据'!$B$3:$B$181,$E859)/10000)</f>
        <v>0.343211</v>
      </c>
      <c r="M859" s="51">
        <f ca="1">IF($S$1&lt;DATE(2025,8,1)," ",SUMIFS('2025数据'!$AW$3:$AW$181,'2025数据'!$L$3:$L$181,"&gt;="&amp;DATE(2025,8,1),'2025数据'!$L$3:$L$181,"&lt;="&amp;DATE(2025,8,31),'2025数据'!$B$3:$B$181,$E859)/10000)</f>
        <v>0.767495</v>
      </c>
      <c r="N859" s="51">
        <f ca="1">IF($S$1&lt;DATE(2025,9,1)," ",SUMIFS('2025数据'!$AW$3:$AW$181,'2025数据'!$L$3:$L$181,"&gt;="&amp;DATE(2025,9,1),'2025数据'!$L$3:$L$181,"&lt;="&amp;DATE(2025,9,30),'2025数据'!$B$3:$B$181,$E859)/10000)</f>
        <v>0.242539</v>
      </c>
      <c r="O859" s="51">
        <f ca="1">IF($S$1&lt;DATE(2025,10,1)," ",SUMIFS('2025数据'!$AW$3:$AW$181,'2025数据'!$L$3:$L$181,"&gt;="&amp;DATE(2025,10,1),'2025数据'!$L$3:$L$181,"&lt;="&amp;DATE(2025,10,31),'2025数据'!$B$3:$B$181,$E859)/10000)</f>
        <v>1.313659</v>
      </c>
      <c r="P859" s="217">
        <f ca="1">IF($S$1&lt;DATE(2025,11,1)," ",SUMIFS('2025数据'!$AW$3:$AW$181,'2025数据'!$L$3:$L$181,"&gt;="&amp;DATE(2025,11,1),'2025数据'!$L$3:$L$181,"&lt;="&amp;DATE(2025,11,30),'2025数据'!$B$3:$B$181,$E859)/10000)</f>
        <v>0</v>
      </c>
      <c r="Q859" s="217">
        <f ca="1">IF($S$1&lt;DATE(2025,12,1)," ",SUMIFS('2025数据'!$AW$3:$AW$181,'2025数据'!$L$3:$L$181,"&gt;="&amp;DATE(2025,12,1),'2025数据'!$L$3:$L$181,"&lt;="&amp;DATE(2025,12,31),'2025数据'!$B$3:$B$181,$E859)/10000)</f>
        <v>0.298572</v>
      </c>
    </row>
    <row r="860" ht="24" customHeight="1" spans="1:17">
      <c r="A860" s="99" t="s">
        <v>346</v>
      </c>
      <c r="B860" s="99" t="s">
        <v>299</v>
      </c>
      <c r="C860" s="99" t="s">
        <v>334</v>
      </c>
      <c r="D860" s="214" t="s">
        <v>294</v>
      </c>
      <c r="E860" s="214" t="s">
        <v>96</v>
      </c>
      <c r="F860" s="51">
        <f ca="1">IF($S$1&lt;DATE(2025,1,1)," ",SUMIFS('2025数据'!$AW$3:$AW$181,'2025数据'!$L$3:$L$181,"&gt;="&amp;DATE(2025,1,1),'2025数据'!$L$3:$L$181,"&lt;="&amp;DATE(2025,1,31),'2025数据'!$B$3:$B$181,$E860)/10000)</f>
        <v>0</v>
      </c>
      <c r="G860" s="51">
        <f ca="1">IF($S$1&lt;DATE(2025,2,1)," ",SUMIFS('2025数据'!$AW$3:$AW$181,'2025数据'!$L$3:$L$181,"&gt;="&amp;DATE(2025,2,1),'2025数据'!$L$3:$L$181,"&lt;="&amp;DATE(2025,2,28),'2025数据'!$B$3:$B$181,$E860)/10000)</f>
        <v>0</v>
      </c>
      <c r="H860" s="51">
        <f ca="1">IF($S$1&lt;DATE(2025,3,1)," ",SUMIFS('2025数据'!$AW$3:$AW$181,'2025数据'!$L$3:$L$181,"&gt;="&amp;DATE(2025,3,1),'2025数据'!$L$3:$L$181,"&lt;="&amp;DATE(2025,3,31),'2025数据'!$B$3:$B$181,$E860)/10000)</f>
        <v>0</v>
      </c>
      <c r="I860" s="51">
        <f ca="1">IF($S$1&lt;DATE(2025,4,1)," ",SUMIFS('2025数据'!$AW$3:$AW$181,'2025数据'!$L$3:$L$181,"&gt;="&amp;DATE(2025,4,1),'2025数据'!$L$3:$L$181,"&lt;="&amp;DATE(2025,4,30),'2025数据'!$B$3:$B$181,$E860)/10000)</f>
        <v>0.299994</v>
      </c>
      <c r="J860" s="51">
        <f ca="1">IF($S$1&lt;DATE(2025,5,1)," ",SUMIFS('2025数据'!$AW$3:$AW$181,'2025数据'!$L$3:$L$181,"&gt;="&amp;DATE(2025,5,1),'2025数据'!$L$3:$L$181,"&lt;="&amp;DATE(2025,5,31),'2025数据'!$B$3:$B$181,$E860)/10000)</f>
        <v>0</v>
      </c>
      <c r="K860" s="51">
        <f ca="1">IF($S$1&lt;DATE(2025,6,1)," ",SUMIFS('2025数据'!$AW$3:$AW$181,'2025数据'!$L$3:$L$181,"&gt;="&amp;DATE(2025,6,1),'2025数据'!$L$3:$L$181,"&lt;="&amp;DATE(2025,6,30),'2025数据'!$B$3:$B$181,$E860)/10000)</f>
        <v>8.565138</v>
      </c>
      <c r="L860" s="51">
        <f ca="1">IF($S$1&lt;DATE(2025,7,1)," ",SUMIFS('2025数据'!$AW$3:$AW$181,'2025数据'!$L$3:$L$181,"&gt;="&amp;DATE(2025,7,1),'2025数据'!$L$3:$L$181,"&lt;="&amp;DATE(2025,7,31),'2025数据'!$B$3:$B$181,$E860)/10000)</f>
        <v>0</v>
      </c>
      <c r="M860" s="51">
        <f ca="1">IF($S$1&lt;DATE(2025,8,1)," ",SUMIFS('2025数据'!$AW$3:$AW$181,'2025数据'!$L$3:$L$181,"&gt;="&amp;DATE(2025,8,1),'2025数据'!$L$3:$L$181,"&lt;="&amp;DATE(2025,8,31),'2025数据'!$B$3:$B$181,$E860)/10000)</f>
        <v>0</v>
      </c>
      <c r="N860" s="51">
        <f ca="1">IF($S$1&lt;DATE(2025,9,1)," ",SUMIFS('2025数据'!$AW$3:$AW$181,'2025数据'!$L$3:$L$181,"&gt;="&amp;DATE(2025,9,1),'2025数据'!$L$3:$L$181,"&lt;="&amp;DATE(2025,9,30),'2025数据'!$B$3:$B$181,$E860)/10000)</f>
        <v>0</v>
      </c>
      <c r="O860" s="51">
        <f ca="1">IF($S$1&lt;DATE(2025,10,1)," ",SUMIFS('2025数据'!$AW$3:$AW$181,'2025数据'!$L$3:$L$181,"&gt;="&amp;DATE(2025,10,1),'2025数据'!$L$3:$L$181,"&lt;="&amp;DATE(2025,10,31),'2025数据'!$B$3:$B$181,$E860)/10000)</f>
        <v>0</v>
      </c>
      <c r="P860" s="217">
        <f ca="1">IF($S$1&lt;DATE(2025,11,1)," ",SUMIFS('2025数据'!$AW$3:$AW$181,'2025数据'!$L$3:$L$181,"&gt;="&amp;DATE(2025,11,1),'2025数据'!$L$3:$L$181,"&lt;="&amp;DATE(2025,11,30),'2025数据'!$B$3:$B$181,$E860)/10000)</f>
        <v>0</v>
      </c>
      <c r="Q860" s="217">
        <f ca="1">IF($S$1&lt;DATE(2025,12,1)," ",SUMIFS('2025数据'!$AW$3:$AW$181,'2025数据'!$L$3:$L$181,"&gt;="&amp;DATE(2025,12,1),'2025数据'!$L$3:$L$181,"&lt;="&amp;DATE(2025,12,31),'2025数据'!$B$3:$B$181,$E860)/10000)</f>
        <v>0</v>
      </c>
    </row>
    <row r="861" ht="24" customHeight="1" spans="1:17">
      <c r="A861" s="99" t="s">
        <v>346</v>
      </c>
      <c r="B861" s="99" t="s">
        <v>299</v>
      </c>
      <c r="C861" s="99" t="s">
        <v>334</v>
      </c>
      <c r="D861" s="214" t="s">
        <v>294</v>
      </c>
      <c r="E861" s="214" t="s">
        <v>160</v>
      </c>
      <c r="F861" s="51">
        <f ca="1">IF($S$1&lt;DATE(2025,1,1)," ",SUMIFS('2025数据'!$AW$3:$AW$181,'2025数据'!$L$3:$L$181,"&gt;="&amp;DATE(2025,1,1),'2025数据'!$L$3:$L$181,"&lt;="&amp;DATE(2025,1,31),'2025数据'!$B$3:$B$181,$E861)/10000)</f>
        <v>0</v>
      </c>
      <c r="G861" s="51">
        <f ca="1">IF($S$1&lt;DATE(2025,2,1)," ",SUMIFS('2025数据'!$AW$3:$AW$181,'2025数据'!$L$3:$L$181,"&gt;="&amp;DATE(2025,2,1),'2025数据'!$L$3:$L$181,"&lt;="&amp;DATE(2025,2,28),'2025数据'!$B$3:$B$181,$E861)/10000)</f>
        <v>0</v>
      </c>
      <c r="H861" s="51">
        <f ca="1">IF($S$1&lt;DATE(2025,3,1)," ",SUMIFS('2025数据'!$AW$3:$AW$181,'2025数据'!$L$3:$L$181,"&gt;="&amp;DATE(2025,3,1),'2025数据'!$L$3:$L$181,"&lt;="&amp;DATE(2025,3,31),'2025数据'!$B$3:$B$181,$E861)/10000)</f>
        <v>0</v>
      </c>
      <c r="I861" s="51">
        <f ca="1">IF($S$1&lt;DATE(2025,4,1)," ",SUMIFS('2025数据'!$AW$3:$AW$181,'2025数据'!$L$3:$L$181,"&gt;="&amp;DATE(2025,4,1),'2025数据'!$L$3:$L$181,"&lt;="&amp;DATE(2025,4,30),'2025数据'!$B$3:$B$181,$E861)/10000)</f>
        <v>0</v>
      </c>
      <c r="J861" s="51">
        <f ca="1">IF($S$1&lt;DATE(2025,5,1)," ",SUMIFS('2025数据'!$AW$3:$AW$181,'2025数据'!$L$3:$L$181,"&gt;="&amp;DATE(2025,5,1),'2025数据'!$L$3:$L$181,"&lt;="&amp;DATE(2025,5,31),'2025数据'!$B$3:$B$181,$E861)/10000)</f>
        <v>0.634238</v>
      </c>
      <c r="K861" s="51">
        <f ca="1">IF($S$1&lt;DATE(2025,6,1)," ",SUMIFS('2025数据'!$AW$3:$AW$181,'2025数据'!$L$3:$L$181,"&gt;="&amp;DATE(2025,6,1),'2025数据'!$L$3:$L$181,"&lt;="&amp;DATE(2025,6,30),'2025数据'!$B$3:$B$181,$E861)/10000)</f>
        <v>0</v>
      </c>
      <c r="L861" s="51">
        <f ca="1">IF($S$1&lt;DATE(2025,7,1)," ",SUMIFS('2025数据'!$AW$3:$AW$181,'2025数据'!$L$3:$L$181,"&gt;="&amp;DATE(2025,7,1),'2025数据'!$L$3:$L$181,"&lt;="&amp;DATE(2025,7,31),'2025数据'!$B$3:$B$181,$E861)/10000)</f>
        <v>0</v>
      </c>
      <c r="M861" s="51">
        <f ca="1">IF($S$1&lt;DATE(2025,8,1)," ",SUMIFS('2025数据'!$AW$3:$AW$181,'2025数据'!$L$3:$L$181,"&gt;="&amp;DATE(2025,8,1),'2025数据'!$L$3:$L$181,"&lt;="&amp;DATE(2025,8,31),'2025数据'!$B$3:$B$181,$E861)/10000)</f>
        <v>0</v>
      </c>
      <c r="N861" s="51">
        <f ca="1">IF($S$1&lt;DATE(2025,9,1)," ",SUMIFS('2025数据'!$AW$3:$AW$181,'2025数据'!$L$3:$L$181,"&gt;="&amp;DATE(2025,9,1),'2025数据'!$L$3:$L$181,"&lt;="&amp;DATE(2025,9,30),'2025数据'!$B$3:$B$181,$E861)/10000)</f>
        <v>0</v>
      </c>
      <c r="O861" s="51">
        <f ca="1">IF($S$1&lt;DATE(2025,10,1)," ",SUMIFS('2025数据'!$AW$3:$AW$181,'2025数据'!$L$3:$L$181,"&gt;="&amp;DATE(2025,10,1),'2025数据'!$L$3:$L$181,"&lt;="&amp;DATE(2025,10,31),'2025数据'!$B$3:$B$181,$E861)/10000)</f>
        <v>0</v>
      </c>
      <c r="P861" s="217">
        <f ca="1">IF($S$1&lt;DATE(2025,11,1)," ",SUMIFS('2025数据'!$AW$3:$AW$181,'2025数据'!$L$3:$L$181,"&gt;="&amp;DATE(2025,11,1),'2025数据'!$L$3:$L$181,"&lt;="&amp;DATE(2025,11,30),'2025数据'!$B$3:$B$181,$E861)/10000)</f>
        <v>0</v>
      </c>
      <c r="Q861" s="217">
        <f ca="1">IF($S$1&lt;DATE(2025,12,1)," ",SUMIFS('2025数据'!$AW$3:$AW$181,'2025数据'!$L$3:$L$181,"&gt;="&amp;DATE(2025,12,1),'2025数据'!$L$3:$L$181,"&lt;="&amp;DATE(2025,12,31),'2025数据'!$B$3:$B$181,$E861)/10000)</f>
        <v>0</v>
      </c>
    </row>
    <row r="862" ht="24" customHeight="1" spans="1:17">
      <c r="A862" s="99" t="s">
        <v>346</v>
      </c>
      <c r="B862" s="99" t="s">
        <v>299</v>
      </c>
      <c r="C862" s="99" t="s">
        <v>335</v>
      </c>
      <c r="D862" s="213" t="s">
        <v>292</v>
      </c>
      <c r="E862" s="213" t="s">
        <v>300</v>
      </c>
      <c r="F862" s="216">
        <f ca="1">IF($S$1&lt;DATE(2025,1,1)," ",F856)</f>
        <v>5.397393</v>
      </c>
      <c r="G862" s="216">
        <f ca="1">IF($S$1&lt;DATE(2025,2,1)," ",F862+G856)</f>
        <v>5.397393</v>
      </c>
      <c r="H862" s="216">
        <f ca="1">IF($S$1&lt;DATE(2025,3,1)," ",G862+H856)</f>
        <v>6.262797</v>
      </c>
      <c r="I862" s="216">
        <f ca="1">IF($S$1&lt;DATE(2025,4,1)," ",H862+I856)</f>
        <v>25.554651</v>
      </c>
      <c r="J862" s="216">
        <f ca="1">IF($S$1&lt;DATE(2025,5,1)," ",I862+J856)</f>
        <v>27.048937</v>
      </c>
      <c r="K862" s="216">
        <f ca="1">IF($S$1&lt;DATE(2025,6,1)," ",J862+K856)</f>
        <v>40.44371</v>
      </c>
      <c r="L862" s="216">
        <f ca="1">IF($S$1&lt;DATE(2025,7,1)," ",K862+L856)</f>
        <v>42.735205</v>
      </c>
      <c r="M862" s="216">
        <f ca="1">IF($S$1&lt;DATE(2025,8,1)," ",L862+M856)</f>
        <v>46.92604</v>
      </c>
      <c r="N862" s="216">
        <f ca="1">IF($S$1&lt;DATE(2025,9,1)," ",M862+N856)</f>
        <v>50.586624</v>
      </c>
      <c r="O862" s="216">
        <f ca="1">IF($S$1&lt;DATE(2025,10,1)," ",N862+O856)</f>
        <v>53.045613</v>
      </c>
      <c r="P862" s="216">
        <f ca="1">IF($S$1&lt;DATE(2025,11,1)," ",O862+P856)</f>
        <v>53.510363</v>
      </c>
      <c r="Q862" s="216">
        <f ca="1">IF($S$1&lt;DATE(2025,12,1)," ",P862+Q856)</f>
        <v>56.985865</v>
      </c>
    </row>
    <row r="863" ht="24" customHeight="1" spans="1:17">
      <c r="A863" s="99" t="s">
        <v>346</v>
      </c>
      <c r="B863" s="99" t="s">
        <v>299</v>
      </c>
      <c r="C863" s="99" t="s">
        <v>336</v>
      </c>
      <c r="D863" s="114" t="s">
        <v>292</v>
      </c>
      <c r="E863" s="114" t="s">
        <v>300</v>
      </c>
      <c r="F863" s="215">
        <f ca="1">IF($S$1&lt;DATE(2025,1,1)," ",SUM(F864:F870))</f>
        <v>5.174457</v>
      </c>
      <c r="G863" s="215">
        <f ca="1">IF($S$1&lt;DATE(2025,2,1)," ",SUM(G864:G870))</f>
        <v>0</v>
      </c>
      <c r="H863" s="215">
        <f ca="1">IF($S$1&lt;DATE(2025,3,1)," ",SUM(H864:H870))</f>
        <v>0.906862</v>
      </c>
      <c r="I863" s="215">
        <f ca="1">IF($S$1&lt;DATE(2025,4,1)," ",SUM(I864:I870))</f>
        <v>19.80049</v>
      </c>
      <c r="J863" s="215">
        <f ca="1">IF($S$1&lt;DATE(2025,5,1)," ",SUM(J864:J870))</f>
        <v>1.416169</v>
      </c>
      <c r="K863" s="215">
        <f ca="1">IF($S$1&lt;DATE(2025,6,1)," ",SUM(K864:K870))</f>
        <v>13.386895</v>
      </c>
      <c r="L863" s="215">
        <f ca="1">IF($S$1&lt;DATE(2025,7,1)," ",SUM(L864:L870))</f>
        <v>2.294545</v>
      </c>
      <c r="M863" s="215">
        <f ca="1">IF($S$1&lt;DATE(2025,8,1)," ",SUM(M864:M870))</f>
        <v>4.134255</v>
      </c>
      <c r="N863" s="215">
        <f ca="1">IF($S$1&lt;DATE(2025,9,1)," ",SUM(N864:N870))</f>
        <v>3.60464</v>
      </c>
      <c r="O863" s="215">
        <f ca="1">IF($S$1&lt;DATE(2025,10,1)," ",SUM(O864:O870))</f>
        <v>2.441733</v>
      </c>
      <c r="P863" s="215">
        <f ca="1">IF($S$1&lt;DATE(2025,11,1)," ",SUM(P864:P870))</f>
        <v>0.462774</v>
      </c>
      <c r="Q863" s="215">
        <f ca="1">IF($S$1&lt;DATE(2025,12,1)," ",SUM(Q864:Q870))</f>
        <v>3.494365</v>
      </c>
    </row>
    <row r="864" ht="24" customHeight="1" spans="1:17">
      <c r="A864" s="99" t="s">
        <v>346</v>
      </c>
      <c r="B864" s="99" t="s">
        <v>299</v>
      </c>
      <c r="C864" s="99" t="s">
        <v>336</v>
      </c>
      <c r="D864" s="48" t="s">
        <v>31</v>
      </c>
      <c r="E864" s="48" t="s">
        <v>90</v>
      </c>
      <c r="F864" s="51">
        <f ca="1">IF($S$1&lt;DATE(2025,1,1)," ",SUMIFS('2025数据'!$AV$3:$AV$181,'2025数据'!$L$3:$L$181,"&gt;="&amp;DATE(2025,1,1),'2025数据'!$L$3:$L$181,"&lt;="&amp;DATE(2025,1,31),'2025数据'!$AE$3:$AE$181,$E864)/10000)</f>
        <v>1.050394</v>
      </c>
      <c r="G864" s="51">
        <f ca="1">IF($S$1&lt;DATE(2025,2,1)," ",SUMIFS('2025数据'!$AV$3:$AV$181,'2025数据'!$L$3:$L$181,"&gt;="&amp;DATE(2025,2,1),'2025数据'!$L$3:$L$181,"&lt;="&amp;DATE(2025,2,28),'2025数据'!$AE$3:$AE$181,$E864)/10000)</f>
        <v>0</v>
      </c>
      <c r="H864" s="51">
        <f ca="1">IF($S$1&lt;DATE(2025,3,1)," ",SUMIFS('2025数据'!$AV$3:$AV$181,'2025数据'!$L$3:$L$181,"&gt;="&amp;DATE(2025,3,1),'2025数据'!$L$3:$L$181,"&lt;="&amp;DATE(2025,3,31),'2025数据'!$AE$3:$AE$181,$E864)/10000)</f>
        <v>0</v>
      </c>
      <c r="I864" s="51">
        <f ca="1">IF($S$1&lt;DATE(2025,4,1)," ",SUMIFS('2025数据'!$AV$3:$AV$181,'2025数据'!$L$3:$L$181,"&gt;="&amp;DATE(2025,4,1),'2025数据'!$L$3:$L$181,"&lt;="&amp;DATE(2025,4,30),'2025数据'!$AE$3:$AE$181,$E864)/10000)</f>
        <v>4.690522</v>
      </c>
      <c r="J864" s="51">
        <f ca="1">IF($S$1&lt;DATE(2025,5,1)," ",SUMIFS('2025数据'!$AV$3:$AV$181,'2025数据'!$L$3:$L$181,"&gt;="&amp;DATE(2025,5,1),'2025数据'!$L$3:$L$181,"&lt;="&amp;DATE(2025,5,31),'2025数据'!$AE$3:$AE$181,$E864)/10000)</f>
        <v>0</v>
      </c>
      <c r="K864" s="51">
        <f ca="1">IF($S$1&lt;DATE(2025,6,1)," ",SUMIFS('2025数据'!$AV$3:$AV$181,'2025数据'!$L$3:$L$181,"&gt;="&amp;DATE(2025,6,1),'2025数据'!$L$3:$L$181,"&lt;="&amp;DATE(2025,6,30),'2025数据'!$AE$3:$AE$181,$E864)/10000)</f>
        <v>0</v>
      </c>
      <c r="L864" s="51">
        <f ca="1">IF($S$1&lt;DATE(2025,7,1)," ",SUMIFS('2025数据'!$AV$3:$AV$181,'2025数据'!$L$3:$L$181,"&gt;="&amp;DATE(2025,7,1),'2025数据'!$L$3:$L$181,"&lt;="&amp;DATE(2025,7,31),'2025数据'!$AE$3:$AE$181,$E864)/10000)</f>
        <v>0.902682</v>
      </c>
      <c r="M864" s="51">
        <f ca="1">IF($S$1&lt;DATE(2025,8,1)," ",SUMIFS('2025数据'!$AV$3:$AV$181,'2025数据'!$L$3:$L$181,"&gt;="&amp;DATE(2025,8,1),'2025数据'!$L$3:$L$181,"&lt;="&amp;DATE(2025,8,31),'2025数据'!$AE$3:$AE$181,$E864)/10000)</f>
        <v>1.625532</v>
      </c>
      <c r="N864" s="51">
        <f ca="1">IF($S$1&lt;DATE(2025,9,1)," ",SUMIFS('2025数据'!$AV$3:$AV$181,'2025数据'!$L$3:$L$181,"&gt;="&amp;DATE(2025,9,1),'2025数据'!$L$3:$L$181,"&lt;="&amp;DATE(2025,9,30),'2025数据'!$AE$3:$AE$181,$E864)/10000)</f>
        <v>1.726265</v>
      </c>
      <c r="O864" s="51">
        <f ca="1">IF($S$1&lt;DATE(2025,10,1)," ",SUMIFS('2025数据'!$AV$3:$AV$181,'2025数据'!$L$3:$L$181,"&gt;="&amp;DATE(2025,10,1),'2025数据'!$L$3:$L$181,"&lt;="&amp;DATE(2025,10,31),'2025数据'!$AE$3:$AE$181,$E864)/10000)</f>
        <v>0.363845</v>
      </c>
      <c r="P864" s="217">
        <f ca="1">IF($S$1&lt;DATE(2025,11,1)," ",SUMIFS('2025数据'!$AV$3:$AV$181,'2025数据'!$L$3:$L$181,"&gt;="&amp;DATE(2025,11,1),'2025数据'!$L$3:$L$181,"&lt;="&amp;DATE(2025,11,30),'2025数据'!$AE$3:$AE$181,$E864)/10000)</f>
        <v>0.462774</v>
      </c>
      <c r="Q864" s="217">
        <f ca="1">IF($S$1&lt;DATE(2025,12,1)," ",SUMIFS('2025数据'!$AV$3:$AV$181,'2025数据'!$L$3:$L$181,"&gt;="&amp;DATE(2025,12,1),'2025数据'!$L$3:$L$181,"&lt;="&amp;DATE(2025,12,31),'2025数据'!$AE$3:$AE$181,$E864)/10000)</f>
        <v>0.413318</v>
      </c>
    </row>
    <row r="865" ht="24" customHeight="1" spans="1:17">
      <c r="A865" s="99" t="s">
        <v>346</v>
      </c>
      <c r="B865" s="99" t="s">
        <v>299</v>
      </c>
      <c r="C865" s="99" t="s">
        <v>336</v>
      </c>
      <c r="D865" s="48" t="s">
        <v>31</v>
      </c>
      <c r="E865" s="48" t="s">
        <v>82</v>
      </c>
      <c r="F865" s="51">
        <f ca="1">IF($S$1&lt;DATE(2025,1,1)," ",SUMIFS('2025数据'!$AV$3:$AV$181,'2025数据'!$L$3:$L$181,"&gt;="&amp;DATE(2025,1,1),'2025数据'!$L$3:$L$181,"&lt;="&amp;DATE(2025,1,31),'2025数据'!$AE$3:$AE$181,$E865)/10000)</f>
        <v>3.256685</v>
      </c>
      <c r="G865" s="51">
        <f ca="1">IF($S$1&lt;DATE(2025,2,1)," ",SUMIFS('2025数据'!$AV$3:$AV$181,'2025数据'!$L$3:$L$181,"&gt;="&amp;DATE(2025,2,1),'2025数据'!$L$3:$L$181,"&lt;="&amp;DATE(2025,2,28),'2025数据'!$AE$3:$AE$181,$E865)/10000)</f>
        <v>0</v>
      </c>
      <c r="H865" s="51">
        <f ca="1">IF($S$1&lt;DATE(2025,3,1)," ",SUMIFS('2025数据'!$AV$3:$AV$181,'2025数据'!$L$3:$L$181,"&gt;="&amp;DATE(2025,3,1),'2025数据'!$L$3:$L$181,"&lt;="&amp;DATE(2025,3,31),'2025数据'!$AE$3:$AE$181,$E865)/10000)</f>
        <v>0</v>
      </c>
      <c r="I865" s="51">
        <f ca="1">IF($S$1&lt;DATE(2025,4,1)," ",SUMIFS('2025数据'!$AV$3:$AV$181,'2025数据'!$L$3:$L$181,"&gt;="&amp;DATE(2025,4,1),'2025数据'!$L$3:$L$181,"&lt;="&amp;DATE(2025,4,30),'2025数据'!$AE$3:$AE$181,$E865)/10000)</f>
        <v>0</v>
      </c>
      <c r="J865" s="51">
        <f ca="1">IF($S$1&lt;DATE(2025,5,1)," ",SUMIFS('2025数据'!$AV$3:$AV$181,'2025数据'!$L$3:$L$181,"&gt;="&amp;DATE(2025,5,1),'2025数据'!$L$3:$L$181,"&lt;="&amp;DATE(2025,5,31),'2025数据'!$AE$3:$AE$181,$E865)/10000)</f>
        <v>0.796009</v>
      </c>
      <c r="K865" s="51">
        <f ca="1">IF($S$1&lt;DATE(2025,6,1)," ",SUMIFS('2025数据'!$AV$3:$AV$181,'2025数据'!$L$3:$L$181,"&gt;="&amp;DATE(2025,6,1),'2025数据'!$L$3:$L$181,"&lt;="&amp;DATE(2025,6,30),'2025数据'!$AE$3:$AE$181,$E865)/10000)</f>
        <v>0.404412</v>
      </c>
      <c r="L865" s="51">
        <f ca="1">IF($S$1&lt;DATE(2025,7,1)," ",SUMIFS('2025数据'!$AV$3:$AV$181,'2025数据'!$L$3:$L$181,"&gt;="&amp;DATE(2025,7,1),'2025数据'!$L$3:$L$181,"&lt;="&amp;DATE(2025,7,31),'2025数据'!$AE$3:$AE$181,$E865)/10000)</f>
        <v>0.786637</v>
      </c>
      <c r="M865" s="51">
        <f ca="1">IF($S$1&lt;DATE(2025,8,1)," ",SUMIFS('2025数据'!$AV$3:$AV$181,'2025数据'!$L$3:$L$181,"&gt;="&amp;DATE(2025,8,1),'2025数据'!$L$3:$L$181,"&lt;="&amp;DATE(2025,8,31),'2025数据'!$AE$3:$AE$181,$E865)/10000)</f>
        <v>1.276148</v>
      </c>
      <c r="N865" s="51">
        <f ca="1">IF($S$1&lt;DATE(2025,9,1)," ",SUMIFS('2025数据'!$AV$3:$AV$181,'2025数据'!$L$3:$L$181,"&gt;="&amp;DATE(2025,9,1),'2025数据'!$L$3:$L$181,"&lt;="&amp;DATE(2025,9,30),'2025数据'!$AE$3:$AE$181,$E865)/10000)</f>
        <v>0</v>
      </c>
      <c r="O865" s="51">
        <f ca="1">IF($S$1&lt;DATE(2025,10,1)," ",SUMIFS('2025数据'!$AV$3:$AV$181,'2025数据'!$L$3:$L$181,"&gt;="&amp;DATE(2025,10,1),'2025数据'!$L$3:$L$181,"&lt;="&amp;DATE(2025,10,31),'2025数据'!$AE$3:$AE$181,$E865)/10000)</f>
        <v>0.903125</v>
      </c>
      <c r="P865" s="217">
        <f ca="1">IF($S$1&lt;DATE(2025,11,1)," ",SUMIFS('2025数据'!$AV$3:$AV$181,'2025数据'!$L$3:$L$181,"&gt;="&amp;DATE(2025,11,1),'2025数据'!$L$3:$L$181,"&lt;="&amp;DATE(2025,11,30),'2025数据'!$AE$3:$AE$181,$E865)/10000)</f>
        <v>0</v>
      </c>
      <c r="Q865" s="217">
        <f ca="1">IF($S$1&lt;DATE(2025,12,1)," ",SUMIFS('2025数据'!$AV$3:$AV$181,'2025数据'!$L$3:$L$181,"&gt;="&amp;DATE(2025,12,1),'2025数据'!$L$3:$L$181,"&lt;="&amp;DATE(2025,12,31),'2025数据'!$AE$3:$AE$181,$E865)/10000)</f>
        <v>0</v>
      </c>
    </row>
    <row r="866" ht="24" customHeight="1" spans="1:17">
      <c r="A866" s="99" t="s">
        <v>346</v>
      </c>
      <c r="B866" s="99" t="s">
        <v>299</v>
      </c>
      <c r="C866" s="99" t="s">
        <v>336</v>
      </c>
      <c r="D866" s="48" t="s">
        <v>31</v>
      </c>
      <c r="E866" s="48" t="s">
        <v>86</v>
      </c>
      <c r="F866" s="51">
        <f ca="1">IF($S$1&lt;DATE(2025,1,1)," ",SUMIFS('2025数据'!$AV$3:$AV$181,'2025数据'!$L$3:$L$181,"&gt;="&amp;DATE(2025,1,1),'2025数据'!$L$3:$L$181,"&lt;="&amp;DATE(2025,1,31),'2025数据'!$AE$3:$AE$181,$E866)/10000)</f>
        <v>0.412348</v>
      </c>
      <c r="G866" s="51">
        <f ca="1">IF($S$1&lt;DATE(2025,2,1)," ",SUMIFS('2025数据'!$AV$3:$AV$181,'2025数据'!$L$3:$L$181,"&gt;="&amp;DATE(2025,2,1),'2025数据'!$L$3:$L$181,"&lt;="&amp;DATE(2025,2,28),'2025数据'!$AE$3:$AE$181,$E866)/10000)</f>
        <v>0</v>
      </c>
      <c r="H866" s="51">
        <f ca="1">IF($S$1&lt;DATE(2025,3,1)," ",SUMIFS('2025数据'!$AV$3:$AV$181,'2025数据'!$L$3:$L$181,"&gt;="&amp;DATE(2025,3,1),'2025数据'!$L$3:$L$181,"&lt;="&amp;DATE(2025,3,31),'2025数据'!$AE$3:$AE$181,$E866)/10000)</f>
        <v>0.906862</v>
      </c>
      <c r="I866" s="51">
        <f ca="1">IF($S$1&lt;DATE(2025,4,1)," ",SUMIFS('2025数据'!$AV$3:$AV$181,'2025数据'!$L$3:$L$181,"&gt;="&amp;DATE(2025,4,1),'2025数据'!$L$3:$L$181,"&lt;="&amp;DATE(2025,4,30),'2025数据'!$AE$3:$AE$181,$E866)/10000)</f>
        <v>0</v>
      </c>
      <c r="J866" s="51">
        <f ca="1">IF($S$1&lt;DATE(2025,5,1)," ",SUMIFS('2025数据'!$AV$3:$AV$181,'2025数据'!$L$3:$L$181,"&gt;="&amp;DATE(2025,5,1),'2025数据'!$L$3:$L$181,"&lt;="&amp;DATE(2025,5,31),'2025数据'!$AE$3:$AE$181,$E866)/10000)</f>
        <v>0</v>
      </c>
      <c r="K866" s="51">
        <f ca="1">IF($S$1&lt;DATE(2025,6,1)," ",SUMIFS('2025数据'!$AV$3:$AV$181,'2025数据'!$L$3:$L$181,"&gt;="&amp;DATE(2025,6,1),'2025数据'!$L$3:$L$181,"&lt;="&amp;DATE(2025,6,30),'2025数据'!$AE$3:$AE$181,$E866)/10000)</f>
        <v>0</v>
      </c>
      <c r="L866" s="51">
        <f ca="1">IF($S$1&lt;DATE(2025,7,1)," ",SUMIFS('2025数据'!$AV$3:$AV$181,'2025数据'!$L$3:$L$181,"&gt;="&amp;DATE(2025,7,1),'2025数据'!$L$3:$L$181,"&lt;="&amp;DATE(2025,7,31),'2025数据'!$AE$3:$AE$181,$E866)/10000)</f>
        <v>0</v>
      </c>
      <c r="M866" s="51">
        <f ca="1">IF($S$1&lt;DATE(2025,8,1)," ",SUMIFS('2025数据'!$AV$3:$AV$181,'2025数据'!$L$3:$L$181,"&gt;="&amp;DATE(2025,8,1),'2025数据'!$L$3:$L$181,"&lt;="&amp;DATE(2025,8,31),'2025数据'!$AE$3:$AE$181,$E866)/10000)</f>
        <v>1.232575</v>
      </c>
      <c r="N866" s="51">
        <f ca="1">IF($S$1&lt;DATE(2025,9,1)," ",SUMIFS('2025数据'!$AV$3:$AV$181,'2025数据'!$L$3:$L$181,"&gt;="&amp;DATE(2025,9,1),'2025数据'!$L$3:$L$181,"&lt;="&amp;DATE(2025,9,30),'2025数据'!$AE$3:$AE$181,$E866)/10000)</f>
        <v>0.707975</v>
      </c>
      <c r="O866" s="51">
        <f ca="1">IF($S$1&lt;DATE(2025,10,1)," ",SUMIFS('2025数据'!$AV$3:$AV$181,'2025数据'!$L$3:$L$181,"&gt;="&amp;DATE(2025,10,1),'2025数据'!$L$3:$L$181,"&lt;="&amp;DATE(2025,10,31),'2025数据'!$AE$3:$AE$181,$E866)/10000)</f>
        <v>1.174763</v>
      </c>
      <c r="P866" s="217">
        <f ca="1">IF($S$1&lt;DATE(2025,11,1)," ",SUMIFS('2025数据'!$AV$3:$AV$181,'2025数据'!$L$3:$L$181,"&gt;="&amp;DATE(2025,11,1),'2025数据'!$L$3:$L$181,"&lt;="&amp;DATE(2025,11,30),'2025数据'!$AE$3:$AE$181,$E866)/10000)</f>
        <v>0</v>
      </c>
      <c r="Q866" s="217">
        <f ca="1">IF($S$1&lt;DATE(2025,12,1)," ",SUMIFS('2025数据'!$AV$3:$AV$181,'2025数据'!$L$3:$L$181,"&gt;="&amp;DATE(2025,12,1),'2025数据'!$L$3:$L$181,"&lt;="&amp;DATE(2025,12,31),'2025数据'!$AE$3:$AE$181,$E866)/10000)</f>
        <v>2.617993</v>
      </c>
    </row>
    <row r="867" ht="24" customHeight="1" spans="1:17">
      <c r="A867" s="99" t="s">
        <v>346</v>
      </c>
      <c r="B867" s="99" t="s">
        <v>299</v>
      </c>
      <c r="C867" s="99" t="s">
        <v>336</v>
      </c>
      <c r="D867" s="48" t="s">
        <v>31</v>
      </c>
      <c r="E867" s="48" t="s">
        <v>97</v>
      </c>
      <c r="F867" s="51">
        <f ca="1">IF($S$1&lt;DATE(2025,1,1)," ",SUMIFS('2025数据'!$AV$3:$AV$181,'2025数据'!$L$3:$L$181,"&gt;="&amp;DATE(2025,1,1),'2025数据'!$L$3:$L$181,"&lt;="&amp;DATE(2025,1,31),'2025数据'!$AE$3:$AE$181,$E867)/10000)</f>
        <v>0</v>
      </c>
      <c r="G867" s="51">
        <f ca="1">IF($S$1&lt;DATE(2025,2,1)," ",SUMIFS('2025数据'!$AV$3:$AV$181,'2025数据'!$L$3:$L$181,"&gt;="&amp;DATE(2025,2,1),'2025数据'!$L$3:$L$181,"&lt;="&amp;DATE(2025,2,28),'2025数据'!$AE$3:$AE$181,$E867)/10000)</f>
        <v>0</v>
      </c>
      <c r="H867" s="51">
        <f ca="1">IF($S$1&lt;DATE(2025,3,1)," ",SUMIFS('2025数据'!$AV$3:$AV$181,'2025数据'!$L$3:$L$181,"&gt;="&amp;DATE(2025,3,1),'2025数据'!$L$3:$L$181,"&lt;="&amp;DATE(2025,3,31),'2025数据'!$AE$3:$AE$181,$E867)/10000)</f>
        <v>0</v>
      </c>
      <c r="I867" s="51">
        <f ca="1">IF($S$1&lt;DATE(2025,4,1)," ",SUMIFS('2025数据'!$AV$3:$AV$181,'2025数据'!$L$3:$L$181,"&gt;="&amp;DATE(2025,4,1),'2025数据'!$L$3:$L$181,"&lt;="&amp;DATE(2025,4,30),'2025数据'!$AE$3:$AE$181,$E867)/10000)</f>
        <v>11.205848</v>
      </c>
      <c r="J867" s="51">
        <f ca="1">IF($S$1&lt;DATE(2025,5,1)," ",SUMIFS('2025数据'!$AV$3:$AV$181,'2025数据'!$L$3:$L$181,"&gt;="&amp;DATE(2025,5,1),'2025数据'!$L$3:$L$181,"&lt;="&amp;DATE(2025,5,31),'2025数据'!$AE$3:$AE$181,$E867)/10000)</f>
        <v>0</v>
      </c>
      <c r="K867" s="51">
        <f ca="1">IF($S$1&lt;DATE(2025,6,1)," ",SUMIFS('2025数据'!$AV$3:$AV$181,'2025数据'!$L$3:$L$181,"&gt;="&amp;DATE(2025,6,1),'2025数据'!$L$3:$L$181,"&lt;="&amp;DATE(2025,6,30),'2025数据'!$AE$3:$AE$181,$E867)/10000)</f>
        <v>12.982483</v>
      </c>
      <c r="L867" s="51">
        <f ca="1">IF($S$1&lt;DATE(2025,7,1)," ",SUMIFS('2025数据'!$AV$3:$AV$181,'2025数据'!$L$3:$L$181,"&gt;="&amp;DATE(2025,7,1),'2025数据'!$L$3:$L$181,"&lt;="&amp;DATE(2025,7,31),'2025数据'!$AE$3:$AE$181,$E867)/10000)</f>
        <v>0.605226</v>
      </c>
      <c r="M867" s="51">
        <f ca="1">IF($S$1&lt;DATE(2025,8,1)," ",SUMIFS('2025数据'!$AV$3:$AV$181,'2025数据'!$L$3:$L$181,"&gt;="&amp;DATE(2025,8,1),'2025数据'!$L$3:$L$181,"&lt;="&amp;DATE(2025,8,31),'2025数据'!$AE$3:$AE$181,$E867)/10000)</f>
        <v>0</v>
      </c>
      <c r="N867" s="51">
        <f ca="1">IF($S$1&lt;DATE(2025,9,1)," ",SUMIFS('2025数据'!$AV$3:$AV$181,'2025数据'!$L$3:$L$181,"&gt;="&amp;DATE(2025,9,1),'2025数据'!$L$3:$L$181,"&lt;="&amp;DATE(2025,9,30),'2025数据'!$AE$3:$AE$181,$E867)/10000)</f>
        <v>0</v>
      </c>
      <c r="O867" s="51">
        <f ca="1">IF($S$1&lt;DATE(2025,10,1)," ",SUMIFS('2025数据'!$AV$3:$AV$181,'2025数据'!$L$3:$L$181,"&gt;="&amp;DATE(2025,10,1),'2025数据'!$L$3:$L$181,"&lt;="&amp;DATE(2025,10,31),'2025数据'!$AE$3:$AE$181,$E867)/10000)</f>
        <v>0</v>
      </c>
      <c r="P867" s="217">
        <f ca="1">IF($S$1&lt;DATE(2025,11,1)," ",SUMIFS('2025数据'!$AV$3:$AV$181,'2025数据'!$L$3:$L$181,"&gt;="&amp;DATE(2025,11,1),'2025数据'!$L$3:$L$181,"&lt;="&amp;DATE(2025,11,30),'2025数据'!$AE$3:$AE$181,$E867)/10000)</f>
        <v>0</v>
      </c>
      <c r="Q867" s="217">
        <f ca="1">IF($S$1&lt;DATE(2025,12,1)," ",SUMIFS('2025数据'!$AV$3:$AV$181,'2025数据'!$L$3:$L$181,"&gt;="&amp;DATE(2025,12,1),'2025数据'!$L$3:$L$181,"&lt;="&amp;DATE(2025,12,31),'2025数据'!$AE$3:$AE$181,$E867)/10000)</f>
        <v>0.30189</v>
      </c>
    </row>
    <row r="868" ht="24" customHeight="1" spans="1:17">
      <c r="A868" s="99" t="s">
        <v>346</v>
      </c>
      <c r="B868" s="99" t="s">
        <v>299</v>
      </c>
      <c r="C868" s="99" t="s">
        <v>336</v>
      </c>
      <c r="D868" s="48" t="s">
        <v>31</v>
      </c>
      <c r="E868" s="48" t="s">
        <v>87</v>
      </c>
      <c r="F868" s="51">
        <f ca="1">IF($S$1&lt;DATE(2025,1,1)," ",SUMIFS('2025数据'!$AV$3:$AV$181,'2025数据'!$L$3:$L$181,"&gt;="&amp;DATE(2025,1,1),'2025数据'!$L$3:$L$181,"&lt;="&amp;DATE(2025,1,31),'2025数据'!$AE$3:$AE$181,$E868)/10000)</f>
        <v>0.45503</v>
      </c>
      <c r="G868" s="51">
        <f ca="1">IF($S$1&lt;DATE(2025,2,1)," ",SUMIFS('2025数据'!$AV$3:$AV$181,'2025数据'!$L$3:$L$181,"&gt;="&amp;DATE(2025,2,1),'2025数据'!$L$3:$L$181,"&lt;="&amp;DATE(2025,2,28),'2025数据'!$AE$3:$AE$181,$E868)/10000)</f>
        <v>0</v>
      </c>
      <c r="H868" s="51">
        <f ca="1">IF($S$1&lt;DATE(2025,3,1)," ",SUMIFS('2025数据'!$AV$3:$AV$181,'2025数据'!$L$3:$L$181,"&gt;="&amp;DATE(2025,3,1),'2025数据'!$L$3:$L$181,"&lt;="&amp;DATE(2025,3,31),'2025数据'!$AE$3:$AE$181,$E868)/10000)</f>
        <v>0</v>
      </c>
      <c r="I868" s="51">
        <f ca="1">IF($S$1&lt;DATE(2025,4,1)," ",SUMIFS('2025数据'!$AV$3:$AV$181,'2025数据'!$L$3:$L$181,"&gt;="&amp;DATE(2025,4,1),'2025数据'!$L$3:$L$181,"&lt;="&amp;DATE(2025,4,30),'2025数据'!$AE$3:$AE$181,$E868)/10000)</f>
        <v>1.245412</v>
      </c>
      <c r="J868" s="51">
        <f ca="1">IF($S$1&lt;DATE(2025,5,1)," ",SUMIFS('2025数据'!$AV$3:$AV$181,'2025数据'!$L$3:$L$181,"&gt;="&amp;DATE(2025,5,1),'2025数据'!$L$3:$L$181,"&lt;="&amp;DATE(2025,5,31),'2025数据'!$AE$3:$AE$181,$E868)/10000)</f>
        <v>0</v>
      </c>
      <c r="K868" s="51">
        <f ca="1">IF($S$1&lt;DATE(2025,6,1)," ",SUMIFS('2025数据'!$AV$3:$AV$181,'2025数据'!$L$3:$L$181,"&gt;="&amp;DATE(2025,6,1),'2025数据'!$L$3:$L$181,"&lt;="&amp;DATE(2025,6,30),'2025数据'!$AE$3:$AE$181,$E868)/10000)</f>
        <v>0</v>
      </c>
      <c r="L868" s="51">
        <f ca="1">IF($S$1&lt;DATE(2025,7,1)," ",SUMIFS('2025数据'!$AV$3:$AV$181,'2025数据'!$L$3:$L$181,"&gt;="&amp;DATE(2025,7,1),'2025数据'!$L$3:$L$181,"&lt;="&amp;DATE(2025,7,31),'2025数据'!$AE$3:$AE$181,$E868)/10000)</f>
        <v>0</v>
      </c>
      <c r="M868" s="51">
        <f ca="1">IF($S$1&lt;DATE(2025,8,1)," ",SUMIFS('2025数据'!$AV$3:$AV$181,'2025数据'!$L$3:$L$181,"&gt;="&amp;DATE(2025,8,1),'2025数据'!$L$3:$L$181,"&lt;="&amp;DATE(2025,8,31),'2025数据'!$AE$3:$AE$181,$E868)/10000)</f>
        <v>0</v>
      </c>
      <c r="N868" s="51">
        <f ca="1">IF($S$1&lt;DATE(2025,9,1)," ",SUMIFS('2025数据'!$AV$3:$AV$181,'2025数据'!$L$3:$L$181,"&gt;="&amp;DATE(2025,9,1),'2025数据'!$L$3:$L$181,"&lt;="&amp;DATE(2025,9,30),'2025数据'!$AE$3:$AE$181,$E868)/10000)</f>
        <v>1.1704</v>
      </c>
      <c r="O868" s="51">
        <f ca="1">IF($S$1&lt;DATE(2025,10,1)," ",SUMIFS('2025数据'!$AV$3:$AV$181,'2025数据'!$L$3:$L$181,"&gt;="&amp;DATE(2025,10,1),'2025数据'!$L$3:$L$181,"&lt;="&amp;DATE(2025,10,31),'2025数据'!$AE$3:$AE$181,$E868)/10000)</f>
        <v>0</v>
      </c>
      <c r="P868" s="217">
        <f ca="1">IF($S$1&lt;DATE(2025,11,1)," ",SUMIFS('2025数据'!$AV$3:$AV$181,'2025数据'!$L$3:$L$181,"&gt;="&amp;DATE(2025,11,1),'2025数据'!$L$3:$L$181,"&lt;="&amp;DATE(2025,11,30),'2025数据'!$AE$3:$AE$181,$E868)/10000)</f>
        <v>0</v>
      </c>
      <c r="Q868" s="217">
        <f ca="1">IF($S$1&lt;DATE(2025,12,1)," ",SUMIFS('2025数据'!$AV$3:$AV$181,'2025数据'!$L$3:$L$181,"&gt;="&amp;DATE(2025,12,1),'2025数据'!$L$3:$L$181,"&lt;="&amp;DATE(2025,12,31),'2025数据'!$AE$3:$AE$181,$E868)/10000)</f>
        <v>0.161164</v>
      </c>
    </row>
    <row r="869" ht="24" customHeight="1" spans="1:17">
      <c r="A869" s="99" t="s">
        <v>346</v>
      </c>
      <c r="B869" s="99" t="s">
        <v>299</v>
      </c>
      <c r="C869" s="99" t="s">
        <v>336</v>
      </c>
      <c r="D869" s="48" t="s">
        <v>31</v>
      </c>
      <c r="E869" s="48" t="s">
        <v>149</v>
      </c>
      <c r="F869" s="51">
        <f ca="1">IF($S$1&lt;DATE(2025,1,1)," ",SUMIFS('2025数据'!$AV$3:$AV$181,'2025数据'!$L$3:$L$181,"&gt;="&amp;DATE(2025,1,1),'2025数据'!$L$3:$L$181,"&lt;="&amp;DATE(2025,1,31),'2025数据'!$AE$3:$AE$181,$E869)/10000)</f>
        <v>0</v>
      </c>
      <c r="G869" s="51">
        <f ca="1">IF($S$1&lt;DATE(2025,2,1)," ",SUMIFS('2025数据'!$AV$3:$AV$181,'2025数据'!$L$3:$L$181,"&gt;="&amp;DATE(2025,2,1),'2025数据'!$L$3:$L$181,"&lt;="&amp;DATE(2025,2,28),'2025数据'!$AE$3:$AE$181,$E869)/10000)</f>
        <v>0</v>
      </c>
      <c r="H869" s="51">
        <f ca="1">IF($S$1&lt;DATE(2025,3,1)," ",SUMIFS('2025数据'!$AV$3:$AV$181,'2025数据'!$L$3:$L$181,"&gt;="&amp;DATE(2025,3,1),'2025数据'!$L$3:$L$181,"&lt;="&amp;DATE(2025,3,31),'2025数据'!$AE$3:$AE$181,$E869)/10000)</f>
        <v>0</v>
      </c>
      <c r="I869" s="51">
        <f ca="1">IF($S$1&lt;DATE(2025,4,1)," ",SUMIFS('2025数据'!$AV$3:$AV$181,'2025数据'!$L$3:$L$181,"&gt;="&amp;DATE(2025,4,1),'2025数据'!$L$3:$L$181,"&lt;="&amp;DATE(2025,4,30),'2025数据'!$AE$3:$AE$181,$E869)/10000)</f>
        <v>0</v>
      </c>
      <c r="J869" s="51">
        <f ca="1">IF($S$1&lt;DATE(2025,5,1)," ",SUMIFS('2025数据'!$AV$3:$AV$181,'2025数据'!$L$3:$L$181,"&gt;="&amp;DATE(2025,5,1),'2025数据'!$L$3:$L$181,"&lt;="&amp;DATE(2025,5,31),'2025数据'!$AE$3:$AE$181,$E869)/10000)</f>
        <v>0</v>
      </c>
      <c r="K869" s="51">
        <f ca="1">IF($S$1&lt;DATE(2025,6,1)," ",SUMIFS('2025数据'!$AV$3:$AV$181,'2025数据'!$L$3:$L$181,"&gt;="&amp;DATE(2025,6,1),'2025数据'!$L$3:$L$181,"&lt;="&amp;DATE(2025,6,30),'2025数据'!$AE$3:$AE$181,$E869)/10000)</f>
        <v>0</v>
      </c>
      <c r="L869" s="51">
        <f ca="1">IF($S$1&lt;DATE(2025,7,1)," ",SUMIFS('2025数据'!$AV$3:$AV$181,'2025数据'!$L$3:$L$181,"&gt;="&amp;DATE(2025,7,1),'2025数据'!$L$3:$L$181,"&lt;="&amp;DATE(2025,7,31),'2025数据'!$AE$3:$AE$181,$E869)/10000)</f>
        <v>0</v>
      </c>
      <c r="M869" s="51">
        <f ca="1">IF($S$1&lt;DATE(2025,8,1)," ",SUMIFS('2025数据'!$AV$3:$AV$181,'2025数据'!$L$3:$L$181,"&gt;="&amp;DATE(2025,8,1),'2025数据'!$L$3:$L$181,"&lt;="&amp;DATE(2025,8,31),'2025数据'!$AE$3:$AE$181,$E869)/10000)</f>
        <v>0</v>
      </c>
      <c r="N869" s="51">
        <f ca="1">IF($S$1&lt;DATE(2025,9,1)," ",SUMIFS('2025数据'!$AV$3:$AV$181,'2025数据'!$L$3:$L$181,"&gt;="&amp;DATE(2025,9,1),'2025数据'!$L$3:$L$181,"&lt;="&amp;DATE(2025,9,30),'2025数据'!$AE$3:$AE$181,$E869)/10000)</f>
        <v>0</v>
      </c>
      <c r="O869" s="51">
        <f ca="1">IF($S$1&lt;DATE(2025,10,1)," ",SUMIFS('2025数据'!$AV$3:$AV$181,'2025数据'!$L$3:$L$181,"&gt;="&amp;DATE(2025,10,1),'2025数据'!$L$3:$L$181,"&lt;="&amp;DATE(2025,10,31),'2025数据'!$AE$3:$AE$181,$E869)/10000)</f>
        <v>0</v>
      </c>
      <c r="P869" s="217">
        <f ca="1">IF($S$1&lt;DATE(2025,11,1)," ",SUMIFS('2025数据'!$AV$3:$AV$181,'2025数据'!$L$3:$L$181,"&gt;="&amp;DATE(2025,11,1),'2025数据'!$L$3:$L$181,"&lt;="&amp;DATE(2025,11,30),'2025数据'!$AE$3:$AE$181,$E869)/10000)</f>
        <v>0</v>
      </c>
      <c r="Q869" s="217">
        <f ca="1">IF($S$1&lt;DATE(2025,12,1)," ",SUMIFS('2025数据'!$AV$3:$AV$181,'2025数据'!$L$3:$L$181,"&gt;="&amp;DATE(2025,12,1),'2025数据'!$L$3:$L$181,"&lt;="&amp;DATE(2025,12,31),'2025数据'!$AE$3:$AE$181,$E869)/10000)</f>
        <v>0</v>
      </c>
    </row>
    <row r="870" ht="24" customHeight="1" spans="1:17">
      <c r="A870" s="99" t="s">
        <v>346</v>
      </c>
      <c r="B870" s="99" t="s">
        <v>299</v>
      </c>
      <c r="C870" s="99" t="s">
        <v>336</v>
      </c>
      <c r="D870" s="48" t="s">
        <v>31</v>
      </c>
      <c r="E870" s="48" t="s">
        <v>83</v>
      </c>
      <c r="F870" s="51">
        <f ca="1">IF($S$1&lt;DATE(2025,1,1)," ",SUMIFS('2025数据'!$AV$3:$AV$181,'2025数据'!$L$3:$L$181,"&gt;="&amp;DATE(2025,1,1),'2025数据'!$L$3:$L$181,"&lt;="&amp;DATE(2025,1,31),'2025数据'!$AE$3:$AE$181,$E870)/10000)</f>
        <v>0</v>
      </c>
      <c r="G870" s="51">
        <f ca="1">IF($S$1&lt;DATE(2025,2,1)," ",SUMIFS('2025数据'!$AV$3:$AV$181,'2025数据'!$L$3:$L$181,"&gt;="&amp;DATE(2025,2,1),'2025数据'!$L$3:$L$181,"&lt;="&amp;DATE(2025,2,28),'2025数据'!$AE$3:$AE$181,$E870)/10000)</f>
        <v>0</v>
      </c>
      <c r="H870" s="51">
        <f ca="1">IF($S$1&lt;DATE(2025,3,1)," ",SUMIFS('2025数据'!$AV$3:$AV$181,'2025数据'!$L$3:$L$181,"&gt;="&amp;DATE(2025,3,1),'2025数据'!$L$3:$L$181,"&lt;="&amp;DATE(2025,3,31),'2025数据'!$AE$3:$AE$181,$E870)/10000)</f>
        <v>0</v>
      </c>
      <c r="I870" s="51">
        <f ca="1">IF($S$1&lt;DATE(2025,4,1)," ",SUMIFS('2025数据'!$AV$3:$AV$181,'2025数据'!$L$3:$L$181,"&gt;="&amp;DATE(2025,4,1),'2025数据'!$L$3:$L$181,"&lt;="&amp;DATE(2025,4,30),'2025数据'!$AE$3:$AE$181,$E870)/10000)</f>
        <v>2.658708</v>
      </c>
      <c r="J870" s="51">
        <f ca="1">IF($S$1&lt;DATE(2025,5,1)," ",SUMIFS('2025数据'!$AV$3:$AV$181,'2025数据'!$L$3:$L$181,"&gt;="&amp;DATE(2025,5,1),'2025数据'!$L$3:$L$181,"&lt;="&amp;DATE(2025,5,31),'2025数据'!$AE$3:$AE$181,$E870)/10000)</f>
        <v>0.62016</v>
      </c>
      <c r="K870" s="51">
        <f ca="1">IF($S$1&lt;DATE(2025,6,1)," ",SUMIFS('2025数据'!$AV$3:$AV$181,'2025数据'!$L$3:$L$181,"&gt;="&amp;DATE(2025,6,1),'2025数据'!$L$3:$L$181,"&lt;="&amp;DATE(2025,6,30),'2025数据'!$AE$3:$AE$181,$E870)/10000)</f>
        <v>0</v>
      </c>
      <c r="L870" s="51">
        <f ca="1">IF($S$1&lt;DATE(2025,7,1)," ",SUMIFS('2025数据'!$AV$3:$AV$181,'2025数据'!$L$3:$L$181,"&gt;="&amp;DATE(2025,7,1),'2025数据'!$L$3:$L$181,"&lt;="&amp;DATE(2025,7,31),'2025数据'!$AE$3:$AE$181,$E870)/10000)</f>
        <v>0</v>
      </c>
      <c r="M870" s="51">
        <f ca="1">IF($S$1&lt;DATE(2025,8,1)," ",SUMIFS('2025数据'!$AV$3:$AV$181,'2025数据'!$L$3:$L$181,"&gt;="&amp;DATE(2025,8,1),'2025数据'!$L$3:$L$181,"&lt;="&amp;DATE(2025,8,31),'2025数据'!$AE$3:$AE$181,$E870)/10000)</f>
        <v>0</v>
      </c>
      <c r="N870" s="51">
        <f ca="1">IF($S$1&lt;DATE(2025,9,1)," ",SUMIFS('2025数据'!$AV$3:$AV$181,'2025数据'!$L$3:$L$181,"&gt;="&amp;DATE(2025,9,1),'2025数据'!$L$3:$L$181,"&lt;="&amp;DATE(2025,9,30),'2025数据'!$AE$3:$AE$181,$E870)/10000)</f>
        <v>0</v>
      </c>
      <c r="O870" s="51">
        <f ca="1">IF($S$1&lt;DATE(2025,10,1)," ",SUMIFS('2025数据'!$AV$3:$AV$181,'2025数据'!$L$3:$L$181,"&gt;="&amp;DATE(2025,10,1),'2025数据'!$L$3:$L$181,"&lt;="&amp;DATE(2025,10,31),'2025数据'!$AE$3:$AE$181,$E870)/10000)</f>
        <v>0</v>
      </c>
      <c r="P870" s="217">
        <f ca="1">IF($S$1&lt;DATE(2025,11,1)," ",SUMIFS('2025数据'!$AV$3:$AV$181,'2025数据'!$L$3:$L$181,"&gt;="&amp;DATE(2025,11,1),'2025数据'!$L$3:$L$181,"&lt;="&amp;DATE(2025,11,30),'2025数据'!$AE$3:$AE$181,$E870)/10000)</f>
        <v>0</v>
      </c>
      <c r="Q870" s="217">
        <f ca="1">IF($S$1&lt;DATE(2025,12,1)," ",SUMIFS('2025数据'!$AV$3:$AV$181,'2025数据'!$L$3:$L$181,"&gt;="&amp;DATE(2025,12,1),'2025数据'!$L$3:$L$181,"&lt;="&amp;DATE(2025,12,31),'2025数据'!$AE$3:$AE$181,$E870)/10000)</f>
        <v>0</v>
      </c>
    </row>
    <row r="871" ht="24" customHeight="1" spans="1:17">
      <c r="A871" s="99" t="s">
        <v>346</v>
      </c>
      <c r="B871" s="99" t="s">
        <v>299</v>
      </c>
      <c r="C871" s="99" t="s">
        <v>336</v>
      </c>
      <c r="D871" s="47" t="s">
        <v>294</v>
      </c>
      <c r="E871" s="47" t="s">
        <v>93</v>
      </c>
      <c r="F871" s="51">
        <f ca="1">IF($S$1&lt;DATE(2025,1,1)," ",SUMIFS('2025数据'!$AV$3:$AV$181,'2025数据'!$L$3:$L$181,"&gt;="&amp;DATE(2025,1,1),'2025数据'!$L$3:$L$181,"&lt;="&amp;DATE(2025,1,31),'2025数据'!$B$3:$B$181,$E871)/10000)</f>
        <v>0.822351</v>
      </c>
      <c r="G871" s="51">
        <f ca="1">IF($S$1&lt;DATE(2025,2,1)," ",SUMIFS('2025数据'!$AV$3:$AV$181,'2025数据'!$L$3:$L$181,"&gt;="&amp;DATE(2025,2,1),'2025数据'!$L$3:$L$181,"&lt;="&amp;DATE(2025,2,28),'2025数据'!$B$3:$B$181,$E871)/10000)</f>
        <v>0</v>
      </c>
      <c r="H871" s="51">
        <f ca="1">IF($S$1&lt;DATE(2025,3,1)," ",SUMIFS('2025数据'!$AV$3:$AV$181,'2025数据'!$L$3:$L$181,"&gt;="&amp;DATE(2025,3,1),'2025数据'!$L$3:$L$181,"&lt;="&amp;DATE(2025,3,31),'2025数据'!$B$3:$B$181,$E871)/10000)</f>
        <v>0</v>
      </c>
      <c r="I871" s="51">
        <f ca="1">IF($S$1&lt;DATE(2025,4,1)," ",SUMIFS('2025数据'!$AV$3:$AV$181,'2025数据'!$L$3:$L$181,"&gt;="&amp;DATE(2025,4,1),'2025数据'!$L$3:$L$181,"&lt;="&amp;DATE(2025,4,30),'2025数据'!$B$3:$B$181,$E871)/10000)</f>
        <v>16.30968</v>
      </c>
      <c r="J871" s="51">
        <f ca="1">IF($S$1&lt;DATE(2025,5,1)," ",SUMIFS('2025数据'!$AV$3:$AV$181,'2025数据'!$L$3:$L$181,"&gt;="&amp;DATE(2025,5,1),'2025数据'!$L$3:$L$181,"&lt;="&amp;DATE(2025,5,31),'2025数据'!$B$3:$B$181,$E871)/10000)</f>
        <v>0.469584</v>
      </c>
      <c r="K871" s="51">
        <f ca="1">IF($S$1&lt;DATE(2025,6,1)," ",SUMIFS('2025数据'!$AV$3:$AV$181,'2025数据'!$L$3:$L$181,"&gt;="&amp;DATE(2025,6,1),'2025数据'!$L$3:$L$181,"&lt;="&amp;DATE(2025,6,30),'2025数据'!$B$3:$B$181,$E871)/10000)</f>
        <v>4.474866</v>
      </c>
      <c r="L871" s="51">
        <f ca="1">IF($S$1&lt;DATE(2025,7,1)," ",SUMIFS('2025数据'!$AV$3:$AV$181,'2025数据'!$L$3:$L$181,"&gt;="&amp;DATE(2025,7,1),'2025数据'!$L$3:$L$181,"&lt;="&amp;DATE(2025,7,31),'2025数据'!$B$3:$B$181,$E871)/10000)</f>
        <v>1.946044</v>
      </c>
      <c r="M871" s="51">
        <f ca="1">IF($S$1&lt;DATE(2025,8,1)," ",SUMIFS('2025数据'!$AV$3:$AV$181,'2025数据'!$L$3:$L$181,"&gt;="&amp;DATE(2025,8,1),'2025数据'!$L$3:$L$181,"&lt;="&amp;DATE(2025,8,31),'2025数据'!$B$3:$B$181,$E871)/10000)</f>
        <v>1.60465</v>
      </c>
      <c r="N871" s="51">
        <f ca="1">IF($S$1&lt;DATE(2025,9,1)," ",SUMIFS('2025数据'!$AV$3:$AV$181,'2025数据'!$L$3:$L$181,"&gt;="&amp;DATE(2025,9,1),'2025数据'!$L$3:$L$181,"&lt;="&amp;DATE(2025,9,30),'2025数据'!$B$3:$B$181,$E871)/10000)</f>
        <v>2.896665</v>
      </c>
      <c r="O871" s="51">
        <f ca="1">IF($S$1&lt;DATE(2025,10,1)," ",SUMIFS('2025数据'!$AV$3:$AV$181,'2025数据'!$L$3:$L$181,"&gt;="&amp;DATE(2025,10,1),'2025数据'!$L$3:$L$181,"&lt;="&amp;DATE(2025,10,31),'2025数据'!$B$3:$B$181,$E871)/10000)</f>
        <v>0.748529</v>
      </c>
      <c r="P871" s="217">
        <f ca="1">IF($S$1&lt;DATE(2025,11,1)," ",SUMIFS('2025数据'!$AV$3:$AV$181,'2025数据'!$L$3:$L$181,"&gt;="&amp;DATE(2025,11,1),'2025数据'!$L$3:$L$181,"&lt;="&amp;DATE(2025,11,30),'2025数据'!$B$3:$B$181,$E871)/10000)</f>
        <v>0.200115</v>
      </c>
      <c r="Q871" s="217">
        <f ca="1">IF($S$1&lt;DATE(2025,12,1)," ",SUMIFS('2025数据'!$AV$3:$AV$181,'2025数据'!$L$3:$L$181,"&gt;="&amp;DATE(2025,12,1),'2025数据'!$L$3:$L$181,"&lt;="&amp;DATE(2025,12,31),'2025数据'!$B$3:$B$181,$E871)/10000)</f>
        <v>0.413318</v>
      </c>
    </row>
    <row r="872" ht="24" customHeight="1" spans="1:17">
      <c r="A872" s="99" t="s">
        <v>346</v>
      </c>
      <c r="B872" s="99" t="s">
        <v>299</v>
      </c>
      <c r="C872" s="99" t="s">
        <v>336</v>
      </c>
      <c r="D872" s="47" t="s">
        <v>294</v>
      </c>
      <c r="E872" s="47" t="s">
        <v>85</v>
      </c>
      <c r="F872" s="51">
        <f ca="1">IF($S$1&lt;DATE(2025,1,1)," ",SUMIFS('2025数据'!$AV$3:$AV$181,'2025数据'!$L$3:$L$181,"&gt;="&amp;DATE(2025,1,1),'2025数据'!$L$3:$L$181,"&lt;="&amp;DATE(2025,1,31),'2025数据'!$B$3:$B$181,$E872)/10000)</f>
        <v>4.352106</v>
      </c>
      <c r="G872" s="51">
        <f ca="1">IF($S$1&lt;DATE(2025,2,1)," ",SUMIFS('2025数据'!$AV$3:$AV$181,'2025数据'!$L$3:$L$181,"&gt;="&amp;DATE(2025,2,1),'2025数据'!$L$3:$L$181,"&lt;="&amp;DATE(2025,2,28),'2025数据'!$B$3:$B$181,$E872)/10000)</f>
        <v>0</v>
      </c>
      <c r="H872" s="51">
        <f ca="1">IF($S$1&lt;DATE(2025,3,1)," ",SUMIFS('2025数据'!$AV$3:$AV$181,'2025数据'!$L$3:$L$181,"&gt;="&amp;DATE(2025,3,1),'2025数据'!$L$3:$L$181,"&lt;="&amp;DATE(2025,3,31),'2025数据'!$B$3:$B$181,$E872)/10000)</f>
        <v>0</v>
      </c>
      <c r="I872" s="51">
        <f ca="1">IF($S$1&lt;DATE(2025,4,1)," ",SUMIFS('2025数据'!$AV$3:$AV$181,'2025数据'!$L$3:$L$181,"&gt;="&amp;DATE(2025,4,1),'2025数据'!$L$3:$L$181,"&lt;="&amp;DATE(2025,4,30),'2025数据'!$B$3:$B$181,$E872)/10000)</f>
        <v>3.190816</v>
      </c>
      <c r="J872" s="51">
        <f ca="1">IF($S$1&lt;DATE(2025,5,1)," ",SUMIFS('2025数据'!$AV$3:$AV$181,'2025数据'!$L$3:$L$181,"&gt;="&amp;DATE(2025,5,1),'2025数据'!$L$3:$L$181,"&lt;="&amp;DATE(2025,5,31),'2025数据'!$B$3:$B$181,$E872)/10000)</f>
        <v>0.326425</v>
      </c>
      <c r="K872" s="51">
        <f ca="1">IF($S$1&lt;DATE(2025,6,1)," ",SUMIFS('2025数据'!$AV$3:$AV$181,'2025数据'!$L$3:$L$181,"&gt;="&amp;DATE(2025,6,1),'2025数据'!$L$3:$L$181,"&lt;="&amp;DATE(2025,6,30),'2025数据'!$B$3:$B$181,$E872)/10000)</f>
        <v>0</v>
      </c>
      <c r="L872" s="51">
        <f ca="1">IF($S$1&lt;DATE(2025,7,1)," ",SUMIFS('2025数据'!$AV$3:$AV$181,'2025数据'!$L$3:$L$181,"&gt;="&amp;DATE(2025,7,1),'2025数据'!$L$3:$L$181,"&lt;="&amp;DATE(2025,7,31),'2025数据'!$B$3:$B$181,$E872)/10000)</f>
        <v>0</v>
      </c>
      <c r="M872" s="51">
        <f ca="1">IF($S$1&lt;DATE(2025,8,1)," ",SUMIFS('2025数据'!$AV$3:$AV$181,'2025数据'!$L$3:$L$181,"&gt;="&amp;DATE(2025,8,1),'2025数据'!$L$3:$L$181,"&lt;="&amp;DATE(2025,8,31),'2025数据'!$B$3:$B$181,$E872)/10000)</f>
        <v>1.802325</v>
      </c>
      <c r="N872" s="51">
        <f ca="1">IF($S$1&lt;DATE(2025,9,1)," ",SUMIFS('2025数据'!$AV$3:$AV$181,'2025数据'!$L$3:$L$181,"&gt;="&amp;DATE(2025,9,1),'2025数据'!$L$3:$L$181,"&lt;="&amp;DATE(2025,9,30),'2025数据'!$B$3:$B$181,$E872)/10000)</f>
        <v>0.474434</v>
      </c>
      <c r="O872" s="51">
        <f ca="1">IF($S$1&lt;DATE(2025,10,1)," ",SUMIFS('2025数据'!$AV$3:$AV$181,'2025数据'!$L$3:$L$181,"&gt;="&amp;DATE(2025,10,1),'2025数据'!$L$3:$L$181,"&lt;="&amp;DATE(2025,10,31),'2025数据'!$B$3:$B$181,$E872)/10000)</f>
        <v>0.363845</v>
      </c>
      <c r="P872" s="217">
        <f ca="1">IF($S$1&lt;DATE(2025,11,1)," ",SUMIFS('2025数据'!$AV$3:$AV$181,'2025数据'!$L$3:$L$181,"&gt;="&amp;DATE(2025,11,1),'2025数据'!$L$3:$L$181,"&lt;="&amp;DATE(2025,11,30),'2025数据'!$B$3:$B$181,$E872)/10000)</f>
        <v>0.262659</v>
      </c>
      <c r="Q872" s="217">
        <f ca="1">IF($S$1&lt;DATE(2025,12,1)," ",SUMIFS('2025数据'!$AV$3:$AV$181,'2025数据'!$L$3:$L$181,"&gt;="&amp;DATE(2025,12,1),'2025数据'!$L$3:$L$181,"&lt;="&amp;DATE(2025,12,31),'2025数据'!$B$3:$B$181,$E872)/10000)</f>
        <v>2.779157</v>
      </c>
    </row>
    <row r="873" ht="24" customHeight="1" spans="1:17">
      <c r="A873" s="99" t="s">
        <v>346</v>
      </c>
      <c r="B873" s="99" t="s">
        <v>299</v>
      </c>
      <c r="C873" s="99" t="s">
        <v>336</v>
      </c>
      <c r="D873" s="47" t="s">
        <v>294</v>
      </c>
      <c r="E873" s="47" t="s">
        <v>81</v>
      </c>
      <c r="F873" s="51">
        <f ca="1">IF($S$1&lt;DATE(2025,1,1)," ",SUMIFS('2025数据'!$AV$3:$AV$181,'2025数据'!$L$3:$L$181,"&gt;="&amp;DATE(2025,1,1),'2025数据'!$L$3:$L$181,"&lt;="&amp;DATE(2025,1,31),'2025数据'!$B$3:$B$181,$E873)/10000)</f>
        <v>0</v>
      </c>
      <c r="G873" s="51">
        <f ca="1">IF($S$1&lt;DATE(2025,2,1)," ",SUMIFS('2025数据'!$AV$3:$AV$181,'2025数据'!$L$3:$L$181,"&gt;="&amp;DATE(2025,2,1),'2025数据'!$L$3:$L$181,"&lt;="&amp;DATE(2025,2,28),'2025数据'!$B$3:$B$181,$E873)/10000)</f>
        <v>0</v>
      </c>
      <c r="H873" s="51">
        <f ca="1">IF($S$1&lt;DATE(2025,3,1)," ",SUMIFS('2025数据'!$AV$3:$AV$181,'2025数据'!$L$3:$L$181,"&gt;="&amp;DATE(2025,3,1),'2025数据'!$L$3:$L$181,"&lt;="&amp;DATE(2025,3,31),'2025数据'!$B$3:$B$181,$E873)/10000)</f>
        <v>0.906862</v>
      </c>
      <c r="I873" s="51">
        <f ca="1">IF($S$1&lt;DATE(2025,4,1)," ",SUMIFS('2025数据'!$AV$3:$AV$181,'2025数据'!$L$3:$L$181,"&gt;="&amp;DATE(2025,4,1),'2025数据'!$L$3:$L$181,"&lt;="&amp;DATE(2025,4,30),'2025数据'!$B$3:$B$181,$E873)/10000)</f>
        <v>0</v>
      </c>
      <c r="J873" s="51">
        <f ca="1">IF($S$1&lt;DATE(2025,5,1)," ",SUMIFS('2025数据'!$AV$3:$AV$181,'2025数据'!$L$3:$L$181,"&gt;="&amp;DATE(2025,5,1),'2025数据'!$L$3:$L$181,"&lt;="&amp;DATE(2025,5,31),'2025数据'!$B$3:$B$181,$E873)/10000)</f>
        <v>0</v>
      </c>
      <c r="K873" s="51">
        <f ca="1">IF($S$1&lt;DATE(2025,6,1)," ",SUMIFS('2025数据'!$AV$3:$AV$181,'2025数据'!$L$3:$L$181,"&gt;="&amp;DATE(2025,6,1),'2025数据'!$L$3:$L$181,"&lt;="&amp;DATE(2025,6,30),'2025数据'!$B$3:$B$181,$E873)/10000)</f>
        <v>0.404412</v>
      </c>
      <c r="L873" s="51">
        <f ca="1">IF($S$1&lt;DATE(2025,7,1)," ",SUMIFS('2025数据'!$AV$3:$AV$181,'2025数据'!$L$3:$L$181,"&gt;="&amp;DATE(2025,7,1),'2025数据'!$L$3:$L$181,"&lt;="&amp;DATE(2025,7,31),'2025数据'!$B$3:$B$181,$E873)/10000)</f>
        <v>0.348501</v>
      </c>
      <c r="M873" s="51">
        <f ca="1">IF($S$1&lt;DATE(2025,8,1)," ",SUMIFS('2025数据'!$AV$3:$AV$181,'2025数据'!$L$3:$L$181,"&gt;="&amp;DATE(2025,8,1),'2025数据'!$L$3:$L$181,"&lt;="&amp;DATE(2025,8,31),'2025数据'!$B$3:$B$181,$E873)/10000)</f>
        <v>0.72728</v>
      </c>
      <c r="N873" s="51">
        <f ca="1">IF($S$1&lt;DATE(2025,9,1)," ",SUMIFS('2025数据'!$AV$3:$AV$181,'2025数据'!$L$3:$L$181,"&gt;="&amp;DATE(2025,9,1),'2025数据'!$L$3:$L$181,"&lt;="&amp;DATE(2025,9,30),'2025数据'!$B$3:$B$181,$E873)/10000)</f>
        <v>0.233541</v>
      </c>
      <c r="O873" s="51">
        <f ca="1">IF($S$1&lt;DATE(2025,10,1)," ",SUMIFS('2025数据'!$AV$3:$AV$181,'2025数据'!$L$3:$L$181,"&gt;="&amp;DATE(2025,10,1),'2025数据'!$L$3:$L$181,"&lt;="&amp;DATE(2025,10,31),'2025数据'!$B$3:$B$181,$E873)/10000)</f>
        <v>1.329359</v>
      </c>
      <c r="P873" s="217">
        <f ca="1">IF($S$1&lt;DATE(2025,11,1)," ",SUMIFS('2025数据'!$AV$3:$AV$181,'2025数据'!$L$3:$L$181,"&gt;="&amp;DATE(2025,11,1),'2025数据'!$L$3:$L$181,"&lt;="&amp;DATE(2025,11,30),'2025数据'!$B$3:$B$181,$E873)/10000)</f>
        <v>0</v>
      </c>
      <c r="Q873" s="217">
        <f ca="1">IF($S$1&lt;DATE(2025,12,1)," ",SUMIFS('2025数据'!$AV$3:$AV$181,'2025数据'!$L$3:$L$181,"&gt;="&amp;DATE(2025,12,1),'2025数据'!$L$3:$L$181,"&lt;="&amp;DATE(2025,12,31),'2025数据'!$B$3:$B$181,$E873)/10000)</f>
        <v>0.30189</v>
      </c>
    </row>
    <row r="874" ht="24" customHeight="1" spans="1:17">
      <c r="A874" s="99" t="s">
        <v>346</v>
      </c>
      <c r="B874" s="99" t="s">
        <v>299</v>
      </c>
      <c r="C874" s="99" t="s">
        <v>336</v>
      </c>
      <c r="D874" s="47" t="s">
        <v>294</v>
      </c>
      <c r="E874" s="47" t="s">
        <v>96</v>
      </c>
      <c r="F874" s="51">
        <f ca="1">IF($S$1&lt;DATE(2025,1,1)," ",SUMIFS('2025数据'!$AV$3:$AV$181,'2025数据'!$L$3:$L$181,"&gt;="&amp;DATE(2025,1,1),'2025数据'!$L$3:$L$181,"&lt;="&amp;DATE(2025,1,31),'2025数据'!$B$3:$B$181,$E874)/10000)</f>
        <v>0</v>
      </c>
      <c r="G874" s="51">
        <f ca="1">IF($S$1&lt;DATE(2025,2,1)," ",SUMIFS('2025数据'!$AV$3:$AV$181,'2025数据'!$L$3:$L$181,"&gt;="&amp;DATE(2025,2,1),'2025数据'!$L$3:$L$181,"&lt;="&amp;DATE(2025,2,28),'2025数据'!$B$3:$B$181,$E874)/10000)</f>
        <v>0</v>
      </c>
      <c r="H874" s="51">
        <f ca="1">IF($S$1&lt;DATE(2025,3,1)," ",SUMIFS('2025数据'!$AV$3:$AV$181,'2025数据'!$L$3:$L$181,"&gt;="&amp;DATE(2025,3,1),'2025数据'!$L$3:$L$181,"&lt;="&amp;DATE(2025,3,31),'2025数据'!$B$3:$B$181,$E874)/10000)</f>
        <v>0</v>
      </c>
      <c r="I874" s="51">
        <f ca="1">IF($S$1&lt;DATE(2025,4,1)," ",SUMIFS('2025数据'!$AV$3:$AV$181,'2025数据'!$L$3:$L$181,"&gt;="&amp;DATE(2025,4,1),'2025数据'!$L$3:$L$181,"&lt;="&amp;DATE(2025,4,30),'2025数据'!$B$3:$B$181,$E874)/10000)</f>
        <v>0.299994</v>
      </c>
      <c r="J874" s="51">
        <f ca="1">IF($S$1&lt;DATE(2025,5,1)," ",SUMIFS('2025数据'!$AV$3:$AV$181,'2025数据'!$L$3:$L$181,"&gt;="&amp;DATE(2025,5,1),'2025数据'!$L$3:$L$181,"&lt;="&amp;DATE(2025,5,31),'2025数据'!$B$3:$B$181,$E874)/10000)</f>
        <v>0</v>
      </c>
      <c r="K874" s="51">
        <f ca="1">IF($S$1&lt;DATE(2025,6,1)," ",SUMIFS('2025数据'!$AV$3:$AV$181,'2025数据'!$L$3:$L$181,"&gt;="&amp;DATE(2025,6,1),'2025数据'!$L$3:$L$181,"&lt;="&amp;DATE(2025,6,30),'2025数据'!$B$3:$B$181,$E874)/10000)</f>
        <v>8.507617</v>
      </c>
      <c r="L874" s="51">
        <f ca="1">IF($S$1&lt;DATE(2025,7,1)," ",SUMIFS('2025数据'!$AV$3:$AV$181,'2025数据'!$L$3:$L$181,"&gt;="&amp;DATE(2025,7,1),'2025数据'!$L$3:$L$181,"&lt;="&amp;DATE(2025,7,31),'2025数据'!$B$3:$B$181,$E874)/10000)</f>
        <v>0</v>
      </c>
      <c r="M874" s="51">
        <f ca="1">IF($S$1&lt;DATE(2025,8,1)," ",SUMIFS('2025数据'!$AV$3:$AV$181,'2025数据'!$L$3:$L$181,"&gt;="&amp;DATE(2025,8,1),'2025数据'!$L$3:$L$181,"&lt;="&amp;DATE(2025,8,31),'2025数据'!$B$3:$B$181,$E874)/10000)</f>
        <v>0</v>
      </c>
      <c r="N874" s="51">
        <f ca="1">IF($S$1&lt;DATE(2025,9,1)," ",SUMIFS('2025数据'!$AV$3:$AV$181,'2025数据'!$L$3:$L$181,"&gt;="&amp;DATE(2025,9,1),'2025数据'!$L$3:$L$181,"&lt;="&amp;DATE(2025,9,30),'2025数据'!$B$3:$B$181,$E874)/10000)</f>
        <v>0</v>
      </c>
      <c r="O874" s="51">
        <f ca="1">IF($S$1&lt;DATE(2025,10,1)," ",SUMIFS('2025数据'!$AV$3:$AV$181,'2025数据'!$L$3:$L$181,"&gt;="&amp;DATE(2025,10,1),'2025数据'!$L$3:$L$181,"&lt;="&amp;DATE(2025,10,31),'2025数据'!$B$3:$B$181,$E874)/10000)</f>
        <v>0</v>
      </c>
      <c r="P874" s="217">
        <f ca="1">IF($S$1&lt;DATE(2025,11,1)," ",SUMIFS('2025数据'!$AV$3:$AV$181,'2025数据'!$L$3:$L$181,"&gt;="&amp;DATE(2025,11,1),'2025数据'!$L$3:$L$181,"&lt;="&amp;DATE(2025,11,30),'2025数据'!$B$3:$B$181,$E874)/10000)</f>
        <v>0</v>
      </c>
      <c r="Q874" s="217">
        <f ca="1">IF($S$1&lt;DATE(2025,12,1)," ",SUMIFS('2025数据'!$AV$3:$AV$181,'2025数据'!$L$3:$L$181,"&gt;="&amp;DATE(2025,12,1),'2025数据'!$L$3:$L$181,"&lt;="&amp;DATE(2025,12,31),'2025数据'!$B$3:$B$181,$E874)/10000)</f>
        <v>0</v>
      </c>
    </row>
    <row r="875" ht="24" customHeight="1" spans="1:17">
      <c r="A875" s="99" t="s">
        <v>346</v>
      </c>
      <c r="B875" s="99" t="s">
        <v>299</v>
      </c>
      <c r="C875" s="99" t="s">
        <v>336</v>
      </c>
      <c r="D875" s="47" t="s">
        <v>294</v>
      </c>
      <c r="E875" s="47" t="s">
        <v>160</v>
      </c>
      <c r="F875" s="51">
        <f ca="1">IF($S$1&lt;DATE(2025,1,1)," ",SUMIFS('2025数据'!$AV$3:$AV$181,'2025数据'!$L$3:$L$181,"&gt;="&amp;DATE(2025,1,1),'2025数据'!$L$3:$L$181,"&lt;="&amp;DATE(2025,1,31),'2025数据'!$B$3:$B$181,$E875)/10000)</f>
        <v>0</v>
      </c>
      <c r="G875" s="51">
        <f ca="1">IF($S$1&lt;DATE(2025,2,1)," ",SUMIFS('2025数据'!$AV$3:$AV$181,'2025数据'!$L$3:$L$181,"&gt;="&amp;DATE(2025,2,1),'2025数据'!$L$3:$L$181,"&lt;="&amp;DATE(2025,2,28),'2025数据'!$B$3:$B$181,$E875)/10000)</f>
        <v>0</v>
      </c>
      <c r="H875" s="51">
        <f ca="1">IF($S$1&lt;DATE(2025,3,1)," ",SUMIFS('2025数据'!$AV$3:$AV$181,'2025数据'!$L$3:$L$181,"&gt;="&amp;DATE(2025,3,1),'2025数据'!$L$3:$L$181,"&lt;="&amp;DATE(2025,3,31),'2025数据'!$B$3:$B$181,$E875)/10000)</f>
        <v>0</v>
      </c>
      <c r="I875" s="51">
        <f ca="1">IF($S$1&lt;DATE(2025,4,1)," ",SUMIFS('2025数据'!$AV$3:$AV$181,'2025数据'!$L$3:$L$181,"&gt;="&amp;DATE(2025,4,1),'2025数据'!$L$3:$L$181,"&lt;="&amp;DATE(2025,4,30),'2025数据'!$B$3:$B$181,$E875)/10000)</f>
        <v>0</v>
      </c>
      <c r="J875" s="51">
        <f ca="1">IF($S$1&lt;DATE(2025,5,1)," ",SUMIFS('2025数据'!$AV$3:$AV$181,'2025数据'!$L$3:$L$181,"&gt;="&amp;DATE(2025,5,1),'2025数据'!$L$3:$L$181,"&lt;="&amp;DATE(2025,5,31),'2025数据'!$B$3:$B$181,$E875)/10000)</f>
        <v>0.62016</v>
      </c>
      <c r="K875" s="51">
        <f ca="1">IF($S$1&lt;DATE(2025,6,1)," ",SUMIFS('2025数据'!$AV$3:$AV$181,'2025数据'!$L$3:$L$181,"&gt;="&amp;DATE(2025,6,1),'2025数据'!$L$3:$L$181,"&lt;="&amp;DATE(2025,6,30),'2025数据'!$B$3:$B$181,$E875)/10000)</f>
        <v>0</v>
      </c>
      <c r="L875" s="51">
        <f ca="1">IF($S$1&lt;DATE(2025,7,1)," ",SUMIFS('2025数据'!$AV$3:$AV$181,'2025数据'!$L$3:$L$181,"&gt;="&amp;DATE(2025,7,1),'2025数据'!$L$3:$L$181,"&lt;="&amp;DATE(2025,7,31),'2025数据'!$B$3:$B$181,$E875)/10000)</f>
        <v>0</v>
      </c>
      <c r="M875" s="51">
        <f ca="1">IF($S$1&lt;DATE(2025,8,1)," ",SUMIFS('2025数据'!$AV$3:$AV$181,'2025数据'!$L$3:$L$181,"&gt;="&amp;DATE(2025,8,1),'2025数据'!$L$3:$L$181,"&lt;="&amp;DATE(2025,8,31),'2025数据'!$B$3:$B$181,$E875)/10000)</f>
        <v>0</v>
      </c>
      <c r="N875" s="51">
        <f ca="1">IF($S$1&lt;DATE(2025,9,1)," ",SUMIFS('2025数据'!$AV$3:$AV$181,'2025数据'!$L$3:$L$181,"&gt;="&amp;DATE(2025,9,1),'2025数据'!$L$3:$L$181,"&lt;="&amp;DATE(2025,9,30),'2025数据'!$B$3:$B$181,$E875)/10000)</f>
        <v>0</v>
      </c>
      <c r="O875" s="51">
        <f ca="1">IF($S$1&lt;DATE(2025,10,1)," ",SUMIFS('2025数据'!$AV$3:$AV$181,'2025数据'!$L$3:$L$181,"&gt;="&amp;DATE(2025,10,1),'2025数据'!$L$3:$L$181,"&lt;="&amp;DATE(2025,10,31),'2025数据'!$B$3:$B$181,$E875)/10000)</f>
        <v>0</v>
      </c>
      <c r="P875" s="217">
        <f ca="1">IF($S$1&lt;DATE(2025,11,1)," ",SUMIFS('2025数据'!$AV$3:$AV$181,'2025数据'!$L$3:$L$181,"&gt;="&amp;DATE(2025,11,1),'2025数据'!$L$3:$L$181,"&lt;="&amp;DATE(2025,11,30),'2025数据'!$B$3:$B$181,$E875)/10000)</f>
        <v>0</v>
      </c>
      <c r="Q875" s="217">
        <f ca="1">IF($S$1&lt;DATE(2025,12,1)," ",SUMIFS('2025数据'!$AV$3:$AV$181,'2025数据'!$L$3:$L$181,"&gt;="&amp;DATE(2025,12,1),'2025数据'!$L$3:$L$181,"&lt;="&amp;DATE(2025,12,31),'2025数据'!$B$3:$B$181,$E875)/10000)</f>
        <v>0</v>
      </c>
    </row>
    <row r="876" ht="24" customHeight="1" spans="1:17">
      <c r="A876" s="99" t="s">
        <v>346</v>
      </c>
      <c r="B876" s="99" t="s">
        <v>299</v>
      </c>
      <c r="C876" s="99" t="s">
        <v>333</v>
      </c>
      <c r="D876" s="114" t="s">
        <v>292</v>
      </c>
      <c r="E876" s="53" t="s">
        <v>337</v>
      </c>
      <c r="F876" s="219">
        <f ca="1">IF($S$1&lt;DATE(2025,1,1)," ",SUMIFS('2025数据'!$AZ$3:$AZ$181,'2025数据'!$L$3:$L$181,"&gt;="&amp;DATE(2025,1,1),'2025数据'!$L$3:$L$181,"&lt;="&amp;DATE(2025,1,31),'2025数据'!$AY$3:$AY$181,$E37)/10000)</f>
        <v>0.320264</v>
      </c>
      <c r="G876" s="219">
        <f ca="1">IF($S$1&lt;DATE(2025,2,1)," ",SUMIFS('2025数据'!$AZ$3:$AZ$181,'2025数据'!$L$3:$L$181,"&gt;="&amp;DATE(2025,2,1),'2025数据'!$L$3:$L$181,"&lt;="&amp;DATE(2025,2,28),'2025数据'!$AY$3:$AY$181,$E37)/10000)</f>
        <v>0</v>
      </c>
      <c r="H876" s="219">
        <f ca="1">IF($S$1&lt;DATE(2025,3,1)," ",SUMIFS('2025数据'!$AZ$3:$AZ$181,'2025数据'!$L$3:$L$181,"&gt;="&amp;DATE(2025,3,1),'2025数据'!$L$3:$L$181,"&lt;="&amp;DATE(2025,3,31),'2025数据'!$AY$3:$AY$181,$E37)/10000)</f>
        <v>0</v>
      </c>
      <c r="I876" s="219">
        <f ca="1">IF($S$1&lt;DATE(2025,4,1)," ",SUMIFS('2025数据'!$AZ$3:$AZ$181,'2025数据'!$L$3:$L$181,"&gt;="&amp;DATE(2025,4,1),'2025数据'!$L$3:$L$181,"&lt;="&amp;DATE(2025,4,30),'2025数据'!$AY$3:$AY$181,$E37)/10000)</f>
        <v>0.0835249999999999</v>
      </c>
      <c r="J876" s="219">
        <f ca="1">IF($S$1&lt;DATE(2025,5,1)," ",SUMIFS('2025数据'!$AZ$3:$AZ$181,'2025数据'!$L$3:$L$181,"&gt;="&amp;DATE(2025,5,1),'2025数据'!$L$3:$L$181,"&lt;="&amp;DATE(2025,5,31),'2025数据'!$AY$3:$AY$181,$E37)/10000)</f>
        <v>0.092946</v>
      </c>
      <c r="K876" s="219">
        <f ca="1">IF($S$1&lt;DATE(2025,6,1)," ",SUMIFS('2025数据'!$AZ$3:$AZ$181,'2025数据'!$L$3:$L$181,"&gt;="&amp;DATE(2025,6,1),'2025数据'!$L$3:$L$181,"&lt;="&amp;DATE(2025,6,30),'2025数据'!$AY$3:$AY$181,$E37)/10000)</f>
        <v>0.174503000000001</v>
      </c>
      <c r="L876" s="219">
        <f ca="1">IF($S$1&lt;DATE(2025,7,1)," ",SUMIFS('2025数据'!$AZ$3:$AZ$181,'2025数据'!$L$3:$L$181,"&gt;="&amp;DATE(2025,7,1),'2025数据'!$L$3:$L$181,"&lt;="&amp;DATE(2025,7,31),'2025数据'!$AY$3:$AY$181,$E37)/10000)</f>
        <v>0.065021</v>
      </c>
      <c r="M876" s="219">
        <f ca="1">IF($S$1&lt;DATE(2025,8,1)," ",SUMIFS('2025数据'!$AZ$3:$AZ$181,'2025数据'!$L$3:$L$181,"&gt;="&amp;DATE(2025,8,1),'2025数据'!$L$3:$L$181,"&lt;="&amp;DATE(2025,8,31),'2025数据'!$AY$3:$AY$181,$E37)/10000)</f>
        <v>0.115628</v>
      </c>
      <c r="N876" s="219">
        <f ca="1">IF($S$1&lt;DATE(2025,9,1)," ",SUMIFS('2025数据'!$AZ$3:$AZ$181,'2025数据'!$L$3:$L$181,"&gt;="&amp;DATE(2025,9,1),'2025数据'!$L$3:$L$181,"&lt;="&amp;DATE(2025,9,30),'2025数据'!$AY$3:$AY$181,$E37)/10000)</f>
        <v>0.110118</v>
      </c>
      <c r="O876" s="219">
        <f ca="1">IF($S$1&lt;DATE(2025,10,1)," ",SUMIFS('2025数据'!$AZ$3:$AZ$181,'2025数据'!$L$3:$L$181,"&gt;="&amp;DATE(2025,10,1),'2025数据'!$L$3:$L$181,"&lt;="&amp;DATE(2025,10,31),'2025数据'!$AY$3:$AY$181,$E37)/10000)</f>
        <v>0.057938</v>
      </c>
      <c r="P876" s="224">
        <f ca="1">IF($S$1&lt;DATE(2025,11,1)," ",SUMIFS('2025数据'!$AZ$3:$AZ$181,'2025数据'!$L$3:$L$181,"&gt;="&amp;DATE(2025,11,1),'2025数据'!$L$3:$L$181,"&lt;="&amp;DATE(2025,11,30),'2025数据'!$AY$3:$AY$181,$E37)/10000)</f>
        <v>0.00626499999999999</v>
      </c>
      <c r="Q876" s="224">
        <f ca="1">IF($S$1&lt;DATE(2025,12,1)," ",SUMIFS('2025数据'!$AZ$3:$AZ$181,'2025数据'!$L$3:$L$181,"&gt;="&amp;DATE(2025,12,1),'2025数据'!$L$3:$L$181,"&lt;="&amp;DATE(2025,12,31),'2025数据'!$AY$3:$AY$181,$E37)/10000)</f>
        <v>0.037756</v>
      </c>
    </row>
    <row r="877" ht="24" customHeight="1" spans="1:17">
      <c r="A877" s="99" t="s">
        <v>346</v>
      </c>
      <c r="B877" s="99" t="s">
        <v>299</v>
      </c>
      <c r="C877" s="99" t="s">
        <v>333</v>
      </c>
      <c r="D877" s="114" t="s">
        <v>292</v>
      </c>
      <c r="E877" s="53" t="s">
        <v>338</v>
      </c>
      <c r="F877" s="219">
        <f ca="1">IF($S$1&lt;DATE(2025,1,1)," ",SUMIFS('2025数据'!$AZ$3:$AZ$181,'2025数据'!$L$3:$L$181,"&gt;="&amp;DATE(2025,1,1),'2025数据'!$L$3:$L$181,"&lt;="&amp;DATE(2025,1,31),'2025数据'!$AY$3:$AY$181,$E38)/10000)</f>
        <v>0.0224000000000001</v>
      </c>
      <c r="G877" s="219">
        <f ca="1">IF($S$1&lt;DATE(2025,2,1)," ",SUMIFS('2025数据'!$AZ$3:$AZ$181,'2025数据'!$L$3:$L$181,"&gt;="&amp;DATE(2025,2,1),'2025数据'!$L$3:$L$181,"&lt;="&amp;DATE(2025,2,28),'2025数据'!$AY$3:$AY$181,$E38)/10000)</f>
        <v>0</v>
      </c>
      <c r="H877" s="219">
        <f ca="1">IF($S$1&lt;DATE(2025,3,1)," ",SUMIFS('2025数据'!$AZ$3:$AZ$181,'2025数据'!$L$3:$L$181,"&gt;="&amp;DATE(2025,3,1),'2025数据'!$L$3:$L$181,"&lt;="&amp;DATE(2025,3,31),'2025数据'!$AY$3:$AY$181,$E38)/10000)</f>
        <v>0.0274939999999999</v>
      </c>
      <c r="I877" s="219">
        <f ca="1">IF($S$1&lt;DATE(2025,4,1)," ",SUMIFS('2025数据'!$AZ$3:$AZ$181,'2025数据'!$L$3:$L$181,"&gt;="&amp;DATE(2025,4,1),'2025数据'!$L$3:$L$181,"&lt;="&amp;DATE(2025,4,30),'2025数据'!$AY$3:$AY$181,$E38)/10000)</f>
        <v>0.323753</v>
      </c>
      <c r="J877" s="219">
        <f ca="1">IF($S$1&lt;DATE(2025,5,1)," ",SUMIFS('2025数据'!$AZ$3:$AZ$181,'2025数据'!$L$3:$L$181,"&gt;="&amp;DATE(2025,5,1),'2025数据'!$L$3:$L$181,"&lt;="&amp;DATE(2025,5,31),'2025数据'!$AY$3:$AY$181,$E38)/10000)</f>
        <v>0</v>
      </c>
      <c r="K877" s="219">
        <f ca="1">IF($S$1&lt;DATE(2025,6,1)," ",SUMIFS('2025数据'!$AZ$3:$AZ$181,'2025数据'!$L$3:$L$181,"&gt;="&amp;DATE(2025,6,1),'2025数据'!$L$3:$L$181,"&lt;="&amp;DATE(2025,6,30),'2025数据'!$AY$3:$AY$181,$E38)/10000)</f>
        <v>0</v>
      </c>
      <c r="L877" s="219">
        <f ca="1">IF($S$1&lt;DATE(2025,7,1)," ",SUMIFS('2025数据'!$AZ$3:$AZ$181,'2025数据'!$L$3:$L$181,"&gt;="&amp;DATE(2025,7,1),'2025数据'!$L$3:$L$181,"&lt;="&amp;DATE(2025,7,31),'2025数据'!$AY$3:$AY$181,$E38)/10000)</f>
        <v>0.033444</v>
      </c>
      <c r="M877" s="219">
        <f ca="1">IF($S$1&lt;DATE(2025,8,1)," ",SUMIFS('2025数据'!$AZ$3:$AZ$181,'2025数据'!$L$3:$L$181,"&gt;="&amp;DATE(2025,8,1),'2025数据'!$L$3:$L$181,"&lt;="&amp;DATE(2025,8,31),'2025数据'!$AY$3:$AY$181,$E38)/10000)</f>
        <v>0.000640999999999985</v>
      </c>
      <c r="N877" s="219">
        <f ca="1">IF($S$1&lt;DATE(2025,9,1)," ",SUMIFS('2025数据'!$AZ$3:$AZ$181,'2025数据'!$L$3:$L$181,"&gt;="&amp;DATE(2025,9,1),'2025数据'!$L$3:$L$181,"&lt;="&amp;DATE(2025,9,30),'2025数据'!$AY$3:$AY$181,$E38)/10000)</f>
        <v>0</v>
      </c>
      <c r="O877" s="219">
        <f ca="1">IF($S$1&lt;DATE(2025,10,1)," ",SUMIFS('2025数据'!$AZ$3:$AZ$181,'2025数据'!$L$3:$L$181,"&gt;="&amp;DATE(2025,10,1),'2025数据'!$L$3:$L$181,"&lt;="&amp;DATE(2025,10,31),'2025数据'!$AY$3:$AY$181,$E38)/10000)</f>
        <v>0.00536599999999999</v>
      </c>
      <c r="P877" s="224">
        <f ca="1">IF($S$1&lt;DATE(2025,11,1)," ",SUMIFS('2025数据'!$AZ$3:$AZ$181,'2025数据'!$L$3:$L$181,"&gt;="&amp;DATE(2025,11,1),'2025数据'!$L$3:$L$181,"&lt;="&amp;DATE(2025,11,30),'2025数据'!$AY$3:$AY$181,$E38)/10000)</f>
        <v>0.000198000000000002</v>
      </c>
      <c r="Q877" s="224">
        <f ca="1">IF($S$1&lt;DATE(2025,12,1)," ",SUMIFS('2025数据'!$AZ$3:$AZ$181,'2025数据'!$L$3:$L$181,"&gt;="&amp;DATE(2025,12,1),'2025数据'!$L$3:$L$181,"&lt;="&amp;DATE(2025,12,31),'2025数据'!$AY$3:$AY$181,$E38)/10000)</f>
        <v>0.00455599999999995</v>
      </c>
    </row>
    <row r="878" ht="24" customHeight="1" spans="1:17">
      <c r="A878" s="99" t="s">
        <v>346</v>
      </c>
      <c r="B878" s="99" t="s">
        <v>299</v>
      </c>
      <c r="C878" s="99" t="s">
        <v>333</v>
      </c>
      <c r="D878" s="114" t="s">
        <v>292</v>
      </c>
      <c r="E878" s="53" t="s">
        <v>339</v>
      </c>
      <c r="F878" s="219">
        <f ca="1">IF($S$1&lt;DATE(2025,1,1)," ",SUMIFS('2025数据'!$AZ$3:$AZ$181,'2025数据'!$L$3:$L$181,"&gt;="&amp;DATE(2025,1,1),'2025数据'!$L$3:$L$181,"&lt;="&amp;DATE(2025,1,31),'2025数据'!$AY$3:$AY$181,$E39)/10000)</f>
        <v>0</v>
      </c>
      <c r="G878" s="219">
        <f ca="1">IF($S$1&lt;DATE(2025,2,1)," ",SUMIFS('2025数据'!$AZ$3:$AZ$181,'2025数据'!$L$3:$L$181,"&gt;="&amp;DATE(2025,2,1),'2025数据'!$L$3:$L$181,"&lt;="&amp;DATE(2025,2,28),'2025数据'!$AY$3:$AY$181,$E39)/10000)</f>
        <v>0</v>
      </c>
      <c r="H878" s="219">
        <f ca="1">IF($S$1&lt;DATE(2025,3,1)," ",SUMIFS('2025数据'!$AZ$3:$AZ$181,'2025数据'!$L$3:$L$181,"&gt;="&amp;DATE(2025,3,1),'2025数据'!$L$3:$L$181,"&lt;="&amp;DATE(2025,3,31),'2025数据'!$AY$3:$AY$181,$E39)/10000)</f>
        <v>0</v>
      </c>
      <c r="I878" s="219">
        <f ca="1">IF($S$1&lt;DATE(2025,4,1)," ",SUMIFS('2025数据'!$AZ$3:$AZ$181,'2025数据'!$L$3:$L$181,"&gt;="&amp;DATE(2025,4,1),'2025数据'!$L$3:$L$181,"&lt;="&amp;DATE(2025,4,30),'2025数据'!$AY$3:$AY$181,$E39)/10000)</f>
        <v>0</v>
      </c>
      <c r="J878" s="219">
        <f ca="1">IF($S$1&lt;DATE(2025,5,1)," ",SUMIFS('2025数据'!$AZ$3:$AZ$181,'2025数据'!$L$3:$L$181,"&gt;="&amp;DATE(2025,5,1),'2025数据'!$L$3:$L$181,"&lt;="&amp;DATE(2025,5,31),'2025数据'!$AY$3:$AY$181,$E39)/10000)</f>
        <v>0</v>
      </c>
      <c r="K878" s="219">
        <f ca="1">IF($S$1&lt;DATE(2025,6,1)," ",SUMIFS('2025数据'!$AZ$3:$AZ$181,'2025数据'!$L$3:$L$181,"&gt;="&amp;DATE(2025,6,1),'2025数据'!$L$3:$L$181,"&lt;="&amp;DATE(2025,6,30),'2025数据'!$AY$3:$AY$181,$E39)/10000)</f>
        <v>0</v>
      </c>
      <c r="L878" s="219">
        <f ca="1">IF($S$1&lt;DATE(2025,7,1)," ",SUMIFS('2025数据'!$AZ$3:$AZ$181,'2025数据'!$L$3:$L$181,"&gt;="&amp;DATE(2025,7,1),'2025数据'!$L$3:$L$181,"&lt;="&amp;DATE(2025,7,31),'2025数据'!$AY$3:$AY$181,$E39)/10000)</f>
        <v>0</v>
      </c>
      <c r="M878" s="219">
        <f ca="1">IF($S$1&lt;DATE(2025,8,1)," ",SUMIFS('2025数据'!$AZ$3:$AZ$181,'2025数据'!$L$3:$L$181,"&gt;="&amp;DATE(2025,8,1),'2025数据'!$L$3:$L$181,"&lt;="&amp;DATE(2025,8,31),'2025数据'!$AY$3:$AY$181,$E39)/10000)</f>
        <v>0</v>
      </c>
      <c r="N878" s="219">
        <f ca="1">IF($S$1&lt;DATE(2025,9,1)," ",SUMIFS('2025数据'!$AZ$3:$AZ$181,'2025数据'!$L$3:$L$181,"&gt;="&amp;DATE(2025,9,1),'2025数据'!$L$3:$L$181,"&lt;="&amp;DATE(2025,9,30),'2025数据'!$AY$3:$AY$181,$E39)/10000)</f>
        <v>0</v>
      </c>
      <c r="O878" s="219">
        <f ca="1">IF($S$1&lt;DATE(2025,10,1)," ",SUMIFS('2025数据'!$AZ$3:$AZ$181,'2025数据'!$L$3:$L$181,"&gt;="&amp;DATE(2025,10,1),'2025数据'!$L$3:$L$181,"&lt;="&amp;DATE(2025,10,31),'2025数据'!$AY$3:$AY$181,$E39)/10000)</f>
        <v>0</v>
      </c>
      <c r="P878" s="224">
        <f ca="1">IF($S$1&lt;DATE(2025,11,1)," ",SUMIFS('2025数据'!$AZ$3:$AZ$181,'2025数据'!$L$3:$L$181,"&gt;="&amp;DATE(2025,11,1),'2025数据'!$L$3:$L$181,"&lt;="&amp;DATE(2025,11,30),'2025数据'!$AY$3:$AY$181,$E39)/10000)</f>
        <v>0</v>
      </c>
      <c r="Q878" s="224">
        <f ca="1">IF($S$1&lt;DATE(2025,12,1)," ",SUMIFS('2025数据'!$AZ$3:$AZ$181,'2025数据'!$L$3:$L$181,"&gt;="&amp;DATE(2025,12,1),'2025数据'!$L$3:$L$181,"&lt;="&amp;DATE(2025,12,31),'2025数据'!$AY$3:$AY$181,$E39)/10000)</f>
        <v>0</v>
      </c>
    </row>
    <row r="879" ht="24" customHeight="1" spans="1:17">
      <c r="A879" s="99" t="s">
        <v>346</v>
      </c>
      <c r="B879" s="99" t="s">
        <v>299</v>
      </c>
      <c r="C879" s="99" t="s">
        <v>333</v>
      </c>
      <c r="D879" s="53" t="s">
        <v>303</v>
      </c>
      <c r="E879" s="53" t="s">
        <v>93</v>
      </c>
      <c r="F879" s="219">
        <f ca="1">IF($S$1&lt;DATE(2025,1,1)," ",SUMIFS('2025数据'!$AZ$3:$AZ$181,'2025数据'!$L$3:$L$181,"&gt;="&amp;DATE(2025,1,1),'2025数据'!$L$3:$L$181,"&lt;="&amp;DATE(2025,1,31),'2025数据'!$AY$3:$AY$181,$E$37,'2025数据'!$B$3:$B$181,E879)/10000)</f>
        <v>0.00207</v>
      </c>
      <c r="G879" s="219">
        <f ca="1">IF($S$1&lt;DATE(2025,2,1)," ",SUMIFS('2025数据'!$AZ$3:$AZ$181,'2025数据'!$L$3:$L$181,"&gt;="&amp;DATE(2025,2,1),'2025数据'!$L$3:$L$181,"&lt;="&amp;DATE(2025,2,28),'2025数据'!$AY$3:$AY$181,$E$37,'2025数据'!$B$3:$B$181,E879)/10000)</f>
        <v>0</v>
      </c>
      <c r="H879" s="219">
        <f ca="1">IF($S$1&lt;DATE(2025,3,1)," ",SUMIFS('2025数据'!$AZ$3:$AZ$181,'2025数据'!$L$3:$L$181,"&gt;="&amp;DATE(2025,3,1),'2025数据'!$L$3:$L$181,"&lt;="&amp;DATE(2025,3,31),'2025数据'!$AY$3:$AY$181,$E$37,'2025数据'!$B$3:$B$181,E879)/10000)</f>
        <v>0</v>
      </c>
      <c r="I879" s="219">
        <f ca="1">IF($S$1&lt;DATE(2025,4,1)," ",SUMIFS('2025数据'!$AZ$3:$AZ$181,'2025数据'!$L$3:$L$181,"&gt;="&amp;DATE(2025,4,1),'2025数据'!$L$3:$L$181,"&lt;="&amp;DATE(2025,4,30),'2025数据'!$AY$3:$AY$181,$E$37,'2025数据'!$B$3:$B$181,E879)/10000)</f>
        <v>0.0177140000000001</v>
      </c>
      <c r="J879" s="219">
        <f ca="1">IF($S$1&lt;DATE(2025,5,1)," ",SUMIFS('2025数据'!$AZ$3:$AZ$181,'2025数据'!$L$3:$L$181,"&gt;="&amp;DATE(2025,5,1),'2025数据'!$L$3:$L$181,"&lt;="&amp;DATE(2025,5,31),'2025数据'!$AY$3:$AY$181,$E$37,'2025数据'!$B$3:$B$181,E879)/10000)</f>
        <v>0.063658</v>
      </c>
      <c r="K879" s="219">
        <f ca="1">IF($S$1&lt;DATE(2025,6,1)," ",SUMIFS('2025数据'!$AZ$3:$AZ$181,'2025数据'!$L$3:$L$181,"&gt;="&amp;DATE(2025,6,1),'2025数据'!$L$3:$L$181,"&lt;="&amp;DATE(2025,6,30),'2025数据'!$AY$3:$AY$181,$E$37,'2025数据'!$B$3:$B$181,E879)/10000)</f>
        <v>0.00155299999999988</v>
      </c>
      <c r="L879" s="219">
        <f ca="1">IF($S$1&lt;DATE(2025,7,1)," ",SUMIFS('2025数据'!$AZ$3:$AZ$181,'2025数据'!$L$3:$L$181,"&gt;="&amp;DATE(2025,7,1),'2025数据'!$L$3:$L$181,"&lt;="&amp;DATE(2025,7,31),'2025数据'!$AY$3:$AY$181,$E$37,'2025数据'!$B$3:$B$181,E879)/10000)</f>
        <v>0.065021</v>
      </c>
      <c r="M879" s="219">
        <f ca="1">IF($S$1&lt;DATE(2025,8,1)," ",SUMIFS('2025数据'!$AZ$3:$AZ$181,'2025数据'!$L$3:$L$181,"&gt;="&amp;DATE(2025,8,1),'2025数据'!$L$3:$L$181,"&lt;="&amp;DATE(2025,8,31),'2025数据'!$AY$3:$AY$181,$E$37,'2025数据'!$B$3:$B$181,E879)/10000)</f>
        <v>0.0063</v>
      </c>
      <c r="N879" s="219">
        <f ca="1">IF($S$1&lt;DATE(2025,9,1)," ",SUMIFS('2025数据'!$AZ$3:$AZ$181,'2025数据'!$L$3:$L$181,"&gt;="&amp;DATE(2025,9,1),'2025数据'!$L$3:$L$181,"&lt;="&amp;DATE(2025,9,30),'2025数据'!$AY$3:$AY$181,$E$37,'2025数据'!$B$3:$B$181,E879)/10000)</f>
        <v>0.0936789999999999</v>
      </c>
      <c r="O879" s="219">
        <f ca="1">IF($S$1&lt;DATE(2025,10,1)," ",SUMIFS('2025数据'!$AZ$3:$AZ$181,'2025数据'!$L$3:$L$181,"&gt;="&amp;DATE(2025,10,1),'2025数据'!$L$3:$L$181,"&lt;="&amp;DATE(2025,10,31),'2025数据'!$AY$3:$AY$181,$E$37,'2025数据'!$B$3:$B$181,E879)/10000)</f>
        <v>0.040977</v>
      </c>
      <c r="P879" s="224">
        <f ca="1">IF($S$1&lt;DATE(2025,11,1)," ",SUMIFS('2025数据'!$AZ$3:$AZ$181,'2025数据'!$L$3:$L$181,"&gt;="&amp;DATE(2025,11,1),'2025数据'!$L$3:$L$181,"&lt;="&amp;DATE(2025,11,30),'2025数据'!$AY$3:$AY$181,$E$37,'2025数据'!$B$3:$B$181,E879)/10000)</f>
        <v>0.00626499999999999</v>
      </c>
      <c r="Q879" s="224">
        <f ca="1">IF($S$1&lt;DATE(2025,12,1)," ",SUMIFS('2025数据'!$AZ$3:$AZ$181,'2025数据'!$L$3:$L$181,"&gt;="&amp;DATE(2025,12,1),'2025数据'!$L$3:$L$181,"&lt;="&amp;DATE(2025,12,31),'2025数据'!$AY$3:$AY$181,$E$37,'2025数据'!$B$3:$B$181,E879)/10000)</f>
        <v>0.00820400000000004</v>
      </c>
    </row>
    <row r="880" ht="24" customHeight="1" spans="1:17">
      <c r="A880" s="99" t="s">
        <v>346</v>
      </c>
      <c r="B880" s="99" t="s">
        <v>299</v>
      </c>
      <c r="C880" s="99" t="s">
        <v>333</v>
      </c>
      <c r="D880" s="53" t="s">
        <v>303</v>
      </c>
      <c r="E880" s="53" t="s">
        <v>85</v>
      </c>
      <c r="F880" s="219">
        <f ca="1">IF($S$1&lt;DATE(2025,1,1)," ",SUMIFS('2025数据'!$AZ$3:$AZ$181,'2025数据'!$L$3:$L$181,"&gt;="&amp;DATE(2025,1,1),'2025数据'!$L$3:$L$181,"&lt;="&amp;DATE(2025,1,31),'2025数据'!$AY$3:$AY$181,$E$37,'2025数据'!$B$3:$B$181,E880)/10000)</f>
        <v>0.318194</v>
      </c>
      <c r="G880" s="219">
        <f ca="1">IF($S$1&lt;DATE(2025,2,1)," ",SUMIFS('2025数据'!$AZ$3:$AZ$181,'2025数据'!$L$3:$L$181,"&gt;="&amp;DATE(2025,2,1),'2025数据'!$L$3:$L$181,"&lt;="&amp;DATE(2025,2,28),'2025数据'!$AY$3:$AY$181,$E$37,'2025数据'!$B$3:$B$181,E880)/10000)</f>
        <v>0</v>
      </c>
      <c r="H880" s="219">
        <f ca="1">IF($S$1&lt;DATE(2025,3,1)," ",SUMIFS('2025数据'!$AZ$3:$AZ$181,'2025数据'!$L$3:$L$181,"&gt;="&amp;DATE(2025,3,1),'2025数据'!$L$3:$L$181,"&lt;="&amp;DATE(2025,3,31),'2025数据'!$AY$3:$AY$181,$E$37,'2025数据'!$B$3:$B$181,E880)/10000)</f>
        <v>0</v>
      </c>
      <c r="I880" s="219">
        <f ca="1">IF($S$1&lt;DATE(2025,4,1)," ",SUMIFS('2025数据'!$AZ$3:$AZ$181,'2025数据'!$L$3:$L$181,"&gt;="&amp;DATE(2025,4,1),'2025数据'!$L$3:$L$181,"&lt;="&amp;DATE(2025,4,30),'2025数据'!$AY$3:$AY$181,$E$37,'2025数据'!$B$3:$B$181,E880)/10000)</f>
        <v>0.0658109999999998</v>
      </c>
      <c r="J880" s="219">
        <f ca="1">IF($S$1&lt;DATE(2025,5,1)," ",SUMIFS('2025数据'!$AZ$3:$AZ$181,'2025数据'!$L$3:$L$181,"&gt;="&amp;DATE(2025,5,1),'2025数据'!$L$3:$L$181,"&lt;="&amp;DATE(2025,5,31),'2025数据'!$AY$3:$AY$181,$E$37,'2025数据'!$B$3:$B$181,E880)/10000)</f>
        <v>0.010374</v>
      </c>
      <c r="K880" s="219">
        <f ca="1">IF($S$1&lt;DATE(2025,6,1)," ",SUMIFS('2025数据'!$AZ$3:$AZ$181,'2025数据'!$L$3:$L$181,"&gt;="&amp;DATE(2025,6,1),'2025数据'!$L$3:$L$181,"&lt;="&amp;DATE(2025,6,30),'2025数据'!$AY$3:$AY$181,$E$37,'2025数据'!$B$3:$B$181,E880)/10000)</f>
        <v>0</v>
      </c>
      <c r="L880" s="219">
        <f ca="1">IF($S$1&lt;DATE(2025,7,1)," ",SUMIFS('2025数据'!$AZ$3:$AZ$181,'2025数据'!$L$3:$L$181,"&gt;="&amp;DATE(2025,7,1),'2025数据'!$L$3:$L$181,"&lt;="&amp;DATE(2025,7,31),'2025数据'!$AY$3:$AY$181,$E$37,'2025数据'!$B$3:$B$181,E880)/10000)</f>
        <v>0</v>
      </c>
      <c r="M880" s="219">
        <f ca="1">IF($S$1&lt;DATE(2025,8,1)," ",SUMIFS('2025数据'!$AZ$3:$AZ$181,'2025数据'!$L$3:$L$181,"&gt;="&amp;DATE(2025,8,1),'2025数据'!$L$3:$L$181,"&lt;="&amp;DATE(2025,8,31),'2025数据'!$AY$3:$AY$181,$E$37,'2025数据'!$B$3:$B$181,E880)/10000)</f>
        <v>0.0578690000000002</v>
      </c>
      <c r="N880" s="219">
        <f ca="1">IF($S$1&lt;DATE(2025,9,1)," ",SUMIFS('2025数据'!$AZ$3:$AZ$181,'2025数据'!$L$3:$L$181,"&gt;="&amp;DATE(2025,9,1),'2025数据'!$L$3:$L$181,"&lt;="&amp;DATE(2025,9,30),'2025数据'!$AY$3:$AY$181,$E$37,'2025数据'!$B$3:$B$181,E880)/10000)</f>
        <v>0.00496199999999999</v>
      </c>
      <c r="O880" s="219">
        <f ca="1">IF($S$1&lt;DATE(2025,10,1)," ",SUMIFS('2025数据'!$AZ$3:$AZ$181,'2025数据'!$L$3:$L$181,"&gt;="&amp;DATE(2025,10,1),'2025数据'!$L$3:$L$181,"&lt;="&amp;DATE(2025,10,31),'2025数据'!$AY$3:$AY$181,$E$37,'2025数据'!$B$3:$B$181,E880)/10000)</f>
        <v>0.00830799999999999</v>
      </c>
      <c r="P880" s="224">
        <f ca="1">IF($S$1&lt;DATE(2025,11,1)," ",SUMIFS('2025数据'!$AZ$3:$AZ$181,'2025数据'!$L$3:$L$181,"&gt;="&amp;DATE(2025,11,1),'2025数据'!$L$3:$L$181,"&lt;="&amp;DATE(2025,11,30),'2025数据'!$AY$3:$AY$181,$E$37,'2025数据'!$B$3:$B$181,E880)/10000)</f>
        <v>0</v>
      </c>
      <c r="Q880" s="224">
        <f ca="1">IF($S$1&lt;DATE(2025,12,1)," ",SUMIFS('2025数据'!$AZ$3:$AZ$181,'2025数据'!$L$3:$L$181,"&gt;="&amp;DATE(2025,12,1),'2025数据'!$L$3:$L$181,"&lt;="&amp;DATE(2025,12,31),'2025数据'!$AY$3:$AY$181,$E$37,'2025数据'!$B$3:$B$181,E880)/10000)</f>
        <v>0.0284229999999999</v>
      </c>
    </row>
    <row r="881" ht="24" customHeight="1" spans="1:17">
      <c r="A881" s="99" t="s">
        <v>346</v>
      </c>
      <c r="B881" s="99" t="s">
        <v>299</v>
      </c>
      <c r="C881" s="99" t="s">
        <v>333</v>
      </c>
      <c r="D881" s="53" t="s">
        <v>303</v>
      </c>
      <c r="E881" s="53" t="s">
        <v>81</v>
      </c>
      <c r="F881" s="219">
        <f ca="1">IF($S$1&lt;DATE(2025,1,1)," ",SUMIFS('2025数据'!$AZ$3:$AZ$181,'2025数据'!$L$3:$L$181,"&gt;="&amp;DATE(2025,1,1),'2025数据'!$L$3:$L$181,"&lt;="&amp;DATE(2025,1,31),'2025数据'!$AY$3:$AY$181,$E$37,'2025数据'!$B$3:$B$181,E881)/10000)</f>
        <v>0</v>
      </c>
      <c r="G881" s="219">
        <f ca="1">IF($S$1&lt;DATE(2025,2,1)," ",SUMIFS('2025数据'!$AZ$3:$AZ$181,'2025数据'!$L$3:$L$181,"&gt;="&amp;DATE(2025,2,1),'2025数据'!$L$3:$L$181,"&lt;="&amp;DATE(2025,2,28),'2025数据'!$AY$3:$AY$181,$E$37,'2025数据'!$B$3:$B$181,E881)/10000)</f>
        <v>0</v>
      </c>
      <c r="H881" s="219">
        <f ca="1">IF($S$1&lt;DATE(2025,3,1)," ",SUMIFS('2025数据'!$AZ$3:$AZ$181,'2025数据'!$L$3:$L$181,"&gt;="&amp;DATE(2025,3,1),'2025数据'!$L$3:$L$181,"&lt;="&amp;DATE(2025,3,31),'2025数据'!$AY$3:$AY$181,$E$37,'2025数据'!$B$3:$B$181,E881)/10000)</f>
        <v>0</v>
      </c>
      <c r="I881" s="219">
        <f ca="1">IF($S$1&lt;DATE(2025,4,1)," ",SUMIFS('2025数据'!$AZ$3:$AZ$181,'2025数据'!$L$3:$L$181,"&gt;="&amp;DATE(2025,4,1),'2025数据'!$L$3:$L$181,"&lt;="&amp;DATE(2025,4,30),'2025数据'!$AY$3:$AY$181,$E$37,'2025数据'!$B$3:$B$181,E881)/10000)</f>
        <v>0</v>
      </c>
      <c r="J881" s="219">
        <f ca="1">IF($S$1&lt;DATE(2025,5,1)," ",SUMIFS('2025数据'!$AZ$3:$AZ$181,'2025数据'!$L$3:$L$181,"&gt;="&amp;DATE(2025,5,1),'2025数据'!$L$3:$L$181,"&lt;="&amp;DATE(2025,5,31),'2025数据'!$AY$3:$AY$181,$E$37,'2025数据'!$B$3:$B$181,E881)/10000)</f>
        <v>0</v>
      </c>
      <c r="K881" s="219">
        <f ca="1">IF($S$1&lt;DATE(2025,6,1)," ",SUMIFS('2025数据'!$AZ$3:$AZ$181,'2025数据'!$L$3:$L$181,"&gt;="&amp;DATE(2025,6,1),'2025数据'!$L$3:$L$181,"&lt;="&amp;DATE(2025,6,30),'2025数据'!$AY$3:$AY$181,$E$37,'2025数据'!$B$3:$B$181,E881)/10000)</f>
        <v>0.00951599999999999</v>
      </c>
      <c r="L881" s="219">
        <f ca="1">IF($S$1&lt;DATE(2025,7,1)," ",SUMIFS('2025数据'!$AZ$3:$AZ$181,'2025数据'!$L$3:$L$181,"&gt;="&amp;DATE(2025,7,1),'2025数据'!$L$3:$L$181,"&lt;="&amp;DATE(2025,7,31),'2025数据'!$AY$3:$AY$181,$E$37,'2025数据'!$B$3:$B$181,E881)/10000)</f>
        <v>0</v>
      </c>
      <c r="M881" s="219">
        <f ca="1">IF($S$1&lt;DATE(2025,8,1)," ",SUMIFS('2025数据'!$AZ$3:$AZ$181,'2025数据'!$L$3:$L$181,"&gt;="&amp;DATE(2025,8,1),'2025数据'!$L$3:$L$181,"&lt;="&amp;DATE(2025,8,31),'2025数据'!$AY$3:$AY$181,$E$37,'2025数据'!$B$3:$B$181,E881)/10000)</f>
        <v>0.051459</v>
      </c>
      <c r="N881" s="219">
        <f ca="1">IF($S$1&lt;DATE(2025,9,1)," ",SUMIFS('2025数据'!$AZ$3:$AZ$181,'2025数据'!$L$3:$L$181,"&gt;="&amp;DATE(2025,9,1),'2025数据'!$L$3:$L$181,"&lt;="&amp;DATE(2025,9,30),'2025数据'!$AY$3:$AY$181,$E$37,'2025数据'!$B$3:$B$181,E881)/10000)</f>
        <v>0.011477</v>
      </c>
      <c r="O881" s="219">
        <f ca="1">IF($S$1&lt;DATE(2025,10,1)," ",SUMIFS('2025数据'!$AZ$3:$AZ$181,'2025数据'!$L$3:$L$181,"&gt;="&amp;DATE(2025,10,1),'2025数据'!$L$3:$L$181,"&lt;="&amp;DATE(2025,10,31),'2025数据'!$AY$3:$AY$181,$E$37,'2025数据'!$B$3:$B$181,E881)/10000)</f>
        <v>0.00865299999999997</v>
      </c>
      <c r="P881" s="224">
        <f ca="1">IF($S$1&lt;DATE(2025,11,1)," ",SUMIFS('2025数据'!$AZ$3:$AZ$181,'2025数据'!$L$3:$L$181,"&gt;="&amp;DATE(2025,11,1),'2025数据'!$L$3:$L$181,"&lt;="&amp;DATE(2025,11,30),'2025数据'!$AY$3:$AY$181,$E$37,'2025数据'!$B$3:$B$181,E881)/10000)</f>
        <v>0</v>
      </c>
      <c r="Q881" s="224">
        <f ca="1">IF($S$1&lt;DATE(2025,12,1)," ",SUMIFS('2025数据'!$AZ$3:$AZ$181,'2025数据'!$L$3:$L$181,"&gt;="&amp;DATE(2025,12,1),'2025数据'!$L$3:$L$181,"&lt;="&amp;DATE(2025,12,31),'2025数据'!$AY$3:$AY$181,$E$37,'2025数据'!$B$3:$B$181,E881)/10000)</f>
        <v>0.001129</v>
      </c>
    </row>
    <row r="882" ht="24" customHeight="1" spans="1:17">
      <c r="A882" s="99" t="s">
        <v>346</v>
      </c>
      <c r="B882" s="99" t="s">
        <v>299</v>
      </c>
      <c r="C882" s="99" t="s">
        <v>333</v>
      </c>
      <c r="D882" s="53" t="s">
        <v>303</v>
      </c>
      <c r="E882" s="53" t="s">
        <v>96</v>
      </c>
      <c r="F882" s="219">
        <f ca="1">IF($S$1&lt;DATE(2025,1,1)," ",SUMIFS('2025数据'!$AZ$3:$AZ$181,'2025数据'!$L$3:$L$181,"&gt;="&amp;DATE(2025,1,1),'2025数据'!$L$3:$L$181,"&lt;="&amp;DATE(2025,1,31),'2025数据'!$AY$3:$AY$181,$E$37,'2025数据'!$B$3:$B$181,E882)/10000)</f>
        <v>0</v>
      </c>
      <c r="G882" s="219">
        <f ca="1">IF($S$1&lt;DATE(2025,2,1)," ",SUMIFS('2025数据'!$AZ$3:$AZ$181,'2025数据'!$L$3:$L$181,"&gt;="&amp;DATE(2025,2,1),'2025数据'!$L$3:$L$181,"&lt;="&amp;DATE(2025,2,28),'2025数据'!$AY$3:$AY$181,$E$37,'2025数据'!$B$3:$B$181,E882)/10000)</f>
        <v>0</v>
      </c>
      <c r="H882" s="219">
        <f ca="1">IF($S$1&lt;DATE(2025,3,1)," ",SUMIFS('2025数据'!$AZ$3:$AZ$181,'2025数据'!$L$3:$L$181,"&gt;="&amp;DATE(2025,3,1),'2025数据'!$L$3:$L$181,"&lt;="&amp;DATE(2025,3,31),'2025数据'!$AY$3:$AY$181,$E$37,'2025数据'!$B$3:$B$181,E882)/10000)</f>
        <v>0</v>
      </c>
      <c r="I882" s="219">
        <f ca="1">IF($S$1&lt;DATE(2025,4,1)," ",SUMIFS('2025数据'!$AZ$3:$AZ$181,'2025数据'!$L$3:$L$181,"&gt;="&amp;DATE(2025,4,1),'2025数据'!$L$3:$L$181,"&lt;="&amp;DATE(2025,4,30),'2025数据'!$AY$3:$AY$181,$E$37,'2025数据'!$B$3:$B$181,E882)/10000)</f>
        <v>0</v>
      </c>
      <c r="J882" s="219">
        <f ca="1">IF($S$1&lt;DATE(2025,5,1)," ",SUMIFS('2025数据'!$AZ$3:$AZ$181,'2025数据'!$L$3:$L$181,"&gt;="&amp;DATE(2025,5,1),'2025数据'!$L$3:$L$181,"&lt;="&amp;DATE(2025,5,31),'2025数据'!$AY$3:$AY$181,$E$37,'2025数据'!$B$3:$B$181,E882)/10000)</f>
        <v>0</v>
      </c>
      <c r="K882" s="219">
        <f ca="1">IF($S$1&lt;DATE(2025,6,1)," ",SUMIFS('2025数据'!$AZ$3:$AZ$181,'2025数据'!$L$3:$L$181,"&gt;="&amp;DATE(2025,6,1),'2025数据'!$L$3:$L$181,"&lt;="&amp;DATE(2025,6,30),'2025数据'!$AY$3:$AY$181,$E$37,'2025数据'!$B$3:$B$181,E882)/10000)</f>
        <v>0.163434000000001</v>
      </c>
      <c r="L882" s="219">
        <f ca="1">IF($S$1&lt;DATE(2025,7,1)," ",SUMIFS('2025数据'!$AZ$3:$AZ$181,'2025数据'!$L$3:$L$181,"&gt;="&amp;DATE(2025,7,1),'2025数据'!$L$3:$L$181,"&lt;="&amp;DATE(2025,7,31),'2025数据'!$AY$3:$AY$181,$E$37,'2025数据'!$B$3:$B$181,E882)/10000)</f>
        <v>0</v>
      </c>
      <c r="M882" s="219">
        <f ca="1">IF($S$1&lt;DATE(2025,8,1)," ",SUMIFS('2025数据'!$AZ$3:$AZ$181,'2025数据'!$L$3:$L$181,"&gt;="&amp;DATE(2025,8,1),'2025数据'!$L$3:$L$181,"&lt;="&amp;DATE(2025,8,31),'2025数据'!$AY$3:$AY$181,$E$37,'2025数据'!$B$3:$B$181,E882)/10000)</f>
        <v>0</v>
      </c>
      <c r="N882" s="219">
        <f ca="1">IF($S$1&lt;DATE(2025,9,1)," ",SUMIFS('2025数据'!$AZ$3:$AZ$181,'2025数据'!$L$3:$L$181,"&gt;="&amp;DATE(2025,9,1),'2025数据'!$L$3:$L$181,"&lt;="&amp;DATE(2025,9,30),'2025数据'!$AY$3:$AY$181,$E$37,'2025数据'!$B$3:$B$181,E882)/10000)</f>
        <v>0</v>
      </c>
      <c r="O882" s="219">
        <f ca="1">IF($S$1&lt;DATE(2025,10,1)," ",SUMIFS('2025数据'!$AZ$3:$AZ$181,'2025数据'!$L$3:$L$181,"&gt;="&amp;DATE(2025,10,1),'2025数据'!$L$3:$L$181,"&lt;="&amp;DATE(2025,10,31),'2025数据'!$AY$3:$AY$181,$E$37,'2025数据'!$B$3:$B$181,E882)/10000)</f>
        <v>0</v>
      </c>
      <c r="P882" s="224">
        <f ca="1">IF($S$1&lt;DATE(2025,11,1)," ",SUMIFS('2025数据'!$AZ$3:$AZ$181,'2025数据'!$L$3:$L$181,"&gt;="&amp;DATE(2025,11,1),'2025数据'!$L$3:$L$181,"&lt;="&amp;DATE(2025,11,30),'2025数据'!$AY$3:$AY$181,$E$37,'2025数据'!$B$3:$B$181,E882)/10000)</f>
        <v>0</v>
      </c>
      <c r="Q882" s="224">
        <f ca="1">IF($S$1&lt;DATE(2025,12,1)," ",SUMIFS('2025数据'!$AZ$3:$AZ$181,'2025数据'!$L$3:$L$181,"&gt;="&amp;DATE(2025,12,1),'2025数据'!$L$3:$L$181,"&lt;="&amp;DATE(2025,12,31),'2025数据'!$AY$3:$AY$181,$E$37,'2025数据'!$B$3:$B$181,E882)/10000)</f>
        <v>0</v>
      </c>
    </row>
    <row r="883" ht="24" customHeight="1" spans="1:17">
      <c r="A883" s="99" t="s">
        <v>346</v>
      </c>
      <c r="B883" s="99" t="s">
        <v>299</v>
      </c>
      <c r="C883" s="99" t="s">
        <v>333</v>
      </c>
      <c r="D883" s="53" t="s">
        <v>303</v>
      </c>
      <c r="E883" s="53" t="s">
        <v>160</v>
      </c>
      <c r="F883" s="219">
        <f ca="1">IF($S$1&lt;DATE(2025,1,1)," ",SUMIFS('2025数据'!$AZ$3:$AZ$181,'2025数据'!$L$3:$L$181,"&gt;="&amp;DATE(2025,1,1),'2025数据'!$L$3:$L$181,"&lt;="&amp;DATE(2025,1,31),'2025数据'!$AY$3:$AY$181,$E$37,'2025数据'!$B$3:$B$181,E883)/10000)</f>
        <v>0</v>
      </c>
      <c r="G883" s="219">
        <f ca="1">IF($S$1&lt;DATE(2025,2,1)," ",SUMIFS('2025数据'!$AZ$3:$AZ$181,'2025数据'!$L$3:$L$181,"&gt;="&amp;DATE(2025,2,1),'2025数据'!$L$3:$L$181,"&lt;="&amp;DATE(2025,2,28),'2025数据'!$AY$3:$AY$181,$E$37,'2025数据'!$B$3:$B$181,E883)/10000)</f>
        <v>0</v>
      </c>
      <c r="H883" s="219">
        <f ca="1">IF($S$1&lt;DATE(2025,3,1)," ",SUMIFS('2025数据'!$AZ$3:$AZ$181,'2025数据'!$L$3:$L$181,"&gt;="&amp;DATE(2025,3,1),'2025数据'!$L$3:$L$181,"&lt;="&amp;DATE(2025,3,31),'2025数据'!$AY$3:$AY$181,$E$37,'2025数据'!$B$3:$B$181,E883)/10000)</f>
        <v>0</v>
      </c>
      <c r="I883" s="219">
        <f ca="1">IF($S$1&lt;DATE(2025,4,1)," ",SUMIFS('2025数据'!$AZ$3:$AZ$181,'2025数据'!$L$3:$L$181,"&gt;="&amp;DATE(2025,4,1),'2025数据'!$L$3:$L$181,"&lt;="&amp;DATE(2025,4,30),'2025数据'!$AY$3:$AY$181,$E$37,'2025数据'!$B$3:$B$181,E883)/10000)</f>
        <v>0</v>
      </c>
      <c r="J883" s="219">
        <f ca="1">IF($S$1&lt;DATE(2025,5,1)," ",SUMIFS('2025数据'!$AZ$3:$AZ$181,'2025数据'!$L$3:$L$181,"&gt;="&amp;DATE(2025,5,1),'2025数据'!$L$3:$L$181,"&lt;="&amp;DATE(2025,5,31),'2025数据'!$AY$3:$AY$181,$E$37,'2025数据'!$B$3:$B$181,E883)/10000)</f>
        <v>0.018914</v>
      </c>
      <c r="K883" s="219">
        <f ca="1">IF($S$1&lt;DATE(2025,6,1)," ",SUMIFS('2025数据'!$AZ$3:$AZ$181,'2025数据'!$L$3:$L$181,"&gt;="&amp;DATE(2025,6,1),'2025数据'!$L$3:$L$181,"&lt;="&amp;DATE(2025,6,30),'2025数据'!$AY$3:$AY$181,$E$37,'2025数据'!$B$3:$B$181,E883)/10000)</f>
        <v>0</v>
      </c>
      <c r="L883" s="219">
        <f ca="1">IF($S$1&lt;DATE(2025,7,1)," ",SUMIFS('2025数据'!$AZ$3:$AZ$181,'2025数据'!$L$3:$L$181,"&gt;="&amp;DATE(2025,7,1),'2025数据'!$L$3:$L$181,"&lt;="&amp;DATE(2025,7,31),'2025数据'!$AY$3:$AY$181,$E$37,'2025数据'!$B$3:$B$181,E883)/10000)</f>
        <v>0</v>
      </c>
      <c r="M883" s="219">
        <f ca="1">IF($S$1&lt;DATE(2025,8,1)," ",SUMIFS('2025数据'!$AZ$3:$AZ$181,'2025数据'!$L$3:$L$181,"&gt;="&amp;DATE(2025,8,1),'2025数据'!$L$3:$L$181,"&lt;="&amp;DATE(2025,8,31),'2025数据'!$AY$3:$AY$181,$E$37,'2025数据'!$B$3:$B$181,E883)/10000)</f>
        <v>0</v>
      </c>
      <c r="N883" s="219">
        <f ca="1">IF($S$1&lt;DATE(2025,9,1)," ",SUMIFS('2025数据'!$AZ$3:$AZ$181,'2025数据'!$L$3:$L$181,"&gt;="&amp;DATE(2025,9,1),'2025数据'!$L$3:$L$181,"&lt;="&amp;DATE(2025,9,30),'2025数据'!$AY$3:$AY$181,$E$37,'2025数据'!$B$3:$B$181,E883)/10000)</f>
        <v>0</v>
      </c>
      <c r="O883" s="219">
        <f ca="1">IF($S$1&lt;DATE(2025,10,1)," ",SUMIFS('2025数据'!$AZ$3:$AZ$181,'2025数据'!$L$3:$L$181,"&gt;="&amp;DATE(2025,10,1),'2025数据'!$L$3:$L$181,"&lt;="&amp;DATE(2025,10,31),'2025数据'!$AY$3:$AY$181,$E$37,'2025数据'!$B$3:$B$181,E883)/10000)</f>
        <v>0</v>
      </c>
      <c r="P883" s="224">
        <f ca="1">IF($S$1&lt;DATE(2025,11,1)," ",SUMIFS('2025数据'!$AZ$3:$AZ$181,'2025数据'!$L$3:$L$181,"&gt;="&amp;DATE(2025,11,1),'2025数据'!$L$3:$L$181,"&lt;="&amp;DATE(2025,11,30),'2025数据'!$AY$3:$AY$181,$E$37,'2025数据'!$B$3:$B$181,E883)/10000)</f>
        <v>0</v>
      </c>
      <c r="Q883" s="224">
        <f ca="1">IF($S$1&lt;DATE(2025,12,1)," ",SUMIFS('2025数据'!$AZ$3:$AZ$181,'2025数据'!$L$3:$L$181,"&gt;="&amp;DATE(2025,12,1),'2025数据'!$L$3:$L$181,"&lt;="&amp;DATE(2025,12,31),'2025数据'!$AY$3:$AY$181,$E$37,'2025数据'!$B$3:$B$181,E883)/10000)</f>
        <v>0</v>
      </c>
    </row>
    <row r="884" ht="24" customHeight="1" spans="1:17">
      <c r="A884" s="99" t="s">
        <v>346</v>
      </c>
      <c r="B884" s="99" t="s">
        <v>299</v>
      </c>
      <c r="C884" s="99" t="s">
        <v>333</v>
      </c>
      <c r="D884" s="53" t="s">
        <v>304</v>
      </c>
      <c r="E884" s="53" t="s">
        <v>93</v>
      </c>
      <c r="F884" s="219">
        <f ca="1">IF($S$1&lt;DATE(2025,1,1)," ",SUMIFS('2025数据'!$AZ$3:$AZ$181,'2025数据'!$L$3:$L$181,"&gt;="&amp;DATE(2025,1,1),'2025数据'!$L$3:$L$181,"&lt;="&amp;DATE(2025,1,31),'2025数据'!$AY$3:$AY$181,$E$38,'2025数据'!$B$3:$B$181,E884)/10000)</f>
        <v>0.00866500000000005</v>
      </c>
      <c r="G884" s="219">
        <f ca="1">IF($S$1&lt;DATE(2025,2,1)," ",SUMIFS('2025数据'!$AZ$3:$AZ$181,'2025数据'!$L$3:$L$181,"&gt;="&amp;DATE(2025,2,1),'2025数据'!$L$3:$L$181,"&lt;="&amp;DATE(2025,2,28),'2025数据'!$AY$3:$AY$181,$E$38,'2025数据'!$B$3:$B$181,E884)/10000)</f>
        <v>0</v>
      </c>
      <c r="H884" s="219">
        <f ca="1">IF($S$1&lt;DATE(2025,3,1)," ",SUMIFS('2025数据'!$AZ$3:$AZ$181,'2025数据'!$L$3:$L$181,"&gt;="&amp;DATE(2025,3,1),'2025数据'!$L$3:$L$181,"&lt;="&amp;DATE(2025,3,31),'2025数据'!$AY$3:$AY$181,$E$38,'2025数据'!$B$3:$B$181,E884)/10000)</f>
        <v>0</v>
      </c>
      <c r="I884" s="219">
        <f ca="1">IF($S$1&lt;DATE(2025,4,1)," ",SUMIFS('2025数据'!$AZ$3:$AZ$181,'2025数据'!$L$3:$L$181,"&gt;="&amp;DATE(2025,4,1),'2025数据'!$L$3:$L$181,"&lt;="&amp;DATE(2025,4,30),'2025数据'!$AY$3:$AY$181,$E$38,'2025数据'!$B$3:$B$181,E884)/10000)</f>
        <v>0.320563</v>
      </c>
      <c r="J884" s="219">
        <f ca="1">IF($S$1&lt;DATE(2025,5,1)," ",SUMIFS('2025数据'!$AZ$3:$AZ$181,'2025数据'!$L$3:$L$181,"&gt;="&amp;DATE(2025,5,1),'2025数据'!$L$3:$L$181,"&lt;="&amp;DATE(2025,5,31),'2025数据'!$AY$3:$AY$181,$E$38,'2025数据'!$B$3:$B$181,E884)/10000)</f>
        <v>0</v>
      </c>
      <c r="K884" s="219">
        <f ca="1">IF($S$1&lt;DATE(2025,6,1)," ",SUMIFS('2025数据'!$AZ$3:$AZ$181,'2025数据'!$L$3:$L$181,"&gt;="&amp;DATE(2025,6,1),'2025数据'!$L$3:$L$181,"&lt;="&amp;DATE(2025,6,30),'2025数据'!$AY$3:$AY$181,$E$38,'2025数据'!$B$3:$B$181,E884)/10000)</f>
        <v>0</v>
      </c>
      <c r="L884" s="219">
        <f ca="1">IF($S$1&lt;DATE(2025,7,1)," ",SUMIFS('2025数据'!$AZ$3:$AZ$181,'2025数据'!$L$3:$L$181,"&gt;="&amp;DATE(2025,7,1),'2025数据'!$L$3:$L$181,"&lt;="&amp;DATE(2025,7,31),'2025数据'!$AY$3:$AY$181,$E$38,'2025数据'!$B$3:$B$181,E884)/10000)</f>
        <v>0.032516</v>
      </c>
      <c r="M884" s="219">
        <f ca="1">IF($S$1&lt;DATE(2025,8,1)," ",SUMIFS('2025数据'!$AZ$3:$AZ$181,'2025数据'!$L$3:$L$181,"&gt;="&amp;DATE(2025,8,1),'2025数据'!$L$3:$L$181,"&lt;="&amp;DATE(2025,8,31),'2025数据'!$AY$3:$AY$181,$E$38,'2025数据'!$B$3:$B$181,E884)/10000)</f>
        <v>0.000640999999999985</v>
      </c>
      <c r="N884" s="219">
        <f ca="1">IF($S$1&lt;DATE(2025,9,1)," ",SUMIFS('2025数据'!$AZ$3:$AZ$181,'2025数据'!$L$3:$L$181,"&gt;="&amp;DATE(2025,9,1),'2025数据'!$L$3:$L$181,"&lt;="&amp;DATE(2025,9,30),'2025数据'!$AY$3:$AY$181,$E$38,'2025数据'!$B$3:$B$181,E884)/10000)</f>
        <v>0</v>
      </c>
      <c r="O884" s="219">
        <f ca="1">IF($S$1&lt;DATE(2025,10,1)," ",SUMIFS('2025数据'!$AZ$3:$AZ$181,'2025数据'!$L$3:$L$181,"&gt;="&amp;DATE(2025,10,1),'2025数据'!$L$3:$L$181,"&lt;="&amp;DATE(2025,10,31),'2025数据'!$AY$3:$AY$181,$E$38,'2025数据'!$B$3:$B$181,E884)/10000)</f>
        <v>0</v>
      </c>
      <c r="P884" s="224">
        <f ca="1">IF($S$1&lt;DATE(2025,11,1)," ",SUMIFS('2025数据'!$AZ$3:$AZ$181,'2025数据'!$L$3:$L$181,"&gt;="&amp;DATE(2025,11,1),'2025数据'!$L$3:$L$181,"&lt;="&amp;DATE(2025,11,30),'2025数据'!$AY$3:$AY$181,$E$38,'2025数据'!$B$3:$B$181,E884)/10000)</f>
        <v>0</v>
      </c>
      <c r="Q884" s="224">
        <f ca="1">IF($S$1&lt;DATE(2025,12,1)," ",SUMIFS('2025数据'!$AZ$3:$AZ$181,'2025数据'!$L$3:$L$181,"&gt;="&amp;DATE(2025,12,1),'2025数据'!$L$3:$L$181,"&lt;="&amp;DATE(2025,12,31),'2025数据'!$AY$3:$AY$181,$E$38,'2025数据'!$B$3:$B$181,E884)/10000)</f>
        <v>0</v>
      </c>
    </row>
    <row r="885" ht="24" customHeight="1" spans="1:17">
      <c r="A885" s="99" t="s">
        <v>346</v>
      </c>
      <c r="B885" s="99" t="s">
        <v>299</v>
      </c>
      <c r="C885" s="99" t="s">
        <v>333</v>
      </c>
      <c r="D885" s="53" t="s">
        <v>304</v>
      </c>
      <c r="E885" s="53" t="s">
        <v>85</v>
      </c>
      <c r="F885" s="219">
        <f ca="1">IF($S$1&lt;DATE(2025,1,1)," ",SUMIFS('2025数据'!$AZ$3:$AZ$181,'2025数据'!$L$3:$L$181,"&gt;="&amp;DATE(2025,1,1),'2025数据'!$L$3:$L$181,"&lt;="&amp;DATE(2025,1,31),'2025数据'!$AY$3:$AY$181,$E$38,'2025数据'!$B$3:$B$181,E885)/10000)</f>
        <v>0.013735</v>
      </c>
      <c r="G885" s="219">
        <f ca="1">IF($S$1&lt;DATE(2025,2,1)," ",SUMIFS('2025数据'!$AZ$3:$AZ$181,'2025数据'!$L$3:$L$181,"&gt;="&amp;DATE(2025,2,1),'2025数据'!$L$3:$L$181,"&lt;="&amp;DATE(2025,2,28),'2025数据'!$AY$3:$AY$181,$E$38,'2025数据'!$B$3:$B$181,E885)/10000)</f>
        <v>0</v>
      </c>
      <c r="H885" s="219">
        <f ca="1">IF($S$1&lt;DATE(2025,3,1)," ",SUMIFS('2025数据'!$AZ$3:$AZ$181,'2025数据'!$L$3:$L$181,"&gt;="&amp;DATE(2025,3,1),'2025数据'!$L$3:$L$181,"&lt;="&amp;DATE(2025,3,31),'2025数据'!$AY$3:$AY$181,$E$38,'2025数据'!$B$3:$B$181,E885)/10000)</f>
        <v>0</v>
      </c>
      <c r="I885" s="219">
        <f ca="1">IF($S$1&lt;DATE(2025,4,1)," ",SUMIFS('2025数据'!$AZ$3:$AZ$181,'2025数据'!$L$3:$L$181,"&gt;="&amp;DATE(2025,4,1),'2025数据'!$L$3:$L$181,"&lt;="&amp;DATE(2025,4,30),'2025数据'!$AY$3:$AY$181,$E$38,'2025数据'!$B$3:$B$181,E885)/10000)</f>
        <v>0.00319000000000005</v>
      </c>
      <c r="J885" s="219">
        <f ca="1">IF($S$1&lt;DATE(2025,5,1)," ",SUMIFS('2025数据'!$AZ$3:$AZ$181,'2025数据'!$L$3:$L$181,"&gt;="&amp;DATE(2025,5,1),'2025数据'!$L$3:$L$181,"&lt;="&amp;DATE(2025,5,31),'2025数据'!$AY$3:$AY$181,$E$38,'2025数据'!$B$3:$B$181,E885)/10000)</f>
        <v>0</v>
      </c>
      <c r="K885" s="219">
        <f ca="1">IF($S$1&lt;DATE(2025,6,1)," ",SUMIFS('2025数据'!$AZ$3:$AZ$181,'2025数据'!$L$3:$L$181,"&gt;="&amp;DATE(2025,6,1),'2025数据'!$L$3:$L$181,"&lt;="&amp;DATE(2025,6,30),'2025数据'!$AY$3:$AY$181,$E$38,'2025数据'!$B$3:$B$181,E885)/10000)</f>
        <v>0</v>
      </c>
      <c r="L885" s="219">
        <f ca="1">IF($S$1&lt;DATE(2025,7,1)," ",SUMIFS('2025数据'!$AZ$3:$AZ$181,'2025数据'!$L$3:$L$181,"&gt;="&amp;DATE(2025,7,1),'2025数据'!$L$3:$L$181,"&lt;="&amp;DATE(2025,7,31),'2025数据'!$AY$3:$AY$181,$E$38,'2025数据'!$B$3:$B$181,E885)/10000)</f>
        <v>0</v>
      </c>
      <c r="M885" s="219">
        <f ca="1">IF($S$1&lt;DATE(2025,8,1)," ",SUMIFS('2025数据'!$AZ$3:$AZ$181,'2025数据'!$L$3:$L$181,"&gt;="&amp;DATE(2025,8,1),'2025数据'!$L$3:$L$181,"&lt;="&amp;DATE(2025,8,31),'2025数据'!$AY$3:$AY$181,$E$38,'2025数据'!$B$3:$B$181,E885)/10000)</f>
        <v>0</v>
      </c>
      <c r="N885" s="219">
        <f ca="1">IF($S$1&lt;DATE(2025,9,1)," ",SUMIFS('2025数据'!$AZ$3:$AZ$181,'2025数据'!$L$3:$L$181,"&gt;="&amp;DATE(2025,9,1),'2025数据'!$L$3:$L$181,"&lt;="&amp;DATE(2025,9,30),'2025数据'!$AY$3:$AY$181,$E$38,'2025数据'!$B$3:$B$181,E885)/10000)</f>
        <v>0</v>
      </c>
      <c r="O885" s="219">
        <f ca="1">IF($S$1&lt;DATE(2025,10,1)," ",SUMIFS('2025数据'!$AZ$3:$AZ$181,'2025数据'!$L$3:$L$181,"&gt;="&amp;DATE(2025,10,1),'2025数据'!$L$3:$L$181,"&lt;="&amp;DATE(2025,10,31),'2025数据'!$AY$3:$AY$181,$E$38,'2025数据'!$B$3:$B$181,E885)/10000)</f>
        <v>0</v>
      </c>
      <c r="P885" s="224">
        <f ca="1">IF($S$1&lt;DATE(2025,11,1)," ",SUMIFS('2025数据'!$AZ$3:$AZ$181,'2025数据'!$L$3:$L$181,"&gt;="&amp;DATE(2025,11,1),'2025数据'!$L$3:$L$181,"&lt;="&amp;DATE(2025,11,30),'2025数据'!$AY$3:$AY$181,$E$38,'2025数据'!$B$3:$B$181,E885)/10000)</f>
        <v>0.000198000000000002</v>
      </c>
      <c r="Q885" s="224">
        <f ca="1">IF($S$1&lt;DATE(2025,12,1)," ",SUMIFS('2025数据'!$AZ$3:$AZ$181,'2025数据'!$L$3:$L$181,"&gt;="&amp;DATE(2025,12,1),'2025数据'!$L$3:$L$181,"&lt;="&amp;DATE(2025,12,31),'2025数据'!$AY$3:$AY$181,$E$38,'2025数据'!$B$3:$B$181,E885)/10000)</f>
        <v>0.00455599999999995</v>
      </c>
    </row>
    <row r="886" ht="24" customHeight="1" spans="1:17">
      <c r="A886" s="99" t="s">
        <v>346</v>
      </c>
      <c r="B886" s="99" t="s">
        <v>299</v>
      </c>
      <c r="C886" s="99" t="s">
        <v>333</v>
      </c>
      <c r="D886" s="53" t="s">
        <v>304</v>
      </c>
      <c r="E886" s="53" t="s">
        <v>81</v>
      </c>
      <c r="F886" s="219">
        <f ca="1">IF($S$1&lt;DATE(2025,1,1)," ",SUMIFS('2025数据'!$AZ$3:$AZ$181,'2025数据'!$L$3:$L$181,"&gt;="&amp;DATE(2025,1,1),'2025数据'!$L$3:$L$181,"&lt;="&amp;DATE(2025,1,31),'2025数据'!$AY$3:$AY$181,$E$38,'2025数据'!$B$3:$B$181,E886)/10000)</f>
        <v>0</v>
      </c>
      <c r="G886" s="219">
        <f ca="1">IF($S$1&lt;DATE(2025,2,1)," ",SUMIFS('2025数据'!$AZ$3:$AZ$181,'2025数据'!$L$3:$L$181,"&gt;="&amp;DATE(2025,2,1),'2025数据'!$L$3:$L$181,"&lt;="&amp;DATE(2025,2,28),'2025数据'!$AY$3:$AY$181,$E$38,'2025数据'!$B$3:$B$181,E886)/10000)</f>
        <v>0</v>
      </c>
      <c r="H886" s="219">
        <f ca="1">IF($S$1&lt;DATE(2025,3,1)," ",SUMIFS('2025数据'!$AZ$3:$AZ$181,'2025数据'!$L$3:$L$181,"&gt;="&amp;DATE(2025,3,1),'2025数据'!$L$3:$L$181,"&lt;="&amp;DATE(2025,3,31),'2025数据'!$AY$3:$AY$181,$E$38,'2025数据'!$B$3:$B$181,E886)/10000)</f>
        <v>0.0274939999999999</v>
      </c>
      <c r="I886" s="219">
        <f ca="1">IF($S$1&lt;DATE(2025,4,1)," ",SUMIFS('2025数据'!$AZ$3:$AZ$181,'2025数据'!$L$3:$L$181,"&gt;="&amp;DATE(2025,4,1),'2025数据'!$L$3:$L$181,"&lt;="&amp;DATE(2025,4,30),'2025数据'!$AY$3:$AY$181,$E$38,'2025数据'!$B$3:$B$181,E886)/10000)</f>
        <v>0</v>
      </c>
      <c r="J886" s="219">
        <f ca="1">IF($S$1&lt;DATE(2025,5,1)," ",SUMIFS('2025数据'!$AZ$3:$AZ$181,'2025数据'!$L$3:$L$181,"&gt;="&amp;DATE(2025,5,1),'2025数据'!$L$3:$L$181,"&lt;="&amp;DATE(2025,5,31),'2025数据'!$AY$3:$AY$181,$E$38,'2025数据'!$B$3:$B$181,E886)/10000)</f>
        <v>0</v>
      </c>
      <c r="K886" s="219">
        <f ca="1">IF($S$1&lt;DATE(2025,6,1)," ",SUMIFS('2025数据'!$AZ$3:$AZ$181,'2025数据'!$L$3:$L$181,"&gt;="&amp;DATE(2025,6,1),'2025数据'!$L$3:$L$181,"&lt;="&amp;DATE(2025,6,30),'2025数据'!$AY$3:$AY$181,$E$38,'2025数据'!$B$3:$B$181,E886)/10000)</f>
        <v>0</v>
      </c>
      <c r="L886" s="219">
        <f ca="1">IF($S$1&lt;DATE(2025,7,1)," ",SUMIFS('2025数据'!$AZ$3:$AZ$181,'2025数据'!$L$3:$L$181,"&gt;="&amp;DATE(2025,7,1),'2025数据'!$L$3:$L$181,"&lt;="&amp;DATE(2025,7,31),'2025数据'!$AY$3:$AY$181,$E$38,'2025数据'!$B$3:$B$181,E886)/10000)</f>
        <v>0.000927999999999975</v>
      </c>
      <c r="M886" s="219">
        <f ca="1">IF($S$1&lt;DATE(2025,8,1)," ",SUMIFS('2025数据'!$AZ$3:$AZ$181,'2025数据'!$L$3:$L$181,"&gt;="&amp;DATE(2025,8,1),'2025数据'!$L$3:$L$181,"&lt;="&amp;DATE(2025,8,31),'2025数据'!$AY$3:$AY$181,$E$38,'2025数据'!$B$3:$B$181,E886)/10000)</f>
        <v>0</v>
      </c>
      <c r="N886" s="219">
        <f ca="1">IF($S$1&lt;DATE(2025,9,1)," ",SUMIFS('2025数据'!$AZ$3:$AZ$181,'2025数据'!$L$3:$L$181,"&gt;="&amp;DATE(2025,9,1),'2025数据'!$L$3:$L$181,"&lt;="&amp;DATE(2025,9,30),'2025数据'!$AY$3:$AY$181,$E$38,'2025数据'!$B$3:$B$181,E886)/10000)</f>
        <v>0</v>
      </c>
      <c r="O886" s="219">
        <f ca="1">IF($S$1&lt;DATE(2025,10,1)," ",SUMIFS('2025数据'!$AZ$3:$AZ$181,'2025数据'!$L$3:$L$181,"&gt;="&amp;DATE(2025,10,1),'2025数据'!$L$3:$L$181,"&lt;="&amp;DATE(2025,10,31),'2025数据'!$AY$3:$AY$181,$E$38,'2025数据'!$B$3:$B$181,E886)/10000)</f>
        <v>0.00536599999999999</v>
      </c>
      <c r="P886" s="224">
        <f ca="1">IF($S$1&lt;DATE(2025,11,1)," ",SUMIFS('2025数据'!$AZ$3:$AZ$181,'2025数据'!$L$3:$L$181,"&gt;="&amp;DATE(2025,11,1),'2025数据'!$L$3:$L$181,"&lt;="&amp;DATE(2025,11,30),'2025数据'!$AY$3:$AY$181,$E$38,'2025数据'!$B$3:$B$181,E886)/10000)</f>
        <v>0</v>
      </c>
      <c r="Q886" s="224">
        <f ca="1">IF($S$1&lt;DATE(2025,12,1)," ",SUMIFS('2025数据'!$AZ$3:$AZ$181,'2025数据'!$L$3:$L$181,"&gt;="&amp;DATE(2025,12,1),'2025数据'!$L$3:$L$181,"&lt;="&amp;DATE(2025,12,31),'2025数据'!$AY$3:$AY$181,$E$38,'2025数据'!$B$3:$B$181,E886)/10000)</f>
        <v>0</v>
      </c>
    </row>
    <row r="887" ht="24" customHeight="1" spans="1:17">
      <c r="A887" s="99" t="s">
        <v>346</v>
      </c>
      <c r="B887" s="99" t="s">
        <v>299</v>
      </c>
      <c r="C887" s="99" t="s">
        <v>333</v>
      </c>
      <c r="D887" s="53" t="s">
        <v>304</v>
      </c>
      <c r="E887" s="53" t="s">
        <v>96</v>
      </c>
      <c r="F887" s="219">
        <f ca="1">IF($S$1&lt;DATE(2025,1,1)," ",SUMIFS('2025数据'!$AZ$3:$AZ$181,'2025数据'!$L$3:$L$181,"&gt;="&amp;DATE(2025,1,1),'2025数据'!$L$3:$L$181,"&lt;="&amp;DATE(2025,1,31),'2025数据'!$AY$3:$AY$181,$E$38,'2025数据'!$B$3:$B$181,E887)/10000)</f>
        <v>0</v>
      </c>
      <c r="G887" s="219">
        <f ca="1">IF($S$1&lt;DATE(2025,2,1)," ",SUMIFS('2025数据'!$AZ$3:$AZ$181,'2025数据'!$L$3:$L$181,"&gt;="&amp;DATE(2025,2,1),'2025数据'!$L$3:$L$181,"&lt;="&amp;DATE(2025,2,28),'2025数据'!$AY$3:$AY$181,$E$38,'2025数据'!$B$3:$B$181,E887)/10000)</f>
        <v>0</v>
      </c>
      <c r="H887" s="219">
        <f ca="1">IF($S$1&lt;DATE(2025,3,1)," ",SUMIFS('2025数据'!$AZ$3:$AZ$181,'2025数据'!$L$3:$L$181,"&gt;="&amp;DATE(2025,3,1),'2025数据'!$L$3:$L$181,"&lt;="&amp;DATE(2025,3,31),'2025数据'!$AY$3:$AY$181,$E$38,'2025数据'!$B$3:$B$181,E887)/10000)</f>
        <v>0</v>
      </c>
      <c r="I887" s="219">
        <f ca="1">IF($S$1&lt;DATE(2025,4,1)," ",SUMIFS('2025数据'!$AZ$3:$AZ$181,'2025数据'!$L$3:$L$181,"&gt;="&amp;DATE(2025,4,1),'2025数据'!$L$3:$L$181,"&lt;="&amp;DATE(2025,4,30),'2025数据'!$AY$3:$AY$181,$E$38,'2025数据'!$B$3:$B$181,E887)/10000)</f>
        <v>0</v>
      </c>
      <c r="J887" s="219">
        <f ca="1">IF($S$1&lt;DATE(2025,5,1)," ",SUMIFS('2025数据'!$AZ$3:$AZ$181,'2025数据'!$L$3:$L$181,"&gt;="&amp;DATE(2025,5,1),'2025数据'!$L$3:$L$181,"&lt;="&amp;DATE(2025,5,31),'2025数据'!$AY$3:$AY$181,$E$38,'2025数据'!$B$3:$B$181,E887)/10000)</f>
        <v>0</v>
      </c>
      <c r="K887" s="219">
        <f ca="1">IF($S$1&lt;DATE(2025,6,1)," ",SUMIFS('2025数据'!$AZ$3:$AZ$181,'2025数据'!$L$3:$L$181,"&gt;="&amp;DATE(2025,6,1),'2025数据'!$L$3:$L$181,"&lt;="&amp;DATE(2025,6,30),'2025数据'!$AY$3:$AY$181,$E$38,'2025数据'!$B$3:$B$181,E887)/10000)</f>
        <v>0</v>
      </c>
      <c r="L887" s="219">
        <f ca="1">IF($S$1&lt;DATE(2025,7,1)," ",SUMIFS('2025数据'!$AZ$3:$AZ$181,'2025数据'!$L$3:$L$181,"&gt;="&amp;DATE(2025,7,1),'2025数据'!$L$3:$L$181,"&lt;="&amp;DATE(2025,7,31),'2025数据'!$AY$3:$AY$181,$E$38,'2025数据'!$B$3:$B$181,E887)/10000)</f>
        <v>0</v>
      </c>
      <c r="M887" s="219">
        <f ca="1">IF($S$1&lt;DATE(2025,8,1)," ",SUMIFS('2025数据'!$AZ$3:$AZ$181,'2025数据'!$L$3:$L$181,"&gt;="&amp;DATE(2025,8,1),'2025数据'!$L$3:$L$181,"&lt;="&amp;DATE(2025,8,31),'2025数据'!$AY$3:$AY$181,$E$38,'2025数据'!$B$3:$B$181,E887)/10000)</f>
        <v>0</v>
      </c>
      <c r="N887" s="219">
        <f ca="1">IF($S$1&lt;DATE(2025,9,1)," ",SUMIFS('2025数据'!$AZ$3:$AZ$181,'2025数据'!$L$3:$L$181,"&gt;="&amp;DATE(2025,9,1),'2025数据'!$L$3:$L$181,"&lt;="&amp;DATE(2025,9,30),'2025数据'!$AY$3:$AY$181,$E$38,'2025数据'!$B$3:$B$181,E887)/10000)</f>
        <v>0</v>
      </c>
      <c r="O887" s="219">
        <f ca="1">IF($S$1&lt;DATE(2025,10,1)," ",SUMIFS('2025数据'!$AZ$3:$AZ$181,'2025数据'!$L$3:$L$181,"&gt;="&amp;DATE(2025,10,1),'2025数据'!$L$3:$L$181,"&lt;="&amp;DATE(2025,10,31),'2025数据'!$AY$3:$AY$181,$E$38,'2025数据'!$B$3:$B$181,E887)/10000)</f>
        <v>0</v>
      </c>
      <c r="P887" s="224">
        <f ca="1">IF($S$1&lt;DATE(2025,11,1)," ",SUMIFS('2025数据'!$AZ$3:$AZ$181,'2025数据'!$L$3:$L$181,"&gt;="&amp;DATE(2025,11,1),'2025数据'!$L$3:$L$181,"&lt;="&amp;DATE(2025,11,30),'2025数据'!$AY$3:$AY$181,$E$38,'2025数据'!$B$3:$B$181,E887)/10000)</f>
        <v>0</v>
      </c>
      <c r="Q887" s="224">
        <f ca="1">IF($S$1&lt;DATE(2025,12,1)," ",SUMIFS('2025数据'!$AZ$3:$AZ$181,'2025数据'!$L$3:$L$181,"&gt;="&amp;DATE(2025,12,1),'2025数据'!$L$3:$L$181,"&lt;="&amp;DATE(2025,12,31),'2025数据'!$AY$3:$AY$181,$E$38,'2025数据'!$B$3:$B$181,E887)/10000)</f>
        <v>0</v>
      </c>
    </row>
    <row r="888" ht="24" customHeight="1" spans="1:17">
      <c r="A888" s="99" t="s">
        <v>346</v>
      </c>
      <c r="B888" s="99" t="s">
        <v>299</v>
      </c>
      <c r="C888" s="99" t="s">
        <v>333</v>
      </c>
      <c r="D888" s="53" t="s">
        <v>304</v>
      </c>
      <c r="E888" s="53" t="s">
        <v>160</v>
      </c>
      <c r="F888" s="219">
        <f ca="1">IF($S$1&lt;DATE(2025,1,1)," ",SUMIFS('2025数据'!$AZ$3:$AZ$181,'2025数据'!$L$3:$L$181,"&gt;="&amp;DATE(2025,1,1),'2025数据'!$L$3:$L$181,"&lt;="&amp;DATE(2025,1,31),'2025数据'!$AY$3:$AY$181,$E$38,'2025数据'!$B$3:$B$181,E888)/10000)</f>
        <v>0</v>
      </c>
      <c r="G888" s="219">
        <f ca="1">IF($S$1&lt;DATE(2025,2,1)," ",SUMIFS('2025数据'!$AZ$3:$AZ$181,'2025数据'!$L$3:$L$181,"&gt;="&amp;DATE(2025,2,1),'2025数据'!$L$3:$L$181,"&lt;="&amp;DATE(2025,2,28),'2025数据'!$AY$3:$AY$181,$E$38,'2025数据'!$B$3:$B$181,E888)/10000)</f>
        <v>0</v>
      </c>
      <c r="H888" s="219">
        <f ca="1">IF($S$1&lt;DATE(2025,3,1)," ",SUMIFS('2025数据'!$AZ$3:$AZ$181,'2025数据'!$L$3:$L$181,"&gt;="&amp;DATE(2025,3,1),'2025数据'!$L$3:$L$181,"&lt;="&amp;DATE(2025,3,31),'2025数据'!$AY$3:$AY$181,$E$38,'2025数据'!$B$3:$B$181,E888)/10000)</f>
        <v>0</v>
      </c>
      <c r="I888" s="219">
        <f ca="1">IF($S$1&lt;DATE(2025,4,1)," ",SUMIFS('2025数据'!$AZ$3:$AZ$181,'2025数据'!$L$3:$L$181,"&gt;="&amp;DATE(2025,4,1),'2025数据'!$L$3:$L$181,"&lt;="&amp;DATE(2025,4,30),'2025数据'!$AY$3:$AY$181,$E$38,'2025数据'!$B$3:$B$181,E888)/10000)</f>
        <v>0</v>
      </c>
      <c r="J888" s="219">
        <f ca="1">IF($S$1&lt;DATE(2025,5,1)," ",SUMIFS('2025数据'!$AZ$3:$AZ$181,'2025数据'!$L$3:$L$181,"&gt;="&amp;DATE(2025,5,1),'2025数据'!$L$3:$L$181,"&lt;="&amp;DATE(2025,5,31),'2025数据'!$AY$3:$AY$181,$E$38,'2025数据'!$B$3:$B$181,E888)/10000)</f>
        <v>0</v>
      </c>
      <c r="K888" s="219">
        <f ca="1">IF($S$1&lt;DATE(2025,6,1)," ",SUMIFS('2025数据'!$AZ$3:$AZ$181,'2025数据'!$L$3:$L$181,"&gt;="&amp;DATE(2025,6,1),'2025数据'!$L$3:$L$181,"&lt;="&amp;DATE(2025,6,30),'2025数据'!$AY$3:$AY$181,$E$38,'2025数据'!$B$3:$B$181,E888)/10000)</f>
        <v>0</v>
      </c>
      <c r="L888" s="219">
        <f ca="1">IF($S$1&lt;DATE(2025,7,1)," ",SUMIFS('2025数据'!$AZ$3:$AZ$181,'2025数据'!$L$3:$L$181,"&gt;="&amp;DATE(2025,7,1),'2025数据'!$L$3:$L$181,"&lt;="&amp;DATE(2025,7,31),'2025数据'!$AY$3:$AY$181,$E$38,'2025数据'!$B$3:$B$181,E888)/10000)</f>
        <v>0</v>
      </c>
      <c r="M888" s="219">
        <f ca="1">IF($S$1&lt;DATE(2025,8,1)," ",SUMIFS('2025数据'!$AZ$3:$AZ$181,'2025数据'!$L$3:$L$181,"&gt;="&amp;DATE(2025,8,1),'2025数据'!$L$3:$L$181,"&lt;="&amp;DATE(2025,8,31),'2025数据'!$AY$3:$AY$181,$E$38,'2025数据'!$B$3:$B$181,E888)/10000)</f>
        <v>0</v>
      </c>
      <c r="N888" s="219">
        <f ca="1">IF($S$1&lt;DATE(2025,9,1)," ",SUMIFS('2025数据'!$AZ$3:$AZ$181,'2025数据'!$L$3:$L$181,"&gt;="&amp;DATE(2025,9,1),'2025数据'!$L$3:$L$181,"&lt;="&amp;DATE(2025,9,30),'2025数据'!$AY$3:$AY$181,$E$38,'2025数据'!$B$3:$B$181,E888)/10000)</f>
        <v>0</v>
      </c>
      <c r="O888" s="219">
        <f ca="1">IF($S$1&lt;DATE(2025,10,1)," ",SUMIFS('2025数据'!$AZ$3:$AZ$181,'2025数据'!$L$3:$L$181,"&gt;="&amp;DATE(2025,10,1),'2025数据'!$L$3:$L$181,"&lt;="&amp;DATE(2025,10,31),'2025数据'!$AY$3:$AY$181,$E$38,'2025数据'!$B$3:$B$181,E888)/10000)</f>
        <v>0</v>
      </c>
      <c r="P888" s="224">
        <f ca="1">IF($S$1&lt;DATE(2025,11,1)," ",SUMIFS('2025数据'!$AZ$3:$AZ$181,'2025数据'!$L$3:$L$181,"&gt;="&amp;DATE(2025,11,1),'2025数据'!$L$3:$L$181,"&lt;="&amp;DATE(2025,11,30),'2025数据'!$AY$3:$AY$181,$E$38,'2025数据'!$B$3:$B$181,E888)/10000)</f>
        <v>0</v>
      </c>
      <c r="Q888" s="224">
        <f ca="1">IF($S$1&lt;DATE(2025,12,1)," ",SUMIFS('2025数据'!$AZ$3:$AZ$181,'2025数据'!$L$3:$L$181,"&gt;="&amp;DATE(2025,12,1),'2025数据'!$L$3:$L$181,"&lt;="&amp;DATE(2025,12,31),'2025数据'!$AY$3:$AY$181,$E$38,'2025数据'!$B$3:$B$181,E888)/10000)</f>
        <v>0</v>
      </c>
    </row>
    <row r="889" ht="24" customHeight="1" spans="1:17">
      <c r="A889" s="99" t="s">
        <v>346</v>
      </c>
      <c r="B889" s="99" t="s">
        <v>299</v>
      </c>
      <c r="C889" s="99" t="s">
        <v>333</v>
      </c>
      <c r="D889" s="218" t="s">
        <v>292</v>
      </c>
      <c r="E889" s="220" t="s">
        <v>340</v>
      </c>
      <c r="F889" s="221">
        <f ca="1">IF($S$1&lt;DATE(2025,1,1)," ",SUMIFS('2025数据'!$AW$3:$AW$181,'2025数据'!$L$3:$L$181,"&gt;="&amp;DATE(2025,1,1),'2025数据'!$L$3:$L$181,"&lt;="&amp;DATE(2025,1,31),'2025数据'!$AY$3:$AY$181,$E37)/10000)</f>
        <v>3.935527</v>
      </c>
      <c r="G889" s="221">
        <f ca="1">IF($S$1&lt;DATE(2025,2,1)," ",SUMIFS('2025数据'!$AW$3:$AW$181,'2025数据'!$L$3:$L$181,"&gt;="&amp;DATE(2025,2,1),'2025数据'!$L$3:$L$181,"&lt;="&amp;DATE(2025,2,28),'2025数据'!$AY$3:$AY$181,$E37)/10000)</f>
        <v>0</v>
      </c>
      <c r="H889" s="221">
        <f ca="1">IF($S$1&lt;DATE(2025,3,1)," ",SUMIFS('2025数据'!$AW$3:$AW$181,'2025数据'!$L$3:$L$181,"&gt;="&amp;DATE(2025,3,1),'2025数据'!$L$3:$L$181,"&lt;="&amp;DATE(2025,3,31),'2025数据'!$AY$3:$AY$181,$E37)/10000)</f>
        <v>0</v>
      </c>
      <c r="I889" s="221">
        <f ca="1">IF($S$1&lt;DATE(2025,4,1)," ",SUMIFS('2025数据'!$AW$3:$AW$181,'2025数据'!$L$3:$L$181,"&gt;="&amp;DATE(2025,4,1),'2025数据'!$L$3:$L$181,"&lt;="&amp;DATE(2025,4,30),'2025数据'!$AY$3:$AY$181,$E37)/10000)</f>
        <v>3.943135</v>
      </c>
      <c r="J889" s="221">
        <f ca="1">IF($S$1&lt;DATE(2025,5,1)," ",SUMIFS('2025数据'!$AW$3:$AW$181,'2025数据'!$L$3:$L$181,"&gt;="&amp;DATE(2025,5,1),'2025数据'!$L$3:$L$181,"&lt;="&amp;DATE(2025,5,31),'2025数据'!$AY$3:$AY$181,$E37)/10000)</f>
        <v>1.494286</v>
      </c>
      <c r="K889" s="221">
        <f ca="1">IF($S$1&lt;DATE(2025,6,1)," ",SUMIFS('2025数据'!$AW$3:$AW$181,'2025数据'!$L$3:$L$181,"&gt;="&amp;DATE(2025,6,1),'2025数据'!$L$3:$L$181,"&lt;="&amp;DATE(2025,6,30),'2025数据'!$AY$3:$AY$181,$E37)/10000)</f>
        <v>13.394773</v>
      </c>
      <c r="L889" s="221">
        <f ca="1">IF($S$1&lt;DATE(2025,7,1)," ",SUMIFS('2025数据'!$AW$3:$AW$181,'2025数据'!$L$3:$L$181,"&gt;="&amp;DATE(2025,7,1),'2025数据'!$L$3:$L$181,"&lt;="&amp;DATE(2025,7,31),'2025数据'!$AY$3:$AY$181,$E37)/10000)</f>
        <v>1.093069</v>
      </c>
      <c r="M889" s="221">
        <f ca="1">IF($S$1&lt;DATE(2025,8,1)," ",SUMIFS('2025数据'!$AW$3:$AW$181,'2025数据'!$L$3:$L$181,"&gt;="&amp;DATE(2025,8,1),'2025数据'!$L$3:$L$181,"&lt;="&amp;DATE(2025,8,31),'2025数据'!$AY$3:$AY$181,$E37)/10000)</f>
        <v>3.151926</v>
      </c>
      <c r="N889" s="221">
        <f ca="1">IF($S$1&lt;DATE(2025,9,1)," ",SUMIFS('2025数据'!$AW$3:$AW$181,'2025数据'!$L$3:$L$181,"&gt;="&amp;DATE(2025,9,1),'2025数据'!$L$3:$L$181,"&lt;="&amp;DATE(2025,9,30),'2025数据'!$AY$3:$AY$181,$E37)/10000)</f>
        <v>3.660584</v>
      </c>
      <c r="O889" s="221">
        <f ca="1">IF($S$1&lt;DATE(2025,10,1)," ",SUMIFS('2025数据'!$AW$3:$AW$181,'2025数据'!$L$3:$L$181,"&gt;="&amp;DATE(2025,10,1),'2025数据'!$L$3:$L$181,"&lt;="&amp;DATE(2025,10,31),'2025数据'!$AY$3:$AY$181,$E37)/10000)</f>
        <v>1.574991</v>
      </c>
      <c r="P889" s="225">
        <f ca="1">IF($S$1&lt;DATE(2025,11,1)," ",SUMIFS('2025数据'!$AW$3:$AW$181,'2025数据'!$L$3:$L$181,"&gt;="&amp;DATE(2025,11,1),'2025数据'!$L$3:$L$181,"&lt;="&amp;DATE(2025,11,30),'2025数据'!$AY$3:$AY$181,$E37)/10000)</f>
        <v>0.204482</v>
      </c>
      <c r="Q889" s="225">
        <f ca="1">IF($S$1&lt;DATE(2025,12,1)," ",SUMIFS('2025数据'!$AW$3:$AW$181,'2025数据'!$L$3:$L$181,"&gt;="&amp;DATE(2025,12,1),'2025数据'!$L$3:$L$181,"&lt;="&amp;DATE(2025,12,31),'2025数据'!$AY$3:$AY$181,$E37)/10000)</f>
        <v>2.344128</v>
      </c>
    </row>
    <row r="890" ht="24" customHeight="1" spans="1:17">
      <c r="A890" s="99" t="s">
        <v>346</v>
      </c>
      <c r="B890" s="99" t="s">
        <v>299</v>
      </c>
      <c r="C890" s="99" t="s">
        <v>333</v>
      </c>
      <c r="D890" s="218" t="s">
        <v>292</v>
      </c>
      <c r="E890" s="220" t="s">
        <v>341</v>
      </c>
      <c r="F890" s="221">
        <f ca="1">IF($S$1&lt;DATE(2025,1,1)," ",SUMIFS('2025数据'!$AW$3:$AW$181,'2025数据'!$L$3:$L$181,"&gt;="&amp;DATE(2025,1,1),'2025数据'!$L$3:$L$181,"&lt;="&amp;DATE(2025,1,31),'2025数据'!$AY$3:$AY$181,$E38)/10000)</f>
        <v>1.461866</v>
      </c>
      <c r="G890" s="221">
        <f ca="1">IF($S$1&lt;DATE(2025,2,1)," ",SUMIFS('2025数据'!$AW$3:$AW$181,'2025数据'!$L$3:$L$181,"&gt;="&amp;DATE(2025,2,1),'2025数据'!$L$3:$L$181,"&lt;="&amp;DATE(2025,2,28),'2025数据'!$AY$3:$AY$181,$E38)/10000)</f>
        <v>0</v>
      </c>
      <c r="H890" s="221">
        <f ca="1">IF($S$1&lt;DATE(2025,3,1)," ",SUMIFS('2025数据'!$AW$3:$AW$181,'2025数据'!$L$3:$L$181,"&gt;="&amp;DATE(2025,3,1),'2025数据'!$L$3:$L$181,"&lt;="&amp;DATE(2025,3,31),'2025数据'!$AY$3:$AY$181,$E38)/10000)</f>
        <v>0.865404</v>
      </c>
      <c r="I890" s="221">
        <f ca="1">IF($S$1&lt;DATE(2025,4,1)," ",SUMIFS('2025数据'!$AW$3:$AW$181,'2025数据'!$L$3:$L$181,"&gt;="&amp;DATE(2025,4,1),'2025数据'!$L$3:$L$181,"&lt;="&amp;DATE(2025,4,30),'2025数据'!$AY$3:$AY$181,$E38)/10000)</f>
        <v>15.048725</v>
      </c>
      <c r="J890" s="221">
        <f ca="1">IF($S$1&lt;DATE(2025,5,1)," ",SUMIFS('2025数据'!$AW$3:$AW$181,'2025数据'!$L$3:$L$181,"&gt;="&amp;DATE(2025,5,1),'2025数据'!$L$3:$L$181,"&lt;="&amp;DATE(2025,5,31),'2025数据'!$AY$3:$AY$181,$E38)/10000)</f>
        <v>0</v>
      </c>
      <c r="K890" s="221">
        <f ca="1">IF($S$1&lt;DATE(2025,6,1)," ",SUMIFS('2025数据'!$AW$3:$AW$181,'2025数据'!$L$3:$L$181,"&gt;="&amp;DATE(2025,6,1),'2025数据'!$L$3:$L$181,"&lt;="&amp;DATE(2025,6,30),'2025数据'!$AY$3:$AY$181,$E38)/10000)</f>
        <v>0</v>
      </c>
      <c r="L890" s="221">
        <f ca="1">IF($S$1&lt;DATE(2025,7,1)," ",SUMIFS('2025数据'!$AW$3:$AW$181,'2025数据'!$L$3:$L$181,"&gt;="&amp;DATE(2025,7,1),'2025数据'!$L$3:$L$181,"&lt;="&amp;DATE(2025,7,31),'2025数据'!$AY$3:$AY$181,$E38)/10000)</f>
        <v>1.198426</v>
      </c>
      <c r="M890" s="221">
        <f ca="1">IF($S$1&lt;DATE(2025,8,1)," ",SUMIFS('2025数据'!$AW$3:$AW$181,'2025数据'!$L$3:$L$181,"&gt;="&amp;DATE(2025,8,1),'2025数据'!$L$3:$L$181,"&lt;="&amp;DATE(2025,8,31),'2025数据'!$AY$3:$AY$181,$E38)/10000)</f>
        <v>1.038909</v>
      </c>
      <c r="N890" s="221">
        <f ca="1">IF($S$1&lt;DATE(2025,9,1)," ",SUMIFS('2025数据'!$AW$3:$AW$181,'2025数据'!$L$3:$L$181,"&gt;="&amp;DATE(2025,9,1),'2025数据'!$L$3:$L$181,"&lt;="&amp;DATE(2025,9,30),'2025数据'!$AY$3:$AY$181,$E38)/10000)</f>
        <v>0</v>
      </c>
      <c r="O890" s="221">
        <f ca="1">IF($S$1&lt;DATE(2025,10,1)," ",SUMIFS('2025数据'!$AW$3:$AW$181,'2025数据'!$L$3:$L$181,"&gt;="&amp;DATE(2025,10,1),'2025数据'!$L$3:$L$181,"&lt;="&amp;DATE(2025,10,31),'2025数据'!$AY$3:$AY$181,$E38)/10000)</f>
        <v>0.883998</v>
      </c>
      <c r="P890" s="225">
        <f ca="1">IF($S$1&lt;DATE(2025,11,1)," ",SUMIFS('2025数据'!$AW$3:$AW$181,'2025数据'!$L$3:$L$181,"&gt;="&amp;DATE(2025,11,1),'2025数据'!$L$3:$L$181,"&lt;="&amp;DATE(2025,11,30),'2025数据'!$AY$3:$AY$181,$E38)/10000)</f>
        <v>0.260268</v>
      </c>
      <c r="Q890" s="225">
        <f ca="1">IF($S$1&lt;DATE(2025,12,1)," ",SUMIFS('2025数据'!$AW$3:$AW$181,'2025数据'!$L$3:$L$181,"&gt;="&amp;DATE(2025,12,1),'2025数据'!$L$3:$L$181,"&lt;="&amp;DATE(2025,12,31),'2025数据'!$AY$3:$AY$181,$E38)/10000)</f>
        <v>1.131374</v>
      </c>
    </row>
    <row r="891" ht="24" customHeight="1" spans="1:17">
      <c r="A891" s="99" t="s">
        <v>346</v>
      </c>
      <c r="B891" s="99" t="s">
        <v>299</v>
      </c>
      <c r="C891" s="99" t="s">
        <v>333</v>
      </c>
      <c r="D891" s="218" t="s">
        <v>292</v>
      </c>
      <c r="E891" s="220" t="s">
        <v>342</v>
      </c>
      <c r="F891" s="221">
        <f ca="1">IF($S$1&lt;DATE(2025,1,1)," ",SUMIFS('2025数据'!$AW$3:$AW$181,'2025数据'!$L$3:$L$181,"&gt;="&amp;DATE(2025,1,1),'2025数据'!$L$3:$L$181,"&lt;="&amp;DATE(2025,1,31),'2025数据'!$AY$3:$AY$181,$E39)/10000)</f>
        <v>0</v>
      </c>
      <c r="G891" s="221">
        <f ca="1">IF($S$1&lt;DATE(2025,2,1)," ",SUMIFS('2025数据'!$AW$3:$AW$181,'2025数据'!$L$3:$L$181,"&gt;="&amp;DATE(2025,2,1),'2025数据'!$L$3:$L$181,"&lt;="&amp;DATE(2025,2,28),'2025数据'!$AY$3:$AY$181,$E39)/10000)</f>
        <v>0</v>
      </c>
      <c r="H891" s="221">
        <f ca="1">IF($S$1&lt;DATE(2025,3,1)," ",SUMIFS('2025数据'!$AW$3:$AW$181,'2025数据'!$L$3:$L$181,"&gt;="&amp;DATE(2025,3,1),'2025数据'!$L$3:$L$181,"&lt;="&amp;DATE(2025,3,31),'2025数据'!$AY$3:$AY$181,$E39)/10000)</f>
        <v>0</v>
      </c>
      <c r="I891" s="221">
        <f ca="1">IF($S$1&lt;DATE(2025,4,1)," ",SUMIFS('2025数据'!$AW$3:$AW$181,'2025数据'!$L$3:$L$181,"&gt;="&amp;DATE(2025,4,1),'2025数据'!$L$3:$L$181,"&lt;="&amp;DATE(2025,4,30),'2025数据'!$AY$3:$AY$181,$E39)/10000)</f>
        <v>0.299994</v>
      </c>
      <c r="J891" s="221">
        <f ca="1">IF($S$1&lt;DATE(2025,5,1)," ",SUMIFS('2025数据'!$AW$3:$AW$181,'2025数据'!$L$3:$L$181,"&gt;="&amp;DATE(2025,5,1),'2025数据'!$L$3:$L$181,"&lt;="&amp;DATE(2025,5,31),'2025数据'!$AY$3:$AY$181,$E39)/10000)</f>
        <v>0</v>
      </c>
      <c r="K891" s="221">
        <f ca="1">IF($S$1&lt;DATE(2025,6,1)," ",SUMIFS('2025数据'!$AW$3:$AW$181,'2025数据'!$L$3:$L$181,"&gt;="&amp;DATE(2025,6,1),'2025数据'!$L$3:$L$181,"&lt;="&amp;DATE(2025,6,30),'2025数据'!$AY$3:$AY$181,$E39)/10000)</f>
        <v>0</v>
      </c>
      <c r="L891" s="221">
        <f ca="1">IF($S$1&lt;DATE(2025,7,1)," ",SUMIFS('2025数据'!$AW$3:$AW$181,'2025数据'!$L$3:$L$181,"&gt;="&amp;DATE(2025,7,1),'2025数据'!$L$3:$L$181,"&lt;="&amp;DATE(2025,7,31),'2025数据'!$AY$3:$AY$181,$E39)/10000)</f>
        <v>0</v>
      </c>
      <c r="M891" s="221">
        <f ca="1">IF($S$1&lt;DATE(2025,8,1)," ",SUMIFS('2025数据'!$AW$3:$AW$181,'2025数据'!$L$3:$L$181,"&gt;="&amp;DATE(2025,8,1),'2025数据'!$L$3:$L$181,"&lt;="&amp;DATE(2025,8,31),'2025数据'!$AY$3:$AY$181,$E39)/10000)</f>
        <v>0</v>
      </c>
      <c r="N891" s="221">
        <f ca="1">IF($S$1&lt;DATE(2025,9,1)," ",SUMIFS('2025数据'!$AW$3:$AW$181,'2025数据'!$L$3:$L$181,"&gt;="&amp;DATE(2025,9,1),'2025数据'!$L$3:$L$181,"&lt;="&amp;DATE(2025,9,30),'2025数据'!$AY$3:$AY$181,$E39)/10000)</f>
        <v>0</v>
      </c>
      <c r="O891" s="221">
        <f ca="1">IF($S$1&lt;DATE(2025,10,1)," ",SUMIFS('2025数据'!$AW$3:$AW$181,'2025数据'!$L$3:$L$181,"&gt;="&amp;DATE(2025,10,1),'2025数据'!$L$3:$L$181,"&lt;="&amp;DATE(2025,10,31),'2025数据'!$AY$3:$AY$181,$E39)/10000)</f>
        <v>0</v>
      </c>
      <c r="P891" s="225">
        <f ca="1">IF($S$1&lt;DATE(2025,11,1)," ",SUMIFS('2025数据'!$AW$3:$AW$181,'2025数据'!$L$3:$L$181,"&gt;="&amp;DATE(2025,11,1),'2025数据'!$L$3:$L$181,"&lt;="&amp;DATE(2025,11,30),'2025数据'!$AY$3:$AY$181,$E39)/10000)</f>
        <v>0</v>
      </c>
      <c r="Q891" s="225">
        <f ca="1">IF($S$1&lt;DATE(2025,12,1)," ",SUMIFS('2025数据'!$AW$3:$AW$181,'2025数据'!$L$3:$L$181,"&gt;="&amp;DATE(2025,12,1),'2025数据'!$L$3:$L$181,"&lt;="&amp;DATE(2025,12,31),'2025数据'!$AY$3:$AY$181,$E39)/10000)</f>
        <v>0</v>
      </c>
    </row>
    <row r="892" ht="24" customHeight="1" spans="1:17">
      <c r="A892" s="99" t="s">
        <v>346</v>
      </c>
      <c r="B892" s="99" t="s">
        <v>299</v>
      </c>
      <c r="C892" s="99" t="s">
        <v>343</v>
      </c>
      <c r="D892" s="218" t="s">
        <v>292</v>
      </c>
      <c r="E892" s="220" t="s">
        <v>340</v>
      </c>
      <c r="F892" s="222">
        <f ca="1" t="shared" ref="F892:F894" si="788">IF($S$1&lt;DATE(2025,1,1)," ",F889)</f>
        <v>3.935527</v>
      </c>
      <c r="G892" s="222">
        <f ca="1" t="shared" ref="G892:G894" si="789">IF($S$1&lt;DATE(2025,2,1)," ",F892+G889)</f>
        <v>3.935527</v>
      </c>
      <c r="H892" s="222">
        <f ca="1" t="shared" ref="H892:H894" si="790">IF($S$1&lt;DATE(2025,3,1)," ",G892+H889)</f>
        <v>3.935527</v>
      </c>
      <c r="I892" s="222">
        <f ca="1" t="shared" ref="I892:I894" si="791">IF($S$1&lt;DATE(2025,4,1)," ",H892+I889)</f>
        <v>7.878662</v>
      </c>
      <c r="J892" s="222">
        <f ca="1" t="shared" ref="J892:J894" si="792">IF($S$1&lt;DATE(2025,5,1)," ",I892+J889)</f>
        <v>9.372948</v>
      </c>
      <c r="K892" s="222">
        <f ca="1" t="shared" ref="K892:K894" si="793">IF($S$1&lt;DATE(2025,6,1)," ",J892+K889)</f>
        <v>22.767721</v>
      </c>
      <c r="L892" s="222">
        <f ca="1" t="shared" ref="L892:L894" si="794">IF($S$1&lt;DATE(2025,7,1)," ",K892+L889)</f>
        <v>23.86079</v>
      </c>
      <c r="M892" s="222">
        <f ca="1" t="shared" ref="M892:M894" si="795">IF($S$1&lt;DATE(2025,8,1)," ",L892+M889)</f>
        <v>27.012716</v>
      </c>
      <c r="N892" s="222">
        <f ca="1" t="shared" ref="N892:N894" si="796">IF($S$1&lt;DATE(2025,9,1)," ",M892+N889)</f>
        <v>30.6733</v>
      </c>
      <c r="O892" s="222">
        <f ca="1" t="shared" ref="O892:O894" si="797">IF($S$1&lt;DATE(2025,10,1)," ",N892+O889)</f>
        <v>32.248291</v>
      </c>
      <c r="P892" s="222">
        <f ca="1" t="shared" ref="P892:P894" si="798">IF($S$1&lt;DATE(2025,11,1)," ",O892+P889)</f>
        <v>32.452773</v>
      </c>
      <c r="Q892" s="222">
        <f ca="1" t="shared" ref="Q892:Q894" si="799">IF($S$1&lt;DATE(2025,12,1)," ",P892+Q889)</f>
        <v>34.796901</v>
      </c>
    </row>
    <row r="893" ht="24" customHeight="1" spans="1:17">
      <c r="A893" s="99" t="s">
        <v>346</v>
      </c>
      <c r="B893" s="99" t="s">
        <v>299</v>
      </c>
      <c r="C893" s="99" t="s">
        <v>343</v>
      </c>
      <c r="D893" s="218" t="s">
        <v>292</v>
      </c>
      <c r="E893" s="220" t="s">
        <v>341</v>
      </c>
      <c r="F893" s="222">
        <f ca="1" t="shared" si="788"/>
        <v>1.461866</v>
      </c>
      <c r="G893" s="222">
        <f ca="1" t="shared" si="789"/>
        <v>1.461866</v>
      </c>
      <c r="H893" s="222">
        <f ca="1" t="shared" si="790"/>
        <v>2.32727</v>
      </c>
      <c r="I893" s="222">
        <f ca="1" t="shared" si="791"/>
        <v>17.375995</v>
      </c>
      <c r="J893" s="222">
        <f ca="1" t="shared" si="792"/>
        <v>17.375995</v>
      </c>
      <c r="K893" s="222">
        <f ca="1" t="shared" si="793"/>
        <v>17.375995</v>
      </c>
      <c r="L893" s="222">
        <f ca="1" t="shared" si="794"/>
        <v>18.574421</v>
      </c>
      <c r="M893" s="222">
        <f ca="1" t="shared" si="795"/>
        <v>19.61333</v>
      </c>
      <c r="N893" s="222">
        <f ca="1" t="shared" si="796"/>
        <v>19.61333</v>
      </c>
      <c r="O893" s="222">
        <f ca="1" t="shared" si="797"/>
        <v>20.497328</v>
      </c>
      <c r="P893" s="222">
        <f ca="1" t="shared" si="798"/>
        <v>20.757596</v>
      </c>
      <c r="Q893" s="222">
        <f ca="1" t="shared" si="799"/>
        <v>21.88897</v>
      </c>
    </row>
    <row r="894" ht="24" customHeight="1" spans="1:17">
      <c r="A894" s="99" t="s">
        <v>346</v>
      </c>
      <c r="B894" s="99" t="s">
        <v>299</v>
      </c>
      <c r="C894" s="99" t="s">
        <v>343</v>
      </c>
      <c r="D894" s="218" t="s">
        <v>292</v>
      </c>
      <c r="E894" s="220" t="s">
        <v>342</v>
      </c>
      <c r="F894" s="222">
        <f ca="1" t="shared" si="788"/>
        <v>0</v>
      </c>
      <c r="G894" s="222">
        <f ca="1" t="shared" si="789"/>
        <v>0</v>
      </c>
      <c r="H894" s="222">
        <f ca="1" t="shared" si="790"/>
        <v>0</v>
      </c>
      <c r="I894" s="222">
        <f ca="1" t="shared" si="791"/>
        <v>0.299994</v>
      </c>
      <c r="J894" s="222">
        <f ca="1" t="shared" si="792"/>
        <v>0.299994</v>
      </c>
      <c r="K894" s="222">
        <f ca="1" t="shared" si="793"/>
        <v>0.299994</v>
      </c>
      <c r="L894" s="222">
        <f ca="1" t="shared" si="794"/>
        <v>0.299994</v>
      </c>
      <c r="M894" s="222">
        <f ca="1" t="shared" si="795"/>
        <v>0.299994</v>
      </c>
      <c r="N894" s="222">
        <f ca="1" t="shared" si="796"/>
        <v>0.299994</v>
      </c>
      <c r="O894" s="222">
        <f ca="1" t="shared" si="797"/>
        <v>0.299994</v>
      </c>
      <c r="P894" s="222">
        <f ca="1" t="shared" si="798"/>
        <v>0.299994</v>
      </c>
      <c r="Q894" s="222">
        <f ca="1" t="shared" si="799"/>
        <v>0.299994</v>
      </c>
    </row>
    <row r="895" ht="24" customHeight="1" spans="1:17">
      <c r="A895" s="99" t="s">
        <v>346</v>
      </c>
      <c r="B895" s="99" t="s">
        <v>299</v>
      </c>
      <c r="C895" s="99" t="s">
        <v>343</v>
      </c>
      <c r="D895" s="114" t="s">
        <v>292</v>
      </c>
      <c r="E895" s="114" t="s">
        <v>320</v>
      </c>
      <c r="F895" s="215">
        <f ca="1">IF($S$1&lt;DATE(2025,1,1)," ",IF(SUM(F896:F902)&lt;&gt;SUM(F910:F914),"ERR",SUM(F896:F902)))</f>
        <v>5.099529</v>
      </c>
      <c r="G895" s="215">
        <f ca="1">IF($S$1&lt;DATE(2025,2,1)," ",IF(SUM(G896:G902)&lt;&gt;SUM(G910:G914),"ERR",SUM(G896:G902)))</f>
        <v>5.099529</v>
      </c>
      <c r="H895" s="215">
        <f ca="1">IF($S$1&lt;DATE(2025,3,1)," ",IF(SUM(H896:H902)&lt;&gt;SUM(H910:H914),"ERR",SUM(H896:H902)))</f>
        <v>5.992427</v>
      </c>
      <c r="I895" s="215">
        <f ca="1">IF($S$1&lt;DATE(2025,4,1)," ",IF(SUM(I896:I902)&lt;&gt;SUM(I910:I914),"ERR",SUM(I896:I902)))</f>
        <v>25.524509</v>
      </c>
      <c r="J895" s="215">
        <f ca="1">IF($S$1&lt;DATE(2025,5,1)," ",IF(SUM(J896:J902)&lt;&gt;SUM(J910:J914),"ERR",SUM(J896:J902)))</f>
        <v>26.925849</v>
      </c>
      <c r="K895" s="215">
        <f ca="1">IF($S$1&lt;DATE(2025,6,1)," ",IF(SUM(K896:K902)&lt;&gt;SUM(K910:K914),"ERR",SUM(K896:K902)))</f>
        <v>40.146119</v>
      </c>
      <c r="L895" s="215">
        <f ca="1">IF($S$1&lt;DATE(2025,7,1)," ",IF(SUM(L896:L902)&lt;&gt;SUM(L910:L914),"ERR",SUM(L896:L902)))</f>
        <v>42.406037</v>
      </c>
      <c r="M895" s="215">
        <f ca="1">IF($S$1&lt;DATE(2025,8,1)," ",IF(SUM(M896:M902)&lt;&gt;SUM(M910:M914),"ERR",SUM(M896:M902)))</f>
        <v>46.481885</v>
      </c>
      <c r="N895" s="215">
        <f ca="1">IF($S$1&lt;DATE(2025,9,1)," ",IF(SUM(N896:N902)&lt;&gt;SUM(N910:N914),"ERR",SUM(N896:N902)))</f>
        <v>50.032351</v>
      </c>
      <c r="O895" s="215">
        <f ca="1">IF($S$1&lt;DATE(2025,10,1)," ",IF(SUM(O896:O902)&lt;&gt;SUM(O910:O914),"ERR",SUM(O896:O902)))</f>
        <v>52.438768</v>
      </c>
      <c r="P895" s="215">
        <f ca="1">IF($S$1&lt;DATE(2025,11,1)," ",IF(SUM(P896:P902)&lt;&gt;SUM(P910:P914),"ERR",SUM(P896:P902)))</f>
        <v>52.897451</v>
      </c>
      <c r="Q895" s="215">
        <f ca="1">IF($S$1&lt;DATE(2025,12,1)," ",IF(SUM(Q896:Q902)&lt;&gt;SUM(Q910:Q914),"ERR",SUM(Q896:Q902)))</f>
        <v>56.339753</v>
      </c>
    </row>
    <row r="896" ht="24" customHeight="1" spans="1:17">
      <c r="A896" s="99" t="s">
        <v>346</v>
      </c>
      <c r="B896" s="99" t="s">
        <v>299</v>
      </c>
      <c r="C896" s="99" t="s">
        <v>343</v>
      </c>
      <c r="D896" s="48" t="s">
        <v>31</v>
      </c>
      <c r="E896" s="48" t="s">
        <v>90</v>
      </c>
      <c r="F896" s="51">
        <f ca="1" t="shared" ref="F896:F902" si="800">IF($S$1&lt;DATE(2025,1,1)," ",F844)</f>
        <v>1.036278</v>
      </c>
      <c r="G896" s="51">
        <f ca="1" t="shared" ref="G896:G902" si="801">IF($S$1&lt;DATE(2025,2,1)," ",G844+F896)</f>
        <v>1.036278</v>
      </c>
      <c r="H896" s="51">
        <f ca="1" t="shared" ref="H896:H902" si="802">IF($S$1&lt;DATE(2025,3,1)," ",H844+G896)</f>
        <v>1.036278</v>
      </c>
      <c r="I896" s="51">
        <f ca="1" t="shared" ref="I896:I902" si="803">IF($S$1&lt;DATE(2025,4,1)," ",I844+H896)</f>
        <v>5.655785</v>
      </c>
      <c r="J896" s="51">
        <f ca="1" t="shared" ref="J896:J902" si="804">IF($S$1&lt;DATE(2025,5,1)," ",J844+I896)</f>
        <v>5.655785</v>
      </c>
      <c r="K896" s="51">
        <f ca="1" t="shared" ref="K896:K902" si="805">IF($S$1&lt;DATE(2025,6,1)," ",K844+J896)</f>
        <v>5.655785</v>
      </c>
      <c r="L896" s="51">
        <f ca="1" t="shared" ref="L896:L902" si="806">IF($S$1&lt;DATE(2025,7,1)," ",L844+K896)</f>
        <v>6.543516</v>
      </c>
      <c r="M896" s="51">
        <f ca="1" t="shared" ref="M896:M902" si="807">IF($S$1&lt;DATE(2025,8,1)," ",M844+L896)</f>
        <v>8.145408</v>
      </c>
      <c r="N896" s="51">
        <f ca="1" t="shared" ref="N896:N902" si="808">IF($S$1&lt;DATE(2025,9,1)," ",N844+M896)</f>
        <v>9.845016</v>
      </c>
      <c r="O896" s="51">
        <f ca="1" t="shared" ref="O896:O902" si="809">IF($S$1&lt;DATE(2025,10,1)," ",O844+N896)</f>
        <v>10.204116</v>
      </c>
      <c r="P896" s="51">
        <f ca="1" t="shared" ref="P896:P902" si="810">IF($S$1&lt;DATE(2025,11,1)," ",P844+O896)</f>
        <v>10.662799</v>
      </c>
      <c r="Q896" s="51">
        <f ca="1" t="shared" ref="Q896:Q902" si="811">IF($S$1&lt;DATE(2025,12,1)," ",Q844+P896)</f>
        <v>11.069072</v>
      </c>
    </row>
    <row r="897" ht="24" customHeight="1" spans="1:17">
      <c r="A897" s="99" t="s">
        <v>346</v>
      </c>
      <c r="B897" s="99" t="s">
        <v>299</v>
      </c>
      <c r="C897" s="99" t="s">
        <v>343</v>
      </c>
      <c r="D897" s="48" t="s">
        <v>31</v>
      </c>
      <c r="E897" s="48" t="s">
        <v>82</v>
      </c>
      <c r="F897" s="51">
        <f ca="1" t="shared" si="800"/>
        <v>3.209296</v>
      </c>
      <c r="G897" s="51">
        <f ca="1" t="shared" si="801"/>
        <v>3.209296</v>
      </c>
      <c r="H897" s="51">
        <f ca="1" t="shared" si="802"/>
        <v>3.209296</v>
      </c>
      <c r="I897" s="51">
        <f ca="1" t="shared" si="803"/>
        <v>3.209296</v>
      </c>
      <c r="J897" s="51">
        <f ca="1" t="shared" si="804"/>
        <v>3.995312</v>
      </c>
      <c r="K897" s="51">
        <f ca="1" t="shared" si="805"/>
        <v>4.393466</v>
      </c>
      <c r="L897" s="51">
        <f ca="1" t="shared" si="806"/>
        <v>5.168961</v>
      </c>
      <c r="M897" s="51">
        <f ca="1" t="shared" si="807"/>
        <v>6.425587</v>
      </c>
      <c r="N897" s="51">
        <f ca="1" t="shared" si="808"/>
        <v>6.425587</v>
      </c>
      <c r="O897" s="51">
        <f ca="1" t="shared" si="809"/>
        <v>7.314951</v>
      </c>
      <c r="P897" s="51">
        <f ca="1" t="shared" si="810"/>
        <v>7.314951</v>
      </c>
      <c r="Q897" s="51">
        <f ca="1" t="shared" si="811"/>
        <v>7.314951</v>
      </c>
    </row>
    <row r="898" ht="24" customHeight="1" spans="1:17">
      <c r="A898" s="99" t="s">
        <v>346</v>
      </c>
      <c r="B898" s="99" t="s">
        <v>299</v>
      </c>
      <c r="C898" s="99" t="s">
        <v>343</v>
      </c>
      <c r="D898" s="48" t="s">
        <v>31</v>
      </c>
      <c r="E898" s="48" t="s">
        <v>86</v>
      </c>
      <c r="F898" s="51">
        <f ca="1" t="shared" si="800"/>
        <v>0.405967</v>
      </c>
      <c r="G898" s="51">
        <f ca="1" t="shared" si="801"/>
        <v>0.405967</v>
      </c>
      <c r="H898" s="51">
        <f ca="1" t="shared" si="802"/>
        <v>1.298865</v>
      </c>
      <c r="I898" s="51">
        <f ca="1" t="shared" si="803"/>
        <v>1.298865</v>
      </c>
      <c r="J898" s="51">
        <f ca="1" t="shared" si="804"/>
        <v>1.298865</v>
      </c>
      <c r="K898" s="51">
        <f ca="1" t="shared" si="805"/>
        <v>1.298865</v>
      </c>
      <c r="L898" s="51">
        <f ca="1" t="shared" si="806"/>
        <v>1.298865</v>
      </c>
      <c r="M898" s="51">
        <f ca="1" t="shared" si="807"/>
        <v>2.516195</v>
      </c>
      <c r="N898" s="51">
        <f ca="1" t="shared" si="808"/>
        <v>3.214349</v>
      </c>
      <c r="O898" s="51">
        <f ca="1" t="shared" si="809"/>
        <v>4.372302</v>
      </c>
      <c r="P898" s="51">
        <f ca="1" t="shared" si="810"/>
        <v>4.372302</v>
      </c>
      <c r="Q898" s="51">
        <f ca="1" t="shared" si="811"/>
        <v>6.949724</v>
      </c>
    </row>
    <row r="899" ht="24" customHeight="1" spans="1:17">
      <c r="A899" s="99" t="s">
        <v>346</v>
      </c>
      <c r="B899" s="99" t="s">
        <v>299</v>
      </c>
      <c r="C899" s="99" t="s">
        <v>343</v>
      </c>
      <c r="D899" s="48" t="s">
        <v>31</v>
      </c>
      <c r="E899" s="48" t="s">
        <v>97</v>
      </c>
      <c r="F899" s="51">
        <f ca="1" t="shared" si="800"/>
        <v>0</v>
      </c>
      <c r="G899" s="51">
        <f ca="1" t="shared" si="801"/>
        <v>0</v>
      </c>
      <c r="H899" s="51">
        <f ca="1" t="shared" si="802"/>
        <v>0</v>
      </c>
      <c r="I899" s="51">
        <f ca="1" t="shared" si="803"/>
        <v>11.070785</v>
      </c>
      <c r="J899" s="51">
        <f ca="1" t="shared" si="804"/>
        <v>11.070785</v>
      </c>
      <c r="K899" s="51">
        <f ca="1" t="shared" si="805"/>
        <v>23.892901</v>
      </c>
      <c r="L899" s="51">
        <f ca="1" t="shared" si="806"/>
        <v>24.489593</v>
      </c>
      <c r="M899" s="51">
        <f ca="1" t="shared" si="807"/>
        <v>24.489593</v>
      </c>
      <c r="N899" s="51">
        <f ca="1" t="shared" si="808"/>
        <v>24.489593</v>
      </c>
      <c r="O899" s="51">
        <f ca="1" t="shared" si="809"/>
        <v>24.489593</v>
      </c>
      <c r="P899" s="51">
        <f ca="1" t="shared" si="810"/>
        <v>24.489593</v>
      </c>
      <c r="Q899" s="51">
        <f ca="1" t="shared" si="811"/>
        <v>24.787036</v>
      </c>
    </row>
    <row r="900" ht="24" customHeight="1" spans="1:17">
      <c r="A900" s="99" t="s">
        <v>346</v>
      </c>
      <c r="B900" s="99" t="s">
        <v>299</v>
      </c>
      <c r="C900" s="99" t="s">
        <v>343</v>
      </c>
      <c r="D900" s="48" t="s">
        <v>31</v>
      </c>
      <c r="E900" s="48" t="s">
        <v>87</v>
      </c>
      <c r="F900" s="51">
        <f ca="1" t="shared" si="800"/>
        <v>0.447988</v>
      </c>
      <c r="G900" s="51">
        <f ca="1" t="shared" si="801"/>
        <v>0.447988</v>
      </c>
      <c r="H900" s="51">
        <f ca="1" t="shared" si="802"/>
        <v>0.447988</v>
      </c>
      <c r="I900" s="51">
        <f ca="1" t="shared" si="803"/>
        <v>1.674261</v>
      </c>
      <c r="J900" s="51">
        <f ca="1" t="shared" si="804"/>
        <v>1.674261</v>
      </c>
      <c r="K900" s="51">
        <f ca="1" t="shared" si="805"/>
        <v>1.674261</v>
      </c>
      <c r="L900" s="51">
        <f ca="1" t="shared" si="806"/>
        <v>1.674261</v>
      </c>
      <c r="M900" s="51">
        <f ca="1" t="shared" si="807"/>
        <v>1.674261</v>
      </c>
      <c r="N900" s="51">
        <f ca="1" t="shared" si="808"/>
        <v>2.826965</v>
      </c>
      <c r="O900" s="51">
        <f ca="1" t="shared" si="809"/>
        <v>2.826965</v>
      </c>
      <c r="P900" s="51">
        <f ca="1" t="shared" si="810"/>
        <v>2.826965</v>
      </c>
      <c r="Q900" s="51">
        <f ca="1" t="shared" si="811"/>
        <v>2.988129</v>
      </c>
    </row>
    <row r="901" ht="24" customHeight="1" spans="1:17">
      <c r="A901" s="99" t="s">
        <v>346</v>
      </c>
      <c r="B901" s="99" t="s">
        <v>299</v>
      </c>
      <c r="C901" s="99" t="s">
        <v>343</v>
      </c>
      <c r="D901" s="48" t="s">
        <v>31</v>
      </c>
      <c r="E901" s="48" t="s">
        <v>149</v>
      </c>
      <c r="F901" s="51">
        <f ca="1" t="shared" si="800"/>
        <v>0</v>
      </c>
      <c r="G901" s="51">
        <f ca="1" t="shared" si="801"/>
        <v>0</v>
      </c>
      <c r="H901" s="51">
        <f ca="1" t="shared" si="802"/>
        <v>0</v>
      </c>
      <c r="I901" s="51">
        <f ca="1" t="shared" si="803"/>
        <v>0</v>
      </c>
      <c r="J901" s="51">
        <f ca="1" t="shared" si="804"/>
        <v>0</v>
      </c>
      <c r="K901" s="51">
        <f ca="1" t="shared" si="805"/>
        <v>0</v>
      </c>
      <c r="L901" s="51">
        <f ca="1" t="shared" si="806"/>
        <v>0</v>
      </c>
      <c r="M901" s="51">
        <f ca="1" t="shared" si="807"/>
        <v>0</v>
      </c>
      <c r="N901" s="51">
        <f ca="1" t="shared" si="808"/>
        <v>0</v>
      </c>
      <c r="O901" s="51">
        <f ca="1" t="shared" si="809"/>
        <v>0</v>
      </c>
      <c r="P901" s="51">
        <f ca="1" t="shared" si="810"/>
        <v>0</v>
      </c>
      <c r="Q901" s="51">
        <f ca="1" t="shared" si="811"/>
        <v>0</v>
      </c>
    </row>
    <row r="902" ht="24" customHeight="1" spans="1:17">
      <c r="A902" s="99" t="s">
        <v>346</v>
      </c>
      <c r="B902" s="99" t="s">
        <v>299</v>
      </c>
      <c r="C902" s="99" t="s">
        <v>343</v>
      </c>
      <c r="D902" s="48" t="s">
        <v>31</v>
      </c>
      <c r="E902" s="48" t="s">
        <v>83</v>
      </c>
      <c r="F902" s="51">
        <f ca="1" t="shared" si="800"/>
        <v>0</v>
      </c>
      <c r="G902" s="51">
        <f ca="1" t="shared" si="801"/>
        <v>0</v>
      </c>
      <c r="H902" s="51">
        <f ca="1" t="shared" si="802"/>
        <v>0</v>
      </c>
      <c r="I902" s="51">
        <f ca="1" t="shared" si="803"/>
        <v>2.615517</v>
      </c>
      <c r="J902" s="51">
        <f ca="1" t="shared" si="804"/>
        <v>3.230841</v>
      </c>
      <c r="K902" s="51">
        <f ca="1" t="shared" si="805"/>
        <v>3.230841</v>
      </c>
      <c r="L902" s="51">
        <f ca="1" t="shared" si="806"/>
        <v>3.230841</v>
      </c>
      <c r="M902" s="51">
        <f ca="1" t="shared" si="807"/>
        <v>3.230841</v>
      </c>
      <c r="N902" s="51">
        <f ca="1" t="shared" si="808"/>
        <v>3.230841</v>
      </c>
      <c r="O902" s="51">
        <f ca="1" t="shared" si="809"/>
        <v>3.230841</v>
      </c>
      <c r="P902" s="51">
        <f ca="1" t="shared" si="810"/>
        <v>3.230841</v>
      </c>
      <c r="Q902" s="51">
        <f ca="1" t="shared" si="811"/>
        <v>3.230841</v>
      </c>
    </row>
    <row r="903" ht="24" customHeight="1" spans="1:17">
      <c r="A903" s="99" t="s">
        <v>346</v>
      </c>
      <c r="B903" s="99" t="s">
        <v>299</v>
      </c>
      <c r="C903" s="99" t="s">
        <v>343</v>
      </c>
      <c r="D903" s="48" t="s">
        <v>321</v>
      </c>
      <c r="E903" s="48" t="s">
        <v>90</v>
      </c>
      <c r="F903" s="112">
        <f ca="1" t="shared" ref="F903:Q903" si="812">IFERROR(F896/F895," ")</f>
        <v>0.203210531796172</v>
      </c>
      <c r="G903" s="112">
        <f ca="1" t="shared" si="812"/>
        <v>0.203210531796172</v>
      </c>
      <c r="H903" s="112">
        <f ca="1" t="shared" si="812"/>
        <v>0.172931268082198</v>
      </c>
      <c r="I903" s="112">
        <f ca="1" t="shared" si="812"/>
        <v>0.22158251898205</v>
      </c>
      <c r="J903" s="112">
        <f ca="1" t="shared" si="812"/>
        <v>0.210050386897735</v>
      </c>
      <c r="K903" s="112">
        <f ca="1" t="shared" si="812"/>
        <v>0.140879993904268</v>
      </c>
      <c r="L903" s="112">
        <f ca="1" t="shared" si="812"/>
        <v>0.154306237104873</v>
      </c>
      <c r="M903" s="112">
        <f ca="1" t="shared" si="812"/>
        <v>0.17523833209432</v>
      </c>
      <c r="N903" s="112">
        <f ca="1" t="shared" si="812"/>
        <v>0.196773003930997</v>
      </c>
      <c r="O903" s="112">
        <f ca="1" t="shared" si="812"/>
        <v>0.194591070484341</v>
      </c>
      <c r="P903" s="112">
        <f ca="1" t="shared" si="812"/>
        <v>0.201574911426261</v>
      </c>
      <c r="Q903" s="112">
        <f ca="1" t="shared" si="812"/>
        <v>0.196470012923202</v>
      </c>
    </row>
    <row r="904" ht="24" customHeight="1" spans="1:17">
      <c r="A904" s="99" t="s">
        <v>346</v>
      </c>
      <c r="B904" s="99" t="s">
        <v>299</v>
      </c>
      <c r="C904" s="99" t="s">
        <v>343</v>
      </c>
      <c r="D904" s="48" t="s">
        <v>321</v>
      </c>
      <c r="E904" s="48" t="s">
        <v>82</v>
      </c>
      <c r="F904" s="112">
        <f ca="1" t="shared" ref="F904:Q904" si="813">IFERROR(F897/F895," ")</f>
        <v>0.629331846137163</v>
      </c>
      <c r="G904" s="112">
        <f ca="1" t="shared" si="813"/>
        <v>0.629331846137163</v>
      </c>
      <c r="H904" s="112">
        <f ca="1" t="shared" si="813"/>
        <v>0.535558630918658</v>
      </c>
      <c r="I904" s="112">
        <f ca="1" t="shared" si="813"/>
        <v>0.125733897564886</v>
      </c>
      <c r="J904" s="112">
        <f ca="1" t="shared" si="813"/>
        <v>0.148382025019898</v>
      </c>
      <c r="K904" s="112">
        <f ca="1" t="shared" si="813"/>
        <v>0.109436879813962</v>
      </c>
      <c r="L904" s="112">
        <f ca="1" t="shared" si="813"/>
        <v>0.121892102296661</v>
      </c>
      <c r="M904" s="112">
        <f ca="1" t="shared" si="813"/>
        <v>0.138238520232129</v>
      </c>
      <c r="N904" s="112">
        <f ca="1" t="shared" si="813"/>
        <v>0.128428644098695</v>
      </c>
      <c r="O904" s="112">
        <f ca="1" t="shared" si="813"/>
        <v>0.139495096452304</v>
      </c>
      <c r="P904" s="112">
        <f ca="1" t="shared" si="813"/>
        <v>0.138285510203507</v>
      </c>
      <c r="Q904" s="112">
        <f ca="1" t="shared" si="813"/>
        <v>0.129836405211077</v>
      </c>
    </row>
    <row r="905" ht="24" customHeight="1" spans="1:17">
      <c r="A905" s="99" t="s">
        <v>346</v>
      </c>
      <c r="B905" s="99" t="s">
        <v>299</v>
      </c>
      <c r="C905" s="99" t="s">
        <v>343</v>
      </c>
      <c r="D905" s="48" t="s">
        <v>321</v>
      </c>
      <c r="E905" s="48" t="s">
        <v>86</v>
      </c>
      <c r="F905" s="112">
        <f ca="1" t="shared" ref="F905:Q905" si="814">IFERROR(F898/F895," ")</f>
        <v>0.0796087246488843</v>
      </c>
      <c r="G905" s="112">
        <f ca="1" t="shared" si="814"/>
        <v>0.0796087246488843</v>
      </c>
      <c r="H905" s="112">
        <f ca="1" t="shared" si="814"/>
        <v>0.21675107598307</v>
      </c>
      <c r="I905" s="112">
        <f ca="1" t="shared" si="814"/>
        <v>0.0508869729874138</v>
      </c>
      <c r="J905" s="112">
        <f ca="1" t="shared" si="814"/>
        <v>0.0482385903597692</v>
      </c>
      <c r="K905" s="112">
        <f ca="1" t="shared" si="814"/>
        <v>0.0323534386972748</v>
      </c>
      <c r="L905" s="112">
        <f ca="1" t="shared" si="814"/>
        <v>0.0306292474347461</v>
      </c>
      <c r="M905" s="112">
        <f ca="1" t="shared" si="814"/>
        <v>0.0541328089426666</v>
      </c>
      <c r="N905" s="112">
        <f ca="1" t="shared" si="814"/>
        <v>0.0642454119335707</v>
      </c>
      <c r="O905" s="112">
        <f ca="1" t="shared" si="814"/>
        <v>0.0833791899916489</v>
      </c>
      <c r="P905" s="112">
        <f ca="1" t="shared" si="814"/>
        <v>0.082656194530054</v>
      </c>
      <c r="Q905" s="112">
        <f ca="1" t="shared" si="814"/>
        <v>0.12335382443015</v>
      </c>
    </row>
    <row r="906" ht="24" customHeight="1" spans="1:17">
      <c r="A906" s="99" t="s">
        <v>346</v>
      </c>
      <c r="B906" s="99" t="s">
        <v>299</v>
      </c>
      <c r="C906" s="99" t="s">
        <v>343</v>
      </c>
      <c r="D906" s="48" t="s">
        <v>321</v>
      </c>
      <c r="E906" s="48" t="s">
        <v>97</v>
      </c>
      <c r="F906" s="112">
        <f ca="1" t="shared" ref="F906:Q906" si="815">IFERROR(F899/F895," ")</f>
        <v>0</v>
      </c>
      <c r="G906" s="112">
        <f ca="1" t="shared" si="815"/>
        <v>0</v>
      </c>
      <c r="H906" s="112">
        <f ca="1" t="shared" si="815"/>
        <v>0</v>
      </c>
      <c r="I906" s="112">
        <f ca="1" t="shared" si="815"/>
        <v>0.433731555815628</v>
      </c>
      <c r="J906" s="112">
        <f ca="1" t="shared" si="815"/>
        <v>0.411158251685954</v>
      </c>
      <c r="K906" s="112">
        <f ca="1" t="shared" si="815"/>
        <v>0.595148462545035</v>
      </c>
      <c r="L906" s="112">
        <f ca="1" t="shared" si="815"/>
        <v>0.577502514559425</v>
      </c>
      <c r="M906" s="112">
        <f ca="1" t="shared" si="815"/>
        <v>0.526863164004644</v>
      </c>
      <c r="N906" s="112">
        <f ca="1" t="shared" si="815"/>
        <v>0.489475159782118</v>
      </c>
      <c r="O906" s="112">
        <f ca="1" t="shared" si="815"/>
        <v>0.46701312662418</v>
      </c>
      <c r="P906" s="112">
        <f ca="1" t="shared" si="815"/>
        <v>0.46296357455863</v>
      </c>
      <c r="Q906" s="112">
        <f ca="1" t="shared" si="815"/>
        <v>0.439956419404253</v>
      </c>
    </row>
    <row r="907" ht="24" customHeight="1" spans="1:17">
      <c r="A907" s="99" t="s">
        <v>346</v>
      </c>
      <c r="B907" s="99" t="s">
        <v>299</v>
      </c>
      <c r="C907" s="99" t="s">
        <v>343</v>
      </c>
      <c r="D907" s="48" t="s">
        <v>321</v>
      </c>
      <c r="E907" s="48" t="s">
        <v>87</v>
      </c>
      <c r="F907" s="112">
        <f ca="1" t="shared" ref="F907:Q907" si="816">IFERROR(F900/F895," ")</f>
        <v>0.0878488974177811</v>
      </c>
      <c r="G907" s="112">
        <f ca="1" t="shared" si="816"/>
        <v>0.0878488974177811</v>
      </c>
      <c r="H907" s="112">
        <f ca="1" t="shared" si="816"/>
        <v>0.0747590250160745</v>
      </c>
      <c r="I907" s="112">
        <f ca="1" t="shared" si="816"/>
        <v>0.0655942490411863</v>
      </c>
      <c r="J907" s="112">
        <f ca="1" t="shared" si="816"/>
        <v>0.0621804348676248</v>
      </c>
      <c r="K907" s="112">
        <f ca="1" t="shared" si="816"/>
        <v>0.0417041806706148</v>
      </c>
      <c r="L907" s="112">
        <f ca="1" t="shared" si="816"/>
        <v>0.0394816662542647</v>
      </c>
      <c r="M907" s="112">
        <f ca="1" t="shared" si="816"/>
        <v>0.0360196450724836</v>
      </c>
      <c r="N907" s="112">
        <f ca="1" t="shared" si="816"/>
        <v>0.0565027415961325</v>
      </c>
      <c r="O907" s="112">
        <f ca="1" t="shared" si="816"/>
        <v>0.0539098286977299</v>
      </c>
      <c r="P907" s="112">
        <f ca="1" t="shared" si="816"/>
        <v>0.0534423671945932</v>
      </c>
      <c r="Q907" s="112">
        <f ca="1" t="shared" si="816"/>
        <v>0.0530376659620783</v>
      </c>
    </row>
    <row r="908" ht="24" customHeight="1" spans="1:17">
      <c r="A908" s="99" t="s">
        <v>346</v>
      </c>
      <c r="B908" s="99" t="s">
        <v>299</v>
      </c>
      <c r="C908" s="99" t="s">
        <v>343</v>
      </c>
      <c r="D908" s="48" t="s">
        <v>321</v>
      </c>
      <c r="E908" s="48" t="s">
        <v>149</v>
      </c>
      <c r="F908" s="112">
        <f ca="1" t="shared" ref="F908:Q908" si="817">IFERROR(F901/F895," ")</f>
        <v>0</v>
      </c>
      <c r="G908" s="112">
        <f ca="1" t="shared" si="817"/>
        <v>0</v>
      </c>
      <c r="H908" s="112">
        <f ca="1" t="shared" si="817"/>
        <v>0</v>
      </c>
      <c r="I908" s="112">
        <f ca="1" t="shared" si="817"/>
        <v>0</v>
      </c>
      <c r="J908" s="112">
        <f ca="1" t="shared" si="817"/>
        <v>0</v>
      </c>
      <c r="K908" s="112">
        <f ca="1" t="shared" si="817"/>
        <v>0</v>
      </c>
      <c r="L908" s="112">
        <f ca="1" t="shared" si="817"/>
        <v>0</v>
      </c>
      <c r="M908" s="112">
        <f ca="1" t="shared" si="817"/>
        <v>0</v>
      </c>
      <c r="N908" s="112">
        <f ca="1" t="shared" si="817"/>
        <v>0</v>
      </c>
      <c r="O908" s="112">
        <f ca="1" t="shared" si="817"/>
        <v>0</v>
      </c>
      <c r="P908" s="112">
        <f ca="1" t="shared" si="817"/>
        <v>0</v>
      </c>
      <c r="Q908" s="112">
        <f ca="1" t="shared" si="817"/>
        <v>0</v>
      </c>
    </row>
    <row r="909" ht="24" customHeight="1" spans="1:17">
      <c r="A909" s="99" t="s">
        <v>346</v>
      </c>
      <c r="B909" s="99" t="s">
        <v>299</v>
      </c>
      <c r="C909" s="99" t="s">
        <v>343</v>
      </c>
      <c r="D909" s="48" t="s">
        <v>321</v>
      </c>
      <c r="E909" s="48" t="s">
        <v>83</v>
      </c>
      <c r="F909" s="112">
        <f ca="1" t="shared" ref="F909:Q909" si="818">IFERROR(F902/F895," ")</f>
        <v>0</v>
      </c>
      <c r="G909" s="112">
        <f ca="1" t="shared" si="818"/>
        <v>0</v>
      </c>
      <c r="H909" s="112">
        <f ca="1" t="shared" si="818"/>
        <v>0</v>
      </c>
      <c r="I909" s="112">
        <f ca="1" t="shared" si="818"/>
        <v>0.102470805608837</v>
      </c>
      <c r="J909" s="112">
        <f ca="1" t="shared" si="818"/>
        <v>0.119990311169018</v>
      </c>
      <c r="K909" s="112">
        <f ca="1" t="shared" si="818"/>
        <v>0.0804770443688467</v>
      </c>
      <c r="L909" s="112">
        <f ca="1" t="shared" si="818"/>
        <v>0.0761882323500307</v>
      </c>
      <c r="M909" s="112">
        <f ca="1" t="shared" si="818"/>
        <v>0.0695075296537565</v>
      </c>
      <c r="N909" s="112">
        <f ca="1" t="shared" si="818"/>
        <v>0.0645750386584872</v>
      </c>
      <c r="O909" s="112">
        <f ca="1" t="shared" si="818"/>
        <v>0.0616116877497961</v>
      </c>
      <c r="P909" s="112">
        <f ca="1" t="shared" si="818"/>
        <v>0.0610774420869542</v>
      </c>
      <c r="Q909" s="112">
        <f ca="1" t="shared" si="818"/>
        <v>0.0573456720692403</v>
      </c>
    </row>
    <row r="910" ht="24" customHeight="1" spans="1:17">
      <c r="A910" s="99" t="s">
        <v>346</v>
      </c>
      <c r="B910" s="99" t="s">
        <v>299</v>
      </c>
      <c r="C910" s="99" t="s">
        <v>343</v>
      </c>
      <c r="D910" s="47" t="s">
        <v>294</v>
      </c>
      <c r="E910" s="47" t="s">
        <v>93</v>
      </c>
      <c r="F910" s="64">
        <f ca="1" t="shared" ref="F910:F914" si="819">IF($S$1&lt;DATE(2025,1,1)," ",F851)</f>
        <v>0.812759</v>
      </c>
      <c r="G910" s="64">
        <f ca="1" t="shared" ref="G910:G914" si="820">IF($S$1&lt;DATE(2025,2,1)," ",G851+F910)</f>
        <v>0.812759</v>
      </c>
      <c r="H910" s="64">
        <f ca="1" t="shared" ref="H910:H914" si="821">IF($S$1&lt;DATE(2025,3,1)," ",H851+G910)</f>
        <v>0.812759</v>
      </c>
      <c r="I910" s="64">
        <f ca="1" t="shared" ref="I910:I914" si="822">IF($S$1&lt;DATE(2025,4,1)," ",I851+H910)</f>
        <v>16.902029</v>
      </c>
      <c r="J910" s="64">
        <f ca="1" t="shared" ref="J910:J914" si="823">IF($S$1&lt;DATE(2025,5,1)," ",J851+I910)</f>
        <v>17.364346</v>
      </c>
      <c r="K910" s="64">
        <f ca="1" t="shared" ref="K910:K914" si="824">IF($S$1&lt;DATE(2025,6,1)," ",K851+J910)</f>
        <v>21.784758</v>
      </c>
      <c r="L910" s="64">
        <f ca="1" t="shared" ref="L910:L914" si="825">IF($S$1&lt;DATE(2025,7,1)," ",L851+K910)</f>
        <v>23.700537</v>
      </c>
      <c r="M910" s="64">
        <f ca="1" t="shared" ref="M910:M914" si="826">IF($S$1&lt;DATE(2025,8,1)," ",M851+L910)</f>
        <v>25.280677</v>
      </c>
      <c r="N910" s="64">
        <f ca="1" t="shared" ref="N910:N914" si="827">IF($S$1&lt;DATE(2025,9,1)," ",N851+M910)</f>
        <v>28.132989</v>
      </c>
      <c r="O910" s="64">
        <f ca="1" t="shared" ref="O910:O914" si="828">IF($S$1&lt;DATE(2025,10,1)," ",O851+N910)</f>
        <v>28.869934</v>
      </c>
      <c r="P910" s="64">
        <f ca="1" t="shared" ref="P910:P914" si="829">IF($S$1&lt;DATE(2025,11,1)," ",P851+O910)</f>
        <v>29.068151</v>
      </c>
      <c r="Q910" s="64">
        <f ca="1" t="shared" ref="Q910:Q914" si="830">IF($S$1&lt;DATE(2025,12,1)," ",Q851+P910)</f>
        <v>29.474424</v>
      </c>
    </row>
    <row r="911" ht="24" customHeight="1" spans="1:17">
      <c r="A911" s="99" t="s">
        <v>346</v>
      </c>
      <c r="B911" s="99" t="s">
        <v>299</v>
      </c>
      <c r="C911" s="99" t="s">
        <v>343</v>
      </c>
      <c r="D911" s="47" t="s">
        <v>294</v>
      </c>
      <c r="E911" s="47" t="s">
        <v>85</v>
      </c>
      <c r="F911" s="64">
        <f ca="1" t="shared" si="819"/>
        <v>4.28677</v>
      </c>
      <c r="G911" s="64">
        <f ca="1" t="shared" si="820"/>
        <v>4.28677</v>
      </c>
      <c r="H911" s="64">
        <f ca="1" t="shared" si="821"/>
        <v>4.28677</v>
      </c>
      <c r="I911" s="64">
        <f ca="1" t="shared" si="822"/>
        <v>7.429588</v>
      </c>
      <c r="J911" s="64">
        <f ca="1" t="shared" si="823"/>
        <v>7.753287</v>
      </c>
      <c r="K911" s="64">
        <f ca="1" t="shared" si="824"/>
        <v>7.753287</v>
      </c>
      <c r="L911" s="64">
        <f ca="1" t="shared" si="825"/>
        <v>7.753287</v>
      </c>
      <c r="M911" s="64">
        <f ca="1" t="shared" si="826"/>
        <v>9.532959</v>
      </c>
      <c r="N911" s="64">
        <f ca="1" t="shared" si="827"/>
        <v>10.000051</v>
      </c>
      <c r="O911" s="64">
        <f ca="1" t="shared" si="828"/>
        <v>10.359151</v>
      </c>
      <c r="P911" s="64">
        <f ca="1" t="shared" si="829"/>
        <v>10.619617</v>
      </c>
      <c r="Q911" s="64">
        <f ca="1" t="shared" si="830"/>
        <v>13.358203</v>
      </c>
    </row>
    <row r="912" ht="24" customHeight="1" spans="1:17">
      <c r="A912" s="99" t="s">
        <v>346</v>
      </c>
      <c r="B912" s="99" t="s">
        <v>299</v>
      </c>
      <c r="C912" s="99" t="s">
        <v>343</v>
      </c>
      <c r="D912" s="47" t="s">
        <v>294</v>
      </c>
      <c r="E912" s="47" t="s">
        <v>81</v>
      </c>
      <c r="F912" s="64">
        <f ca="1" t="shared" si="819"/>
        <v>0</v>
      </c>
      <c r="G912" s="64">
        <f ca="1" t="shared" si="820"/>
        <v>0</v>
      </c>
      <c r="H912" s="64">
        <f ca="1" t="shared" si="821"/>
        <v>0.892898</v>
      </c>
      <c r="I912" s="64">
        <f ca="1" t="shared" si="822"/>
        <v>0.892898</v>
      </c>
      <c r="J912" s="64">
        <f ca="1" t="shared" si="823"/>
        <v>0.892898</v>
      </c>
      <c r="K912" s="64">
        <f ca="1" t="shared" si="824"/>
        <v>1.291052</v>
      </c>
      <c r="L912" s="64">
        <f ca="1" t="shared" si="825"/>
        <v>1.635191</v>
      </c>
      <c r="M912" s="64">
        <f ca="1" t="shared" si="826"/>
        <v>2.351227</v>
      </c>
      <c r="N912" s="64">
        <f ca="1" t="shared" si="827"/>
        <v>2.582289</v>
      </c>
      <c r="O912" s="64">
        <f ca="1" t="shared" si="828"/>
        <v>3.892661</v>
      </c>
      <c r="P912" s="64">
        <f ca="1" t="shared" si="829"/>
        <v>3.892661</v>
      </c>
      <c r="Q912" s="64">
        <f ca="1" t="shared" si="830"/>
        <v>4.190104</v>
      </c>
    </row>
    <row r="913" ht="24" customHeight="1" spans="1:17">
      <c r="A913" s="99" t="s">
        <v>346</v>
      </c>
      <c r="B913" s="99" t="s">
        <v>299</v>
      </c>
      <c r="C913" s="99" t="s">
        <v>343</v>
      </c>
      <c r="D913" s="47" t="s">
        <v>294</v>
      </c>
      <c r="E913" s="47" t="s">
        <v>96</v>
      </c>
      <c r="F913" s="64">
        <f ca="1" t="shared" si="819"/>
        <v>0</v>
      </c>
      <c r="G913" s="64">
        <f ca="1" t="shared" si="820"/>
        <v>0</v>
      </c>
      <c r="H913" s="64">
        <f ca="1" t="shared" si="821"/>
        <v>0</v>
      </c>
      <c r="I913" s="64">
        <f ca="1" t="shared" si="822"/>
        <v>0.299994</v>
      </c>
      <c r="J913" s="64">
        <f ca="1" t="shared" si="823"/>
        <v>0.299994</v>
      </c>
      <c r="K913" s="64">
        <f ca="1" t="shared" si="824"/>
        <v>8.701698</v>
      </c>
      <c r="L913" s="64">
        <f ca="1" t="shared" si="825"/>
        <v>8.701698</v>
      </c>
      <c r="M913" s="64">
        <f ca="1" t="shared" si="826"/>
        <v>8.701698</v>
      </c>
      <c r="N913" s="64">
        <f ca="1" t="shared" si="827"/>
        <v>8.701698</v>
      </c>
      <c r="O913" s="64">
        <f ca="1" t="shared" si="828"/>
        <v>8.701698</v>
      </c>
      <c r="P913" s="64">
        <f ca="1" t="shared" si="829"/>
        <v>8.701698</v>
      </c>
      <c r="Q913" s="64">
        <f ca="1" t="shared" si="830"/>
        <v>8.701698</v>
      </c>
    </row>
    <row r="914" ht="24" customHeight="1" spans="1:17">
      <c r="A914" s="99" t="s">
        <v>346</v>
      </c>
      <c r="B914" s="99" t="s">
        <v>299</v>
      </c>
      <c r="C914" s="99" t="s">
        <v>343</v>
      </c>
      <c r="D914" s="47" t="s">
        <v>294</v>
      </c>
      <c r="E914" s="47" t="s">
        <v>160</v>
      </c>
      <c r="F914" s="64">
        <f ca="1" t="shared" si="819"/>
        <v>0</v>
      </c>
      <c r="G914" s="64">
        <f ca="1" t="shared" si="820"/>
        <v>0</v>
      </c>
      <c r="H914" s="64">
        <f ca="1" t="shared" si="821"/>
        <v>0</v>
      </c>
      <c r="I914" s="64">
        <f ca="1" t="shared" si="822"/>
        <v>0</v>
      </c>
      <c r="J914" s="64">
        <f ca="1" t="shared" si="823"/>
        <v>0.615324</v>
      </c>
      <c r="K914" s="64">
        <f ca="1" t="shared" si="824"/>
        <v>0.615324</v>
      </c>
      <c r="L914" s="64">
        <f ca="1" t="shared" si="825"/>
        <v>0.615324</v>
      </c>
      <c r="M914" s="64">
        <f ca="1" t="shared" si="826"/>
        <v>0.615324</v>
      </c>
      <c r="N914" s="64">
        <f ca="1" t="shared" si="827"/>
        <v>0.615324</v>
      </c>
      <c r="O914" s="64">
        <f ca="1" t="shared" si="828"/>
        <v>0.615324</v>
      </c>
      <c r="P914" s="64">
        <f ca="1" t="shared" si="829"/>
        <v>0.615324</v>
      </c>
      <c r="Q914" s="64">
        <f ca="1" t="shared" si="830"/>
        <v>0.615324</v>
      </c>
    </row>
    <row r="915" ht="24" customHeight="1" spans="1:17">
      <c r="A915" s="99" t="s">
        <v>346</v>
      </c>
      <c r="B915" s="99" t="s">
        <v>299</v>
      </c>
      <c r="C915" s="99" t="s">
        <v>343</v>
      </c>
      <c r="D915" s="47" t="s">
        <v>321</v>
      </c>
      <c r="E915" s="47" t="s">
        <v>93</v>
      </c>
      <c r="F915" s="126">
        <f ca="1" t="shared" ref="F915:Q915" si="831">IFERROR(F910/F895," ")</f>
        <v>0.159379228944477</v>
      </c>
      <c r="G915" s="126">
        <f ca="1" t="shared" si="831"/>
        <v>0.159379228944477</v>
      </c>
      <c r="H915" s="126">
        <f ca="1" t="shared" si="831"/>
        <v>0.135631022288632</v>
      </c>
      <c r="I915" s="126">
        <f ca="1" t="shared" si="831"/>
        <v>0.662188212905486</v>
      </c>
      <c r="J915" s="126">
        <f ca="1" t="shared" si="831"/>
        <v>0.644895022623056</v>
      </c>
      <c r="K915" s="126">
        <f ca="1" t="shared" si="831"/>
        <v>0.54263671165823</v>
      </c>
      <c r="L915" s="126">
        <f ca="1" t="shared" si="831"/>
        <v>0.558895352565013</v>
      </c>
      <c r="M915" s="126">
        <f ca="1" t="shared" si="831"/>
        <v>0.543882353308176</v>
      </c>
      <c r="N915" s="126">
        <f ca="1" t="shared" si="831"/>
        <v>0.562295963265848</v>
      </c>
      <c r="O915" s="126">
        <f ca="1" t="shared" si="831"/>
        <v>0.550545619225837</v>
      </c>
      <c r="P915" s="126">
        <f ca="1" t="shared" si="831"/>
        <v>0.549518936177095</v>
      </c>
      <c r="Q915" s="126">
        <f ca="1" t="shared" si="831"/>
        <v>0.523155009217027</v>
      </c>
    </row>
    <row r="916" ht="24" customHeight="1" spans="1:17">
      <c r="A916" s="99" t="s">
        <v>346</v>
      </c>
      <c r="B916" s="99" t="s">
        <v>299</v>
      </c>
      <c r="C916" s="99" t="s">
        <v>343</v>
      </c>
      <c r="D916" s="47" t="s">
        <v>321</v>
      </c>
      <c r="E916" s="47" t="s">
        <v>85</v>
      </c>
      <c r="F916" s="126">
        <f ca="1" t="shared" ref="F916:Q916" si="832">IFERROR(F911/F895," ")</f>
        <v>0.840620771055523</v>
      </c>
      <c r="G916" s="126">
        <f ca="1" t="shared" si="832"/>
        <v>0.840620771055523</v>
      </c>
      <c r="H916" s="126">
        <f ca="1" t="shared" si="832"/>
        <v>0.715364575988994</v>
      </c>
      <c r="I916" s="126">
        <f ca="1" t="shared" si="832"/>
        <v>0.291076627566078</v>
      </c>
      <c r="J916" s="126">
        <f ca="1" t="shared" si="832"/>
        <v>0.28794958331676</v>
      </c>
      <c r="K916" s="126">
        <f ca="1" t="shared" si="832"/>
        <v>0.193126688036769</v>
      </c>
      <c r="L916" s="126">
        <f ca="1" t="shared" si="832"/>
        <v>0.182834510095815</v>
      </c>
      <c r="M916" s="126">
        <f ca="1" t="shared" si="832"/>
        <v>0.205089767766518</v>
      </c>
      <c r="N916" s="126">
        <f ca="1" t="shared" si="832"/>
        <v>0.199871699013304</v>
      </c>
      <c r="O916" s="126">
        <f ca="1" t="shared" si="832"/>
        <v>0.197547566334892</v>
      </c>
      <c r="P916" s="126">
        <f ca="1" t="shared" si="832"/>
        <v>0.200758577194958</v>
      </c>
      <c r="Q916" s="126">
        <f ca="1" t="shared" si="832"/>
        <v>0.237100844229828</v>
      </c>
    </row>
    <row r="917" ht="24" customHeight="1" spans="1:17">
      <c r="A917" s="99" t="s">
        <v>346</v>
      </c>
      <c r="B917" s="99" t="s">
        <v>299</v>
      </c>
      <c r="C917" s="99" t="s">
        <v>343</v>
      </c>
      <c r="D917" s="47" t="s">
        <v>321</v>
      </c>
      <c r="E917" s="47" t="s">
        <v>81</v>
      </c>
      <c r="F917" s="126">
        <f ca="1" t="shared" ref="F917:Q917" si="833">IFERROR(F912/F895," ")</f>
        <v>0</v>
      </c>
      <c r="G917" s="126">
        <f ca="1" t="shared" si="833"/>
        <v>0</v>
      </c>
      <c r="H917" s="126">
        <f ca="1" t="shared" si="833"/>
        <v>0.149004401722374</v>
      </c>
      <c r="I917" s="126">
        <f ca="1" t="shared" si="833"/>
        <v>0.0349819853537633</v>
      </c>
      <c r="J917" s="126">
        <f ca="1" t="shared" si="833"/>
        <v>0.0331613684678986</v>
      </c>
      <c r="K917" s="126">
        <f ca="1" t="shared" si="833"/>
        <v>0.0321588246176424</v>
      </c>
      <c r="L917" s="126">
        <f ca="1" t="shared" si="833"/>
        <v>0.0385603351711456</v>
      </c>
      <c r="M917" s="126">
        <f ca="1" t="shared" si="833"/>
        <v>0.0505837274026215</v>
      </c>
      <c r="N917" s="126">
        <f ca="1" t="shared" si="833"/>
        <v>0.0516123857541693</v>
      </c>
      <c r="O917" s="126">
        <f ca="1" t="shared" si="833"/>
        <v>0.0742325029451493</v>
      </c>
      <c r="P917" s="126">
        <f ca="1" t="shared" si="833"/>
        <v>0.0735888199981508</v>
      </c>
      <c r="Q917" s="126">
        <f ca="1" t="shared" si="833"/>
        <v>0.0743720690433272</v>
      </c>
    </row>
    <row r="918" ht="24" customHeight="1" spans="1:17">
      <c r="A918" s="99" t="s">
        <v>346</v>
      </c>
      <c r="B918" s="99" t="s">
        <v>299</v>
      </c>
      <c r="C918" s="99" t="s">
        <v>343</v>
      </c>
      <c r="D918" s="47" t="s">
        <v>321</v>
      </c>
      <c r="E918" s="47" t="s">
        <v>96</v>
      </c>
      <c r="F918" s="126">
        <f ca="1" t="shared" ref="F918:Q918" si="834">IFERROR(F913/F895," ")</f>
        <v>0</v>
      </c>
      <c r="G918" s="126">
        <f ca="1" t="shared" si="834"/>
        <v>0</v>
      </c>
      <c r="H918" s="126">
        <f ca="1" t="shared" si="834"/>
        <v>0</v>
      </c>
      <c r="I918" s="126">
        <f ca="1" t="shared" si="834"/>
        <v>0.0117531741746727</v>
      </c>
      <c r="J918" s="126">
        <f ca="1" t="shared" si="834"/>
        <v>0.0111414871263669</v>
      </c>
      <c r="K918" s="126">
        <f ca="1" t="shared" si="834"/>
        <v>0.21675066523865</v>
      </c>
      <c r="L918" s="126">
        <f ca="1" t="shared" si="834"/>
        <v>0.20519950968302</v>
      </c>
      <c r="M918" s="126">
        <f ca="1" t="shared" si="834"/>
        <v>0.187206220229666</v>
      </c>
      <c r="N918" s="126">
        <f ca="1" t="shared" si="834"/>
        <v>0.173921429356778</v>
      </c>
      <c r="O918" s="126">
        <f ca="1" t="shared" si="834"/>
        <v>0.165940168540954</v>
      </c>
      <c r="P918" s="126">
        <f ca="1" t="shared" si="834"/>
        <v>0.164501272471522</v>
      </c>
      <c r="Q918" s="126">
        <f ca="1" t="shared" si="834"/>
        <v>0.154450410884833</v>
      </c>
    </row>
    <row r="919" ht="24" customHeight="1" spans="1:17">
      <c r="A919" s="99" t="s">
        <v>346</v>
      </c>
      <c r="B919" s="99" t="s">
        <v>299</v>
      </c>
      <c r="C919" s="99" t="s">
        <v>343</v>
      </c>
      <c r="D919" s="47" t="s">
        <v>321</v>
      </c>
      <c r="E919" s="47" t="s">
        <v>160</v>
      </c>
      <c r="F919" s="126">
        <f ca="1" t="shared" ref="F919:Q919" si="835">IFERROR(F914/F895," ")</f>
        <v>0</v>
      </c>
      <c r="G919" s="126">
        <f ca="1" t="shared" si="835"/>
        <v>0</v>
      </c>
      <c r="H919" s="126">
        <f ca="1" t="shared" si="835"/>
        <v>0</v>
      </c>
      <c r="I919" s="126">
        <f ca="1" t="shared" si="835"/>
        <v>0</v>
      </c>
      <c r="J919" s="126">
        <f ca="1" t="shared" si="835"/>
        <v>0.022852538465918</v>
      </c>
      <c r="K919" s="126">
        <f ca="1" t="shared" si="835"/>
        <v>0.0153271104487086</v>
      </c>
      <c r="L919" s="126">
        <f ca="1" t="shared" si="835"/>
        <v>0.0145102924850063</v>
      </c>
      <c r="M919" s="126">
        <f ca="1" t="shared" si="835"/>
        <v>0.0132379312930188</v>
      </c>
      <c r="N919" s="126">
        <f ca="1" t="shared" si="835"/>
        <v>0.0122985226099009</v>
      </c>
      <c r="O919" s="126">
        <f ca="1" t="shared" si="835"/>
        <v>0.0117341429531678</v>
      </c>
      <c r="P919" s="126">
        <f ca="1" t="shared" si="835"/>
        <v>0.0116323941582743</v>
      </c>
      <c r="Q919" s="126">
        <f ca="1" t="shared" si="835"/>
        <v>0.010921666624985</v>
      </c>
    </row>
    <row r="920" ht="24" customHeight="1" spans="1:17">
      <c r="A920" s="99" t="s">
        <v>346</v>
      </c>
      <c r="B920" s="99" t="s">
        <v>299</v>
      </c>
      <c r="C920" s="99" t="s">
        <v>344</v>
      </c>
      <c r="D920" s="114" t="s">
        <v>292</v>
      </c>
      <c r="E920" s="114" t="s">
        <v>320</v>
      </c>
      <c r="F920" s="215">
        <f ca="1">IF($S$1&lt;DATE(2025,1,1)," ",IF(SUM(F921:F927)&lt;&gt;SUM(F935:F939),"ERR",SUM(F921:F927)))</f>
        <v>5.174457</v>
      </c>
      <c r="G920" s="215">
        <f ca="1">IF($S$1&lt;DATE(2025,2,1)," ",IF(SUM(G921:G927)&lt;&gt;SUM(G935:G939),"ERR",SUM(G921:G927)))</f>
        <v>5.174457</v>
      </c>
      <c r="H920" s="215">
        <f ca="1">IF($S$1&lt;DATE(2025,3,1)," ",IF(SUM(H921:H927)&lt;&gt;SUM(H935:H939),"ERR",SUM(H921:H927)))</f>
        <v>6.081319</v>
      </c>
      <c r="I920" s="215">
        <f ca="1">IF($S$1&lt;DATE(2025,4,1)," ",IF(SUM(I921:I927)&lt;&gt;SUM(I935:I939),"ERR",SUM(I921:I927)))</f>
        <v>25.881809</v>
      </c>
      <c r="J920" s="215">
        <f ca="1">IF($S$1&lt;DATE(2025,5,1)," ",IF(SUM(J921:J927)&lt;&gt;SUM(J935:J939),"ERR",SUM(J921:J927)))</f>
        <v>27.297978</v>
      </c>
      <c r="K920" s="215">
        <f ca="1">IF($S$1&lt;DATE(2025,6,1)," ",IF(SUM(K921:K927)&lt;&gt;SUM(K935:K939),"ERR",SUM(K921:K927)))</f>
        <v>40.684873</v>
      </c>
      <c r="L920" s="215">
        <f ca="1">IF($S$1&lt;DATE(2025,7,1)," ",IF(SUM(L921:L927)&lt;&gt;SUM(L935:L939),"ERR",SUM(L921:L927)))</f>
        <v>42.979418</v>
      </c>
      <c r="M920" s="215">
        <f ca="1">IF($S$1&lt;DATE(2025,8,1)," ",IF(SUM(M921:M927)&lt;&gt;SUM(M935:M939),"ERR",SUM(M921:M927)))</f>
        <v>47.113673</v>
      </c>
      <c r="N920" s="215">
        <f ca="1">IF($S$1&lt;DATE(2025,9,1)," ",IF(SUM(N921:N927)&lt;&gt;SUM(N935:N939),"ERR",SUM(N921:N927)))</f>
        <v>50.718313</v>
      </c>
      <c r="O920" s="215">
        <f ca="1">IF($S$1&lt;DATE(2025,10,1)," ",IF(SUM(O921:O927)&lt;&gt;SUM(O935:O939),"ERR",SUM(O921:O927)))</f>
        <v>53.160046</v>
      </c>
      <c r="P920" s="215">
        <f ca="1">IF($S$1&lt;DATE(2025,11,1)," ",IF(SUM(P921:P927)&lt;&gt;SUM(P935:P939),"ERR",SUM(P921:P927)))</f>
        <v>53.62282</v>
      </c>
      <c r="Q920" s="215">
        <f ca="1">IF($S$1&lt;DATE(2025,12,1)," ",IF(SUM(Q921:Q927)&lt;&gt;SUM(Q935:Q939),"ERR",SUM(Q921:Q927)))</f>
        <v>57.117185</v>
      </c>
    </row>
    <row r="921" ht="24" customHeight="1" spans="1:17">
      <c r="A921" s="99" t="s">
        <v>346</v>
      </c>
      <c r="B921" s="99" t="s">
        <v>299</v>
      </c>
      <c r="C921" s="99" t="s">
        <v>344</v>
      </c>
      <c r="D921" s="48" t="s">
        <v>31</v>
      </c>
      <c r="E921" s="48" t="s">
        <v>90</v>
      </c>
      <c r="F921" s="51">
        <f ca="1" t="shared" ref="F921:F927" si="836">IF($S$1&lt;DATE(2025,1,1)," ",F864)</f>
        <v>1.050394</v>
      </c>
      <c r="G921" s="51">
        <f ca="1" t="shared" ref="G921:G927" si="837">IF($S$1&lt;DATE(2025,2,1)," ",G864+F921)</f>
        <v>1.050394</v>
      </c>
      <c r="H921" s="51">
        <f ca="1" t="shared" ref="H921:H927" si="838">IF($S$1&lt;DATE(2025,3,1)," ",H864+G921)</f>
        <v>1.050394</v>
      </c>
      <c r="I921" s="51">
        <f ca="1" t="shared" ref="I921:I927" si="839">IF($S$1&lt;DATE(2025,4,1)," ",I864+H921)</f>
        <v>5.740916</v>
      </c>
      <c r="J921" s="51">
        <f ca="1" t="shared" ref="J921:J927" si="840">IF($S$1&lt;DATE(2025,5,1)," ",J864+I921)</f>
        <v>5.740916</v>
      </c>
      <c r="K921" s="51">
        <f ca="1" t="shared" ref="K921:K927" si="841">IF($S$1&lt;DATE(2025,6,1)," ",K864+J921)</f>
        <v>5.740916</v>
      </c>
      <c r="L921" s="51">
        <f ca="1" t="shared" ref="L921:L927" si="842">IF($S$1&lt;DATE(2025,7,1)," ",L864+K921)</f>
        <v>6.643598</v>
      </c>
      <c r="M921" s="51">
        <f ca="1" t="shared" ref="M921:M927" si="843">IF($S$1&lt;DATE(2025,8,1)," ",M864+L921)</f>
        <v>8.26913</v>
      </c>
      <c r="N921" s="51">
        <f ca="1" t="shared" ref="N921:N927" si="844">IF($S$1&lt;DATE(2025,9,1)," ",N864+M921)</f>
        <v>9.995395</v>
      </c>
      <c r="O921" s="51">
        <f ca="1" t="shared" ref="O921:O927" si="845">IF($S$1&lt;DATE(2025,10,1)," ",O864+N921)</f>
        <v>10.35924</v>
      </c>
      <c r="P921" s="51">
        <f ca="1" t="shared" ref="P921:P927" si="846">IF($S$1&lt;DATE(2025,11,1)," ",P864+O921)</f>
        <v>10.822014</v>
      </c>
      <c r="Q921" s="51">
        <f ca="1" t="shared" ref="Q921:Q927" si="847">IF($S$1&lt;DATE(2025,12,1)," ",Q864+P921)</f>
        <v>11.235332</v>
      </c>
    </row>
    <row r="922" ht="24" customHeight="1" spans="1:17">
      <c r="A922" s="99" t="s">
        <v>346</v>
      </c>
      <c r="B922" s="99" t="s">
        <v>299</v>
      </c>
      <c r="C922" s="99" t="s">
        <v>344</v>
      </c>
      <c r="D922" s="48" t="s">
        <v>31</v>
      </c>
      <c r="E922" s="48" t="s">
        <v>82</v>
      </c>
      <c r="F922" s="51">
        <f ca="1" t="shared" si="836"/>
        <v>3.256685</v>
      </c>
      <c r="G922" s="51">
        <f ca="1" t="shared" si="837"/>
        <v>3.256685</v>
      </c>
      <c r="H922" s="51">
        <f ca="1" t="shared" si="838"/>
        <v>3.256685</v>
      </c>
      <c r="I922" s="51">
        <f ca="1" t="shared" si="839"/>
        <v>3.256685</v>
      </c>
      <c r="J922" s="51">
        <f ca="1" t="shared" si="840"/>
        <v>4.052694</v>
      </c>
      <c r="K922" s="51">
        <f ca="1" t="shared" si="841"/>
        <v>4.457106</v>
      </c>
      <c r="L922" s="51">
        <f ca="1" t="shared" si="842"/>
        <v>5.243743</v>
      </c>
      <c r="M922" s="51">
        <f ca="1" t="shared" si="843"/>
        <v>6.519891</v>
      </c>
      <c r="N922" s="51">
        <f ca="1" t="shared" si="844"/>
        <v>6.519891</v>
      </c>
      <c r="O922" s="51">
        <f ca="1" t="shared" si="845"/>
        <v>7.423016</v>
      </c>
      <c r="P922" s="51">
        <f ca="1" t="shared" si="846"/>
        <v>7.423016</v>
      </c>
      <c r="Q922" s="51">
        <f ca="1" t="shared" si="847"/>
        <v>7.423016</v>
      </c>
    </row>
    <row r="923" ht="24" customHeight="1" spans="1:17">
      <c r="A923" s="99" t="s">
        <v>346</v>
      </c>
      <c r="B923" s="99" t="s">
        <v>299</v>
      </c>
      <c r="C923" s="99" t="s">
        <v>344</v>
      </c>
      <c r="D923" s="48" t="s">
        <v>31</v>
      </c>
      <c r="E923" s="48" t="s">
        <v>86</v>
      </c>
      <c r="F923" s="51">
        <f ca="1" t="shared" si="836"/>
        <v>0.412348</v>
      </c>
      <c r="G923" s="51">
        <f ca="1" t="shared" si="837"/>
        <v>0.412348</v>
      </c>
      <c r="H923" s="51">
        <f ca="1" t="shared" si="838"/>
        <v>1.31921</v>
      </c>
      <c r="I923" s="51">
        <f ca="1" t="shared" si="839"/>
        <v>1.31921</v>
      </c>
      <c r="J923" s="51">
        <f ca="1" t="shared" si="840"/>
        <v>1.31921</v>
      </c>
      <c r="K923" s="51">
        <f ca="1" t="shared" si="841"/>
        <v>1.31921</v>
      </c>
      <c r="L923" s="51">
        <f ca="1" t="shared" si="842"/>
        <v>1.31921</v>
      </c>
      <c r="M923" s="51">
        <f ca="1" t="shared" si="843"/>
        <v>2.551785</v>
      </c>
      <c r="N923" s="51">
        <f ca="1" t="shared" si="844"/>
        <v>3.25976</v>
      </c>
      <c r="O923" s="51">
        <f ca="1" t="shared" si="845"/>
        <v>4.434523</v>
      </c>
      <c r="P923" s="51">
        <f ca="1" t="shared" si="846"/>
        <v>4.434523</v>
      </c>
      <c r="Q923" s="51">
        <f ca="1" t="shared" si="847"/>
        <v>7.052516</v>
      </c>
    </row>
    <row r="924" ht="24" customHeight="1" spans="1:17">
      <c r="A924" s="99" t="s">
        <v>346</v>
      </c>
      <c r="B924" s="99" t="s">
        <v>299</v>
      </c>
      <c r="C924" s="99" t="s">
        <v>344</v>
      </c>
      <c r="D924" s="48" t="s">
        <v>31</v>
      </c>
      <c r="E924" s="48" t="s">
        <v>97</v>
      </c>
      <c r="F924" s="51">
        <f ca="1" t="shared" si="836"/>
        <v>0</v>
      </c>
      <c r="G924" s="51">
        <f ca="1" t="shared" si="837"/>
        <v>0</v>
      </c>
      <c r="H924" s="51">
        <f ca="1" t="shared" si="838"/>
        <v>0</v>
      </c>
      <c r="I924" s="51">
        <f ca="1" t="shared" si="839"/>
        <v>11.205848</v>
      </c>
      <c r="J924" s="51">
        <f ca="1" t="shared" si="840"/>
        <v>11.205848</v>
      </c>
      <c r="K924" s="51">
        <f ca="1" t="shared" si="841"/>
        <v>24.188331</v>
      </c>
      <c r="L924" s="51">
        <f ca="1" t="shared" si="842"/>
        <v>24.793557</v>
      </c>
      <c r="M924" s="51">
        <f ca="1" t="shared" si="843"/>
        <v>24.793557</v>
      </c>
      <c r="N924" s="51">
        <f ca="1" t="shared" si="844"/>
        <v>24.793557</v>
      </c>
      <c r="O924" s="51">
        <f ca="1" t="shared" si="845"/>
        <v>24.793557</v>
      </c>
      <c r="P924" s="51">
        <f ca="1" t="shared" si="846"/>
        <v>24.793557</v>
      </c>
      <c r="Q924" s="51">
        <f ca="1" t="shared" si="847"/>
        <v>25.095447</v>
      </c>
    </row>
    <row r="925" ht="24" customHeight="1" spans="1:17">
      <c r="A925" s="99" t="s">
        <v>346</v>
      </c>
      <c r="B925" s="99" t="s">
        <v>299</v>
      </c>
      <c r="C925" s="99" t="s">
        <v>344</v>
      </c>
      <c r="D925" s="48" t="s">
        <v>31</v>
      </c>
      <c r="E925" s="48" t="s">
        <v>87</v>
      </c>
      <c r="F925" s="51">
        <f ca="1" t="shared" si="836"/>
        <v>0.45503</v>
      </c>
      <c r="G925" s="51">
        <f ca="1" t="shared" si="837"/>
        <v>0.45503</v>
      </c>
      <c r="H925" s="51">
        <f ca="1" t="shared" si="838"/>
        <v>0.45503</v>
      </c>
      <c r="I925" s="51">
        <f ca="1" t="shared" si="839"/>
        <v>1.700442</v>
      </c>
      <c r="J925" s="51">
        <f ca="1" t="shared" si="840"/>
        <v>1.700442</v>
      </c>
      <c r="K925" s="51">
        <f ca="1" t="shared" si="841"/>
        <v>1.700442</v>
      </c>
      <c r="L925" s="51">
        <f ca="1" t="shared" si="842"/>
        <v>1.700442</v>
      </c>
      <c r="M925" s="51">
        <f ca="1" t="shared" si="843"/>
        <v>1.700442</v>
      </c>
      <c r="N925" s="51">
        <f ca="1" t="shared" si="844"/>
        <v>2.870842</v>
      </c>
      <c r="O925" s="51">
        <f ca="1" t="shared" si="845"/>
        <v>2.870842</v>
      </c>
      <c r="P925" s="51">
        <f ca="1" t="shared" si="846"/>
        <v>2.870842</v>
      </c>
      <c r="Q925" s="51">
        <f ca="1" t="shared" si="847"/>
        <v>3.032006</v>
      </c>
    </row>
    <row r="926" ht="24" customHeight="1" spans="1:17">
      <c r="A926" s="99" t="s">
        <v>346</v>
      </c>
      <c r="B926" s="99" t="s">
        <v>299</v>
      </c>
      <c r="C926" s="99" t="s">
        <v>344</v>
      </c>
      <c r="D926" s="48" t="s">
        <v>31</v>
      </c>
      <c r="E926" s="48" t="s">
        <v>149</v>
      </c>
      <c r="F926" s="51">
        <f ca="1" t="shared" si="836"/>
        <v>0</v>
      </c>
      <c r="G926" s="51">
        <f ca="1" t="shared" si="837"/>
        <v>0</v>
      </c>
      <c r="H926" s="51">
        <f ca="1" t="shared" si="838"/>
        <v>0</v>
      </c>
      <c r="I926" s="51">
        <f ca="1" t="shared" si="839"/>
        <v>0</v>
      </c>
      <c r="J926" s="51">
        <f ca="1" t="shared" si="840"/>
        <v>0</v>
      </c>
      <c r="K926" s="51">
        <f ca="1" t="shared" si="841"/>
        <v>0</v>
      </c>
      <c r="L926" s="51">
        <f ca="1" t="shared" si="842"/>
        <v>0</v>
      </c>
      <c r="M926" s="51">
        <f ca="1" t="shared" si="843"/>
        <v>0</v>
      </c>
      <c r="N926" s="51">
        <f ca="1" t="shared" si="844"/>
        <v>0</v>
      </c>
      <c r="O926" s="51">
        <f ca="1" t="shared" si="845"/>
        <v>0</v>
      </c>
      <c r="P926" s="51">
        <f ca="1" t="shared" si="846"/>
        <v>0</v>
      </c>
      <c r="Q926" s="51">
        <f ca="1" t="shared" si="847"/>
        <v>0</v>
      </c>
    </row>
    <row r="927" ht="24" customHeight="1" spans="1:17">
      <c r="A927" s="99" t="s">
        <v>346</v>
      </c>
      <c r="B927" s="99" t="s">
        <v>299</v>
      </c>
      <c r="C927" s="99" t="s">
        <v>344</v>
      </c>
      <c r="D927" s="48" t="s">
        <v>31</v>
      </c>
      <c r="E927" s="48" t="s">
        <v>83</v>
      </c>
      <c r="F927" s="51">
        <f ca="1" t="shared" si="836"/>
        <v>0</v>
      </c>
      <c r="G927" s="51">
        <f ca="1" t="shared" si="837"/>
        <v>0</v>
      </c>
      <c r="H927" s="51">
        <f ca="1" t="shared" si="838"/>
        <v>0</v>
      </c>
      <c r="I927" s="51">
        <f ca="1" t="shared" si="839"/>
        <v>2.658708</v>
      </c>
      <c r="J927" s="51">
        <f ca="1" t="shared" si="840"/>
        <v>3.278868</v>
      </c>
      <c r="K927" s="51">
        <f ca="1" t="shared" si="841"/>
        <v>3.278868</v>
      </c>
      <c r="L927" s="51">
        <f ca="1" t="shared" si="842"/>
        <v>3.278868</v>
      </c>
      <c r="M927" s="51">
        <f ca="1" t="shared" si="843"/>
        <v>3.278868</v>
      </c>
      <c r="N927" s="51">
        <f ca="1" t="shared" si="844"/>
        <v>3.278868</v>
      </c>
      <c r="O927" s="51">
        <f ca="1" t="shared" si="845"/>
        <v>3.278868</v>
      </c>
      <c r="P927" s="51">
        <f ca="1" t="shared" si="846"/>
        <v>3.278868</v>
      </c>
      <c r="Q927" s="51">
        <f ca="1" t="shared" si="847"/>
        <v>3.278868</v>
      </c>
    </row>
    <row r="928" ht="24" customHeight="1" spans="1:17">
      <c r="A928" s="99" t="s">
        <v>346</v>
      </c>
      <c r="B928" s="99" t="s">
        <v>299</v>
      </c>
      <c r="C928" s="99" t="s">
        <v>344</v>
      </c>
      <c r="D928" s="48" t="s">
        <v>321</v>
      </c>
      <c r="E928" s="48" t="s">
        <v>90</v>
      </c>
      <c r="F928" s="112">
        <f ca="1" t="shared" ref="F928:Q928" si="848">IFERROR(F921/F920," ")</f>
        <v>0.202995985858999</v>
      </c>
      <c r="G928" s="112">
        <f ca="1" t="shared" si="848"/>
        <v>0.202995985858999</v>
      </c>
      <c r="H928" s="112">
        <f ca="1" t="shared" si="848"/>
        <v>0.172724700019848</v>
      </c>
      <c r="I928" s="112">
        <f ca="1" t="shared" si="848"/>
        <v>0.221812779779033</v>
      </c>
      <c r="J928" s="112">
        <f ca="1" t="shared" si="848"/>
        <v>0.210305539846211</v>
      </c>
      <c r="K928" s="112">
        <f ca="1" t="shared" si="848"/>
        <v>0.141106892480652</v>
      </c>
      <c r="L928" s="112">
        <f ca="1" t="shared" si="848"/>
        <v>0.154576267179793</v>
      </c>
      <c r="M928" s="112">
        <f ca="1" t="shared" si="848"/>
        <v>0.175514441423406</v>
      </c>
      <c r="N928" s="112">
        <f ca="1" t="shared" si="848"/>
        <v>0.1970766456684</v>
      </c>
      <c r="O928" s="112">
        <f ca="1" t="shared" si="848"/>
        <v>0.194868905869645</v>
      </c>
      <c r="P928" s="112">
        <f ca="1" t="shared" si="848"/>
        <v>0.201817323296313</v>
      </c>
      <c r="Q928" s="112">
        <f ca="1" t="shared" si="848"/>
        <v>0.196706682936143</v>
      </c>
    </row>
    <row r="929" ht="24" customHeight="1" spans="1:17">
      <c r="A929" s="99" t="s">
        <v>346</v>
      </c>
      <c r="B929" s="99" t="s">
        <v>299</v>
      </c>
      <c r="C929" s="99" t="s">
        <v>344</v>
      </c>
      <c r="D929" s="48" t="s">
        <v>321</v>
      </c>
      <c r="E929" s="48" t="s">
        <v>82</v>
      </c>
      <c r="F929" s="112">
        <f ca="1" t="shared" ref="F929:Q929" si="849">IFERROR(F922/F920," ")</f>
        <v>0.629377150104832</v>
      </c>
      <c r="G929" s="112">
        <f ca="1" t="shared" si="849"/>
        <v>0.629377150104832</v>
      </c>
      <c r="H929" s="112">
        <f ca="1" t="shared" si="849"/>
        <v>0.53552280352338</v>
      </c>
      <c r="I929" s="112">
        <f ca="1" t="shared" si="849"/>
        <v>0.125829110322234</v>
      </c>
      <c r="J929" s="112">
        <f ca="1" t="shared" si="849"/>
        <v>0.148461325597083</v>
      </c>
      <c r="K929" s="112">
        <f ca="1" t="shared" si="849"/>
        <v>0.10955192117719</v>
      </c>
      <c r="L929" s="112">
        <f ca="1" t="shared" si="849"/>
        <v>0.122005909898547</v>
      </c>
      <c r="M929" s="112">
        <f ca="1" t="shared" si="849"/>
        <v>0.138386387323272</v>
      </c>
      <c r="N929" s="112">
        <f ca="1" t="shared" si="849"/>
        <v>0.12855102258626</v>
      </c>
      <c r="O929" s="112">
        <f ca="1" t="shared" si="849"/>
        <v>0.139635244107953</v>
      </c>
      <c r="P929" s="112">
        <f ca="1" t="shared" si="849"/>
        <v>0.138430168349967</v>
      </c>
      <c r="Q929" s="112">
        <f ca="1" t="shared" si="849"/>
        <v>0.129961166678645</v>
      </c>
    </row>
    <row r="930" ht="24" customHeight="1" spans="1:17">
      <c r="A930" s="99" t="s">
        <v>346</v>
      </c>
      <c r="B930" s="99" t="s">
        <v>299</v>
      </c>
      <c r="C930" s="99" t="s">
        <v>344</v>
      </c>
      <c r="D930" s="48" t="s">
        <v>321</v>
      </c>
      <c r="E930" s="48" t="s">
        <v>86</v>
      </c>
      <c r="F930" s="112">
        <f ca="1" t="shared" ref="F930:Q930" si="850">IFERROR(F923/F920," ")</f>
        <v>0.0796891345314107</v>
      </c>
      <c r="G930" s="112">
        <f ca="1" t="shared" si="850"/>
        <v>0.0796891345314107</v>
      </c>
      <c r="H930" s="112">
        <f ca="1" t="shared" si="850"/>
        <v>0.216928268357572</v>
      </c>
      <c r="I930" s="112">
        <f ca="1" t="shared" si="850"/>
        <v>0.0509705484651401</v>
      </c>
      <c r="J930" s="112">
        <f ca="1" t="shared" si="850"/>
        <v>0.048326289954516</v>
      </c>
      <c r="K930" s="112">
        <f ca="1" t="shared" si="850"/>
        <v>0.0324250735648112</v>
      </c>
      <c r="L930" s="112">
        <f ca="1" t="shared" si="850"/>
        <v>0.0306939940415201</v>
      </c>
      <c r="M930" s="112">
        <f ca="1" t="shared" si="850"/>
        <v>0.0541623023108387</v>
      </c>
      <c r="N930" s="112">
        <f ca="1" t="shared" si="850"/>
        <v>0.0642718538370943</v>
      </c>
      <c r="O930" s="112">
        <f ca="1" t="shared" si="850"/>
        <v>0.0834183439194165</v>
      </c>
      <c r="P930" s="112">
        <f ca="1" t="shared" si="850"/>
        <v>0.082698429511913</v>
      </c>
      <c r="Q930" s="112">
        <f ca="1" t="shared" si="850"/>
        <v>0.123474502463663</v>
      </c>
    </row>
    <row r="931" ht="24" customHeight="1" spans="1:17">
      <c r="A931" s="99" t="s">
        <v>346</v>
      </c>
      <c r="B931" s="99" t="s">
        <v>299</v>
      </c>
      <c r="C931" s="99" t="s">
        <v>344</v>
      </c>
      <c r="D931" s="48" t="s">
        <v>321</v>
      </c>
      <c r="E931" s="48" t="s">
        <v>97</v>
      </c>
      <c r="F931" s="112">
        <f ca="1" t="shared" ref="F931:Q931" si="851">IFERROR(F924/F920," ")</f>
        <v>0</v>
      </c>
      <c r="G931" s="112">
        <f ca="1" t="shared" si="851"/>
        <v>0</v>
      </c>
      <c r="H931" s="112">
        <f ca="1" t="shared" si="851"/>
        <v>0</v>
      </c>
      <c r="I931" s="112">
        <f ca="1" t="shared" si="851"/>
        <v>0.432962317278518</v>
      </c>
      <c r="J931" s="112">
        <f ca="1" t="shared" si="851"/>
        <v>0.410501026852612</v>
      </c>
      <c r="K931" s="112">
        <f ca="1" t="shared" si="851"/>
        <v>0.594528855970621</v>
      </c>
      <c r="L931" s="112">
        <f ca="1" t="shared" si="851"/>
        <v>0.576870468557764</v>
      </c>
      <c r="M931" s="112">
        <f ca="1" t="shared" si="851"/>
        <v>0.526249715236594</v>
      </c>
      <c r="N931" s="112">
        <f ca="1" t="shared" si="851"/>
        <v>0.488848219379852</v>
      </c>
      <c r="O931" s="112">
        <f ca="1" t="shared" si="851"/>
        <v>0.466394573849691</v>
      </c>
      <c r="P931" s="112">
        <f ca="1" t="shared" si="851"/>
        <v>0.462369509846741</v>
      </c>
      <c r="Q931" s="112">
        <f ca="1" t="shared" si="851"/>
        <v>0.439367713937583</v>
      </c>
    </row>
    <row r="932" ht="24" customHeight="1" spans="1:17">
      <c r="A932" s="99" t="s">
        <v>346</v>
      </c>
      <c r="B932" s="99" t="s">
        <v>299</v>
      </c>
      <c r="C932" s="99" t="s">
        <v>344</v>
      </c>
      <c r="D932" s="48" t="s">
        <v>321</v>
      </c>
      <c r="E932" s="48" t="s">
        <v>87</v>
      </c>
      <c r="F932" s="112">
        <f ca="1" t="shared" ref="F932:Q932" si="852">IFERROR(F925/F920," ")</f>
        <v>0.0879377295047577</v>
      </c>
      <c r="G932" s="112">
        <f ca="1" t="shared" si="852"/>
        <v>0.0879377295047577</v>
      </c>
      <c r="H932" s="112">
        <f ca="1" t="shared" si="852"/>
        <v>0.0748242280992002</v>
      </c>
      <c r="I932" s="112">
        <f ca="1" t="shared" si="852"/>
        <v>0.0657002762055775</v>
      </c>
      <c r="J932" s="112">
        <f ca="1" t="shared" si="852"/>
        <v>0.0622918664525263</v>
      </c>
      <c r="K932" s="112">
        <f ca="1" t="shared" si="852"/>
        <v>0.0417954358613827</v>
      </c>
      <c r="L932" s="112">
        <f ca="1" t="shared" si="852"/>
        <v>0.0395641001932599</v>
      </c>
      <c r="M932" s="112">
        <f ca="1" t="shared" si="852"/>
        <v>0.0360923250454279</v>
      </c>
      <c r="N932" s="112">
        <f ca="1" t="shared" si="852"/>
        <v>0.0566036571445111</v>
      </c>
      <c r="O932" s="112">
        <f ca="1" t="shared" si="852"/>
        <v>0.054003753119401</v>
      </c>
      <c r="P932" s="112">
        <f ca="1" t="shared" si="852"/>
        <v>0.0535376916021947</v>
      </c>
      <c r="Q932" s="112">
        <f ca="1" t="shared" si="852"/>
        <v>0.0530839536297176</v>
      </c>
    </row>
    <row r="933" ht="24" customHeight="1" spans="1:17">
      <c r="A933" s="99" t="s">
        <v>346</v>
      </c>
      <c r="B933" s="99" t="s">
        <v>299</v>
      </c>
      <c r="C933" s="99" t="s">
        <v>344</v>
      </c>
      <c r="D933" s="48" t="s">
        <v>321</v>
      </c>
      <c r="E933" s="48" t="s">
        <v>149</v>
      </c>
      <c r="F933" s="112">
        <f ca="1" t="shared" ref="F933:Q933" si="853">IFERROR(F926/F920," ")</f>
        <v>0</v>
      </c>
      <c r="G933" s="112">
        <f ca="1" t="shared" si="853"/>
        <v>0</v>
      </c>
      <c r="H933" s="112">
        <f ca="1" t="shared" si="853"/>
        <v>0</v>
      </c>
      <c r="I933" s="112">
        <f ca="1" t="shared" si="853"/>
        <v>0</v>
      </c>
      <c r="J933" s="112">
        <f ca="1" t="shared" si="853"/>
        <v>0</v>
      </c>
      <c r="K933" s="112">
        <f ca="1" t="shared" si="853"/>
        <v>0</v>
      </c>
      <c r="L933" s="112">
        <f ca="1" t="shared" si="853"/>
        <v>0</v>
      </c>
      <c r="M933" s="112">
        <f ca="1" t="shared" si="853"/>
        <v>0</v>
      </c>
      <c r="N933" s="112">
        <f ca="1" t="shared" si="853"/>
        <v>0</v>
      </c>
      <c r="O933" s="112">
        <f ca="1" t="shared" si="853"/>
        <v>0</v>
      </c>
      <c r="P933" s="112">
        <f ca="1" t="shared" si="853"/>
        <v>0</v>
      </c>
      <c r="Q933" s="112">
        <f ca="1" t="shared" si="853"/>
        <v>0</v>
      </c>
    </row>
    <row r="934" ht="24" customHeight="1" spans="1:17">
      <c r="A934" s="99" t="s">
        <v>346</v>
      </c>
      <c r="B934" s="99" t="s">
        <v>299</v>
      </c>
      <c r="C934" s="99" t="s">
        <v>344</v>
      </c>
      <c r="D934" s="48" t="s">
        <v>321</v>
      </c>
      <c r="E934" s="48" t="s">
        <v>83</v>
      </c>
      <c r="F934" s="112">
        <f ca="1" t="shared" ref="F934:Q934" si="854">IFERROR(F927/F920," ")</f>
        <v>0</v>
      </c>
      <c r="G934" s="112">
        <f ca="1" t="shared" si="854"/>
        <v>0</v>
      </c>
      <c r="H934" s="112">
        <f ca="1" t="shared" si="854"/>
        <v>0</v>
      </c>
      <c r="I934" s="112">
        <f ca="1" t="shared" si="854"/>
        <v>0.102724967949497</v>
      </c>
      <c r="J934" s="112">
        <f ca="1" t="shared" si="854"/>
        <v>0.120113951297052</v>
      </c>
      <c r="K934" s="112">
        <f ca="1" t="shared" si="854"/>
        <v>0.0805918209453425</v>
      </c>
      <c r="L934" s="112">
        <f ca="1" t="shared" si="854"/>
        <v>0.0762892601291158</v>
      </c>
      <c r="M934" s="112">
        <f ca="1" t="shared" si="854"/>
        <v>0.0695948286604613</v>
      </c>
      <c r="N934" s="112">
        <f ca="1" t="shared" si="854"/>
        <v>0.0646486013838828</v>
      </c>
      <c r="O934" s="112">
        <f ca="1" t="shared" si="854"/>
        <v>0.0616791791338931</v>
      </c>
      <c r="P934" s="112">
        <f ca="1" t="shared" si="854"/>
        <v>0.0611468773928712</v>
      </c>
      <c r="Q934" s="112">
        <f ca="1" t="shared" si="854"/>
        <v>0.0574059803542489</v>
      </c>
    </row>
    <row r="935" ht="24" customHeight="1" spans="1:17">
      <c r="A935" s="99" t="s">
        <v>346</v>
      </c>
      <c r="B935" s="99" t="s">
        <v>299</v>
      </c>
      <c r="C935" s="99" t="s">
        <v>344</v>
      </c>
      <c r="D935" s="47" t="s">
        <v>294</v>
      </c>
      <c r="E935" s="47" t="s">
        <v>93</v>
      </c>
      <c r="F935" s="64">
        <f ca="1" t="shared" ref="F935:F939" si="855">IF($S$1&lt;DATE(2025,1,1)," ",F871)</f>
        <v>0.822351</v>
      </c>
      <c r="G935" s="64">
        <f ca="1" t="shared" ref="G935:G939" si="856">IF($S$1&lt;DATE(2025,2,1)," ",G871+F935)</f>
        <v>0.822351</v>
      </c>
      <c r="H935" s="64">
        <f ca="1" t="shared" ref="H935:H939" si="857">IF($S$1&lt;DATE(2025,3,1)," ",H871+G935)</f>
        <v>0.822351</v>
      </c>
      <c r="I935" s="64">
        <f ca="1" t="shared" ref="I935:I939" si="858">IF($S$1&lt;DATE(2025,4,1)," ",I871+H935)</f>
        <v>17.132031</v>
      </c>
      <c r="J935" s="64">
        <f ca="1" t="shared" ref="J935:J939" si="859">IF($S$1&lt;DATE(2025,5,1)," ",J871+I935)</f>
        <v>17.601615</v>
      </c>
      <c r="K935" s="64">
        <f ca="1" t="shared" ref="K935:K939" si="860">IF($S$1&lt;DATE(2025,6,1)," ",K871+J935)</f>
        <v>22.076481</v>
      </c>
      <c r="L935" s="64">
        <f ca="1" t="shared" ref="L935:L939" si="861">IF($S$1&lt;DATE(2025,7,1)," ",L871+K935)</f>
        <v>24.022525</v>
      </c>
      <c r="M935" s="64">
        <f ca="1" t="shared" ref="M935:M939" si="862">IF($S$1&lt;DATE(2025,8,1)," ",M871+L935)</f>
        <v>25.627175</v>
      </c>
      <c r="N935" s="64">
        <f ca="1" t="shared" ref="N935:N939" si="863">IF($S$1&lt;DATE(2025,9,1)," ",N871+M935)</f>
        <v>28.52384</v>
      </c>
      <c r="O935" s="64">
        <f ca="1" t="shared" ref="O935:O939" si="864">IF($S$1&lt;DATE(2025,10,1)," ",O871+N935)</f>
        <v>29.272369</v>
      </c>
      <c r="P935" s="64">
        <f ca="1" t="shared" ref="P935:P939" si="865">IF($S$1&lt;DATE(2025,11,1)," ",P871+O935)</f>
        <v>29.472484</v>
      </c>
      <c r="Q935" s="64">
        <f ca="1" t="shared" ref="Q935:Q939" si="866">IF($S$1&lt;DATE(2025,12,1)," ",Q871+P935)</f>
        <v>29.885802</v>
      </c>
    </row>
    <row r="936" ht="24" customHeight="1" spans="1:17">
      <c r="A936" s="99" t="s">
        <v>346</v>
      </c>
      <c r="B936" s="99" t="s">
        <v>299</v>
      </c>
      <c r="C936" s="99" t="s">
        <v>344</v>
      </c>
      <c r="D936" s="47" t="s">
        <v>294</v>
      </c>
      <c r="E936" s="47" t="s">
        <v>85</v>
      </c>
      <c r="F936" s="64">
        <f ca="1" t="shared" si="855"/>
        <v>4.352106</v>
      </c>
      <c r="G936" s="64">
        <f ca="1" t="shared" si="856"/>
        <v>4.352106</v>
      </c>
      <c r="H936" s="64">
        <f ca="1" t="shared" si="857"/>
        <v>4.352106</v>
      </c>
      <c r="I936" s="64">
        <f ca="1" t="shared" si="858"/>
        <v>7.542922</v>
      </c>
      <c r="J936" s="64">
        <f ca="1" t="shared" si="859"/>
        <v>7.869347</v>
      </c>
      <c r="K936" s="64">
        <f ca="1" t="shared" si="860"/>
        <v>7.869347</v>
      </c>
      <c r="L936" s="64">
        <f ca="1" t="shared" si="861"/>
        <v>7.869347</v>
      </c>
      <c r="M936" s="64">
        <f ca="1" t="shared" si="862"/>
        <v>9.671672</v>
      </c>
      <c r="N936" s="64">
        <f ca="1" t="shared" si="863"/>
        <v>10.146106</v>
      </c>
      <c r="O936" s="64">
        <f ca="1" t="shared" si="864"/>
        <v>10.509951</v>
      </c>
      <c r="P936" s="64">
        <f ca="1" t="shared" si="865"/>
        <v>10.77261</v>
      </c>
      <c r="Q936" s="64">
        <f ca="1" t="shared" si="866"/>
        <v>13.551767</v>
      </c>
    </row>
    <row r="937" ht="24" customHeight="1" spans="1:17">
      <c r="A937" s="99" t="s">
        <v>346</v>
      </c>
      <c r="B937" s="99" t="s">
        <v>299</v>
      </c>
      <c r="C937" s="99" t="s">
        <v>344</v>
      </c>
      <c r="D937" s="47" t="s">
        <v>294</v>
      </c>
      <c r="E937" s="47" t="s">
        <v>81</v>
      </c>
      <c r="F937" s="64">
        <f ca="1" t="shared" si="855"/>
        <v>0</v>
      </c>
      <c r="G937" s="64">
        <f ca="1" t="shared" si="856"/>
        <v>0</v>
      </c>
      <c r="H937" s="64">
        <f ca="1" t="shared" si="857"/>
        <v>0.906862</v>
      </c>
      <c r="I937" s="64">
        <f ca="1" t="shared" si="858"/>
        <v>0.906862</v>
      </c>
      <c r="J937" s="64">
        <f ca="1" t="shared" si="859"/>
        <v>0.906862</v>
      </c>
      <c r="K937" s="64">
        <f ca="1" t="shared" si="860"/>
        <v>1.311274</v>
      </c>
      <c r="L937" s="64">
        <f ca="1" t="shared" si="861"/>
        <v>1.659775</v>
      </c>
      <c r="M937" s="64">
        <f ca="1" t="shared" si="862"/>
        <v>2.387055</v>
      </c>
      <c r="N937" s="64">
        <f ca="1" t="shared" si="863"/>
        <v>2.620596</v>
      </c>
      <c r="O937" s="64">
        <f ca="1" t="shared" si="864"/>
        <v>3.949955</v>
      </c>
      <c r="P937" s="64">
        <f ca="1" t="shared" si="865"/>
        <v>3.949955</v>
      </c>
      <c r="Q937" s="64">
        <f ca="1" t="shared" si="866"/>
        <v>4.251845</v>
      </c>
    </row>
    <row r="938" ht="24" customHeight="1" spans="1:17">
      <c r="A938" s="99" t="s">
        <v>346</v>
      </c>
      <c r="B938" s="99" t="s">
        <v>299</v>
      </c>
      <c r="C938" s="99" t="s">
        <v>344</v>
      </c>
      <c r="D938" s="47" t="s">
        <v>294</v>
      </c>
      <c r="E938" s="47" t="s">
        <v>96</v>
      </c>
      <c r="F938" s="64">
        <f ca="1" t="shared" si="855"/>
        <v>0</v>
      </c>
      <c r="G938" s="64">
        <f ca="1" t="shared" si="856"/>
        <v>0</v>
      </c>
      <c r="H938" s="64">
        <f ca="1" t="shared" si="857"/>
        <v>0</v>
      </c>
      <c r="I938" s="64">
        <f ca="1" t="shared" si="858"/>
        <v>0.299994</v>
      </c>
      <c r="J938" s="64">
        <f ca="1" t="shared" si="859"/>
        <v>0.299994</v>
      </c>
      <c r="K938" s="64">
        <f ca="1" t="shared" si="860"/>
        <v>8.807611</v>
      </c>
      <c r="L938" s="64">
        <f ca="1" t="shared" si="861"/>
        <v>8.807611</v>
      </c>
      <c r="M938" s="64">
        <f ca="1" t="shared" si="862"/>
        <v>8.807611</v>
      </c>
      <c r="N938" s="64">
        <f ca="1" t="shared" si="863"/>
        <v>8.807611</v>
      </c>
      <c r="O938" s="64">
        <f ca="1" t="shared" si="864"/>
        <v>8.807611</v>
      </c>
      <c r="P938" s="64">
        <f ca="1" t="shared" si="865"/>
        <v>8.807611</v>
      </c>
      <c r="Q938" s="64">
        <f ca="1" t="shared" si="866"/>
        <v>8.807611</v>
      </c>
    </row>
    <row r="939" ht="24" customHeight="1" spans="1:17">
      <c r="A939" s="99" t="s">
        <v>346</v>
      </c>
      <c r="B939" s="99" t="s">
        <v>299</v>
      </c>
      <c r="C939" s="99" t="s">
        <v>344</v>
      </c>
      <c r="D939" s="47" t="s">
        <v>294</v>
      </c>
      <c r="E939" s="47" t="s">
        <v>160</v>
      </c>
      <c r="F939" s="64">
        <f ca="1" t="shared" si="855"/>
        <v>0</v>
      </c>
      <c r="G939" s="64">
        <f ca="1" t="shared" si="856"/>
        <v>0</v>
      </c>
      <c r="H939" s="64">
        <f ca="1" t="shared" si="857"/>
        <v>0</v>
      </c>
      <c r="I939" s="64">
        <f ca="1" t="shared" si="858"/>
        <v>0</v>
      </c>
      <c r="J939" s="64">
        <f ca="1" t="shared" si="859"/>
        <v>0.62016</v>
      </c>
      <c r="K939" s="64">
        <f ca="1" t="shared" si="860"/>
        <v>0.62016</v>
      </c>
      <c r="L939" s="64">
        <f ca="1" t="shared" si="861"/>
        <v>0.62016</v>
      </c>
      <c r="M939" s="64">
        <f ca="1" t="shared" si="862"/>
        <v>0.62016</v>
      </c>
      <c r="N939" s="64">
        <f ca="1" t="shared" si="863"/>
        <v>0.62016</v>
      </c>
      <c r="O939" s="64">
        <f ca="1" t="shared" si="864"/>
        <v>0.62016</v>
      </c>
      <c r="P939" s="64">
        <f ca="1" t="shared" si="865"/>
        <v>0.62016</v>
      </c>
      <c r="Q939" s="64">
        <f ca="1" t="shared" si="866"/>
        <v>0.62016</v>
      </c>
    </row>
    <row r="940" ht="24" customHeight="1" spans="1:17">
      <c r="A940" s="99" t="s">
        <v>346</v>
      </c>
      <c r="B940" s="99" t="s">
        <v>299</v>
      </c>
      <c r="C940" s="99" t="s">
        <v>344</v>
      </c>
      <c r="D940" s="47" t="s">
        <v>321</v>
      </c>
      <c r="E940" s="47" t="s">
        <v>93</v>
      </c>
      <c r="F940" s="126">
        <f ca="1" t="shared" ref="F940:Q940" si="867">IFERROR(F935/F920," ")</f>
        <v>0.15892508141434</v>
      </c>
      <c r="G940" s="126">
        <f ca="1" t="shared" si="867"/>
        <v>0.15892508141434</v>
      </c>
      <c r="H940" s="126">
        <f ca="1" t="shared" si="867"/>
        <v>0.135225762700493</v>
      </c>
      <c r="I940" s="126">
        <f ca="1" t="shared" si="867"/>
        <v>0.661933290675316</v>
      </c>
      <c r="J940" s="126">
        <f ca="1" t="shared" si="867"/>
        <v>0.644795559583204</v>
      </c>
      <c r="K940" s="126">
        <f ca="1" t="shared" si="867"/>
        <v>0.542621357082766</v>
      </c>
      <c r="L940" s="126">
        <f ca="1" t="shared" si="867"/>
        <v>0.558930905020631</v>
      </c>
      <c r="M940" s="126">
        <f ca="1" t="shared" si="867"/>
        <v>0.543943474753072</v>
      </c>
      <c r="N940" s="126">
        <f ca="1" t="shared" si="867"/>
        <v>0.562397254814055</v>
      </c>
      <c r="O940" s="126">
        <f ca="1" t="shared" si="867"/>
        <v>0.550646043459029</v>
      </c>
      <c r="P940" s="126">
        <f ca="1" t="shared" si="867"/>
        <v>0.549625774996541</v>
      </c>
      <c r="Q940" s="126">
        <f ca="1" t="shared" si="867"/>
        <v>0.523236605585517</v>
      </c>
    </row>
    <row r="941" ht="24" customHeight="1" spans="1:17">
      <c r="A941" s="99" t="s">
        <v>346</v>
      </c>
      <c r="B941" s="99" t="s">
        <v>299</v>
      </c>
      <c r="C941" s="99" t="s">
        <v>344</v>
      </c>
      <c r="D941" s="47" t="s">
        <v>321</v>
      </c>
      <c r="E941" s="47" t="s">
        <v>85</v>
      </c>
      <c r="F941" s="126">
        <f ca="1" t="shared" ref="F941:Q941" si="868">IFERROR(F936/F920," ")</f>
        <v>0.84107491858566</v>
      </c>
      <c r="G941" s="126">
        <f ca="1" t="shared" si="868"/>
        <v>0.84107491858566</v>
      </c>
      <c r="H941" s="126">
        <f ca="1" t="shared" si="868"/>
        <v>0.71565165385996</v>
      </c>
      <c r="I941" s="126">
        <f ca="1" t="shared" si="868"/>
        <v>0.291437202090472</v>
      </c>
      <c r="J941" s="126">
        <f ca="1" t="shared" si="868"/>
        <v>0.288275820282367</v>
      </c>
      <c r="K941" s="126">
        <f ca="1" t="shared" si="868"/>
        <v>0.193421938419225</v>
      </c>
      <c r="L941" s="126">
        <f ca="1" t="shared" si="868"/>
        <v>0.183095708741333</v>
      </c>
      <c r="M941" s="126">
        <f ca="1" t="shared" si="868"/>
        <v>0.205283761255464</v>
      </c>
      <c r="N941" s="126">
        <f ca="1" t="shared" si="868"/>
        <v>0.200048175892601</v>
      </c>
      <c r="O941" s="126">
        <f ca="1" t="shared" si="868"/>
        <v>0.197703948563175</v>
      </c>
      <c r="P941" s="126">
        <f ca="1" t="shared" si="868"/>
        <v>0.200895999128729</v>
      </c>
      <c r="Q941" s="126">
        <f ca="1" t="shared" si="868"/>
        <v>0.237262515650938</v>
      </c>
    </row>
    <row r="942" ht="24" customHeight="1" spans="1:17">
      <c r="A942" s="99" t="s">
        <v>346</v>
      </c>
      <c r="B942" s="99" t="s">
        <v>299</v>
      </c>
      <c r="C942" s="99" t="s">
        <v>344</v>
      </c>
      <c r="D942" s="47" t="s">
        <v>321</v>
      </c>
      <c r="E942" s="47" t="s">
        <v>81</v>
      </c>
      <c r="F942" s="126">
        <f ca="1" t="shared" ref="F942:Q942" si="869">IFERROR(F937/F920," ")</f>
        <v>0</v>
      </c>
      <c r="G942" s="126">
        <f ca="1" t="shared" si="869"/>
        <v>0</v>
      </c>
      <c r="H942" s="126">
        <f ca="1" t="shared" si="869"/>
        <v>0.149122583439547</v>
      </c>
      <c r="I942" s="126">
        <f ca="1" t="shared" si="869"/>
        <v>0.0350385863677458</v>
      </c>
      <c r="J942" s="126">
        <f ca="1" t="shared" si="869"/>
        <v>0.033220848811586</v>
      </c>
      <c r="K942" s="126">
        <f ca="1" t="shared" si="869"/>
        <v>0.0322300133516455</v>
      </c>
      <c r="L942" s="126">
        <f ca="1" t="shared" si="869"/>
        <v>0.0386179031088788</v>
      </c>
      <c r="M942" s="126">
        <f ca="1" t="shared" si="869"/>
        <v>0.0506658650876148</v>
      </c>
      <c r="N942" s="126">
        <f ca="1" t="shared" si="869"/>
        <v>0.051669620793578</v>
      </c>
      <c r="O942" s="126">
        <f ca="1" t="shared" si="869"/>
        <v>0.0743030771643802</v>
      </c>
      <c r="P942" s="126">
        <f ca="1" t="shared" si="869"/>
        <v>0.0736618290496471</v>
      </c>
      <c r="Q942" s="126">
        <f ca="1" t="shared" si="869"/>
        <v>0.0744407309288789</v>
      </c>
    </row>
    <row r="943" ht="24" customHeight="1" spans="1:17">
      <c r="A943" s="99" t="s">
        <v>346</v>
      </c>
      <c r="B943" s="99" t="s">
        <v>299</v>
      </c>
      <c r="C943" s="99" t="s">
        <v>344</v>
      </c>
      <c r="D943" s="47" t="s">
        <v>321</v>
      </c>
      <c r="E943" s="47" t="s">
        <v>96</v>
      </c>
      <c r="F943" s="126">
        <f ca="1" t="shared" ref="F943:Q943" si="870">IFERROR(F938/F920," ")</f>
        <v>0</v>
      </c>
      <c r="G943" s="126">
        <f ca="1" t="shared" si="870"/>
        <v>0</v>
      </c>
      <c r="H943" s="126">
        <f ca="1" t="shared" si="870"/>
        <v>0</v>
      </c>
      <c r="I943" s="126">
        <f ca="1" t="shared" si="870"/>
        <v>0.0115909208664665</v>
      </c>
      <c r="J943" s="126">
        <f ca="1" t="shared" si="870"/>
        <v>0.0109896051641627</v>
      </c>
      <c r="K943" s="126">
        <f ca="1" t="shared" si="870"/>
        <v>0.216483679327203</v>
      </c>
      <c r="L943" s="126">
        <f ca="1" t="shared" si="870"/>
        <v>0.204926250979015</v>
      </c>
      <c r="M943" s="126">
        <f ca="1" t="shared" si="870"/>
        <v>0.1869438411223</v>
      </c>
      <c r="N943" s="126">
        <f ca="1" t="shared" si="870"/>
        <v>0.173657412461649</v>
      </c>
      <c r="O943" s="126">
        <f ca="1" t="shared" si="870"/>
        <v>0.165681026686847</v>
      </c>
      <c r="P943" s="126">
        <f ca="1" t="shared" si="870"/>
        <v>0.164251171422913</v>
      </c>
      <c r="Q943" s="126">
        <f ca="1" t="shared" si="870"/>
        <v>0.154202469887128</v>
      </c>
    </row>
    <row r="944" ht="24" customHeight="1" spans="1:17">
      <c r="A944" s="99" t="s">
        <v>346</v>
      </c>
      <c r="B944" s="99" t="s">
        <v>299</v>
      </c>
      <c r="C944" s="99" t="s">
        <v>344</v>
      </c>
      <c r="D944" s="47" t="s">
        <v>321</v>
      </c>
      <c r="E944" s="47" t="s">
        <v>160</v>
      </c>
      <c r="F944" s="126">
        <f ca="1" t="shared" ref="F944:Q944" si="871">IFERROR(F939/F920," ")</f>
        <v>0</v>
      </c>
      <c r="G944" s="126">
        <f ca="1" t="shared" si="871"/>
        <v>0</v>
      </c>
      <c r="H944" s="126">
        <f ca="1" t="shared" si="871"/>
        <v>0</v>
      </c>
      <c r="I944" s="126">
        <f ca="1" t="shared" si="871"/>
        <v>0</v>
      </c>
      <c r="J944" s="126">
        <f ca="1" t="shared" si="871"/>
        <v>0.0227181661586803</v>
      </c>
      <c r="K944" s="126">
        <f ca="1" t="shared" si="871"/>
        <v>0.0152430118191594</v>
      </c>
      <c r="L944" s="126">
        <f ca="1" t="shared" si="871"/>
        <v>0.0144292321501422</v>
      </c>
      <c r="M944" s="126">
        <f ca="1" t="shared" si="871"/>
        <v>0.0131630577815489</v>
      </c>
      <c r="N944" s="126">
        <f ca="1" t="shared" si="871"/>
        <v>0.012227536038117</v>
      </c>
      <c r="O944" s="126">
        <f ca="1" t="shared" si="871"/>
        <v>0.011665904126569</v>
      </c>
      <c r="P944" s="126">
        <f ca="1" t="shared" si="871"/>
        <v>0.0115652254021702</v>
      </c>
      <c r="Q944" s="126">
        <f ca="1" t="shared" si="871"/>
        <v>0.0108576779475389</v>
      </c>
    </row>
    <row r="945" ht="24" customHeight="1" spans="1:17">
      <c r="A945" s="99" t="s">
        <v>346</v>
      </c>
      <c r="B945" s="99" t="s">
        <v>299</v>
      </c>
      <c r="C945" s="99" t="s">
        <v>343</v>
      </c>
      <c r="D945" s="114" t="s">
        <v>292</v>
      </c>
      <c r="E945" s="53" t="s">
        <v>326</v>
      </c>
      <c r="F945" s="219">
        <f ca="1">IF($S$1&lt;DATE(2025,1,1)," ",IF((F876-F947-F948-F949-F950-F951)&lt;&gt;0,"ERR",F876))</f>
        <v>0.320264</v>
      </c>
      <c r="G945" s="219">
        <f ca="1">IF($S$1&lt;DATE(2025,2,1)," ",IF((G876+F945-G947-G948-G949-G950-G951)&lt;&gt;0,"ERR",G876+F945))</f>
        <v>0.320264</v>
      </c>
      <c r="H945" s="219">
        <f ca="1">IF($S$1&lt;DATE(2025,3,1)," ",IF((H876+G945-H947-H948-H949-H950-H951)&lt;&gt;0,"ERR",H876+G945))</f>
        <v>0.320264</v>
      </c>
      <c r="I945" s="219">
        <f ca="1">IF($S$1&lt;DATE(2025,4,1)," ",IF((I876+H945-(I947+I948+I949+I950+I951))&lt;&gt;0,"ERR",I876+H945))</f>
        <v>0.403789</v>
      </c>
      <c r="J945" s="219">
        <f ca="1">IF($S$1&lt;DATE(2025,5,1)," ",IF((J876+I945)&lt;&gt;(J947+J948+J949+J950+J951),"ERR",J876+I945))</f>
        <v>0.496735</v>
      </c>
      <c r="K945" s="219">
        <f ca="1">IF($S$1&lt;DATE(2025,6,1)," ",IF((K876+J945-(K947+K948+K949+K950+K951))&lt;&gt;0,"ERR",K876+J945))</f>
        <v>0.671238000000001</v>
      </c>
      <c r="L945" s="219">
        <f ca="1">IF($S$1&lt;DATE(2025,7,1)," ",IF((L876+K945-(L947+L948+L949+L950+L951))&lt;&gt;0,"ERR",L876+K945))</f>
        <v>0.736259000000001</v>
      </c>
      <c r="M945" s="219">
        <f ca="1">IF($S$1&lt;DATE(2025,8,1)," ",IF((M876+L945-(M947+M948+M949+M950+M951))&lt;&gt;0,"ERR",M876+L945))</f>
        <v>0.851887000000001</v>
      </c>
      <c r="N945" s="219">
        <f ca="1">IF($S$1&lt;DATE(2025,9,1)," ",IF((N876+M945)&lt;&gt;(N947+N948+N949+N950+N951),"ERR",N876+M945))</f>
        <v>0.962005000000001</v>
      </c>
      <c r="O945" s="219">
        <f ca="1">IF($S$1&lt;DATE(2025,10,1)," ",IF((O876+N945)&lt;&gt;SUM(O947:O951),"ERR",O876+N945))</f>
        <v>1.019943</v>
      </c>
      <c r="P945" s="219">
        <f ca="1">IF($S$1&lt;DATE(2025,11,1)," ",IF((P876+O945)&lt;&gt;SUM(P947:P951),"ERR",P876+O945))</f>
        <v>1.026208</v>
      </c>
      <c r="Q945" s="219">
        <f ca="1">IF($S$1&lt;DATE(2025,12,1)," ",IF((Q876+P945)&lt;&gt;SUM(Q947:Q951),"ERR",Q876+P945))</f>
        <v>1.063964</v>
      </c>
    </row>
    <row r="946" ht="24" customHeight="1" spans="1:19">
      <c r="A946" s="99" t="s">
        <v>346</v>
      </c>
      <c r="B946" s="99" t="s">
        <v>299</v>
      </c>
      <c r="C946" s="99" t="s">
        <v>343</v>
      </c>
      <c r="D946" s="114" t="s">
        <v>292</v>
      </c>
      <c r="E946" s="108" t="s">
        <v>327</v>
      </c>
      <c r="F946" s="219">
        <f ca="1">IF($S$1&lt;DATE(2025,1,1)," ",IF((F877&lt;&gt;SUM(F952:F956)),"ERR",F877))</f>
        <v>0.0224000000000001</v>
      </c>
      <c r="G946" s="219">
        <f ca="1">IF($S$1&lt;DATE(2025,2,1)," ",IF((G877+F946)&lt;&gt;SUM(G952:G956),"ERR",G877+F946))</f>
        <v>0.0224000000000001</v>
      </c>
      <c r="H946" s="219">
        <f ca="1">IF($S$1&lt;DATE(2025,3,1)," ",IF((H877+G946)&lt;&gt;SUM(H952:H956),"ERR",H877+G946))</f>
        <v>0.049894</v>
      </c>
      <c r="I946" s="219">
        <f ca="1">IF($S$1&lt;DATE(2025,4,1)," ",IF((I877+H946)&lt;&gt;SUM(I952:I956),"ERR",I877+H946))</f>
        <v>0.373647</v>
      </c>
      <c r="J946" s="219">
        <f ca="1">IF($S$1&lt;DATE(2025,5,1)," ",IF((J877+I946)&lt;&gt;SUM(J952:J956),"ERR",J877+I946))</f>
        <v>0.373647</v>
      </c>
      <c r="K946" s="219">
        <f ca="1">IF($S$1&lt;DATE(2025,6,1)," ",IF((K877+J946)&lt;&gt;SUM(K952:K956),"ERR",K877+J946))</f>
        <v>0.373647</v>
      </c>
      <c r="L946" s="219">
        <f ca="1">IF($S$1&lt;DATE(2025,7,1)," ",IF((L877+K946)&lt;&gt;SUM(L952:L956),"ERR",L877+K946))</f>
        <v>0.407091</v>
      </c>
      <c r="M946" s="219">
        <f ca="1">IF($S$1&lt;DATE(2025,8,1)," ",IF((M877+L946)&lt;&gt;SUM(M952:M956),"ERR",M877+L946))</f>
        <v>0.407732</v>
      </c>
      <c r="N946" s="219">
        <f ca="1">IF($S$1&lt;DATE(2025,9,1)," ",IF((N877+M946)&lt;&gt;SUM(N952:N956),"ERR",N877+M946))</f>
        <v>0.407732</v>
      </c>
      <c r="O946" s="219">
        <f ca="1">IF($S$1&lt;DATE(2025,10,1)," ",IF((O877+N946)&lt;&gt;SUM(O952:O956),"ERR",O877+N946))</f>
        <v>0.413098</v>
      </c>
      <c r="P946" s="219">
        <f ca="1">IF($S$1&lt;DATE(2025,11,1)," ",IF((P877+O946)&lt;&gt;SUM(P952:P956),"ERR",P877+O946))</f>
        <v>0.413296</v>
      </c>
      <c r="Q946" s="219">
        <f ca="1">IF($S$1&lt;DATE(2025,12,1)," ",IF((Q877+P946)&lt;&gt;SUM(Q952:Q956),"ERR",Q877+P946))</f>
        <v>0.417852</v>
      </c>
      <c r="S946" s="228"/>
    </row>
    <row r="947" ht="24" customHeight="1" spans="1:19">
      <c r="A947" s="99" t="s">
        <v>346</v>
      </c>
      <c r="B947" s="99" t="s">
        <v>299</v>
      </c>
      <c r="C947" s="99" t="s">
        <v>343</v>
      </c>
      <c r="D947" s="53" t="s">
        <v>326</v>
      </c>
      <c r="E947" s="53" t="s">
        <v>93</v>
      </c>
      <c r="F947" s="219">
        <f ca="1" t="shared" ref="F947:F956" si="872">IF($S$1&lt;DATE(2025,1,1)," ",F879)</f>
        <v>0.00207</v>
      </c>
      <c r="G947" s="219">
        <f ca="1">IF($S$1&lt;DATE(2025,2,1)," ",G879+'2025整理'!$F947)</f>
        <v>0.00207</v>
      </c>
      <c r="H947" s="219">
        <f ca="1" t="shared" ref="H947:H956" si="873">IF($S$1&lt;DATE(2025,3,1)," ",H879+G947)</f>
        <v>0.00207</v>
      </c>
      <c r="I947" s="219">
        <f ca="1" t="shared" ref="I947:I956" si="874">IF($S$1&lt;DATE(2025,4,1)," ",I879+H947)</f>
        <v>0.0197840000000001</v>
      </c>
      <c r="J947" s="219">
        <f ca="1" t="shared" ref="J947:J956" si="875">IF($S$1&lt;DATE(2025,5,1)," ",J879+I947)</f>
        <v>0.0834420000000001</v>
      </c>
      <c r="K947" s="219">
        <f ca="1" t="shared" ref="K947:K956" si="876">IF($S$1&lt;DATE(2025,6,1)," ",K879+J947)</f>
        <v>0.084995</v>
      </c>
      <c r="L947" s="219">
        <f ca="1" t="shared" ref="L947:L956" si="877">IF($S$1&lt;DATE(2025,7,1)," ",L879+K947)</f>
        <v>0.150016</v>
      </c>
      <c r="M947" s="219">
        <f ca="1" t="shared" ref="M947:M956" si="878">IF($S$1&lt;DATE(2025,8,1)," ",M879+L947)</f>
        <v>0.156316</v>
      </c>
      <c r="N947" s="219">
        <f ca="1" t="shared" ref="N947:N956" si="879">IF($S$1&lt;DATE(2025,9,1)," ",N879+M947)</f>
        <v>0.249995</v>
      </c>
      <c r="O947" s="219">
        <f ca="1" t="shared" ref="O947:O956" si="880">IF($S$1&lt;DATE(2025,10,1)," ",O879+N947)</f>
        <v>0.290972</v>
      </c>
      <c r="P947" s="219">
        <f ca="1" t="shared" ref="P947:P956" si="881">IF($S$1&lt;DATE(2025,11,1)," ",P879+O947)</f>
        <v>0.297237</v>
      </c>
      <c r="Q947" s="219">
        <f ca="1" t="shared" ref="Q947:Q956" si="882">IF($S$1&lt;DATE(2025,12,1)," ",Q879+P947)</f>
        <v>0.305441</v>
      </c>
      <c r="S947" s="228"/>
    </row>
    <row r="948" ht="24" customHeight="1" spans="1:17">
      <c r="A948" s="99" t="s">
        <v>346</v>
      </c>
      <c r="B948" s="99" t="s">
        <v>299</v>
      </c>
      <c r="C948" s="99" t="s">
        <v>343</v>
      </c>
      <c r="D948" s="53" t="s">
        <v>326</v>
      </c>
      <c r="E948" s="53" t="s">
        <v>85</v>
      </c>
      <c r="F948" s="219">
        <f ca="1" t="shared" si="872"/>
        <v>0.318194</v>
      </c>
      <c r="G948" s="219">
        <f ca="1">IF($S$1&lt;DATE(2025,2,1)," ",G880+'2025整理'!$F948)</f>
        <v>0.318194</v>
      </c>
      <c r="H948" s="219">
        <f ca="1" t="shared" si="873"/>
        <v>0.318194</v>
      </c>
      <c r="I948" s="219">
        <f ca="1" t="shared" si="874"/>
        <v>0.384005</v>
      </c>
      <c r="J948" s="219">
        <f ca="1" t="shared" si="875"/>
        <v>0.394379</v>
      </c>
      <c r="K948" s="219">
        <f ca="1" t="shared" si="876"/>
        <v>0.394379</v>
      </c>
      <c r="L948" s="219">
        <f ca="1" t="shared" si="877"/>
        <v>0.394379</v>
      </c>
      <c r="M948" s="219">
        <f ca="1" t="shared" si="878"/>
        <v>0.452248</v>
      </c>
      <c r="N948" s="219">
        <f ca="1" t="shared" si="879"/>
        <v>0.45721</v>
      </c>
      <c r="O948" s="219">
        <f ca="1" t="shared" si="880"/>
        <v>0.465518</v>
      </c>
      <c r="P948" s="219">
        <f ca="1" t="shared" si="881"/>
        <v>0.465518</v>
      </c>
      <c r="Q948" s="219">
        <f ca="1" t="shared" si="882"/>
        <v>0.493941</v>
      </c>
    </row>
    <row r="949" ht="24" customHeight="1" spans="1:17">
      <c r="A949" s="99" t="s">
        <v>346</v>
      </c>
      <c r="B949" s="99" t="s">
        <v>299</v>
      </c>
      <c r="C949" s="99" t="s">
        <v>343</v>
      </c>
      <c r="D949" s="53" t="s">
        <v>326</v>
      </c>
      <c r="E949" s="53" t="s">
        <v>81</v>
      </c>
      <c r="F949" s="219">
        <f ca="1" t="shared" si="872"/>
        <v>0</v>
      </c>
      <c r="G949" s="219">
        <f ca="1">IF($S$1&lt;DATE(2025,2,1)," ",G881+'2025整理'!$F949)</f>
        <v>0</v>
      </c>
      <c r="H949" s="219">
        <f ca="1" t="shared" si="873"/>
        <v>0</v>
      </c>
      <c r="I949" s="219">
        <f ca="1" t="shared" si="874"/>
        <v>0</v>
      </c>
      <c r="J949" s="219">
        <f ca="1" t="shared" si="875"/>
        <v>0</v>
      </c>
      <c r="K949" s="219">
        <f ca="1" t="shared" si="876"/>
        <v>0.00951599999999999</v>
      </c>
      <c r="L949" s="219">
        <f ca="1" t="shared" si="877"/>
        <v>0.00951599999999999</v>
      </c>
      <c r="M949" s="219">
        <f ca="1" t="shared" si="878"/>
        <v>0.060975</v>
      </c>
      <c r="N949" s="219">
        <f ca="1" t="shared" si="879"/>
        <v>0.072452</v>
      </c>
      <c r="O949" s="219">
        <f ca="1" t="shared" si="880"/>
        <v>0.081105</v>
      </c>
      <c r="P949" s="219">
        <f ca="1" t="shared" si="881"/>
        <v>0.081105</v>
      </c>
      <c r="Q949" s="219">
        <f ca="1" t="shared" si="882"/>
        <v>0.082234</v>
      </c>
    </row>
    <row r="950" ht="24" customHeight="1" spans="1:17">
      <c r="A950" s="99" t="s">
        <v>346</v>
      </c>
      <c r="B950" s="99" t="s">
        <v>299</v>
      </c>
      <c r="C950" s="99" t="s">
        <v>343</v>
      </c>
      <c r="D950" s="53" t="s">
        <v>326</v>
      </c>
      <c r="E950" s="53" t="s">
        <v>96</v>
      </c>
      <c r="F950" s="219">
        <f ca="1" t="shared" si="872"/>
        <v>0</v>
      </c>
      <c r="G950" s="219">
        <f ca="1">IF($S$1&lt;DATE(2025,2,1)," ",G882+'2025整理'!$F950)</f>
        <v>0</v>
      </c>
      <c r="H950" s="219">
        <f ca="1" t="shared" si="873"/>
        <v>0</v>
      </c>
      <c r="I950" s="219">
        <f ca="1" t="shared" si="874"/>
        <v>0</v>
      </c>
      <c r="J950" s="219">
        <f ca="1" t="shared" si="875"/>
        <v>0</v>
      </c>
      <c r="K950" s="219">
        <f ca="1" t="shared" si="876"/>
        <v>0.163434000000001</v>
      </c>
      <c r="L950" s="219">
        <f ca="1" t="shared" si="877"/>
        <v>0.163434000000001</v>
      </c>
      <c r="M950" s="219">
        <f ca="1" t="shared" si="878"/>
        <v>0.163434000000001</v>
      </c>
      <c r="N950" s="219">
        <f ca="1" t="shared" si="879"/>
        <v>0.163434000000001</v>
      </c>
      <c r="O950" s="219">
        <f ca="1" t="shared" si="880"/>
        <v>0.163434000000001</v>
      </c>
      <c r="P950" s="219">
        <f ca="1" t="shared" si="881"/>
        <v>0.163434000000001</v>
      </c>
      <c r="Q950" s="219">
        <f ca="1" t="shared" si="882"/>
        <v>0.163434000000001</v>
      </c>
    </row>
    <row r="951" ht="24" customHeight="1" spans="1:17">
      <c r="A951" s="99" t="s">
        <v>346</v>
      </c>
      <c r="B951" s="99" t="s">
        <v>299</v>
      </c>
      <c r="C951" s="99" t="s">
        <v>343</v>
      </c>
      <c r="D951" s="53" t="s">
        <v>326</v>
      </c>
      <c r="E951" s="53" t="s">
        <v>160</v>
      </c>
      <c r="F951" s="219">
        <f ca="1" t="shared" si="872"/>
        <v>0</v>
      </c>
      <c r="G951" s="219">
        <f ca="1">IF($S$1&lt;DATE(2025,2,1)," ",G883+'2025整理'!$F951)</f>
        <v>0</v>
      </c>
      <c r="H951" s="219">
        <f ca="1" t="shared" si="873"/>
        <v>0</v>
      </c>
      <c r="I951" s="219">
        <f ca="1" t="shared" si="874"/>
        <v>0</v>
      </c>
      <c r="J951" s="219">
        <f ca="1" t="shared" si="875"/>
        <v>0.018914</v>
      </c>
      <c r="K951" s="219">
        <f ca="1" t="shared" si="876"/>
        <v>0.018914</v>
      </c>
      <c r="L951" s="219">
        <f ca="1" t="shared" si="877"/>
        <v>0.018914</v>
      </c>
      <c r="M951" s="219">
        <f ca="1" t="shared" si="878"/>
        <v>0.018914</v>
      </c>
      <c r="N951" s="219">
        <f ca="1" t="shared" si="879"/>
        <v>0.018914</v>
      </c>
      <c r="O951" s="219">
        <f ca="1" t="shared" si="880"/>
        <v>0.018914</v>
      </c>
      <c r="P951" s="219">
        <f ca="1" t="shared" si="881"/>
        <v>0.018914</v>
      </c>
      <c r="Q951" s="219">
        <f ca="1" t="shared" si="882"/>
        <v>0.018914</v>
      </c>
    </row>
    <row r="952" ht="24" customHeight="1" spans="1:17">
      <c r="A952" s="99" t="s">
        <v>346</v>
      </c>
      <c r="B952" s="99" t="s">
        <v>299</v>
      </c>
      <c r="C952" s="99" t="s">
        <v>343</v>
      </c>
      <c r="D952" s="53" t="s">
        <v>327</v>
      </c>
      <c r="E952" s="53" t="s">
        <v>93</v>
      </c>
      <c r="F952" s="227">
        <f ca="1" t="shared" si="872"/>
        <v>0.00866500000000005</v>
      </c>
      <c r="G952" s="219">
        <f ca="1">IF($S$1&lt;DATE(2025,2,1)," ",G884+'2025整理'!$F952)</f>
        <v>0.00866500000000005</v>
      </c>
      <c r="H952" s="219">
        <f ca="1" t="shared" si="873"/>
        <v>0.00866500000000005</v>
      </c>
      <c r="I952" s="219">
        <f ca="1" t="shared" si="874"/>
        <v>0.329228</v>
      </c>
      <c r="J952" s="219">
        <f ca="1" t="shared" si="875"/>
        <v>0.329228</v>
      </c>
      <c r="K952" s="219">
        <f ca="1" t="shared" si="876"/>
        <v>0.329228</v>
      </c>
      <c r="L952" s="219">
        <f ca="1" t="shared" si="877"/>
        <v>0.361744</v>
      </c>
      <c r="M952" s="219">
        <f ca="1" t="shared" si="878"/>
        <v>0.362385</v>
      </c>
      <c r="N952" s="219">
        <f ca="1" t="shared" si="879"/>
        <v>0.362385</v>
      </c>
      <c r="O952" s="219">
        <f ca="1" t="shared" si="880"/>
        <v>0.362385</v>
      </c>
      <c r="P952" s="219">
        <f ca="1" t="shared" si="881"/>
        <v>0.362385</v>
      </c>
      <c r="Q952" s="219">
        <f ca="1" t="shared" si="882"/>
        <v>0.362385</v>
      </c>
    </row>
    <row r="953" ht="24" customHeight="1" spans="1:17">
      <c r="A953" s="99" t="s">
        <v>346</v>
      </c>
      <c r="B953" s="99" t="s">
        <v>299</v>
      </c>
      <c r="C953" s="99" t="s">
        <v>343</v>
      </c>
      <c r="D953" s="53" t="s">
        <v>327</v>
      </c>
      <c r="E953" s="53" t="s">
        <v>85</v>
      </c>
      <c r="F953" s="227">
        <f ca="1" t="shared" si="872"/>
        <v>0.013735</v>
      </c>
      <c r="G953" s="219">
        <f ca="1">IF($S$1&lt;DATE(2025,2,1)," ",G885+'2025整理'!$F953)</f>
        <v>0.013735</v>
      </c>
      <c r="H953" s="219">
        <f ca="1" t="shared" si="873"/>
        <v>0.013735</v>
      </c>
      <c r="I953" s="219">
        <f ca="1" t="shared" si="874"/>
        <v>0.016925</v>
      </c>
      <c r="J953" s="219">
        <f ca="1" t="shared" si="875"/>
        <v>0.016925</v>
      </c>
      <c r="K953" s="219">
        <f ca="1" t="shared" si="876"/>
        <v>0.016925</v>
      </c>
      <c r="L953" s="219">
        <f ca="1" t="shared" si="877"/>
        <v>0.016925</v>
      </c>
      <c r="M953" s="219">
        <f ca="1" t="shared" si="878"/>
        <v>0.016925</v>
      </c>
      <c r="N953" s="219">
        <f ca="1" t="shared" si="879"/>
        <v>0.016925</v>
      </c>
      <c r="O953" s="219">
        <f ca="1" t="shared" si="880"/>
        <v>0.016925</v>
      </c>
      <c r="P953" s="219">
        <f ca="1" t="shared" si="881"/>
        <v>0.017123</v>
      </c>
      <c r="Q953" s="219">
        <f ca="1" t="shared" si="882"/>
        <v>0.021679</v>
      </c>
    </row>
    <row r="954" ht="24" customHeight="1" spans="1:17">
      <c r="A954" s="99" t="s">
        <v>346</v>
      </c>
      <c r="B954" s="99" t="s">
        <v>299</v>
      </c>
      <c r="C954" s="99" t="s">
        <v>343</v>
      </c>
      <c r="D954" s="53" t="s">
        <v>327</v>
      </c>
      <c r="E954" s="53" t="s">
        <v>81</v>
      </c>
      <c r="F954" s="227">
        <f ca="1" t="shared" si="872"/>
        <v>0</v>
      </c>
      <c r="G954" s="219">
        <f ca="1">IF($S$1&lt;DATE(2025,2,1)," ",G886+'2025整理'!$F954)</f>
        <v>0</v>
      </c>
      <c r="H954" s="219">
        <f ca="1" t="shared" si="873"/>
        <v>0.0274939999999999</v>
      </c>
      <c r="I954" s="219">
        <f ca="1" t="shared" si="874"/>
        <v>0.0274939999999999</v>
      </c>
      <c r="J954" s="219">
        <f ca="1" t="shared" si="875"/>
        <v>0.0274939999999999</v>
      </c>
      <c r="K954" s="219">
        <f ca="1" t="shared" si="876"/>
        <v>0.0274939999999999</v>
      </c>
      <c r="L954" s="219">
        <f ca="1" t="shared" si="877"/>
        <v>0.0284219999999999</v>
      </c>
      <c r="M954" s="219">
        <f ca="1" t="shared" si="878"/>
        <v>0.0284219999999999</v>
      </c>
      <c r="N954" s="219">
        <f ca="1" t="shared" si="879"/>
        <v>0.0284219999999999</v>
      </c>
      <c r="O954" s="219">
        <f ca="1" t="shared" si="880"/>
        <v>0.0337879999999999</v>
      </c>
      <c r="P954" s="219">
        <f ca="1" t="shared" si="881"/>
        <v>0.0337879999999999</v>
      </c>
      <c r="Q954" s="219">
        <f ca="1" t="shared" si="882"/>
        <v>0.0337879999999999</v>
      </c>
    </row>
    <row r="955" ht="24" customHeight="1" spans="1:17">
      <c r="A955" s="99" t="s">
        <v>346</v>
      </c>
      <c r="B955" s="99" t="s">
        <v>299</v>
      </c>
      <c r="C955" s="99" t="s">
        <v>343</v>
      </c>
      <c r="D955" s="53" t="s">
        <v>327</v>
      </c>
      <c r="E955" s="53" t="s">
        <v>96</v>
      </c>
      <c r="F955" s="227">
        <f ca="1" t="shared" si="872"/>
        <v>0</v>
      </c>
      <c r="G955" s="219">
        <f ca="1">IF($S$1&lt;DATE(2025,2,1)," ",G887+'2025整理'!$F955)</f>
        <v>0</v>
      </c>
      <c r="H955" s="219">
        <f ca="1" t="shared" si="873"/>
        <v>0</v>
      </c>
      <c r="I955" s="219">
        <f ca="1" t="shared" si="874"/>
        <v>0</v>
      </c>
      <c r="J955" s="219">
        <f ca="1" t="shared" si="875"/>
        <v>0</v>
      </c>
      <c r="K955" s="219">
        <f ca="1" t="shared" si="876"/>
        <v>0</v>
      </c>
      <c r="L955" s="219">
        <f ca="1" t="shared" si="877"/>
        <v>0</v>
      </c>
      <c r="M955" s="219">
        <f ca="1" t="shared" si="878"/>
        <v>0</v>
      </c>
      <c r="N955" s="219">
        <f ca="1" t="shared" si="879"/>
        <v>0</v>
      </c>
      <c r="O955" s="219">
        <f ca="1" t="shared" si="880"/>
        <v>0</v>
      </c>
      <c r="P955" s="219">
        <f ca="1" t="shared" si="881"/>
        <v>0</v>
      </c>
      <c r="Q955" s="219">
        <f ca="1" t="shared" si="882"/>
        <v>0</v>
      </c>
    </row>
    <row r="956" ht="24" customHeight="1" spans="1:17">
      <c r="A956" s="99" t="s">
        <v>346</v>
      </c>
      <c r="B956" s="99" t="s">
        <v>299</v>
      </c>
      <c r="C956" s="99" t="s">
        <v>343</v>
      </c>
      <c r="D956" s="53" t="s">
        <v>327</v>
      </c>
      <c r="E956" s="53" t="s">
        <v>160</v>
      </c>
      <c r="F956" s="227">
        <f ca="1" t="shared" si="872"/>
        <v>0</v>
      </c>
      <c r="G956" s="219">
        <f ca="1">IF($S$1&lt;DATE(2025,2,1)," ",G888+'2025整理'!$F956)</f>
        <v>0</v>
      </c>
      <c r="H956" s="219">
        <f ca="1" t="shared" si="873"/>
        <v>0</v>
      </c>
      <c r="I956" s="219">
        <f ca="1" t="shared" si="874"/>
        <v>0</v>
      </c>
      <c r="J956" s="219">
        <f ca="1" t="shared" si="875"/>
        <v>0</v>
      </c>
      <c r="K956" s="219">
        <f ca="1" t="shared" si="876"/>
        <v>0</v>
      </c>
      <c r="L956" s="219">
        <f ca="1" t="shared" si="877"/>
        <v>0</v>
      </c>
      <c r="M956" s="219">
        <f ca="1" t="shared" si="878"/>
        <v>0</v>
      </c>
      <c r="N956" s="219">
        <f ca="1" t="shared" si="879"/>
        <v>0</v>
      </c>
      <c r="O956" s="219">
        <f ca="1" t="shared" si="880"/>
        <v>0</v>
      </c>
      <c r="P956" s="219">
        <f ca="1" t="shared" si="881"/>
        <v>0</v>
      </c>
      <c r="Q956" s="219">
        <f ca="1" t="shared" si="882"/>
        <v>0</v>
      </c>
    </row>
    <row r="957" ht="24" customHeight="1" spans="1:17">
      <c r="A957" s="99" t="s">
        <v>347</v>
      </c>
      <c r="B957" s="99" t="s">
        <v>290</v>
      </c>
      <c r="C957" s="99" t="s">
        <v>291</v>
      </c>
      <c r="D957" s="100" t="s">
        <v>292</v>
      </c>
      <c r="E957" s="100" t="s">
        <v>293</v>
      </c>
      <c r="F957" s="204">
        <f ca="1">IF($S$1&lt;DATE(2025,1,1)," ",IF((SUM(F958:F964)-MAX(F970,F974))&lt;0,"ERR",SUM(F958:F964)))</f>
        <v>1</v>
      </c>
      <c r="G957" s="204">
        <f ca="1">IF($S$1&lt;DATE(2025,2,1)," ",IF((SUM(G958:G964)-MAX(G970,G974))&lt;0,"ERR",SUM(G958:G964)))</f>
        <v>0</v>
      </c>
      <c r="H957" s="204">
        <f ca="1">IF($S$1&lt;DATE(2025,3,1)," ",IF((SUM(H958:H964)-MAX(H970,H974))&lt;0,"ERR",SUM(H958:H964)))</f>
        <v>0</v>
      </c>
      <c r="I957" s="204">
        <f ca="1">IF($S$1&lt;DATE(2025,4,1)," ",IF((SUM(I958:I964)-MAX(I970,I974))&lt;0,"ERR",SUM(I958:I964)))</f>
        <v>1</v>
      </c>
      <c r="J957" s="204">
        <f ca="1">IF($S$1&lt;DATE(2025,5,1)," ",IF((SUM(J958:J964)-MAX(J970,J974))&lt;0,"ERR",SUM(J958:J964)))</f>
        <v>1</v>
      </c>
      <c r="K957" s="204">
        <f ca="1">IF($S$1&lt;DATE(2025,6,1)," ",IF((SUM(K958:K964)-MAX(K970,K974))&lt;0,"ERR",SUM(K958:K964)))</f>
        <v>1</v>
      </c>
      <c r="L957" s="204">
        <f ca="1">IF($S$1&lt;DATE(2025,7,1)," ",IF((SUM(L958:L964)-MAX(L970,L974))&lt;0,"ERR",SUM(L958:L964)))</f>
        <v>2</v>
      </c>
      <c r="M957" s="204">
        <f ca="1">IF($S$1&lt;DATE(2025,8,1)," ",IF((SUM(M958:M964)-MAX(M970,M974))&lt;0,"ERR",SUM(M958:M964)))</f>
        <v>0</v>
      </c>
      <c r="N957" s="204">
        <f ca="1">IF($S$1&lt;DATE(2025,9,1)," ",IF((SUM(N958:N964)-MAX(N970,N974))&lt;0,"ERR",SUM(N958:N964)))</f>
        <v>3</v>
      </c>
      <c r="O957" s="204">
        <f ca="1">IF($S$1&lt;DATE(2025,10,1)," ",IF((SUM(O958:O964)-MAX(O970,O974))&lt;0,"ERR",SUM(O958:O964)))</f>
        <v>1</v>
      </c>
      <c r="P957" s="204">
        <f ca="1">IF($S$1&lt;DATE(2025,11,1)," ",IF((SUM(P958:P964)-MAX(P970,P974))&lt;0,"ERR",SUM(P958:P964)))</f>
        <v>0</v>
      </c>
      <c r="Q957" s="204">
        <f ca="1">IF($S$1&lt;DATE(2025,12,1)," ",IF((SUM(Q958:Q964)-MAX(Q970,Q974))&lt;0,"ERR",SUM(Q958:Q964)))</f>
        <v>1</v>
      </c>
    </row>
    <row r="958" ht="24" customHeight="1" spans="1:35">
      <c r="A958" s="99" t="s">
        <v>347</v>
      </c>
      <c r="B958" s="99" t="s">
        <v>290</v>
      </c>
      <c r="C958" s="99" t="s">
        <v>291</v>
      </c>
      <c r="D958" s="48" t="s">
        <v>31</v>
      </c>
      <c r="E958" s="48" t="s">
        <v>90</v>
      </c>
      <c r="F958" s="205">
        <f ca="1">IF($S$1&lt;DATE(2025,1,1)," ",COUNTIFS('2025数据'!$O$3:$O$181,"&gt;="&amp;DATE(2024,1,1),'2025数据'!$O$3:$O$181,"&lt;="&amp;DATE(2025,1,31),'2025数据'!$AE$3:$AE$181,$E958))</f>
        <v>0</v>
      </c>
      <c r="G958" s="205">
        <f ca="1">IF($S$1&lt;DATE(2025,2,1)," ",COUNTIFS('2025数据'!$O$3:$O$181,"&gt;="&amp;DATE(2025,2,1),'2025数据'!$O$3:$O$181,"&lt;="&amp;DATE(2025,2,28),'2025数据'!$AE$3:$AE$181,$E958))</f>
        <v>0</v>
      </c>
      <c r="H958" s="205">
        <f ca="1">IF($S$1&lt;DATE(2025,3,1)," ",COUNTIFS('2025数据'!$O$3:$O$181,"&gt;="&amp;DATE(2025,3,1),'2025数据'!$O$3:$O$181,"&lt;="&amp;DATE(2025,3,31),'2025数据'!$AE$3:$AE$181,$E958))</f>
        <v>0</v>
      </c>
      <c r="I958" s="205">
        <f ca="1">IF($S$1&lt;DATE(2025,4,1)," ",COUNTIFS('2025数据'!$O$3:$O$181,"&gt;="&amp;DATE(2025,4,1),'2025数据'!$O$3:$O$181,"&lt;="&amp;DATE(2025,4,30),'2025数据'!$AE$3:$AE$181,$E958))</f>
        <v>0</v>
      </c>
      <c r="J958" s="205">
        <f ca="1">IF($S$1&lt;DATE(2025,5,1)," ",COUNTIFS('2025数据'!$O$3:$O$181,"&gt;="&amp;DATE(2025,5,1),'2025数据'!$O$3:$O$181,"&lt;="&amp;DATE(2025,5,31),'2025数据'!$AE$3:$AE$181,$E958))</f>
        <v>0</v>
      </c>
      <c r="K958" s="205">
        <f ca="1">IF($S$1&lt;DATE(2025,6,1)," ",COUNTIFS('2025数据'!$O$3:$O$181,"&gt;="&amp;DATE(2025,6,1),'2025数据'!$O$3:$O$181,"&lt;="&amp;DATE(2025,6,30),'2025数据'!$AE$3:$AE$181,$E958))</f>
        <v>0</v>
      </c>
      <c r="L958" s="205">
        <f ca="1">IF($S$1&lt;DATE(2025,7,1)," ",COUNTIFS('2025数据'!$O$3:$O$181,"&gt;="&amp;DATE(2025,7,1),'2025数据'!$O$3:$O$181,"&lt;="&amp;DATE(2025,7,31),'2025数据'!$AE$3:$AE$181,$E958))</f>
        <v>0</v>
      </c>
      <c r="M958" s="205">
        <f ca="1">IF($S$1&lt;DATE(2025,8,1)," ",COUNTIFS('2025数据'!$O$3:$O$181,"&gt;="&amp;DATE(2025,8,1),'2025数据'!$O$3:$O$181,"&lt;="&amp;DATE(2025,8,31),'2025数据'!$AE$3:$AE$181,$E958))</f>
        <v>0</v>
      </c>
      <c r="N958" s="205">
        <f ca="1">IF($S$1&lt;DATE(2025,9,1)," ",COUNTIFS('2025数据'!$O$3:$O$181,"&gt;="&amp;DATE(2025,9,1),'2025数据'!$O$3:$O$181,"&lt;="&amp;DATE(2025,9,30),'2025数据'!$AE$3:$AE$181,$E958))</f>
        <v>1</v>
      </c>
      <c r="O958" s="205">
        <f ca="1">IF($S$1&lt;DATE(2025,10,1)," ",COUNTIFS('2025数据'!$O$3:$O$181,"&gt;="&amp;DATE(2025,10,1),'2025数据'!$O$3:$O$181,"&lt;="&amp;DATE(2025,10,31),'2025数据'!$AE$3:$AE$181,$E958))</f>
        <v>0</v>
      </c>
      <c r="P958" s="207">
        <f ca="1">IF($S$1&lt;DATE(2025,11,1)," ",COUNTIFS('2025数据'!$O$3:$O$181,"&gt;="&amp;DATE(2025,11,1),'2025数据'!$O$3:$O$181,"&lt;="&amp;DATE(2025,11,30),'2025数据'!$AE$3:$AE$181,$E958))</f>
        <v>0</v>
      </c>
      <c r="Q958" s="207">
        <f ca="1">IF($S$1&lt;DATE(2025,12,1)," ",COUNTIFS('2025数据'!$O$3:$O$181,"&gt;="&amp;DATE(2025,12,1),'2025数据'!$O$3:$O$181,"&lt;="&amp;DATE(2025,12,31),'2025数据'!$AE$3:$AE$181,$E958))</f>
        <v>1</v>
      </c>
      <c r="S958" s="108" t="s">
        <v>272</v>
      </c>
      <c r="T958" s="108" t="s">
        <v>273</v>
      </c>
      <c r="U958" s="108" t="s">
        <v>274</v>
      </c>
      <c r="V958" s="98" t="s">
        <v>275</v>
      </c>
      <c r="W958" s="98" t="s">
        <v>276</v>
      </c>
      <c r="X958" s="102" t="s">
        <v>277</v>
      </c>
      <c r="Y958" s="103" t="s">
        <v>278</v>
      </c>
      <c r="Z958" s="102" t="s">
        <v>279</v>
      </c>
      <c r="AA958" s="103" t="s">
        <v>280</v>
      </c>
      <c r="AB958" s="102" t="s">
        <v>281</v>
      </c>
      <c r="AC958" s="103" t="s">
        <v>282</v>
      </c>
      <c r="AD958" s="102" t="s">
        <v>283</v>
      </c>
      <c r="AE958" s="103" t="s">
        <v>284</v>
      </c>
      <c r="AF958" s="102" t="s">
        <v>285</v>
      </c>
      <c r="AG958" s="103" t="s">
        <v>286</v>
      </c>
      <c r="AH958" s="102" t="s">
        <v>287</v>
      </c>
      <c r="AI958" s="107" t="s">
        <v>288</v>
      </c>
    </row>
    <row r="959" ht="24" customHeight="1" spans="1:17">
      <c r="A959" s="99" t="s">
        <v>347</v>
      </c>
      <c r="B959" s="99" t="s">
        <v>290</v>
      </c>
      <c r="C959" s="99" t="s">
        <v>291</v>
      </c>
      <c r="D959" s="48" t="s">
        <v>31</v>
      </c>
      <c r="E959" s="48" t="s">
        <v>82</v>
      </c>
      <c r="F959" s="205">
        <f ca="1">IF($S$1&lt;DATE(2025,1,1)," ",COUNTIFS('2025数据'!$O$3:$O$181,"&gt;="&amp;DATE(2024,1,1),'2025数据'!$O$3:$O$181,"&lt;="&amp;DATE(2025,1,31),'2025数据'!$AE$3:$AE$181,$E959))</f>
        <v>1</v>
      </c>
      <c r="G959" s="205">
        <f ca="1">IF($S$1&lt;DATE(2025,2,1)," ",COUNTIFS('2025数据'!$O$3:$O$181,"&gt;="&amp;DATE(2025,2,1),'2025数据'!$O$3:$O$181,"&lt;="&amp;DATE(2025,2,28),'2025数据'!$AE$3:$AE$181,$E959))</f>
        <v>0</v>
      </c>
      <c r="H959" s="205">
        <f ca="1">IF($S$1&lt;DATE(2025,3,1)," ",COUNTIFS('2025数据'!$O$3:$O$181,"&gt;="&amp;DATE(2025,3,1),'2025数据'!$O$3:$O$181,"&lt;="&amp;DATE(2025,3,31),'2025数据'!$AE$3:$AE$181,$E959))</f>
        <v>0</v>
      </c>
      <c r="I959" s="205">
        <f ca="1">IF($S$1&lt;DATE(2025,4,1)," ",COUNTIFS('2025数据'!$O$3:$O$181,"&gt;="&amp;DATE(2025,4,1),'2025数据'!$O$3:$O$181,"&lt;="&amp;DATE(2025,4,30),'2025数据'!$AE$3:$AE$181,$E959))</f>
        <v>0</v>
      </c>
      <c r="J959" s="205">
        <f ca="1">IF($S$1&lt;DATE(2025,5,1)," ",COUNTIFS('2025数据'!$O$3:$O$181,"&gt;="&amp;DATE(2025,5,1),'2025数据'!$O$3:$O$181,"&lt;="&amp;DATE(2025,5,31),'2025数据'!$AE$3:$AE$181,$E959))</f>
        <v>1</v>
      </c>
      <c r="K959" s="205">
        <f ca="1">IF($S$1&lt;DATE(2025,6,1)," ",COUNTIFS('2025数据'!$O$3:$O$181,"&gt;="&amp;DATE(2025,6,1),'2025数据'!$O$3:$O$181,"&lt;="&amp;DATE(2025,6,30),'2025数据'!$AE$3:$AE$181,$E959))</f>
        <v>1</v>
      </c>
      <c r="L959" s="205">
        <f ca="1">IF($S$1&lt;DATE(2025,7,1)," ",COUNTIFS('2025数据'!$O$3:$O$181,"&gt;="&amp;DATE(2025,7,1),'2025数据'!$O$3:$O$181,"&lt;="&amp;DATE(2025,7,31),'2025数据'!$AE$3:$AE$181,$E959))</f>
        <v>0</v>
      </c>
      <c r="M959" s="205">
        <f ca="1">IF($S$1&lt;DATE(2025,8,1)," ",COUNTIFS('2025数据'!$O$3:$O$181,"&gt;="&amp;DATE(2025,8,1),'2025数据'!$O$3:$O$181,"&lt;="&amp;DATE(2025,8,31),'2025数据'!$AE$3:$AE$181,$E959))</f>
        <v>0</v>
      </c>
      <c r="N959" s="205">
        <f ca="1">IF($S$1&lt;DATE(2025,9,1)," ",COUNTIFS('2025数据'!$O$3:$O$181,"&gt;="&amp;DATE(2025,9,1),'2025数据'!$O$3:$O$181,"&lt;="&amp;DATE(2025,9,30),'2025数据'!$AE$3:$AE$181,$E959))</f>
        <v>1</v>
      </c>
      <c r="O959" s="205">
        <f ca="1">IF($S$1&lt;DATE(2025,10,1)," ",COUNTIFS('2025数据'!$O$3:$O$181,"&gt;="&amp;DATE(2025,10,1),'2025数据'!$O$3:$O$181,"&lt;="&amp;DATE(2025,10,31),'2025数据'!$AE$3:$AE$181,$E959))</f>
        <v>0</v>
      </c>
      <c r="P959" s="207">
        <f ca="1">IF($S$1&lt;DATE(2025,11,1)," ",COUNTIFS('2025数据'!$O$3:$O$181,"&gt;="&amp;DATE(2025,11,1),'2025数据'!$O$3:$O$181,"&lt;="&amp;DATE(2025,11,30),'2025数据'!$AE$3:$AE$181,$E959))</f>
        <v>0</v>
      </c>
      <c r="Q959" s="207">
        <f ca="1">IF($S$1&lt;DATE(2025,12,1)," ",COUNTIFS('2025数据'!$O$3:$O$181,"&gt;="&amp;DATE(2025,12,1),'2025数据'!$O$3:$O$181,"&lt;="&amp;DATE(2025,12,31),'2025数据'!$AE$3:$AE$181,$E959))</f>
        <v>0</v>
      </c>
    </row>
    <row r="960" ht="24" customHeight="1" spans="1:17">
      <c r="A960" s="99" t="s">
        <v>347</v>
      </c>
      <c r="B960" s="99" t="s">
        <v>290</v>
      </c>
      <c r="C960" s="99" t="s">
        <v>291</v>
      </c>
      <c r="D960" s="48" t="s">
        <v>31</v>
      </c>
      <c r="E960" s="48" t="s">
        <v>86</v>
      </c>
      <c r="F960" s="205">
        <f ca="1">IF($S$1&lt;DATE(2025,1,1)," ",COUNTIFS('2025数据'!$O$3:$O$181,"&gt;="&amp;DATE(2024,1,1),'2025数据'!$O$3:$O$181,"&lt;="&amp;DATE(2025,1,31),'2025数据'!$AE$3:$AE$181,$E960))</f>
        <v>0</v>
      </c>
      <c r="G960" s="205">
        <f ca="1">IF($S$1&lt;DATE(2025,2,1)," ",COUNTIFS('2025数据'!$O$3:$O$181,"&gt;="&amp;DATE(2025,2,1),'2025数据'!$O$3:$O$181,"&lt;="&amp;DATE(2025,2,28),'2025数据'!$AE$3:$AE$181,$E960))</f>
        <v>0</v>
      </c>
      <c r="H960" s="205">
        <f ca="1">IF($S$1&lt;DATE(2025,3,1)," ",COUNTIFS('2025数据'!$O$3:$O$181,"&gt;="&amp;DATE(2025,3,1),'2025数据'!$O$3:$O$181,"&lt;="&amp;DATE(2025,3,31),'2025数据'!$AE$3:$AE$181,$E960))</f>
        <v>0</v>
      </c>
      <c r="I960" s="205">
        <f ca="1">IF($S$1&lt;DATE(2025,4,1)," ",COUNTIFS('2025数据'!$O$3:$O$181,"&gt;="&amp;DATE(2025,4,1),'2025数据'!$O$3:$O$181,"&lt;="&amp;DATE(2025,4,30),'2025数据'!$AE$3:$AE$181,$E960))</f>
        <v>0</v>
      </c>
      <c r="J960" s="205">
        <f ca="1">IF($S$1&lt;DATE(2025,5,1)," ",COUNTIFS('2025数据'!$O$3:$O$181,"&gt;="&amp;DATE(2025,5,1),'2025数据'!$O$3:$O$181,"&lt;="&amp;DATE(2025,5,31),'2025数据'!$AE$3:$AE$181,$E960))</f>
        <v>0</v>
      </c>
      <c r="K960" s="205">
        <f ca="1">IF($S$1&lt;DATE(2025,6,1)," ",COUNTIFS('2025数据'!$O$3:$O$181,"&gt;="&amp;DATE(2025,6,1),'2025数据'!$O$3:$O$181,"&lt;="&amp;DATE(2025,6,30),'2025数据'!$AE$3:$AE$181,$E960))</f>
        <v>0</v>
      </c>
      <c r="L960" s="205">
        <f ca="1">IF($S$1&lt;DATE(2025,7,1)," ",COUNTIFS('2025数据'!$O$3:$O$181,"&gt;="&amp;DATE(2025,7,1),'2025数据'!$O$3:$O$181,"&lt;="&amp;DATE(2025,7,31),'2025数据'!$AE$3:$AE$181,$E960))</f>
        <v>1</v>
      </c>
      <c r="M960" s="205">
        <f ca="1">IF($S$1&lt;DATE(2025,8,1)," ",COUNTIFS('2025数据'!$O$3:$O$181,"&gt;="&amp;DATE(2025,8,1),'2025数据'!$O$3:$O$181,"&lt;="&amp;DATE(2025,8,31),'2025数据'!$AE$3:$AE$181,$E960))</f>
        <v>0</v>
      </c>
      <c r="N960" s="205">
        <f ca="1">IF($S$1&lt;DATE(2025,9,1)," ",COUNTIFS('2025数据'!$O$3:$O$181,"&gt;="&amp;DATE(2025,9,1),'2025数据'!$O$3:$O$181,"&lt;="&amp;DATE(2025,9,30),'2025数据'!$AE$3:$AE$181,$E960))</f>
        <v>0</v>
      </c>
      <c r="O960" s="205">
        <f ca="1">IF($S$1&lt;DATE(2025,10,1)," ",COUNTIFS('2025数据'!$O$3:$O$181,"&gt;="&amp;DATE(2025,10,1),'2025数据'!$O$3:$O$181,"&lt;="&amp;DATE(2025,10,31),'2025数据'!$AE$3:$AE$181,$E960))</f>
        <v>0</v>
      </c>
      <c r="P960" s="207">
        <f ca="1">IF($S$1&lt;DATE(2025,11,1)," ",COUNTIFS('2025数据'!$O$3:$O$181,"&gt;="&amp;DATE(2025,11,1),'2025数据'!$O$3:$O$181,"&lt;="&amp;DATE(2025,11,30),'2025数据'!$AE$3:$AE$181,$E960))</f>
        <v>0</v>
      </c>
      <c r="Q960" s="207">
        <f ca="1">IF($S$1&lt;DATE(2025,12,1)," ",COUNTIFS('2025数据'!$O$3:$O$181,"&gt;="&amp;DATE(2025,12,1),'2025数据'!$O$3:$O$181,"&lt;="&amp;DATE(2025,12,31),'2025数据'!$AE$3:$AE$181,$E960))</f>
        <v>0</v>
      </c>
    </row>
    <row r="961" ht="24" customHeight="1" spans="1:17">
      <c r="A961" s="99" t="s">
        <v>347</v>
      </c>
      <c r="B961" s="99" t="s">
        <v>290</v>
      </c>
      <c r="C961" s="99" t="s">
        <v>291</v>
      </c>
      <c r="D961" s="48" t="s">
        <v>31</v>
      </c>
      <c r="E961" s="48" t="s">
        <v>97</v>
      </c>
      <c r="F961" s="205">
        <f ca="1">IF($S$1&lt;DATE(2025,1,1)," ",COUNTIFS('2025数据'!$O$3:$O$181,"&gt;="&amp;DATE(2024,1,1),'2025数据'!$O$3:$O$181,"&lt;="&amp;DATE(2025,1,31),'2025数据'!$AE$3:$AE$181,$E961))</f>
        <v>0</v>
      </c>
      <c r="G961" s="205">
        <f ca="1">IF($S$1&lt;DATE(2025,2,1)," ",COUNTIFS('2025数据'!$O$3:$O$181,"&gt;="&amp;DATE(2025,2,1),'2025数据'!$O$3:$O$181,"&lt;="&amp;DATE(2025,2,28),'2025数据'!$AE$3:$AE$181,$E961))</f>
        <v>0</v>
      </c>
      <c r="H961" s="205">
        <f ca="1">IF($S$1&lt;DATE(2025,3,1)," ",COUNTIFS('2025数据'!$O$3:$O$181,"&gt;="&amp;DATE(2025,3,1),'2025数据'!$O$3:$O$181,"&lt;="&amp;DATE(2025,3,31),'2025数据'!$AE$3:$AE$181,$E961))</f>
        <v>0</v>
      </c>
      <c r="I961" s="205">
        <f ca="1">IF($S$1&lt;DATE(2025,4,1)," ",COUNTIFS('2025数据'!$O$3:$O$181,"&gt;="&amp;DATE(2025,4,1),'2025数据'!$O$3:$O$181,"&lt;="&amp;DATE(2025,4,30),'2025数据'!$AE$3:$AE$181,$E961))</f>
        <v>1</v>
      </c>
      <c r="J961" s="205">
        <f ca="1">IF($S$1&lt;DATE(2025,5,1)," ",COUNTIFS('2025数据'!$O$3:$O$181,"&gt;="&amp;DATE(2025,5,1),'2025数据'!$O$3:$O$181,"&lt;="&amp;DATE(2025,5,31),'2025数据'!$AE$3:$AE$181,$E961))</f>
        <v>0</v>
      </c>
      <c r="K961" s="205">
        <f ca="1">IF($S$1&lt;DATE(2025,6,1)," ",COUNTIFS('2025数据'!$O$3:$O$181,"&gt;="&amp;DATE(2025,6,1),'2025数据'!$O$3:$O$181,"&lt;="&amp;DATE(2025,6,30),'2025数据'!$AE$3:$AE$181,$E961))</f>
        <v>0</v>
      </c>
      <c r="L961" s="205">
        <f ca="1">IF($S$1&lt;DATE(2025,7,1)," ",COUNTIFS('2025数据'!$O$3:$O$181,"&gt;="&amp;DATE(2025,7,1),'2025数据'!$O$3:$O$181,"&lt;="&amp;DATE(2025,7,31),'2025数据'!$AE$3:$AE$181,$E961))</f>
        <v>0</v>
      </c>
      <c r="M961" s="205">
        <f ca="1">IF($S$1&lt;DATE(2025,8,1)," ",COUNTIFS('2025数据'!$O$3:$O$181,"&gt;="&amp;DATE(2025,8,1),'2025数据'!$O$3:$O$181,"&lt;="&amp;DATE(2025,8,31),'2025数据'!$AE$3:$AE$181,$E961))</f>
        <v>0</v>
      </c>
      <c r="N961" s="205">
        <f ca="1">IF($S$1&lt;DATE(2025,9,1)," ",COUNTIFS('2025数据'!$O$3:$O$181,"&gt;="&amp;DATE(2025,9,1),'2025数据'!$O$3:$O$181,"&lt;="&amp;DATE(2025,9,30),'2025数据'!$AE$3:$AE$181,$E961))</f>
        <v>1</v>
      </c>
      <c r="O961" s="205">
        <f ca="1">IF($S$1&lt;DATE(2025,10,1)," ",COUNTIFS('2025数据'!$O$3:$O$181,"&gt;="&amp;DATE(2025,10,1),'2025数据'!$O$3:$O$181,"&lt;="&amp;DATE(2025,10,31),'2025数据'!$AE$3:$AE$181,$E961))</f>
        <v>1</v>
      </c>
      <c r="P961" s="207">
        <f ca="1">IF($S$1&lt;DATE(2025,11,1)," ",COUNTIFS('2025数据'!$O$3:$O$181,"&gt;="&amp;DATE(2025,11,1),'2025数据'!$O$3:$O$181,"&lt;="&amp;DATE(2025,11,30),'2025数据'!$AE$3:$AE$181,$E961))</f>
        <v>0</v>
      </c>
      <c r="Q961" s="207">
        <f ca="1">IF($S$1&lt;DATE(2025,12,1)," ",COUNTIFS('2025数据'!$O$3:$O$181,"&gt;="&amp;DATE(2025,12,1),'2025数据'!$O$3:$O$181,"&lt;="&amp;DATE(2025,12,31),'2025数据'!$AE$3:$AE$181,$E961))</f>
        <v>0</v>
      </c>
    </row>
    <row r="962" ht="24" customHeight="1" spans="1:17">
      <c r="A962" s="99" t="s">
        <v>347</v>
      </c>
      <c r="B962" s="99" t="s">
        <v>290</v>
      </c>
      <c r="C962" s="99" t="s">
        <v>291</v>
      </c>
      <c r="D962" s="48" t="s">
        <v>31</v>
      </c>
      <c r="E962" s="48" t="s">
        <v>87</v>
      </c>
      <c r="F962" s="205">
        <f ca="1">IF($S$1&lt;DATE(2025,1,1)," ",COUNTIFS('2025数据'!$O$3:$O$181,"&gt;="&amp;DATE(2024,1,1),'2025数据'!$O$3:$O$181,"&lt;="&amp;DATE(2025,1,31),'2025数据'!$AE$3:$AE$181,$E962))</f>
        <v>0</v>
      </c>
      <c r="G962" s="205">
        <f ca="1">IF($S$1&lt;DATE(2025,2,1)," ",COUNTIFS('2025数据'!$O$3:$O$181,"&gt;="&amp;DATE(2025,2,1),'2025数据'!$O$3:$O$181,"&lt;="&amp;DATE(2025,2,28),'2025数据'!$AE$3:$AE$181,$E962))</f>
        <v>0</v>
      </c>
      <c r="H962" s="205">
        <f ca="1">IF($S$1&lt;DATE(2025,3,1)," ",COUNTIFS('2025数据'!$O$3:$O$181,"&gt;="&amp;DATE(2025,3,1),'2025数据'!$O$3:$O$181,"&lt;="&amp;DATE(2025,3,31),'2025数据'!$AE$3:$AE$181,$E962))</f>
        <v>0</v>
      </c>
      <c r="I962" s="205">
        <f ca="1">IF($S$1&lt;DATE(2025,4,1)," ",COUNTIFS('2025数据'!$O$3:$O$181,"&gt;="&amp;DATE(2025,4,1),'2025数据'!$O$3:$O$181,"&lt;="&amp;DATE(2025,4,30),'2025数据'!$AE$3:$AE$181,$E962))</f>
        <v>0</v>
      </c>
      <c r="J962" s="205">
        <f ca="1">IF($S$1&lt;DATE(2025,5,1)," ",COUNTIFS('2025数据'!$O$3:$O$181,"&gt;="&amp;DATE(2025,5,1),'2025数据'!$O$3:$O$181,"&lt;="&amp;DATE(2025,5,31),'2025数据'!$AE$3:$AE$181,$E962))</f>
        <v>0</v>
      </c>
      <c r="K962" s="205">
        <f ca="1">IF($S$1&lt;DATE(2025,6,1)," ",COUNTIFS('2025数据'!$O$3:$O$181,"&gt;="&amp;DATE(2025,6,1),'2025数据'!$O$3:$O$181,"&lt;="&amp;DATE(2025,6,30),'2025数据'!$AE$3:$AE$181,$E962))</f>
        <v>0</v>
      </c>
      <c r="L962" s="205">
        <f ca="1">IF($S$1&lt;DATE(2025,7,1)," ",COUNTIFS('2025数据'!$O$3:$O$181,"&gt;="&amp;DATE(2025,7,1),'2025数据'!$O$3:$O$181,"&lt;="&amp;DATE(2025,7,31),'2025数据'!$AE$3:$AE$181,$E962))</f>
        <v>0</v>
      </c>
      <c r="M962" s="205">
        <f ca="1">IF($S$1&lt;DATE(2025,8,1)," ",COUNTIFS('2025数据'!$O$3:$O$181,"&gt;="&amp;DATE(2025,8,1),'2025数据'!$O$3:$O$181,"&lt;="&amp;DATE(2025,8,31),'2025数据'!$AE$3:$AE$181,$E962))</f>
        <v>0</v>
      </c>
      <c r="N962" s="205">
        <f ca="1">IF($S$1&lt;DATE(2025,9,1)," ",COUNTIFS('2025数据'!$O$3:$O$181,"&gt;="&amp;DATE(2025,9,1),'2025数据'!$O$3:$O$181,"&lt;="&amp;DATE(2025,9,30),'2025数据'!$AE$3:$AE$181,$E962))</f>
        <v>0</v>
      </c>
      <c r="O962" s="205">
        <f ca="1">IF($S$1&lt;DATE(2025,10,1)," ",COUNTIFS('2025数据'!$O$3:$O$181,"&gt;="&amp;DATE(2025,10,1),'2025数据'!$O$3:$O$181,"&lt;="&amp;DATE(2025,10,31),'2025数据'!$AE$3:$AE$181,$E962))</f>
        <v>0</v>
      </c>
      <c r="P962" s="207">
        <f ca="1">IF($S$1&lt;DATE(2025,11,1)," ",COUNTIFS('2025数据'!$O$3:$O$181,"&gt;="&amp;DATE(2025,11,1),'2025数据'!$O$3:$O$181,"&lt;="&amp;DATE(2025,11,30),'2025数据'!$AE$3:$AE$181,$E962))</f>
        <v>0</v>
      </c>
      <c r="Q962" s="207">
        <f ca="1">IF($S$1&lt;DATE(2025,12,1)," ",COUNTIFS('2025数据'!$O$3:$O$181,"&gt;="&amp;DATE(2025,12,1),'2025数据'!$O$3:$O$181,"&lt;="&amp;DATE(2025,12,31),'2025数据'!$AE$3:$AE$181,$E962))</f>
        <v>0</v>
      </c>
    </row>
    <row r="963" ht="24" customHeight="1" spans="1:17">
      <c r="A963" s="99" t="s">
        <v>347</v>
      </c>
      <c r="B963" s="99" t="s">
        <v>290</v>
      </c>
      <c r="C963" s="99" t="s">
        <v>291</v>
      </c>
      <c r="D963" s="48" t="s">
        <v>31</v>
      </c>
      <c r="E963" s="48" t="s">
        <v>149</v>
      </c>
      <c r="F963" s="205">
        <f ca="1">IF($S$1&lt;DATE(2025,1,1)," ",COUNTIFS('2025数据'!$O$3:$O$181,"&gt;="&amp;DATE(2024,1,1),'2025数据'!$O$3:$O$181,"&lt;="&amp;DATE(2025,1,31),'2025数据'!$AE$3:$AE$181,$E963))</f>
        <v>0</v>
      </c>
      <c r="G963" s="205">
        <f ca="1">IF($S$1&lt;DATE(2025,2,1)," ",COUNTIFS('2025数据'!$O$3:$O$181,"&gt;="&amp;DATE(2025,2,1),'2025数据'!$O$3:$O$181,"&lt;="&amp;DATE(2025,2,28),'2025数据'!$AE$3:$AE$181,$E963))</f>
        <v>0</v>
      </c>
      <c r="H963" s="205">
        <f ca="1">IF($S$1&lt;DATE(2025,3,1)," ",COUNTIFS('2025数据'!$O$3:$O$181,"&gt;="&amp;DATE(2025,3,1),'2025数据'!$O$3:$O$181,"&lt;="&amp;DATE(2025,3,31),'2025数据'!$AE$3:$AE$181,$E963))</f>
        <v>0</v>
      </c>
      <c r="I963" s="205">
        <f ca="1">IF($S$1&lt;DATE(2025,4,1)," ",COUNTIFS('2025数据'!$O$3:$O$181,"&gt;="&amp;DATE(2025,4,1),'2025数据'!$O$3:$O$181,"&lt;="&amp;DATE(2025,4,30),'2025数据'!$AE$3:$AE$181,$E963))</f>
        <v>0</v>
      </c>
      <c r="J963" s="205">
        <f ca="1">IF($S$1&lt;DATE(2025,5,1)," ",COUNTIFS('2025数据'!$O$3:$O$181,"&gt;="&amp;DATE(2025,5,1),'2025数据'!$O$3:$O$181,"&lt;="&amp;DATE(2025,5,31),'2025数据'!$AE$3:$AE$181,$E963))</f>
        <v>0</v>
      </c>
      <c r="K963" s="205">
        <f ca="1">IF($S$1&lt;DATE(2025,6,1)," ",COUNTIFS('2025数据'!$O$3:$O$181,"&gt;="&amp;DATE(2025,6,1),'2025数据'!$O$3:$O$181,"&lt;="&amp;DATE(2025,6,30),'2025数据'!$AE$3:$AE$181,$E963))</f>
        <v>0</v>
      </c>
      <c r="L963" s="205">
        <f ca="1">IF($S$1&lt;DATE(2025,7,1)," ",COUNTIFS('2025数据'!$O$3:$O$181,"&gt;="&amp;DATE(2025,7,1),'2025数据'!$O$3:$O$181,"&lt;="&amp;DATE(2025,7,31),'2025数据'!$AE$3:$AE$181,$E963))</f>
        <v>1</v>
      </c>
      <c r="M963" s="205">
        <f ca="1">IF($S$1&lt;DATE(2025,8,1)," ",COUNTIFS('2025数据'!$O$3:$O$181,"&gt;="&amp;DATE(2025,8,1),'2025数据'!$O$3:$O$181,"&lt;="&amp;DATE(2025,8,31),'2025数据'!$AE$3:$AE$181,$E963))</f>
        <v>0</v>
      </c>
      <c r="N963" s="205">
        <f ca="1">IF($S$1&lt;DATE(2025,9,1)," ",COUNTIFS('2025数据'!$O$3:$O$181,"&gt;="&amp;DATE(2025,9,1),'2025数据'!$O$3:$O$181,"&lt;="&amp;DATE(2025,9,30),'2025数据'!$AE$3:$AE$181,$E963))</f>
        <v>0</v>
      </c>
      <c r="O963" s="205">
        <f ca="1">IF($S$1&lt;DATE(2025,10,1)," ",COUNTIFS('2025数据'!$O$3:$O$181,"&gt;="&amp;DATE(2025,10,1),'2025数据'!$O$3:$O$181,"&lt;="&amp;DATE(2025,10,31),'2025数据'!$AE$3:$AE$181,$E963))</f>
        <v>0</v>
      </c>
      <c r="P963" s="207">
        <f ca="1">IF($S$1&lt;DATE(2025,11,1)," ",COUNTIFS('2025数据'!$O$3:$O$181,"&gt;="&amp;DATE(2025,11,1),'2025数据'!$O$3:$O$181,"&lt;="&amp;DATE(2025,11,30),'2025数据'!$AE$3:$AE$181,$E963))</f>
        <v>0</v>
      </c>
      <c r="Q963" s="207">
        <f ca="1">IF($S$1&lt;DATE(2025,12,1)," ",COUNTIFS('2025数据'!$O$3:$O$181,"&gt;="&amp;DATE(2025,12,1),'2025数据'!$O$3:$O$181,"&lt;="&amp;DATE(2025,12,31),'2025数据'!$AE$3:$AE$181,$E963))</f>
        <v>0</v>
      </c>
    </row>
    <row r="964" ht="24" customHeight="1" spans="1:17">
      <c r="A964" s="99" t="s">
        <v>347</v>
      </c>
      <c r="B964" s="99" t="s">
        <v>290</v>
      </c>
      <c r="C964" s="99" t="s">
        <v>291</v>
      </c>
      <c r="D964" s="48" t="s">
        <v>31</v>
      </c>
      <c r="E964" s="48" t="s">
        <v>83</v>
      </c>
      <c r="F964" s="205">
        <f ca="1">IF($S$1&lt;DATE(2025,1,1)," ",COUNTIFS('2025数据'!$O$3:$O$181,"&gt;="&amp;DATE(2024,1,1),'2025数据'!$O$3:$O$181,"&lt;="&amp;DATE(2025,1,31),'2025数据'!$AE$3:$AE$181,$E964))</f>
        <v>0</v>
      </c>
      <c r="G964" s="205">
        <f ca="1">IF($S$1&lt;DATE(2025,2,1)," ",COUNTIFS('2025数据'!$O$3:$O$181,"&gt;="&amp;DATE(2025,2,1),'2025数据'!$O$3:$O$181,"&lt;="&amp;DATE(2025,2,28),'2025数据'!$AE$3:$AE$181,$E964))</f>
        <v>0</v>
      </c>
      <c r="H964" s="205">
        <f ca="1">IF($S$1&lt;DATE(2025,3,1)," ",COUNTIFS('2025数据'!$O$3:$O$181,"&gt;="&amp;DATE(2025,3,1),'2025数据'!$O$3:$O$181,"&lt;="&amp;DATE(2025,3,31),'2025数据'!$AE$3:$AE$181,$E964))</f>
        <v>0</v>
      </c>
      <c r="I964" s="205">
        <f ca="1">IF($S$1&lt;DATE(2025,4,1)," ",COUNTIFS('2025数据'!$O$3:$O$181,"&gt;="&amp;DATE(2025,4,1),'2025数据'!$O$3:$O$181,"&lt;="&amp;DATE(2025,4,30),'2025数据'!$AE$3:$AE$181,$E964))</f>
        <v>0</v>
      </c>
      <c r="J964" s="205">
        <f ca="1">IF($S$1&lt;DATE(2025,5,1)," ",COUNTIFS('2025数据'!$O$3:$O$181,"&gt;="&amp;DATE(2025,5,1),'2025数据'!$O$3:$O$181,"&lt;="&amp;DATE(2025,5,31),'2025数据'!$AE$3:$AE$181,$E964))</f>
        <v>0</v>
      </c>
      <c r="K964" s="205">
        <f ca="1">IF($S$1&lt;DATE(2025,6,1)," ",COUNTIFS('2025数据'!$O$3:$O$181,"&gt;="&amp;DATE(2025,6,1),'2025数据'!$O$3:$O$181,"&lt;="&amp;DATE(2025,6,30),'2025数据'!$AE$3:$AE$181,$E964))</f>
        <v>0</v>
      </c>
      <c r="L964" s="205">
        <f ca="1">IF($S$1&lt;DATE(2025,7,1)," ",COUNTIFS('2025数据'!$O$3:$O$181,"&gt;="&amp;DATE(2025,7,1),'2025数据'!$O$3:$O$181,"&lt;="&amp;DATE(2025,7,31),'2025数据'!$AE$3:$AE$181,$E964))</f>
        <v>0</v>
      </c>
      <c r="M964" s="205">
        <f ca="1">IF($S$1&lt;DATE(2025,8,1)," ",COUNTIFS('2025数据'!$O$3:$O$181,"&gt;="&amp;DATE(2025,8,1),'2025数据'!$O$3:$O$181,"&lt;="&amp;DATE(2025,8,31),'2025数据'!$AE$3:$AE$181,$E964))</f>
        <v>0</v>
      </c>
      <c r="N964" s="205">
        <f ca="1">IF($S$1&lt;DATE(2025,9,1)," ",COUNTIFS('2025数据'!$O$3:$O$181,"&gt;="&amp;DATE(2025,9,1),'2025数据'!$O$3:$O$181,"&lt;="&amp;DATE(2025,9,30),'2025数据'!$AE$3:$AE$181,$E964))</f>
        <v>0</v>
      </c>
      <c r="O964" s="205">
        <f ca="1">IF($S$1&lt;DATE(2025,10,1)," ",COUNTIFS('2025数据'!$O$3:$O$181,"&gt;="&amp;DATE(2025,10,1),'2025数据'!$O$3:$O$181,"&lt;="&amp;DATE(2025,10,31),'2025数据'!$AE$3:$AE$181,$E964))</f>
        <v>0</v>
      </c>
      <c r="P964" s="207">
        <f ca="1">IF($S$1&lt;DATE(2025,11,1)," ",COUNTIFS('2025数据'!$O$3:$O$181,"&gt;="&amp;DATE(2025,11,1),'2025数据'!$O$3:$O$181,"&lt;="&amp;DATE(2025,11,30),'2025数据'!$AE$3:$AE$181,$E964))</f>
        <v>0</v>
      </c>
      <c r="Q964" s="207">
        <f ca="1">IF($S$1&lt;DATE(2025,12,1)," ",COUNTIFS('2025数据'!$O$3:$O$181,"&gt;="&amp;DATE(2025,12,1),'2025数据'!$O$3:$O$181,"&lt;="&amp;DATE(2025,12,31),'2025数据'!$AE$3:$AE$181,$E964))</f>
        <v>0</v>
      </c>
    </row>
    <row r="965" ht="24" customHeight="1" spans="1:17">
      <c r="A965" s="99" t="s">
        <v>347</v>
      </c>
      <c r="B965" s="99" t="s">
        <v>290</v>
      </c>
      <c r="C965" s="99" t="s">
        <v>291</v>
      </c>
      <c r="D965" s="47" t="s">
        <v>294</v>
      </c>
      <c r="E965" s="47" t="s">
        <v>93</v>
      </c>
      <c r="F965" s="206">
        <f ca="1">IF($S$1&lt;DATE(2025,1,1)," ",COUNTIFS('2025数据'!$O$3:$O$181,"&gt;="&amp;DATE(2024,1,1),'2025数据'!$O$3:$O$181,"&lt;="&amp;DATE(2025,1,31),'2025数据'!$B$3:$B$181,$E965))</f>
        <v>1</v>
      </c>
      <c r="G965" s="206">
        <f ca="1">IF($S$1&lt;DATE(2025,2,1)," ",COUNTIFS('2025数据'!$O$3:$O$181,"&gt;="&amp;DATE(2025,2,1),'2025数据'!$O$3:$O$181,"&lt;="&amp;DATE(2025,2,28),'2025数据'!$B$3:$B$181,$E965))</f>
        <v>0</v>
      </c>
      <c r="H965" s="206">
        <f ca="1">IF($S$1&lt;DATE(2025,3,1)," ",COUNTIFS('2025数据'!$O$3:$O$181,"&gt;="&amp;DATE(2025,3,1),'2025数据'!$O$3:$O$181,"&lt;="&amp;DATE(2025,3,31),'2025数据'!$B$3:$B$181,$E965))</f>
        <v>0</v>
      </c>
      <c r="I965" s="206">
        <f ca="1">IF($S$1&lt;DATE(2025,4,1)," ",COUNTIFS('2025数据'!$O$3:$O$181,"&gt;="&amp;DATE(2025,4,1),'2025数据'!$O$3:$O$181,"&lt;="&amp;DATE(2025,4,30),'2025数据'!$B$3:$B$181,$E965))</f>
        <v>0</v>
      </c>
      <c r="J965" s="206">
        <f ca="1">IF($S$1&lt;DATE(2025,5,1)," ",COUNTIFS('2025数据'!$O$3:$O$181,"&gt;="&amp;DATE(2025,5,1),'2025数据'!$O$3:$O$181,"&lt;="&amp;DATE(2025,5,31),'2025数据'!$B$3:$B$181,$E965))</f>
        <v>1</v>
      </c>
      <c r="K965" s="206">
        <f ca="1">IF($S$1&lt;DATE(2025,6,1)," ",COUNTIFS('2025数据'!$O$3:$O$181,"&gt;="&amp;DATE(2025,6,1),'2025数据'!$O$3:$O$181,"&lt;="&amp;DATE(2025,6,30),'2025数据'!$B$3:$B$181,$E965))</f>
        <v>0</v>
      </c>
      <c r="L965" s="206">
        <f ca="1">IF($S$1&lt;DATE(2025,7,1)," ",COUNTIFS('2025数据'!$O$3:$O$181,"&gt;="&amp;DATE(2025,7,1),'2025数据'!$O$3:$O$181,"&lt;="&amp;DATE(2025,7,31),'2025数据'!$B$3:$B$181,$E965))</f>
        <v>2</v>
      </c>
      <c r="M965" s="206">
        <f ca="1">IF($S$1&lt;DATE(2025,8,1)," ",COUNTIFS('2025数据'!$O$3:$O$181,"&gt;="&amp;DATE(2025,8,1),'2025数据'!$O$3:$O$181,"&lt;="&amp;DATE(2025,8,31),'2025数据'!$B$3:$B$181,$E965))</f>
        <v>0</v>
      </c>
      <c r="N965" s="206">
        <f ca="1">IF($S$1&lt;DATE(2025,9,1)," ",COUNTIFS('2025数据'!$O$3:$O$181,"&gt;="&amp;DATE(2025,9,1),'2025数据'!$O$3:$O$181,"&lt;="&amp;DATE(2025,9,30),'2025数据'!$B$3:$B$181,$E965))</f>
        <v>2</v>
      </c>
      <c r="O965" s="206">
        <f ca="1">IF($S$1&lt;DATE(2025,10,1)," ",COUNTIFS('2025数据'!$O$3:$O$181,"&gt;="&amp;DATE(2025,10,1),'2025数据'!$O$3:$O$181,"&lt;="&amp;DATE(2025,10,31),'2025数据'!$B$3:$B$181,$E965))</f>
        <v>1</v>
      </c>
      <c r="P965" s="208">
        <f ca="1">IF($S$1&lt;DATE(2025,11,1)," ",COUNTIFS('2025数据'!$O$3:$O$181,"&gt;="&amp;DATE(2025,11,1),'2025数据'!$O$3:$O$181,"&lt;="&amp;DATE(2025,11,30),'2025数据'!$B$3:$B$181,$E965))</f>
        <v>0</v>
      </c>
      <c r="Q965" s="208">
        <f ca="1">IF($S$1&lt;DATE(2025,12,1)," ",COUNTIFS('2025数据'!$O$3:$O$181,"&gt;="&amp;DATE(2025,12,1),'2025数据'!$O$3:$O$181,"&lt;="&amp;DATE(2025,12,31),'2025数据'!$B$3:$B$181,$E965))</f>
        <v>0</v>
      </c>
    </row>
    <row r="966" ht="24" customHeight="1" spans="1:17">
      <c r="A966" s="99" t="s">
        <v>347</v>
      </c>
      <c r="B966" s="99" t="s">
        <v>290</v>
      </c>
      <c r="C966" s="99" t="s">
        <v>291</v>
      </c>
      <c r="D966" s="47" t="s">
        <v>294</v>
      </c>
      <c r="E966" s="47" t="s">
        <v>85</v>
      </c>
      <c r="F966" s="206">
        <f ca="1">IF($S$1&lt;DATE(2025,1,1)," ",COUNTIFS('2025数据'!$O$3:$O$181,"&gt;="&amp;DATE(2024,1,1),'2025数据'!$O$3:$O$181,"&lt;="&amp;DATE(2025,1,31),'2025数据'!$B$3:$B$181,$E966))</f>
        <v>0</v>
      </c>
      <c r="G966" s="206">
        <f ca="1">IF($S$1&lt;DATE(2025,2,1)," ",COUNTIFS('2025数据'!$O$3:$O$181,"&gt;="&amp;DATE(2025,2,1),'2025数据'!$O$3:$O$181,"&lt;="&amp;DATE(2025,2,28),'2025数据'!$B$3:$B$181,$E966))</f>
        <v>0</v>
      </c>
      <c r="H966" s="206">
        <f ca="1">IF($S$1&lt;DATE(2025,3,1)," ",COUNTIFS('2025数据'!$O$3:$O$181,"&gt;="&amp;DATE(2025,3,1),'2025数据'!$O$3:$O$181,"&lt;="&amp;DATE(2025,3,31),'2025数据'!$B$3:$B$181,$E966))</f>
        <v>0</v>
      </c>
      <c r="I966" s="206">
        <f ca="1">IF($S$1&lt;DATE(2025,4,1)," ",COUNTIFS('2025数据'!$O$3:$O$181,"&gt;="&amp;DATE(2025,4,1),'2025数据'!$O$3:$O$181,"&lt;="&amp;DATE(2025,4,30),'2025数据'!$B$3:$B$181,$E966))</f>
        <v>0</v>
      </c>
      <c r="J966" s="206">
        <f ca="1">IF($S$1&lt;DATE(2025,5,1)," ",COUNTIFS('2025数据'!$O$3:$O$181,"&gt;="&amp;DATE(2025,5,1),'2025数据'!$O$3:$O$181,"&lt;="&amp;DATE(2025,5,31),'2025数据'!$B$3:$B$181,$E966))</f>
        <v>0</v>
      </c>
      <c r="K966" s="206">
        <f ca="1">IF($S$1&lt;DATE(2025,6,1)," ",COUNTIFS('2025数据'!$O$3:$O$181,"&gt;="&amp;DATE(2025,6,1),'2025数据'!$O$3:$O$181,"&lt;="&amp;DATE(2025,6,30),'2025数据'!$B$3:$B$181,$E966))</f>
        <v>1</v>
      </c>
      <c r="L966" s="206">
        <f ca="1">IF($S$1&lt;DATE(2025,7,1)," ",COUNTIFS('2025数据'!$O$3:$O$181,"&gt;="&amp;DATE(2025,7,1),'2025数据'!$O$3:$O$181,"&lt;="&amp;DATE(2025,7,31),'2025数据'!$B$3:$B$181,$E966))</f>
        <v>0</v>
      </c>
      <c r="M966" s="206">
        <f ca="1">IF($S$1&lt;DATE(2025,8,1)," ",COUNTIFS('2025数据'!$O$3:$O$181,"&gt;="&amp;DATE(2025,8,1),'2025数据'!$O$3:$O$181,"&lt;="&amp;DATE(2025,8,31),'2025数据'!$B$3:$B$181,$E966))</f>
        <v>0</v>
      </c>
      <c r="N966" s="206">
        <f ca="1">IF($S$1&lt;DATE(2025,9,1)," ",COUNTIFS('2025数据'!$O$3:$O$181,"&gt;="&amp;DATE(2025,9,1),'2025数据'!$O$3:$O$181,"&lt;="&amp;DATE(2025,9,30),'2025数据'!$B$3:$B$181,$E966))</f>
        <v>0</v>
      </c>
      <c r="O966" s="206">
        <f ca="1">IF($S$1&lt;DATE(2025,10,1)," ",COUNTIFS('2025数据'!$O$3:$O$181,"&gt;="&amp;DATE(2025,10,1),'2025数据'!$O$3:$O$181,"&lt;="&amp;DATE(2025,10,31),'2025数据'!$B$3:$B$181,$E966))</f>
        <v>0</v>
      </c>
      <c r="P966" s="208">
        <f ca="1">IF($S$1&lt;DATE(2025,11,1)," ",COUNTIFS('2025数据'!$O$3:$O$181,"&gt;="&amp;DATE(2025,11,1),'2025数据'!$O$3:$O$181,"&lt;="&amp;DATE(2025,11,30),'2025数据'!$B$3:$B$181,$E966))</f>
        <v>0</v>
      </c>
      <c r="Q966" s="208">
        <f ca="1">IF($S$1&lt;DATE(2025,12,1)," ",COUNTIFS('2025数据'!$O$3:$O$181,"&gt;="&amp;DATE(2025,12,1),'2025数据'!$O$3:$O$181,"&lt;="&amp;DATE(2025,12,31),'2025数据'!$B$3:$B$181,$E966))</f>
        <v>1</v>
      </c>
    </row>
    <row r="967" ht="24" customHeight="1" spans="1:17">
      <c r="A967" s="99" t="s">
        <v>347</v>
      </c>
      <c r="B967" s="99" t="s">
        <v>290</v>
      </c>
      <c r="C967" s="99" t="s">
        <v>291</v>
      </c>
      <c r="D967" s="47" t="s">
        <v>294</v>
      </c>
      <c r="E967" s="47" t="s">
        <v>81</v>
      </c>
      <c r="F967" s="206">
        <f ca="1">IF($S$1&lt;DATE(2025,1,1)," ",COUNTIFS('2025数据'!$O$3:$O$181,"&gt;="&amp;DATE(2024,1,1),'2025数据'!$O$3:$O$181,"&lt;="&amp;DATE(2025,1,31),'2025数据'!$B$3:$B$181,$E967))</f>
        <v>0</v>
      </c>
      <c r="G967" s="206">
        <f ca="1">IF($S$1&lt;DATE(2025,2,1)," ",COUNTIFS('2025数据'!$O$3:$O$181,"&gt;="&amp;DATE(2025,2,1),'2025数据'!$O$3:$O$181,"&lt;="&amp;DATE(2025,2,28),'2025数据'!$B$3:$B$181,$E967))</f>
        <v>0</v>
      </c>
      <c r="H967" s="206">
        <f ca="1">IF($S$1&lt;DATE(2025,3,1)," ",COUNTIFS('2025数据'!$O$3:$O$181,"&gt;="&amp;DATE(2025,3,1),'2025数据'!$O$3:$O$181,"&lt;="&amp;DATE(2025,3,31),'2025数据'!$B$3:$B$181,$E967))</f>
        <v>0</v>
      </c>
      <c r="I967" s="206">
        <f ca="1">IF($S$1&lt;DATE(2025,4,1)," ",COUNTIFS('2025数据'!$O$3:$O$181,"&gt;="&amp;DATE(2025,4,1),'2025数据'!$O$3:$O$181,"&lt;="&amp;DATE(2025,4,30),'2025数据'!$B$3:$B$181,$E967))</f>
        <v>1</v>
      </c>
      <c r="J967" s="206">
        <f ca="1">IF($S$1&lt;DATE(2025,5,1)," ",COUNTIFS('2025数据'!$O$3:$O$181,"&gt;="&amp;DATE(2025,5,1),'2025数据'!$O$3:$O$181,"&lt;="&amp;DATE(2025,5,31),'2025数据'!$B$3:$B$181,$E967))</f>
        <v>0</v>
      </c>
      <c r="K967" s="206">
        <f ca="1">IF($S$1&lt;DATE(2025,6,1)," ",COUNTIFS('2025数据'!$O$3:$O$181,"&gt;="&amp;DATE(2025,6,1),'2025数据'!$O$3:$O$181,"&lt;="&amp;DATE(2025,6,30),'2025数据'!$B$3:$B$181,$E967))</f>
        <v>0</v>
      </c>
      <c r="L967" s="206">
        <f ca="1">IF($S$1&lt;DATE(2025,7,1)," ",COUNTIFS('2025数据'!$O$3:$O$181,"&gt;="&amp;DATE(2025,7,1),'2025数据'!$O$3:$O$181,"&lt;="&amp;DATE(2025,7,31),'2025数据'!$B$3:$B$181,$E967))</f>
        <v>0</v>
      </c>
      <c r="M967" s="206">
        <f ca="1">IF($S$1&lt;DATE(2025,8,1)," ",COUNTIFS('2025数据'!$O$3:$O$181,"&gt;="&amp;DATE(2025,8,1),'2025数据'!$O$3:$O$181,"&lt;="&amp;DATE(2025,8,31),'2025数据'!$B$3:$B$181,$E967))</f>
        <v>0</v>
      </c>
      <c r="N967" s="206">
        <f ca="1">IF($S$1&lt;DATE(2025,9,1)," ",COUNTIFS('2025数据'!$O$3:$O$181,"&gt;="&amp;DATE(2025,9,1),'2025数据'!$O$3:$O$181,"&lt;="&amp;DATE(2025,9,30),'2025数据'!$B$3:$B$181,$E967))</f>
        <v>1</v>
      </c>
      <c r="O967" s="206">
        <f ca="1">IF($S$1&lt;DATE(2025,10,1)," ",COUNTIFS('2025数据'!$O$3:$O$181,"&gt;="&amp;DATE(2025,10,1),'2025数据'!$O$3:$O$181,"&lt;="&amp;DATE(2025,10,31),'2025数据'!$B$3:$B$181,$E967))</f>
        <v>0</v>
      </c>
      <c r="P967" s="208">
        <f ca="1">IF($S$1&lt;DATE(2025,11,1)," ",COUNTIFS('2025数据'!$O$3:$O$181,"&gt;="&amp;DATE(2025,11,1),'2025数据'!$O$3:$O$181,"&lt;="&amp;DATE(2025,11,30),'2025数据'!$B$3:$B$181,$E967))</f>
        <v>0</v>
      </c>
      <c r="Q967" s="208">
        <f ca="1">IF($S$1&lt;DATE(2025,12,1)," ",COUNTIFS('2025数据'!$O$3:$O$181,"&gt;="&amp;DATE(2025,12,1),'2025数据'!$O$3:$O$181,"&lt;="&amp;DATE(2025,12,31),'2025数据'!$B$3:$B$181,$E967))</f>
        <v>0</v>
      </c>
    </row>
    <row r="968" ht="24" customHeight="1" spans="1:17">
      <c r="A968" s="99" t="s">
        <v>347</v>
      </c>
      <c r="B968" s="99" t="s">
        <v>290</v>
      </c>
      <c r="C968" s="99" t="s">
        <v>291</v>
      </c>
      <c r="D968" s="47" t="s">
        <v>294</v>
      </c>
      <c r="E968" s="47" t="s">
        <v>96</v>
      </c>
      <c r="F968" s="206">
        <f ca="1">IF($S$1&lt;DATE(2025,1,1)," ",COUNTIFS('2025数据'!$O$3:$O$181,"&gt;="&amp;DATE(2024,1,1),'2025数据'!$O$3:$O$181,"&lt;="&amp;DATE(2025,1,31),'2025数据'!$B$3:$B$181,$E968))</f>
        <v>0</v>
      </c>
      <c r="G968" s="206">
        <f ca="1">IF($S$1&lt;DATE(2025,2,1)," ",COUNTIFS('2025数据'!$O$3:$O$181,"&gt;="&amp;DATE(2025,2,1),'2025数据'!$O$3:$O$181,"&lt;="&amp;DATE(2025,2,28),'2025数据'!$B$3:$B$181,$E968))</f>
        <v>0</v>
      </c>
      <c r="H968" s="206">
        <f ca="1">IF($S$1&lt;DATE(2025,3,1)," ",COUNTIFS('2025数据'!$O$3:$O$181,"&gt;="&amp;DATE(2025,3,1),'2025数据'!$O$3:$O$181,"&lt;="&amp;DATE(2025,3,31),'2025数据'!$B$3:$B$181,$E968))</f>
        <v>0</v>
      </c>
      <c r="I968" s="206">
        <f ca="1">IF($S$1&lt;DATE(2025,4,1)," ",COUNTIFS('2025数据'!$O$3:$O$181,"&gt;="&amp;DATE(2025,4,1),'2025数据'!$O$3:$O$181,"&lt;="&amp;DATE(2025,4,30),'2025数据'!$B$3:$B$181,$E968))</f>
        <v>0</v>
      </c>
      <c r="J968" s="206">
        <f ca="1">IF($S$1&lt;DATE(2025,5,1)," ",COUNTIFS('2025数据'!$O$3:$O$181,"&gt;="&amp;DATE(2025,5,1),'2025数据'!$O$3:$O$181,"&lt;="&amp;DATE(2025,5,31),'2025数据'!$B$3:$B$181,$E968))</f>
        <v>0</v>
      </c>
      <c r="K968" s="206">
        <f ca="1">IF($S$1&lt;DATE(2025,6,1)," ",COUNTIFS('2025数据'!$O$3:$O$181,"&gt;="&amp;DATE(2025,6,1),'2025数据'!$O$3:$O$181,"&lt;="&amp;DATE(2025,6,30),'2025数据'!$B$3:$B$181,$E968))</f>
        <v>0</v>
      </c>
      <c r="L968" s="206">
        <f ca="1">IF($S$1&lt;DATE(2025,7,1)," ",COUNTIFS('2025数据'!$O$3:$O$181,"&gt;="&amp;DATE(2025,7,1),'2025数据'!$O$3:$O$181,"&lt;="&amp;DATE(2025,7,31),'2025数据'!$B$3:$B$181,$E968))</f>
        <v>0</v>
      </c>
      <c r="M968" s="206">
        <f ca="1">IF($S$1&lt;DATE(2025,8,1)," ",COUNTIFS('2025数据'!$O$3:$O$181,"&gt;="&amp;DATE(2025,8,1),'2025数据'!$O$3:$O$181,"&lt;="&amp;DATE(2025,8,31),'2025数据'!$B$3:$B$181,$E968))</f>
        <v>0</v>
      </c>
      <c r="N968" s="206">
        <f ca="1">IF($S$1&lt;DATE(2025,9,1)," ",COUNTIFS('2025数据'!$O$3:$O$181,"&gt;="&amp;DATE(2025,9,1),'2025数据'!$O$3:$O$181,"&lt;="&amp;DATE(2025,9,30),'2025数据'!$B$3:$B$181,$E968))</f>
        <v>0</v>
      </c>
      <c r="O968" s="206">
        <f ca="1">IF($S$1&lt;DATE(2025,10,1)," ",COUNTIFS('2025数据'!$O$3:$O$181,"&gt;="&amp;DATE(2025,10,1),'2025数据'!$O$3:$O$181,"&lt;="&amp;DATE(2025,10,31),'2025数据'!$B$3:$B$181,$E968))</f>
        <v>0</v>
      </c>
      <c r="P968" s="208">
        <f ca="1">IF($S$1&lt;DATE(2025,11,1)," ",COUNTIFS('2025数据'!$O$3:$O$181,"&gt;="&amp;DATE(2025,11,1),'2025数据'!$O$3:$O$181,"&lt;="&amp;DATE(2025,11,30),'2025数据'!$B$3:$B$181,$E968))</f>
        <v>0</v>
      </c>
      <c r="Q968" s="208">
        <f ca="1">IF($S$1&lt;DATE(2025,12,1)," ",COUNTIFS('2025数据'!$O$3:$O$181,"&gt;="&amp;DATE(2025,12,1),'2025数据'!$O$3:$O$181,"&lt;="&amp;DATE(2025,12,31),'2025数据'!$B$3:$B$181,$E968))</f>
        <v>0</v>
      </c>
    </row>
    <row r="969" ht="24" customHeight="1" spans="1:17">
      <c r="A969" s="99" t="s">
        <v>347</v>
      </c>
      <c r="B969" s="99" t="s">
        <v>290</v>
      </c>
      <c r="C969" s="99" t="s">
        <v>291</v>
      </c>
      <c r="D969" s="47" t="s">
        <v>294</v>
      </c>
      <c r="E969" s="47" t="s">
        <v>160</v>
      </c>
      <c r="F969" s="206">
        <f ca="1">IF($S$1&lt;DATE(2025,1,1)," ",COUNTIFS('2025数据'!$O$3:$O$181,"&gt;="&amp;DATE(2024,1,1),'2025数据'!$O$3:$O$181,"&lt;="&amp;DATE(2025,1,31),'2025数据'!$B$3:$B$181,$E969))</f>
        <v>0</v>
      </c>
      <c r="G969" s="206">
        <f ca="1">IF($S$1&lt;DATE(2025,2,1)," ",COUNTIFS('2025数据'!$O$3:$O$181,"&gt;="&amp;DATE(2025,2,1),'2025数据'!$O$3:$O$181,"&lt;="&amp;DATE(2025,2,28),'2025数据'!$B$3:$B$181,$E969))</f>
        <v>0</v>
      </c>
      <c r="H969" s="206">
        <f ca="1">IF($S$1&lt;DATE(2025,3,1)," ",COUNTIFS('2025数据'!$O$3:$O$181,"&gt;="&amp;DATE(2025,3,1),'2025数据'!$O$3:$O$181,"&lt;="&amp;DATE(2025,3,31),'2025数据'!$B$3:$B$181,$E969))</f>
        <v>0</v>
      </c>
      <c r="I969" s="206">
        <f ca="1">IF($S$1&lt;DATE(2025,4,1)," ",COUNTIFS('2025数据'!$O$3:$O$181,"&gt;="&amp;DATE(2025,4,1),'2025数据'!$O$3:$O$181,"&lt;="&amp;DATE(2025,4,30),'2025数据'!$B$3:$B$181,$E969))</f>
        <v>0</v>
      </c>
      <c r="J969" s="206">
        <f ca="1">IF($S$1&lt;DATE(2025,5,1)," ",COUNTIFS('2025数据'!$O$3:$O$181,"&gt;="&amp;DATE(2025,5,1),'2025数据'!$O$3:$O$181,"&lt;="&amp;DATE(2025,5,31),'2025数据'!$B$3:$B$181,$E969))</f>
        <v>0</v>
      </c>
      <c r="K969" s="206">
        <f ca="1">IF($S$1&lt;DATE(2025,6,1)," ",COUNTIFS('2025数据'!$O$3:$O$181,"&gt;="&amp;DATE(2025,6,1),'2025数据'!$O$3:$O$181,"&lt;="&amp;DATE(2025,6,30),'2025数据'!$B$3:$B$181,$E969))</f>
        <v>0</v>
      </c>
      <c r="L969" s="206">
        <f ca="1">IF($S$1&lt;DATE(2025,7,1)," ",COUNTIFS('2025数据'!$O$3:$O$181,"&gt;="&amp;DATE(2025,7,1),'2025数据'!$O$3:$O$181,"&lt;="&amp;DATE(2025,7,31),'2025数据'!$B$3:$B$181,$E969))</f>
        <v>0</v>
      </c>
      <c r="M969" s="206">
        <f ca="1">IF($S$1&lt;DATE(2025,8,1)," ",COUNTIFS('2025数据'!$O$3:$O$181,"&gt;="&amp;DATE(2025,8,1),'2025数据'!$O$3:$O$181,"&lt;="&amp;DATE(2025,8,31),'2025数据'!$B$3:$B$181,$E969))</f>
        <v>0</v>
      </c>
      <c r="N969" s="206">
        <f ca="1">IF($S$1&lt;DATE(2025,9,1)," ",COUNTIFS('2025数据'!$O$3:$O$181,"&gt;="&amp;DATE(2025,9,1),'2025数据'!$O$3:$O$181,"&lt;="&amp;DATE(2025,9,30),'2025数据'!$B$3:$B$181,$E969))</f>
        <v>0</v>
      </c>
      <c r="O969" s="206">
        <f ca="1">IF($S$1&lt;DATE(2025,10,1)," ",COUNTIFS('2025数据'!$O$3:$O$181,"&gt;="&amp;DATE(2025,10,1),'2025数据'!$O$3:$O$181,"&lt;="&amp;DATE(2025,10,31),'2025数据'!$B$3:$B$181,$E969))</f>
        <v>0</v>
      </c>
      <c r="P969" s="208">
        <f ca="1">IF($S$1&lt;DATE(2025,11,1)," ",COUNTIFS('2025数据'!$O$3:$O$181,"&gt;="&amp;DATE(2025,11,1),'2025数据'!$O$3:$O$181,"&lt;="&amp;DATE(2025,11,30),'2025数据'!$B$3:$B$181,$E969))</f>
        <v>0</v>
      </c>
      <c r="Q969" s="208">
        <f ca="1">IF($S$1&lt;DATE(2025,12,1)," ",COUNTIFS('2025数据'!$O$3:$O$181,"&gt;="&amp;DATE(2025,12,1),'2025数据'!$O$3:$O$181,"&lt;="&amp;DATE(2025,12,31),'2025数据'!$B$3:$B$181,$E969))</f>
        <v>0</v>
      </c>
    </row>
    <row r="970" ht="24" customHeight="1" spans="1:17">
      <c r="A970" s="99" t="s">
        <v>347</v>
      </c>
      <c r="B970" s="99" t="s">
        <v>290</v>
      </c>
      <c r="C970" s="99" t="s">
        <v>291</v>
      </c>
      <c r="D970" s="100" t="s">
        <v>292</v>
      </c>
      <c r="E970" s="100" t="s">
        <v>295</v>
      </c>
      <c r="F970" s="204">
        <f ca="1">IF($S$1&lt;DATE(2025,1,1)," ",SUM(F971:F973))</f>
        <v>1</v>
      </c>
      <c r="G970" s="204">
        <f ca="1">IF($S$1&lt;DATE(2025,2,1)," ",SUM(G971:G973))</f>
        <v>0</v>
      </c>
      <c r="H970" s="204">
        <f ca="1">IF($S$1&lt;DATE(2025,3,1)," ",SUM(H971:H973))</f>
        <v>0</v>
      </c>
      <c r="I970" s="204">
        <f ca="1">IF($S$1&lt;DATE(2025,4,1)," ",SUM(I971:I973))</f>
        <v>0</v>
      </c>
      <c r="J970" s="204">
        <f ca="1">IF($S$1&lt;DATE(2025,5,1)," ",SUM(J971:J973))</f>
        <v>1</v>
      </c>
      <c r="K970" s="204">
        <f ca="1">IF($S$1&lt;DATE(2025,6,1)," ",SUM(K971:K973))</f>
        <v>1</v>
      </c>
      <c r="L970" s="204">
        <f ca="1">IF($S$1&lt;DATE(2025,7,1)," ",SUM(L971:L973))</f>
        <v>2</v>
      </c>
      <c r="M970" s="204">
        <f ca="1">IF($S$1&lt;DATE(2025,8,1)," ",SUM(M971:M973))</f>
        <v>0</v>
      </c>
      <c r="N970" s="204">
        <f ca="1">IF($S$1&lt;DATE(2025,9,1)," ",SUM(N971:N973))</f>
        <v>3</v>
      </c>
      <c r="O970" s="204">
        <f ca="1">IF($S$1&lt;DATE(2025,10,1)," ",SUM(O971:O973))</f>
        <v>1</v>
      </c>
      <c r="P970" s="204">
        <f ca="1">IF($S$1&lt;DATE(2025,11,1)," ",SUM(P971:P973))</f>
        <v>0</v>
      </c>
      <c r="Q970" s="204">
        <f ca="1">IF($S$1&lt;DATE(2025,12,1)," ",SUM(Q971:Q973))</f>
        <v>1</v>
      </c>
    </row>
    <row r="971" ht="24" customHeight="1" spans="1:17">
      <c r="A971" s="99" t="s">
        <v>347</v>
      </c>
      <c r="B971" s="99" t="s">
        <v>290</v>
      </c>
      <c r="C971" s="99" t="s">
        <v>291</v>
      </c>
      <c r="D971" s="48" t="s">
        <v>296</v>
      </c>
      <c r="E971" s="48" t="s">
        <v>90</v>
      </c>
      <c r="F971" s="205">
        <f ca="1">IF($S$1&lt;DATE(2025,1,1)," ",COUNTIFS('2025数据'!$O$3:$O$181,"&gt;="&amp;DATE(2024,1,1),'2025数据'!$O$3:$O$181,"&lt;="&amp;DATE(2025,1,31),'2025数据'!$AF$3:$AF$181,$E971))</f>
        <v>0</v>
      </c>
      <c r="G971" s="205">
        <f ca="1">IF($S$1&lt;DATE(2025,2,1)," ",COUNTIFS('2025数据'!$O$3:$O$181,"&gt;="&amp;DATE(2025,2,1),'2025数据'!$O$3:$O$181,"&lt;="&amp;DATE(2025,2,28),'2025数据'!$AF$3:$AF$181,$E971))</f>
        <v>0</v>
      </c>
      <c r="H971" s="205">
        <f ca="1">IF($S$1&lt;DATE(2025,3,1)," ",COUNTIFS('2025数据'!$O$3:$O$181,"&gt;="&amp;DATE(2025,3,1),'2025数据'!$O$3:$O$181,"&lt;="&amp;DATE(2025,3,31),'2025数据'!$AF$3:$AF$181,$E971))</f>
        <v>0</v>
      </c>
      <c r="I971" s="205">
        <f ca="1">IF($S$1&lt;DATE(2025,4,1)," ",COUNTIFS('2025数据'!$O$3:$O$181,"&gt;="&amp;DATE(2025,4,1),'2025数据'!$O$3:$O$181,"&lt;="&amp;DATE(2025,4,30),'2025数据'!$AF$3:$AF$181,$E971))</f>
        <v>0</v>
      </c>
      <c r="J971" s="205">
        <f ca="1">IF($S$1&lt;DATE(2025,5,1)," ",COUNTIFS('2025数据'!$O$3:$O$181,"&gt;="&amp;DATE(2025,5,1),'2025数据'!$O$3:$O$181,"&lt;="&amp;DATE(2025,5,31),'2025数据'!$AF$3:$AF$181,$E971))</f>
        <v>0</v>
      </c>
      <c r="K971" s="205">
        <f ca="1">IF($S$1&lt;DATE(2025,6,1)," ",COUNTIFS('2025数据'!$O$3:$O$181,"&gt;="&amp;DATE(2025,6,1),'2025数据'!$O$3:$O$181,"&lt;="&amp;DATE(2025,6,30),'2025数据'!$AF$3:$AF$181,$E971))</f>
        <v>0</v>
      </c>
      <c r="L971" s="205">
        <f ca="1">IF($S$1&lt;DATE(2025,7,1)," ",COUNTIFS('2025数据'!$O$3:$O$181,"&gt;="&amp;DATE(2025,7,1),'2025数据'!$O$3:$O$181,"&lt;="&amp;DATE(2025,7,31),'2025数据'!$AF$3:$AF$181,$E971))</f>
        <v>1</v>
      </c>
      <c r="M971" s="205">
        <f ca="1">IF($S$1&lt;DATE(2025,8,1)," ",COUNTIFS('2025数据'!$O$3:$O$181,"&gt;="&amp;DATE(2025,8,1),'2025数据'!$O$3:$O$181,"&lt;="&amp;DATE(2025,8,31),'2025数据'!$AF$3:$AF$181,$E971))</f>
        <v>0</v>
      </c>
      <c r="N971" s="205">
        <f ca="1">IF($S$1&lt;DATE(2025,9,1)," ",COUNTIFS('2025数据'!$O$3:$O$181,"&gt;="&amp;DATE(2025,9,1),'2025数据'!$O$3:$O$181,"&lt;="&amp;DATE(2025,9,30),'2025数据'!$AF$3:$AF$181,$E971))</f>
        <v>1</v>
      </c>
      <c r="O971" s="205">
        <f ca="1">IF($S$1&lt;DATE(2025,10,1)," ",COUNTIFS('2025数据'!$O$3:$O$181,"&gt;="&amp;DATE(2025,10,1),'2025数据'!$O$3:$O$181,"&lt;="&amp;DATE(2025,10,31),'2025数据'!$AF$3:$AF$181,$E971))</f>
        <v>0</v>
      </c>
      <c r="P971" s="207">
        <f ca="1">IF($S$1&lt;DATE(2025,11,1)," ",COUNTIFS('2025数据'!$O$3:$O$181,"&gt;="&amp;DATE(2025,11,1),'2025数据'!$O$3:$O$181,"&lt;="&amp;DATE(2025,11,30),'2025数据'!$AF$3:$AF$181,$E971))</f>
        <v>0</v>
      </c>
      <c r="Q971" s="207">
        <f ca="1">IF($S$1&lt;DATE(2025,12,1)," ",COUNTIFS('2025数据'!$O$3:$O$181,"&gt;="&amp;DATE(2025,12,1),'2025数据'!$O$3:$O$181,"&lt;="&amp;DATE(2025,12,31),'2025数据'!$AF$3:$AF$181,$E971))</f>
        <v>1</v>
      </c>
    </row>
    <row r="972" ht="24" customHeight="1" spans="1:17">
      <c r="A972" s="99" t="s">
        <v>347</v>
      </c>
      <c r="B972" s="99" t="s">
        <v>290</v>
      </c>
      <c r="C972" s="99" t="s">
        <v>291</v>
      </c>
      <c r="D972" s="48" t="s">
        <v>296</v>
      </c>
      <c r="E972" s="48" t="s">
        <v>82</v>
      </c>
      <c r="F972" s="205">
        <f ca="1">IF($S$1&lt;DATE(2025,1,1)," ",COUNTIFS('2025数据'!$O$3:$O$181,"&gt;="&amp;DATE(2024,1,1),'2025数据'!$O$3:$O$181,"&lt;="&amp;DATE(2025,1,31),'2025数据'!$AF$3:$AF$181,$E972))</f>
        <v>1</v>
      </c>
      <c r="G972" s="205">
        <f ca="1">IF($S$1&lt;DATE(2025,2,1)," ",COUNTIFS('2025数据'!$O$3:$O$181,"&gt;="&amp;DATE(2025,2,1),'2025数据'!$O$3:$O$181,"&lt;="&amp;DATE(2025,2,28),'2025数据'!$AF$3:$AF$181,$E972))</f>
        <v>0</v>
      </c>
      <c r="H972" s="205">
        <f ca="1">IF($S$1&lt;DATE(2025,3,1)," ",COUNTIFS('2025数据'!$O$3:$O$181,"&gt;="&amp;DATE(2025,3,1),'2025数据'!$O$3:$O$181,"&lt;="&amp;DATE(2025,3,31),'2025数据'!$AF$3:$AF$181,$E972))</f>
        <v>0</v>
      </c>
      <c r="I972" s="205">
        <f ca="1">IF($S$1&lt;DATE(2025,4,1)," ",COUNTIFS('2025数据'!$O$3:$O$181,"&gt;="&amp;DATE(2025,4,1),'2025数据'!$O$3:$O$181,"&lt;="&amp;DATE(2025,4,30),'2025数据'!$AF$3:$AF$181,$E972))</f>
        <v>0</v>
      </c>
      <c r="J972" s="205">
        <f ca="1">IF($S$1&lt;DATE(2025,5,1)," ",COUNTIFS('2025数据'!$O$3:$O$181,"&gt;="&amp;DATE(2025,5,1),'2025数据'!$O$3:$O$181,"&lt;="&amp;DATE(2025,5,31),'2025数据'!$AF$3:$AF$181,$E972))</f>
        <v>1</v>
      </c>
      <c r="K972" s="205">
        <f ca="1">IF($S$1&lt;DATE(2025,6,1)," ",COUNTIFS('2025数据'!$O$3:$O$181,"&gt;="&amp;DATE(2025,6,1),'2025数据'!$O$3:$O$181,"&lt;="&amp;DATE(2025,6,30),'2025数据'!$AF$3:$AF$181,$E972))</f>
        <v>1</v>
      </c>
      <c r="L972" s="205">
        <f ca="1">IF($S$1&lt;DATE(2025,7,1)," ",COUNTIFS('2025数据'!$O$3:$O$181,"&gt;="&amp;DATE(2025,7,1),'2025数据'!$O$3:$O$181,"&lt;="&amp;DATE(2025,7,31),'2025数据'!$AF$3:$AF$181,$E972))</f>
        <v>0</v>
      </c>
      <c r="M972" s="205">
        <f ca="1">IF($S$1&lt;DATE(2025,8,1)," ",COUNTIFS('2025数据'!$O$3:$O$181,"&gt;="&amp;DATE(2025,8,1),'2025数据'!$O$3:$O$181,"&lt;="&amp;DATE(2025,8,31),'2025数据'!$AF$3:$AF$181,$E972))</f>
        <v>0</v>
      </c>
      <c r="N972" s="205">
        <f ca="1">IF($S$1&lt;DATE(2025,9,1)," ",COUNTIFS('2025数据'!$O$3:$O$181,"&gt;="&amp;DATE(2025,9,1),'2025数据'!$O$3:$O$181,"&lt;="&amp;DATE(2025,9,30),'2025数据'!$AF$3:$AF$181,$E972))</f>
        <v>2</v>
      </c>
      <c r="O972" s="205">
        <f ca="1">IF($S$1&lt;DATE(2025,10,1)," ",COUNTIFS('2025数据'!$O$3:$O$181,"&gt;="&amp;DATE(2025,10,1),'2025数据'!$O$3:$O$181,"&lt;="&amp;DATE(2025,10,31),'2025数据'!$AF$3:$AF$181,$E972))</f>
        <v>1</v>
      </c>
      <c r="P972" s="207">
        <f ca="1">IF($S$1&lt;DATE(2025,11,1)," ",COUNTIFS('2025数据'!$O$3:$O$181,"&gt;="&amp;DATE(2025,11,1),'2025数据'!$O$3:$O$181,"&lt;="&amp;DATE(2025,11,30),'2025数据'!$AF$3:$AF$181,$E972))</f>
        <v>0</v>
      </c>
      <c r="Q972" s="207">
        <f ca="1">IF($S$1&lt;DATE(2025,12,1)," ",COUNTIFS('2025数据'!$O$3:$O$181,"&gt;="&amp;DATE(2025,12,1),'2025数据'!$O$3:$O$181,"&lt;="&amp;DATE(2025,12,31),'2025数据'!$AF$3:$AF$181,$E972))</f>
        <v>0</v>
      </c>
    </row>
    <row r="973" ht="24" customHeight="1" spans="1:17">
      <c r="A973" s="99" t="s">
        <v>347</v>
      </c>
      <c r="B973" s="99" t="s">
        <v>290</v>
      </c>
      <c r="C973" s="99" t="s">
        <v>291</v>
      </c>
      <c r="D973" s="48" t="s">
        <v>296</v>
      </c>
      <c r="E973" s="48" t="s">
        <v>86</v>
      </c>
      <c r="F973" s="205">
        <f ca="1">IF($S$1&lt;DATE(2025,1,1)," ",COUNTIFS('2025数据'!$O$3:$O$181,"&gt;="&amp;DATE(2024,1,1),'2025数据'!$O$3:$O$181,"&lt;="&amp;DATE(2025,1,31),'2025数据'!$AF$3:$AF$181,$E973))</f>
        <v>0</v>
      </c>
      <c r="G973" s="205">
        <f ca="1">IF($S$1&lt;DATE(2025,2,1)," ",COUNTIFS('2025数据'!$O$3:$O$181,"&gt;="&amp;DATE(2025,2,1),'2025数据'!$O$3:$O$181,"&lt;="&amp;DATE(2025,2,28),'2025数据'!$AF$3:$AF$181,$E973))</f>
        <v>0</v>
      </c>
      <c r="H973" s="205">
        <f ca="1">IF($S$1&lt;DATE(2025,3,1)," ",COUNTIFS('2025数据'!$O$3:$O$181,"&gt;="&amp;DATE(2025,3,1),'2025数据'!$O$3:$O$181,"&lt;="&amp;DATE(2025,3,31),'2025数据'!$AF$3:$AF$181,$E973))</f>
        <v>0</v>
      </c>
      <c r="I973" s="205">
        <f ca="1">IF($S$1&lt;DATE(2025,4,1)," ",COUNTIFS('2025数据'!$O$3:$O$181,"&gt;="&amp;DATE(2025,4,1),'2025数据'!$O$3:$O$181,"&lt;="&amp;DATE(2025,4,30),'2025数据'!$AF$3:$AF$181,$E973))</f>
        <v>0</v>
      </c>
      <c r="J973" s="205">
        <f ca="1">IF($S$1&lt;DATE(2025,5,1)," ",COUNTIFS('2025数据'!$O$3:$O$181,"&gt;="&amp;DATE(2025,5,1),'2025数据'!$O$3:$O$181,"&lt;="&amp;DATE(2025,5,31),'2025数据'!$AF$3:$AF$181,$E973))</f>
        <v>0</v>
      </c>
      <c r="K973" s="205">
        <f ca="1">IF($S$1&lt;DATE(2025,6,1)," ",COUNTIFS('2025数据'!$O$3:$O$181,"&gt;="&amp;DATE(2025,6,1),'2025数据'!$O$3:$O$181,"&lt;="&amp;DATE(2025,6,30),'2025数据'!$AF$3:$AF$181,$E973))</f>
        <v>0</v>
      </c>
      <c r="L973" s="205">
        <f ca="1">IF($S$1&lt;DATE(2025,7,1)," ",COUNTIFS('2025数据'!$O$3:$O$181,"&gt;="&amp;DATE(2025,7,1),'2025数据'!$O$3:$O$181,"&lt;="&amp;DATE(2025,7,31),'2025数据'!$AF$3:$AF$181,$E973))</f>
        <v>1</v>
      </c>
      <c r="M973" s="205">
        <f ca="1">IF($S$1&lt;DATE(2025,8,1)," ",COUNTIFS('2025数据'!$O$3:$O$181,"&gt;="&amp;DATE(2025,8,1),'2025数据'!$O$3:$O$181,"&lt;="&amp;DATE(2025,8,31),'2025数据'!$AF$3:$AF$181,$E973))</f>
        <v>0</v>
      </c>
      <c r="N973" s="205">
        <f ca="1">IF($S$1&lt;DATE(2025,9,1)," ",COUNTIFS('2025数据'!$O$3:$O$181,"&gt;="&amp;DATE(2025,9,1),'2025数据'!$O$3:$O$181,"&lt;="&amp;DATE(2025,9,30),'2025数据'!$AF$3:$AF$181,$E973))</f>
        <v>0</v>
      </c>
      <c r="O973" s="205">
        <f ca="1">IF($S$1&lt;DATE(2025,10,1)," ",COUNTIFS('2025数据'!$O$3:$O$181,"&gt;="&amp;DATE(2025,10,1),'2025数据'!$O$3:$O$181,"&lt;="&amp;DATE(2025,10,31),'2025数据'!$AF$3:$AF$181,$E973))</f>
        <v>0</v>
      </c>
      <c r="P973" s="207">
        <f ca="1">IF($S$1&lt;DATE(2025,11,1)," ",COUNTIFS('2025数据'!$O$3:$O$181,"&gt;="&amp;DATE(2025,11,1),'2025数据'!$O$3:$O$181,"&lt;="&amp;DATE(2025,11,30),'2025数据'!$AF$3:$AF$181,$E973))</f>
        <v>0</v>
      </c>
      <c r="Q973" s="207">
        <f ca="1">IF($S$1&lt;DATE(2025,12,1)," ",COUNTIFS('2025数据'!$O$3:$O$181,"&gt;="&amp;DATE(2025,12,1),'2025数据'!$O$3:$O$181,"&lt;="&amp;DATE(2025,12,31),'2025数据'!$AF$3:$AF$181,$E973))</f>
        <v>0</v>
      </c>
    </row>
    <row r="974" ht="24" customHeight="1" spans="1:17">
      <c r="A974" s="99" t="s">
        <v>347</v>
      </c>
      <c r="B974" s="99" t="s">
        <v>290</v>
      </c>
      <c r="C974" s="99" t="s">
        <v>291</v>
      </c>
      <c r="D974" s="100" t="s">
        <v>292</v>
      </c>
      <c r="E974" s="100" t="s">
        <v>297</v>
      </c>
      <c r="F974" s="204">
        <f ca="1">IF($S$1&lt;DATE(2025,1,1)," ",SUM(F975:F978))</f>
        <v>1</v>
      </c>
      <c r="G974" s="204">
        <f ca="1">IF($S$1&lt;DATE(2025,2,1)," ",SUM(G975:G978))</f>
        <v>0</v>
      </c>
      <c r="H974" s="204">
        <f ca="1">IF($S$1&lt;DATE(2025,3,1)," ",SUM(H975:H978))</f>
        <v>0</v>
      </c>
      <c r="I974" s="204">
        <f ca="1">IF($S$1&lt;DATE(2025,4,1)," ",SUM(I975:I978))</f>
        <v>1</v>
      </c>
      <c r="J974" s="204">
        <f ca="1">IF($S$1&lt;DATE(2025,5,1)," ",SUM(J975:J978))</f>
        <v>1</v>
      </c>
      <c r="K974" s="204">
        <f ca="1">IF($S$1&lt;DATE(2025,6,1)," ",SUM(K975:K978))</f>
        <v>1</v>
      </c>
      <c r="L974" s="204">
        <f ca="1">IF($S$1&lt;DATE(2025,7,1)," ",SUM(L975:L978))</f>
        <v>1</v>
      </c>
      <c r="M974" s="204">
        <f ca="1">IF($S$1&lt;DATE(2025,8,1)," ",SUM(M975:M978))</f>
        <v>0</v>
      </c>
      <c r="N974" s="204">
        <f ca="1">IF($S$1&lt;DATE(2025,9,1)," ",SUM(N975:N978))</f>
        <v>1</v>
      </c>
      <c r="O974" s="204">
        <f ca="1">IF($S$1&lt;DATE(2025,10,1)," ",SUM(O975:O978))</f>
        <v>1</v>
      </c>
      <c r="P974" s="204">
        <f ca="1">IF($S$1&lt;DATE(2025,11,1)," ",SUM(P975:P978))</f>
        <v>0</v>
      </c>
      <c r="Q974" s="204">
        <f ca="1">IF($S$1&lt;DATE(2025,12,1)," ",SUM(Q975:Q978))</f>
        <v>1</v>
      </c>
    </row>
    <row r="975" ht="24" customHeight="1" spans="1:17">
      <c r="A975" s="99" t="s">
        <v>347</v>
      </c>
      <c r="B975" s="99" t="s">
        <v>290</v>
      </c>
      <c r="C975" s="99" t="s">
        <v>291</v>
      </c>
      <c r="D975" s="48" t="s">
        <v>298</v>
      </c>
      <c r="E975" s="48" t="s">
        <v>97</v>
      </c>
      <c r="F975" s="205">
        <f ca="1">IF($S$1&lt;DATE(2025,1,1)," ",COUNTIFS('2025数据'!$O$3:$O$181,"&gt;="&amp;DATE(2024,1,1),'2025数据'!$O$3:$O$181,"&lt;="&amp;DATE(2025,1,31),'2025数据'!$AG$3:$AG$181,$E975))</f>
        <v>0</v>
      </c>
      <c r="G975" s="205">
        <f ca="1">IF($S$1&lt;DATE(2025,2,1)," ",COUNTIFS('2025数据'!$O$3:$O$181,"&gt;="&amp;DATE(2025,2,1),'2025数据'!$O$3:$O$181,"&lt;="&amp;DATE(2025,2,28),'2025数据'!$AG$3:$AG$181,$E975))</f>
        <v>0</v>
      </c>
      <c r="H975" s="205">
        <f ca="1">IF($S$1&lt;DATE(2025,3,1)," ",COUNTIFS('2025数据'!$O$3:$O$181,"&gt;="&amp;DATE(2025,3,1),'2025数据'!$O$3:$O$181,"&lt;="&amp;DATE(2025,3,31),'2025数据'!$AG$3:$AG$181,$E975))</f>
        <v>0</v>
      </c>
      <c r="I975" s="205">
        <f ca="1">IF($S$1&lt;DATE(2025,4,1)," ",COUNTIFS('2025数据'!$O$3:$O$181,"&gt;="&amp;DATE(2025,4,1),'2025数据'!$O$3:$O$181,"&lt;="&amp;DATE(2025,4,30),'2025数据'!$AG$3:$AG$181,$E975))</f>
        <v>1</v>
      </c>
      <c r="J975" s="205">
        <f ca="1">IF($S$1&lt;DATE(2025,5,1)," ",COUNTIFS('2025数据'!$O$3:$O$181,"&gt;="&amp;DATE(2025,5,1),'2025数据'!$O$3:$O$181,"&lt;="&amp;DATE(2025,5,31),'2025数据'!$AG$3:$AG$181,$E975))</f>
        <v>0</v>
      </c>
      <c r="K975" s="205">
        <f ca="1">IF($S$1&lt;DATE(2025,6,1)," ",COUNTIFS('2025数据'!$O$3:$O$181,"&gt;="&amp;DATE(2025,6,1),'2025数据'!$O$3:$O$181,"&lt;="&amp;DATE(2025,6,30),'2025数据'!$AG$3:$AG$181,$E975))</f>
        <v>1</v>
      </c>
      <c r="L975" s="205">
        <f ca="1">IF($S$1&lt;DATE(2025,7,1)," ",COUNTIFS('2025数据'!$O$3:$O$181,"&gt;="&amp;DATE(2025,7,1),'2025数据'!$O$3:$O$181,"&lt;="&amp;DATE(2025,7,31),'2025数据'!$AG$3:$AG$181,$E975))</f>
        <v>0</v>
      </c>
      <c r="M975" s="205">
        <f ca="1">IF($S$1&lt;DATE(2025,8,1)," ",COUNTIFS('2025数据'!$O$3:$O$181,"&gt;="&amp;DATE(2025,8,1),'2025数据'!$O$3:$O$181,"&lt;="&amp;DATE(2025,8,31),'2025数据'!$AG$3:$AG$181,$E975))</f>
        <v>0</v>
      </c>
      <c r="N975" s="205">
        <f ca="1">IF($S$1&lt;DATE(2025,9,1)," ",COUNTIFS('2025数据'!$O$3:$O$181,"&gt;="&amp;DATE(2025,9,1),'2025数据'!$O$3:$O$181,"&lt;="&amp;DATE(2025,9,30),'2025数据'!$AG$3:$AG$181,$E975))</f>
        <v>1</v>
      </c>
      <c r="O975" s="205">
        <f ca="1">IF($S$1&lt;DATE(2025,10,1)," ",COUNTIFS('2025数据'!$O$3:$O$181,"&gt;="&amp;DATE(2025,10,1),'2025数据'!$O$3:$O$181,"&lt;="&amp;DATE(2025,10,31),'2025数据'!$AG$3:$AG$181,$E975))</f>
        <v>1</v>
      </c>
      <c r="P975" s="207">
        <f ca="1">IF($S$1&lt;DATE(2025,11,1)," ",COUNTIFS('2025数据'!$O$3:$O$181,"&gt;="&amp;DATE(2025,11,1),'2025数据'!$O$3:$O$181,"&lt;="&amp;DATE(2025,11,30),'2025数据'!$AG$3:$AG$181,$E975))</f>
        <v>0</v>
      </c>
      <c r="Q975" s="207">
        <f ca="1">IF($S$1&lt;DATE(2025,12,1)," ",COUNTIFS('2025数据'!$O$3:$O$181,"&gt;="&amp;DATE(2025,12,1),'2025数据'!$O$3:$O$181,"&lt;="&amp;DATE(2025,12,31),'2025数据'!$AG$3:$AG$181,$E975))</f>
        <v>0</v>
      </c>
    </row>
    <row r="976" ht="24" customHeight="1" spans="1:17">
      <c r="A976" s="99" t="s">
        <v>347</v>
      </c>
      <c r="B976" s="99" t="s">
        <v>290</v>
      </c>
      <c r="C976" s="99" t="s">
        <v>291</v>
      </c>
      <c r="D976" s="48" t="s">
        <v>298</v>
      </c>
      <c r="E976" s="48" t="s">
        <v>87</v>
      </c>
      <c r="F976" s="205">
        <f ca="1">IF($S$1&lt;DATE(2025,1,1)," ",COUNTIFS('2025数据'!$O$3:$O$181,"&gt;="&amp;DATE(2024,1,1),'2025数据'!$O$3:$O$181,"&lt;="&amp;DATE(2025,1,31),'2025数据'!$AG$3:$AG$181,$E976))</f>
        <v>1</v>
      </c>
      <c r="G976" s="205">
        <f ca="1">IF($S$1&lt;DATE(2025,2,1)," ",COUNTIFS('2025数据'!$O$3:$O$181,"&gt;="&amp;DATE(2025,2,1),'2025数据'!$O$3:$O$181,"&lt;="&amp;DATE(2025,2,28),'2025数据'!$AG$3:$AG$181,$E976))</f>
        <v>0</v>
      </c>
      <c r="H976" s="205">
        <f ca="1">IF($S$1&lt;DATE(2025,3,1)," ",COUNTIFS('2025数据'!$O$3:$O$181,"&gt;="&amp;DATE(2025,3,1),'2025数据'!$O$3:$O$181,"&lt;="&amp;DATE(2025,3,31),'2025数据'!$AG$3:$AG$181,$E976))</f>
        <v>0</v>
      </c>
      <c r="I976" s="205">
        <f ca="1">IF($S$1&lt;DATE(2025,4,1)," ",COUNTIFS('2025数据'!$O$3:$O$181,"&gt;="&amp;DATE(2025,4,1),'2025数据'!$O$3:$O$181,"&lt;="&amp;DATE(2025,4,30),'2025数据'!$AG$3:$AG$181,$E976))</f>
        <v>0</v>
      </c>
      <c r="J976" s="205">
        <f ca="1">IF($S$1&lt;DATE(2025,5,1)," ",COUNTIFS('2025数据'!$O$3:$O$181,"&gt;="&amp;DATE(2025,5,1),'2025数据'!$O$3:$O$181,"&lt;="&amp;DATE(2025,5,31),'2025数据'!$AG$3:$AG$181,$E976))</f>
        <v>0</v>
      </c>
      <c r="K976" s="205">
        <f ca="1">IF($S$1&lt;DATE(2025,6,1)," ",COUNTIFS('2025数据'!$O$3:$O$181,"&gt;="&amp;DATE(2025,6,1),'2025数据'!$O$3:$O$181,"&lt;="&amp;DATE(2025,6,30),'2025数据'!$AG$3:$AG$181,$E976))</f>
        <v>0</v>
      </c>
      <c r="L976" s="205">
        <f ca="1">IF($S$1&lt;DATE(2025,7,1)," ",COUNTIFS('2025数据'!$O$3:$O$181,"&gt;="&amp;DATE(2025,7,1),'2025数据'!$O$3:$O$181,"&lt;="&amp;DATE(2025,7,31),'2025数据'!$AG$3:$AG$181,$E976))</f>
        <v>0</v>
      </c>
      <c r="M976" s="205">
        <f ca="1">IF($S$1&lt;DATE(2025,8,1)," ",COUNTIFS('2025数据'!$O$3:$O$181,"&gt;="&amp;DATE(2025,8,1),'2025数据'!$O$3:$O$181,"&lt;="&amp;DATE(2025,8,31),'2025数据'!$AG$3:$AG$181,$E976))</f>
        <v>0</v>
      </c>
      <c r="N976" s="205">
        <f ca="1">IF($S$1&lt;DATE(2025,9,1)," ",COUNTIFS('2025数据'!$O$3:$O$181,"&gt;="&amp;DATE(2025,9,1),'2025数据'!$O$3:$O$181,"&lt;="&amp;DATE(2025,9,30),'2025数据'!$AG$3:$AG$181,$E976))</f>
        <v>0</v>
      </c>
      <c r="O976" s="205">
        <f ca="1">IF($S$1&lt;DATE(2025,10,1)," ",COUNTIFS('2025数据'!$O$3:$O$181,"&gt;="&amp;DATE(2025,10,1),'2025数据'!$O$3:$O$181,"&lt;="&amp;DATE(2025,10,31),'2025数据'!$AG$3:$AG$181,$E976))</f>
        <v>0</v>
      </c>
      <c r="P976" s="207">
        <f ca="1">IF($S$1&lt;DATE(2025,11,1)," ",COUNTIFS('2025数据'!$O$3:$O$181,"&gt;="&amp;DATE(2025,11,1),'2025数据'!$O$3:$O$181,"&lt;="&amp;DATE(2025,11,30),'2025数据'!$AG$3:$AG$181,$E976))</f>
        <v>0</v>
      </c>
      <c r="Q976" s="207">
        <f ca="1">IF($S$1&lt;DATE(2025,12,1)," ",COUNTIFS('2025数据'!$O$3:$O$181,"&gt;="&amp;DATE(2025,12,1),'2025数据'!$O$3:$O$181,"&lt;="&amp;DATE(2025,12,31),'2025数据'!$AG$3:$AG$181,$E976))</f>
        <v>0</v>
      </c>
    </row>
    <row r="977" ht="24" customHeight="1" spans="1:17">
      <c r="A977" s="99" t="s">
        <v>347</v>
      </c>
      <c r="B977" s="99" t="s">
        <v>290</v>
      </c>
      <c r="C977" s="99" t="s">
        <v>291</v>
      </c>
      <c r="D977" s="48" t="s">
        <v>298</v>
      </c>
      <c r="E977" s="48" t="s">
        <v>149</v>
      </c>
      <c r="F977" s="205">
        <f ca="1">IF($S$1&lt;DATE(2025,1,1)," ",COUNTIFS('2025数据'!$O$3:$O$181,"&gt;="&amp;DATE(2024,1,1),'2025数据'!$O$3:$O$181,"&lt;="&amp;DATE(2025,1,31),'2025数据'!$AG$3:$AG$181,$E977))</f>
        <v>0</v>
      </c>
      <c r="G977" s="205">
        <f ca="1">IF($S$1&lt;DATE(2025,2,1)," ",COUNTIFS('2025数据'!$O$3:$O$181,"&gt;="&amp;DATE(2025,2,1),'2025数据'!$O$3:$O$181,"&lt;="&amp;DATE(2025,2,28),'2025数据'!$AG$3:$AG$181,$E977))</f>
        <v>0</v>
      </c>
      <c r="H977" s="205">
        <f ca="1">IF($S$1&lt;DATE(2025,3,1)," ",COUNTIFS('2025数据'!$O$3:$O$181,"&gt;="&amp;DATE(2025,3,1),'2025数据'!$O$3:$O$181,"&lt;="&amp;DATE(2025,3,31),'2025数据'!$AG$3:$AG$181,$E977))</f>
        <v>0</v>
      </c>
      <c r="I977" s="205">
        <f ca="1">IF($S$1&lt;DATE(2025,4,1)," ",COUNTIFS('2025数据'!$O$3:$O$181,"&gt;="&amp;DATE(2025,4,1),'2025数据'!$O$3:$O$181,"&lt;="&amp;DATE(2025,4,30),'2025数据'!$AG$3:$AG$181,$E977))</f>
        <v>0</v>
      </c>
      <c r="J977" s="205">
        <f ca="1">IF($S$1&lt;DATE(2025,5,1)," ",COUNTIFS('2025数据'!$O$3:$O$181,"&gt;="&amp;DATE(2025,5,1),'2025数据'!$O$3:$O$181,"&lt;="&amp;DATE(2025,5,31),'2025数据'!$AG$3:$AG$181,$E977))</f>
        <v>0</v>
      </c>
      <c r="K977" s="205">
        <f ca="1">IF($S$1&lt;DATE(2025,6,1)," ",COUNTIFS('2025数据'!$O$3:$O$181,"&gt;="&amp;DATE(2025,6,1),'2025数据'!$O$3:$O$181,"&lt;="&amp;DATE(2025,6,30),'2025数据'!$AG$3:$AG$181,$E977))</f>
        <v>0</v>
      </c>
      <c r="L977" s="205">
        <f ca="1">IF($S$1&lt;DATE(2025,7,1)," ",COUNTIFS('2025数据'!$O$3:$O$181,"&gt;="&amp;DATE(2025,7,1),'2025数据'!$O$3:$O$181,"&lt;="&amp;DATE(2025,7,31),'2025数据'!$AG$3:$AG$181,$E977))</f>
        <v>1</v>
      </c>
      <c r="M977" s="205">
        <f ca="1">IF($S$1&lt;DATE(2025,8,1)," ",COUNTIFS('2025数据'!$O$3:$O$181,"&gt;="&amp;DATE(2025,8,1),'2025数据'!$O$3:$O$181,"&lt;="&amp;DATE(2025,8,31),'2025数据'!$AG$3:$AG$181,$E977))</f>
        <v>0</v>
      </c>
      <c r="N977" s="205">
        <f ca="1">IF($S$1&lt;DATE(2025,9,1)," ",COUNTIFS('2025数据'!$O$3:$O$181,"&gt;="&amp;DATE(2025,9,1),'2025数据'!$O$3:$O$181,"&lt;="&amp;DATE(2025,9,30),'2025数据'!$AG$3:$AG$181,$E977))</f>
        <v>0</v>
      </c>
      <c r="O977" s="205">
        <f ca="1">IF($S$1&lt;DATE(2025,10,1)," ",COUNTIFS('2025数据'!$O$3:$O$181,"&gt;="&amp;DATE(2025,10,1),'2025数据'!$O$3:$O$181,"&lt;="&amp;DATE(2025,10,31),'2025数据'!$AG$3:$AG$181,$E977))</f>
        <v>0</v>
      </c>
      <c r="P977" s="207">
        <f ca="1">IF($S$1&lt;DATE(2025,11,1)," ",COUNTIFS('2025数据'!$O$3:$O$181,"&gt;="&amp;DATE(2025,11,1),'2025数据'!$O$3:$O$181,"&lt;="&amp;DATE(2025,11,30),'2025数据'!$AG$3:$AG$181,$E977))</f>
        <v>0</v>
      </c>
      <c r="Q977" s="207">
        <f ca="1">IF($S$1&lt;DATE(2025,12,1)," ",COUNTIFS('2025数据'!$O$3:$O$181,"&gt;="&amp;DATE(2025,12,1),'2025数据'!$O$3:$O$181,"&lt;="&amp;DATE(2025,12,31),'2025数据'!$AG$3:$AG$181,$E977))</f>
        <v>0</v>
      </c>
    </row>
    <row r="978" ht="24" customHeight="1" spans="1:17">
      <c r="A978" s="99" t="s">
        <v>347</v>
      </c>
      <c r="B978" s="99" t="s">
        <v>290</v>
      </c>
      <c r="C978" s="99" t="s">
        <v>291</v>
      </c>
      <c r="D978" s="48" t="s">
        <v>298</v>
      </c>
      <c r="E978" s="48" t="s">
        <v>83</v>
      </c>
      <c r="F978" s="205">
        <f ca="1">IF($S$1&lt;DATE(2025,1,1)," ",COUNTIFS('2025数据'!$O$3:$O$181,"&gt;="&amp;DATE(2024,1,1),'2025数据'!$O$3:$O$181,"&lt;="&amp;DATE(2025,1,31),'2025数据'!$AG$3:$AG$181,$E978))</f>
        <v>0</v>
      </c>
      <c r="G978" s="205">
        <f ca="1">IF($S$1&lt;DATE(2025,2,1)," ",COUNTIFS('2025数据'!$O$3:$O$181,"&gt;="&amp;DATE(2025,2,1),'2025数据'!$O$3:$O$181,"&lt;="&amp;DATE(2025,2,28),'2025数据'!$AG$3:$AG$181,$E978))</f>
        <v>0</v>
      </c>
      <c r="H978" s="205">
        <f ca="1">IF($S$1&lt;DATE(2025,3,1)," ",COUNTIFS('2025数据'!$O$3:$O$181,"&gt;="&amp;DATE(2025,3,1),'2025数据'!$O$3:$O$181,"&lt;="&amp;DATE(2025,3,31),'2025数据'!$AG$3:$AG$181,$E978))</f>
        <v>0</v>
      </c>
      <c r="I978" s="205">
        <f ca="1">IF($S$1&lt;DATE(2025,4,1)," ",COUNTIFS('2025数据'!$O$3:$O$181,"&gt;="&amp;DATE(2025,4,1),'2025数据'!$O$3:$O$181,"&lt;="&amp;DATE(2025,4,30),'2025数据'!$AG$3:$AG$181,$E978))</f>
        <v>0</v>
      </c>
      <c r="J978" s="205">
        <f ca="1">IF($S$1&lt;DATE(2025,5,1)," ",COUNTIFS('2025数据'!$O$3:$O$181,"&gt;="&amp;DATE(2025,5,1),'2025数据'!$O$3:$O$181,"&lt;="&amp;DATE(2025,5,31),'2025数据'!$AG$3:$AG$181,$E978))</f>
        <v>1</v>
      </c>
      <c r="K978" s="205">
        <f ca="1">IF($S$1&lt;DATE(2025,6,1)," ",COUNTIFS('2025数据'!$O$3:$O$181,"&gt;="&amp;DATE(2025,6,1),'2025数据'!$O$3:$O$181,"&lt;="&amp;DATE(2025,6,30),'2025数据'!$AG$3:$AG$181,$E978))</f>
        <v>0</v>
      </c>
      <c r="L978" s="205">
        <f ca="1">IF($S$1&lt;DATE(2025,7,1)," ",COUNTIFS('2025数据'!$O$3:$O$181,"&gt;="&amp;DATE(2025,7,1),'2025数据'!$O$3:$O$181,"&lt;="&amp;DATE(2025,7,31),'2025数据'!$AG$3:$AG$181,$E978))</f>
        <v>0</v>
      </c>
      <c r="M978" s="205">
        <f ca="1">IF($S$1&lt;DATE(2025,8,1)," ",COUNTIFS('2025数据'!$O$3:$O$181,"&gt;="&amp;DATE(2025,8,1),'2025数据'!$O$3:$O$181,"&lt;="&amp;DATE(2025,8,31),'2025数据'!$AG$3:$AG$181,$E978))</f>
        <v>0</v>
      </c>
      <c r="N978" s="205">
        <f ca="1">IF($S$1&lt;DATE(2025,9,1)," ",COUNTIFS('2025数据'!$O$3:$O$181,"&gt;="&amp;DATE(2025,9,1),'2025数据'!$O$3:$O$181,"&lt;="&amp;DATE(2025,9,30),'2025数据'!$AG$3:$AG$181,$E978))</f>
        <v>0</v>
      </c>
      <c r="O978" s="205">
        <f ca="1">IF($S$1&lt;DATE(2025,10,1)," ",COUNTIFS('2025数据'!$O$3:$O$181,"&gt;="&amp;DATE(2025,10,1),'2025数据'!$O$3:$O$181,"&lt;="&amp;DATE(2025,10,31),'2025数据'!$AG$3:$AG$181,$E978))</f>
        <v>0</v>
      </c>
      <c r="P978" s="207">
        <f ca="1">IF($S$1&lt;DATE(2025,11,1)," ",COUNTIFS('2025数据'!$O$3:$O$181,"&gt;="&amp;DATE(2025,11,1),'2025数据'!$O$3:$O$181,"&lt;="&amp;DATE(2025,11,30),'2025数据'!$AG$3:$AG$181,$E978))</f>
        <v>0</v>
      </c>
      <c r="Q978" s="207">
        <f ca="1">IF($S$1&lt;DATE(2025,12,1)," ",COUNTIFS('2025数据'!$O$3:$O$181,"&gt;="&amp;DATE(2025,12,1),'2025数据'!$O$3:$O$181,"&lt;="&amp;DATE(2025,12,31),'2025数据'!$AG$3:$AG$181,$E978))</f>
        <v>1</v>
      </c>
    </row>
    <row r="979" ht="24" customHeight="1" spans="1:17">
      <c r="A979" s="99" t="s">
        <v>347</v>
      </c>
      <c r="B979" s="99" t="s">
        <v>299</v>
      </c>
      <c r="C979" s="99" t="s">
        <v>291</v>
      </c>
      <c r="D979" s="100" t="s">
        <v>292</v>
      </c>
      <c r="E979" s="100" t="s">
        <v>300</v>
      </c>
      <c r="F979" s="204">
        <f ca="1">IF($S$1&lt;DATE(2025,1,1)," ",IF((SUM(F980:F986)-MAX(F1010,F1014))&lt;0,"ERR",SUM(F980:F986)))</f>
        <v>1</v>
      </c>
      <c r="G979" s="204">
        <f ca="1">IF($S$1&lt;DATE(2025,2,1)," ",IF((SUM(G980:G986)-MAX(G1010,G1014))&lt;0,"ERR",SUM(G980:G986)))</f>
        <v>0</v>
      </c>
      <c r="H979" s="204">
        <f ca="1">IF($S$1&lt;DATE(2025,3,1)," ",IF((SUM(H980:H986)-MAX(H1010,H1014))&lt;0,"ERR",SUM(H980:H986)))</f>
        <v>0</v>
      </c>
      <c r="I979" s="204">
        <f ca="1">IF($S$1&lt;DATE(2025,4,1)," ",IF((SUM(I980:I986)-MAX(I1010,I1014))&lt;0,"ERR",SUM(I980:I986)))</f>
        <v>1</v>
      </c>
      <c r="J979" s="204">
        <f ca="1">IF($S$1&lt;DATE(2025,5,1)," ",IF((SUM(J980:J986)-MAX(J1010,J1014))&lt;0,"ERR",SUM(J980:J986)))</f>
        <v>0</v>
      </c>
      <c r="K979" s="204">
        <f ca="1">IF($S$1&lt;DATE(2025,6,1)," ",IF((SUM(K980:K986)-MAX(K1010,K1014))&lt;0,"ERR",SUM(K980:K986)))</f>
        <v>2</v>
      </c>
      <c r="L979" s="204">
        <f ca="1">IF($S$1&lt;DATE(2025,7,1)," ",IF((SUM(L980:L986)-MAX(L1010,L1014))&lt;0,"ERR",SUM(L980:L986)))</f>
        <v>1</v>
      </c>
      <c r="M979" s="204">
        <f ca="1">IF($S$1&lt;DATE(2025,8,1)," ",IF((SUM(M980:M986)-MAX(M1010,M1014))&lt;0,"ERR",SUM(M980:M986)))</f>
        <v>1</v>
      </c>
      <c r="N979" s="204">
        <f ca="1">IF($S$1&lt;DATE(2025,9,1)," ",IF((SUM(N980:N986)-MAX(N1010,N1014))&lt;0,"ERR",SUM(N980:N986)))</f>
        <v>3</v>
      </c>
      <c r="O979" s="204">
        <f ca="1">IF($S$1&lt;DATE(2025,10,1)," ",IF((SUM(O980:O986)-MAX(O1010,O1014))&lt;0,"ERR",SUM(O980:O986)))</f>
        <v>0</v>
      </c>
      <c r="P979" s="204">
        <f ca="1">IF($S$1&lt;DATE(2025,11,1)," ",IF((SUM(P980:P986)-MAX(P1010,P1014))&lt;0,"ERR",SUM(P980:P986)))</f>
        <v>1</v>
      </c>
      <c r="Q979" s="204">
        <f ca="1">IF($S$1&lt;DATE(2025,12,1)," ",IF((SUM(Q980:Q986)-MAX(Q1010,Q1014))&lt;0,"ERR",SUM(Q980:Q986)))</f>
        <v>0</v>
      </c>
    </row>
    <row r="980" ht="24" customHeight="1" spans="1:17">
      <c r="A980" s="99" t="s">
        <v>347</v>
      </c>
      <c r="B980" s="99" t="s">
        <v>299</v>
      </c>
      <c r="C980" s="99" t="s">
        <v>291</v>
      </c>
      <c r="D980" s="48" t="s">
        <v>31</v>
      </c>
      <c r="E980" s="48" t="s">
        <v>90</v>
      </c>
      <c r="F980" s="205">
        <f ca="1">IF($S$1&lt;DATE(2025,1,1)," ",COUNTIFS('2025数据'!$P$3:$P$181,"&gt;="&amp;DATE(2024,1,1),'2025数据'!$P$3:$P$181,"&lt;="&amp;DATE(2025,1,31),'2025数据'!$AE$3:$AE$181,$E980))</f>
        <v>0</v>
      </c>
      <c r="G980" s="205">
        <f ca="1">IF($S$1&lt;DATE(2025,2,1)," ",COUNTIFS('2025数据'!$P$3:$P$181,"&gt;="&amp;DATE(2025,2,1),'2025数据'!$P$3:$P$181,"&lt;="&amp;DATE(2025,2,28),'2025数据'!$AE$3:$AE$181,$E980))</f>
        <v>0</v>
      </c>
      <c r="H980" s="205">
        <f ca="1">IF($S$1&lt;DATE(2025,3,1)," ",COUNTIFS('2025数据'!$P$3:$P$181,"&gt;="&amp;DATE(2025,3,1),'2025数据'!$P$3:$P$181,"&lt;="&amp;DATE(2025,3,31),'2025数据'!$AE$3:$AE$181,$E980))</f>
        <v>0</v>
      </c>
      <c r="I980" s="205">
        <f ca="1">IF($S$1&lt;DATE(2025,4,1)," ",COUNTIFS('2025数据'!$P$3:$P$181,"&gt;="&amp;DATE(2025,4,1),'2025数据'!$P$3:$P$181,"&lt;="&amp;DATE(2025,4,30),'2025数据'!$AE$3:$AE$181,$E980))</f>
        <v>0</v>
      </c>
      <c r="J980" s="205">
        <f ca="1">IF($S$1&lt;DATE(2025,5,1)," ",COUNTIFS('2025数据'!$P$3:$P$181,"&gt;="&amp;DATE(2025,5,1),'2025数据'!$P$3:$P$181,"&lt;="&amp;DATE(2025,5,31),'2025数据'!$AE$3:$AE$181,$E980))</f>
        <v>0</v>
      </c>
      <c r="K980" s="205">
        <f ca="1">IF($S$1&lt;DATE(2025,6,1)," ",COUNTIFS('2025数据'!$P$3:$P$181,"&gt;="&amp;DATE(2025,6,1),'2025数据'!$P$3:$P$181,"&lt;="&amp;DATE(2025,6,30),'2025数据'!$AE$3:$AE$181,$E980))</f>
        <v>0</v>
      </c>
      <c r="L980" s="205">
        <f ca="1">IF($S$1&lt;DATE(2025,7,1)," ",COUNTIFS('2025数据'!$P$3:$P$181,"&gt;="&amp;DATE(2025,7,1),'2025数据'!$P$3:$P$181,"&lt;="&amp;DATE(2025,7,31),'2025数据'!$AE$3:$AE$181,$E980))</f>
        <v>0</v>
      </c>
      <c r="M980" s="205">
        <f ca="1">IF($S$1&lt;DATE(2025,8,1)," ",COUNTIFS('2025数据'!$P$3:$P$181,"&gt;="&amp;DATE(2025,8,1),'2025数据'!$P$3:$P$181,"&lt;="&amp;DATE(2025,8,31),'2025数据'!$AE$3:$AE$181,$E980))</f>
        <v>0</v>
      </c>
      <c r="N980" s="205">
        <f ca="1">IF($S$1&lt;DATE(2025,9,1)," ",COUNTIFS('2025数据'!$P$3:$P$181,"&gt;="&amp;DATE(2025,9,1),'2025数据'!$P$3:$P$181,"&lt;="&amp;DATE(2025,9,30),'2025数据'!$AE$3:$AE$181,$E980))</f>
        <v>1</v>
      </c>
      <c r="O980" s="205">
        <f ca="1">IF($S$1&lt;DATE(2025,10,1)," ",COUNTIFS('2025数据'!$P$3:$P$181,"&gt;="&amp;DATE(2025,10,1),'2025数据'!$P$3:$P$181,"&lt;="&amp;DATE(2025,10,31),'2025数据'!$AE$3:$AE$181,$E980))</f>
        <v>0</v>
      </c>
      <c r="P980" s="207">
        <f ca="1">IF($S$1&lt;DATE(2025,11,1)," ",COUNTIFS('2025数据'!$P$3:$P$181,"&gt;="&amp;DATE(2025,11,1),'2025数据'!$P$3:$P$181,"&lt;="&amp;DATE(2025,11,30),'2025数据'!$AE$3:$AE$181,$E980))</f>
        <v>0</v>
      </c>
      <c r="Q980" s="207">
        <f ca="1">IF($S$1&lt;DATE(2025,12,1)," ",COUNTIFS('2025数据'!$P$3:$P$181,"&gt;="&amp;DATE(2025,12,1),'2025数据'!$P$3:$P$181,"&lt;="&amp;DATE(2025,12,31),'2025数据'!$AE$3:$AE$181,$E980))</f>
        <v>0</v>
      </c>
    </row>
    <row r="981" ht="24" customHeight="1" spans="1:17">
      <c r="A981" s="99" t="s">
        <v>347</v>
      </c>
      <c r="B981" s="99" t="s">
        <v>299</v>
      </c>
      <c r="C981" s="99" t="s">
        <v>291</v>
      </c>
      <c r="D981" s="48" t="s">
        <v>31</v>
      </c>
      <c r="E981" s="48" t="s">
        <v>82</v>
      </c>
      <c r="F981" s="205">
        <f ca="1">IF($S$1&lt;DATE(2025,1,1)," ",COUNTIFS('2025数据'!$P$3:$P$181,"&gt;="&amp;DATE(2024,1,1),'2025数据'!$P$3:$P$181,"&lt;="&amp;DATE(2025,1,31),'2025数据'!$AE$3:$AE$181,$E981))</f>
        <v>1</v>
      </c>
      <c r="G981" s="205">
        <f ca="1">IF($S$1&lt;DATE(2025,2,1)," ",COUNTIFS('2025数据'!$P$3:$P$181,"&gt;="&amp;DATE(2025,2,1),'2025数据'!$P$3:$P$181,"&lt;="&amp;DATE(2025,2,28),'2025数据'!$AE$3:$AE$181,$E981))</f>
        <v>0</v>
      </c>
      <c r="H981" s="205">
        <f ca="1">IF($S$1&lt;DATE(2025,3,1)," ",COUNTIFS('2025数据'!$P$3:$P$181,"&gt;="&amp;DATE(2025,3,1),'2025数据'!$P$3:$P$181,"&lt;="&amp;DATE(2025,3,31),'2025数据'!$AE$3:$AE$181,$E981))</f>
        <v>0</v>
      </c>
      <c r="I981" s="205">
        <f ca="1">IF($S$1&lt;DATE(2025,4,1)," ",COUNTIFS('2025数据'!$P$3:$P$181,"&gt;="&amp;DATE(2025,4,1),'2025数据'!$P$3:$P$181,"&lt;="&amp;DATE(2025,4,30),'2025数据'!$AE$3:$AE$181,$E981))</f>
        <v>0</v>
      </c>
      <c r="J981" s="205">
        <f ca="1">IF($S$1&lt;DATE(2025,5,1)," ",COUNTIFS('2025数据'!$P$3:$P$181,"&gt;="&amp;DATE(2025,5,1),'2025数据'!$P$3:$P$181,"&lt;="&amp;DATE(2025,5,31),'2025数据'!$AE$3:$AE$181,$E981))</f>
        <v>0</v>
      </c>
      <c r="K981" s="205">
        <f ca="1">IF($S$1&lt;DATE(2025,6,1)," ",COUNTIFS('2025数据'!$P$3:$P$181,"&gt;="&amp;DATE(2025,6,1),'2025数据'!$P$3:$P$181,"&lt;="&amp;DATE(2025,6,30),'2025数据'!$AE$3:$AE$181,$E981))</f>
        <v>2</v>
      </c>
      <c r="L981" s="205">
        <f ca="1">IF($S$1&lt;DATE(2025,7,1)," ",COUNTIFS('2025数据'!$P$3:$P$181,"&gt;="&amp;DATE(2025,7,1),'2025数据'!$P$3:$P$181,"&lt;="&amp;DATE(2025,7,31),'2025数据'!$AE$3:$AE$181,$E981))</f>
        <v>0</v>
      </c>
      <c r="M981" s="205">
        <f ca="1">IF($S$1&lt;DATE(2025,8,1)," ",COUNTIFS('2025数据'!$P$3:$P$181,"&gt;="&amp;DATE(2025,8,1),'2025数据'!$P$3:$P$181,"&lt;="&amp;DATE(2025,8,31),'2025数据'!$AE$3:$AE$181,$E981))</f>
        <v>0</v>
      </c>
      <c r="N981" s="205">
        <f ca="1">IF($S$1&lt;DATE(2025,9,1)," ",COUNTIFS('2025数据'!$P$3:$P$181,"&gt;="&amp;DATE(2025,9,1),'2025数据'!$P$3:$P$181,"&lt;="&amp;DATE(2025,9,30),'2025数据'!$AE$3:$AE$181,$E981))</f>
        <v>1</v>
      </c>
      <c r="O981" s="205">
        <f ca="1">IF($S$1&lt;DATE(2025,10,1)," ",COUNTIFS('2025数据'!$P$3:$P$181,"&gt;="&amp;DATE(2025,10,1),'2025数据'!$P$3:$P$181,"&lt;="&amp;DATE(2025,10,31),'2025数据'!$AE$3:$AE$181,$E981))</f>
        <v>0</v>
      </c>
      <c r="P981" s="207">
        <f ca="1">IF($S$1&lt;DATE(2025,11,1)," ",COUNTIFS('2025数据'!$P$3:$P$181,"&gt;="&amp;DATE(2025,11,1),'2025数据'!$P$3:$P$181,"&lt;="&amp;DATE(2025,11,30),'2025数据'!$AE$3:$AE$181,$E981))</f>
        <v>0</v>
      </c>
      <c r="Q981" s="207">
        <f ca="1">IF($S$1&lt;DATE(2025,12,1)," ",COUNTIFS('2025数据'!$P$3:$P$181,"&gt;="&amp;DATE(2025,12,1),'2025数据'!$P$3:$P$181,"&lt;="&amp;DATE(2025,12,31),'2025数据'!$AE$3:$AE$181,$E981))</f>
        <v>0</v>
      </c>
    </row>
    <row r="982" ht="24" customHeight="1" spans="1:17">
      <c r="A982" s="99" t="s">
        <v>347</v>
      </c>
      <c r="B982" s="99" t="s">
        <v>299</v>
      </c>
      <c r="C982" s="99" t="s">
        <v>291</v>
      </c>
      <c r="D982" s="48" t="s">
        <v>31</v>
      </c>
      <c r="E982" s="48" t="s">
        <v>86</v>
      </c>
      <c r="F982" s="205">
        <f ca="1">IF($S$1&lt;DATE(2025,1,1)," ",COUNTIFS('2025数据'!$P$3:$P$181,"&gt;="&amp;DATE(2024,1,1),'2025数据'!$P$3:$P$181,"&lt;="&amp;DATE(2025,1,31),'2025数据'!$AE$3:$AE$181,$E982))</f>
        <v>0</v>
      </c>
      <c r="G982" s="205">
        <f ca="1">IF($S$1&lt;DATE(2025,2,1)," ",COUNTIFS('2025数据'!$P$3:$P$181,"&gt;="&amp;DATE(2025,2,1),'2025数据'!$P$3:$P$181,"&lt;="&amp;DATE(2025,2,28),'2025数据'!$AE$3:$AE$181,$E982))</f>
        <v>0</v>
      </c>
      <c r="H982" s="205">
        <f ca="1">IF($S$1&lt;DATE(2025,3,1)," ",COUNTIFS('2025数据'!$P$3:$P$181,"&gt;="&amp;DATE(2025,3,1),'2025数据'!$P$3:$P$181,"&lt;="&amp;DATE(2025,3,31),'2025数据'!$AE$3:$AE$181,$E982))</f>
        <v>0</v>
      </c>
      <c r="I982" s="205">
        <f ca="1">IF($S$1&lt;DATE(2025,4,1)," ",COUNTIFS('2025数据'!$P$3:$P$181,"&gt;="&amp;DATE(2025,4,1),'2025数据'!$P$3:$P$181,"&lt;="&amp;DATE(2025,4,30),'2025数据'!$AE$3:$AE$181,$E982))</f>
        <v>0</v>
      </c>
      <c r="J982" s="205">
        <f ca="1">IF($S$1&lt;DATE(2025,5,1)," ",COUNTIFS('2025数据'!$P$3:$P$181,"&gt;="&amp;DATE(2025,5,1),'2025数据'!$P$3:$P$181,"&lt;="&amp;DATE(2025,5,31),'2025数据'!$AE$3:$AE$181,$E982))</f>
        <v>0</v>
      </c>
      <c r="K982" s="205">
        <f ca="1">IF($S$1&lt;DATE(2025,6,1)," ",COUNTIFS('2025数据'!$P$3:$P$181,"&gt;="&amp;DATE(2025,6,1),'2025数据'!$P$3:$P$181,"&lt;="&amp;DATE(2025,6,30),'2025数据'!$AE$3:$AE$181,$E982))</f>
        <v>0</v>
      </c>
      <c r="L982" s="205">
        <f ca="1">IF($S$1&lt;DATE(2025,7,1)," ",COUNTIFS('2025数据'!$P$3:$P$181,"&gt;="&amp;DATE(2025,7,1),'2025数据'!$P$3:$P$181,"&lt;="&amp;DATE(2025,7,31),'2025数据'!$AE$3:$AE$181,$E982))</f>
        <v>1</v>
      </c>
      <c r="M982" s="205">
        <f ca="1">IF($S$1&lt;DATE(2025,8,1)," ",COUNTIFS('2025数据'!$P$3:$P$181,"&gt;="&amp;DATE(2025,8,1),'2025数据'!$P$3:$P$181,"&lt;="&amp;DATE(2025,8,31),'2025数据'!$AE$3:$AE$181,$E982))</f>
        <v>0</v>
      </c>
      <c r="N982" s="205">
        <f ca="1">IF($S$1&lt;DATE(2025,9,1)," ",COUNTIFS('2025数据'!$P$3:$P$181,"&gt;="&amp;DATE(2025,9,1),'2025数据'!$P$3:$P$181,"&lt;="&amp;DATE(2025,9,30),'2025数据'!$AE$3:$AE$181,$E982))</f>
        <v>0</v>
      </c>
      <c r="O982" s="205">
        <f ca="1">IF($S$1&lt;DATE(2025,10,1)," ",COUNTIFS('2025数据'!$P$3:$P$181,"&gt;="&amp;DATE(2025,10,1),'2025数据'!$P$3:$P$181,"&lt;="&amp;DATE(2025,10,31),'2025数据'!$AE$3:$AE$181,$E982))</f>
        <v>0</v>
      </c>
      <c r="P982" s="207">
        <f ca="1">IF($S$1&lt;DATE(2025,11,1)," ",COUNTIFS('2025数据'!$P$3:$P$181,"&gt;="&amp;DATE(2025,11,1),'2025数据'!$P$3:$P$181,"&lt;="&amp;DATE(2025,11,30),'2025数据'!$AE$3:$AE$181,$E982))</f>
        <v>0</v>
      </c>
      <c r="Q982" s="207">
        <f ca="1">IF($S$1&lt;DATE(2025,12,1)," ",COUNTIFS('2025数据'!$P$3:$P$181,"&gt;="&amp;DATE(2025,12,1),'2025数据'!$P$3:$P$181,"&lt;="&amp;DATE(2025,12,31),'2025数据'!$AE$3:$AE$181,$E982))</f>
        <v>0</v>
      </c>
    </row>
    <row r="983" ht="24" customHeight="1" spans="1:17">
      <c r="A983" s="99" t="s">
        <v>347</v>
      </c>
      <c r="B983" s="99" t="s">
        <v>299</v>
      </c>
      <c r="C983" s="99" t="s">
        <v>291</v>
      </c>
      <c r="D983" s="48" t="s">
        <v>31</v>
      </c>
      <c r="E983" s="48" t="s">
        <v>97</v>
      </c>
      <c r="F983" s="205">
        <f ca="1">IF($S$1&lt;DATE(2025,1,1)," ",COUNTIFS('2025数据'!$P$3:$P$181,"&gt;="&amp;DATE(2024,1,1),'2025数据'!$P$3:$P$181,"&lt;="&amp;DATE(2025,1,31),'2025数据'!$AE$3:$AE$181,$E983))</f>
        <v>0</v>
      </c>
      <c r="G983" s="205">
        <f ca="1">IF($S$1&lt;DATE(2025,2,1)," ",COUNTIFS('2025数据'!$P$3:$P$181,"&gt;="&amp;DATE(2025,2,1),'2025数据'!$P$3:$P$181,"&lt;="&amp;DATE(2025,2,28),'2025数据'!$AE$3:$AE$181,$E983))</f>
        <v>0</v>
      </c>
      <c r="H983" s="205">
        <f ca="1">IF($S$1&lt;DATE(2025,3,1)," ",COUNTIFS('2025数据'!$P$3:$P$181,"&gt;="&amp;DATE(2025,3,1),'2025数据'!$P$3:$P$181,"&lt;="&amp;DATE(2025,3,31),'2025数据'!$AE$3:$AE$181,$E983))</f>
        <v>0</v>
      </c>
      <c r="I983" s="205">
        <f ca="1">IF($S$1&lt;DATE(2025,4,1)," ",COUNTIFS('2025数据'!$P$3:$P$181,"&gt;="&amp;DATE(2025,4,1),'2025数据'!$P$3:$P$181,"&lt;="&amp;DATE(2025,4,30),'2025数据'!$AE$3:$AE$181,$E983))</f>
        <v>1</v>
      </c>
      <c r="J983" s="205">
        <f ca="1">IF($S$1&lt;DATE(2025,5,1)," ",COUNTIFS('2025数据'!$P$3:$P$181,"&gt;="&amp;DATE(2025,5,1),'2025数据'!$P$3:$P$181,"&lt;="&amp;DATE(2025,5,31),'2025数据'!$AE$3:$AE$181,$E983))</f>
        <v>0</v>
      </c>
      <c r="K983" s="205">
        <f ca="1">IF($S$1&lt;DATE(2025,6,1)," ",COUNTIFS('2025数据'!$P$3:$P$181,"&gt;="&amp;DATE(2025,6,1),'2025数据'!$P$3:$P$181,"&lt;="&amp;DATE(2025,6,30),'2025数据'!$AE$3:$AE$181,$E983))</f>
        <v>0</v>
      </c>
      <c r="L983" s="205">
        <f ca="1">IF($S$1&lt;DATE(2025,7,1)," ",COUNTIFS('2025数据'!$P$3:$P$181,"&gt;="&amp;DATE(2025,7,1),'2025数据'!$P$3:$P$181,"&lt;="&amp;DATE(2025,7,31),'2025数据'!$AE$3:$AE$181,$E983))</f>
        <v>0</v>
      </c>
      <c r="M983" s="205">
        <f ca="1">IF($S$1&lt;DATE(2025,8,1)," ",COUNTIFS('2025数据'!$P$3:$P$181,"&gt;="&amp;DATE(2025,8,1),'2025数据'!$P$3:$P$181,"&lt;="&amp;DATE(2025,8,31),'2025数据'!$AE$3:$AE$181,$E983))</f>
        <v>0</v>
      </c>
      <c r="N983" s="205">
        <f ca="1">IF($S$1&lt;DATE(2025,9,1)," ",COUNTIFS('2025数据'!$P$3:$P$181,"&gt;="&amp;DATE(2025,9,1),'2025数据'!$P$3:$P$181,"&lt;="&amp;DATE(2025,9,30),'2025数据'!$AE$3:$AE$181,$E983))</f>
        <v>1</v>
      </c>
      <c r="O983" s="205">
        <f ca="1">IF($S$1&lt;DATE(2025,10,1)," ",COUNTIFS('2025数据'!$P$3:$P$181,"&gt;="&amp;DATE(2025,10,1),'2025数据'!$P$3:$P$181,"&lt;="&amp;DATE(2025,10,31),'2025数据'!$AE$3:$AE$181,$E983))</f>
        <v>0</v>
      </c>
      <c r="P983" s="207">
        <f ca="1">IF($S$1&lt;DATE(2025,11,1)," ",COUNTIFS('2025数据'!$P$3:$P$181,"&gt;="&amp;DATE(2025,11,1),'2025数据'!$P$3:$P$181,"&lt;="&amp;DATE(2025,11,30),'2025数据'!$AE$3:$AE$181,$E983))</f>
        <v>1</v>
      </c>
      <c r="Q983" s="207">
        <f ca="1">IF($S$1&lt;DATE(2025,12,1)," ",COUNTIFS('2025数据'!$P$3:$P$181,"&gt;="&amp;DATE(2025,12,1),'2025数据'!$P$3:$P$181,"&lt;="&amp;DATE(2025,12,31),'2025数据'!$AE$3:$AE$181,$E983))</f>
        <v>0</v>
      </c>
    </row>
    <row r="984" ht="24" customHeight="1" spans="1:17">
      <c r="A984" s="99" t="s">
        <v>347</v>
      </c>
      <c r="B984" s="99" t="s">
        <v>299</v>
      </c>
      <c r="C984" s="99" t="s">
        <v>291</v>
      </c>
      <c r="D984" s="48" t="s">
        <v>31</v>
      </c>
      <c r="E984" s="48" t="s">
        <v>87</v>
      </c>
      <c r="F984" s="205">
        <f ca="1">IF($S$1&lt;DATE(2025,1,1)," ",COUNTIFS('2025数据'!$P$3:$P$181,"&gt;="&amp;DATE(2024,1,1),'2025数据'!$P$3:$P$181,"&lt;="&amp;DATE(2025,1,31),'2025数据'!$AE$3:$AE$181,$E984))</f>
        <v>0</v>
      </c>
      <c r="G984" s="205">
        <f ca="1">IF($S$1&lt;DATE(2025,2,1)," ",COUNTIFS('2025数据'!$P$3:$P$181,"&gt;="&amp;DATE(2025,2,1),'2025数据'!$P$3:$P$181,"&lt;="&amp;DATE(2025,2,28),'2025数据'!$AE$3:$AE$181,$E984))</f>
        <v>0</v>
      </c>
      <c r="H984" s="205">
        <f ca="1">IF($S$1&lt;DATE(2025,3,1)," ",COUNTIFS('2025数据'!$P$3:$P$181,"&gt;="&amp;DATE(2025,3,1),'2025数据'!$P$3:$P$181,"&lt;="&amp;DATE(2025,3,31),'2025数据'!$AE$3:$AE$181,$E984))</f>
        <v>0</v>
      </c>
      <c r="I984" s="205">
        <f ca="1">IF($S$1&lt;DATE(2025,4,1)," ",COUNTIFS('2025数据'!$P$3:$P$181,"&gt;="&amp;DATE(2025,4,1),'2025数据'!$P$3:$P$181,"&lt;="&amp;DATE(2025,4,30),'2025数据'!$AE$3:$AE$181,$E984))</f>
        <v>0</v>
      </c>
      <c r="J984" s="205">
        <f ca="1">IF($S$1&lt;DATE(2025,5,1)," ",COUNTIFS('2025数据'!$P$3:$P$181,"&gt;="&amp;DATE(2025,5,1),'2025数据'!$P$3:$P$181,"&lt;="&amp;DATE(2025,5,31),'2025数据'!$AE$3:$AE$181,$E984))</f>
        <v>0</v>
      </c>
      <c r="K984" s="205">
        <f ca="1">IF($S$1&lt;DATE(2025,6,1)," ",COUNTIFS('2025数据'!$P$3:$P$181,"&gt;="&amp;DATE(2025,6,1),'2025数据'!$P$3:$P$181,"&lt;="&amp;DATE(2025,6,30),'2025数据'!$AE$3:$AE$181,$E984))</f>
        <v>0</v>
      </c>
      <c r="L984" s="205">
        <f ca="1">IF($S$1&lt;DATE(2025,7,1)," ",COUNTIFS('2025数据'!$P$3:$P$181,"&gt;="&amp;DATE(2025,7,1),'2025数据'!$P$3:$P$181,"&lt;="&amp;DATE(2025,7,31),'2025数据'!$AE$3:$AE$181,$E984))</f>
        <v>0</v>
      </c>
      <c r="M984" s="205">
        <f ca="1">IF($S$1&lt;DATE(2025,8,1)," ",COUNTIFS('2025数据'!$P$3:$P$181,"&gt;="&amp;DATE(2025,8,1),'2025数据'!$P$3:$P$181,"&lt;="&amp;DATE(2025,8,31),'2025数据'!$AE$3:$AE$181,$E984))</f>
        <v>0</v>
      </c>
      <c r="N984" s="205">
        <f ca="1">IF($S$1&lt;DATE(2025,9,1)," ",COUNTIFS('2025数据'!$P$3:$P$181,"&gt;="&amp;DATE(2025,9,1),'2025数据'!$P$3:$P$181,"&lt;="&amp;DATE(2025,9,30),'2025数据'!$AE$3:$AE$181,$E984))</f>
        <v>0</v>
      </c>
      <c r="O984" s="205">
        <f ca="1">IF($S$1&lt;DATE(2025,10,1)," ",COUNTIFS('2025数据'!$P$3:$P$181,"&gt;="&amp;DATE(2025,10,1),'2025数据'!$P$3:$P$181,"&lt;="&amp;DATE(2025,10,31),'2025数据'!$AE$3:$AE$181,$E984))</f>
        <v>0</v>
      </c>
      <c r="P984" s="207">
        <f ca="1">IF($S$1&lt;DATE(2025,11,1)," ",COUNTIFS('2025数据'!$P$3:$P$181,"&gt;="&amp;DATE(2025,11,1),'2025数据'!$P$3:$P$181,"&lt;="&amp;DATE(2025,11,30),'2025数据'!$AE$3:$AE$181,$E984))</f>
        <v>0</v>
      </c>
      <c r="Q984" s="207">
        <f ca="1">IF($S$1&lt;DATE(2025,12,1)," ",COUNTIFS('2025数据'!$P$3:$P$181,"&gt;="&amp;DATE(2025,12,1),'2025数据'!$P$3:$P$181,"&lt;="&amp;DATE(2025,12,31),'2025数据'!$AE$3:$AE$181,$E984))</f>
        <v>0</v>
      </c>
    </row>
    <row r="985" ht="24" customHeight="1" spans="1:17">
      <c r="A985" s="99" t="s">
        <v>347</v>
      </c>
      <c r="B985" s="99" t="s">
        <v>299</v>
      </c>
      <c r="C985" s="99" t="s">
        <v>291</v>
      </c>
      <c r="D985" s="48" t="s">
        <v>31</v>
      </c>
      <c r="E985" s="48" t="s">
        <v>149</v>
      </c>
      <c r="F985" s="205">
        <f ca="1">IF($S$1&lt;DATE(2025,1,1)," ",COUNTIFS('2025数据'!$P$3:$P$181,"&gt;="&amp;DATE(2024,1,1),'2025数据'!$P$3:$P$181,"&lt;="&amp;DATE(2025,1,31),'2025数据'!$AE$3:$AE$181,$E985))</f>
        <v>0</v>
      </c>
      <c r="G985" s="205">
        <f ca="1">IF($S$1&lt;DATE(2025,2,1)," ",COUNTIFS('2025数据'!$P$3:$P$181,"&gt;="&amp;DATE(2025,2,1),'2025数据'!$P$3:$P$181,"&lt;="&amp;DATE(2025,2,28),'2025数据'!$AE$3:$AE$181,$E985))</f>
        <v>0</v>
      </c>
      <c r="H985" s="205">
        <f ca="1">IF($S$1&lt;DATE(2025,3,1)," ",COUNTIFS('2025数据'!$P$3:$P$181,"&gt;="&amp;DATE(2025,3,1),'2025数据'!$P$3:$P$181,"&lt;="&amp;DATE(2025,3,31),'2025数据'!$AE$3:$AE$181,$E985))</f>
        <v>0</v>
      </c>
      <c r="I985" s="205">
        <f ca="1">IF($S$1&lt;DATE(2025,4,1)," ",COUNTIFS('2025数据'!$P$3:$P$181,"&gt;="&amp;DATE(2025,4,1),'2025数据'!$P$3:$P$181,"&lt;="&amp;DATE(2025,4,30),'2025数据'!$AE$3:$AE$181,$E985))</f>
        <v>0</v>
      </c>
      <c r="J985" s="205">
        <f ca="1">IF($S$1&lt;DATE(2025,5,1)," ",COUNTIFS('2025数据'!$P$3:$P$181,"&gt;="&amp;DATE(2025,5,1),'2025数据'!$P$3:$P$181,"&lt;="&amp;DATE(2025,5,31),'2025数据'!$AE$3:$AE$181,$E985))</f>
        <v>0</v>
      </c>
      <c r="K985" s="205">
        <f ca="1">IF($S$1&lt;DATE(2025,6,1)," ",COUNTIFS('2025数据'!$P$3:$P$181,"&gt;="&amp;DATE(2025,6,1),'2025数据'!$P$3:$P$181,"&lt;="&amp;DATE(2025,6,30),'2025数据'!$AE$3:$AE$181,$E985))</f>
        <v>0</v>
      </c>
      <c r="L985" s="205">
        <f ca="1">IF($S$1&lt;DATE(2025,7,1)," ",COUNTIFS('2025数据'!$P$3:$P$181,"&gt;="&amp;DATE(2025,7,1),'2025数据'!$P$3:$P$181,"&lt;="&amp;DATE(2025,7,31),'2025数据'!$AE$3:$AE$181,$E985))</f>
        <v>0</v>
      </c>
      <c r="M985" s="205">
        <f ca="1">IF($S$1&lt;DATE(2025,8,1)," ",COUNTIFS('2025数据'!$P$3:$P$181,"&gt;="&amp;DATE(2025,8,1),'2025数据'!$P$3:$P$181,"&lt;="&amp;DATE(2025,8,31),'2025数据'!$AE$3:$AE$181,$E985))</f>
        <v>1</v>
      </c>
      <c r="N985" s="205">
        <f ca="1">IF($S$1&lt;DATE(2025,9,1)," ",COUNTIFS('2025数据'!$P$3:$P$181,"&gt;="&amp;DATE(2025,9,1),'2025数据'!$P$3:$P$181,"&lt;="&amp;DATE(2025,9,30),'2025数据'!$AE$3:$AE$181,$E985))</f>
        <v>0</v>
      </c>
      <c r="O985" s="205">
        <f ca="1">IF($S$1&lt;DATE(2025,10,1)," ",COUNTIFS('2025数据'!$P$3:$P$181,"&gt;="&amp;DATE(2025,10,1),'2025数据'!$P$3:$P$181,"&lt;="&amp;DATE(2025,10,31),'2025数据'!$AE$3:$AE$181,$E985))</f>
        <v>0</v>
      </c>
      <c r="P985" s="207">
        <f ca="1">IF($S$1&lt;DATE(2025,11,1)," ",COUNTIFS('2025数据'!$P$3:$P$181,"&gt;="&amp;DATE(2025,11,1),'2025数据'!$P$3:$P$181,"&lt;="&amp;DATE(2025,11,30),'2025数据'!$AE$3:$AE$181,$E985))</f>
        <v>0</v>
      </c>
      <c r="Q985" s="207">
        <f ca="1">IF($S$1&lt;DATE(2025,12,1)," ",COUNTIFS('2025数据'!$P$3:$P$181,"&gt;="&amp;DATE(2025,12,1),'2025数据'!$P$3:$P$181,"&lt;="&amp;DATE(2025,12,31),'2025数据'!$AE$3:$AE$181,$E985))</f>
        <v>0</v>
      </c>
    </row>
    <row r="986" ht="24" customHeight="1" spans="1:17">
      <c r="A986" s="99" t="s">
        <v>347</v>
      </c>
      <c r="B986" s="99" t="s">
        <v>299</v>
      </c>
      <c r="C986" s="99" t="s">
        <v>291</v>
      </c>
      <c r="D986" s="48" t="s">
        <v>31</v>
      </c>
      <c r="E986" s="48" t="s">
        <v>83</v>
      </c>
      <c r="F986" s="205">
        <f ca="1">IF($S$1&lt;DATE(2025,1,1)," ",COUNTIFS('2025数据'!$P$3:$P$181,"&gt;="&amp;DATE(2024,1,1),'2025数据'!$P$3:$P$181,"&lt;="&amp;DATE(2025,1,31),'2025数据'!$AE$3:$AE$181,$E986))</f>
        <v>0</v>
      </c>
      <c r="G986" s="205">
        <f ca="1">IF($S$1&lt;DATE(2025,2,1)," ",COUNTIFS('2025数据'!$P$3:$P$181,"&gt;="&amp;DATE(2025,2,1),'2025数据'!$P$3:$P$181,"&lt;="&amp;DATE(2025,2,28),'2025数据'!$AE$3:$AE$181,$E986))</f>
        <v>0</v>
      </c>
      <c r="H986" s="205">
        <f ca="1">IF($S$1&lt;DATE(2025,3,1)," ",COUNTIFS('2025数据'!$P$3:$P$181,"&gt;="&amp;DATE(2025,3,1),'2025数据'!$P$3:$P$181,"&lt;="&amp;DATE(2025,3,31),'2025数据'!$AE$3:$AE$181,$E986))</f>
        <v>0</v>
      </c>
      <c r="I986" s="205">
        <f ca="1">IF($S$1&lt;DATE(2025,4,1)," ",COUNTIFS('2025数据'!$P$3:$P$181,"&gt;="&amp;DATE(2025,4,1),'2025数据'!$P$3:$P$181,"&lt;="&amp;DATE(2025,4,30),'2025数据'!$AE$3:$AE$181,$E986))</f>
        <v>0</v>
      </c>
      <c r="J986" s="205">
        <f ca="1">IF($S$1&lt;DATE(2025,5,1)," ",COUNTIFS('2025数据'!$P$3:$P$181,"&gt;="&amp;DATE(2025,5,1),'2025数据'!$P$3:$P$181,"&lt;="&amp;DATE(2025,5,31),'2025数据'!$AE$3:$AE$181,$E986))</f>
        <v>0</v>
      </c>
      <c r="K986" s="205">
        <f ca="1">IF($S$1&lt;DATE(2025,6,1)," ",COUNTIFS('2025数据'!$P$3:$P$181,"&gt;="&amp;DATE(2025,6,1),'2025数据'!$P$3:$P$181,"&lt;="&amp;DATE(2025,6,30),'2025数据'!$AE$3:$AE$181,$E986))</f>
        <v>0</v>
      </c>
      <c r="L986" s="205">
        <f ca="1">IF($S$1&lt;DATE(2025,7,1)," ",COUNTIFS('2025数据'!$P$3:$P$181,"&gt;="&amp;DATE(2025,7,1),'2025数据'!$P$3:$P$181,"&lt;="&amp;DATE(2025,7,31),'2025数据'!$AE$3:$AE$181,$E986))</f>
        <v>0</v>
      </c>
      <c r="M986" s="205">
        <f ca="1">IF($S$1&lt;DATE(2025,8,1)," ",COUNTIFS('2025数据'!$P$3:$P$181,"&gt;="&amp;DATE(2025,8,1),'2025数据'!$P$3:$P$181,"&lt;="&amp;DATE(2025,8,31),'2025数据'!$AE$3:$AE$181,$E986))</f>
        <v>0</v>
      </c>
      <c r="N986" s="205">
        <f ca="1">IF($S$1&lt;DATE(2025,9,1)," ",COUNTIFS('2025数据'!$P$3:$P$181,"&gt;="&amp;DATE(2025,9,1),'2025数据'!$P$3:$P$181,"&lt;="&amp;DATE(2025,9,30),'2025数据'!$AE$3:$AE$181,$E986))</f>
        <v>0</v>
      </c>
      <c r="O986" s="205">
        <f ca="1">IF($S$1&lt;DATE(2025,10,1)," ",COUNTIFS('2025数据'!$P$3:$P$181,"&gt;="&amp;DATE(2025,10,1),'2025数据'!$P$3:$P$181,"&lt;="&amp;DATE(2025,10,31),'2025数据'!$AE$3:$AE$181,$E986))</f>
        <v>0</v>
      </c>
      <c r="P986" s="207">
        <f ca="1">IF($S$1&lt;DATE(2025,11,1)," ",COUNTIFS('2025数据'!$P$3:$P$181,"&gt;="&amp;DATE(2025,11,1),'2025数据'!$P$3:$P$181,"&lt;="&amp;DATE(2025,11,30),'2025数据'!$AE$3:$AE$181,$E986))</f>
        <v>0</v>
      </c>
      <c r="Q986" s="207">
        <f ca="1">IF($S$1&lt;DATE(2025,12,1)," ",COUNTIFS('2025数据'!$P$3:$P$181,"&gt;="&amp;DATE(2025,12,1),'2025数据'!$P$3:$P$181,"&lt;="&amp;DATE(2025,12,31),'2025数据'!$AE$3:$AE$181,$E986))</f>
        <v>0</v>
      </c>
    </row>
    <row r="987" ht="24" customHeight="1" spans="1:17">
      <c r="A987" s="99" t="s">
        <v>347</v>
      </c>
      <c r="B987" s="99" t="s">
        <v>299</v>
      </c>
      <c r="C987" s="99" t="s">
        <v>291</v>
      </c>
      <c r="D987" s="47" t="s">
        <v>294</v>
      </c>
      <c r="E987" s="47" t="s">
        <v>93</v>
      </c>
      <c r="F987" s="206">
        <f ca="1">IF($S$1&lt;DATE(2025,1,1)," ",COUNTIFS('2025数据'!$P$3:$P$181,"&gt;="&amp;DATE(2024,1,1),'2025数据'!$P$3:$P$181,"&lt;="&amp;DATE(2025,1,31),'2025数据'!$B$3:$B$181,$E987))</f>
        <v>1</v>
      </c>
      <c r="G987" s="206">
        <f ca="1">IF($S$1&lt;DATE(2025,2,1)," ",COUNTIFS('2025数据'!$P$3:$P$181,"&gt;="&amp;DATE(2025,2,1),'2025数据'!$P$3:$P$181,"&lt;="&amp;DATE(2025,2,28),'2025数据'!$B$3:$B$181,$E987))</f>
        <v>0</v>
      </c>
      <c r="H987" s="206">
        <f ca="1">IF($S$1&lt;DATE(2025,3,1)," ",COUNTIFS('2025数据'!$P$3:$P$181,"&gt;="&amp;DATE(2025,3,1),'2025数据'!$P$3:$P$181,"&lt;="&amp;DATE(2025,3,31),'2025数据'!$B$3:$B$181,$E987))</f>
        <v>0</v>
      </c>
      <c r="I987" s="206">
        <f ca="1">IF($S$1&lt;DATE(2025,4,1)," ",COUNTIFS('2025数据'!$P$3:$P$181,"&gt;="&amp;DATE(2025,4,1),'2025数据'!$P$3:$P$181,"&lt;="&amp;DATE(2025,4,30),'2025数据'!$B$3:$B$181,$E987))</f>
        <v>0</v>
      </c>
      <c r="J987" s="206">
        <f ca="1">IF($S$1&lt;DATE(2025,5,1)," ",COUNTIFS('2025数据'!$P$3:$P$181,"&gt;="&amp;DATE(2025,5,1),'2025数据'!$P$3:$P$181,"&lt;="&amp;DATE(2025,5,31),'2025数据'!$B$3:$B$181,$E987))</f>
        <v>0</v>
      </c>
      <c r="K987" s="206">
        <f ca="1">IF($S$1&lt;DATE(2025,6,1)," ",COUNTIFS('2025数据'!$P$3:$P$181,"&gt;="&amp;DATE(2025,6,1),'2025数据'!$P$3:$P$181,"&lt;="&amp;DATE(2025,6,30),'2025数据'!$B$3:$B$181,$E987))</f>
        <v>1</v>
      </c>
      <c r="L987" s="206">
        <f ca="1">IF($S$1&lt;DATE(2025,7,1)," ",COUNTIFS('2025数据'!$P$3:$P$181,"&gt;="&amp;DATE(2025,7,1),'2025数据'!$P$3:$P$181,"&lt;="&amp;DATE(2025,7,31),'2025数据'!$B$3:$B$181,$E987))</f>
        <v>1</v>
      </c>
      <c r="M987" s="206">
        <f ca="1">IF($S$1&lt;DATE(2025,8,1)," ",COUNTIFS('2025数据'!$P$3:$P$181,"&gt;="&amp;DATE(2025,8,1),'2025数据'!$P$3:$P$181,"&lt;="&amp;DATE(2025,8,31),'2025数据'!$B$3:$B$181,$E987))</f>
        <v>1</v>
      </c>
      <c r="N987" s="206">
        <f ca="1">IF($S$1&lt;DATE(2025,9,1)," ",COUNTIFS('2025数据'!$P$3:$P$181,"&gt;="&amp;DATE(2025,9,1),'2025数据'!$P$3:$P$181,"&lt;="&amp;DATE(2025,9,30),'2025数据'!$B$3:$B$181,$E987))</f>
        <v>2</v>
      </c>
      <c r="O987" s="206">
        <f ca="1">IF($S$1&lt;DATE(2025,10,1)," ",COUNTIFS('2025数据'!$P$3:$P$181,"&gt;="&amp;DATE(2025,10,1),'2025数据'!$P$3:$P$181,"&lt;="&amp;DATE(2025,10,31),'2025数据'!$B$3:$B$181,$E987))</f>
        <v>0</v>
      </c>
      <c r="P987" s="208">
        <f ca="1">IF($S$1&lt;DATE(2025,11,1)," ",COUNTIFS('2025数据'!$P$3:$P$181,"&gt;="&amp;DATE(2025,11,1),'2025数据'!$P$3:$P$181,"&lt;="&amp;DATE(2025,11,30),'2025数据'!$B$3:$B$181,$E987))</f>
        <v>1</v>
      </c>
      <c r="Q987" s="208">
        <f ca="1">IF($S$1&lt;DATE(2025,12,1)," ",COUNTIFS('2025数据'!$P$3:$P$181,"&gt;="&amp;DATE(2025,12,1),'2025数据'!$P$3:$P$181,"&lt;="&amp;DATE(2025,12,31),'2025数据'!$B$3:$B$181,$E987))</f>
        <v>0</v>
      </c>
    </row>
    <row r="988" ht="24" customHeight="1" spans="1:17">
      <c r="A988" s="99" t="s">
        <v>347</v>
      </c>
      <c r="B988" s="99" t="s">
        <v>299</v>
      </c>
      <c r="C988" s="99" t="s">
        <v>291</v>
      </c>
      <c r="D988" s="47" t="s">
        <v>294</v>
      </c>
      <c r="E988" s="47" t="s">
        <v>85</v>
      </c>
      <c r="F988" s="206">
        <f ca="1">IF($S$1&lt;DATE(2025,1,1)," ",COUNTIFS('2025数据'!$P$3:$P$181,"&gt;="&amp;DATE(2024,1,1),'2025数据'!$P$3:$P$181,"&lt;="&amp;DATE(2025,1,31),'2025数据'!$B$3:$B$181,$E988))</f>
        <v>0</v>
      </c>
      <c r="G988" s="206">
        <f ca="1">IF($S$1&lt;DATE(2025,2,1)," ",COUNTIFS('2025数据'!$P$3:$P$181,"&gt;="&amp;DATE(2025,2,1),'2025数据'!$P$3:$P$181,"&lt;="&amp;DATE(2025,2,28),'2025数据'!$B$3:$B$181,$E988))</f>
        <v>0</v>
      </c>
      <c r="H988" s="206">
        <f ca="1">IF($S$1&lt;DATE(2025,3,1)," ",COUNTIFS('2025数据'!$P$3:$P$181,"&gt;="&amp;DATE(2025,3,1),'2025数据'!$P$3:$P$181,"&lt;="&amp;DATE(2025,3,31),'2025数据'!$B$3:$B$181,$E988))</f>
        <v>0</v>
      </c>
      <c r="I988" s="206">
        <f ca="1">IF($S$1&lt;DATE(2025,4,1)," ",COUNTIFS('2025数据'!$P$3:$P$181,"&gt;="&amp;DATE(2025,4,1),'2025数据'!$P$3:$P$181,"&lt;="&amp;DATE(2025,4,30),'2025数据'!$B$3:$B$181,$E988))</f>
        <v>0</v>
      </c>
      <c r="J988" s="206">
        <f ca="1">IF($S$1&lt;DATE(2025,5,1)," ",COUNTIFS('2025数据'!$P$3:$P$181,"&gt;="&amp;DATE(2025,5,1),'2025数据'!$P$3:$P$181,"&lt;="&amp;DATE(2025,5,31),'2025数据'!$B$3:$B$181,$E988))</f>
        <v>0</v>
      </c>
      <c r="K988" s="206">
        <f ca="1">IF($S$1&lt;DATE(2025,6,1)," ",COUNTIFS('2025数据'!$P$3:$P$181,"&gt;="&amp;DATE(2025,6,1),'2025数据'!$P$3:$P$181,"&lt;="&amp;DATE(2025,6,30),'2025数据'!$B$3:$B$181,$E988))</f>
        <v>1</v>
      </c>
      <c r="L988" s="206">
        <f ca="1">IF($S$1&lt;DATE(2025,7,1)," ",COUNTIFS('2025数据'!$P$3:$P$181,"&gt;="&amp;DATE(2025,7,1),'2025数据'!$P$3:$P$181,"&lt;="&amp;DATE(2025,7,31),'2025数据'!$B$3:$B$181,$E988))</f>
        <v>0</v>
      </c>
      <c r="M988" s="206">
        <f ca="1">IF($S$1&lt;DATE(2025,8,1)," ",COUNTIFS('2025数据'!$P$3:$P$181,"&gt;="&amp;DATE(2025,8,1),'2025数据'!$P$3:$P$181,"&lt;="&amp;DATE(2025,8,31),'2025数据'!$B$3:$B$181,$E988))</f>
        <v>0</v>
      </c>
      <c r="N988" s="206">
        <f ca="1">IF($S$1&lt;DATE(2025,9,1)," ",COUNTIFS('2025数据'!$P$3:$P$181,"&gt;="&amp;DATE(2025,9,1),'2025数据'!$P$3:$P$181,"&lt;="&amp;DATE(2025,9,30),'2025数据'!$B$3:$B$181,$E988))</f>
        <v>0</v>
      </c>
      <c r="O988" s="206">
        <f ca="1">IF($S$1&lt;DATE(2025,10,1)," ",COUNTIFS('2025数据'!$P$3:$P$181,"&gt;="&amp;DATE(2025,10,1),'2025数据'!$P$3:$P$181,"&lt;="&amp;DATE(2025,10,31),'2025数据'!$B$3:$B$181,$E988))</f>
        <v>0</v>
      </c>
      <c r="P988" s="208">
        <f ca="1">IF($S$1&lt;DATE(2025,11,1)," ",COUNTIFS('2025数据'!$P$3:$P$181,"&gt;="&amp;DATE(2025,11,1),'2025数据'!$P$3:$P$181,"&lt;="&amp;DATE(2025,11,30),'2025数据'!$B$3:$B$181,$E988))</f>
        <v>0</v>
      </c>
      <c r="Q988" s="208">
        <f ca="1">IF($S$1&lt;DATE(2025,12,1)," ",COUNTIFS('2025数据'!$P$3:$P$181,"&gt;="&amp;DATE(2025,12,1),'2025数据'!$P$3:$P$181,"&lt;="&amp;DATE(2025,12,31),'2025数据'!$B$3:$B$181,$E988))</f>
        <v>0</v>
      </c>
    </row>
    <row r="989" ht="24" customHeight="1" spans="1:17">
      <c r="A989" s="99" t="s">
        <v>347</v>
      </c>
      <c r="B989" s="99" t="s">
        <v>299</v>
      </c>
      <c r="C989" s="99" t="s">
        <v>291</v>
      </c>
      <c r="D989" s="47" t="s">
        <v>294</v>
      </c>
      <c r="E989" s="47" t="s">
        <v>81</v>
      </c>
      <c r="F989" s="206">
        <f ca="1">IF($S$1&lt;DATE(2025,1,1)," ",COUNTIFS('2025数据'!$P$3:$P$181,"&gt;="&amp;DATE(2024,1,1),'2025数据'!$P$3:$P$181,"&lt;="&amp;DATE(2025,1,31),'2025数据'!$B$3:$B$181,$E989))</f>
        <v>0</v>
      </c>
      <c r="G989" s="206">
        <f ca="1">IF($S$1&lt;DATE(2025,2,1)," ",COUNTIFS('2025数据'!$P$3:$P$181,"&gt;="&amp;DATE(2025,2,1),'2025数据'!$P$3:$P$181,"&lt;="&amp;DATE(2025,2,28),'2025数据'!$B$3:$B$181,$E989))</f>
        <v>0</v>
      </c>
      <c r="H989" s="206">
        <f ca="1">IF($S$1&lt;DATE(2025,3,1)," ",COUNTIFS('2025数据'!$P$3:$P$181,"&gt;="&amp;DATE(2025,3,1),'2025数据'!$P$3:$P$181,"&lt;="&amp;DATE(2025,3,31),'2025数据'!$B$3:$B$181,$E989))</f>
        <v>0</v>
      </c>
      <c r="I989" s="206">
        <f ca="1">IF($S$1&lt;DATE(2025,4,1)," ",COUNTIFS('2025数据'!$P$3:$P$181,"&gt;="&amp;DATE(2025,4,1),'2025数据'!$P$3:$P$181,"&lt;="&amp;DATE(2025,4,30),'2025数据'!$B$3:$B$181,$E989))</f>
        <v>1</v>
      </c>
      <c r="J989" s="206">
        <f ca="1">IF($S$1&lt;DATE(2025,5,1)," ",COUNTIFS('2025数据'!$P$3:$P$181,"&gt;="&amp;DATE(2025,5,1),'2025数据'!$P$3:$P$181,"&lt;="&amp;DATE(2025,5,31),'2025数据'!$B$3:$B$181,$E989))</f>
        <v>0</v>
      </c>
      <c r="K989" s="206">
        <f ca="1">IF($S$1&lt;DATE(2025,6,1)," ",COUNTIFS('2025数据'!$P$3:$P$181,"&gt;="&amp;DATE(2025,6,1),'2025数据'!$P$3:$P$181,"&lt;="&amp;DATE(2025,6,30),'2025数据'!$B$3:$B$181,$E989))</f>
        <v>0</v>
      </c>
      <c r="L989" s="206">
        <f ca="1">IF($S$1&lt;DATE(2025,7,1)," ",COUNTIFS('2025数据'!$P$3:$P$181,"&gt;="&amp;DATE(2025,7,1),'2025数据'!$P$3:$P$181,"&lt;="&amp;DATE(2025,7,31),'2025数据'!$B$3:$B$181,$E989))</f>
        <v>0</v>
      </c>
      <c r="M989" s="206">
        <f ca="1">IF($S$1&lt;DATE(2025,8,1)," ",COUNTIFS('2025数据'!$P$3:$P$181,"&gt;="&amp;DATE(2025,8,1),'2025数据'!$P$3:$P$181,"&lt;="&amp;DATE(2025,8,31),'2025数据'!$B$3:$B$181,$E989))</f>
        <v>0</v>
      </c>
      <c r="N989" s="206">
        <f ca="1">IF($S$1&lt;DATE(2025,9,1)," ",COUNTIFS('2025数据'!$P$3:$P$181,"&gt;="&amp;DATE(2025,9,1),'2025数据'!$P$3:$P$181,"&lt;="&amp;DATE(2025,9,30),'2025数据'!$B$3:$B$181,$E989))</f>
        <v>1</v>
      </c>
      <c r="O989" s="206">
        <f ca="1">IF($S$1&lt;DATE(2025,10,1)," ",COUNTIFS('2025数据'!$P$3:$P$181,"&gt;="&amp;DATE(2025,10,1),'2025数据'!$P$3:$P$181,"&lt;="&amp;DATE(2025,10,31),'2025数据'!$B$3:$B$181,$E989))</f>
        <v>0</v>
      </c>
      <c r="P989" s="208">
        <f ca="1">IF($S$1&lt;DATE(2025,11,1)," ",COUNTIFS('2025数据'!$P$3:$P$181,"&gt;="&amp;DATE(2025,11,1),'2025数据'!$P$3:$P$181,"&lt;="&amp;DATE(2025,11,30),'2025数据'!$B$3:$B$181,$E989))</f>
        <v>0</v>
      </c>
      <c r="Q989" s="208">
        <f ca="1">IF($S$1&lt;DATE(2025,12,1)," ",COUNTIFS('2025数据'!$P$3:$P$181,"&gt;="&amp;DATE(2025,12,1),'2025数据'!$P$3:$P$181,"&lt;="&amp;DATE(2025,12,31),'2025数据'!$B$3:$B$181,$E989))</f>
        <v>0</v>
      </c>
    </row>
    <row r="990" ht="24" customHeight="1" spans="1:17">
      <c r="A990" s="99" t="s">
        <v>347</v>
      </c>
      <c r="B990" s="99" t="s">
        <v>299</v>
      </c>
      <c r="C990" s="99" t="s">
        <v>291</v>
      </c>
      <c r="D990" s="47" t="s">
        <v>294</v>
      </c>
      <c r="E990" s="47" t="s">
        <v>96</v>
      </c>
      <c r="F990" s="206">
        <f ca="1">IF($S$1&lt;DATE(2025,1,1)," ",COUNTIFS('2025数据'!$P$3:$P$181,"&gt;="&amp;DATE(2024,1,1),'2025数据'!$P$3:$P$181,"&lt;="&amp;DATE(2025,1,31),'2025数据'!$B$3:$B$181,$E990))</f>
        <v>0</v>
      </c>
      <c r="G990" s="206">
        <f ca="1">IF($S$1&lt;DATE(2025,2,1)," ",COUNTIFS('2025数据'!$P$3:$P$181,"&gt;="&amp;DATE(2025,2,1),'2025数据'!$P$3:$P$181,"&lt;="&amp;DATE(2025,2,28),'2025数据'!$B$3:$B$181,$E990))</f>
        <v>0</v>
      </c>
      <c r="H990" s="206">
        <f ca="1">IF($S$1&lt;DATE(2025,3,1)," ",COUNTIFS('2025数据'!$P$3:$P$181,"&gt;="&amp;DATE(2025,3,1),'2025数据'!$P$3:$P$181,"&lt;="&amp;DATE(2025,3,31),'2025数据'!$B$3:$B$181,$E990))</f>
        <v>0</v>
      </c>
      <c r="I990" s="206">
        <f ca="1">IF($S$1&lt;DATE(2025,4,1)," ",COUNTIFS('2025数据'!$P$3:$P$181,"&gt;="&amp;DATE(2025,4,1),'2025数据'!$P$3:$P$181,"&lt;="&amp;DATE(2025,4,30),'2025数据'!$B$3:$B$181,$E990))</f>
        <v>0</v>
      </c>
      <c r="J990" s="206">
        <f ca="1">IF($S$1&lt;DATE(2025,5,1)," ",COUNTIFS('2025数据'!$P$3:$P$181,"&gt;="&amp;DATE(2025,5,1),'2025数据'!$P$3:$P$181,"&lt;="&amp;DATE(2025,5,31),'2025数据'!$B$3:$B$181,$E990))</f>
        <v>0</v>
      </c>
      <c r="K990" s="206">
        <f ca="1">IF($S$1&lt;DATE(2025,6,1)," ",COUNTIFS('2025数据'!$P$3:$P$181,"&gt;="&amp;DATE(2025,6,1),'2025数据'!$P$3:$P$181,"&lt;="&amp;DATE(2025,6,30),'2025数据'!$B$3:$B$181,$E990))</f>
        <v>0</v>
      </c>
      <c r="L990" s="206">
        <f ca="1">IF($S$1&lt;DATE(2025,7,1)," ",COUNTIFS('2025数据'!$P$3:$P$181,"&gt;="&amp;DATE(2025,7,1),'2025数据'!$P$3:$P$181,"&lt;="&amp;DATE(2025,7,31),'2025数据'!$B$3:$B$181,$E990))</f>
        <v>0</v>
      </c>
      <c r="M990" s="206">
        <f ca="1">IF($S$1&lt;DATE(2025,8,1)," ",COUNTIFS('2025数据'!$P$3:$P$181,"&gt;="&amp;DATE(2025,8,1),'2025数据'!$P$3:$P$181,"&lt;="&amp;DATE(2025,8,31),'2025数据'!$B$3:$B$181,$E990))</f>
        <v>0</v>
      </c>
      <c r="N990" s="206">
        <f ca="1">IF($S$1&lt;DATE(2025,9,1)," ",COUNTIFS('2025数据'!$P$3:$P$181,"&gt;="&amp;DATE(2025,9,1),'2025数据'!$P$3:$P$181,"&lt;="&amp;DATE(2025,9,30),'2025数据'!$B$3:$B$181,$E990))</f>
        <v>0</v>
      </c>
      <c r="O990" s="206">
        <f ca="1">IF($S$1&lt;DATE(2025,10,1)," ",COUNTIFS('2025数据'!$P$3:$P$181,"&gt;="&amp;DATE(2025,10,1),'2025数据'!$P$3:$P$181,"&lt;="&amp;DATE(2025,10,31),'2025数据'!$B$3:$B$181,$E990))</f>
        <v>0</v>
      </c>
      <c r="P990" s="208">
        <f ca="1">IF($S$1&lt;DATE(2025,11,1)," ",COUNTIFS('2025数据'!$P$3:$P$181,"&gt;="&amp;DATE(2025,11,1),'2025数据'!$P$3:$P$181,"&lt;="&amp;DATE(2025,11,30),'2025数据'!$B$3:$B$181,$E990))</f>
        <v>0</v>
      </c>
      <c r="Q990" s="208">
        <f ca="1">IF($S$1&lt;DATE(2025,12,1)," ",COUNTIFS('2025数据'!$P$3:$P$181,"&gt;="&amp;DATE(2025,12,1),'2025数据'!$P$3:$P$181,"&lt;="&amp;DATE(2025,12,31),'2025数据'!$B$3:$B$181,$E990))</f>
        <v>0</v>
      </c>
    </row>
    <row r="991" ht="24" customHeight="1" spans="1:17">
      <c r="A991" s="99" t="s">
        <v>347</v>
      </c>
      <c r="B991" s="99" t="s">
        <v>299</v>
      </c>
      <c r="C991" s="99" t="s">
        <v>291</v>
      </c>
      <c r="D991" s="47" t="s">
        <v>294</v>
      </c>
      <c r="E991" s="47" t="s">
        <v>160</v>
      </c>
      <c r="F991" s="206">
        <f ca="1">IF($S$1&lt;DATE(2025,1,1)," ",COUNTIFS('2025数据'!$P$3:$P$181,"&gt;="&amp;DATE(2024,1,1),'2025数据'!$P$3:$P$181,"&lt;="&amp;DATE(2025,1,31),'2025数据'!$B$3:$B$181,$E991))</f>
        <v>0</v>
      </c>
      <c r="G991" s="206">
        <f ca="1">IF($S$1&lt;DATE(2025,2,1)," ",COUNTIFS('2025数据'!$P$3:$P$181,"&gt;="&amp;DATE(2025,2,1),'2025数据'!$P$3:$P$181,"&lt;="&amp;DATE(2025,2,28),'2025数据'!$B$3:$B$181,$E991))</f>
        <v>0</v>
      </c>
      <c r="H991" s="206">
        <f ca="1">IF($S$1&lt;DATE(2025,3,1)," ",COUNTIFS('2025数据'!$P$3:$P$181,"&gt;="&amp;DATE(2025,3,1),'2025数据'!$P$3:$P$181,"&lt;="&amp;DATE(2025,3,31),'2025数据'!$B$3:$B$181,$E991))</f>
        <v>0</v>
      </c>
      <c r="I991" s="206">
        <f ca="1">IF($S$1&lt;DATE(2025,4,1)," ",COUNTIFS('2025数据'!$P$3:$P$181,"&gt;="&amp;DATE(2025,4,1),'2025数据'!$P$3:$P$181,"&lt;="&amp;DATE(2025,4,30),'2025数据'!$B$3:$B$181,$E991))</f>
        <v>0</v>
      </c>
      <c r="J991" s="206">
        <f ca="1">IF($S$1&lt;DATE(2025,5,1)," ",COUNTIFS('2025数据'!$P$3:$P$181,"&gt;="&amp;DATE(2025,5,1),'2025数据'!$P$3:$P$181,"&lt;="&amp;DATE(2025,5,31),'2025数据'!$B$3:$B$181,$E991))</f>
        <v>0</v>
      </c>
      <c r="K991" s="206">
        <f ca="1">IF($S$1&lt;DATE(2025,6,1)," ",COUNTIFS('2025数据'!$P$3:$P$181,"&gt;="&amp;DATE(2025,6,1),'2025数据'!$P$3:$P$181,"&lt;="&amp;DATE(2025,6,30),'2025数据'!$B$3:$B$181,$E991))</f>
        <v>0</v>
      </c>
      <c r="L991" s="206">
        <f ca="1">IF($S$1&lt;DATE(2025,7,1)," ",COUNTIFS('2025数据'!$P$3:$P$181,"&gt;="&amp;DATE(2025,7,1),'2025数据'!$P$3:$P$181,"&lt;="&amp;DATE(2025,7,31),'2025数据'!$B$3:$B$181,$E991))</f>
        <v>0</v>
      </c>
      <c r="M991" s="206">
        <f ca="1">IF($S$1&lt;DATE(2025,8,1)," ",COUNTIFS('2025数据'!$P$3:$P$181,"&gt;="&amp;DATE(2025,8,1),'2025数据'!$P$3:$P$181,"&lt;="&amp;DATE(2025,8,31),'2025数据'!$B$3:$B$181,$E991))</f>
        <v>0</v>
      </c>
      <c r="N991" s="206">
        <f ca="1">IF($S$1&lt;DATE(2025,9,1)," ",COUNTIFS('2025数据'!$P$3:$P$181,"&gt;="&amp;DATE(2025,9,1),'2025数据'!$P$3:$P$181,"&lt;="&amp;DATE(2025,9,30),'2025数据'!$B$3:$B$181,$E991))</f>
        <v>0</v>
      </c>
      <c r="O991" s="206">
        <f ca="1">IF($S$1&lt;DATE(2025,10,1)," ",COUNTIFS('2025数据'!$P$3:$P$181,"&gt;="&amp;DATE(2025,10,1),'2025数据'!$P$3:$P$181,"&lt;="&amp;DATE(2025,10,31),'2025数据'!$B$3:$B$181,$E991))</f>
        <v>0</v>
      </c>
      <c r="P991" s="208">
        <f ca="1">IF($S$1&lt;DATE(2025,11,1)," ",COUNTIFS('2025数据'!$P$3:$P$181,"&gt;="&amp;DATE(2025,11,1),'2025数据'!$P$3:$P$181,"&lt;="&amp;DATE(2025,11,30),'2025数据'!$B$3:$B$181,$E991))</f>
        <v>0</v>
      </c>
      <c r="Q991" s="208">
        <f ca="1">IF($S$1&lt;DATE(2025,12,1)," ",COUNTIFS('2025数据'!$P$3:$P$181,"&gt;="&amp;DATE(2025,12,1),'2025数据'!$P$3:$P$181,"&lt;="&amp;DATE(2025,12,31),'2025数据'!$B$3:$B$181,$E991))</f>
        <v>0</v>
      </c>
    </row>
    <row r="992" ht="24" customHeight="1" spans="1:17">
      <c r="A992" s="99" t="s">
        <v>347</v>
      </c>
      <c r="B992" s="99" t="s">
        <v>299</v>
      </c>
      <c r="C992" s="99" t="s">
        <v>291</v>
      </c>
      <c r="D992" s="100" t="s">
        <v>292</v>
      </c>
      <c r="E992" s="110" t="s">
        <v>301</v>
      </c>
      <c r="F992" s="210">
        <f ca="1">IF($S$1&lt;DATE(2025,1,1)," ",COUNTIFS('2025数据'!$P$3:$P$181,"&gt;="&amp;DATE(2025,1,1),'2025数据'!$P$3:$P$181,"&lt;="&amp;DATE(2025,1,31),'2025数据'!$BF$3:$BF$181,$E992))</f>
        <v>0</v>
      </c>
      <c r="G992" s="210">
        <f ca="1">IF($S$1&lt;DATE(2025,2,1)," ",COUNTIFS('2025数据'!$P$3:$P$181,"&gt;="&amp;DATE(2025,2,1),'2025数据'!$P$3:$P$181,"&lt;="&amp;DATE(2025,2,28),'2025数据'!$BF$3:$BF$181,$E992))</f>
        <v>0</v>
      </c>
      <c r="H992" s="210">
        <f ca="1">IF($S$1&lt;DATE(2025,3,1)," ",COUNTIFS('2025数据'!$P$3:$P$181,"&gt;="&amp;DATE(2025,3,1),'2025数据'!$P$3:$P$181,"&lt;="&amp;DATE(2025,3,31),'2025数据'!$BF$3:$BF$181,$E992))</f>
        <v>0</v>
      </c>
      <c r="I992" s="210">
        <f ca="1">IF($S$1&lt;DATE(2025,4,1)," ",COUNTIFS('2025数据'!$P$3:$P$181,"&gt;="&amp;DATE(2025,4,1),'2025数据'!$P$3:$P$181,"&lt;="&amp;DATE(2025,4,30),'2025数据'!$BF$3:$BF$181,$E992))</f>
        <v>0</v>
      </c>
      <c r="J992" s="210">
        <f ca="1">IF($S$1&lt;DATE(2025,5,1)," ",COUNTIFS('2025数据'!$P$3:$P$181,"&gt;="&amp;DATE(2025,5,1),'2025数据'!$P$3:$P$181,"&lt;="&amp;DATE(2025,5,31),'2025数据'!$BF$3:$BF$181,$E992))</f>
        <v>0</v>
      </c>
      <c r="K992" s="210">
        <f ca="1">IF($S$1&lt;DATE(2025,6,1)," ",COUNTIFS('2025数据'!$P$3:$P$181,"&gt;="&amp;DATE(2025,6,1),'2025数据'!$P$3:$P$181,"&lt;="&amp;DATE(2025,6,30),'2025数据'!$BF$3:$BF$181,$E992))</f>
        <v>1</v>
      </c>
      <c r="L992" s="210">
        <f ca="1">IF($S$1&lt;DATE(2025,7,1)," ",COUNTIFS('2025数据'!$P$3:$P$181,"&gt;="&amp;DATE(2025,7,1),'2025数据'!$P$3:$P$181,"&lt;="&amp;DATE(2025,7,31),'2025数据'!$BF$3:$BF$181,$E992))</f>
        <v>1</v>
      </c>
      <c r="M992" s="210">
        <f ca="1">IF($S$1&lt;DATE(2025,8,1)," ",COUNTIFS('2025数据'!$P$3:$P$181,"&gt;="&amp;DATE(2025,8,1),'2025数据'!$P$3:$P$181,"&lt;="&amp;DATE(2025,8,31),'2025数据'!$BF$3:$BF$181,$E992))</f>
        <v>1</v>
      </c>
      <c r="N992" s="210">
        <f ca="1">IF($S$1&lt;DATE(2025,9,1)," ",COUNTIFS('2025数据'!$P$3:$P$181,"&gt;="&amp;DATE(2025,9,1),'2025数据'!$P$3:$P$181,"&lt;="&amp;DATE(2025,9,30),'2025数据'!$BF$3:$BF$181,$E992))</f>
        <v>1</v>
      </c>
      <c r="O992" s="210">
        <f ca="1">IF($S$1&lt;DATE(2025,10,1)," ",COUNTIFS('2025数据'!$P$3:$P$181,"&gt;="&amp;DATE(2025,10,1),'2025数据'!$P$3:$P$181,"&lt;="&amp;DATE(2025,10,31),'2025数据'!$BF$3:$BF$181,$E992))</f>
        <v>0</v>
      </c>
      <c r="P992" s="212">
        <f ca="1">IF($S$1&lt;DATE(2025,11,1)," ",COUNTIFS('2025数据'!$P$3:$P$181,"&gt;="&amp;DATE(2025,11,1),'2025数据'!$P$3:$P$181,"&lt;="&amp;DATE(2025,11,30),'2025数据'!$BF$3:$BF$181,$E992))</f>
        <v>0</v>
      </c>
      <c r="Q992" s="212">
        <f ca="1">IF($S$1&lt;DATE(2025,12,1)," ",COUNTIFS('2025数据'!$P$3:$P$181,"&gt;="&amp;DATE(2025,12,1),'2025数据'!$P$3:$P$181,"&lt;="&amp;DATE(2025,12,31),'2025数据'!$BF$3:$BF$181,$E992))</f>
        <v>0</v>
      </c>
    </row>
    <row r="993" ht="24" customHeight="1" spans="1:17">
      <c r="A993" s="99" t="s">
        <v>347</v>
      </c>
      <c r="B993" s="99" t="s">
        <v>299</v>
      </c>
      <c r="C993" s="99" t="s">
        <v>291</v>
      </c>
      <c r="D993" s="100" t="s">
        <v>292</v>
      </c>
      <c r="E993" s="110" t="s">
        <v>302</v>
      </c>
      <c r="F993" s="210">
        <f ca="1">IF($S$1&lt;DATE(2025,1,1)," ",COUNTIFS('2025数据'!$P$3:$P$181,"&gt;="&amp;DATE(2025,1,1),'2025数据'!$P$3:$P$181,"&lt;="&amp;DATE(2025,1,31),'2025数据'!$BF$3:$BF$181,$E993))</f>
        <v>1</v>
      </c>
      <c r="G993" s="210">
        <f ca="1">IF($S$1&lt;DATE(2025,2,1)," ",COUNTIFS('2025数据'!$P$3:$P$181,"&gt;="&amp;DATE(2025,2,1),'2025数据'!$P$3:$P$181,"&lt;="&amp;DATE(2025,2,28),'2025数据'!$BF$3:$BF$181,$E993))</f>
        <v>0</v>
      </c>
      <c r="H993" s="210">
        <f ca="1">IF($S$1&lt;DATE(2025,3,1)," ",COUNTIFS('2025数据'!$P$3:$P$181,"&gt;="&amp;DATE(2025,3,1),'2025数据'!$P$3:$P$181,"&lt;="&amp;DATE(2025,3,31),'2025数据'!$BF$3:$BF$181,$E993))</f>
        <v>0</v>
      </c>
      <c r="I993" s="210">
        <f ca="1">IF($S$1&lt;DATE(2025,4,1)," ",COUNTIFS('2025数据'!$P$3:$P$181,"&gt;="&amp;DATE(2025,4,1),'2025数据'!$P$3:$P$181,"&lt;="&amp;DATE(2025,4,30),'2025数据'!$BF$3:$BF$181,$E993))</f>
        <v>0</v>
      </c>
      <c r="J993" s="210">
        <f ca="1">IF($S$1&lt;DATE(2025,5,1)," ",COUNTIFS('2025数据'!$P$3:$P$181,"&gt;="&amp;DATE(2025,5,1),'2025数据'!$P$3:$P$181,"&lt;="&amp;DATE(2025,5,31),'2025数据'!$BF$3:$BF$181,$E993))</f>
        <v>0</v>
      </c>
      <c r="K993" s="210">
        <f ca="1">IF($S$1&lt;DATE(2025,6,1)," ",COUNTIFS('2025数据'!$P$3:$P$181,"&gt;="&amp;DATE(2025,6,1),'2025数据'!$P$3:$P$181,"&lt;="&amp;DATE(2025,6,30),'2025数据'!$BF$3:$BF$181,$E993))</f>
        <v>1</v>
      </c>
      <c r="L993" s="210">
        <f ca="1">IF($S$1&lt;DATE(2025,7,1)," ",COUNTIFS('2025数据'!$P$3:$P$181,"&gt;="&amp;DATE(2025,7,1),'2025数据'!$P$3:$P$181,"&lt;="&amp;DATE(2025,7,31),'2025数据'!$BF$3:$BF$181,$E993))</f>
        <v>0</v>
      </c>
      <c r="M993" s="210">
        <f ca="1">IF($S$1&lt;DATE(2025,8,1)," ",COUNTIFS('2025数据'!$P$3:$P$181,"&gt;="&amp;DATE(2025,8,1),'2025数据'!$P$3:$P$181,"&lt;="&amp;DATE(2025,8,31),'2025数据'!$BF$3:$BF$181,$E993))</f>
        <v>0</v>
      </c>
      <c r="N993" s="210">
        <f ca="1">IF($S$1&lt;DATE(2025,9,1)," ",COUNTIFS('2025数据'!$P$3:$P$181,"&gt;="&amp;DATE(2025,9,1),'2025数据'!$P$3:$P$181,"&lt;="&amp;DATE(2025,9,30),'2025数据'!$BF$3:$BF$181,$E993))</f>
        <v>0</v>
      </c>
      <c r="O993" s="210">
        <f ca="1">IF($S$1&lt;DATE(2025,10,1)," ",COUNTIFS('2025数据'!$P$3:$P$181,"&gt;="&amp;DATE(2025,10,1),'2025数据'!$P$3:$P$181,"&lt;="&amp;DATE(2025,10,31),'2025数据'!$BF$3:$BF$181,$E993))</f>
        <v>0</v>
      </c>
      <c r="P993" s="212">
        <f ca="1">IF($S$1&lt;DATE(2025,11,1)," ",COUNTIFS('2025数据'!$P$3:$P$181,"&gt;="&amp;DATE(2025,11,1),'2025数据'!$P$3:$P$181,"&lt;="&amp;DATE(2025,11,30),'2025数据'!$BF$3:$BF$181,$E993))</f>
        <v>1</v>
      </c>
      <c r="Q993" s="212">
        <f ca="1">IF($S$1&lt;DATE(2025,12,1)," ",COUNTIFS('2025数据'!$P$3:$P$181,"&gt;="&amp;DATE(2025,12,1),'2025数据'!$P$3:$P$181,"&lt;="&amp;DATE(2025,12,31),'2025数据'!$BF$3:$BF$181,$E993))</f>
        <v>0</v>
      </c>
    </row>
    <row r="994" ht="24" customHeight="1" spans="1:17">
      <c r="A994" s="99" t="s">
        <v>347</v>
      </c>
      <c r="B994" s="99" t="s">
        <v>299</v>
      </c>
      <c r="C994" s="99" t="s">
        <v>291</v>
      </c>
      <c r="D994" s="100" t="s">
        <v>292</v>
      </c>
      <c r="E994" s="110" t="s">
        <v>150</v>
      </c>
      <c r="F994" s="210">
        <f ca="1">IF($S$1&lt;DATE(2025,1,1)," ",COUNTIFS('2025数据'!$P$3:$P$181,"&gt;="&amp;DATE(2025,1,1),'2025数据'!$P$3:$P$181,"&lt;="&amp;DATE(2025,1,31),'2025数据'!$BF$3:$BF$181,$E994))</f>
        <v>0</v>
      </c>
      <c r="G994" s="210">
        <f ca="1">IF($S$1&lt;DATE(2025,2,1)," ",COUNTIFS('2025数据'!$P$3:$P$181,"&gt;="&amp;DATE(2025,2,1),'2025数据'!$P$3:$P$181,"&lt;="&amp;DATE(2025,2,28),'2025数据'!$BF$3:$BF$181,$E994))</f>
        <v>0</v>
      </c>
      <c r="H994" s="210">
        <f ca="1">IF($S$1&lt;DATE(2025,3,1)," ",COUNTIFS('2025数据'!$P$3:$P$181,"&gt;="&amp;DATE(2025,3,1),'2025数据'!$P$3:$P$181,"&lt;="&amp;DATE(2025,3,31),'2025数据'!$BF$3:$BF$181,$E994))</f>
        <v>0</v>
      </c>
      <c r="I994" s="210">
        <f ca="1">IF($S$1&lt;DATE(2025,4,1)," ",COUNTIFS('2025数据'!$P$3:$P$181,"&gt;="&amp;DATE(2025,4,1),'2025数据'!$P$3:$P$181,"&lt;="&amp;DATE(2025,4,30),'2025数据'!$BF$3:$BF$181,$E994))</f>
        <v>1</v>
      </c>
      <c r="J994" s="210">
        <f ca="1">IF($S$1&lt;DATE(2025,5,1)," ",COUNTIFS('2025数据'!$P$3:$P$181,"&gt;="&amp;DATE(2025,5,1),'2025数据'!$P$3:$P$181,"&lt;="&amp;DATE(2025,5,31),'2025数据'!$BF$3:$BF$181,$E994))</f>
        <v>0</v>
      </c>
      <c r="K994" s="210">
        <f ca="1">IF($S$1&lt;DATE(2025,6,1)," ",COUNTIFS('2025数据'!$P$3:$P$181,"&gt;="&amp;DATE(2025,6,1),'2025数据'!$P$3:$P$181,"&lt;="&amp;DATE(2025,6,30),'2025数据'!$BF$3:$BF$181,$E994))</f>
        <v>0</v>
      </c>
      <c r="L994" s="210">
        <f ca="1">IF($S$1&lt;DATE(2025,7,1)," ",COUNTIFS('2025数据'!$P$3:$P$181,"&gt;="&amp;DATE(2025,7,1),'2025数据'!$P$3:$P$181,"&lt;="&amp;DATE(2025,7,31),'2025数据'!$BF$3:$BF$181,$E994))</f>
        <v>0</v>
      </c>
      <c r="M994" s="210">
        <f ca="1">IF($S$1&lt;DATE(2025,8,1)," ",COUNTIFS('2025数据'!$P$3:$P$181,"&gt;="&amp;DATE(2025,8,1),'2025数据'!$P$3:$P$181,"&lt;="&amp;DATE(2025,8,31),'2025数据'!$BF$3:$BF$181,$E994))</f>
        <v>0</v>
      </c>
      <c r="N994" s="210">
        <f ca="1">IF($S$1&lt;DATE(2025,9,1)," ",COUNTIFS('2025数据'!$P$3:$P$181,"&gt;="&amp;DATE(2025,9,1),'2025数据'!$P$3:$P$181,"&lt;="&amp;DATE(2025,9,30),'2025数据'!$BF$3:$BF$181,$E994))</f>
        <v>2</v>
      </c>
      <c r="O994" s="210">
        <f ca="1">IF($S$1&lt;DATE(2025,10,1)," ",COUNTIFS('2025数据'!$P$3:$P$181,"&gt;="&amp;DATE(2025,10,1),'2025数据'!$P$3:$P$181,"&lt;="&amp;DATE(2025,10,31),'2025数据'!$BF$3:$BF$181,$E994))</f>
        <v>0</v>
      </c>
      <c r="P994" s="212">
        <f ca="1">IF($S$1&lt;DATE(2025,11,1)," ",COUNTIFS('2025数据'!$P$3:$P$181,"&gt;="&amp;DATE(2025,11,1),'2025数据'!$P$3:$P$181,"&lt;="&amp;DATE(2025,11,30),'2025数据'!$BF$3:$BF$181,$E994))</f>
        <v>0</v>
      </c>
      <c r="Q994" s="212">
        <f ca="1">IF($S$1&lt;DATE(2025,12,1)," ",COUNTIFS('2025数据'!$P$3:$P$181,"&gt;="&amp;DATE(2025,12,1),'2025数据'!$P$3:$P$181,"&lt;="&amp;DATE(2025,12,31),'2025数据'!$BF$3:$BF$181,$E994))</f>
        <v>0</v>
      </c>
    </row>
    <row r="995" ht="24" customHeight="1" spans="1:17">
      <c r="A995" s="99" t="s">
        <v>347</v>
      </c>
      <c r="B995" s="99" t="s">
        <v>299</v>
      </c>
      <c r="C995" s="99" t="s">
        <v>291</v>
      </c>
      <c r="D995" s="53" t="s">
        <v>303</v>
      </c>
      <c r="E995" s="53" t="s">
        <v>93</v>
      </c>
      <c r="F995" s="210">
        <f ca="1">IF($S$1&lt;DATE(2025,1,1)," ",COUNTIFS('2025数据'!$P$3:$P$181,"&gt;="&amp;DATE(2025,1,1),'2025数据'!$P$3:$P$181,"&lt;="&amp;DATE(2025,1,31),'2025数据'!$BF$3:$BF$181,$E$37,'2025数据'!$B$3:$B$181,$E995))</f>
        <v>0</v>
      </c>
      <c r="G995" s="210">
        <f ca="1">IF($S$1&lt;DATE(2025,2,1)," ",COUNTIFS('2025数据'!$P$3:$P$181,"&gt;="&amp;DATE(2025,2,1),'2025数据'!$P$3:$P$181,"&lt;="&amp;DATE(2025,2,28),'2025数据'!$BF$3:$BF$181,$E$37,'2025数据'!$B$3:$B$181,$E995))</f>
        <v>0</v>
      </c>
      <c r="H995" s="210">
        <f ca="1">IF($S$1&lt;DATE(2025,3,1)," ",COUNTIFS('2025数据'!$P$3:$P$181,"&gt;="&amp;DATE(2025,3,1),'2025数据'!$P$3:$P$181,"&lt;="&amp;DATE(2025,3,31),'2025数据'!$BF$3:$BF$181,$E$37,'2025数据'!$B$3:$B$181,$E995))</f>
        <v>0</v>
      </c>
      <c r="I995" s="210">
        <f ca="1">IF($S$1&lt;DATE(2025,4,1)," ",COUNTIFS('2025数据'!$P$3:$P$181,"&gt;="&amp;DATE(2025,4,1),'2025数据'!$P$3:$P$181,"&lt;="&amp;DATE(2025,4,30),'2025数据'!$BF$3:$BF$181,$E$37,'2025数据'!$B$3:$B$181,$E995))</f>
        <v>0</v>
      </c>
      <c r="J995" s="210">
        <f ca="1">IF($S$1&lt;DATE(2025,5,1)," ",COUNTIFS('2025数据'!$P$3:$P$181,"&gt;="&amp;DATE(2025,5,1),'2025数据'!$P$3:$P$181,"&lt;="&amp;DATE(2025,5,31),'2025数据'!$BF$3:$BF$181,$E$37,'2025数据'!$B$3:$B$181,$E995))</f>
        <v>0</v>
      </c>
      <c r="K995" s="210">
        <f ca="1">IF($S$1&lt;DATE(2025,6,1)," ",COUNTIFS('2025数据'!$P$3:$P$181,"&gt;="&amp;DATE(2025,6,1),'2025数据'!$P$3:$P$181,"&lt;="&amp;DATE(2025,6,30),'2025数据'!$BF$3:$BF$181,$E$37,'2025数据'!$B$3:$B$181,$E995))</f>
        <v>0</v>
      </c>
      <c r="L995" s="210">
        <f ca="1">IF($S$1&lt;DATE(2025,7,1)," ",COUNTIFS('2025数据'!$P$3:$P$181,"&gt;="&amp;DATE(2025,7,1),'2025数据'!$P$3:$P$181,"&lt;="&amp;DATE(2025,7,31),'2025数据'!$BF$3:$BF$181,$E$37,'2025数据'!$B$3:$B$181,$E995))</f>
        <v>1</v>
      </c>
      <c r="M995" s="210">
        <f ca="1">IF($S$1&lt;DATE(2025,8,1)," ",COUNTIFS('2025数据'!$P$3:$P$181,"&gt;="&amp;DATE(2025,8,1),'2025数据'!$P$3:$P$181,"&lt;="&amp;DATE(2025,8,31),'2025数据'!$BF$3:$BF$181,$E$37,'2025数据'!$B$3:$B$181,$E995))</f>
        <v>1</v>
      </c>
      <c r="N995" s="210">
        <f ca="1">IF($S$1&lt;DATE(2025,9,1)," ",COUNTIFS('2025数据'!$P$3:$P$181,"&gt;="&amp;DATE(2025,9,1),'2025数据'!$P$3:$P$181,"&lt;="&amp;DATE(2025,9,30),'2025数据'!$BF$3:$BF$181,$E$37,'2025数据'!$B$3:$B$181,$E995))</f>
        <v>1</v>
      </c>
      <c r="O995" s="210">
        <f ca="1">IF($S$1&lt;DATE(2025,10,1)," ",COUNTIFS('2025数据'!$P$3:$P$181,"&gt;="&amp;DATE(2025,10,1),'2025数据'!$P$3:$P$181,"&lt;="&amp;DATE(2025,10,31),'2025数据'!$BF$3:$BF$181,$E$37,'2025数据'!$B$3:$B$181,$E995))</f>
        <v>0</v>
      </c>
      <c r="P995" s="212">
        <f ca="1">IF($S$1&lt;DATE(2025,11,1)," ",COUNTIFS('2025数据'!$P$3:$P$181,"&gt;="&amp;DATE(2025,11,1),'2025数据'!$P$3:$P$181,"&lt;="&amp;DATE(2025,11,30),'2025数据'!$BF$3:$BF$181,$E$37,'2025数据'!$B$3:$B$181,$E995))</f>
        <v>0</v>
      </c>
      <c r="Q995" s="212">
        <f ca="1">IF($S$1&lt;DATE(2025,12,1)," ",COUNTIFS('2025数据'!$P$3:$P$181,"&gt;="&amp;DATE(2025,12,1),'2025数据'!$P$3:$P$181,"&lt;="&amp;DATE(2025,12,31),'2025数据'!$BF$3:$BF$181,$E$37,'2025数据'!$B$3:$B$181,$E995))</f>
        <v>0</v>
      </c>
    </row>
    <row r="996" ht="24" customHeight="1" spans="1:17">
      <c r="A996" s="99" t="s">
        <v>347</v>
      </c>
      <c r="B996" s="99" t="s">
        <v>299</v>
      </c>
      <c r="C996" s="99" t="s">
        <v>291</v>
      </c>
      <c r="D996" s="53" t="s">
        <v>303</v>
      </c>
      <c r="E996" s="53" t="s">
        <v>85</v>
      </c>
      <c r="F996" s="210">
        <f ca="1">IF($S$1&lt;DATE(2025,1,1)," ",COUNTIFS('2025数据'!$P$3:$P$181,"&gt;="&amp;DATE(2025,1,1),'2025数据'!$P$3:$P$181,"&lt;="&amp;DATE(2025,1,31),'2025数据'!$BF$3:$BF$181,$E$37,'2025数据'!$B$3:$B$181,$E996))</f>
        <v>0</v>
      </c>
      <c r="G996" s="210">
        <f ca="1">IF($S$1&lt;DATE(2025,2,1)," ",COUNTIFS('2025数据'!$P$3:$P$181,"&gt;="&amp;DATE(2025,2,1),'2025数据'!$P$3:$P$181,"&lt;="&amp;DATE(2025,2,28),'2025数据'!$BF$3:$BF$181,$E$37,'2025数据'!$B$3:$B$181,$E996))</f>
        <v>0</v>
      </c>
      <c r="H996" s="210">
        <f ca="1">IF($S$1&lt;DATE(2025,3,1)," ",COUNTIFS('2025数据'!$P$3:$P$181,"&gt;="&amp;DATE(2025,3,1),'2025数据'!$P$3:$P$181,"&lt;="&amp;DATE(2025,3,31),'2025数据'!$BF$3:$BF$181,$E$37,'2025数据'!$B$3:$B$181,$E996))</f>
        <v>0</v>
      </c>
      <c r="I996" s="210">
        <f ca="1">IF($S$1&lt;DATE(2025,4,1)," ",COUNTIFS('2025数据'!$P$3:$P$181,"&gt;="&amp;DATE(2025,4,1),'2025数据'!$P$3:$P$181,"&lt;="&amp;DATE(2025,4,30),'2025数据'!$BF$3:$BF$181,$E$37,'2025数据'!$B$3:$B$181,$E996))</f>
        <v>0</v>
      </c>
      <c r="J996" s="210">
        <f ca="1">IF($S$1&lt;DATE(2025,5,1)," ",COUNTIFS('2025数据'!$P$3:$P$181,"&gt;="&amp;DATE(2025,5,1),'2025数据'!$P$3:$P$181,"&lt;="&amp;DATE(2025,5,31),'2025数据'!$BF$3:$BF$181,$E$37,'2025数据'!$B$3:$B$181,$E996))</f>
        <v>0</v>
      </c>
      <c r="K996" s="210">
        <f ca="1">IF($S$1&lt;DATE(2025,6,1)," ",COUNTIFS('2025数据'!$P$3:$P$181,"&gt;="&amp;DATE(2025,6,1),'2025数据'!$P$3:$P$181,"&lt;="&amp;DATE(2025,6,30),'2025数据'!$BF$3:$BF$181,$E$37,'2025数据'!$B$3:$B$181,$E996))</f>
        <v>1</v>
      </c>
      <c r="L996" s="210">
        <f ca="1">IF($S$1&lt;DATE(2025,7,1)," ",COUNTIFS('2025数据'!$P$3:$P$181,"&gt;="&amp;DATE(2025,7,1),'2025数据'!$P$3:$P$181,"&lt;="&amp;DATE(2025,7,31),'2025数据'!$BF$3:$BF$181,$E$37,'2025数据'!$B$3:$B$181,$E996))</f>
        <v>0</v>
      </c>
      <c r="M996" s="210">
        <f ca="1">IF($S$1&lt;DATE(2025,8,1)," ",COUNTIFS('2025数据'!$P$3:$P$181,"&gt;="&amp;DATE(2025,8,1),'2025数据'!$P$3:$P$181,"&lt;="&amp;DATE(2025,8,31),'2025数据'!$BF$3:$BF$181,$E$37,'2025数据'!$B$3:$B$181,$E996))</f>
        <v>0</v>
      </c>
      <c r="N996" s="210">
        <f ca="1">IF($S$1&lt;DATE(2025,9,1)," ",COUNTIFS('2025数据'!$P$3:$P$181,"&gt;="&amp;DATE(2025,9,1),'2025数据'!$P$3:$P$181,"&lt;="&amp;DATE(2025,9,30),'2025数据'!$BF$3:$BF$181,$E$37,'2025数据'!$B$3:$B$181,$E996))</f>
        <v>0</v>
      </c>
      <c r="O996" s="210">
        <f ca="1">IF($S$1&lt;DATE(2025,10,1)," ",COUNTIFS('2025数据'!$P$3:$P$181,"&gt;="&amp;DATE(2025,10,1),'2025数据'!$P$3:$P$181,"&lt;="&amp;DATE(2025,10,31),'2025数据'!$BF$3:$BF$181,$E$37,'2025数据'!$B$3:$B$181,$E996))</f>
        <v>0</v>
      </c>
      <c r="P996" s="212">
        <f ca="1">IF($S$1&lt;DATE(2025,11,1)," ",COUNTIFS('2025数据'!$P$3:$P$181,"&gt;="&amp;DATE(2025,11,1),'2025数据'!$P$3:$P$181,"&lt;="&amp;DATE(2025,11,30),'2025数据'!$BF$3:$BF$181,$E$37,'2025数据'!$B$3:$B$181,$E996))</f>
        <v>0</v>
      </c>
      <c r="Q996" s="212">
        <f ca="1">IF($S$1&lt;DATE(2025,12,1)," ",COUNTIFS('2025数据'!$P$3:$P$181,"&gt;="&amp;DATE(2025,12,1),'2025数据'!$P$3:$P$181,"&lt;="&amp;DATE(2025,12,31),'2025数据'!$BF$3:$BF$181,$E$37,'2025数据'!$B$3:$B$181,$E996))</f>
        <v>0</v>
      </c>
    </row>
    <row r="997" ht="24" customHeight="1" spans="1:17">
      <c r="A997" s="99" t="s">
        <v>347</v>
      </c>
      <c r="B997" s="99" t="s">
        <v>299</v>
      </c>
      <c r="C997" s="99" t="s">
        <v>291</v>
      </c>
      <c r="D997" s="53" t="s">
        <v>303</v>
      </c>
      <c r="E997" s="53" t="s">
        <v>81</v>
      </c>
      <c r="F997" s="210">
        <f ca="1">IF($S$1&lt;DATE(2025,1,1)," ",COUNTIFS('2025数据'!$P$3:$P$181,"&gt;="&amp;DATE(2025,1,1),'2025数据'!$P$3:$P$181,"&lt;="&amp;DATE(2025,1,31),'2025数据'!$BF$3:$BF$181,$E$37,'2025数据'!$B$3:$B$181,$E997))</f>
        <v>0</v>
      </c>
      <c r="G997" s="210">
        <f ca="1">IF($S$1&lt;DATE(2025,2,1)," ",COUNTIFS('2025数据'!$P$3:$P$181,"&gt;="&amp;DATE(2025,2,1),'2025数据'!$P$3:$P$181,"&lt;="&amp;DATE(2025,2,28),'2025数据'!$BF$3:$BF$181,$E$37,'2025数据'!$B$3:$B$181,$E997))</f>
        <v>0</v>
      </c>
      <c r="H997" s="210">
        <f ca="1">IF($S$1&lt;DATE(2025,3,1)," ",COUNTIFS('2025数据'!$P$3:$P$181,"&gt;="&amp;DATE(2025,3,1),'2025数据'!$P$3:$P$181,"&lt;="&amp;DATE(2025,3,31),'2025数据'!$BF$3:$BF$181,$E$37,'2025数据'!$B$3:$B$181,$E997))</f>
        <v>0</v>
      </c>
      <c r="I997" s="210">
        <f ca="1">IF($S$1&lt;DATE(2025,4,1)," ",COUNTIFS('2025数据'!$P$3:$P$181,"&gt;="&amp;DATE(2025,4,1),'2025数据'!$P$3:$P$181,"&lt;="&amp;DATE(2025,4,30),'2025数据'!$BF$3:$BF$181,$E$37,'2025数据'!$B$3:$B$181,$E997))</f>
        <v>0</v>
      </c>
      <c r="J997" s="210">
        <f ca="1">IF($S$1&lt;DATE(2025,5,1)," ",COUNTIFS('2025数据'!$P$3:$P$181,"&gt;="&amp;DATE(2025,5,1),'2025数据'!$P$3:$P$181,"&lt;="&amp;DATE(2025,5,31),'2025数据'!$BF$3:$BF$181,$E$37,'2025数据'!$B$3:$B$181,$E997))</f>
        <v>0</v>
      </c>
      <c r="K997" s="210">
        <f ca="1">IF($S$1&lt;DATE(2025,6,1)," ",COUNTIFS('2025数据'!$P$3:$P$181,"&gt;="&amp;DATE(2025,6,1),'2025数据'!$P$3:$P$181,"&lt;="&amp;DATE(2025,6,30),'2025数据'!$BF$3:$BF$181,$E$37,'2025数据'!$B$3:$B$181,$E997))</f>
        <v>0</v>
      </c>
      <c r="L997" s="210">
        <f ca="1">IF($S$1&lt;DATE(2025,7,1)," ",COUNTIFS('2025数据'!$P$3:$P$181,"&gt;="&amp;DATE(2025,7,1),'2025数据'!$P$3:$P$181,"&lt;="&amp;DATE(2025,7,31),'2025数据'!$BF$3:$BF$181,$E$37,'2025数据'!$B$3:$B$181,$E997))</f>
        <v>0</v>
      </c>
      <c r="M997" s="210">
        <f ca="1">IF($S$1&lt;DATE(2025,8,1)," ",COUNTIFS('2025数据'!$P$3:$P$181,"&gt;="&amp;DATE(2025,8,1),'2025数据'!$P$3:$P$181,"&lt;="&amp;DATE(2025,8,31),'2025数据'!$BF$3:$BF$181,$E$37,'2025数据'!$B$3:$B$181,$E997))</f>
        <v>0</v>
      </c>
      <c r="N997" s="210">
        <f ca="1">IF($S$1&lt;DATE(2025,9,1)," ",COUNTIFS('2025数据'!$P$3:$P$181,"&gt;="&amp;DATE(2025,9,1),'2025数据'!$P$3:$P$181,"&lt;="&amp;DATE(2025,9,30),'2025数据'!$BF$3:$BF$181,$E$37,'2025数据'!$B$3:$B$181,$E997))</f>
        <v>0</v>
      </c>
      <c r="O997" s="210">
        <f ca="1">IF($S$1&lt;DATE(2025,10,1)," ",COUNTIFS('2025数据'!$P$3:$P$181,"&gt;="&amp;DATE(2025,10,1),'2025数据'!$P$3:$P$181,"&lt;="&amp;DATE(2025,10,31),'2025数据'!$BF$3:$BF$181,$E$37,'2025数据'!$B$3:$B$181,$E997))</f>
        <v>0</v>
      </c>
      <c r="P997" s="212">
        <f ca="1">IF($S$1&lt;DATE(2025,11,1)," ",COUNTIFS('2025数据'!$P$3:$P$181,"&gt;="&amp;DATE(2025,11,1),'2025数据'!$P$3:$P$181,"&lt;="&amp;DATE(2025,11,30),'2025数据'!$BF$3:$BF$181,$E$37,'2025数据'!$B$3:$B$181,$E997))</f>
        <v>0</v>
      </c>
      <c r="Q997" s="212">
        <f ca="1">IF($S$1&lt;DATE(2025,12,1)," ",COUNTIFS('2025数据'!$P$3:$P$181,"&gt;="&amp;DATE(2025,12,1),'2025数据'!$P$3:$P$181,"&lt;="&amp;DATE(2025,12,31),'2025数据'!$BF$3:$BF$181,$E$37,'2025数据'!$B$3:$B$181,$E997))</f>
        <v>0</v>
      </c>
    </row>
    <row r="998" ht="24" customHeight="1" spans="1:17">
      <c r="A998" s="99" t="s">
        <v>347</v>
      </c>
      <c r="B998" s="99" t="s">
        <v>299</v>
      </c>
      <c r="C998" s="99" t="s">
        <v>291</v>
      </c>
      <c r="D998" s="53" t="s">
        <v>303</v>
      </c>
      <c r="E998" s="53" t="s">
        <v>96</v>
      </c>
      <c r="F998" s="210">
        <f ca="1">IF($S$1&lt;DATE(2025,1,1)," ",COUNTIFS('2025数据'!$P$3:$P$181,"&gt;="&amp;DATE(2025,1,1),'2025数据'!$P$3:$P$181,"&lt;="&amp;DATE(2025,1,31),'2025数据'!$BF$3:$BF$181,$E$37,'2025数据'!$B$3:$B$181,$E998))</f>
        <v>0</v>
      </c>
      <c r="G998" s="210">
        <f ca="1">IF($S$1&lt;DATE(2025,2,1)," ",COUNTIFS('2025数据'!$P$3:$P$181,"&gt;="&amp;DATE(2025,2,1),'2025数据'!$P$3:$P$181,"&lt;="&amp;DATE(2025,2,28),'2025数据'!$BF$3:$BF$181,$E$37,'2025数据'!$B$3:$B$181,$E998))</f>
        <v>0</v>
      </c>
      <c r="H998" s="210">
        <f ca="1">IF($S$1&lt;DATE(2025,3,1)," ",COUNTIFS('2025数据'!$P$3:$P$181,"&gt;="&amp;DATE(2025,3,1),'2025数据'!$P$3:$P$181,"&lt;="&amp;DATE(2025,3,31),'2025数据'!$BF$3:$BF$181,$E$37,'2025数据'!$B$3:$B$181,$E998))</f>
        <v>0</v>
      </c>
      <c r="I998" s="210">
        <f ca="1">IF($S$1&lt;DATE(2025,4,1)," ",COUNTIFS('2025数据'!$P$3:$P$181,"&gt;="&amp;DATE(2025,4,1),'2025数据'!$P$3:$P$181,"&lt;="&amp;DATE(2025,4,30),'2025数据'!$BF$3:$BF$181,$E$37,'2025数据'!$B$3:$B$181,$E998))</f>
        <v>0</v>
      </c>
      <c r="J998" s="210">
        <f ca="1">IF($S$1&lt;DATE(2025,5,1)," ",COUNTIFS('2025数据'!$P$3:$P$181,"&gt;="&amp;DATE(2025,5,1),'2025数据'!$P$3:$P$181,"&lt;="&amp;DATE(2025,5,31),'2025数据'!$BF$3:$BF$181,$E$37,'2025数据'!$B$3:$B$181,$E998))</f>
        <v>0</v>
      </c>
      <c r="K998" s="210">
        <f ca="1">IF($S$1&lt;DATE(2025,6,1)," ",COUNTIFS('2025数据'!$P$3:$P$181,"&gt;="&amp;DATE(2025,6,1),'2025数据'!$P$3:$P$181,"&lt;="&amp;DATE(2025,6,30),'2025数据'!$BF$3:$BF$181,$E$37,'2025数据'!$B$3:$B$181,$E998))</f>
        <v>0</v>
      </c>
      <c r="L998" s="210">
        <f ca="1">IF($S$1&lt;DATE(2025,7,1)," ",COUNTIFS('2025数据'!$P$3:$P$181,"&gt;="&amp;DATE(2025,7,1),'2025数据'!$P$3:$P$181,"&lt;="&amp;DATE(2025,7,31),'2025数据'!$BF$3:$BF$181,$E$37,'2025数据'!$B$3:$B$181,$E998))</f>
        <v>0</v>
      </c>
      <c r="M998" s="210">
        <f ca="1">IF($S$1&lt;DATE(2025,8,1)," ",COUNTIFS('2025数据'!$P$3:$P$181,"&gt;="&amp;DATE(2025,8,1),'2025数据'!$P$3:$P$181,"&lt;="&amp;DATE(2025,8,31),'2025数据'!$BF$3:$BF$181,$E$37,'2025数据'!$B$3:$B$181,$E998))</f>
        <v>0</v>
      </c>
      <c r="N998" s="210">
        <f ca="1">IF($S$1&lt;DATE(2025,9,1)," ",COUNTIFS('2025数据'!$P$3:$P$181,"&gt;="&amp;DATE(2025,9,1),'2025数据'!$P$3:$P$181,"&lt;="&amp;DATE(2025,9,30),'2025数据'!$BF$3:$BF$181,$E$37,'2025数据'!$B$3:$B$181,$E998))</f>
        <v>0</v>
      </c>
      <c r="O998" s="210">
        <f ca="1">IF($S$1&lt;DATE(2025,10,1)," ",COUNTIFS('2025数据'!$P$3:$P$181,"&gt;="&amp;DATE(2025,10,1),'2025数据'!$P$3:$P$181,"&lt;="&amp;DATE(2025,10,31),'2025数据'!$BF$3:$BF$181,$E$37,'2025数据'!$B$3:$B$181,$E998))</f>
        <v>0</v>
      </c>
      <c r="P998" s="212">
        <f ca="1">IF($S$1&lt;DATE(2025,11,1)," ",COUNTIFS('2025数据'!$P$3:$P$181,"&gt;="&amp;DATE(2025,11,1),'2025数据'!$P$3:$P$181,"&lt;="&amp;DATE(2025,11,30),'2025数据'!$BF$3:$BF$181,$E$37,'2025数据'!$B$3:$B$181,$E998))</f>
        <v>0</v>
      </c>
      <c r="Q998" s="212">
        <f ca="1">IF($S$1&lt;DATE(2025,12,1)," ",COUNTIFS('2025数据'!$P$3:$P$181,"&gt;="&amp;DATE(2025,12,1),'2025数据'!$P$3:$P$181,"&lt;="&amp;DATE(2025,12,31),'2025数据'!$BF$3:$BF$181,$E$37,'2025数据'!$B$3:$B$181,$E998))</f>
        <v>0</v>
      </c>
    </row>
    <row r="999" ht="24" customHeight="1" spans="1:17">
      <c r="A999" s="99" t="s">
        <v>347</v>
      </c>
      <c r="B999" s="99" t="s">
        <v>299</v>
      </c>
      <c r="C999" s="99" t="s">
        <v>291</v>
      </c>
      <c r="D999" s="53" t="s">
        <v>303</v>
      </c>
      <c r="E999" s="53" t="s">
        <v>160</v>
      </c>
      <c r="F999" s="210">
        <f ca="1">IF($S$1&lt;DATE(2025,1,1)," ",COUNTIFS('2025数据'!$P$3:$P$181,"&gt;="&amp;DATE(2025,1,1),'2025数据'!$P$3:$P$181,"&lt;="&amp;DATE(2025,1,31),'2025数据'!$BF$3:$BF$181,$E$37,'2025数据'!$B$3:$B$181,$E999))</f>
        <v>0</v>
      </c>
      <c r="G999" s="210">
        <f ca="1">IF($S$1&lt;DATE(2025,2,1)," ",COUNTIFS('2025数据'!$P$3:$P$181,"&gt;="&amp;DATE(2025,2,1),'2025数据'!$P$3:$P$181,"&lt;="&amp;DATE(2025,2,28),'2025数据'!$BF$3:$BF$181,$E$37,'2025数据'!$B$3:$B$181,$E999))</f>
        <v>0</v>
      </c>
      <c r="H999" s="210">
        <f ca="1">IF($S$1&lt;DATE(2025,3,1)," ",COUNTIFS('2025数据'!$P$3:$P$181,"&gt;="&amp;DATE(2025,3,1),'2025数据'!$P$3:$P$181,"&lt;="&amp;DATE(2025,3,31),'2025数据'!$BF$3:$BF$181,$E$37,'2025数据'!$B$3:$B$181,$E999))</f>
        <v>0</v>
      </c>
      <c r="I999" s="210">
        <f ca="1">IF($S$1&lt;DATE(2025,4,1)," ",COUNTIFS('2025数据'!$P$3:$P$181,"&gt;="&amp;DATE(2025,4,1),'2025数据'!$P$3:$P$181,"&lt;="&amp;DATE(2025,4,30),'2025数据'!$BF$3:$BF$181,$E$37,'2025数据'!$B$3:$B$181,$E999))</f>
        <v>0</v>
      </c>
      <c r="J999" s="210">
        <f ca="1">IF($S$1&lt;DATE(2025,5,1)," ",COUNTIFS('2025数据'!$P$3:$P$181,"&gt;="&amp;DATE(2025,5,1),'2025数据'!$P$3:$P$181,"&lt;="&amp;DATE(2025,5,31),'2025数据'!$BF$3:$BF$181,$E$37,'2025数据'!$B$3:$B$181,$E999))</f>
        <v>0</v>
      </c>
      <c r="K999" s="210">
        <f ca="1">IF($S$1&lt;DATE(2025,6,1)," ",COUNTIFS('2025数据'!$P$3:$P$181,"&gt;="&amp;DATE(2025,6,1),'2025数据'!$P$3:$P$181,"&lt;="&amp;DATE(2025,6,30),'2025数据'!$BF$3:$BF$181,$E$37,'2025数据'!$B$3:$B$181,$E999))</f>
        <v>0</v>
      </c>
      <c r="L999" s="210">
        <f ca="1">IF($S$1&lt;DATE(2025,7,1)," ",COUNTIFS('2025数据'!$P$3:$P$181,"&gt;="&amp;DATE(2025,7,1),'2025数据'!$P$3:$P$181,"&lt;="&amp;DATE(2025,7,31),'2025数据'!$BF$3:$BF$181,$E$37,'2025数据'!$B$3:$B$181,$E999))</f>
        <v>0</v>
      </c>
      <c r="M999" s="210">
        <f ca="1">IF($S$1&lt;DATE(2025,8,1)," ",COUNTIFS('2025数据'!$P$3:$P$181,"&gt;="&amp;DATE(2025,8,1),'2025数据'!$P$3:$P$181,"&lt;="&amp;DATE(2025,8,31),'2025数据'!$BF$3:$BF$181,$E$37,'2025数据'!$B$3:$B$181,$E999))</f>
        <v>0</v>
      </c>
      <c r="N999" s="210">
        <f ca="1">IF($S$1&lt;DATE(2025,9,1)," ",COUNTIFS('2025数据'!$P$3:$P$181,"&gt;="&amp;DATE(2025,9,1),'2025数据'!$P$3:$P$181,"&lt;="&amp;DATE(2025,9,30),'2025数据'!$BF$3:$BF$181,$E$37,'2025数据'!$B$3:$B$181,$E999))</f>
        <v>0</v>
      </c>
      <c r="O999" s="210">
        <f ca="1">IF($S$1&lt;DATE(2025,10,1)," ",COUNTIFS('2025数据'!$P$3:$P$181,"&gt;="&amp;DATE(2025,10,1),'2025数据'!$P$3:$P$181,"&lt;="&amp;DATE(2025,10,31),'2025数据'!$BF$3:$BF$181,$E$37,'2025数据'!$B$3:$B$181,$E999))</f>
        <v>0</v>
      </c>
      <c r="P999" s="212">
        <f ca="1">IF($S$1&lt;DATE(2025,11,1)," ",COUNTIFS('2025数据'!$P$3:$P$181,"&gt;="&amp;DATE(2025,11,1),'2025数据'!$P$3:$P$181,"&lt;="&amp;DATE(2025,11,30),'2025数据'!$BF$3:$BF$181,$E$37,'2025数据'!$B$3:$B$181,$E999))</f>
        <v>0</v>
      </c>
      <c r="Q999" s="212">
        <f ca="1">IF($S$1&lt;DATE(2025,12,1)," ",COUNTIFS('2025数据'!$P$3:$P$181,"&gt;="&amp;DATE(2025,12,1),'2025数据'!$P$3:$P$181,"&lt;="&amp;DATE(2025,12,31),'2025数据'!$BF$3:$BF$181,$E$37,'2025数据'!$B$3:$B$181,$E999))</f>
        <v>0</v>
      </c>
    </row>
    <row r="1000" ht="24" customHeight="1" spans="1:17">
      <c r="A1000" s="99" t="s">
        <v>347</v>
      </c>
      <c r="B1000" s="99" t="s">
        <v>299</v>
      </c>
      <c r="C1000" s="99" t="s">
        <v>291</v>
      </c>
      <c r="D1000" s="53" t="s">
        <v>304</v>
      </c>
      <c r="E1000" s="53" t="s">
        <v>93</v>
      </c>
      <c r="F1000" s="210">
        <f ca="1">IF($S$1&lt;DATE(2025,1,1)," ",COUNTIFS('2025数据'!$P$3:$P$181,"&gt;="&amp;DATE(2025,1,1),'2025数据'!$P$3:$P$181,"&lt;="&amp;DATE(2025,1,31),'2025数据'!$BF$3:$BF$181,$E$38,'2025数据'!$B$3:$B$181,$E1000))</f>
        <v>1</v>
      </c>
      <c r="G1000" s="210">
        <f ca="1">IF($S$1&lt;DATE(2025,2,1)," ",COUNTIFS('2025数据'!$P$3:$P$181,"&gt;="&amp;DATE(2025,2,1),'2025数据'!$P$3:$P$181,"&lt;="&amp;DATE(2025,2,28),'2025数据'!$BF$3:$BF$181,$E$38,'2025数据'!$B$3:$B$181,$E1000))</f>
        <v>0</v>
      </c>
      <c r="H1000" s="210">
        <f ca="1">IF($S$1&lt;DATE(2025,3,1)," ",COUNTIFS('2025数据'!$P$3:$P$181,"&gt;="&amp;DATE(2025,3,1),'2025数据'!$P$3:$P$181,"&lt;="&amp;DATE(2025,3,31),'2025数据'!$BF$3:$BF$181,$E$38,'2025数据'!$B$3:$B$181,$E1000))</f>
        <v>0</v>
      </c>
      <c r="I1000" s="210">
        <f ca="1">IF($S$1&lt;DATE(2025,4,1)," ",COUNTIFS('2025数据'!$P$3:$P$181,"&gt;="&amp;DATE(2025,4,1),'2025数据'!$P$3:$P$181,"&lt;="&amp;DATE(2025,4,30),'2025数据'!$BF$3:$BF$181,$E$38,'2025数据'!$B$3:$B$181,$E1000))</f>
        <v>0</v>
      </c>
      <c r="J1000" s="210">
        <f ca="1">IF($S$1&lt;DATE(2025,5,1)," ",COUNTIFS('2025数据'!$P$3:$P$181,"&gt;="&amp;DATE(2025,5,1),'2025数据'!$P$3:$P$181,"&lt;="&amp;DATE(2025,5,31),'2025数据'!$BF$3:$BF$181,$E$38,'2025数据'!$B$3:$B$181,$E1000))</f>
        <v>0</v>
      </c>
      <c r="K1000" s="210">
        <f ca="1">IF($S$1&lt;DATE(2025,6,1)," ",COUNTIFS('2025数据'!$P$3:$P$181,"&gt;="&amp;DATE(2025,6,1),'2025数据'!$P$3:$P$181,"&lt;="&amp;DATE(2025,6,30),'2025数据'!$BF$3:$BF$181,$E$38,'2025数据'!$B$3:$B$181,$E1000))</f>
        <v>1</v>
      </c>
      <c r="L1000" s="210">
        <f ca="1">IF($S$1&lt;DATE(2025,7,1)," ",COUNTIFS('2025数据'!$P$3:$P$181,"&gt;="&amp;DATE(2025,7,1),'2025数据'!$P$3:$P$181,"&lt;="&amp;DATE(2025,7,31),'2025数据'!$BF$3:$BF$181,$E$38,'2025数据'!$B$3:$B$181,$E1000))</f>
        <v>0</v>
      </c>
      <c r="M1000" s="210">
        <f ca="1">IF($S$1&lt;DATE(2025,8,1)," ",COUNTIFS('2025数据'!$P$3:$P$181,"&gt;="&amp;DATE(2025,8,1),'2025数据'!$P$3:$P$181,"&lt;="&amp;DATE(2025,8,31),'2025数据'!$BF$3:$BF$181,$E$38,'2025数据'!$B$3:$B$181,$E1000))</f>
        <v>0</v>
      </c>
      <c r="N1000" s="210">
        <f ca="1">IF($S$1&lt;DATE(2025,9,1)," ",COUNTIFS('2025数据'!$P$3:$P$181,"&gt;="&amp;DATE(2025,9,1),'2025数据'!$P$3:$P$181,"&lt;="&amp;DATE(2025,9,30),'2025数据'!$BF$3:$BF$181,$E$38,'2025数据'!$B$3:$B$181,$E1000))</f>
        <v>0</v>
      </c>
      <c r="O1000" s="210">
        <f ca="1">IF($S$1&lt;DATE(2025,10,1)," ",COUNTIFS('2025数据'!$P$3:$P$181,"&gt;="&amp;DATE(2025,10,1),'2025数据'!$P$3:$P$181,"&lt;="&amp;DATE(2025,10,31),'2025数据'!$BF$3:$BF$181,$E$38,'2025数据'!$B$3:$B$181,$E1000))</f>
        <v>0</v>
      </c>
      <c r="P1000" s="212">
        <f ca="1">IF($S$1&lt;DATE(2025,11,1)," ",COUNTIFS('2025数据'!$P$3:$P$181,"&gt;="&amp;DATE(2025,11,1),'2025数据'!$P$3:$P$181,"&lt;="&amp;DATE(2025,11,30),'2025数据'!$BF$3:$BF$181,$E$38,'2025数据'!$B$3:$B$181,$E1000))</f>
        <v>1</v>
      </c>
      <c r="Q1000" s="212">
        <f ca="1">IF($S$1&lt;DATE(2025,12,1)," ",COUNTIFS('2025数据'!$P$3:$P$181,"&gt;="&amp;DATE(2025,12,1),'2025数据'!$P$3:$P$181,"&lt;="&amp;DATE(2025,12,31),'2025数据'!$BF$3:$BF$181,$E$38,'2025数据'!$B$3:$B$181,$E1000))</f>
        <v>0</v>
      </c>
    </row>
    <row r="1001" ht="24" customHeight="1" spans="1:17">
      <c r="A1001" s="99" t="s">
        <v>347</v>
      </c>
      <c r="B1001" s="99" t="s">
        <v>299</v>
      </c>
      <c r="C1001" s="99" t="s">
        <v>291</v>
      </c>
      <c r="D1001" s="53" t="s">
        <v>304</v>
      </c>
      <c r="E1001" s="53" t="s">
        <v>85</v>
      </c>
      <c r="F1001" s="210">
        <f ca="1">IF($S$1&lt;DATE(2025,1,1)," ",COUNTIFS('2025数据'!$P$3:$P$181,"&gt;="&amp;DATE(2025,1,1),'2025数据'!$P$3:$P$181,"&lt;="&amp;DATE(2025,1,31),'2025数据'!$BF$3:$BF$181,$E$38,'2025数据'!$B$3:$B$181,$E1001))</f>
        <v>0</v>
      </c>
      <c r="G1001" s="210">
        <f ca="1">IF($S$1&lt;DATE(2025,2,1)," ",COUNTIFS('2025数据'!$P$3:$P$181,"&gt;="&amp;DATE(2025,2,1),'2025数据'!$P$3:$P$181,"&lt;="&amp;DATE(2025,2,28),'2025数据'!$BF$3:$BF$181,$E$38,'2025数据'!$B$3:$B$181,$E1001))</f>
        <v>0</v>
      </c>
      <c r="H1001" s="210">
        <f ca="1">IF($S$1&lt;DATE(2025,3,1)," ",COUNTIFS('2025数据'!$P$3:$P$181,"&gt;="&amp;DATE(2025,3,1),'2025数据'!$P$3:$P$181,"&lt;="&amp;DATE(2025,3,31),'2025数据'!$BF$3:$BF$181,$E$38,'2025数据'!$B$3:$B$181,$E1001))</f>
        <v>0</v>
      </c>
      <c r="I1001" s="210">
        <f ca="1">IF($S$1&lt;DATE(2025,4,1)," ",COUNTIFS('2025数据'!$P$3:$P$181,"&gt;="&amp;DATE(2025,4,1),'2025数据'!$P$3:$P$181,"&lt;="&amp;DATE(2025,4,30),'2025数据'!$BF$3:$BF$181,$E$38,'2025数据'!$B$3:$B$181,$E1001))</f>
        <v>0</v>
      </c>
      <c r="J1001" s="210">
        <f ca="1">IF($S$1&lt;DATE(2025,5,1)," ",COUNTIFS('2025数据'!$P$3:$P$181,"&gt;="&amp;DATE(2025,5,1),'2025数据'!$P$3:$P$181,"&lt;="&amp;DATE(2025,5,31),'2025数据'!$BF$3:$BF$181,$E$38,'2025数据'!$B$3:$B$181,$E1001))</f>
        <v>0</v>
      </c>
      <c r="K1001" s="210">
        <f ca="1">IF($S$1&lt;DATE(2025,6,1)," ",COUNTIFS('2025数据'!$P$3:$P$181,"&gt;="&amp;DATE(2025,6,1),'2025数据'!$P$3:$P$181,"&lt;="&amp;DATE(2025,6,30),'2025数据'!$BF$3:$BF$181,$E$38,'2025数据'!$B$3:$B$181,$E1001))</f>
        <v>0</v>
      </c>
      <c r="L1001" s="210">
        <f ca="1">IF($S$1&lt;DATE(2025,7,1)," ",COUNTIFS('2025数据'!$P$3:$P$181,"&gt;="&amp;DATE(2025,7,1),'2025数据'!$P$3:$P$181,"&lt;="&amp;DATE(2025,7,31),'2025数据'!$BF$3:$BF$181,$E$38,'2025数据'!$B$3:$B$181,$E1001))</f>
        <v>0</v>
      </c>
      <c r="M1001" s="210">
        <f ca="1">IF($S$1&lt;DATE(2025,8,1)," ",COUNTIFS('2025数据'!$P$3:$P$181,"&gt;="&amp;DATE(2025,8,1),'2025数据'!$P$3:$P$181,"&lt;="&amp;DATE(2025,8,31),'2025数据'!$BF$3:$BF$181,$E$38,'2025数据'!$B$3:$B$181,$E1001))</f>
        <v>0</v>
      </c>
      <c r="N1001" s="210">
        <f ca="1">IF($S$1&lt;DATE(2025,9,1)," ",COUNTIFS('2025数据'!$P$3:$P$181,"&gt;="&amp;DATE(2025,9,1),'2025数据'!$P$3:$P$181,"&lt;="&amp;DATE(2025,9,30),'2025数据'!$BF$3:$BF$181,$E$38,'2025数据'!$B$3:$B$181,$E1001))</f>
        <v>0</v>
      </c>
      <c r="O1001" s="210">
        <f ca="1">IF($S$1&lt;DATE(2025,10,1)," ",COUNTIFS('2025数据'!$P$3:$P$181,"&gt;="&amp;DATE(2025,10,1),'2025数据'!$P$3:$P$181,"&lt;="&amp;DATE(2025,10,31),'2025数据'!$BF$3:$BF$181,$E$38,'2025数据'!$B$3:$B$181,$E1001))</f>
        <v>0</v>
      </c>
      <c r="P1001" s="212">
        <f ca="1">IF($S$1&lt;DATE(2025,11,1)," ",COUNTIFS('2025数据'!$P$3:$P$181,"&gt;="&amp;DATE(2025,11,1),'2025数据'!$P$3:$P$181,"&lt;="&amp;DATE(2025,11,30),'2025数据'!$BF$3:$BF$181,$E$38,'2025数据'!$B$3:$B$181,$E1001))</f>
        <v>0</v>
      </c>
      <c r="Q1001" s="212">
        <f ca="1">IF($S$1&lt;DATE(2025,12,1)," ",COUNTIFS('2025数据'!$P$3:$P$181,"&gt;="&amp;DATE(2025,12,1),'2025数据'!$P$3:$P$181,"&lt;="&amp;DATE(2025,12,31),'2025数据'!$BF$3:$BF$181,$E$38,'2025数据'!$B$3:$B$181,$E1001))</f>
        <v>0</v>
      </c>
    </row>
    <row r="1002" ht="24" customHeight="1" spans="1:17">
      <c r="A1002" s="99" t="s">
        <v>347</v>
      </c>
      <c r="B1002" s="99" t="s">
        <v>299</v>
      </c>
      <c r="C1002" s="99" t="s">
        <v>291</v>
      </c>
      <c r="D1002" s="53" t="s">
        <v>304</v>
      </c>
      <c r="E1002" s="53" t="s">
        <v>81</v>
      </c>
      <c r="F1002" s="210">
        <f ca="1">IF($S$1&lt;DATE(2025,1,1)," ",COUNTIFS('2025数据'!$P$3:$P$181,"&gt;="&amp;DATE(2025,1,1),'2025数据'!$P$3:$P$181,"&lt;="&amp;DATE(2025,1,31),'2025数据'!$BF$3:$BF$181,$E$38,'2025数据'!$B$3:$B$181,$E1002))</f>
        <v>0</v>
      </c>
      <c r="G1002" s="210">
        <f ca="1">IF($S$1&lt;DATE(2025,2,1)," ",COUNTIFS('2025数据'!$P$3:$P$181,"&gt;="&amp;DATE(2025,2,1),'2025数据'!$P$3:$P$181,"&lt;="&amp;DATE(2025,2,28),'2025数据'!$BF$3:$BF$181,$E$38,'2025数据'!$B$3:$B$181,$E1002))</f>
        <v>0</v>
      </c>
      <c r="H1002" s="210">
        <f ca="1">IF($S$1&lt;DATE(2025,3,1)," ",COUNTIFS('2025数据'!$P$3:$P$181,"&gt;="&amp;DATE(2025,3,1),'2025数据'!$P$3:$P$181,"&lt;="&amp;DATE(2025,3,31),'2025数据'!$BF$3:$BF$181,$E$38,'2025数据'!$B$3:$B$181,$E1002))</f>
        <v>0</v>
      </c>
      <c r="I1002" s="210">
        <f ca="1">IF($S$1&lt;DATE(2025,4,1)," ",COUNTIFS('2025数据'!$P$3:$P$181,"&gt;="&amp;DATE(2025,4,1),'2025数据'!$P$3:$P$181,"&lt;="&amp;DATE(2025,4,30),'2025数据'!$BF$3:$BF$181,$E$38,'2025数据'!$B$3:$B$181,$E1002))</f>
        <v>0</v>
      </c>
      <c r="J1002" s="210">
        <f ca="1">IF($S$1&lt;DATE(2025,5,1)," ",COUNTIFS('2025数据'!$P$3:$P$181,"&gt;="&amp;DATE(2025,5,1),'2025数据'!$P$3:$P$181,"&lt;="&amp;DATE(2025,5,31),'2025数据'!$BF$3:$BF$181,$E$38,'2025数据'!$B$3:$B$181,$E1002))</f>
        <v>0</v>
      </c>
      <c r="K1002" s="210">
        <f ca="1">IF($S$1&lt;DATE(2025,6,1)," ",COUNTIFS('2025数据'!$P$3:$P$181,"&gt;="&amp;DATE(2025,6,1),'2025数据'!$P$3:$P$181,"&lt;="&amp;DATE(2025,6,30),'2025数据'!$BF$3:$BF$181,$E$38,'2025数据'!$B$3:$B$181,$E1002))</f>
        <v>0</v>
      </c>
      <c r="L1002" s="210">
        <f ca="1">IF($S$1&lt;DATE(2025,7,1)," ",COUNTIFS('2025数据'!$P$3:$P$181,"&gt;="&amp;DATE(2025,7,1),'2025数据'!$P$3:$P$181,"&lt;="&amp;DATE(2025,7,31),'2025数据'!$BF$3:$BF$181,$E$38,'2025数据'!$B$3:$B$181,$E1002))</f>
        <v>0</v>
      </c>
      <c r="M1002" s="210">
        <f ca="1">IF($S$1&lt;DATE(2025,8,1)," ",COUNTIFS('2025数据'!$P$3:$P$181,"&gt;="&amp;DATE(2025,8,1),'2025数据'!$P$3:$P$181,"&lt;="&amp;DATE(2025,8,31),'2025数据'!$BF$3:$BF$181,$E$38,'2025数据'!$B$3:$B$181,$E1002))</f>
        <v>0</v>
      </c>
      <c r="N1002" s="210">
        <f ca="1">IF($S$1&lt;DATE(2025,9,1)," ",COUNTIFS('2025数据'!$P$3:$P$181,"&gt;="&amp;DATE(2025,9,1),'2025数据'!$P$3:$P$181,"&lt;="&amp;DATE(2025,9,30),'2025数据'!$BF$3:$BF$181,$E$38,'2025数据'!$B$3:$B$181,$E1002))</f>
        <v>0</v>
      </c>
      <c r="O1002" s="210">
        <f ca="1">IF($S$1&lt;DATE(2025,10,1)," ",COUNTIFS('2025数据'!$P$3:$P$181,"&gt;="&amp;DATE(2025,10,1),'2025数据'!$P$3:$P$181,"&lt;="&amp;DATE(2025,10,31),'2025数据'!$BF$3:$BF$181,$E$38,'2025数据'!$B$3:$B$181,$E1002))</f>
        <v>0</v>
      </c>
      <c r="P1002" s="212">
        <f ca="1">IF($S$1&lt;DATE(2025,11,1)," ",COUNTIFS('2025数据'!$P$3:$P$181,"&gt;="&amp;DATE(2025,11,1),'2025数据'!$P$3:$P$181,"&lt;="&amp;DATE(2025,11,30),'2025数据'!$BF$3:$BF$181,$E$38,'2025数据'!$B$3:$B$181,$E1002))</f>
        <v>0</v>
      </c>
      <c r="Q1002" s="212">
        <f ca="1">IF($S$1&lt;DATE(2025,12,1)," ",COUNTIFS('2025数据'!$P$3:$P$181,"&gt;="&amp;DATE(2025,12,1),'2025数据'!$P$3:$P$181,"&lt;="&amp;DATE(2025,12,31),'2025数据'!$BF$3:$BF$181,$E$38,'2025数据'!$B$3:$B$181,$E1002))</f>
        <v>0</v>
      </c>
    </row>
    <row r="1003" ht="24" customHeight="1" spans="1:17">
      <c r="A1003" s="99" t="s">
        <v>347</v>
      </c>
      <c r="B1003" s="99" t="s">
        <v>299</v>
      </c>
      <c r="C1003" s="99" t="s">
        <v>291</v>
      </c>
      <c r="D1003" s="53" t="s">
        <v>304</v>
      </c>
      <c r="E1003" s="53" t="s">
        <v>96</v>
      </c>
      <c r="F1003" s="210">
        <f ca="1">IF($S$1&lt;DATE(2025,1,1)," ",COUNTIFS('2025数据'!$P$3:$P$181,"&gt;="&amp;DATE(2025,1,1),'2025数据'!$P$3:$P$181,"&lt;="&amp;DATE(2025,1,31),'2025数据'!$BF$3:$BF$181,$E$38,'2025数据'!$B$3:$B$181,$E1003))</f>
        <v>0</v>
      </c>
      <c r="G1003" s="210">
        <f ca="1">IF($S$1&lt;DATE(2025,2,1)," ",COUNTIFS('2025数据'!$P$3:$P$181,"&gt;="&amp;DATE(2025,2,1),'2025数据'!$P$3:$P$181,"&lt;="&amp;DATE(2025,2,28),'2025数据'!$BF$3:$BF$181,$E$38,'2025数据'!$B$3:$B$181,$E1003))</f>
        <v>0</v>
      </c>
      <c r="H1003" s="210">
        <f ca="1">IF($S$1&lt;DATE(2025,3,1)," ",COUNTIFS('2025数据'!$P$3:$P$181,"&gt;="&amp;DATE(2025,3,1),'2025数据'!$P$3:$P$181,"&lt;="&amp;DATE(2025,3,31),'2025数据'!$BF$3:$BF$181,$E$38,'2025数据'!$B$3:$B$181,$E1003))</f>
        <v>0</v>
      </c>
      <c r="I1003" s="210">
        <f ca="1">IF($S$1&lt;DATE(2025,4,1)," ",COUNTIFS('2025数据'!$P$3:$P$181,"&gt;="&amp;DATE(2025,4,1),'2025数据'!$P$3:$P$181,"&lt;="&amp;DATE(2025,4,30),'2025数据'!$BF$3:$BF$181,$E$38,'2025数据'!$B$3:$B$181,$E1003))</f>
        <v>0</v>
      </c>
      <c r="J1003" s="210">
        <f ca="1">IF($S$1&lt;DATE(2025,5,1)," ",COUNTIFS('2025数据'!$P$3:$P$181,"&gt;="&amp;DATE(2025,5,1),'2025数据'!$P$3:$P$181,"&lt;="&amp;DATE(2025,5,31),'2025数据'!$BF$3:$BF$181,$E$38,'2025数据'!$B$3:$B$181,$E1003))</f>
        <v>0</v>
      </c>
      <c r="K1003" s="210">
        <f ca="1">IF($S$1&lt;DATE(2025,6,1)," ",COUNTIFS('2025数据'!$P$3:$P$181,"&gt;="&amp;DATE(2025,6,1),'2025数据'!$P$3:$P$181,"&lt;="&amp;DATE(2025,6,30),'2025数据'!$BF$3:$BF$181,$E$38,'2025数据'!$B$3:$B$181,$E1003))</f>
        <v>0</v>
      </c>
      <c r="L1003" s="210">
        <f ca="1">IF($S$1&lt;DATE(2025,7,1)," ",COUNTIFS('2025数据'!$P$3:$P$181,"&gt;="&amp;DATE(2025,7,1),'2025数据'!$P$3:$P$181,"&lt;="&amp;DATE(2025,7,31),'2025数据'!$BF$3:$BF$181,$E$38,'2025数据'!$B$3:$B$181,$E1003))</f>
        <v>0</v>
      </c>
      <c r="M1003" s="210">
        <f ca="1">IF($S$1&lt;DATE(2025,8,1)," ",COUNTIFS('2025数据'!$P$3:$P$181,"&gt;="&amp;DATE(2025,8,1),'2025数据'!$P$3:$P$181,"&lt;="&amp;DATE(2025,8,31),'2025数据'!$BF$3:$BF$181,$E$38,'2025数据'!$B$3:$B$181,$E1003))</f>
        <v>0</v>
      </c>
      <c r="N1003" s="210">
        <f ca="1">IF($S$1&lt;DATE(2025,9,1)," ",COUNTIFS('2025数据'!$P$3:$P$181,"&gt;="&amp;DATE(2025,9,1),'2025数据'!$P$3:$P$181,"&lt;="&amp;DATE(2025,9,30),'2025数据'!$BF$3:$BF$181,$E$38,'2025数据'!$B$3:$B$181,$E1003))</f>
        <v>0</v>
      </c>
      <c r="O1003" s="210">
        <f ca="1">IF($S$1&lt;DATE(2025,10,1)," ",COUNTIFS('2025数据'!$P$3:$P$181,"&gt;="&amp;DATE(2025,10,1),'2025数据'!$P$3:$P$181,"&lt;="&amp;DATE(2025,10,31),'2025数据'!$BF$3:$BF$181,$E$38,'2025数据'!$B$3:$B$181,$E1003))</f>
        <v>0</v>
      </c>
      <c r="P1003" s="212">
        <f ca="1">IF($S$1&lt;DATE(2025,11,1)," ",COUNTIFS('2025数据'!$P$3:$P$181,"&gt;="&amp;DATE(2025,11,1),'2025数据'!$P$3:$P$181,"&lt;="&amp;DATE(2025,11,30),'2025数据'!$BF$3:$BF$181,$E$38,'2025数据'!$B$3:$B$181,$E1003))</f>
        <v>0</v>
      </c>
      <c r="Q1003" s="212">
        <f ca="1">IF($S$1&lt;DATE(2025,12,1)," ",COUNTIFS('2025数据'!$P$3:$P$181,"&gt;="&amp;DATE(2025,12,1),'2025数据'!$P$3:$P$181,"&lt;="&amp;DATE(2025,12,31),'2025数据'!$BF$3:$BF$181,$E$38,'2025数据'!$B$3:$B$181,$E1003))</f>
        <v>0</v>
      </c>
    </row>
    <row r="1004" ht="24" customHeight="1" spans="1:17">
      <c r="A1004" s="99" t="s">
        <v>347</v>
      </c>
      <c r="B1004" s="99" t="s">
        <v>299</v>
      </c>
      <c r="C1004" s="99" t="s">
        <v>291</v>
      </c>
      <c r="D1004" s="53" t="s">
        <v>304</v>
      </c>
      <c r="E1004" s="53" t="s">
        <v>160</v>
      </c>
      <c r="F1004" s="210">
        <f ca="1">IF($S$1&lt;DATE(2025,1,1)," ",COUNTIFS('2025数据'!$P$3:$P$181,"&gt;="&amp;DATE(2025,1,1),'2025数据'!$P$3:$P$181,"&lt;="&amp;DATE(2025,1,31),'2025数据'!$BF$3:$BF$181,$E$38,'2025数据'!$B$3:$B$181,$E1004))</f>
        <v>0</v>
      </c>
      <c r="G1004" s="210">
        <f ca="1">IF($S$1&lt;DATE(2025,2,1)," ",COUNTIFS('2025数据'!$P$3:$P$181,"&gt;="&amp;DATE(2025,2,1),'2025数据'!$P$3:$P$181,"&lt;="&amp;DATE(2025,2,28),'2025数据'!$BF$3:$BF$181,$E$38,'2025数据'!$B$3:$B$181,$E1004))</f>
        <v>0</v>
      </c>
      <c r="H1004" s="210">
        <f ca="1">IF($S$1&lt;DATE(2025,3,1)," ",COUNTIFS('2025数据'!$P$3:$P$181,"&gt;="&amp;DATE(2025,3,1),'2025数据'!$P$3:$P$181,"&lt;="&amp;DATE(2025,3,31),'2025数据'!$BF$3:$BF$181,$E$38,'2025数据'!$B$3:$B$181,$E1004))</f>
        <v>0</v>
      </c>
      <c r="I1004" s="210">
        <f ca="1">IF($S$1&lt;DATE(2025,4,1)," ",COUNTIFS('2025数据'!$P$3:$P$181,"&gt;="&amp;DATE(2025,4,1),'2025数据'!$P$3:$P$181,"&lt;="&amp;DATE(2025,4,30),'2025数据'!$BF$3:$BF$181,$E$38,'2025数据'!$B$3:$B$181,$E1004))</f>
        <v>0</v>
      </c>
      <c r="J1004" s="210">
        <f ca="1">IF($S$1&lt;DATE(2025,5,1)," ",COUNTIFS('2025数据'!$P$3:$P$181,"&gt;="&amp;DATE(2025,5,1),'2025数据'!$P$3:$P$181,"&lt;="&amp;DATE(2025,5,31),'2025数据'!$BF$3:$BF$181,$E$38,'2025数据'!$B$3:$B$181,$E1004))</f>
        <v>0</v>
      </c>
      <c r="K1004" s="210">
        <f ca="1">IF($S$1&lt;DATE(2025,6,1)," ",COUNTIFS('2025数据'!$P$3:$P$181,"&gt;="&amp;DATE(2025,6,1),'2025数据'!$P$3:$P$181,"&lt;="&amp;DATE(2025,6,30),'2025数据'!$BF$3:$BF$181,$E$38,'2025数据'!$B$3:$B$181,$E1004))</f>
        <v>0</v>
      </c>
      <c r="L1004" s="210">
        <f ca="1">IF($S$1&lt;DATE(2025,7,1)," ",COUNTIFS('2025数据'!$P$3:$P$181,"&gt;="&amp;DATE(2025,7,1),'2025数据'!$P$3:$P$181,"&lt;="&amp;DATE(2025,7,31),'2025数据'!$BF$3:$BF$181,$E$38,'2025数据'!$B$3:$B$181,$E1004))</f>
        <v>0</v>
      </c>
      <c r="M1004" s="210">
        <f ca="1">IF($S$1&lt;DATE(2025,8,1)," ",COUNTIFS('2025数据'!$P$3:$P$181,"&gt;="&amp;DATE(2025,8,1),'2025数据'!$P$3:$P$181,"&lt;="&amp;DATE(2025,8,31),'2025数据'!$BF$3:$BF$181,$E$38,'2025数据'!$B$3:$B$181,$E1004))</f>
        <v>0</v>
      </c>
      <c r="N1004" s="210">
        <f ca="1">IF($S$1&lt;DATE(2025,9,1)," ",COUNTIFS('2025数据'!$P$3:$P$181,"&gt;="&amp;DATE(2025,9,1),'2025数据'!$P$3:$P$181,"&lt;="&amp;DATE(2025,9,30),'2025数据'!$BF$3:$BF$181,$E$38,'2025数据'!$B$3:$B$181,$E1004))</f>
        <v>0</v>
      </c>
      <c r="O1004" s="210">
        <f ca="1">IF($S$1&lt;DATE(2025,10,1)," ",COUNTIFS('2025数据'!$P$3:$P$181,"&gt;="&amp;DATE(2025,10,1),'2025数据'!$P$3:$P$181,"&lt;="&amp;DATE(2025,10,31),'2025数据'!$BF$3:$BF$181,$E$38,'2025数据'!$B$3:$B$181,$E1004))</f>
        <v>0</v>
      </c>
      <c r="P1004" s="212">
        <f ca="1">IF($S$1&lt;DATE(2025,11,1)," ",COUNTIFS('2025数据'!$P$3:$P$181,"&gt;="&amp;DATE(2025,11,1),'2025数据'!$P$3:$P$181,"&lt;="&amp;DATE(2025,11,30),'2025数据'!$BF$3:$BF$181,$E$38,'2025数据'!$B$3:$B$181,$E1004))</f>
        <v>0</v>
      </c>
      <c r="Q1004" s="212">
        <f ca="1">IF($S$1&lt;DATE(2025,12,1)," ",COUNTIFS('2025数据'!$P$3:$P$181,"&gt;="&amp;DATE(2025,12,1),'2025数据'!$P$3:$P$181,"&lt;="&amp;DATE(2025,12,31),'2025数据'!$BF$3:$BF$181,$E$38,'2025数据'!$B$3:$B$181,$E1004))</f>
        <v>0</v>
      </c>
    </row>
    <row r="1005" ht="24" customHeight="1" spans="1:17">
      <c r="A1005" s="99" t="s">
        <v>347</v>
      </c>
      <c r="B1005" s="99" t="s">
        <v>299</v>
      </c>
      <c r="C1005" s="99" t="s">
        <v>291</v>
      </c>
      <c r="D1005" s="53" t="s">
        <v>305</v>
      </c>
      <c r="E1005" s="53" t="s">
        <v>93</v>
      </c>
      <c r="F1005" s="210">
        <f ca="1">IF($S$1&lt;DATE(2025,1,1)," ",COUNTIFS('2025数据'!$P$3:$P$181,"&gt;="&amp;DATE(2025,1,1),'2025数据'!$P$3:$P$181,"&lt;="&amp;DATE(2025,1,31),'2025数据'!$BF$3:$BF$181,$E$39,'2025数据'!$B$3:$B$181,$E1005))</f>
        <v>0</v>
      </c>
      <c r="G1005" s="210">
        <f ca="1">IF($S$1&lt;DATE(2025,2,1)," ",COUNTIFS('2025数据'!$P$3:$P$181,"&gt;="&amp;DATE(2025,2,1),'2025数据'!$P$3:$P$181,"&lt;="&amp;DATE(2025,2,28),'2025数据'!$BF$3:$BF$181,$E$39,'2025数据'!$B$3:$B$181,$E1005))</f>
        <v>0</v>
      </c>
      <c r="H1005" s="210">
        <f ca="1">IF($S$1&lt;DATE(2025,3,1)," ",COUNTIFS('2025数据'!$P$3:$P$181,"&gt;="&amp;DATE(2025,3,1),'2025数据'!$P$3:$P$181,"&lt;="&amp;DATE(2025,3,31),'2025数据'!$BF$3:$BF$181,$E$39,'2025数据'!$B$3:$B$181,$E1005))</f>
        <v>0</v>
      </c>
      <c r="I1005" s="210">
        <f ca="1">IF($S$1&lt;DATE(2025,4,1)," ",COUNTIFS('2025数据'!$P$3:$P$181,"&gt;="&amp;DATE(2025,4,1),'2025数据'!$P$3:$P$181,"&lt;="&amp;DATE(2025,4,30),'2025数据'!$BF$3:$BF$181,$E$39,'2025数据'!$B$3:$B$181,$E1005))</f>
        <v>0</v>
      </c>
      <c r="J1005" s="210">
        <f ca="1">IF($S$1&lt;DATE(2025,5,1)," ",COUNTIFS('2025数据'!$P$3:$P$181,"&gt;="&amp;DATE(2025,5,1),'2025数据'!$P$3:$P$181,"&lt;="&amp;DATE(2025,5,31),'2025数据'!$BF$3:$BF$181,$E$39,'2025数据'!$B$3:$B$181,$E1005))</f>
        <v>0</v>
      </c>
      <c r="K1005" s="210">
        <f ca="1">IF($S$1&lt;DATE(2025,6,1)," ",COUNTIFS('2025数据'!$P$3:$P$181,"&gt;="&amp;DATE(2025,6,1),'2025数据'!$P$3:$P$181,"&lt;="&amp;DATE(2025,6,30),'2025数据'!$BF$3:$BF$181,$E$39,'2025数据'!$B$3:$B$181,$E1005))</f>
        <v>0</v>
      </c>
      <c r="L1005" s="210">
        <f ca="1">IF($S$1&lt;DATE(2025,7,1)," ",COUNTIFS('2025数据'!$P$3:$P$181,"&gt;="&amp;DATE(2025,7,1),'2025数据'!$P$3:$P$181,"&lt;="&amp;DATE(2025,7,31),'2025数据'!$BF$3:$BF$181,$E$39,'2025数据'!$B$3:$B$181,$E1005))</f>
        <v>0</v>
      </c>
      <c r="M1005" s="210">
        <f ca="1">IF($S$1&lt;DATE(2025,8,1)," ",COUNTIFS('2025数据'!$P$3:$P$181,"&gt;="&amp;DATE(2025,8,1),'2025数据'!$P$3:$P$181,"&lt;="&amp;DATE(2025,8,31),'2025数据'!$BF$3:$BF$181,$E$39,'2025数据'!$B$3:$B$181,$E1005))</f>
        <v>0</v>
      </c>
      <c r="N1005" s="210">
        <f ca="1">IF($S$1&lt;DATE(2025,9,1)," ",COUNTIFS('2025数据'!$P$3:$P$181,"&gt;="&amp;DATE(2025,9,1),'2025数据'!$P$3:$P$181,"&lt;="&amp;DATE(2025,9,30),'2025数据'!$BF$3:$BF$181,$E$39,'2025数据'!$B$3:$B$181,$E1005))</f>
        <v>1</v>
      </c>
      <c r="O1005" s="210">
        <f ca="1">IF($S$1&lt;DATE(2025,10,1)," ",COUNTIFS('2025数据'!$P$3:$P$181,"&gt;="&amp;DATE(2025,10,1),'2025数据'!$P$3:$P$181,"&lt;="&amp;DATE(2025,10,31),'2025数据'!$BF$3:$BF$181,$E$39,'2025数据'!$B$3:$B$181,$E1005))</f>
        <v>0</v>
      </c>
      <c r="P1005" s="212">
        <f ca="1">IF($S$1&lt;DATE(2025,11,1)," ",COUNTIFS('2025数据'!$P$3:$P$181,"&gt;="&amp;DATE(2025,11,1),'2025数据'!$P$3:$P$181,"&lt;="&amp;DATE(2025,11,30),'2025数据'!$BF$3:$BF$181,$E$39,'2025数据'!$B$3:$B$181,$E1005))</f>
        <v>0</v>
      </c>
      <c r="Q1005" s="212">
        <f ca="1">IF($S$1&lt;DATE(2025,12,1)," ",COUNTIFS('2025数据'!$P$3:$P$181,"&gt;="&amp;DATE(2025,12,1),'2025数据'!$P$3:$P$181,"&lt;="&amp;DATE(2025,12,31),'2025数据'!$BF$3:$BF$181,$E$39,'2025数据'!$B$3:$B$181,$E1005))</f>
        <v>0</v>
      </c>
    </row>
    <row r="1006" ht="24" customHeight="1" spans="1:17">
      <c r="A1006" s="99" t="s">
        <v>347</v>
      </c>
      <c r="B1006" s="99" t="s">
        <v>299</v>
      </c>
      <c r="C1006" s="99" t="s">
        <v>291</v>
      </c>
      <c r="D1006" s="53" t="s">
        <v>305</v>
      </c>
      <c r="E1006" s="53" t="s">
        <v>85</v>
      </c>
      <c r="F1006" s="210">
        <f ca="1">IF($S$1&lt;DATE(2025,1,1)," ",COUNTIFS('2025数据'!$P$3:$P$181,"&gt;="&amp;DATE(2025,1,1),'2025数据'!$P$3:$P$181,"&lt;="&amp;DATE(2025,1,31),'2025数据'!$BF$3:$BF$181,$E$39,'2025数据'!$B$3:$B$181,$E1006))</f>
        <v>0</v>
      </c>
      <c r="G1006" s="210">
        <f ca="1">IF($S$1&lt;DATE(2025,2,1)," ",COUNTIFS('2025数据'!$P$3:$P$181,"&gt;="&amp;DATE(2025,2,1),'2025数据'!$P$3:$P$181,"&lt;="&amp;DATE(2025,2,28),'2025数据'!$BF$3:$BF$181,$E$39,'2025数据'!$B$3:$B$181,$E1006))</f>
        <v>0</v>
      </c>
      <c r="H1006" s="210">
        <f ca="1">IF($S$1&lt;DATE(2025,3,1)," ",COUNTIFS('2025数据'!$P$3:$P$181,"&gt;="&amp;DATE(2025,3,1),'2025数据'!$P$3:$P$181,"&lt;="&amp;DATE(2025,3,31),'2025数据'!$BF$3:$BF$181,$E$39,'2025数据'!$B$3:$B$181,$E1006))</f>
        <v>0</v>
      </c>
      <c r="I1006" s="210">
        <f ca="1">IF($S$1&lt;DATE(2025,4,1)," ",COUNTIFS('2025数据'!$P$3:$P$181,"&gt;="&amp;DATE(2025,4,1),'2025数据'!$P$3:$P$181,"&lt;="&amp;DATE(2025,4,30),'2025数据'!$BF$3:$BF$181,$E$39,'2025数据'!$B$3:$B$181,$E1006))</f>
        <v>0</v>
      </c>
      <c r="J1006" s="210">
        <f ca="1">IF($S$1&lt;DATE(2025,5,1)," ",COUNTIFS('2025数据'!$P$3:$P$181,"&gt;="&amp;DATE(2025,5,1),'2025数据'!$P$3:$P$181,"&lt;="&amp;DATE(2025,5,31),'2025数据'!$BF$3:$BF$181,$E$39,'2025数据'!$B$3:$B$181,$E1006))</f>
        <v>0</v>
      </c>
      <c r="K1006" s="210">
        <f ca="1">IF($S$1&lt;DATE(2025,6,1)," ",COUNTIFS('2025数据'!$P$3:$P$181,"&gt;="&amp;DATE(2025,6,1),'2025数据'!$P$3:$P$181,"&lt;="&amp;DATE(2025,6,30),'2025数据'!$BF$3:$BF$181,$E$39,'2025数据'!$B$3:$B$181,$E1006))</f>
        <v>0</v>
      </c>
      <c r="L1006" s="210">
        <f ca="1">IF($S$1&lt;DATE(2025,7,1)," ",COUNTIFS('2025数据'!$P$3:$P$181,"&gt;="&amp;DATE(2025,7,1),'2025数据'!$P$3:$P$181,"&lt;="&amp;DATE(2025,7,31),'2025数据'!$BF$3:$BF$181,$E$39,'2025数据'!$B$3:$B$181,$E1006))</f>
        <v>0</v>
      </c>
      <c r="M1006" s="210">
        <f ca="1">IF($S$1&lt;DATE(2025,8,1)," ",COUNTIFS('2025数据'!$P$3:$P$181,"&gt;="&amp;DATE(2025,8,1),'2025数据'!$P$3:$P$181,"&lt;="&amp;DATE(2025,8,31),'2025数据'!$BF$3:$BF$181,$E$39,'2025数据'!$B$3:$B$181,$E1006))</f>
        <v>0</v>
      </c>
      <c r="N1006" s="210">
        <f ca="1">IF($S$1&lt;DATE(2025,9,1)," ",COUNTIFS('2025数据'!$P$3:$P$181,"&gt;="&amp;DATE(2025,9,1),'2025数据'!$P$3:$P$181,"&lt;="&amp;DATE(2025,9,30),'2025数据'!$BF$3:$BF$181,$E$39,'2025数据'!$B$3:$B$181,$E1006))</f>
        <v>0</v>
      </c>
      <c r="O1006" s="210">
        <f ca="1">IF($S$1&lt;DATE(2025,10,1)," ",COUNTIFS('2025数据'!$P$3:$P$181,"&gt;="&amp;DATE(2025,10,1),'2025数据'!$P$3:$P$181,"&lt;="&amp;DATE(2025,10,31),'2025数据'!$BF$3:$BF$181,$E$39,'2025数据'!$B$3:$B$181,$E1006))</f>
        <v>0</v>
      </c>
      <c r="P1006" s="212">
        <f ca="1">IF($S$1&lt;DATE(2025,11,1)," ",COUNTIFS('2025数据'!$P$3:$P$181,"&gt;="&amp;DATE(2025,11,1),'2025数据'!$P$3:$P$181,"&lt;="&amp;DATE(2025,11,30),'2025数据'!$BF$3:$BF$181,$E$39,'2025数据'!$B$3:$B$181,$E1006))</f>
        <v>0</v>
      </c>
      <c r="Q1006" s="212">
        <f ca="1">IF($S$1&lt;DATE(2025,12,1)," ",COUNTIFS('2025数据'!$P$3:$P$181,"&gt;="&amp;DATE(2025,12,1),'2025数据'!$P$3:$P$181,"&lt;="&amp;DATE(2025,12,31),'2025数据'!$BF$3:$BF$181,$E$39,'2025数据'!$B$3:$B$181,$E1006))</f>
        <v>0</v>
      </c>
    </row>
    <row r="1007" ht="24" customHeight="1" spans="1:17">
      <c r="A1007" s="99" t="s">
        <v>347</v>
      </c>
      <c r="B1007" s="99" t="s">
        <v>299</v>
      </c>
      <c r="C1007" s="99" t="s">
        <v>291</v>
      </c>
      <c r="D1007" s="53" t="s">
        <v>305</v>
      </c>
      <c r="E1007" s="53" t="s">
        <v>81</v>
      </c>
      <c r="F1007" s="210">
        <f ca="1">IF($S$1&lt;DATE(2025,1,1)," ",COUNTIFS('2025数据'!$P$3:$P$181,"&gt;="&amp;DATE(2025,1,1),'2025数据'!$P$3:$P$181,"&lt;="&amp;DATE(2025,1,31),'2025数据'!$BF$3:$BF$181,$E$39,'2025数据'!$B$3:$B$181,$E1007))</f>
        <v>0</v>
      </c>
      <c r="G1007" s="210">
        <f ca="1">IF($S$1&lt;DATE(2025,2,1)," ",COUNTIFS('2025数据'!$P$3:$P$181,"&gt;="&amp;DATE(2025,2,1),'2025数据'!$P$3:$P$181,"&lt;="&amp;DATE(2025,2,28),'2025数据'!$BF$3:$BF$181,$E$39,'2025数据'!$B$3:$B$181,$E1007))</f>
        <v>0</v>
      </c>
      <c r="H1007" s="210">
        <f ca="1">IF($S$1&lt;DATE(2025,3,1)," ",COUNTIFS('2025数据'!$P$3:$P$181,"&gt;="&amp;DATE(2025,3,1),'2025数据'!$P$3:$P$181,"&lt;="&amp;DATE(2025,3,31),'2025数据'!$BF$3:$BF$181,$E$39,'2025数据'!$B$3:$B$181,$E1007))</f>
        <v>0</v>
      </c>
      <c r="I1007" s="210">
        <f ca="1">IF($S$1&lt;DATE(2025,4,1)," ",COUNTIFS('2025数据'!$P$3:$P$181,"&gt;="&amp;DATE(2025,4,1),'2025数据'!$P$3:$P$181,"&lt;="&amp;DATE(2025,4,30),'2025数据'!$BF$3:$BF$181,$E$39,'2025数据'!$B$3:$B$181,$E1007))</f>
        <v>1</v>
      </c>
      <c r="J1007" s="210">
        <f ca="1">IF($S$1&lt;DATE(2025,5,1)," ",COUNTIFS('2025数据'!$P$3:$P$181,"&gt;="&amp;DATE(2025,5,1),'2025数据'!$P$3:$P$181,"&lt;="&amp;DATE(2025,5,31),'2025数据'!$BF$3:$BF$181,$E$39,'2025数据'!$B$3:$B$181,$E1007))</f>
        <v>0</v>
      </c>
      <c r="K1007" s="210">
        <f ca="1">IF($S$1&lt;DATE(2025,6,1)," ",COUNTIFS('2025数据'!$P$3:$P$181,"&gt;="&amp;DATE(2025,6,1),'2025数据'!$P$3:$P$181,"&lt;="&amp;DATE(2025,6,30),'2025数据'!$BF$3:$BF$181,$E$39,'2025数据'!$B$3:$B$181,$E1007))</f>
        <v>0</v>
      </c>
      <c r="L1007" s="210">
        <f ca="1">IF($S$1&lt;DATE(2025,7,1)," ",COUNTIFS('2025数据'!$P$3:$P$181,"&gt;="&amp;DATE(2025,7,1),'2025数据'!$P$3:$P$181,"&lt;="&amp;DATE(2025,7,31),'2025数据'!$BF$3:$BF$181,$E$39,'2025数据'!$B$3:$B$181,$E1007))</f>
        <v>0</v>
      </c>
      <c r="M1007" s="210">
        <f ca="1">IF($S$1&lt;DATE(2025,8,1)," ",COUNTIFS('2025数据'!$P$3:$P$181,"&gt;="&amp;DATE(2025,8,1),'2025数据'!$P$3:$P$181,"&lt;="&amp;DATE(2025,8,31),'2025数据'!$BF$3:$BF$181,$E$39,'2025数据'!$B$3:$B$181,$E1007))</f>
        <v>0</v>
      </c>
      <c r="N1007" s="210">
        <f ca="1">IF($S$1&lt;DATE(2025,9,1)," ",COUNTIFS('2025数据'!$P$3:$P$181,"&gt;="&amp;DATE(2025,9,1),'2025数据'!$P$3:$P$181,"&lt;="&amp;DATE(2025,9,30),'2025数据'!$BF$3:$BF$181,$E$39,'2025数据'!$B$3:$B$181,$E1007))</f>
        <v>1</v>
      </c>
      <c r="O1007" s="210">
        <f ca="1">IF($S$1&lt;DATE(2025,10,1)," ",COUNTIFS('2025数据'!$P$3:$P$181,"&gt;="&amp;DATE(2025,10,1),'2025数据'!$P$3:$P$181,"&lt;="&amp;DATE(2025,10,31),'2025数据'!$BF$3:$BF$181,$E$39,'2025数据'!$B$3:$B$181,$E1007))</f>
        <v>0</v>
      </c>
      <c r="P1007" s="212">
        <f ca="1">IF($S$1&lt;DATE(2025,11,1)," ",COUNTIFS('2025数据'!$P$3:$P$181,"&gt;="&amp;DATE(2025,11,1),'2025数据'!$P$3:$P$181,"&lt;="&amp;DATE(2025,11,30),'2025数据'!$BF$3:$BF$181,$E$39,'2025数据'!$B$3:$B$181,$E1007))</f>
        <v>0</v>
      </c>
      <c r="Q1007" s="212">
        <f ca="1">IF($S$1&lt;DATE(2025,12,1)," ",COUNTIFS('2025数据'!$P$3:$P$181,"&gt;="&amp;DATE(2025,12,1),'2025数据'!$P$3:$P$181,"&lt;="&amp;DATE(2025,12,31),'2025数据'!$BF$3:$BF$181,$E$39,'2025数据'!$B$3:$B$181,$E1007))</f>
        <v>0</v>
      </c>
    </row>
    <row r="1008" ht="24" customHeight="1" spans="1:17">
      <c r="A1008" s="99" t="s">
        <v>347</v>
      </c>
      <c r="B1008" s="99" t="s">
        <v>299</v>
      </c>
      <c r="C1008" s="99" t="s">
        <v>291</v>
      </c>
      <c r="D1008" s="53" t="s">
        <v>305</v>
      </c>
      <c r="E1008" s="53" t="s">
        <v>96</v>
      </c>
      <c r="F1008" s="210">
        <f ca="1">IF($S$1&lt;DATE(2025,1,1)," ",COUNTIFS('2025数据'!$P$3:$P$181,"&gt;="&amp;DATE(2025,1,1),'2025数据'!$P$3:$P$181,"&lt;="&amp;DATE(2025,1,31),'2025数据'!$BF$3:$BF$181,$E$39,'2025数据'!$B$3:$B$181,$E1008))</f>
        <v>0</v>
      </c>
      <c r="G1008" s="210">
        <f ca="1">IF($S$1&lt;DATE(2025,2,1)," ",COUNTIFS('2025数据'!$P$3:$P$181,"&gt;="&amp;DATE(2025,2,1),'2025数据'!$P$3:$P$181,"&lt;="&amp;DATE(2025,2,28),'2025数据'!$BF$3:$BF$181,$E$39,'2025数据'!$B$3:$B$181,$E1008))</f>
        <v>0</v>
      </c>
      <c r="H1008" s="210">
        <f ca="1">IF($S$1&lt;DATE(2025,3,1)," ",COUNTIFS('2025数据'!$P$3:$P$181,"&gt;="&amp;DATE(2025,3,1),'2025数据'!$P$3:$P$181,"&lt;="&amp;DATE(2025,3,31),'2025数据'!$BF$3:$BF$181,$E$39,'2025数据'!$B$3:$B$181,$E1008))</f>
        <v>0</v>
      </c>
      <c r="I1008" s="210">
        <f ca="1">IF($S$1&lt;DATE(2025,4,1)," ",COUNTIFS('2025数据'!$P$3:$P$181,"&gt;="&amp;DATE(2025,4,1),'2025数据'!$P$3:$P$181,"&lt;="&amp;DATE(2025,4,30),'2025数据'!$BF$3:$BF$181,$E$39,'2025数据'!$B$3:$B$181,$E1008))</f>
        <v>0</v>
      </c>
      <c r="J1008" s="210">
        <f ca="1">IF($S$1&lt;DATE(2025,5,1)," ",COUNTIFS('2025数据'!$P$3:$P$181,"&gt;="&amp;DATE(2025,5,1),'2025数据'!$P$3:$P$181,"&lt;="&amp;DATE(2025,5,31),'2025数据'!$BF$3:$BF$181,$E$39,'2025数据'!$B$3:$B$181,$E1008))</f>
        <v>0</v>
      </c>
      <c r="K1008" s="210">
        <f ca="1">IF($S$1&lt;DATE(2025,6,1)," ",COUNTIFS('2025数据'!$P$3:$P$181,"&gt;="&amp;DATE(2025,6,1),'2025数据'!$P$3:$P$181,"&lt;="&amp;DATE(2025,6,30),'2025数据'!$BF$3:$BF$181,$E$39,'2025数据'!$B$3:$B$181,$E1008))</f>
        <v>0</v>
      </c>
      <c r="L1008" s="210">
        <f ca="1">IF($S$1&lt;DATE(2025,7,1)," ",COUNTIFS('2025数据'!$P$3:$P$181,"&gt;="&amp;DATE(2025,7,1),'2025数据'!$P$3:$P$181,"&lt;="&amp;DATE(2025,7,31),'2025数据'!$BF$3:$BF$181,$E$39,'2025数据'!$B$3:$B$181,$E1008))</f>
        <v>0</v>
      </c>
      <c r="M1008" s="210">
        <f ca="1">IF($S$1&lt;DATE(2025,8,1)," ",COUNTIFS('2025数据'!$P$3:$P$181,"&gt;="&amp;DATE(2025,8,1),'2025数据'!$P$3:$P$181,"&lt;="&amp;DATE(2025,8,31),'2025数据'!$BF$3:$BF$181,$E$39,'2025数据'!$B$3:$B$181,$E1008))</f>
        <v>0</v>
      </c>
      <c r="N1008" s="210">
        <f ca="1">IF($S$1&lt;DATE(2025,9,1)," ",COUNTIFS('2025数据'!$P$3:$P$181,"&gt;="&amp;DATE(2025,9,1),'2025数据'!$P$3:$P$181,"&lt;="&amp;DATE(2025,9,30),'2025数据'!$BF$3:$BF$181,$E$39,'2025数据'!$B$3:$B$181,$E1008))</f>
        <v>0</v>
      </c>
      <c r="O1008" s="210">
        <f ca="1">IF($S$1&lt;DATE(2025,10,1)," ",COUNTIFS('2025数据'!$P$3:$P$181,"&gt;="&amp;DATE(2025,10,1),'2025数据'!$P$3:$P$181,"&lt;="&amp;DATE(2025,10,31),'2025数据'!$BF$3:$BF$181,$E$39,'2025数据'!$B$3:$B$181,$E1008))</f>
        <v>0</v>
      </c>
      <c r="P1008" s="212">
        <f ca="1">IF($S$1&lt;DATE(2025,11,1)," ",COUNTIFS('2025数据'!$P$3:$P$181,"&gt;="&amp;DATE(2025,11,1),'2025数据'!$P$3:$P$181,"&lt;="&amp;DATE(2025,11,30),'2025数据'!$BF$3:$BF$181,$E$39,'2025数据'!$B$3:$B$181,$E1008))</f>
        <v>0</v>
      </c>
      <c r="Q1008" s="212">
        <f ca="1">IF($S$1&lt;DATE(2025,12,1)," ",COUNTIFS('2025数据'!$P$3:$P$181,"&gt;="&amp;DATE(2025,12,1),'2025数据'!$P$3:$P$181,"&lt;="&amp;DATE(2025,12,31),'2025数据'!$BF$3:$BF$181,$E$39,'2025数据'!$B$3:$B$181,$E1008))</f>
        <v>0</v>
      </c>
    </row>
    <row r="1009" ht="24" customHeight="1" spans="1:17">
      <c r="A1009" s="99" t="s">
        <v>347</v>
      </c>
      <c r="B1009" s="99" t="s">
        <v>299</v>
      </c>
      <c r="C1009" s="99" t="s">
        <v>291</v>
      </c>
      <c r="D1009" s="53" t="s">
        <v>305</v>
      </c>
      <c r="E1009" s="53" t="s">
        <v>160</v>
      </c>
      <c r="F1009" s="210">
        <f ca="1">IF($S$1&lt;DATE(2025,1,1)," ",COUNTIFS('2025数据'!$P$3:$P$181,"&gt;="&amp;DATE(2025,1,1),'2025数据'!$P$3:$P$181,"&lt;="&amp;DATE(2025,1,31),'2025数据'!$BF$3:$BF$181,$E$39,'2025数据'!$B$3:$B$181,$E1009))</f>
        <v>0</v>
      </c>
      <c r="G1009" s="210">
        <f ca="1">IF($S$1&lt;DATE(2025,2,1)," ",COUNTIFS('2025数据'!$P$3:$P$181,"&gt;="&amp;DATE(2025,2,1),'2025数据'!$P$3:$P$181,"&lt;="&amp;DATE(2025,2,28),'2025数据'!$BF$3:$BF$181,$E$39,'2025数据'!$B$3:$B$181,$E1009))</f>
        <v>0</v>
      </c>
      <c r="H1009" s="210">
        <f ca="1">IF($S$1&lt;DATE(2025,3,1)," ",COUNTIFS('2025数据'!$P$3:$P$181,"&gt;="&amp;DATE(2025,3,1),'2025数据'!$P$3:$P$181,"&lt;="&amp;DATE(2025,3,31),'2025数据'!$BF$3:$BF$181,$E$39,'2025数据'!$B$3:$B$181,$E1009))</f>
        <v>0</v>
      </c>
      <c r="I1009" s="210">
        <f ca="1">IF($S$1&lt;DATE(2025,4,1)," ",COUNTIFS('2025数据'!$P$3:$P$181,"&gt;="&amp;DATE(2025,4,1),'2025数据'!$P$3:$P$181,"&lt;="&amp;DATE(2025,4,30),'2025数据'!$BF$3:$BF$181,$E$39,'2025数据'!$B$3:$B$181,$E1009))</f>
        <v>0</v>
      </c>
      <c r="J1009" s="210">
        <f ca="1">IF($S$1&lt;DATE(2025,5,1)," ",COUNTIFS('2025数据'!$P$3:$P$181,"&gt;="&amp;DATE(2025,5,1),'2025数据'!$P$3:$P$181,"&lt;="&amp;DATE(2025,5,31),'2025数据'!$BF$3:$BF$181,$E$39,'2025数据'!$B$3:$B$181,$E1009))</f>
        <v>0</v>
      </c>
      <c r="K1009" s="210">
        <f ca="1">IF($S$1&lt;DATE(2025,6,1)," ",COUNTIFS('2025数据'!$P$3:$P$181,"&gt;="&amp;DATE(2025,6,1),'2025数据'!$P$3:$P$181,"&lt;="&amp;DATE(2025,6,30),'2025数据'!$BF$3:$BF$181,$E$39,'2025数据'!$B$3:$B$181,$E1009))</f>
        <v>0</v>
      </c>
      <c r="L1009" s="210">
        <f ca="1">IF($S$1&lt;DATE(2025,7,1)," ",COUNTIFS('2025数据'!$P$3:$P$181,"&gt;="&amp;DATE(2025,7,1),'2025数据'!$P$3:$P$181,"&lt;="&amp;DATE(2025,7,31),'2025数据'!$BF$3:$BF$181,$E$39,'2025数据'!$B$3:$B$181,$E1009))</f>
        <v>0</v>
      </c>
      <c r="M1009" s="210">
        <f ca="1">IF($S$1&lt;DATE(2025,8,1)," ",COUNTIFS('2025数据'!$P$3:$P$181,"&gt;="&amp;DATE(2025,8,1),'2025数据'!$P$3:$P$181,"&lt;="&amp;DATE(2025,8,31),'2025数据'!$BF$3:$BF$181,$E$39,'2025数据'!$B$3:$B$181,$E1009))</f>
        <v>0</v>
      </c>
      <c r="N1009" s="210">
        <f ca="1">IF($S$1&lt;DATE(2025,9,1)," ",COUNTIFS('2025数据'!$P$3:$P$181,"&gt;="&amp;DATE(2025,9,1),'2025数据'!$P$3:$P$181,"&lt;="&amp;DATE(2025,9,30),'2025数据'!$BF$3:$BF$181,$E$39,'2025数据'!$B$3:$B$181,$E1009))</f>
        <v>0</v>
      </c>
      <c r="O1009" s="210">
        <f ca="1">IF($S$1&lt;DATE(2025,10,1)," ",COUNTIFS('2025数据'!$P$3:$P$181,"&gt;="&amp;DATE(2025,10,1),'2025数据'!$P$3:$P$181,"&lt;="&amp;DATE(2025,10,31),'2025数据'!$BF$3:$BF$181,$E$39,'2025数据'!$B$3:$B$181,$E1009))</f>
        <v>0</v>
      </c>
      <c r="P1009" s="212">
        <f ca="1">IF($S$1&lt;DATE(2025,11,1)," ",COUNTIFS('2025数据'!$P$3:$P$181,"&gt;="&amp;DATE(2025,11,1),'2025数据'!$P$3:$P$181,"&lt;="&amp;DATE(2025,11,30),'2025数据'!$BF$3:$BF$181,$E$39,'2025数据'!$B$3:$B$181,$E1009))</f>
        <v>0</v>
      </c>
      <c r="Q1009" s="212">
        <f ca="1">IF($S$1&lt;DATE(2025,12,1)," ",COUNTIFS('2025数据'!$P$3:$P$181,"&gt;="&amp;DATE(2025,12,1),'2025数据'!$P$3:$P$181,"&lt;="&amp;DATE(2025,12,31),'2025数据'!$BF$3:$BF$181,$E$39,'2025数据'!$B$3:$B$181,$E1009))</f>
        <v>0</v>
      </c>
    </row>
    <row r="1010" ht="24" customHeight="1" spans="1:17">
      <c r="A1010" s="99" t="s">
        <v>347</v>
      </c>
      <c r="B1010" s="99" t="s">
        <v>299</v>
      </c>
      <c r="C1010" s="99" t="s">
        <v>291</v>
      </c>
      <c r="D1010" s="100" t="s">
        <v>292</v>
      </c>
      <c r="E1010" s="100" t="s">
        <v>306</v>
      </c>
      <c r="F1010" s="204">
        <f ca="1">IF($S$1&lt;DATE(2025,1,1)," ",SUM(F1011:F1013))</f>
        <v>1</v>
      </c>
      <c r="G1010" s="204">
        <f ca="1">IF($S$1&lt;DATE(2025,2,1)," ",SUM(G1011:G1013))</f>
        <v>0</v>
      </c>
      <c r="H1010" s="204">
        <f ca="1">IF($S$1&lt;DATE(2025,3,1)," ",SUM(H1011:H1013))</f>
        <v>0</v>
      </c>
      <c r="I1010" s="204">
        <f ca="1">IF($S$1&lt;DATE(2025,4,1)," ",SUM(I1011:I1013))</f>
        <v>0</v>
      </c>
      <c r="J1010" s="204">
        <f ca="1">IF($S$1&lt;DATE(2025,5,1)," ",SUM(J1011:J1013))</f>
        <v>0</v>
      </c>
      <c r="K1010" s="204">
        <f ca="1">IF($S$1&lt;DATE(2025,6,1)," ",SUM(K1011:K1013))</f>
        <v>2</v>
      </c>
      <c r="L1010" s="204">
        <f ca="1">IF($S$1&lt;DATE(2025,7,1)," ",SUM(L1011:L1013))</f>
        <v>1</v>
      </c>
      <c r="M1010" s="204">
        <f ca="1">IF($S$1&lt;DATE(2025,8,1)," ",SUM(M1011:M1013))</f>
        <v>1</v>
      </c>
      <c r="N1010" s="204">
        <f ca="1">IF($S$1&lt;DATE(2025,9,1)," ",SUM(N1011:N1013))</f>
        <v>3</v>
      </c>
      <c r="O1010" s="204">
        <f ca="1">IF($S$1&lt;DATE(2025,10,1)," ",SUM(O1011:O1013))</f>
        <v>0</v>
      </c>
      <c r="P1010" s="204">
        <f ca="1">IF($S$1&lt;DATE(2025,11,1)," ",SUM(P1011:P1013))</f>
        <v>1</v>
      </c>
      <c r="Q1010" s="204">
        <f ca="1">IF($S$1&lt;DATE(2025,12,1)," ",SUM(Q1011:Q1013))</f>
        <v>0</v>
      </c>
    </row>
    <row r="1011" ht="24" customHeight="1" spans="1:17">
      <c r="A1011" s="99" t="s">
        <v>347</v>
      </c>
      <c r="B1011" s="99" t="s">
        <v>299</v>
      </c>
      <c r="C1011" s="99" t="s">
        <v>291</v>
      </c>
      <c r="D1011" s="48" t="s">
        <v>296</v>
      </c>
      <c r="E1011" s="48" t="s">
        <v>90</v>
      </c>
      <c r="F1011" s="205">
        <f ca="1">IF($S$1&lt;DATE(2025,1,1)," ",COUNTIFS('2025数据'!$P$3:$P$181,"&gt;="&amp;DATE(2024,1,1),'2025数据'!$P$3:$P$181,"&lt;="&amp;DATE(2025,1,31),'2025数据'!$AF$3:$AF$181,$E1011))</f>
        <v>0</v>
      </c>
      <c r="G1011" s="205">
        <f ca="1">IF($S$1&lt;DATE(2025,2,1)," ",COUNTIFS('2025数据'!$P$3:$P$181,"&gt;="&amp;DATE(2025,2,1),'2025数据'!$P$3:$P$181,"&lt;="&amp;DATE(2025,2,28),'2025数据'!$AF$3:$AF$181,$E1011))</f>
        <v>0</v>
      </c>
      <c r="H1011" s="205">
        <f ca="1">IF($S$1&lt;DATE(2025,3,1)," ",COUNTIFS('2025数据'!$P$3:$P$181,"&gt;="&amp;DATE(2025,3,1),'2025数据'!$P$3:$P$181,"&lt;="&amp;DATE(2025,3,31),'2025数据'!$AF$3:$AF$181,$E1011))</f>
        <v>0</v>
      </c>
      <c r="I1011" s="205">
        <f ca="1">IF($S$1&lt;DATE(2025,4,1)," ",COUNTIFS('2025数据'!$P$3:$P$181,"&gt;="&amp;DATE(2025,4,1),'2025数据'!$P$3:$P$181,"&lt;="&amp;DATE(2025,4,30),'2025数据'!$AF$3:$AF$181,$E1011))</f>
        <v>0</v>
      </c>
      <c r="J1011" s="205">
        <f ca="1">IF($S$1&lt;DATE(2025,5,1)," ",COUNTIFS('2025数据'!$P$3:$P$181,"&gt;="&amp;DATE(2025,5,1),'2025数据'!$P$3:$P$181,"&lt;="&amp;DATE(2025,5,31),'2025数据'!$AF$3:$AF$181,$E1011))</f>
        <v>0</v>
      </c>
      <c r="K1011" s="205">
        <f ca="1">IF($S$1&lt;DATE(2025,6,1)," ",COUNTIFS('2025数据'!$P$3:$P$181,"&gt;="&amp;DATE(2025,6,1),'2025数据'!$P$3:$P$181,"&lt;="&amp;DATE(2025,6,30),'2025数据'!$AF$3:$AF$181,$E1011))</f>
        <v>0</v>
      </c>
      <c r="L1011" s="205">
        <f ca="1">IF($S$1&lt;DATE(2025,7,1)," ",COUNTIFS('2025数据'!$P$3:$P$181,"&gt;="&amp;DATE(2025,7,1),'2025数据'!$P$3:$P$181,"&lt;="&amp;DATE(2025,7,31),'2025数据'!$AF$3:$AF$181,$E1011))</f>
        <v>0</v>
      </c>
      <c r="M1011" s="205">
        <f ca="1">IF($S$1&lt;DATE(2025,8,1)," ",COUNTIFS('2025数据'!$P$3:$P$181,"&gt;="&amp;DATE(2025,8,1),'2025数据'!$P$3:$P$181,"&lt;="&amp;DATE(2025,8,31),'2025数据'!$AF$3:$AF$181,$E1011))</f>
        <v>1</v>
      </c>
      <c r="N1011" s="205">
        <f ca="1">IF($S$1&lt;DATE(2025,9,1)," ",COUNTIFS('2025数据'!$P$3:$P$181,"&gt;="&amp;DATE(2025,9,1),'2025数据'!$P$3:$P$181,"&lt;="&amp;DATE(2025,9,30),'2025数据'!$AF$3:$AF$181,$E1011))</f>
        <v>1</v>
      </c>
      <c r="O1011" s="205">
        <f ca="1">IF($S$1&lt;DATE(2025,10,1)," ",COUNTIFS('2025数据'!$P$3:$P$181,"&gt;="&amp;DATE(2025,10,1),'2025数据'!$P$3:$P$181,"&lt;="&amp;DATE(2025,10,31),'2025数据'!$AF$3:$AF$181,$E1011))</f>
        <v>0</v>
      </c>
      <c r="P1011" s="207">
        <f ca="1">IF($S$1&lt;DATE(2025,11,1)," ",COUNTIFS('2025数据'!$P$3:$P$181,"&gt;="&amp;DATE(2025,11,1),'2025数据'!$P$3:$P$181,"&lt;="&amp;DATE(2025,11,30),'2025数据'!$AF$3:$AF$181,$E1011))</f>
        <v>0</v>
      </c>
      <c r="Q1011" s="207">
        <f ca="1">IF($S$1&lt;DATE(2025,12,1)," ",COUNTIFS('2025数据'!$P$3:$P$181,"&gt;="&amp;DATE(2025,12,1),'2025数据'!$P$3:$P$181,"&lt;="&amp;DATE(2025,12,31),'2025数据'!$AF$3:$AF$181,$E1011))</f>
        <v>0</v>
      </c>
    </row>
    <row r="1012" ht="24" customHeight="1" spans="1:17">
      <c r="A1012" s="99" t="s">
        <v>347</v>
      </c>
      <c r="B1012" s="99" t="s">
        <v>299</v>
      </c>
      <c r="C1012" s="99" t="s">
        <v>291</v>
      </c>
      <c r="D1012" s="48" t="s">
        <v>296</v>
      </c>
      <c r="E1012" s="48" t="s">
        <v>82</v>
      </c>
      <c r="F1012" s="205">
        <f ca="1">IF($S$1&lt;DATE(2025,1,1)," ",COUNTIFS('2025数据'!$P$3:$P$181,"&gt;="&amp;DATE(2024,1,1),'2025数据'!$P$3:$P$181,"&lt;="&amp;DATE(2025,1,31),'2025数据'!$AF$3:$AF$181,$E1012))</f>
        <v>1</v>
      </c>
      <c r="G1012" s="205">
        <f ca="1">IF($S$1&lt;DATE(2025,2,1)," ",COUNTIFS('2025数据'!$P$3:$P$181,"&gt;="&amp;DATE(2025,2,1),'2025数据'!$P$3:$P$181,"&lt;="&amp;DATE(2025,2,28),'2025数据'!$AF$3:$AF$181,$E1012))</f>
        <v>0</v>
      </c>
      <c r="H1012" s="205">
        <f ca="1">IF($S$1&lt;DATE(2025,3,1)," ",COUNTIFS('2025数据'!$P$3:$P$181,"&gt;="&amp;DATE(2025,3,1),'2025数据'!$P$3:$P$181,"&lt;="&amp;DATE(2025,3,31),'2025数据'!$AF$3:$AF$181,$E1012))</f>
        <v>0</v>
      </c>
      <c r="I1012" s="205">
        <f ca="1">IF($S$1&lt;DATE(2025,4,1)," ",COUNTIFS('2025数据'!$P$3:$P$181,"&gt;="&amp;DATE(2025,4,1),'2025数据'!$P$3:$P$181,"&lt;="&amp;DATE(2025,4,30),'2025数据'!$AF$3:$AF$181,$E1012))</f>
        <v>0</v>
      </c>
      <c r="J1012" s="205">
        <f ca="1">IF($S$1&lt;DATE(2025,5,1)," ",COUNTIFS('2025数据'!$P$3:$P$181,"&gt;="&amp;DATE(2025,5,1),'2025数据'!$P$3:$P$181,"&lt;="&amp;DATE(2025,5,31),'2025数据'!$AF$3:$AF$181,$E1012))</f>
        <v>0</v>
      </c>
      <c r="K1012" s="205">
        <f ca="1">IF($S$1&lt;DATE(2025,6,1)," ",COUNTIFS('2025数据'!$P$3:$P$181,"&gt;="&amp;DATE(2025,6,1),'2025数据'!$P$3:$P$181,"&lt;="&amp;DATE(2025,6,30),'2025数据'!$AF$3:$AF$181,$E1012))</f>
        <v>2</v>
      </c>
      <c r="L1012" s="205">
        <f ca="1">IF($S$1&lt;DATE(2025,7,1)," ",COUNTIFS('2025数据'!$P$3:$P$181,"&gt;="&amp;DATE(2025,7,1),'2025数据'!$P$3:$P$181,"&lt;="&amp;DATE(2025,7,31),'2025数据'!$AF$3:$AF$181,$E1012))</f>
        <v>0</v>
      </c>
      <c r="M1012" s="205">
        <f ca="1">IF($S$1&lt;DATE(2025,8,1)," ",COUNTIFS('2025数据'!$P$3:$P$181,"&gt;="&amp;DATE(2025,8,1),'2025数据'!$P$3:$P$181,"&lt;="&amp;DATE(2025,8,31),'2025数据'!$AF$3:$AF$181,$E1012))</f>
        <v>0</v>
      </c>
      <c r="N1012" s="205">
        <f ca="1">IF($S$1&lt;DATE(2025,9,1)," ",COUNTIFS('2025数据'!$P$3:$P$181,"&gt;="&amp;DATE(2025,9,1),'2025数据'!$P$3:$P$181,"&lt;="&amp;DATE(2025,9,30),'2025数据'!$AF$3:$AF$181,$E1012))</f>
        <v>2</v>
      </c>
      <c r="O1012" s="205">
        <f ca="1">IF($S$1&lt;DATE(2025,10,1)," ",COUNTIFS('2025数据'!$P$3:$P$181,"&gt;="&amp;DATE(2025,10,1),'2025数据'!$P$3:$P$181,"&lt;="&amp;DATE(2025,10,31),'2025数据'!$AF$3:$AF$181,$E1012))</f>
        <v>0</v>
      </c>
      <c r="P1012" s="207">
        <f ca="1">IF($S$1&lt;DATE(2025,11,1)," ",COUNTIFS('2025数据'!$P$3:$P$181,"&gt;="&amp;DATE(2025,11,1),'2025数据'!$P$3:$P$181,"&lt;="&amp;DATE(2025,11,30),'2025数据'!$AF$3:$AF$181,$E1012))</f>
        <v>1</v>
      </c>
      <c r="Q1012" s="207">
        <f ca="1">IF($S$1&lt;DATE(2025,12,1)," ",COUNTIFS('2025数据'!$P$3:$P$181,"&gt;="&amp;DATE(2025,12,1),'2025数据'!$P$3:$P$181,"&lt;="&amp;DATE(2025,12,31),'2025数据'!$AF$3:$AF$181,$E1012))</f>
        <v>0</v>
      </c>
    </row>
    <row r="1013" ht="24" customHeight="1" spans="1:17">
      <c r="A1013" s="99" t="s">
        <v>347</v>
      </c>
      <c r="B1013" s="99" t="s">
        <v>299</v>
      </c>
      <c r="C1013" s="99" t="s">
        <v>291</v>
      </c>
      <c r="D1013" s="48" t="s">
        <v>296</v>
      </c>
      <c r="E1013" s="48" t="s">
        <v>86</v>
      </c>
      <c r="F1013" s="205">
        <f ca="1">IF($S$1&lt;DATE(2025,1,1)," ",COUNTIFS('2025数据'!$P$3:$P$181,"&gt;="&amp;DATE(2024,1,1),'2025数据'!$P$3:$P$181,"&lt;="&amp;DATE(2025,1,31),'2025数据'!$AF$3:$AF$181,$E1013))</f>
        <v>0</v>
      </c>
      <c r="G1013" s="205">
        <f ca="1">IF($S$1&lt;DATE(2025,2,1)," ",COUNTIFS('2025数据'!$P$3:$P$181,"&gt;="&amp;DATE(2025,2,1),'2025数据'!$P$3:$P$181,"&lt;="&amp;DATE(2025,2,28),'2025数据'!$AF$3:$AF$181,$E1013))</f>
        <v>0</v>
      </c>
      <c r="H1013" s="205">
        <f ca="1">IF($S$1&lt;DATE(2025,3,1)," ",COUNTIFS('2025数据'!$P$3:$P$181,"&gt;="&amp;DATE(2025,3,1),'2025数据'!$P$3:$P$181,"&lt;="&amp;DATE(2025,3,31),'2025数据'!$AF$3:$AF$181,$E1013))</f>
        <v>0</v>
      </c>
      <c r="I1013" s="205">
        <f ca="1">IF($S$1&lt;DATE(2025,4,1)," ",COUNTIFS('2025数据'!$P$3:$P$181,"&gt;="&amp;DATE(2025,4,1),'2025数据'!$P$3:$P$181,"&lt;="&amp;DATE(2025,4,30),'2025数据'!$AF$3:$AF$181,$E1013))</f>
        <v>0</v>
      </c>
      <c r="J1013" s="205">
        <f ca="1">IF($S$1&lt;DATE(2025,5,1)," ",COUNTIFS('2025数据'!$P$3:$P$181,"&gt;="&amp;DATE(2025,5,1),'2025数据'!$P$3:$P$181,"&lt;="&amp;DATE(2025,5,31),'2025数据'!$AF$3:$AF$181,$E1013))</f>
        <v>0</v>
      </c>
      <c r="K1013" s="205">
        <f ca="1">IF($S$1&lt;DATE(2025,6,1)," ",COUNTIFS('2025数据'!$P$3:$P$181,"&gt;="&amp;DATE(2025,6,1),'2025数据'!$P$3:$P$181,"&lt;="&amp;DATE(2025,6,30),'2025数据'!$AF$3:$AF$181,$E1013))</f>
        <v>0</v>
      </c>
      <c r="L1013" s="205">
        <f ca="1">IF($S$1&lt;DATE(2025,7,1)," ",COUNTIFS('2025数据'!$P$3:$P$181,"&gt;="&amp;DATE(2025,7,1),'2025数据'!$P$3:$P$181,"&lt;="&amp;DATE(2025,7,31),'2025数据'!$AF$3:$AF$181,$E1013))</f>
        <v>1</v>
      </c>
      <c r="M1013" s="205">
        <f ca="1">IF($S$1&lt;DATE(2025,8,1)," ",COUNTIFS('2025数据'!$P$3:$P$181,"&gt;="&amp;DATE(2025,8,1),'2025数据'!$P$3:$P$181,"&lt;="&amp;DATE(2025,8,31),'2025数据'!$AF$3:$AF$181,$E1013))</f>
        <v>0</v>
      </c>
      <c r="N1013" s="205">
        <f ca="1">IF($S$1&lt;DATE(2025,9,1)," ",COUNTIFS('2025数据'!$P$3:$P$181,"&gt;="&amp;DATE(2025,9,1),'2025数据'!$P$3:$P$181,"&lt;="&amp;DATE(2025,9,30),'2025数据'!$AF$3:$AF$181,$E1013))</f>
        <v>0</v>
      </c>
      <c r="O1013" s="205">
        <f ca="1">IF($S$1&lt;DATE(2025,10,1)," ",COUNTIFS('2025数据'!$P$3:$P$181,"&gt;="&amp;DATE(2025,10,1),'2025数据'!$P$3:$P$181,"&lt;="&amp;DATE(2025,10,31),'2025数据'!$AF$3:$AF$181,$E1013))</f>
        <v>0</v>
      </c>
      <c r="P1013" s="207">
        <f ca="1">IF($S$1&lt;DATE(2025,11,1)," ",COUNTIFS('2025数据'!$P$3:$P$181,"&gt;="&amp;DATE(2025,11,1),'2025数据'!$P$3:$P$181,"&lt;="&amp;DATE(2025,11,30),'2025数据'!$AF$3:$AF$181,$E1013))</f>
        <v>0</v>
      </c>
      <c r="Q1013" s="207">
        <f ca="1">IF($S$1&lt;DATE(2025,12,1)," ",COUNTIFS('2025数据'!$P$3:$P$181,"&gt;="&amp;DATE(2025,12,1),'2025数据'!$P$3:$P$181,"&lt;="&amp;DATE(2025,12,31),'2025数据'!$AF$3:$AF$181,$E1013))</f>
        <v>0</v>
      </c>
    </row>
    <row r="1014" ht="24" customHeight="1" spans="1:17">
      <c r="A1014" s="99" t="s">
        <v>347</v>
      </c>
      <c r="B1014" s="99" t="s">
        <v>299</v>
      </c>
      <c r="C1014" s="99" t="s">
        <v>291</v>
      </c>
      <c r="D1014" s="100" t="s">
        <v>292</v>
      </c>
      <c r="E1014" s="100" t="s">
        <v>307</v>
      </c>
      <c r="F1014" s="204">
        <f ca="1">IF($S$1&lt;DATE(2025,1,1)," ",SUM(F1015:F1018))</f>
        <v>1</v>
      </c>
      <c r="G1014" s="204">
        <f ca="1">IF($S$1&lt;DATE(2025,2,1)," ",SUM(G1015:G1018))</f>
        <v>0</v>
      </c>
      <c r="H1014" s="204">
        <f ca="1">IF($S$1&lt;DATE(2025,3,1)," ",SUM(H1015:H1018))</f>
        <v>0</v>
      </c>
      <c r="I1014" s="204">
        <f ca="1">IF($S$1&lt;DATE(2025,4,1)," ",SUM(I1015:I1018))</f>
        <v>1</v>
      </c>
      <c r="J1014" s="204">
        <f ca="1">IF($S$1&lt;DATE(2025,5,1)," ",SUM(J1015:J1018))</f>
        <v>0</v>
      </c>
      <c r="K1014" s="204">
        <f ca="1">IF($S$1&lt;DATE(2025,6,1)," ",SUM(K1015:K1018))</f>
        <v>2</v>
      </c>
      <c r="L1014" s="204">
        <f ca="1">IF($S$1&lt;DATE(2025,7,1)," ",SUM(L1015:L1018))</f>
        <v>0</v>
      </c>
      <c r="M1014" s="204">
        <f ca="1">IF($S$1&lt;DATE(2025,8,1)," ",SUM(M1015:M1018))</f>
        <v>1</v>
      </c>
      <c r="N1014" s="204">
        <f ca="1">IF($S$1&lt;DATE(2025,9,1)," ",SUM(N1015:N1018))</f>
        <v>1</v>
      </c>
      <c r="O1014" s="204">
        <f ca="1">IF($S$1&lt;DATE(2025,10,1)," ",SUM(O1015:O1018))</f>
        <v>0</v>
      </c>
      <c r="P1014" s="204">
        <f ca="1">IF($S$1&lt;DATE(2025,11,1)," ",SUM(P1015:P1018))</f>
        <v>1</v>
      </c>
      <c r="Q1014" s="204">
        <f ca="1">IF($S$1&lt;DATE(2025,12,1)," ",SUM(Q1015:Q1018))</f>
        <v>0</v>
      </c>
    </row>
    <row r="1015" ht="24" customHeight="1" spans="1:17">
      <c r="A1015" s="99" t="s">
        <v>347</v>
      </c>
      <c r="B1015" s="99" t="s">
        <v>299</v>
      </c>
      <c r="C1015" s="99" t="s">
        <v>291</v>
      </c>
      <c r="D1015" s="48" t="s">
        <v>298</v>
      </c>
      <c r="E1015" s="48" t="s">
        <v>97</v>
      </c>
      <c r="F1015" s="205">
        <f ca="1">IF($S$1&lt;DATE(2025,1,1)," ",COUNTIFS('2025数据'!$P$3:$P$181,"&gt;="&amp;DATE(2024,1,1),'2025数据'!$P$3:$P$181,"&lt;="&amp;DATE(2025,1,31),'2025数据'!$AG$3:$AG$181,$E1015))</f>
        <v>0</v>
      </c>
      <c r="G1015" s="205">
        <f ca="1">IF($S$1&lt;DATE(2025,2,1)," ",COUNTIFS('2025数据'!$P$3:$P$181,"&gt;="&amp;DATE(2025,2,1),'2025数据'!$P$3:$P$181,"&lt;="&amp;DATE(2025,2,28),'2025数据'!$AG$3:$AG$181,$E1015))</f>
        <v>0</v>
      </c>
      <c r="H1015" s="205">
        <f ca="1">IF($S$1&lt;DATE(2025,3,1)," ",COUNTIFS('2025数据'!$P$3:$P$181,"&gt;="&amp;DATE(2025,3,1),'2025数据'!$P$3:$P$181,"&lt;="&amp;DATE(2025,3,31),'2025数据'!$AG$3:$AG$181,$E1015))</f>
        <v>0</v>
      </c>
      <c r="I1015" s="205">
        <f ca="1">IF($S$1&lt;DATE(2025,4,1)," ",COUNTIFS('2025数据'!$P$3:$P$181,"&gt;="&amp;DATE(2025,4,1),'2025数据'!$P$3:$P$181,"&lt;="&amp;DATE(2025,4,30),'2025数据'!$AG$3:$AG$181,$E1015))</f>
        <v>1</v>
      </c>
      <c r="J1015" s="205">
        <f ca="1">IF($S$1&lt;DATE(2025,5,1)," ",COUNTIFS('2025数据'!$P$3:$P$181,"&gt;="&amp;DATE(2025,5,1),'2025数据'!$P$3:$P$181,"&lt;="&amp;DATE(2025,5,31),'2025数据'!$AG$3:$AG$181,$E1015))</f>
        <v>0</v>
      </c>
      <c r="K1015" s="205">
        <f ca="1">IF($S$1&lt;DATE(2025,6,1)," ",COUNTIFS('2025数据'!$P$3:$P$181,"&gt;="&amp;DATE(2025,6,1),'2025数据'!$P$3:$P$181,"&lt;="&amp;DATE(2025,6,30),'2025数据'!$AG$3:$AG$181,$E1015))</f>
        <v>1</v>
      </c>
      <c r="L1015" s="205">
        <f ca="1">IF($S$1&lt;DATE(2025,7,1)," ",COUNTIFS('2025数据'!$P$3:$P$181,"&gt;="&amp;DATE(2025,7,1),'2025数据'!$P$3:$P$181,"&lt;="&amp;DATE(2025,7,31),'2025数据'!$AG$3:$AG$181,$E1015))</f>
        <v>0</v>
      </c>
      <c r="M1015" s="205">
        <f ca="1">IF($S$1&lt;DATE(2025,8,1)," ",COUNTIFS('2025数据'!$P$3:$P$181,"&gt;="&amp;DATE(2025,8,1),'2025数据'!$P$3:$P$181,"&lt;="&amp;DATE(2025,8,31),'2025数据'!$AG$3:$AG$181,$E1015))</f>
        <v>0</v>
      </c>
      <c r="N1015" s="205">
        <f ca="1">IF($S$1&lt;DATE(2025,9,1)," ",COUNTIFS('2025数据'!$P$3:$P$181,"&gt;="&amp;DATE(2025,9,1),'2025数据'!$P$3:$P$181,"&lt;="&amp;DATE(2025,9,30),'2025数据'!$AG$3:$AG$181,$E1015))</f>
        <v>1</v>
      </c>
      <c r="O1015" s="205">
        <f ca="1">IF($S$1&lt;DATE(2025,10,1)," ",COUNTIFS('2025数据'!$P$3:$P$181,"&gt;="&amp;DATE(2025,10,1),'2025数据'!$P$3:$P$181,"&lt;="&amp;DATE(2025,10,31),'2025数据'!$AG$3:$AG$181,$E1015))</f>
        <v>0</v>
      </c>
      <c r="P1015" s="207">
        <f ca="1">IF($S$1&lt;DATE(2025,11,1)," ",COUNTIFS('2025数据'!$P$3:$P$181,"&gt;="&amp;DATE(2025,11,1),'2025数据'!$P$3:$P$181,"&lt;="&amp;DATE(2025,11,30),'2025数据'!$AG$3:$AG$181,$E1015))</f>
        <v>1</v>
      </c>
      <c r="Q1015" s="207">
        <f ca="1">IF($S$1&lt;DATE(2025,12,1)," ",COUNTIFS('2025数据'!$P$3:$P$181,"&gt;="&amp;DATE(2025,12,1),'2025数据'!$P$3:$P$181,"&lt;="&amp;DATE(2025,12,31),'2025数据'!$AG$3:$AG$181,$E1015))</f>
        <v>0</v>
      </c>
    </row>
    <row r="1016" ht="24" customHeight="1" spans="1:17">
      <c r="A1016" s="99" t="s">
        <v>347</v>
      </c>
      <c r="B1016" s="99" t="s">
        <v>299</v>
      </c>
      <c r="C1016" s="99" t="s">
        <v>291</v>
      </c>
      <c r="D1016" s="48" t="s">
        <v>298</v>
      </c>
      <c r="E1016" s="48" t="s">
        <v>87</v>
      </c>
      <c r="F1016" s="205">
        <f ca="1">IF($S$1&lt;DATE(2025,1,1)," ",COUNTIFS('2025数据'!$P$3:$P$181,"&gt;="&amp;DATE(2024,1,1),'2025数据'!$P$3:$P$181,"&lt;="&amp;DATE(2025,1,31),'2025数据'!$AG$3:$AG$181,$E1016))</f>
        <v>1</v>
      </c>
      <c r="G1016" s="205">
        <f ca="1">IF($S$1&lt;DATE(2025,2,1)," ",COUNTIFS('2025数据'!$P$3:$P$181,"&gt;="&amp;DATE(2025,2,1),'2025数据'!$P$3:$P$181,"&lt;="&amp;DATE(2025,2,28),'2025数据'!$AG$3:$AG$181,$E1016))</f>
        <v>0</v>
      </c>
      <c r="H1016" s="205">
        <f ca="1">IF($S$1&lt;DATE(2025,3,1)," ",COUNTIFS('2025数据'!$P$3:$P$181,"&gt;="&amp;DATE(2025,3,1),'2025数据'!$P$3:$P$181,"&lt;="&amp;DATE(2025,3,31),'2025数据'!$AG$3:$AG$181,$E1016))</f>
        <v>0</v>
      </c>
      <c r="I1016" s="205">
        <f ca="1">IF($S$1&lt;DATE(2025,4,1)," ",COUNTIFS('2025数据'!$P$3:$P$181,"&gt;="&amp;DATE(2025,4,1),'2025数据'!$P$3:$P$181,"&lt;="&amp;DATE(2025,4,30),'2025数据'!$AG$3:$AG$181,$E1016))</f>
        <v>0</v>
      </c>
      <c r="J1016" s="205">
        <f ca="1">IF($S$1&lt;DATE(2025,5,1)," ",COUNTIFS('2025数据'!$P$3:$P$181,"&gt;="&amp;DATE(2025,5,1),'2025数据'!$P$3:$P$181,"&lt;="&amp;DATE(2025,5,31),'2025数据'!$AG$3:$AG$181,$E1016))</f>
        <v>0</v>
      </c>
      <c r="K1016" s="205">
        <f ca="1">IF($S$1&lt;DATE(2025,6,1)," ",COUNTIFS('2025数据'!$P$3:$P$181,"&gt;="&amp;DATE(2025,6,1),'2025数据'!$P$3:$P$181,"&lt;="&amp;DATE(2025,6,30),'2025数据'!$AG$3:$AG$181,$E1016))</f>
        <v>0</v>
      </c>
      <c r="L1016" s="205">
        <f ca="1">IF($S$1&lt;DATE(2025,7,1)," ",COUNTIFS('2025数据'!$P$3:$P$181,"&gt;="&amp;DATE(2025,7,1),'2025数据'!$P$3:$P$181,"&lt;="&amp;DATE(2025,7,31),'2025数据'!$AG$3:$AG$181,$E1016))</f>
        <v>0</v>
      </c>
      <c r="M1016" s="205">
        <f ca="1">IF($S$1&lt;DATE(2025,8,1)," ",COUNTIFS('2025数据'!$P$3:$P$181,"&gt;="&amp;DATE(2025,8,1),'2025数据'!$P$3:$P$181,"&lt;="&amp;DATE(2025,8,31),'2025数据'!$AG$3:$AG$181,$E1016))</f>
        <v>0</v>
      </c>
      <c r="N1016" s="205">
        <f ca="1">IF($S$1&lt;DATE(2025,9,1)," ",COUNTIFS('2025数据'!$P$3:$P$181,"&gt;="&amp;DATE(2025,9,1),'2025数据'!$P$3:$P$181,"&lt;="&amp;DATE(2025,9,30),'2025数据'!$AG$3:$AG$181,$E1016))</f>
        <v>0</v>
      </c>
      <c r="O1016" s="205">
        <f ca="1">IF($S$1&lt;DATE(2025,10,1)," ",COUNTIFS('2025数据'!$P$3:$P$181,"&gt;="&amp;DATE(2025,10,1),'2025数据'!$P$3:$P$181,"&lt;="&amp;DATE(2025,10,31),'2025数据'!$AG$3:$AG$181,$E1016))</f>
        <v>0</v>
      </c>
      <c r="P1016" s="207">
        <f ca="1">IF($S$1&lt;DATE(2025,11,1)," ",COUNTIFS('2025数据'!$P$3:$P$181,"&gt;="&amp;DATE(2025,11,1),'2025数据'!$P$3:$P$181,"&lt;="&amp;DATE(2025,11,30),'2025数据'!$AG$3:$AG$181,$E1016))</f>
        <v>0</v>
      </c>
      <c r="Q1016" s="207">
        <f ca="1">IF($S$1&lt;DATE(2025,12,1)," ",COUNTIFS('2025数据'!$P$3:$P$181,"&gt;="&amp;DATE(2025,12,1),'2025数据'!$P$3:$P$181,"&lt;="&amp;DATE(2025,12,31),'2025数据'!$AG$3:$AG$181,$E1016))</f>
        <v>0</v>
      </c>
    </row>
    <row r="1017" ht="24" customHeight="1" spans="1:17">
      <c r="A1017" s="99" t="s">
        <v>347</v>
      </c>
      <c r="B1017" s="99" t="s">
        <v>299</v>
      </c>
      <c r="C1017" s="99" t="s">
        <v>291</v>
      </c>
      <c r="D1017" s="48" t="s">
        <v>298</v>
      </c>
      <c r="E1017" s="48" t="s">
        <v>149</v>
      </c>
      <c r="F1017" s="205">
        <f ca="1">IF($S$1&lt;DATE(2025,1,1)," ",COUNTIFS('2025数据'!$P$3:$P$181,"&gt;="&amp;DATE(2024,1,1),'2025数据'!$P$3:$P$181,"&lt;="&amp;DATE(2025,1,31),'2025数据'!$AG$3:$AG$181,$E1017))</f>
        <v>0</v>
      </c>
      <c r="G1017" s="205">
        <f ca="1">IF($S$1&lt;DATE(2025,2,1)," ",COUNTIFS('2025数据'!$P$3:$P$181,"&gt;="&amp;DATE(2025,2,1),'2025数据'!$P$3:$P$181,"&lt;="&amp;DATE(2025,2,28),'2025数据'!$AG$3:$AG$181,$E1017))</f>
        <v>0</v>
      </c>
      <c r="H1017" s="205">
        <f ca="1">IF($S$1&lt;DATE(2025,3,1)," ",COUNTIFS('2025数据'!$P$3:$P$181,"&gt;="&amp;DATE(2025,3,1),'2025数据'!$P$3:$P$181,"&lt;="&amp;DATE(2025,3,31),'2025数据'!$AG$3:$AG$181,$E1017))</f>
        <v>0</v>
      </c>
      <c r="I1017" s="205">
        <f ca="1">IF($S$1&lt;DATE(2025,4,1)," ",COUNTIFS('2025数据'!$P$3:$P$181,"&gt;="&amp;DATE(2025,4,1),'2025数据'!$P$3:$P$181,"&lt;="&amp;DATE(2025,4,30),'2025数据'!$AG$3:$AG$181,$E1017))</f>
        <v>0</v>
      </c>
      <c r="J1017" s="205">
        <f ca="1">IF($S$1&lt;DATE(2025,5,1)," ",COUNTIFS('2025数据'!$P$3:$P$181,"&gt;="&amp;DATE(2025,5,1),'2025数据'!$P$3:$P$181,"&lt;="&amp;DATE(2025,5,31),'2025数据'!$AG$3:$AG$181,$E1017))</f>
        <v>0</v>
      </c>
      <c r="K1017" s="205">
        <f ca="1">IF($S$1&lt;DATE(2025,6,1)," ",COUNTIFS('2025数据'!$P$3:$P$181,"&gt;="&amp;DATE(2025,6,1),'2025数据'!$P$3:$P$181,"&lt;="&amp;DATE(2025,6,30),'2025数据'!$AG$3:$AG$181,$E1017))</f>
        <v>0</v>
      </c>
      <c r="L1017" s="205">
        <f ca="1">IF($S$1&lt;DATE(2025,7,1)," ",COUNTIFS('2025数据'!$P$3:$P$181,"&gt;="&amp;DATE(2025,7,1),'2025数据'!$P$3:$P$181,"&lt;="&amp;DATE(2025,7,31),'2025数据'!$AG$3:$AG$181,$E1017))</f>
        <v>0</v>
      </c>
      <c r="M1017" s="205">
        <f ca="1">IF($S$1&lt;DATE(2025,8,1)," ",COUNTIFS('2025数据'!$P$3:$P$181,"&gt;="&amp;DATE(2025,8,1),'2025数据'!$P$3:$P$181,"&lt;="&amp;DATE(2025,8,31),'2025数据'!$AG$3:$AG$181,$E1017))</f>
        <v>1</v>
      </c>
      <c r="N1017" s="205">
        <f ca="1">IF($S$1&lt;DATE(2025,9,1)," ",COUNTIFS('2025数据'!$P$3:$P$181,"&gt;="&amp;DATE(2025,9,1),'2025数据'!$P$3:$P$181,"&lt;="&amp;DATE(2025,9,30),'2025数据'!$AG$3:$AG$181,$E1017))</f>
        <v>0</v>
      </c>
      <c r="O1017" s="205">
        <f ca="1">IF($S$1&lt;DATE(2025,10,1)," ",COUNTIFS('2025数据'!$P$3:$P$181,"&gt;="&amp;DATE(2025,10,1),'2025数据'!$P$3:$P$181,"&lt;="&amp;DATE(2025,10,31),'2025数据'!$AG$3:$AG$181,$E1017))</f>
        <v>0</v>
      </c>
      <c r="P1017" s="207">
        <f ca="1">IF($S$1&lt;DATE(2025,11,1)," ",COUNTIFS('2025数据'!$P$3:$P$181,"&gt;="&amp;DATE(2025,11,1),'2025数据'!$P$3:$P$181,"&lt;="&amp;DATE(2025,11,30),'2025数据'!$AG$3:$AG$181,$E1017))</f>
        <v>0</v>
      </c>
      <c r="Q1017" s="207">
        <f ca="1">IF($S$1&lt;DATE(2025,12,1)," ",COUNTIFS('2025数据'!$P$3:$P$181,"&gt;="&amp;DATE(2025,12,1),'2025数据'!$P$3:$P$181,"&lt;="&amp;DATE(2025,12,31),'2025数据'!$AG$3:$AG$181,$E1017))</f>
        <v>0</v>
      </c>
    </row>
    <row r="1018" ht="24" customHeight="1" spans="1:17">
      <c r="A1018" s="99" t="s">
        <v>347</v>
      </c>
      <c r="B1018" s="99" t="s">
        <v>299</v>
      </c>
      <c r="C1018" s="99" t="s">
        <v>291</v>
      </c>
      <c r="D1018" s="48" t="s">
        <v>298</v>
      </c>
      <c r="E1018" s="48" t="s">
        <v>83</v>
      </c>
      <c r="F1018" s="205">
        <f ca="1">IF($S$1&lt;DATE(2025,1,1)," ",COUNTIFS('2025数据'!$P$3:$P$181,"&gt;="&amp;DATE(2024,1,1),'2025数据'!$P$3:$P$181,"&lt;="&amp;DATE(2025,1,31),'2025数据'!$AG$3:$AG$181,$E1018))</f>
        <v>0</v>
      </c>
      <c r="G1018" s="205">
        <f ca="1">IF($S$1&lt;DATE(2025,2,1)," ",COUNTIFS('2025数据'!$P$3:$P$181,"&gt;="&amp;DATE(2025,2,1),'2025数据'!$P$3:$P$181,"&lt;="&amp;DATE(2025,2,28),'2025数据'!$AG$3:$AG$181,$E1018))</f>
        <v>0</v>
      </c>
      <c r="H1018" s="205">
        <f ca="1">IF($S$1&lt;DATE(2025,3,1)," ",COUNTIFS('2025数据'!$P$3:$P$181,"&gt;="&amp;DATE(2025,3,1),'2025数据'!$P$3:$P$181,"&lt;="&amp;DATE(2025,3,31),'2025数据'!$AG$3:$AG$181,$E1018))</f>
        <v>0</v>
      </c>
      <c r="I1018" s="205">
        <f ca="1">IF($S$1&lt;DATE(2025,4,1)," ",COUNTIFS('2025数据'!$P$3:$P$181,"&gt;="&amp;DATE(2025,4,1),'2025数据'!$P$3:$P$181,"&lt;="&amp;DATE(2025,4,30),'2025数据'!$AG$3:$AG$181,$E1018))</f>
        <v>0</v>
      </c>
      <c r="J1018" s="205">
        <f ca="1">IF($S$1&lt;DATE(2025,5,1)," ",COUNTIFS('2025数据'!$P$3:$P$181,"&gt;="&amp;DATE(2025,5,1),'2025数据'!$P$3:$P$181,"&lt;="&amp;DATE(2025,5,31),'2025数据'!$AG$3:$AG$181,$E1018))</f>
        <v>0</v>
      </c>
      <c r="K1018" s="205">
        <f ca="1">IF($S$1&lt;DATE(2025,6,1)," ",COUNTIFS('2025数据'!$P$3:$P$181,"&gt;="&amp;DATE(2025,6,1),'2025数据'!$P$3:$P$181,"&lt;="&amp;DATE(2025,6,30),'2025数据'!$AG$3:$AG$181,$E1018))</f>
        <v>1</v>
      </c>
      <c r="L1018" s="205">
        <f ca="1">IF($S$1&lt;DATE(2025,7,1)," ",COUNTIFS('2025数据'!$P$3:$P$181,"&gt;="&amp;DATE(2025,7,1),'2025数据'!$P$3:$P$181,"&lt;="&amp;DATE(2025,7,31),'2025数据'!$AG$3:$AG$181,$E1018))</f>
        <v>0</v>
      </c>
      <c r="M1018" s="205">
        <f ca="1">IF($S$1&lt;DATE(2025,8,1)," ",COUNTIFS('2025数据'!$P$3:$P$181,"&gt;="&amp;DATE(2025,8,1),'2025数据'!$P$3:$P$181,"&lt;="&amp;DATE(2025,8,31),'2025数据'!$AG$3:$AG$181,$E1018))</f>
        <v>0</v>
      </c>
      <c r="N1018" s="205">
        <f ca="1">IF($S$1&lt;DATE(2025,9,1)," ",COUNTIFS('2025数据'!$P$3:$P$181,"&gt;="&amp;DATE(2025,9,1),'2025数据'!$P$3:$P$181,"&lt;="&amp;DATE(2025,9,30),'2025数据'!$AG$3:$AG$181,$E1018))</f>
        <v>0</v>
      </c>
      <c r="O1018" s="205">
        <f ca="1">IF($S$1&lt;DATE(2025,10,1)," ",COUNTIFS('2025数据'!$P$3:$P$181,"&gt;="&amp;DATE(2025,10,1),'2025数据'!$P$3:$P$181,"&lt;="&amp;DATE(2025,10,31),'2025数据'!$AG$3:$AG$181,$E1018))</f>
        <v>0</v>
      </c>
      <c r="P1018" s="207">
        <f ca="1">IF($S$1&lt;DATE(2025,11,1)," ",COUNTIFS('2025数据'!$P$3:$P$181,"&gt;="&amp;DATE(2025,11,1),'2025数据'!$P$3:$P$181,"&lt;="&amp;DATE(2025,11,30),'2025数据'!$AG$3:$AG$181,$E1018))</f>
        <v>0</v>
      </c>
      <c r="Q1018" s="207">
        <f ca="1">IF($S$1&lt;DATE(2025,12,1)," ",COUNTIFS('2025数据'!$P$3:$P$181,"&gt;="&amp;DATE(2025,12,1),'2025数据'!$P$3:$P$181,"&lt;="&amp;DATE(2025,12,31),'2025数据'!$AG$3:$AG$181,$E1018))</f>
        <v>0</v>
      </c>
    </row>
    <row r="1019" ht="24" customHeight="1" spans="1:17">
      <c r="A1019" s="99" t="s">
        <v>347</v>
      </c>
      <c r="B1019" s="99" t="s">
        <v>308</v>
      </c>
      <c r="C1019" s="99" t="s">
        <v>309</v>
      </c>
      <c r="D1019" s="100" t="s">
        <v>292</v>
      </c>
      <c r="E1019" s="211" t="s">
        <v>310</v>
      </c>
      <c r="F1019" s="204">
        <f ca="1">IF($S$1&lt;DATE(2025,1,1)," ",SUM(F1020:F1026))</f>
        <v>0</v>
      </c>
      <c r="G1019" s="204">
        <f ca="1">IF($S$1&lt;DATE(2025,2,1)," ",SUM(G1020:G1026))</f>
        <v>0</v>
      </c>
      <c r="H1019" s="204">
        <f ca="1">IF($S$1&lt;DATE(2025,3,1)," ",SUM(H1020:H1026))</f>
        <v>0</v>
      </c>
      <c r="I1019" s="204">
        <f ca="1">IF($S$1&lt;DATE(2025,4,1)," ",SUM(I1020:I1026))</f>
        <v>0</v>
      </c>
      <c r="J1019" s="204">
        <f ca="1">IF($S$1&lt;DATE(2025,5,1)," ",SUM(J1020:J1026))</f>
        <v>1</v>
      </c>
      <c r="K1019" s="204">
        <f ca="1">IF($S$1&lt;DATE(2025,6,1)," ",SUM(K1020:K1026))</f>
        <v>0</v>
      </c>
      <c r="L1019" s="204">
        <f ca="1">IF($S$1&lt;DATE(2025,7,1)," ",SUM(L1020:L1026))</f>
        <v>1</v>
      </c>
      <c r="M1019" s="204">
        <f ca="1">IF($S$1&lt;DATE(2025,8,1)," ",SUM(M1020:M1026))</f>
        <v>0</v>
      </c>
      <c r="N1019" s="204">
        <f ca="1">IF($S$1&lt;DATE(2025,9,1)," ",SUM(N1020:N1026))</f>
        <v>0</v>
      </c>
      <c r="O1019" s="204">
        <f ca="1">IF($S$1&lt;DATE(2025,10,1)," ",SUM(O1020:O1026))</f>
        <v>1</v>
      </c>
      <c r="P1019" s="204">
        <f ca="1">IF($S$1&lt;DATE(2025,11,1)," ",SUM(P1020:P1026))</f>
        <v>0</v>
      </c>
      <c r="Q1019" s="204">
        <f ca="1">IF($S$1&lt;DATE(2025,12,1)," ",SUM(Q1020:Q1026))</f>
        <v>1</v>
      </c>
    </row>
    <row r="1020" ht="24" customHeight="1" spans="1:17">
      <c r="A1020" s="99" t="s">
        <v>347</v>
      </c>
      <c r="B1020" s="99" t="s">
        <v>308</v>
      </c>
      <c r="C1020" s="99" t="s">
        <v>309</v>
      </c>
      <c r="D1020" s="48" t="s">
        <v>31</v>
      </c>
      <c r="E1020" s="48" t="s">
        <v>90</v>
      </c>
      <c r="F1020" s="205">
        <f ca="1" t="shared" ref="F1020:F1026" si="883">IF($S$1&lt;DATE(2025,1,1)," ",F1056-F1078)</f>
        <v>0</v>
      </c>
      <c r="G1020" s="205">
        <f ca="1" t="shared" ref="G1020:G1026" si="884">IF($S$1&lt;DATE(2025,2,1)," ",G1056-G1078)</f>
        <v>0</v>
      </c>
      <c r="H1020" s="205">
        <f ca="1" t="shared" ref="H1020:H1026" si="885">IF($S$1&lt;DATE(2025,3,1)," ",H1056-H1078)</f>
        <v>0</v>
      </c>
      <c r="I1020" s="205">
        <f ca="1" t="shared" ref="I1020:I1026" si="886">IF($S$1&lt;DATE(2025,4,1)," ",I1056-I1078)</f>
        <v>0</v>
      </c>
      <c r="J1020" s="205">
        <f ca="1" t="shared" ref="J1020:J1026" si="887">IF($S$1&lt;DATE(2025,5,1)," ",J1056-J1078)</f>
        <v>0</v>
      </c>
      <c r="K1020" s="205">
        <f ca="1" t="shared" ref="K1020:K1026" si="888">IF($S$1&lt;DATE(2025,6,1)," ",K1056-K1078)</f>
        <v>0</v>
      </c>
      <c r="L1020" s="205">
        <f ca="1" t="shared" ref="L1020:L1026" si="889">IF($S$1&lt;DATE(2025,7,1)," ",L1056-L1078)</f>
        <v>0</v>
      </c>
      <c r="M1020" s="205">
        <f ca="1" t="shared" ref="M1020:M1026" si="890">IF($S$1&lt;DATE(2025,8,1)," ",M1056-M1078)</f>
        <v>0</v>
      </c>
      <c r="N1020" s="205">
        <f ca="1" t="shared" ref="N1020:N1026" si="891">IF($S$1&lt;DATE(2025,9,1)," ",N1056-N1078)</f>
        <v>0</v>
      </c>
      <c r="O1020" s="205">
        <f ca="1" t="shared" ref="O1020:O1026" si="892">IF($S$1&lt;DATE(2025,10,1)," ",O1056-O1078)</f>
        <v>0</v>
      </c>
      <c r="P1020" s="205">
        <f ca="1" t="shared" ref="P1020:P1026" si="893">IF($S$1&lt;DATE(2025,11,1)," ",P1056-P1078)</f>
        <v>0</v>
      </c>
      <c r="Q1020" s="205">
        <f ca="1" t="shared" ref="Q1020:Q1026" si="894">IF($S$1&lt;DATE(2025,12,1)," ",Q1056-Q1078)</f>
        <v>1</v>
      </c>
    </row>
    <row r="1021" ht="24" customHeight="1" spans="1:17">
      <c r="A1021" s="99" t="s">
        <v>347</v>
      </c>
      <c r="B1021" s="99" t="s">
        <v>308</v>
      </c>
      <c r="C1021" s="99" t="s">
        <v>309</v>
      </c>
      <c r="D1021" s="48" t="s">
        <v>31</v>
      </c>
      <c r="E1021" s="48" t="s">
        <v>82</v>
      </c>
      <c r="F1021" s="205">
        <f ca="1" t="shared" si="883"/>
        <v>0</v>
      </c>
      <c r="G1021" s="205">
        <f ca="1" t="shared" si="884"/>
        <v>0</v>
      </c>
      <c r="H1021" s="205">
        <f ca="1" t="shared" si="885"/>
        <v>0</v>
      </c>
      <c r="I1021" s="205">
        <f ca="1" t="shared" si="886"/>
        <v>0</v>
      </c>
      <c r="J1021" s="205">
        <f ca="1" t="shared" si="887"/>
        <v>1</v>
      </c>
      <c r="K1021" s="205">
        <f ca="1" t="shared" si="888"/>
        <v>0</v>
      </c>
      <c r="L1021" s="205">
        <f ca="1" t="shared" si="889"/>
        <v>0</v>
      </c>
      <c r="M1021" s="205">
        <f ca="1" t="shared" si="890"/>
        <v>0</v>
      </c>
      <c r="N1021" s="205">
        <f ca="1" t="shared" si="891"/>
        <v>0</v>
      </c>
      <c r="O1021" s="205">
        <f ca="1" t="shared" si="892"/>
        <v>0</v>
      </c>
      <c r="P1021" s="205">
        <f ca="1" t="shared" si="893"/>
        <v>0</v>
      </c>
      <c r="Q1021" s="205">
        <f ca="1" t="shared" si="894"/>
        <v>0</v>
      </c>
    </row>
    <row r="1022" ht="24" customHeight="1" spans="1:17">
      <c r="A1022" s="99" t="s">
        <v>347</v>
      </c>
      <c r="B1022" s="99" t="s">
        <v>308</v>
      </c>
      <c r="C1022" s="99" t="s">
        <v>309</v>
      </c>
      <c r="D1022" s="48" t="s">
        <v>31</v>
      </c>
      <c r="E1022" s="48" t="s">
        <v>86</v>
      </c>
      <c r="F1022" s="205">
        <f ca="1" t="shared" si="883"/>
        <v>0</v>
      </c>
      <c r="G1022" s="205">
        <f ca="1" t="shared" si="884"/>
        <v>0</v>
      </c>
      <c r="H1022" s="205">
        <f ca="1" t="shared" si="885"/>
        <v>0</v>
      </c>
      <c r="I1022" s="205">
        <f ca="1" t="shared" si="886"/>
        <v>0</v>
      </c>
      <c r="J1022" s="205">
        <f ca="1" t="shared" si="887"/>
        <v>0</v>
      </c>
      <c r="K1022" s="205">
        <f ca="1" t="shared" si="888"/>
        <v>0</v>
      </c>
      <c r="L1022" s="205">
        <f ca="1" t="shared" si="889"/>
        <v>0</v>
      </c>
      <c r="M1022" s="205">
        <f ca="1" t="shared" si="890"/>
        <v>0</v>
      </c>
      <c r="N1022" s="205">
        <f ca="1" t="shared" si="891"/>
        <v>0</v>
      </c>
      <c r="O1022" s="205">
        <f ca="1" t="shared" si="892"/>
        <v>0</v>
      </c>
      <c r="P1022" s="205">
        <f ca="1" t="shared" si="893"/>
        <v>0</v>
      </c>
      <c r="Q1022" s="205">
        <f ca="1" t="shared" si="894"/>
        <v>0</v>
      </c>
    </row>
    <row r="1023" ht="24" customHeight="1" spans="1:17">
      <c r="A1023" s="99" t="s">
        <v>347</v>
      </c>
      <c r="B1023" s="99" t="s">
        <v>308</v>
      </c>
      <c r="C1023" s="99" t="s">
        <v>309</v>
      </c>
      <c r="D1023" s="48" t="s">
        <v>31</v>
      </c>
      <c r="E1023" s="48" t="s">
        <v>97</v>
      </c>
      <c r="F1023" s="205">
        <f ca="1" t="shared" si="883"/>
        <v>0</v>
      </c>
      <c r="G1023" s="205">
        <f ca="1" t="shared" si="884"/>
        <v>0</v>
      </c>
      <c r="H1023" s="205">
        <f ca="1" t="shared" si="885"/>
        <v>0</v>
      </c>
      <c r="I1023" s="205">
        <f ca="1" t="shared" si="886"/>
        <v>0</v>
      </c>
      <c r="J1023" s="205">
        <f ca="1" t="shared" si="887"/>
        <v>0</v>
      </c>
      <c r="K1023" s="205">
        <f ca="1" t="shared" si="888"/>
        <v>0</v>
      </c>
      <c r="L1023" s="205">
        <f ca="1" t="shared" si="889"/>
        <v>0</v>
      </c>
      <c r="M1023" s="205">
        <f ca="1" t="shared" si="890"/>
        <v>0</v>
      </c>
      <c r="N1023" s="205">
        <f ca="1" t="shared" si="891"/>
        <v>0</v>
      </c>
      <c r="O1023" s="205">
        <f ca="1" t="shared" si="892"/>
        <v>1</v>
      </c>
      <c r="P1023" s="205">
        <f ca="1" t="shared" si="893"/>
        <v>0</v>
      </c>
      <c r="Q1023" s="205">
        <f ca="1" t="shared" si="894"/>
        <v>0</v>
      </c>
    </row>
    <row r="1024" ht="24" customHeight="1" spans="1:17">
      <c r="A1024" s="99" t="s">
        <v>347</v>
      </c>
      <c r="B1024" s="99" t="s">
        <v>308</v>
      </c>
      <c r="C1024" s="99" t="s">
        <v>309</v>
      </c>
      <c r="D1024" s="48" t="s">
        <v>31</v>
      </c>
      <c r="E1024" s="48" t="s">
        <v>87</v>
      </c>
      <c r="F1024" s="205">
        <f ca="1" t="shared" si="883"/>
        <v>0</v>
      </c>
      <c r="G1024" s="205">
        <f ca="1" t="shared" si="884"/>
        <v>0</v>
      </c>
      <c r="H1024" s="205">
        <f ca="1" t="shared" si="885"/>
        <v>0</v>
      </c>
      <c r="I1024" s="205">
        <f ca="1" t="shared" si="886"/>
        <v>0</v>
      </c>
      <c r="J1024" s="205">
        <f ca="1" t="shared" si="887"/>
        <v>0</v>
      </c>
      <c r="K1024" s="205">
        <f ca="1" t="shared" si="888"/>
        <v>0</v>
      </c>
      <c r="L1024" s="205">
        <f ca="1" t="shared" si="889"/>
        <v>0</v>
      </c>
      <c r="M1024" s="205">
        <f ca="1" t="shared" si="890"/>
        <v>0</v>
      </c>
      <c r="N1024" s="205">
        <f ca="1" t="shared" si="891"/>
        <v>0</v>
      </c>
      <c r="O1024" s="205">
        <f ca="1" t="shared" si="892"/>
        <v>0</v>
      </c>
      <c r="P1024" s="205">
        <f ca="1" t="shared" si="893"/>
        <v>0</v>
      </c>
      <c r="Q1024" s="205">
        <f ca="1" t="shared" si="894"/>
        <v>0</v>
      </c>
    </row>
    <row r="1025" ht="24" customHeight="1" spans="1:17">
      <c r="A1025" s="99" t="s">
        <v>347</v>
      </c>
      <c r="B1025" s="99" t="s">
        <v>308</v>
      </c>
      <c r="C1025" s="99" t="s">
        <v>309</v>
      </c>
      <c r="D1025" s="48" t="s">
        <v>31</v>
      </c>
      <c r="E1025" s="48" t="s">
        <v>149</v>
      </c>
      <c r="F1025" s="205">
        <f ca="1" t="shared" si="883"/>
        <v>0</v>
      </c>
      <c r="G1025" s="205">
        <f ca="1" t="shared" si="884"/>
        <v>0</v>
      </c>
      <c r="H1025" s="205">
        <f ca="1" t="shared" si="885"/>
        <v>0</v>
      </c>
      <c r="I1025" s="205">
        <f ca="1" t="shared" si="886"/>
        <v>0</v>
      </c>
      <c r="J1025" s="205">
        <f ca="1" t="shared" si="887"/>
        <v>0</v>
      </c>
      <c r="K1025" s="205">
        <f ca="1" t="shared" si="888"/>
        <v>0</v>
      </c>
      <c r="L1025" s="205">
        <f ca="1" t="shared" si="889"/>
        <v>1</v>
      </c>
      <c r="M1025" s="205">
        <f ca="1" t="shared" si="890"/>
        <v>0</v>
      </c>
      <c r="N1025" s="205">
        <f ca="1" t="shared" si="891"/>
        <v>0</v>
      </c>
      <c r="O1025" s="205">
        <f ca="1" t="shared" si="892"/>
        <v>0</v>
      </c>
      <c r="P1025" s="205">
        <f ca="1" t="shared" si="893"/>
        <v>0</v>
      </c>
      <c r="Q1025" s="205">
        <f ca="1" t="shared" si="894"/>
        <v>0</v>
      </c>
    </row>
    <row r="1026" ht="24" customHeight="1" spans="1:17">
      <c r="A1026" s="99" t="s">
        <v>347</v>
      </c>
      <c r="B1026" s="99" t="s">
        <v>308</v>
      </c>
      <c r="C1026" s="99" t="s">
        <v>309</v>
      </c>
      <c r="D1026" s="48" t="s">
        <v>31</v>
      </c>
      <c r="E1026" s="48" t="s">
        <v>83</v>
      </c>
      <c r="F1026" s="205">
        <f ca="1" t="shared" si="883"/>
        <v>0</v>
      </c>
      <c r="G1026" s="205">
        <f ca="1" t="shared" si="884"/>
        <v>0</v>
      </c>
      <c r="H1026" s="205">
        <f ca="1" t="shared" si="885"/>
        <v>0</v>
      </c>
      <c r="I1026" s="205">
        <f ca="1" t="shared" si="886"/>
        <v>0</v>
      </c>
      <c r="J1026" s="205">
        <f ca="1" t="shared" si="887"/>
        <v>0</v>
      </c>
      <c r="K1026" s="205">
        <f ca="1" t="shared" si="888"/>
        <v>0</v>
      </c>
      <c r="L1026" s="205">
        <f ca="1" t="shared" si="889"/>
        <v>0</v>
      </c>
      <c r="M1026" s="205">
        <f ca="1" t="shared" si="890"/>
        <v>0</v>
      </c>
      <c r="N1026" s="205">
        <f ca="1" t="shared" si="891"/>
        <v>0</v>
      </c>
      <c r="O1026" s="205">
        <f ca="1" t="shared" si="892"/>
        <v>0</v>
      </c>
      <c r="P1026" s="205">
        <f ca="1" t="shared" si="893"/>
        <v>0</v>
      </c>
      <c r="Q1026" s="205">
        <f ca="1" t="shared" si="894"/>
        <v>0</v>
      </c>
    </row>
    <row r="1027" ht="24" customHeight="1" spans="1:17">
      <c r="A1027" s="99" t="s">
        <v>347</v>
      </c>
      <c r="B1027" s="99" t="s">
        <v>308</v>
      </c>
      <c r="C1027" s="99" t="s">
        <v>309</v>
      </c>
      <c r="D1027" s="48" t="s">
        <v>311</v>
      </c>
      <c r="E1027" s="48" t="s">
        <v>90</v>
      </c>
      <c r="F1027" s="112" t="str">
        <f ca="1" t="shared" ref="F1027:Q1027" si="895">IFERROR(F1020/F1019," ")</f>
        <v> </v>
      </c>
      <c r="G1027" s="112" t="str">
        <f ca="1" t="shared" si="895"/>
        <v> </v>
      </c>
      <c r="H1027" s="112" t="str">
        <f ca="1" t="shared" si="895"/>
        <v> </v>
      </c>
      <c r="I1027" s="112" t="str">
        <f ca="1" t="shared" si="895"/>
        <v> </v>
      </c>
      <c r="J1027" s="112">
        <f ca="1" t="shared" si="895"/>
        <v>0</v>
      </c>
      <c r="K1027" s="112" t="str">
        <f ca="1" t="shared" si="895"/>
        <v> </v>
      </c>
      <c r="L1027" s="112">
        <f ca="1" t="shared" si="895"/>
        <v>0</v>
      </c>
      <c r="M1027" s="112" t="str">
        <f ca="1" t="shared" si="895"/>
        <v> </v>
      </c>
      <c r="N1027" s="112" t="str">
        <f ca="1" t="shared" si="895"/>
        <v> </v>
      </c>
      <c r="O1027" s="112">
        <f ca="1" t="shared" si="895"/>
        <v>0</v>
      </c>
      <c r="P1027" s="112" t="str">
        <f ca="1" t="shared" si="895"/>
        <v> </v>
      </c>
      <c r="Q1027" s="112">
        <f ca="1" t="shared" si="895"/>
        <v>1</v>
      </c>
    </row>
    <row r="1028" ht="24" customHeight="1" spans="1:17">
      <c r="A1028" s="99" t="s">
        <v>347</v>
      </c>
      <c r="B1028" s="99" t="s">
        <v>308</v>
      </c>
      <c r="C1028" s="99" t="s">
        <v>309</v>
      </c>
      <c r="D1028" s="48" t="s">
        <v>311</v>
      </c>
      <c r="E1028" s="48" t="s">
        <v>82</v>
      </c>
      <c r="F1028" s="112" t="str">
        <f ca="1" t="shared" ref="F1028:Q1028" si="896">IFERROR(F1021/F1019," ")</f>
        <v> </v>
      </c>
      <c r="G1028" s="112" t="str">
        <f ca="1" t="shared" si="896"/>
        <v> </v>
      </c>
      <c r="H1028" s="112" t="str">
        <f ca="1" t="shared" si="896"/>
        <v> </v>
      </c>
      <c r="I1028" s="112" t="str">
        <f ca="1" t="shared" si="896"/>
        <v> </v>
      </c>
      <c r="J1028" s="112">
        <f ca="1" t="shared" si="896"/>
        <v>1</v>
      </c>
      <c r="K1028" s="112" t="str">
        <f ca="1" t="shared" si="896"/>
        <v> </v>
      </c>
      <c r="L1028" s="112">
        <f ca="1" t="shared" si="896"/>
        <v>0</v>
      </c>
      <c r="M1028" s="112" t="str">
        <f ca="1" t="shared" si="896"/>
        <v> </v>
      </c>
      <c r="N1028" s="112" t="str">
        <f ca="1" t="shared" si="896"/>
        <v> </v>
      </c>
      <c r="O1028" s="112">
        <f ca="1" t="shared" si="896"/>
        <v>0</v>
      </c>
      <c r="P1028" s="112" t="str">
        <f ca="1" t="shared" si="896"/>
        <v> </v>
      </c>
      <c r="Q1028" s="112">
        <f ca="1" t="shared" si="896"/>
        <v>0</v>
      </c>
    </row>
    <row r="1029" ht="24" customHeight="1" spans="1:17">
      <c r="A1029" s="99" t="s">
        <v>347</v>
      </c>
      <c r="B1029" s="99" t="s">
        <v>308</v>
      </c>
      <c r="C1029" s="99" t="s">
        <v>309</v>
      </c>
      <c r="D1029" s="48" t="s">
        <v>311</v>
      </c>
      <c r="E1029" s="48" t="s">
        <v>86</v>
      </c>
      <c r="F1029" s="112" t="str">
        <f ca="1" t="shared" ref="F1029:Q1029" si="897">IFERROR(F1022/F1019," ")</f>
        <v> </v>
      </c>
      <c r="G1029" s="112" t="str">
        <f ca="1" t="shared" si="897"/>
        <v> </v>
      </c>
      <c r="H1029" s="112" t="str">
        <f ca="1" t="shared" si="897"/>
        <v> </v>
      </c>
      <c r="I1029" s="112" t="str">
        <f ca="1" t="shared" si="897"/>
        <v> </v>
      </c>
      <c r="J1029" s="112">
        <f ca="1" t="shared" si="897"/>
        <v>0</v>
      </c>
      <c r="K1029" s="112" t="str">
        <f ca="1" t="shared" si="897"/>
        <v> </v>
      </c>
      <c r="L1029" s="112">
        <f ca="1" t="shared" si="897"/>
        <v>0</v>
      </c>
      <c r="M1029" s="112" t="str">
        <f ca="1" t="shared" si="897"/>
        <v> </v>
      </c>
      <c r="N1029" s="112" t="str">
        <f ca="1" t="shared" si="897"/>
        <v> </v>
      </c>
      <c r="O1029" s="112">
        <f ca="1" t="shared" si="897"/>
        <v>0</v>
      </c>
      <c r="P1029" s="112" t="str">
        <f ca="1" t="shared" si="897"/>
        <v> </v>
      </c>
      <c r="Q1029" s="112">
        <f ca="1" t="shared" si="897"/>
        <v>0</v>
      </c>
    </row>
    <row r="1030" ht="24" customHeight="1" spans="1:17">
      <c r="A1030" s="99" t="s">
        <v>347</v>
      </c>
      <c r="B1030" s="99" t="s">
        <v>308</v>
      </c>
      <c r="C1030" s="99" t="s">
        <v>309</v>
      </c>
      <c r="D1030" s="48" t="s">
        <v>311</v>
      </c>
      <c r="E1030" s="48" t="s">
        <v>97</v>
      </c>
      <c r="F1030" s="112" t="str">
        <f ca="1" t="shared" ref="F1030:Q1030" si="898">IFERROR(F1023/F1019," ")</f>
        <v> </v>
      </c>
      <c r="G1030" s="112" t="str">
        <f ca="1" t="shared" si="898"/>
        <v> </v>
      </c>
      <c r="H1030" s="112" t="str">
        <f ca="1" t="shared" si="898"/>
        <v> </v>
      </c>
      <c r="I1030" s="112" t="str">
        <f ca="1" t="shared" si="898"/>
        <v> </v>
      </c>
      <c r="J1030" s="112">
        <f ca="1" t="shared" si="898"/>
        <v>0</v>
      </c>
      <c r="K1030" s="112" t="str">
        <f ca="1" t="shared" si="898"/>
        <v> </v>
      </c>
      <c r="L1030" s="112">
        <f ca="1" t="shared" si="898"/>
        <v>0</v>
      </c>
      <c r="M1030" s="112" t="str">
        <f ca="1" t="shared" si="898"/>
        <v> </v>
      </c>
      <c r="N1030" s="112" t="str">
        <f ca="1" t="shared" si="898"/>
        <v> </v>
      </c>
      <c r="O1030" s="112">
        <f ca="1" t="shared" si="898"/>
        <v>1</v>
      </c>
      <c r="P1030" s="112" t="str">
        <f ca="1" t="shared" si="898"/>
        <v> </v>
      </c>
      <c r="Q1030" s="112">
        <f ca="1" t="shared" si="898"/>
        <v>0</v>
      </c>
    </row>
    <row r="1031" ht="24" customHeight="1" spans="1:17">
      <c r="A1031" s="99" t="s">
        <v>347</v>
      </c>
      <c r="B1031" s="99" t="s">
        <v>308</v>
      </c>
      <c r="C1031" s="99" t="s">
        <v>309</v>
      </c>
      <c r="D1031" s="48" t="s">
        <v>311</v>
      </c>
      <c r="E1031" s="48" t="s">
        <v>87</v>
      </c>
      <c r="F1031" s="112" t="str">
        <f ca="1" t="shared" ref="F1031:Q1031" si="899">IFERROR(F1024/F1019," ")</f>
        <v> </v>
      </c>
      <c r="G1031" s="112" t="str">
        <f ca="1" t="shared" si="899"/>
        <v> </v>
      </c>
      <c r="H1031" s="112" t="str">
        <f ca="1" t="shared" si="899"/>
        <v> </v>
      </c>
      <c r="I1031" s="112" t="str">
        <f ca="1" t="shared" si="899"/>
        <v> </v>
      </c>
      <c r="J1031" s="112">
        <f ca="1" t="shared" si="899"/>
        <v>0</v>
      </c>
      <c r="K1031" s="112" t="str">
        <f ca="1" t="shared" si="899"/>
        <v> </v>
      </c>
      <c r="L1031" s="112">
        <f ca="1" t="shared" si="899"/>
        <v>0</v>
      </c>
      <c r="M1031" s="112" t="str">
        <f ca="1" t="shared" si="899"/>
        <v> </v>
      </c>
      <c r="N1031" s="112" t="str">
        <f ca="1" t="shared" si="899"/>
        <v> </v>
      </c>
      <c r="O1031" s="112">
        <f ca="1" t="shared" si="899"/>
        <v>0</v>
      </c>
      <c r="P1031" s="112" t="str">
        <f ca="1" t="shared" si="899"/>
        <v> </v>
      </c>
      <c r="Q1031" s="112">
        <f ca="1" t="shared" si="899"/>
        <v>0</v>
      </c>
    </row>
    <row r="1032" ht="24" customHeight="1" spans="1:17">
      <c r="A1032" s="99" t="s">
        <v>347</v>
      </c>
      <c r="B1032" s="99" t="s">
        <v>308</v>
      </c>
      <c r="C1032" s="99" t="s">
        <v>309</v>
      </c>
      <c r="D1032" s="48" t="s">
        <v>311</v>
      </c>
      <c r="E1032" s="48" t="s">
        <v>149</v>
      </c>
      <c r="F1032" s="112" t="str">
        <f ca="1" t="shared" ref="F1032:Q1032" si="900">IFERROR(F1025/F1019," ")</f>
        <v> </v>
      </c>
      <c r="G1032" s="112" t="str">
        <f ca="1" t="shared" si="900"/>
        <v> </v>
      </c>
      <c r="H1032" s="112" t="str">
        <f ca="1" t="shared" si="900"/>
        <v> </v>
      </c>
      <c r="I1032" s="112" t="str">
        <f ca="1" t="shared" si="900"/>
        <v> </v>
      </c>
      <c r="J1032" s="112">
        <f ca="1" t="shared" si="900"/>
        <v>0</v>
      </c>
      <c r="K1032" s="112" t="str">
        <f ca="1" t="shared" si="900"/>
        <v> </v>
      </c>
      <c r="L1032" s="112">
        <f ca="1" t="shared" si="900"/>
        <v>1</v>
      </c>
      <c r="M1032" s="112" t="str">
        <f ca="1" t="shared" si="900"/>
        <v> </v>
      </c>
      <c r="N1032" s="112" t="str">
        <f ca="1" t="shared" si="900"/>
        <v> </v>
      </c>
      <c r="O1032" s="112">
        <f ca="1" t="shared" si="900"/>
        <v>0</v>
      </c>
      <c r="P1032" s="112" t="str">
        <f ca="1" t="shared" si="900"/>
        <v> </v>
      </c>
      <c r="Q1032" s="112">
        <f ca="1" t="shared" si="900"/>
        <v>0</v>
      </c>
    </row>
    <row r="1033" ht="24" customHeight="1" spans="1:17">
      <c r="A1033" s="99" t="s">
        <v>347</v>
      </c>
      <c r="B1033" s="99" t="s">
        <v>308</v>
      </c>
      <c r="C1033" s="99" t="s">
        <v>309</v>
      </c>
      <c r="D1033" s="48" t="s">
        <v>311</v>
      </c>
      <c r="E1033" s="48" t="s">
        <v>83</v>
      </c>
      <c r="F1033" s="112" t="str">
        <f ca="1" t="shared" ref="F1033:Q1033" si="901">IFERROR(F1026/F1019," ")</f>
        <v> </v>
      </c>
      <c r="G1033" s="112" t="str">
        <f ca="1" t="shared" si="901"/>
        <v> </v>
      </c>
      <c r="H1033" s="112" t="str">
        <f ca="1" t="shared" si="901"/>
        <v> </v>
      </c>
      <c r="I1033" s="112" t="str">
        <f ca="1" t="shared" si="901"/>
        <v> </v>
      </c>
      <c r="J1033" s="112">
        <f ca="1" t="shared" si="901"/>
        <v>0</v>
      </c>
      <c r="K1033" s="112" t="str">
        <f ca="1" t="shared" si="901"/>
        <v> </v>
      </c>
      <c r="L1033" s="112">
        <f ca="1" t="shared" si="901"/>
        <v>0</v>
      </c>
      <c r="M1033" s="112" t="str">
        <f ca="1" t="shared" si="901"/>
        <v> </v>
      </c>
      <c r="N1033" s="112" t="str">
        <f ca="1" t="shared" si="901"/>
        <v> </v>
      </c>
      <c r="O1033" s="112">
        <f ca="1" t="shared" si="901"/>
        <v>0</v>
      </c>
      <c r="P1033" s="112" t="str">
        <f ca="1" t="shared" si="901"/>
        <v> </v>
      </c>
      <c r="Q1033" s="112">
        <f ca="1" t="shared" si="901"/>
        <v>0</v>
      </c>
    </row>
    <row r="1034" ht="24" customHeight="1" spans="1:17">
      <c r="A1034" s="99" t="s">
        <v>347</v>
      </c>
      <c r="B1034" s="99" t="s">
        <v>308</v>
      </c>
      <c r="C1034" s="99" t="s">
        <v>309</v>
      </c>
      <c r="D1034" s="47" t="s">
        <v>294</v>
      </c>
      <c r="E1034" s="47" t="s">
        <v>93</v>
      </c>
      <c r="F1034" s="206">
        <f ca="1" t="shared" ref="F1034:F1038" si="902">IF($S$1&lt;DATE(2025,1,1)," ",F1063-F1092)</f>
        <v>1</v>
      </c>
      <c r="G1034" s="206">
        <f ca="1" t="shared" ref="G1034:G1038" si="903">IF($S$1&lt;DATE(2025,2,1)," ",G1063-G1092)</f>
        <v>1</v>
      </c>
      <c r="H1034" s="206">
        <f ca="1" t="shared" ref="H1034:H1038" si="904">IF($S$1&lt;DATE(2025,3,1)," ",H1063-H1092)</f>
        <v>1</v>
      </c>
      <c r="I1034" s="206">
        <f ca="1" t="shared" ref="I1034:I1038" si="905">IF($S$1&lt;DATE(2025,4,1)," ",I1063-I1092)</f>
        <v>1</v>
      </c>
      <c r="J1034" s="206">
        <f ca="1" t="shared" ref="J1034:J1038" si="906">IF($S$1&lt;DATE(2025,5,1)," ",J1063-J1092)</f>
        <v>2</v>
      </c>
      <c r="K1034" s="206">
        <f ca="1" t="shared" ref="K1034:K1038" si="907">IF($S$1&lt;DATE(2025,6,1)," ",K1063-K1092)</f>
        <v>2</v>
      </c>
      <c r="L1034" s="206">
        <f ca="1" t="shared" ref="L1034:L1038" si="908">IF($S$1&lt;DATE(2025,7,1)," ",L1063-L1092)</f>
        <v>3</v>
      </c>
      <c r="M1034" s="206">
        <f ca="1" t="shared" ref="M1034:M1038" si="909">IF($S$1&lt;DATE(2025,8,1)," ",M1063-M1092)</f>
        <v>3</v>
      </c>
      <c r="N1034" s="206">
        <f ca="1" t="shared" ref="N1034:N1038" si="910">IF($S$1&lt;DATE(2025,9,1)," ",N1063-N1092)</f>
        <v>5</v>
      </c>
      <c r="O1034" s="206">
        <f ca="1" t="shared" ref="O1034:O1038" si="911">IF($S$1&lt;DATE(2025,10,1)," ",O1063-O1092)</f>
        <v>7</v>
      </c>
      <c r="P1034" s="206">
        <f ca="1" t="shared" ref="P1034:P1038" si="912">IF($S$1&lt;DATE(2025,11,1)," ",P1063-P1092)</f>
        <v>7</v>
      </c>
      <c r="Q1034" s="206">
        <f ca="1" t="shared" ref="Q1034:Q1038" si="913">IF($S$1&lt;DATE(2025,12,1)," ",Q1063-Q1092)</f>
        <v>7</v>
      </c>
    </row>
    <row r="1035" ht="24" customHeight="1" spans="1:17">
      <c r="A1035" s="99" t="s">
        <v>347</v>
      </c>
      <c r="B1035" s="99" t="s">
        <v>308</v>
      </c>
      <c r="C1035" s="99" t="s">
        <v>309</v>
      </c>
      <c r="D1035" s="47" t="s">
        <v>294</v>
      </c>
      <c r="E1035" s="47" t="s">
        <v>85</v>
      </c>
      <c r="F1035" s="206">
        <f ca="1" t="shared" si="902"/>
        <v>0</v>
      </c>
      <c r="G1035" s="206">
        <f ca="1" t="shared" si="903"/>
        <v>0</v>
      </c>
      <c r="H1035" s="206">
        <f ca="1" t="shared" si="904"/>
        <v>0</v>
      </c>
      <c r="I1035" s="206">
        <f ca="1" t="shared" si="905"/>
        <v>0</v>
      </c>
      <c r="J1035" s="206">
        <f ca="1" t="shared" si="906"/>
        <v>0</v>
      </c>
      <c r="K1035" s="206">
        <f ca="1" t="shared" si="907"/>
        <v>0</v>
      </c>
      <c r="L1035" s="206">
        <f ca="1" t="shared" si="908"/>
        <v>1</v>
      </c>
      <c r="M1035" s="206">
        <f ca="1" t="shared" si="909"/>
        <v>1</v>
      </c>
      <c r="N1035" s="206">
        <f ca="1" t="shared" si="910"/>
        <v>1</v>
      </c>
      <c r="O1035" s="206">
        <f ca="1" t="shared" si="911"/>
        <v>1</v>
      </c>
      <c r="P1035" s="206">
        <f ca="1" t="shared" si="912"/>
        <v>1</v>
      </c>
      <c r="Q1035" s="206">
        <f ca="1" t="shared" si="913"/>
        <v>2</v>
      </c>
    </row>
    <row r="1036" ht="24" customHeight="1" spans="1:17">
      <c r="A1036" s="99" t="s">
        <v>347</v>
      </c>
      <c r="B1036" s="99" t="s">
        <v>308</v>
      </c>
      <c r="C1036" s="99" t="s">
        <v>309</v>
      </c>
      <c r="D1036" s="47" t="s">
        <v>294</v>
      </c>
      <c r="E1036" s="47" t="s">
        <v>81</v>
      </c>
      <c r="F1036" s="206">
        <f ca="1" t="shared" si="902"/>
        <v>0</v>
      </c>
      <c r="G1036" s="206">
        <f ca="1" t="shared" si="903"/>
        <v>0</v>
      </c>
      <c r="H1036" s="206">
        <f ca="1" t="shared" si="904"/>
        <v>0</v>
      </c>
      <c r="I1036" s="206">
        <f ca="1" t="shared" si="905"/>
        <v>1</v>
      </c>
      <c r="J1036" s="206">
        <f ca="1" t="shared" si="906"/>
        <v>1</v>
      </c>
      <c r="K1036" s="206">
        <f ca="1" t="shared" si="907"/>
        <v>1</v>
      </c>
      <c r="L1036" s="206">
        <f ca="1" t="shared" si="908"/>
        <v>1</v>
      </c>
      <c r="M1036" s="206">
        <f ca="1" t="shared" si="909"/>
        <v>1</v>
      </c>
      <c r="N1036" s="206">
        <f ca="1" t="shared" si="910"/>
        <v>2</v>
      </c>
      <c r="O1036" s="206">
        <f ca="1" t="shared" si="911"/>
        <v>2</v>
      </c>
      <c r="P1036" s="206">
        <f ca="1" t="shared" si="912"/>
        <v>2</v>
      </c>
      <c r="Q1036" s="206">
        <f ca="1" t="shared" si="913"/>
        <v>2</v>
      </c>
    </row>
    <row r="1037" ht="24" customHeight="1" spans="1:17">
      <c r="A1037" s="99" t="s">
        <v>347</v>
      </c>
      <c r="B1037" s="99" t="s">
        <v>308</v>
      </c>
      <c r="C1037" s="99" t="s">
        <v>309</v>
      </c>
      <c r="D1037" s="47" t="s">
        <v>294</v>
      </c>
      <c r="E1037" s="47" t="s">
        <v>96</v>
      </c>
      <c r="F1037" s="206">
        <f ca="1" t="shared" si="902"/>
        <v>0</v>
      </c>
      <c r="G1037" s="206">
        <f ca="1" t="shared" si="903"/>
        <v>0</v>
      </c>
      <c r="H1037" s="206">
        <f ca="1" t="shared" si="904"/>
        <v>0</v>
      </c>
      <c r="I1037" s="206">
        <f ca="1" t="shared" si="905"/>
        <v>0</v>
      </c>
      <c r="J1037" s="206">
        <f ca="1" t="shared" si="906"/>
        <v>0</v>
      </c>
      <c r="K1037" s="206">
        <f ca="1" t="shared" si="907"/>
        <v>0</v>
      </c>
      <c r="L1037" s="206">
        <f ca="1" t="shared" si="908"/>
        <v>0</v>
      </c>
      <c r="M1037" s="206">
        <f ca="1" t="shared" si="909"/>
        <v>0</v>
      </c>
      <c r="N1037" s="206">
        <f ca="1" t="shared" si="910"/>
        <v>0</v>
      </c>
      <c r="O1037" s="206">
        <f ca="1" t="shared" si="911"/>
        <v>0</v>
      </c>
      <c r="P1037" s="206">
        <f ca="1" t="shared" si="912"/>
        <v>0</v>
      </c>
      <c r="Q1037" s="206">
        <f ca="1" t="shared" si="913"/>
        <v>0</v>
      </c>
    </row>
    <row r="1038" ht="24" customHeight="1" spans="1:17">
      <c r="A1038" s="99" t="s">
        <v>347</v>
      </c>
      <c r="B1038" s="99" t="s">
        <v>308</v>
      </c>
      <c r="C1038" s="99" t="s">
        <v>309</v>
      </c>
      <c r="D1038" s="47" t="s">
        <v>294</v>
      </c>
      <c r="E1038" s="47" t="s">
        <v>160</v>
      </c>
      <c r="F1038" s="206">
        <f ca="1" t="shared" si="902"/>
        <v>0</v>
      </c>
      <c r="G1038" s="206">
        <f ca="1" t="shared" si="903"/>
        <v>0</v>
      </c>
      <c r="H1038" s="206">
        <f ca="1" t="shared" si="904"/>
        <v>0</v>
      </c>
      <c r="I1038" s="206">
        <f ca="1" t="shared" si="905"/>
        <v>0</v>
      </c>
      <c r="J1038" s="206">
        <f ca="1" t="shared" si="906"/>
        <v>0</v>
      </c>
      <c r="K1038" s="206">
        <f ca="1" t="shared" si="907"/>
        <v>0</v>
      </c>
      <c r="L1038" s="206">
        <f ca="1" t="shared" si="908"/>
        <v>0</v>
      </c>
      <c r="M1038" s="206">
        <f ca="1" t="shared" si="909"/>
        <v>0</v>
      </c>
      <c r="N1038" s="206">
        <f ca="1" t="shared" si="910"/>
        <v>0</v>
      </c>
      <c r="O1038" s="206">
        <f ca="1" t="shared" si="911"/>
        <v>0</v>
      </c>
      <c r="P1038" s="206">
        <f ca="1" t="shared" si="912"/>
        <v>0</v>
      </c>
      <c r="Q1038" s="206">
        <f ca="1" t="shared" si="913"/>
        <v>0</v>
      </c>
    </row>
    <row r="1039" ht="24" customHeight="1" spans="1:17">
      <c r="A1039" s="99" t="s">
        <v>347</v>
      </c>
      <c r="B1039" s="99" t="s">
        <v>308</v>
      </c>
      <c r="C1039" s="99" t="s">
        <v>309</v>
      </c>
      <c r="D1039" s="100" t="s">
        <v>292</v>
      </c>
      <c r="E1039" s="100" t="s">
        <v>312</v>
      </c>
      <c r="F1039" s="204">
        <f ca="1">IF($S$1&lt;DATE(2025,1,1)," ",SUM(F1040:F1042))</f>
        <v>0</v>
      </c>
      <c r="G1039" s="204">
        <f ca="1">IF($S$1&lt;DATE(2025,2,1)," ",SUM(G1040:G1042))</f>
        <v>0</v>
      </c>
      <c r="H1039" s="204">
        <f ca="1">IF($S$1&lt;DATE(2025,3,1)," ",SUM(H1040:H1042))</f>
        <v>0</v>
      </c>
      <c r="I1039" s="204">
        <f ca="1">IF($S$1&lt;DATE(2025,4,1)," ",SUM(I1040:I1042))</f>
        <v>0</v>
      </c>
      <c r="J1039" s="204">
        <f ca="1">IF($S$1&lt;DATE(2025,5,1)," ",SUM(J1040:J1042))</f>
        <v>1</v>
      </c>
      <c r="K1039" s="204">
        <f ca="1">IF($S$1&lt;DATE(2025,6,1)," ",SUM(K1040:K1042))</f>
        <v>0</v>
      </c>
      <c r="L1039" s="204">
        <f ca="1">IF($S$1&lt;DATE(2025,7,1)," ",SUM(L1040:L1042))</f>
        <v>1</v>
      </c>
      <c r="M1039" s="204">
        <f ca="1">IF($S$1&lt;DATE(2025,8,1)," ",SUM(M1040:M1042))</f>
        <v>0</v>
      </c>
      <c r="N1039" s="204">
        <f ca="1">IF($S$1&lt;DATE(2025,9,1)," ",SUM(N1040:N1042))</f>
        <v>0</v>
      </c>
      <c r="O1039" s="204">
        <f ca="1">IF($S$1&lt;DATE(2025,10,1)," ",SUM(O1040:O1042))</f>
        <v>1</v>
      </c>
      <c r="P1039" s="204">
        <f ca="1">IF($S$1&lt;DATE(2025,11,1)," ",SUM(P1040:P1042))</f>
        <v>0</v>
      </c>
      <c r="Q1039" s="204">
        <f ca="1">IF($S$1&lt;DATE(2025,12,1)," ",SUM(Q1040:Q1042))</f>
        <v>1</v>
      </c>
    </row>
    <row r="1040" ht="24" customHeight="1" spans="1:17">
      <c r="A1040" s="99" t="s">
        <v>347</v>
      </c>
      <c r="B1040" s="99" t="s">
        <v>308</v>
      </c>
      <c r="C1040" s="99" t="s">
        <v>309</v>
      </c>
      <c r="D1040" s="48" t="s">
        <v>296</v>
      </c>
      <c r="E1040" s="48" t="s">
        <v>90</v>
      </c>
      <c r="F1040" s="205">
        <f ca="1" t="shared" ref="F1040:F1042" si="914">IF($S$1&lt;DATE(2025,1,1)," ",F1069-F1098)</f>
        <v>0</v>
      </c>
      <c r="G1040" s="205">
        <f ca="1" t="shared" ref="G1040:G1042" si="915">IF($S$1&lt;DATE(2025,2,1)," ",G1069-G1098)</f>
        <v>0</v>
      </c>
      <c r="H1040" s="205">
        <f ca="1" t="shared" ref="H1040:H1042" si="916">IF($S$1&lt;DATE(2025,3,1)," ",H1069-H1098)</f>
        <v>0</v>
      </c>
      <c r="I1040" s="205">
        <f ca="1" t="shared" ref="I1040:I1042" si="917">IF($S$1&lt;DATE(2025,4,1)," ",I1069-I1098)</f>
        <v>0</v>
      </c>
      <c r="J1040" s="205">
        <f ca="1" t="shared" ref="J1040:J1042" si="918">IF($S$1&lt;DATE(2025,5,1)," ",J1069-J1098)</f>
        <v>0</v>
      </c>
      <c r="K1040" s="205">
        <f ca="1" t="shared" ref="K1040:K1042" si="919">IF($S$1&lt;DATE(2025,6,1)," ",K1069-K1098)</f>
        <v>0</v>
      </c>
      <c r="L1040" s="205">
        <f ca="1" t="shared" ref="L1040:L1042" si="920">IF($S$1&lt;DATE(2025,7,1)," ",L1069-L1098)</f>
        <v>1</v>
      </c>
      <c r="M1040" s="205">
        <f ca="1" t="shared" ref="M1040:M1042" si="921">IF($S$1&lt;DATE(2025,8,1)," ",M1069-M1098)</f>
        <v>0</v>
      </c>
      <c r="N1040" s="205">
        <f ca="1" t="shared" ref="N1040:N1042" si="922">IF($S$1&lt;DATE(2025,9,1)," ",N1069-N1098)</f>
        <v>0</v>
      </c>
      <c r="O1040" s="205">
        <f ca="1" t="shared" ref="O1040:O1042" si="923">IF($S$1&lt;DATE(2025,10,1)," ",O1069-O1098)</f>
        <v>0</v>
      </c>
      <c r="P1040" s="205">
        <f ca="1" t="shared" ref="P1040:P1042" si="924">IF($S$1&lt;DATE(2025,11,1)," ",P1069-P1098)</f>
        <v>0</v>
      </c>
      <c r="Q1040" s="205">
        <f ca="1" t="shared" ref="Q1040:Q1042" si="925">IF($S$1&lt;DATE(2025,12,1)," ",Q1069-Q1098)</f>
        <v>1</v>
      </c>
    </row>
    <row r="1041" ht="24" customHeight="1" spans="1:17">
      <c r="A1041" s="99" t="s">
        <v>347</v>
      </c>
      <c r="B1041" s="99" t="s">
        <v>308</v>
      </c>
      <c r="C1041" s="99" t="s">
        <v>309</v>
      </c>
      <c r="D1041" s="48" t="s">
        <v>296</v>
      </c>
      <c r="E1041" s="48" t="s">
        <v>82</v>
      </c>
      <c r="F1041" s="205">
        <f ca="1" t="shared" si="914"/>
        <v>0</v>
      </c>
      <c r="G1041" s="205">
        <f ca="1" t="shared" si="915"/>
        <v>0</v>
      </c>
      <c r="H1041" s="205">
        <f ca="1" t="shared" si="916"/>
        <v>0</v>
      </c>
      <c r="I1041" s="205">
        <f ca="1" t="shared" si="917"/>
        <v>0</v>
      </c>
      <c r="J1041" s="205">
        <f ca="1" t="shared" si="918"/>
        <v>1</v>
      </c>
      <c r="K1041" s="205">
        <f ca="1" t="shared" si="919"/>
        <v>0</v>
      </c>
      <c r="L1041" s="205">
        <f ca="1" t="shared" si="920"/>
        <v>0</v>
      </c>
      <c r="M1041" s="205">
        <f ca="1" t="shared" si="921"/>
        <v>0</v>
      </c>
      <c r="N1041" s="205">
        <f ca="1" t="shared" si="922"/>
        <v>0</v>
      </c>
      <c r="O1041" s="205">
        <f ca="1" t="shared" si="923"/>
        <v>1</v>
      </c>
      <c r="P1041" s="205">
        <f ca="1" t="shared" si="924"/>
        <v>0</v>
      </c>
      <c r="Q1041" s="205">
        <f ca="1" t="shared" si="925"/>
        <v>0</v>
      </c>
    </row>
    <row r="1042" ht="24" customHeight="1" spans="1:17">
      <c r="A1042" s="99" t="s">
        <v>347</v>
      </c>
      <c r="B1042" s="99" t="s">
        <v>308</v>
      </c>
      <c r="C1042" s="99" t="s">
        <v>309</v>
      </c>
      <c r="D1042" s="48" t="s">
        <v>296</v>
      </c>
      <c r="E1042" s="48" t="s">
        <v>86</v>
      </c>
      <c r="F1042" s="205">
        <f ca="1" t="shared" si="914"/>
        <v>0</v>
      </c>
      <c r="G1042" s="205">
        <f ca="1" t="shared" si="915"/>
        <v>0</v>
      </c>
      <c r="H1042" s="205">
        <f ca="1" t="shared" si="916"/>
        <v>0</v>
      </c>
      <c r="I1042" s="205">
        <f ca="1" t="shared" si="917"/>
        <v>0</v>
      </c>
      <c r="J1042" s="205">
        <f ca="1" t="shared" si="918"/>
        <v>0</v>
      </c>
      <c r="K1042" s="205">
        <f ca="1" t="shared" si="919"/>
        <v>0</v>
      </c>
      <c r="L1042" s="205">
        <f ca="1" t="shared" si="920"/>
        <v>0</v>
      </c>
      <c r="M1042" s="205">
        <f ca="1" t="shared" si="921"/>
        <v>0</v>
      </c>
      <c r="N1042" s="205">
        <f ca="1" t="shared" si="922"/>
        <v>0</v>
      </c>
      <c r="O1042" s="205">
        <f ca="1" t="shared" si="923"/>
        <v>0</v>
      </c>
      <c r="P1042" s="205">
        <f ca="1" t="shared" si="924"/>
        <v>0</v>
      </c>
      <c r="Q1042" s="205">
        <f ca="1" t="shared" si="925"/>
        <v>0</v>
      </c>
    </row>
    <row r="1043" ht="24" customHeight="1" spans="1:17">
      <c r="A1043" s="99" t="s">
        <v>347</v>
      </c>
      <c r="B1043" s="99" t="s">
        <v>308</v>
      </c>
      <c r="C1043" s="99" t="s">
        <v>309</v>
      </c>
      <c r="D1043" s="48" t="s">
        <v>313</v>
      </c>
      <c r="E1043" s="48" t="s">
        <v>90</v>
      </c>
      <c r="F1043" s="112" t="str">
        <f ca="1" t="shared" ref="F1043:Q1043" si="926">IFERROR(F1040/F1039," ")</f>
        <v> </v>
      </c>
      <c r="G1043" s="112" t="str">
        <f ca="1" t="shared" si="926"/>
        <v> </v>
      </c>
      <c r="H1043" s="112" t="str">
        <f ca="1" t="shared" si="926"/>
        <v> </v>
      </c>
      <c r="I1043" s="112" t="str">
        <f ca="1" t="shared" si="926"/>
        <v> </v>
      </c>
      <c r="J1043" s="112">
        <f ca="1" t="shared" si="926"/>
        <v>0</v>
      </c>
      <c r="K1043" s="112" t="str">
        <f ca="1" t="shared" si="926"/>
        <v> </v>
      </c>
      <c r="L1043" s="112">
        <f ca="1" t="shared" si="926"/>
        <v>1</v>
      </c>
      <c r="M1043" s="112" t="str">
        <f ca="1" t="shared" si="926"/>
        <v> </v>
      </c>
      <c r="N1043" s="112" t="str">
        <f ca="1" t="shared" si="926"/>
        <v> </v>
      </c>
      <c r="O1043" s="112">
        <f ca="1" t="shared" si="926"/>
        <v>0</v>
      </c>
      <c r="P1043" s="112" t="str">
        <f ca="1" t="shared" si="926"/>
        <v> </v>
      </c>
      <c r="Q1043" s="112">
        <f ca="1" t="shared" si="926"/>
        <v>1</v>
      </c>
    </row>
    <row r="1044" ht="24" customHeight="1" spans="1:17">
      <c r="A1044" s="99" t="s">
        <v>347</v>
      </c>
      <c r="B1044" s="99" t="s">
        <v>308</v>
      </c>
      <c r="C1044" s="99" t="s">
        <v>309</v>
      </c>
      <c r="D1044" s="48" t="s">
        <v>313</v>
      </c>
      <c r="E1044" s="48" t="s">
        <v>82</v>
      </c>
      <c r="F1044" s="112" t="str">
        <f ca="1" t="shared" ref="F1044:Q1044" si="927">IFERROR(F1041/F1039," ")</f>
        <v> </v>
      </c>
      <c r="G1044" s="112" t="str">
        <f ca="1" t="shared" si="927"/>
        <v> </v>
      </c>
      <c r="H1044" s="112" t="str">
        <f ca="1" t="shared" si="927"/>
        <v> </v>
      </c>
      <c r="I1044" s="112" t="str">
        <f ca="1" t="shared" si="927"/>
        <v> </v>
      </c>
      <c r="J1044" s="112">
        <f ca="1" t="shared" si="927"/>
        <v>1</v>
      </c>
      <c r="K1044" s="112" t="str">
        <f ca="1" t="shared" si="927"/>
        <v> </v>
      </c>
      <c r="L1044" s="112">
        <f ca="1" t="shared" si="927"/>
        <v>0</v>
      </c>
      <c r="M1044" s="112" t="str">
        <f ca="1" t="shared" si="927"/>
        <v> </v>
      </c>
      <c r="N1044" s="112" t="str">
        <f ca="1" t="shared" si="927"/>
        <v> </v>
      </c>
      <c r="O1044" s="112">
        <f ca="1" t="shared" si="927"/>
        <v>1</v>
      </c>
      <c r="P1044" s="112" t="str">
        <f ca="1" t="shared" si="927"/>
        <v> </v>
      </c>
      <c r="Q1044" s="112">
        <f ca="1" t="shared" si="927"/>
        <v>0</v>
      </c>
    </row>
    <row r="1045" ht="24" customHeight="1" spans="1:17">
      <c r="A1045" s="99" t="s">
        <v>347</v>
      </c>
      <c r="B1045" s="99" t="s">
        <v>308</v>
      </c>
      <c r="C1045" s="99" t="s">
        <v>309</v>
      </c>
      <c r="D1045" s="48" t="s">
        <v>313</v>
      </c>
      <c r="E1045" s="48" t="s">
        <v>86</v>
      </c>
      <c r="F1045" s="112" t="str">
        <f ca="1" t="shared" ref="F1045:Q1045" si="928">IFERROR(F1042/F1039," ")</f>
        <v> </v>
      </c>
      <c r="G1045" s="112" t="str">
        <f ca="1" t="shared" si="928"/>
        <v> </v>
      </c>
      <c r="H1045" s="112" t="str">
        <f ca="1" t="shared" si="928"/>
        <v> </v>
      </c>
      <c r="I1045" s="112" t="str">
        <f ca="1" t="shared" si="928"/>
        <v> </v>
      </c>
      <c r="J1045" s="112">
        <f ca="1" t="shared" si="928"/>
        <v>0</v>
      </c>
      <c r="K1045" s="112" t="str">
        <f ca="1" t="shared" si="928"/>
        <v> </v>
      </c>
      <c r="L1045" s="112">
        <f ca="1" t="shared" si="928"/>
        <v>0</v>
      </c>
      <c r="M1045" s="112" t="str">
        <f ca="1" t="shared" si="928"/>
        <v> </v>
      </c>
      <c r="N1045" s="112" t="str">
        <f ca="1" t="shared" si="928"/>
        <v> </v>
      </c>
      <c r="O1045" s="112">
        <f ca="1" t="shared" si="928"/>
        <v>0</v>
      </c>
      <c r="P1045" s="112" t="str">
        <f ca="1" t="shared" si="928"/>
        <v> </v>
      </c>
      <c r="Q1045" s="112">
        <f ca="1" t="shared" si="928"/>
        <v>0</v>
      </c>
    </row>
    <row r="1046" ht="24" customHeight="1" spans="1:17">
      <c r="A1046" s="99" t="s">
        <v>347</v>
      </c>
      <c r="B1046" s="99" t="s">
        <v>308</v>
      </c>
      <c r="C1046" s="99" t="s">
        <v>309</v>
      </c>
      <c r="D1046" s="100" t="s">
        <v>292</v>
      </c>
      <c r="E1046" s="100" t="s">
        <v>314</v>
      </c>
      <c r="F1046" s="204">
        <f ca="1">IF($S$1&lt;DATE(2025,1,1)," ",SUM(F1047:F1050))</f>
        <v>0</v>
      </c>
      <c r="G1046" s="204">
        <f ca="1">IF($S$1&lt;DATE(2025,2,1)," ",SUM(G1047:G1050))</f>
        <v>0</v>
      </c>
      <c r="H1046" s="204">
        <f ca="1">IF($S$1&lt;DATE(2025,3,1)," ",SUM(H1047:H1050))</f>
        <v>0</v>
      </c>
      <c r="I1046" s="204">
        <f ca="1">IF($S$1&lt;DATE(2025,4,1)," ",SUM(I1047:I1050))</f>
        <v>0</v>
      </c>
      <c r="J1046" s="204">
        <f ca="1">IF($S$1&lt;DATE(2025,5,1)," ",SUM(J1047:J1050))</f>
        <v>1</v>
      </c>
      <c r="K1046" s="204">
        <f ca="1">IF($S$1&lt;DATE(2025,6,1)," ",SUM(K1047:K1050))</f>
        <v>0</v>
      </c>
      <c r="L1046" s="204">
        <f ca="1">IF($S$1&lt;DATE(2025,7,1)," ",SUM(L1047:L1050))</f>
        <v>0</v>
      </c>
      <c r="M1046" s="204">
        <f ca="1">IF($S$1&lt;DATE(2025,8,1)," ",SUM(M1047:M1050))</f>
        <v>0</v>
      </c>
      <c r="N1046" s="204">
        <f ca="1">IF($S$1&lt;DATE(2025,9,1)," ",SUM(N1047:N1050))</f>
        <v>0</v>
      </c>
      <c r="O1046" s="204">
        <f ca="1">IF($S$1&lt;DATE(2025,10,1)," ",SUM(O1047:O1050))</f>
        <v>1</v>
      </c>
      <c r="P1046" s="204">
        <f ca="1">IF($S$1&lt;DATE(2025,11,1)," ",SUM(P1047:P1050))</f>
        <v>0</v>
      </c>
      <c r="Q1046" s="204">
        <f ca="1">IF($S$1&lt;DATE(2025,12,1)," ",SUM(Q1047:Q1050))</f>
        <v>1</v>
      </c>
    </row>
    <row r="1047" ht="24" customHeight="1" spans="1:17">
      <c r="A1047" s="99" t="s">
        <v>347</v>
      </c>
      <c r="B1047" s="99" t="s">
        <v>308</v>
      </c>
      <c r="C1047" s="99" t="s">
        <v>309</v>
      </c>
      <c r="D1047" s="48" t="s">
        <v>298</v>
      </c>
      <c r="E1047" s="48" t="s">
        <v>97</v>
      </c>
      <c r="F1047" s="205">
        <f ca="1" t="shared" ref="F1047:F1048" si="929">IF($S$1&lt;DATE(2025,1,1)," ",F1073-F1105)</f>
        <v>0</v>
      </c>
      <c r="G1047" s="205">
        <f ca="1" t="shared" ref="G1047:G1048" si="930">IF($S$1&lt;DATE(2025,2,1)," ",G1073-G1105)</f>
        <v>0</v>
      </c>
      <c r="H1047" s="205">
        <f ca="1" t="shared" ref="H1047:H1048" si="931">IF($S$1&lt;DATE(2025,3,1)," ",H1073-H1105)</f>
        <v>0</v>
      </c>
      <c r="I1047" s="205">
        <f ca="1" t="shared" ref="I1047:I1048" si="932">IF($S$1&lt;DATE(2025,4,1)," ",I1073-I1105)</f>
        <v>0</v>
      </c>
      <c r="J1047" s="205">
        <f ca="1" t="shared" ref="J1047:J1048" si="933">IF($S$1&lt;DATE(2025,5,1)," ",J1073-J1105)</f>
        <v>0</v>
      </c>
      <c r="K1047" s="205">
        <f ca="1" t="shared" ref="K1047:K1048" si="934">IF($S$1&lt;DATE(2025,6,1)," ",K1073-K1105)</f>
        <v>0</v>
      </c>
      <c r="L1047" s="205">
        <f ca="1" t="shared" ref="L1047:L1048" si="935">IF($S$1&lt;DATE(2025,7,1)," ",L1073-L1105)</f>
        <v>0</v>
      </c>
      <c r="M1047" s="205">
        <f ca="1" t="shared" ref="M1047:M1048" si="936">IF($S$1&lt;DATE(2025,8,1)," ",M1073-M1105)</f>
        <v>0</v>
      </c>
      <c r="N1047" s="205">
        <f ca="1" t="shared" ref="N1047:N1048" si="937">IF($S$1&lt;DATE(2025,9,1)," ",N1073-N1105)</f>
        <v>0</v>
      </c>
      <c r="O1047" s="205">
        <f ca="1" t="shared" ref="O1047:O1048" si="938">IF($S$1&lt;DATE(2025,10,1)," ",O1073-O1105)</f>
        <v>1</v>
      </c>
      <c r="P1047" s="205">
        <f ca="1" t="shared" ref="P1047:P1048" si="939">IF($S$1&lt;DATE(2025,11,1)," ",P1073-P1105)</f>
        <v>0</v>
      </c>
      <c r="Q1047" s="205">
        <f ca="1" t="shared" ref="Q1047:Q1048" si="940">IF($S$1&lt;DATE(2025,12,1)," ",Q1073-Q1105)</f>
        <v>0</v>
      </c>
    </row>
    <row r="1048" ht="24" customHeight="1" spans="1:17">
      <c r="A1048" s="99" t="s">
        <v>347</v>
      </c>
      <c r="B1048" s="99" t="s">
        <v>308</v>
      </c>
      <c r="C1048" s="99" t="s">
        <v>309</v>
      </c>
      <c r="D1048" s="48" t="s">
        <v>298</v>
      </c>
      <c r="E1048" s="48" t="s">
        <v>87</v>
      </c>
      <c r="F1048" s="205">
        <f ca="1" t="shared" si="929"/>
        <v>0</v>
      </c>
      <c r="G1048" s="205">
        <f ca="1" t="shared" si="930"/>
        <v>0</v>
      </c>
      <c r="H1048" s="205">
        <f ca="1" t="shared" si="931"/>
        <v>0</v>
      </c>
      <c r="I1048" s="205">
        <f ca="1" t="shared" si="932"/>
        <v>0</v>
      </c>
      <c r="J1048" s="205">
        <f ca="1" t="shared" si="933"/>
        <v>0</v>
      </c>
      <c r="K1048" s="205">
        <f ca="1" t="shared" si="934"/>
        <v>0</v>
      </c>
      <c r="L1048" s="205">
        <f ca="1" t="shared" si="935"/>
        <v>0</v>
      </c>
      <c r="M1048" s="205">
        <f ca="1" t="shared" si="936"/>
        <v>0</v>
      </c>
      <c r="N1048" s="205">
        <f ca="1" t="shared" si="937"/>
        <v>0</v>
      </c>
      <c r="O1048" s="205">
        <f ca="1" t="shared" si="938"/>
        <v>0</v>
      </c>
      <c r="P1048" s="205">
        <f ca="1" t="shared" si="939"/>
        <v>0</v>
      </c>
      <c r="Q1048" s="205">
        <f ca="1" t="shared" si="940"/>
        <v>0</v>
      </c>
    </row>
    <row r="1049" ht="24" customHeight="1" spans="1:17">
      <c r="A1049" s="99" t="s">
        <v>347</v>
      </c>
      <c r="B1049" s="99" t="s">
        <v>308</v>
      </c>
      <c r="C1049" s="99" t="s">
        <v>309</v>
      </c>
      <c r="D1049" s="48" t="s">
        <v>298</v>
      </c>
      <c r="E1049" s="48" t="s">
        <v>149</v>
      </c>
      <c r="F1049" s="205">
        <f ca="1">IF($S$1&lt;DATE(2025,1,1)," ",F1074-F1106)</f>
        <v>0</v>
      </c>
      <c r="G1049" s="205">
        <f ca="1">IF($S$1&lt;DATE(2025,2,1)," ",G1074-G1106)</f>
        <v>0</v>
      </c>
      <c r="H1049" s="205">
        <f ca="1">IF($S$1&lt;DATE(2025,3,1)," ",H1074-H1106)</f>
        <v>0</v>
      </c>
      <c r="I1049" s="205">
        <f ca="1">IF($S$1&lt;DATE(2025,4,1)," ",I1074-I1106)</f>
        <v>0</v>
      </c>
      <c r="J1049" s="205">
        <f ca="1">IF($S$1&lt;DATE(2025,5,1)," ",J1074-J1106)</f>
        <v>0</v>
      </c>
      <c r="K1049" s="205">
        <f ca="1">IF($S$1&lt;DATE(2025,6,1)," ",K1074-K1106)</f>
        <v>0</v>
      </c>
      <c r="L1049" s="205">
        <f ca="1">IF($S$1&lt;DATE(2025,7,1)," ",L1074-L1106)</f>
        <v>0</v>
      </c>
      <c r="M1049" s="205">
        <f ca="1">IF($S$1&lt;DATE(2025,8,1)," ",M1074-M1106)</f>
        <v>0</v>
      </c>
      <c r="N1049" s="205">
        <f ca="1">IF($S$1&lt;DATE(2025,9,1)," ",N1074-N1106)</f>
        <v>0</v>
      </c>
      <c r="O1049" s="205">
        <f ca="1">IF($S$1&lt;DATE(2025,10,1)," ",O1074-O1106)</f>
        <v>0</v>
      </c>
      <c r="P1049" s="205">
        <f ca="1">IF($S$1&lt;DATE(2025,11,1)," ",P1074-P1106)</f>
        <v>0</v>
      </c>
      <c r="Q1049" s="205">
        <f ca="1">IF($S$1&lt;DATE(2025,12,1)," ",Q1074-Q1106)</f>
        <v>0</v>
      </c>
    </row>
    <row r="1050" ht="24" customHeight="1" spans="1:17">
      <c r="A1050" s="99" t="s">
        <v>347</v>
      </c>
      <c r="B1050" s="99" t="s">
        <v>308</v>
      </c>
      <c r="C1050" s="99" t="s">
        <v>309</v>
      </c>
      <c r="D1050" s="48" t="s">
        <v>298</v>
      </c>
      <c r="E1050" s="48" t="s">
        <v>83</v>
      </c>
      <c r="F1050" s="205">
        <f ca="1">IF($S$1&lt;DATE(2025,1,1)," ",F1076-F1108)</f>
        <v>0</v>
      </c>
      <c r="G1050" s="205">
        <f ca="1">IF($S$1&lt;DATE(2025,2,1)," ",G1076-G1108)</f>
        <v>0</v>
      </c>
      <c r="H1050" s="205">
        <f ca="1">IF($S$1&lt;DATE(2025,3,1)," ",H1076-H1108)</f>
        <v>0</v>
      </c>
      <c r="I1050" s="205">
        <f ca="1">IF($S$1&lt;DATE(2025,4,1)," ",I1076-I1108)</f>
        <v>0</v>
      </c>
      <c r="J1050" s="205">
        <f ca="1">IF($S$1&lt;DATE(2025,5,1)," ",J1076-J1108)</f>
        <v>1</v>
      </c>
      <c r="K1050" s="205">
        <f ca="1">IF($S$1&lt;DATE(2025,6,1)," ",K1076-K1108)</f>
        <v>0</v>
      </c>
      <c r="L1050" s="205">
        <f ca="1">IF($S$1&lt;DATE(2025,7,1)," ",L1076-L1108)</f>
        <v>0</v>
      </c>
      <c r="M1050" s="205">
        <f ca="1">IF($S$1&lt;DATE(2025,8,1)," ",M1076-M1108)</f>
        <v>0</v>
      </c>
      <c r="N1050" s="205">
        <f ca="1">IF($S$1&lt;DATE(2025,9,1)," ",N1076-N1108)</f>
        <v>0</v>
      </c>
      <c r="O1050" s="205">
        <f ca="1">IF($S$1&lt;DATE(2025,10,1)," ",O1076-O1108)</f>
        <v>0</v>
      </c>
      <c r="P1050" s="205">
        <f ca="1">IF($S$1&lt;DATE(2025,11,1)," ",P1076-P1108)</f>
        <v>0</v>
      </c>
      <c r="Q1050" s="205">
        <f ca="1">IF($S$1&lt;DATE(2025,12,1)," ",Q1076-Q1108)</f>
        <v>1</v>
      </c>
    </row>
    <row r="1051" ht="24" customHeight="1" spans="1:17">
      <c r="A1051" s="99" t="s">
        <v>347</v>
      </c>
      <c r="B1051" s="99" t="s">
        <v>308</v>
      </c>
      <c r="C1051" s="99" t="s">
        <v>309</v>
      </c>
      <c r="D1051" s="48" t="s">
        <v>315</v>
      </c>
      <c r="E1051" s="48" t="s">
        <v>97</v>
      </c>
      <c r="F1051" s="112" t="str">
        <f ca="1" t="shared" ref="F1051:F1054" si="941">IFERROR(IF($S$1&lt;DATE(2025,1,1)," ",F1047/F$1046)," ")</f>
        <v> </v>
      </c>
      <c r="G1051" s="112" t="str">
        <f ca="1" t="shared" ref="G1051:G1054" si="942">IFERROR(IF($S$1&lt;DATE(2025,2,1)," ",G1047/G$1046),"")</f>
        <v/>
      </c>
      <c r="H1051" s="112" t="str">
        <f ca="1" t="shared" ref="H1051:H1053" si="943">IFERROR(IF($S$1&lt;DATE(2025,3,1)," ",H1047/H$1046),"")</f>
        <v/>
      </c>
      <c r="I1051" s="112" t="str">
        <f ca="1" t="shared" ref="I1051:I1054" si="944">IFERROR(IF($S$1&lt;DATE(2025,4,1)," ",I1047/I$1046),"")</f>
        <v/>
      </c>
      <c r="J1051" s="112">
        <f ca="1" t="shared" ref="J1051:J1054" si="945">IFERROR(IF($S$1&lt;DATE(2025,5,1)," ",J1047/J$1046),"")</f>
        <v>0</v>
      </c>
      <c r="K1051" s="112" t="str">
        <f ca="1" t="shared" ref="K1051:K1054" si="946">IFERROR(IF($S$1&lt;DATE(2025,6,1)," ",K1047/K$1046),"")</f>
        <v/>
      </c>
      <c r="L1051" s="112" t="str">
        <f ca="1" t="shared" ref="L1051:L1054" si="947">IFERROR(IF($S$1&lt;DATE(2025,7,1)," ",L1047/L$1046),"")</f>
        <v/>
      </c>
      <c r="M1051" s="112" t="str">
        <f ca="1" t="shared" ref="M1051:M1054" si="948">IFERROR(IF($S$1&lt;DATE(2025,8,1)," ",M1047/M$1046),"")</f>
        <v/>
      </c>
      <c r="N1051" s="112" t="str">
        <f ca="1" t="shared" ref="N1051:N1054" si="949">IFERROR(IF($S$1&lt;DATE(2025,9,1)," ",N1047/N$1046),"")</f>
        <v/>
      </c>
      <c r="O1051" s="112">
        <f ca="1" t="shared" ref="O1051:O1054" si="950">IFERROR(IF($S$1&lt;DATE(2025,10,1)," ",O1047/O$1046),"")</f>
        <v>1</v>
      </c>
      <c r="P1051" s="112" t="str">
        <f ca="1" t="shared" ref="P1051:P1054" si="951">IFERROR(IF($S$1&lt;DATE(2025,11,1)," ",P1047/P$1046),"")</f>
        <v/>
      </c>
      <c r="Q1051" s="112">
        <f ca="1" t="shared" ref="Q1051:Q1054" si="952">IFERROR(IF($S$1&lt;DATE(2025,12,1)," ",Q1047/Q$1046),"")</f>
        <v>0</v>
      </c>
    </row>
    <row r="1052" ht="24" customHeight="1" spans="1:17">
      <c r="A1052" s="99" t="s">
        <v>347</v>
      </c>
      <c r="B1052" s="99" t="s">
        <v>308</v>
      </c>
      <c r="C1052" s="99" t="s">
        <v>309</v>
      </c>
      <c r="D1052" s="48" t="s">
        <v>315</v>
      </c>
      <c r="E1052" s="48" t="s">
        <v>87</v>
      </c>
      <c r="F1052" s="112" t="str">
        <f ca="1" t="shared" si="941"/>
        <v> </v>
      </c>
      <c r="G1052" s="112" t="str">
        <f ca="1" t="shared" si="942"/>
        <v/>
      </c>
      <c r="H1052" s="112" t="str">
        <f ca="1" t="shared" si="943"/>
        <v/>
      </c>
      <c r="I1052" s="112" t="str">
        <f ca="1" t="shared" si="944"/>
        <v/>
      </c>
      <c r="J1052" s="112">
        <f ca="1" t="shared" si="945"/>
        <v>0</v>
      </c>
      <c r="K1052" s="112" t="str">
        <f ca="1" t="shared" si="946"/>
        <v/>
      </c>
      <c r="L1052" s="112" t="str">
        <f ca="1" t="shared" si="947"/>
        <v/>
      </c>
      <c r="M1052" s="112" t="str">
        <f ca="1" t="shared" si="948"/>
        <v/>
      </c>
      <c r="N1052" s="112" t="str">
        <f ca="1" t="shared" si="949"/>
        <v/>
      </c>
      <c r="O1052" s="112">
        <f ca="1" t="shared" si="950"/>
        <v>0</v>
      </c>
      <c r="P1052" s="112" t="str">
        <f ca="1" t="shared" si="951"/>
        <v/>
      </c>
      <c r="Q1052" s="112">
        <f ca="1" t="shared" si="952"/>
        <v>0</v>
      </c>
    </row>
    <row r="1053" ht="24" customHeight="1" spans="1:17">
      <c r="A1053" s="99" t="s">
        <v>347</v>
      </c>
      <c r="B1053" s="99" t="s">
        <v>308</v>
      </c>
      <c r="C1053" s="99" t="s">
        <v>309</v>
      </c>
      <c r="D1053" s="48" t="s">
        <v>315</v>
      </c>
      <c r="E1053" s="48" t="s">
        <v>149</v>
      </c>
      <c r="F1053" s="112" t="str">
        <f ca="1" t="shared" si="941"/>
        <v> </v>
      </c>
      <c r="G1053" s="112" t="str">
        <f ca="1" t="shared" si="942"/>
        <v/>
      </c>
      <c r="H1053" s="112" t="str">
        <f ca="1" t="shared" si="943"/>
        <v/>
      </c>
      <c r="I1053" s="112" t="str">
        <f ca="1" t="shared" si="944"/>
        <v/>
      </c>
      <c r="J1053" s="112">
        <f ca="1" t="shared" si="945"/>
        <v>0</v>
      </c>
      <c r="K1053" s="112" t="str">
        <f ca="1" t="shared" si="946"/>
        <v/>
      </c>
      <c r="L1053" s="112" t="str">
        <f ca="1" t="shared" si="947"/>
        <v/>
      </c>
      <c r="M1053" s="112" t="str">
        <f ca="1" t="shared" si="948"/>
        <v/>
      </c>
      <c r="N1053" s="112" t="str">
        <f ca="1" t="shared" si="949"/>
        <v/>
      </c>
      <c r="O1053" s="112">
        <f ca="1" t="shared" si="950"/>
        <v>0</v>
      </c>
      <c r="P1053" s="112" t="str">
        <f ca="1" t="shared" si="951"/>
        <v/>
      </c>
      <c r="Q1053" s="112">
        <f ca="1" t="shared" si="952"/>
        <v>0</v>
      </c>
    </row>
    <row r="1054" ht="24" customHeight="1" spans="1:17">
      <c r="A1054" s="99" t="s">
        <v>347</v>
      </c>
      <c r="B1054" s="99" t="s">
        <v>308</v>
      </c>
      <c r="C1054" s="99" t="s">
        <v>309</v>
      </c>
      <c r="D1054" s="48" t="s">
        <v>315</v>
      </c>
      <c r="E1054" s="48" t="s">
        <v>83</v>
      </c>
      <c r="F1054" s="112" t="str">
        <f ca="1" t="shared" si="941"/>
        <v> </v>
      </c>
      <c r="G1054" s="112" t="str">
        <f ca="1" t="shared" si="942"/>
        <v/>
      </c>
      <c r="H1054" s="112" t="str">
        <f ca="1">IFERROR(IF($S$1&lt;DATE(2025,3,1)," ",I1050/I$1046),"")</f>
        <v/>
      </c>
      <c r="I1054" s="112" t="str">
        <f ca="1" t="shared" si="944"/>
        <v/>
      </c>
      <c r="J1054" s="112">
        <f ca="1" t="shared" si="945"/>
        <v>1</v>
      </c>
      <c r="K1054" s="112" t="str">
        <f ca="1" t="shared" si="946"/>
        <v/>
      </c>
      <c r="L1054" s="112" t="str">
        <f ca="1" t="shared" si="947"/>
        <v/>
      </c>
      <c r="M1054" s="112" t="str">
        <f ca="1" t="shared" si="948"/>
        <v/>
      </c>
      <c r="N1054" s="112" t="str">
        <f ca="1" t="shared" si="949"/>
        <v/>
      </c>
      <c r="O1054" s="112">
        <f ca="1" t="shared" si="950"/>
        <v>0</v>
      </c>
      <c r="P1054" s="112" t="str">
        <f ca="1" t="shared" si="951"/>
        <v/>
      </c>
      <c r="Q1054" s="112">
        <f ca="1" t="shared" si="952"/>
        <v>1</v>
      </c>
    </row>
    <row r="1055" ht="24" customHeight="1" spans="1:17">
      <c r="A1055" s="99" t="s">
        <v>347</v>
      </c>
      <c r="B1055" s="99" t="s">
        <v>290</v>
      </c>
      <c r="C1055" s="99" t="s">
        <v>316</v>
      </c>
      <c r="D1055" s="100" t="s">
        <v>292</v>
      </c>
      <c r="E1055" s="100" t="s">
        <v>317</v>
      </c>
      <c r="F1055" s="204">
        <f ca="1">IF($S$1&lt;DATE(2025,1,1)," ",IF((SUM(F1056:F1062)-MAX(F1068,F1072))&lt;0,"ERR",SUM(F1056:F1062)))</f>
        <v>1</v>
      </c>
      <c r="G1055" s="204">
        <f ca="1">IF($S$1&lt;DATE(2025,2,1)," ",IF((SUM(G1056:G1062)-MAX(G1068,G1072))&lt;0,"ERR",SUM(G1056:G1062)))</f>
        <v>1</v>
      </c>
      <c r="H1055" s="204">
        <f ca="1">IF($S$1&lt;DATE(2025,3,1)," ",IF((SUM(H1056:H1062)-MAX(H1068,H1072))&lt;0,"ERR",SUM(H1056:H1062)))</f>
        <v>1</v>
      </c>
      <c r="I1055" s="204">
        <f ca="1">IF($S$1&lt;DATE(2025,4,1)," ",IF((SUM(I1056:I1062)-MAX(I1068,I1072))&lt;0,"ERR",SUM(I1056:I1062)))</f>
        <v>2</v>
      </c>
      <c r="J1055" s="204">
        <f ca="1">IF($S$1&lt;DATE(2025,5,1)," ",IF((SUM(J1056:J1062)-MAX(J1068,J1072))&lt;0,"ERR",SUM(J1056:J1062)))</f>
        <v>3</v>
      </c>
      <c r="K1055" s="204">
        <f ca="1">IF($S$1&lt;DATE(2025,6,1)," ",IF((SUM(K1056:K1062)-MAX(K1068,K1072))&lt;0,"ERR",SUM(K1056:K1062)))</f>
        <v>4</v>
      </c>
      <c r="L1055" s="204">
        <f ca="1">IF($S$1&lt;DATE(2025,7,1)," ",IF((SUM(L1056:L1062)-MAX(L1068,L1072))&lt;0,"ERR",SUM(L1056:L1062)))</f>
        <v>6</v>
      </c>
      <c r="M1055" s="204">
        <f ca="1">IF($S$1&lt;DATE(2025,8,1)," ",IF((SUM(M1056:M1062)-MAX(M1068,M1072))&lt;0,"ERR",SUM(M1056:M1062)))</f>
        <v>6</v>
      </c>
      <c r="N1055" s="204">
        <f ca="1">IF($S$1&lt;DATE(2025,9,1)," ",IF((SUM(N1056:N1062)-MAX(N1068,N1072))&lt;0,"ERR",SUM(N1056:N1062)))</f>
        <v>9</v>
      </c>
      <c r="O1055" s="204">
        <f ca="1">IF($S$1&lt;DATE(2025,10,1)," ",IF((SUM(O1056:O1062)-MAX(O1068,O1072))&lt;0,"ERR",SUM(O1056:O1062)))</f>
        <v>10</v>
      </c>
      <c r="P1055" s="204">
        <f ca="1">IF($S$1&lt;DATE(2025,11,1)," ",IF((SUM(P1056:P1062)-MAX(P1068,P1072))&lt;0,"ERR",SUM(P1056:P1062)))</f>
        <v>10</v>
      </c>
      <c r="Q1055" s="204">
        <f ca="1">IF($S$1&lt;DATE(2025,12,1)," ",IF((SUM(Q1056:Q1062)-MAX(Q1068,Q1072))&lt;0,"ERR",SUM(Q1056:Q1062)))</f>
        <v>11</v>
      </c>
    </row>
    <row r="1056" ht="24" customHeight="1" spans="1:17">
      <c r="A1056" s="99" t="s">
        <v>347</v>
      </c>
      <c r="B1056" s="99" t="s">
        <v>290</v>
      </c>
      <c r="C1056" s="99" t="s">
        <v>316</v>
      </c>
      <c r="D1056" s="48" t="s">
        <v>31</v>
      </c>
      <c r="E1056" s="48" t="s">
        <v>90</v>
      </c>
      <c r="F1056" s="205">
        <f ca="1" t="shared" ref="F1056:F1067" si="953">IF($S$1&lt;DATE(2025,1,1)," ",F958)</f>
        <v>0</v>
      </c>
      <c r="G1056" s="205">
        <f ca="1" t="shared" ref="G1056:G1067" si="954">IF($S$1&lt;DATE(2025,2,1)," ",G958+F1056)</f>
        <v>0</v>
      </c>
      <c r="H1056" s="205">
        <f ca="1" t="shared" ref="H1056:H1067" si="955">IF($S$1&lt;DATE(2025,3,1)," ",H958+G1056)</f>
        <v>0</v>
      </c>
      <c r="I1056" s="205">
        <f ca="1" t="shared" ref="I1056:I1067" si="956">IF($S$1&lt;DATE(2025,4,1)," ",I958+H1056)</f>
        <v>0</v>
      </c>
      <c r="J1056" s="205">
        <f ca="1" t="shared" ref="J1056:J1067" si="957">IF($S$1&lt;DATE(2025,5,1)," ",J958+I1056)</f>
        <v>0</v>
      </c>
      <c r="K1056" s="205">
        <f ca="1" t="shared" ref="K1056:K1067" si="958">IF($S$1&lt;DATE(2025,6,1)," ",K958+J1056)</f>
        <v>0</v>
      </c>
      <c r="L1056" s="205">
        <f ca="1" t="shared" ref="L1056:L1067" si="959">IF($S$1&lt;DATE(2025,7,1)," ",L958+K1056)</f>
        <v>0</v>
      </c>
      <c r="M1056" s="205">
        <f ca="1" t="shared" ref="M1056:M1067" si="960">IF($S$1&lt;DATE(2025,8,1)," ",M958+L1056)</f>
        <v>0</v>
      </c>
      <c r="N1056" s="205">
        <f ca="1" t="shared" ref="N1056:N1067" si="961">IF($S$1&lt;DATE(2025,9,1)," ",N958+M1056)</f>
        <v>1</v>
      </c>
      <c r="O1056" s="205">
        <f ca="1" t="shared" ref="O1056:O1067" si="962">IF($S$1&lt;DATE(2025,10,1)," ",O958+N1056)</f>
        <v>1</v>
      </c>
      <c r="P1056" s="205">
        <f ca="1" t="shared" ref="P1056:P1067" si="963">IF($S$1&lt;DATE(2025,11,1)," ",P958+O1056)</f>
        <v>1</v>
      </c>
      <c r="Q1056" s="205">
        <f ca="1" t="shared" ref="Q1056:Q1067" si="964">IF($S$1&lt;DATE(2025,12,1)," ",Q958+P1056)</f>
        <v>2</v>
      </c>
    </row>
    <row r="1057" ht="24" customHeight="1" spans="1:17">
      <c r="A1057" s="99" t="s">
        <v>347</v>
      </c>
      <c r="B1057" s="99" t="s">
        <v>290</v>
      </c>
      <c r="C1057" s="99" t="s">
        <v>316</v>
      </c>
      <c r="D1057" s="48" t="s">
        <v>31</v>
      </c>
      <c r="E1057" s="48" t="s">
        <v>82</v>
      </c>
      <c r="F1057" s="205">
        <f ca="1" t="shared" si="953"/>
        <v>1</v>
      </c>
      <c r="G1057" s="205">
        <f ca="1" t="shared" si="954"/>
        <v>1</v>
      </c>
      <c r="H1057" s="205">
        <f ca="1" t="shared" si="955"/>
        <v>1</v>
      </c>
      <c r="I1057" s="205">
        <f ca="1" t="shared" si="956"/>
        <v>1</v>
      </c>
      <c r="J1057" s="205">
        <f ca="1" t="shared" si="957"/>
        <v>2</v>
      </c>
      <c r="K1057" s="205">
        <f ca="1" t="shared" si="958"/>
        <v>3</v>
      </c>
      <c r="L1057" s="205">
        <f ca="1" t="shared" si="959"/>
        <v>3</v>
      </c>
      <c r="M1057" s="205">
        <f ca="1" t="shared" si="960"/>
        <v>3</v>
      </c>
      <c r="N1057" s="205">
        <f ca="1" t="shared" si="961"/>
        <v>4</v>
      </c>
      <c r="O1057" s="205">
        <f ca="1" t="shared" si="962"/>
        <v>4</v>
      </c>
      <c r="P1057" s="205">
        <f ca="1" t="shared" si="963"/>
        <v>4</v>
      </c>
      <c r="Q1057" s="205">
        <f ca="1" t="shared" si="964"/>
        <v>4</v>
      </c>
    </row>
    <row r="1058" ht="24" customHeight="1" spans="1:17">
      <c r="A1058" s="99" t="s">
        <v>347</v>
      </c>
      <c r="B1058" s="99" t="s">
        <v>290</v>
      </c>
      <c r="C1058" s="99" t="s">
        <v>316</v>
      </c>
      <c r="D1058" s="48" t="s">
        <v>31</v>
      </c>
      <c r="E1058" s="48" t="s">
        <v>86</v>
      </c>
      <c r="F1058" s="205">
        <f ca="1" t="shared" si="953"/>
        <v>0</v>
      </c>
      <c r="G1058" s="205">
        <f ca="1" t="shared" si="954"/>
        <v>0</v>
      </c>
      <c r="H1058" s="205">
        <f ca="1" t="shared" si="955"/>
        <v>0</v>
      </c>
      <c r="I1058" s="205">
        <f ca="1" t="shared" si="956"/>
        <v>0</v>
      </c>
      <c r="J1058" s="205">
        <f ca="1" t="shared" si="957"/>
        <v>0</v>
      </c>
      <c r="K1058" s="205">
        <f ca="1" t="shared" si="958"/>
        <v>0</v>
      </c>
      <c r="L1058" s="205">
        <f ca="1" t="shared" si="959"/>
        <v>1</v>
      </c>
      <c r="M1058" s="205">
        <f ca="1" t="shared" si="960"/>
        <v>1</v>
      </c>
      <c r="N1058" s="205">
        <f ca="1" t="shared" si="961"/>
        <v>1</v>
      </c>
      <c r="O1058" s="205">
        <f ca="1" t="shared" si="962"/>
        <v>1</v>
      </c>
      <c r="P1058" s="205">
        <f ca="1" t="shared" si="963"/>
        <v>1</v>
      </c>
      <c r="Q1058" s="205">
        <f ca="1" t="shared" si="964"/>
        <v>1</v>
      </c>
    </row>
    <row r="1059" ht="24" customHeight="1" spans="1:17">
      <c r="A1059" s="99" t="s">
        <v>347</v>
      </c>
      <c r="B1059" s="99" t="s">
        <v>290</v>
      </c>
      <c r="C1059" s="99" t="s">
        <v>316</v>
      </c>
      <c r="D1059" s="48" t="s">
        <v>31</v>
      </c>
      <c r="E1059" s="48" t="s">
        <v>97</v>
      </c>
      <c r="F1059" s="205">
        <f ca="1" t="shared" si="953"/>
        <v>0</v>
      </c>
      <c r="G1059" s="205">
        <f ca="1" t="shared" si="954"/>
        <v>0</v>
      </c>
      <c r="H1059" s="205">
        <f ca="1" t="shared" si="955"/>
        <v>0</v>
      </c>
      <c r="I1059" s="205">
        <f ca="1" t="shared" si="956"/>
        <v>1</v>
      </c>
      <c r="J1059" s="205">
        <f ca="1" t="shared" si="957"/>
        <v>1</v>
      </c>
      <c r="K1059" s="205">
        <f ca="1" t="shared" si="958"/>
        <v>1</v>
      </c>
      <c r="L1059" s="205">
        <f ca="1" t="shared" si="959"/>
        <v>1</v>
      </c>
      <c r="M1059" s="205">
        <f ca="1" t="shared" si="960"/>
        <v>1</v>
      </c>
      <c r="N1059" s="205">
        <f ca="1" t="shared" si="961"/>
        <v>2</v>
      </c>
      <c r="O1059" s="205">
        <f ca="1" t="shared" si="962"/>
        <v>3</v>
      </c>
      <c r="P1059" s="205">
        <f ca="1" t="shared" si="963"/>
        <v>3</v>
      </c>
      <c r="Q1059" s="205">
        <f ca="1" t="shared" si="964"/>
        <v>3</v>
      </c>
    </row>
    <row r="1060" ht="24" customHeight="1" spans="1:17">
      <c r="A1060" s="99" t="s">
        <v>347</v>
      </c>
      <c r="B1060" s="99" t="s">
        <v>290</v>
      </c>
      <c r="C1060" s="99" t="s">
        <v>316</v>
      </c>
      <c r="D1060" s="48" t="s">
        <v>31</v>
      </c>
      <c r="E1060" s="48" t="s">
        <v>87</v>
      </c>
      <c r="F1060" s="205">
        <f ca="1" t="shared" si="953"/>
        <v>0</v>
      </c>
      <c r="G1060" s="205">
        <f ca="1" t="shared" si="954"/>
        <v>0</v>
      </c>
      <c r="H1060" s="205">
        <f ca="1" t="shared" si="955"/>
        <v>0</v>
      </c>
      <c r="I1060" s="205">
        <f ca="1" t="shared" si="956"/>
        <v>0</v>
      </c>
      <c r="J1060" s="205">
        <f ca="1" t="shared" si="957"/>
        <v>0</v>
      </c>
      <c r="K1060" s="205">
        <f ca="1" t="shared" si="958"/>
        <v>0</v>
      </c>
      <c r="L1060" s="205">
        <f ca="1" t="shared" si="959"/>
        <v>0</v>
      </c>
      <c r="M1060" s="205">
        <f ca="1" t="shared" si="960"/>
        <v>0</v>
      </c>
      <c r="N1060" s="205">
        <f ca="1" t="shared" si="961"/>
        <v>0</v>
      </c>
      <c r="O1060" s="205">
        <f ca="1" t="shared" si="962"/>
        <v>0</v>
      </c>
      <c r="P1060" s="205">
        <f ca="1" t="shared" si="963"/>
        <v>0</v>
      </c>
      <c r="Q1060" s="205">
        <f ca="1" t="shared" si="964"/>
        <v>0</v>
      </c>
    </row>
    <row r="1061" ht="24" customHeight="1" spans="1:17">
      <c r="A1061" s="99" t="s">
        <v>347</v>
      </c>
      <c r="B1061" s="99" t="s">
        <v>290</v>
      </c>
      <c r="C1061" s="99" t="s">
        <v>316</v>
      </c>
      <c r="D1061" s="48" t="s">
        <v>31</v>
      </c>
      <c r="E1061" s="48" t="s">
        <v>149</v>
      </c>
      <c r="F1061" s="205">
        <f ca="1" t="shared" si="953"/>
        <v>0</v>
      </c>
      <c r="G1061" s="205">
        <f ca="1" t="shared" si="954"/>
        <v>0</v>
      </c>
      <c r="H1061" s="205">
        <f ca="1" t="shared" si="955"/>
        <v>0</v>
      </c>
      <c r="I1061" s="205">
        <f ca="1" t="shared" si="956"/>
        <v>0</v>
      </c>
      <c r="J1061" s="205">
        <f ca="1" t="shared" si="957"/>
        <v>0</v>
      </c>
      <c r="K1061" s="205">
        <f ca="1" t="shared" si="958"/>
        <v>0</v>
      </c>
      <c r="L1061" s="205">
        <f ca="1" t="shared" si="959"/>
        <v>1</v>
      </c>
      <c r="M1061" s="205">
        <f ca="1" t="shared" si="960"/>
        <v>1</v>
      </c>
      <c r="N1061" s="205">
        <f ca="1" t="shared" si="961"/>
        <v>1</v>
      </c>
      <c r="O1061" s="205">
        <f ca="1" t="shared" si="962"/>
        <v>1</v>
      </c>
      <c r="P1061" s="205">
        <f ca="1" t="shared" si="963"/>
        <v>1</v>
      </c>
      <c r="Q1061" s="205">
        <f ca="1" t="shared" si="964"/>
        <v>1</v>
      </c>
    </row>
    <row r="1062" ht="24" customHeight="1" spans="1:17">
      <c r="A1062" s="99" t="s">
        <v>347</v>
      </c>
      <c r="B1062" s="99" t="s">
        <v>290</v>
      </c>
      <c r="C1062" s="99" t="s">
        <v>316</v>
      </c>
      <c r="D1062" s="48" t="s">
        <v>31</v>
      </c>
      <c r="E1062" s="48" t="s">
        <v>83</v>
      </c>
      <c r="F1062" s="205">
        <f ca="1" t="shared" si="953"/>
        <v>0</v>
      </c>
      <c r="G1062" s="205">
        <f ca="1" t="shared" si="954"/>
        <v>0</v>
      </c>
      <c r="H1062" s="205">
        <f ca="1" t="shared" si="955"/>
        <v>0</v>
      </c>
      <c r="I1062" s="205">
        <f ca="1" t="shared" si="956"/>
        <v>0</v>
      </c>
      <c r="J1062" s="205">
        <f ca="1" t="shared" si="957"/>
        <v>0</v>
      </c>
      <c r="K1062" s="205">
        <f ca="1" t="shared" si="958"/>
        <v>0</v>
      </c>
      <c r="L1062" s="205">
        <f ca="1" t="shared" si="959"/>
        <v>0</v>
      </c>
      <c r="M1062" s="205">
        <f ca="1" t="shared" si="960"/>
        <v>0</v>
      </c>
      <c r="N1062" s="205">
        <f ca="1" t="shared" si="961"/>
        <v>0</v>
      </c>
      <c r="O1062" s="205">
        <f ca="1" t="shared" si="962"/>
        <v>0</v>
      </c>
      <c r="P1062" s="205">
        <f ca="1" t="shared" si="963"/>
        <v>0</v>
      </c>
      <c r="Q1062" s="205">
        <f ca="1" t="shared" si="964"/>
        <v>0</v>
      </c>
    </row>
    <row r="1063" ht="24" customHeight="1" spans="1:17">
      <c r="A1063" s="99" t="s">
        <v>347</v>
      </c>
      <c r="B1063" s="99" t="s">
        <v>290</v>
      </c>
      <c r="C1063" s="99" t="s">
        <v>316</v>
      </c>
      <c r="D1063" s="47" t="s">
        <v>294</v>
      </c>
      <c r="E1063" s="47" t="s">
        <v>93</v>
      </c>
      <c r="F1063" s="206">
        <f ca="1" t="shared" si="953"/>
        <v>1</v>
      </c>
      <c r="G1063" s="206">
        <f ca="1" t="shared" si="954"/>
        <v>1</v>
      </c>
      <c r="H1063" s="206">
        <f ca="1" t="shared" si="955"/>
        <v>1</v>
      </c>
      <c r="I1063" s="206">
        <f ca="1" t="shared" si="956"/>
        <v>1</v>
      </c>
      <c r="J1063" s="206">
        <f ca="1" t="shared" si="957"/>
        <v>2</v>
      </c>
      <c r="K1063" s="206">
        <f ca="1" t="shared" si="958"/>
        <v>2</v>
      </c>
      <c r="L1063" s="206">
        <f ca="1" t="shared" si="959"/>
        <v>4</v>
      </c>
      <c r="M1063" s="206">
        <f ca="1" t="shared" si="960"/>
        <v>4</v>
      </c>
      <c r="N1063" s="206">
        <f ca="1" t="shared" si="961"/>
        <v>6</v>
      </c>
      <c r="O1063" s="206">
        <f ca="1" t="shared" si="962"/>
        <v>7</v>
      </c>
      <c r="P1063" s="206">
        <f ca="1" t="shared" si="963"/>
        <v>7</v>
      </c>
      <c r="Q1063" s="206">
        <f ca="1" t="shared" si="964"/>
        <v>7</v>
      </c>
    </row>
    <row r="1064" ht="24" customHeight="1" spans="1:17">
      <c r="A1064" s="99" t="s">
        <v>347</v>
      </c>
      <c r="B1064" s="99" t="s">
        <v>290</v>
      </c>
      <c r="C1064" s="99" t="s">
        <v>316</v>
      </c>
      <c r="D1064" s="47" t="s">
        <v>294</v>
      </c>
      <c r="E1064" s="47" t="s">
        <v>85</v>
      </c>
      <c r="F1064" s="206">
        <f ca="1" t="shared" si="953"/>
        <v>0</v>
      </c>
      <c r="G1064" s="206">
        <f ca="1" t="shared" si="954"/>
        <v>0</v>
      </c>
      <c r="H1064" s="206">
        <f ca="1" t="shared" si="955"/>
        <v>0</v>
      </c>
      <c r="I1064" s="206">
        <f ca="1" t="shared" si="956"/>
        <v>0</v>
      </c>
      <c r="J1064" s="206">
        <f ca="1" t="shared" si="957"/>
        <v>0</v>
      </c>
      <c r="K1064" s="206">
        <f ca="1" t="shared" si="958"/>
        <v>1</v>
      </c>
      <c r="L1064" s="206">
        <f ca="1" t="shared" si="959"/>
        <v>1</v>
      </c>
      <c r="M1064" s="206">
        <f ca="1" t="shared" si="960"/>
        <v>1</v>
      </c>
      <c r="N1064" s="206">
        <f ca="1" t="shared" si="961"/>
        <v>1</v>
      </c>
      <c r="O1064" s="206">
        <f ca="1" t="shared" si="962"/>
        <v>1</v>
      </c>
      <c r="P1064" s="206">
        <f ca="1" t="shared" si="963"/>
        <v>1</v>
      </c>
      <c r="Q1064" s="206">
        <f ca="1" t="shared" si="964"/>
        <v>2</v>
      </c>
    </row>
    <row r="1065" ht="24" customHeight="1" spans="1:17">
      <c r="A1065" s="99" t="s">
        <v>347</v>
      </c>
      <c r="B1065" s="99" t="s">
        <v>290</v>
      </c>
      <c r="C1065" s="99" t="s">
        <v>316</v>
      </c>
      <c r="D1065" s="47" t="s">
        <v>294</v>
      </c>
      <c r="E1065" s="47" t="s">
        <v>81</v>
      </c>
      <c r="F1065" s="206">
        <f ca="1" t="shared" si="953"/>
        <v>0</v>
      </c>
      <c r="G1065" s="206">
        <f ca="1" t="shared" si="954"/>
        <v>0</v>
      </c>
      <c r="H1065" s="206">
        <f ca="1" t="shared" si="955"/>
        <v>0</v>
      </c>
      <c r="I1065" s="206">
        <f ca="1" t="shared" si="956"/>
        <v>1</v>
      </c>
      <c r="J1065" s="206">
        <f ca="1" t="shared" si="957"/>
        <v>1</v>
      </c>
      <c r="K1065" s="206">
        <f ca="1" t="shared" si="958"/>
        <v>1</v>
      </c>
      <c r="L1065" s="206">
        <f ca="1" t="shared" si="959"/>
        <v>1</v>
      </c>
      <c r="M1065" s="206">
        <f ca="1" t="shared" si="960"/>
        <v>1</v>
      </c>
      <c r="N1065" s="206">
        <f ca="1" t="shared" si="961"/>
        <v>2</v>
      </c>
      <c r="O1065" s="206">
        <f ca="1" t="shared" si="962"/>
        <v>2</v>
      </c>
      <c r="P1065" s="206">
        <f ca="1" t="shared" si="963"/>
        <v>2</v>
      </c>
      <c r="Q1065" s="206">
        <f ca="1" t="shared" si="964"/>
        <v>2</v>
      </c>
    </row>
    <row r="1066" ht="24" customHeight="1" spans="1:17">
      <c r="A1066" s="99" t="s">
        <v>347</v>
      </c>
      <c r="B1066" s="99" t="s">
        <v>290</v>
      </c>
      <c r="C1066" s="99" t="s">
        <v>316</v>
      </c>
      <c r="D1066" s="47" t="s">
        <v>294</v>
      </c>
      <c r="E1066" s="47" t="s">
        <v>96</v>
      </c>
      <c r="F1066" s="206">
        <f ca="1" t="shared" si="953"/>
        <v>0</v>
      </c>
      <c r="G1066" s="206">
        <f ca="1" t="shared" si="954"/>
        <v>0</v>
      </c>
      <c r="H1066" s="206">
        <f ca="1" t="shared" si="955"/>
        <v>0</v>
      </c>
      <c r="I1066" s="206">
        <f ca="1" t="shared" si="956"/>
        <v>0</v>
      </c>
      <c r="J1066" s="206">
        <f ca="1" t="shared" si="957"/>
        <v>0</v>
      </c>
      <c r="K1066" s="206">
        <f ca="1" t="shared" si="958"/>
        <v>0</v>
      </c>
      <c r="L1066" s="206">
        <f ca="1" t="shared" si="959"/>
        <v>0</v>
      </c>
      <c r="M1066" s="206">
        <f ca="1" t="shared" si="960"/>
        <v>0</v>
      </c>
      <c r="N1066" s="206">
        <f ca="1" t="shared" si="961"/>
        <v>0</v>
      </c>
      <c r="O1066" s="206">
        <f ca="1" t="shared" si="962"/>
        <v>0</v>
      </c>
      <c r="P1066" s="206">
        <f ca="1" t="shared" si="963"/>
        <v>0</v>
      </c>
      <c r="Q1066" s="206">
        <f ca="1" t="shared" si="964"/>
        <v>0</v>
      </c>
    </row>
    <row r="1067" ht="24" customHeight="1" spans="1:17">
      <c r="A1067" s="99" t="s">
        <v>347</v>
      </c>
      <c r="B1067" s="99" t="s">
        <v>290</v>
      </c>
      <c r="C1067" s="99" t="s">
        <v>316</v>
      </c>
      <c r="D1067" s="47" t="s">
        <v>294</v>
      </c>
      <c r="E1067" s="47" t="s">
        <v>160</v>
      </c>
      <c r="F1067" s="206">
        <f ca="1" t="shared" si="953"/>
        <v>0</v>
      </c>
      <c r="G1067" s="206">
        <f ca="1" t="shared" si="954"/>
        <v>0</v>
      </c>
      <c r="H1067" s="206">
        <f ca="1" t="shared" si="955"/>
        <v>0</v>
      </c>
      <c r="I1067" s="206">
        <f ca="1" t="shared" si="956"/>
        <v>0</v>
      </c>
      <c r="J1067" s="206">
        <f ca="1" t="shared" si="957"/>
        <v>0</v>
      </c>
      <c r="K1067" s="206">
        <f ca="1" t="shared" si="958"/>
        <v>0</v>
      </c>
      <c r="L1067" s="206">
        <f ca="1" t="shared" si="959"/>
        <v>0</v>
      </c>
      <c r="M1067" s="206">
        <f ca="1" t="shared" si="960"/>
        <v>0</v>
      </c>
      <c r="N1067" s="206">
        <f ca="1" t="shared" si="961"/>
        <v>0</v>
      </c>
      <c r="O1067" s="206">
        <f ca="1" t="shared" si="962"/>
        <v>0</v>
      </c>
      <c r="P1067" s="206">
        <f ca="1" t="shared" si="963"/>
        <v>0</v>
      </c>
      <c r="Q1067" s="206">
        <f ca="1" t="shared" si="964"/>
        <v>0</v>
      </c>
    </row>
    <row r="1068" ht="24" customHeight="1" spans="1:17">
      <c r="A1068" s="99" t="s">
        <v>347</v>
      </c>
      <c r="B1068" s="99" t="s">
        <v>290</v>
      </c>
      <c r="C1068" s="99" t="s">
        <v>316</v>
      </c>
      <c r="D1068" s="100" t="s">
        <v>292</v>
      </c>
      <c r="E1068" s="100" t="s">
        <v>318</v>
      </c>
      <c r="F1068" s="204">
        <f ca="1">IF($S$1&lt;DATE(2025,1,1)," ",SUM(F1069:F1071))</f>
        <v>1</v>
      </c>
      <c r="G1068" s="204">
        <f ca="1">IF($S$1&lt;DATE(2025,2,1)," ",SUM(G1069:G1071))</f>
        <v>1</v>
      </c>
      <c r="H1068" s="204">
        <f ca="1">IF($S$1&lt;DATE(2025,3,1)," ",SUM(H1069:H1071))</f>
        <v>1</v>
      </c>
      <c r="I1068" s="204">
        <f ca="1">IF($S$1&lt;DATE(2025,4,1)," ",SUM(I1069:I1071))</f>
        <v>1</v>
      </c>
      <c r="J1068" s="204">
        <f ca="1">IF($S$1&lt;DATE(2025,5,1)," ",SUM(J1069:J1071))</f>
        <v>2</v>
      </c>
      <c r="K1068" s="204">
        <f ca="1">IF($S$1&lt;DATE(2025,6,1)," ",SUM(K1069:K1071))</f>
        <v>3</v>
      </c>
      <c r="L1068" s="204">
        <f ca="1">IF($S$1&lt;DATE(2025,7,1)," ",SUM(L1069:L1071))</f>
        <v>5</v>
      </c>
      <c r="M1068" s="204">
        <f ca="1">IF($S$1&lt;DATE(2025,8,1)," ",SUM(M1069:M1071))</f>
        <v>5</v>
      </c>
      <c r="N1068" s="204">
        <f ca="1">IF($S$1&lt;DATE(2025,9,1)," ",SUM(N1069:N1071))</f>
        <v>8</v>
      </c>
      <c r="O1068" s="204">
        <f ca="1">IF($S$1&lt;DATE(2025,10,1)," ",SUM(O1069:O1071))</f>
        <v>9</v>
      </c>
      <c r="P1068" s="204">
        <f ca="1">IF($S$1&lt;DATE(2025,11,1)," ",SUM(P1069:P1071))</f>
        <v>9</v>
      </c>
      <c r="Q1068" s="204">
        <f ca="1">IF($S$1&lt;DATE(2025,12,1)," ",SUM(Q1069:Q1071))</f>
        <v>10</v>
      </c>
    </row>
    <row r="1069" ht="24" customHeight="1" spans="1:17">
      <c r="A1069" s="99" t="s">
        <v>347</v>
      </c>
      <c r="B1069" s="99" t="s">
        <v>290</v>
      </c>
      <c r="C1069" s="99" t="s">
        <v>316</v>
      </c>
      <c r="D1069" s="48" t="s">
        <v>296</v>
      </c>
      <c r="E1069" s="48" t="s">
        <v>90</v>
      </c>
      <c r="F1069" s="205">
        <f ca="1" t="shared" ref="F1069:F1071" si="965">IF($S$1&lt;DATE(2025,1,1)," ",F971)</f>
        <v>0</v>
      </c>
      <c r="G1069" s="205">
        <f ca="1" t="shared" ref="G1069:G1071" si="966">IF($S$1&lt;DATE(2025,2,1)," ",G971+F1069)</f>
        <v>0</v>
      </c>
      <c r="H1069" s="205">
        <f ca="1" t="shared" ref="H1069:H1071" si="967">IF($S$1&lt;DATE(2025,3,1)," ",H971+G1069)</f>
        <v>0</v>
      </c>
      <c r="I1069" s="205">
        <f ca="1" t="shared" ref="I1069:I1071" si="968">IF($S$1&lt;DATE(2025,4,1)," ",I971+H1069)</f>
        <v>0</v>
      </c>
      <c r="J1069" s="205">
        <f ca="1" t="shared" ref="J1069:J1071" si="969">IF($S$1&lt;DATE(2025,5,1)," ",J971+I1069)</f>
        <v>0</v>
      </c>
      <c r="K1069" s="205">
        <f ca="1" t="shared" ref="K1069:K1071" si="970">IF($S$1&lt;DATE(2025,6,1)," ",K971+J1069)</f>
        <v>0</v>
      </c>
      <c r="L1069" s="205">
        <f ca="1" t="shared" ref="L1069:L1071" si="971">IF($S$1&lt;DATE(2025,7,1)," ",L971+K1069)</f>
        <v>1</v>
      </c>
      <c r="M1069" s="205">
        <f ca="1" t="shared" ref="M1069:M1071" si="972">IF($S$1&lt;DATE(2025,8,1)," ",M971+L1069)</f>
        <v>1</v>
      </c>
      <c r="N1069" s="205">
        <f ca="1" t="shared" ref="N1069:N1071" si="973">IF($S$1&lt;DATE(2025,9,1)," ",N971+M1069)</f>
        <v>2</v>
      </c>
      <c r="O1069" s="205">
        <f ca="1" t="shared" ref="O1069:O1071" si="974">IF($S$1&lt;DATE(2025,10,1)," ",O971+N1069)</f>
        <v>2</v>
      </c>
      <c r="P1069" s="205">
        <f ca="1" t="shared" ref="P1069:P1071" si="975">IF($S$1&lt;DATE(2025,11,1)," ",P971+O1069)</f>
        <v>2</v>
      </c>
      <c r="Q1069" s="205">
        <f ca="1" t="shared" ref="Q1069:Q1071" si="976">IF($S$1&lt;DATE(2025,12,1)," ",Q971+P1069)</f>
        <v>3</v>
      </c>
    </row>
    <row r="1070" ht="24" customHeight="1" spans="1:17">
      <c r="A1070" s="99" t="s">
        <v>347</v>
      </c>
      <c r="B1070" s="99" t="s">
        <v>290</v>
      </c>
      <c r="C1070" s="99" t="s">
        <v>316</v>
      </c>
      <c r="D1070" s="48" t="s">
        <v>296</v>
      </c>
      <c r="E1070" s="48" t="s">
        <v>82</v>
      </c>
      <c r="F1070" s="205">
        <f ca="1" t="shared" si="965"/>
        <v>1</v>
      </c>
      <c r="G1070" s="205">
        <f ca="1" t="shared" si="966"/>
        <v>1</v>
      </c>
      <c r="H1070" s="205">
        <f ca="1" t="shared" si="967"/>
        <v>1</v>
      </c>
      <c r="I1070" s="205">
        <f ca="1" t="shared" si="968"/>
        <v>1</v>
      </c>
      <c r="J1070" s="205">
        <f ca="1" t="shared" si="969"/>
        <v>2</v>
      </c>
      <c r="K1070" s="205">
        <f ca="1" t="shared" si="970"/>
        <v>3</v>
      </c>
      <c r="L1070" s="205">
        <f ca="1" t="shared" si="971"/>
        <v>3</v>
      </c>
      <c r="M1070" s="205">
        <f ca="1" t="shared" si="972"/>
        <v>3</v>
      </c>
      <c r="N1070" s="205">
        <f ca="1" t="shared" si="973"/>
        <v>5</v>
      </c>
      <c r="O1070" s="205">
        <f ca="1" t="shared" si="974"/>
        <v>6</v>
      </c>
      <c r="P1070" s="205">
        <f ca="1" t="shared" si="975"/>
        <v>6</v>
      </c>
      <c r="Q1070" s="205">
        <f ca="1" t="shared" si="976"/>
        <v>6</v>
      </c>
    </row>
    <row r="1071" ht="24" customHeight="1" spans="1:17">
      <c r="A1071" s="99" t="s">
        <v>347</v>
      </c>
      <c r="B1071" s="99" t="s">
        <v>290</v>
      </c>
      <c r="C1071" s="99" t="s">
        <v>316</v>
      </c>
      <c r="D1071" s="48" t="s">
        <v>296</v>
      </c>
      <c r="E1071" s="48" t="s">
        <v>86</v>
      </c>
      <c r="F1071" s="205">
        <f ca="1" t="shared" si="965"/>
        <v>0</v>
      </c>
      <c r="G1071" s="205">
        <f ca="1" t="shared" si="966"/>
        <v>0</v>
      </c>
      <c r="H1071" s="205">
        <f ca="1" t="shared" si="967"/>
        <v>0</v>
      </c>
      <c r="I1071" s="205">
        <f ca="1" t="shared" si="968"/>
        <v>0</v>
      </c>
      <c r="J1071" s="205">
        <f ca="1" t="shared" si="969"/>
        <v>0</v>
      </c>
      <c r="K1071" s="205">
        <f ca="1" t="shared" si="970"/>
        <v>0</v>
      </c>
      <c r="L1071" s="205">
        <f ca="1" t="shared" si="971"/>
        <v>1</v>
      </c>
      <c r="M1071" s="205">
        <f ca="1" t="shared" si="972"/>
        <v>1</v>
      </c>
      <c r="N1071" s="205">
        <f ca="1" t="shared" si="973"/>
        <v>1</v>
      </c>
      <c r="O1071" s="205">
        <f ca="1" t="shared" si="974"/>
        <v>1</v>
      </c>
      <c r="P1071" s="205">
        <f ca="1" t="shared" si="975"/>
        <v>1</v>
      </c>
      <c r="Q1071" s="205">
        <f ca="1" t="shared" si="976"/>
        <v>1</v>
      </c>
    </row>
    <row r="1072" ht="24" customHeight="1" spans="1:17">
      <c r="A1072" s="99" t="s">
        <v>347</v>
      </c>
      <c r="B1072" s="99" t="s">
        <v>290</v>
      </c>
      <c r="C1072" s="99" t="s">
        <v>316</v>
      </c>
      <c r="D1072" s="100" t="s">
        <v>292</v>
      </c>
      <c r="E1072" s="100" t="s">
        <v>319</v>
      </c>
      <c r="F1072" s="204">
        <f ca="1">IF($S$1&lt;DATE(2025,1,1)," ",SUM(F1073:F1076))</f>
        <v>1</v>
      </c>
      <c r="G1072" s="204">
        <f ca="1">IF($S$1&lt;DATE(2025,2,1)," ",SUM(G1073:G1076))</f>
        <v>1</v>
      </c>
      <c r="H1072" s="204">
        <f ca="1">IF($S$1&lt;DATE(2025,3,1)," ",SUM(H1073:H1076))</f>
        <v>1</v>
      </c>
      <c r="I1072" s="204">
        <f ca="1">IF($S$1&lt;DATE(2025,4,1)," ",SUM(I1073:I1076))</f>
        <v>2</v>
      </c>
      <c r="J1072" s="204">
        <f ca="1">IF($S$1&lt;DATE(2025,5,1)," ",SUM(J1073:J1076))</f>
        <v>3</v>
      </c>
      <c r="K1072" s="204">
        <f ca="1">IF($S$1&lt;DATE(2025,6,1)," ",SUM(K1073:K1076))</f>
        <v>4</v>
      </c>
      <c r="L1072" s="204">
        <f ca="1">IF($S$1&lt;DATE(2025,7,1)," ",SUM(L1073:L1076))</f>
        <v>5</v>
      </c>
      <c r="M1072" s="204">
        <f ca="1">IF($S$1&lt;DATE(2025,8,1)," ",SUM(M1073:M1076))</f>
        <v>5</v>
      </c>
      <c r="N1072" s="204">
        <f ca="1">IF($S$1&lt;DATE(2025,9,1)," ",SUM(N1073:N1076))</f>
        <v>6</v>
      </c>
      <c r="O1072" s="204">
        <f ca="1">IF($S$1&lt;DATE(2025,10,1)," ",SUM(O1073:O1076))</f>
        <v>7</v>
      </c>
      <c r="P1072" s="204">
        <f ca="1">IF($S$1&lt;DATE(2025,11,1)," ",SUM(P1073:P1076))</f>
        <v>7</v>
      </c>
      <c r="Q1072" s="204">
        <f ca="1">IF($S$1&lt;DATE(2025,12,1)," ",SUM(Q1073:Q1076))</f>
        <v>8</v>
      </c>
    </row>
    <row r="1073" ht="24" customHeight="1" spans="1:17">
      <c r="A1073" s="99" t="s">
        <v>347</v>
      </c>
      <c r="B1073" s="99" t="s">
        <v>290</v>
      </c>
      <c r="C1073" s="99" t="s">
        <v>316</v>
      </c>
      <c r="D1073" s="48" t="s">
        <v>298</v>
      </c>
      <c r="E1073" s="48" t="s">
        <v>97</v>
      </c>
      <c r="F1073" s="205">
        <f ca="1" t="shared" ref="F1073:F1076" si="977">IF($S$1&lt;DATE(2025,1,1)," ",F975)</f>
        <v>0</v>
      </c>
      <c r="G1073" s="205">
        <f ca="1" t="shared" ref="G1073:G1076" si="978">IF($S$1&lt;DATE(2025,2,1)," ",G975+F1073)</f>
        <v>0</v>
      </c>
      <c r="H1073" s="205">
        <f ca="1" t="shared" ref="H1073:H1076" si="979">IF($S$1&lt;DATE(2025,3,1)," ",H975+G1073)</f>
        <v>0</v>
      </c>
      <c r="I1073" s="205">
        <f ca="1" t="shared" ref="I1073:I1076" si="980">IF($S$1&lt;DATE(2025,4,1)," ",I975+H1073)</f>
        <v>1</v>
      </c>
      <c r="J1073" s="205">
        <f ca="1" t="shared" ref="J1073:J1076" si="981">IF($S$1&lt;DATE(2025,5,1)," ",J975+I1073)</f>
        <v>1</v>
      </c>
      <c r="K1073" s="205">
        <f ca="1" t="shared" ref="K1073:K1076" si="982">IF($S$1&lt;DATE(2025,6,1)," ",K975+J1073)</f>
        <v>2</v>
      </c>
      <c r="L1073" s="205">
        <f ca="1" t="shared" ref="L1073:L1076" si="983">IF($S$1&lt;DATE(2025,7,1)," ",L975+K1073)</f>
        <v>2</v>
      </c>
      <c r="M1073" s="205">
        <f ca="1" t="shared" ref="M1073:M1076" si="984">IF($S$1&lt;DATE(2025,8,1)," ",M975+L1073)</f>
        <v>2</v>
      </c>
      <c r="N1073" s="205">
        <f ca="1" t="shared" ref="N1073:N1076" si="985">IF($S$1&lt;DATE(2025,9,1)," ",N975+M1073)</f>
        <v>3</v>
      </c>
      <c r="O1073" s="205">
        <f ca="1" t="shared" ref="O1073:O1076" si="986">IF($S$1&lt;DATE(2025,10,1)," ",O975+N1073)</f>
        <v>4</v>
      </c>
      <c r="P1073" s="205">
        <f ca="1" t="shared" ref="P1073:P1076" si="987">IF($S$1&lt;DATE(2025,11,1)," ",P975+O1073)</f>
        <v>4</v>
      </c>
      <c r="Q1073" s="205">
        <f ca="1" t="shared" ref="Q1073:Q1076" si="988">IF($S$1&lt;DATE(2025,12,1)," ",Q975+P1073)</f>
        <v>4</v>
      </c>
    </row>
    <row r="1074" ht="24" customHeight="1" spans="1:17">
      <c r="A1074" s="99" t="s">
        <v>347</v>
      </c>
      <c r="B1074" s="99" t="s">
        <v>290</v>
      </c>
      <c r="C1074" s="99" t="s">
        <v>316</v>
      </c>
      <c r="D1074" s="48" t="s">
        <v>298</v>
      </c>
      <c r="E1074" s="48" t="s">
        <v>87</v>
      </c>
      <c r="F1074" s="205">
        <f ca="1" t="shared" si="977"/>
        <v>1</v>
      </c>
      <c r="G1074" s="205">
        <f ca="1" t="shared" si="978"/>
        <v>1</v>
      </c>
      <c r="H1074" s="205">
        <f ca="1" t="shared" si="979"/>
        <v>1</v>
      </c>
      <c r="I1074" s="205">
        <f ca="1" t="shared" si="980"/>
        <v>1</v>
      </c>
      <c r="J1074" s="205">
        <f ca="1" t="shared" si="981"/>
        <v>1</v>
      </c>
      <c r="K1074" s="205">
        <f ca="1" t="shared" si="982"/>
        <v>1</v>
      </c>
      <c r="L1074" s="205">
        <f ca="1" t="shared" si="983"/>
        <v>1</v>
      </c>
      <c r="M1074" s="205">
        <f ca="1" t="shared" si="984"/>
        <v>1</v>
      </c>
      <c r="N1074" s="205">
        <f ca="1" t="shared" si="985"/>
        <v>1</v>
      </c>
      <c r="O1074" s="205">
        <f ca="1" t="shared" si="986"/>
        <v>1</v>
      </c>
      <c r="P1074" s="205">
        <f ca="1" t="shared" si="987"/>
        <v>1</v>
      </c>
      <c r="Q1074" s="205">
        <f ca="1" t="shared" si="988"/>
        <v>1</v>
      </c>
    </row>
    <row r="1075" ht="24" customHeight="1" spans="1:17">
      <c r="A1075" s="99" t="s">
        <v>347</v>
      </c>
      <c r="B1075" s="99" t="s">
        <v>290</v>
      </c>
      <c r="C1075" s="99" t="s">
        <v>316</v>
      </c>
      <c r="D1075" s="48" t="s">
        <v>298</v>
      </c>
      <c r="E1075" s="48" t="s">
        <v>149</v>
      </c>
      <c r="F1075" s="205">
        <f ca="1" t="shared" si="977"/>
        <v>0</v>
      </c>
      <c r="G1075" s="205">
        <f ca="1" t="shared" si="978"/>
        <v>0</v>
      </c>
      <c r="H1075" s="205">
        <f ca="1" t="shared" si="979"/>
        <v>0</v>
      </c>
      <c r="I1075" s="205">
        <f ca="1" t="shared" si="980"/>
        <v>0</v>
      </c>
      <c r="J1075" s="205">
        <f ca="1" t="shared" si="981"/>
        <v>0</v>
      </c>
      <c r="K1075" s="205">
        <f ca="1" t="shared" si="982"/>
        <v>0</v>
      </c>
      <c r="L1075" s="205">
        <f ca="1" t="shared" si="983"/>
        <v>1</v>
      </c>
      <c r="M1075" s="205">
        <f ca="1" t="shared" si="984"/>
        <v>1</v>
      </c>
      <c r="N1075" s="205">
        <f ca="1" t="shared" si="985"/>
        <v>1</v>
      </c>
      <c r="O1075" s="205">
        <f ca="1" t="shared" si="986"/>
        <v>1</v>
      </c>
      <c r="P1075" s="205">
        <f ca="1" t="shared" si="987"/>
        <v>1</v>
      </c>
      <c r="Q1075" s="205">
        <f ca="1" t="shared" si="988"/>
        <v>1</v>
      </c>
    </row>
    <row r="1076" ht="24" customHeight="1" spans="1:17">
      <c r="A1076" s="99" t="s">
        <v>347</v>
      </c>
      <c r="B1076" s="99" t="s">
        <v>290</v>
      </c>
      <c r="C1076" s="99" t="s">
        <v>316</v>
      </c>
      <c r="D1076" s="48" t="s">
        <v>298</v>
      </c>
      <c r="E1076" s="48" t="s">
        <v>83</v>
      </c>
      <c r="F1076" s="205">
        <f ca="1" t="shared" si="977"/>
        <v>0</v>
      </c>
      <c r="G1076" s="205">
        <f ca="1" t="shared" si="978"/>
        <v>0</v>
      </c>
      <c r="H1076" s="205">
        <f ca="1" t="shared" si="979"/>
        <v>0</v>
      </c>
      <c r="I1076" s="205">
        <f ca="1" t="shared" si="980"/>
        <v>0</v>
      </c>
      <c r="J1076" s="205">
        <f ca="1" t="shared" si="981"/>
        <v>1</v>
      </c>
      <c r="K1076" s="205">
        <f ca="1" t="shared" si="982"/>
        <v>1</v>
      </c>
      <c r="L1076" s="205">
        <f ca="1" t="shared" si="983"/>
        <v>1</v>
      </c>
      <c r="M1076" s="205">
        <f ca="1" t="shared" si="984"/>
        <v>1</v>
      </c>
      <c r="N1076" s="205">
        <f ca="1" t="shared" si="985"/>
        <v>1</v>
      </c>
      <c r="O1076" s="205">
        <f ca="1" t="shared" si="986"/>
        <v>1</v>
      </c>
      <c r="P1076" s="205">
        <f ca="1" t="shared" si="987"/>
        <v>1</v>
      </c>
      <c r="Q1076" s="205">
        <f ca="1" t="shared" si="988"/>
        <v>2</v>
      </c>
    </row>
    <row r="1077" ht="24" customHeight="1" spans="1:17">
      <c r="A1077" s="99" t="s">
        <v>347</v>
      </c>
      <c r="B1077" s="99" t="s">
        <v>299</v>
      </c>
      <c r="C1077" s="99" t="s">
        <v>316</v>
      </c>
      <c r="D1077" s="100" t="s">
        <v>292</v>
      </c>
      <c r="E1077" s="100" t="s">
        <v>320</v>
      </c>
      <c r="F1077" s="204">
        <f ca="1">IF($S$1&lt;DATE(2025,1,1)," ",IF((SUM(F1078:F1084)-MAX(F1097,F1104))&lt;0,"ERR",SUM(F1078:F1084)))</f>
        <v>1</v>
      </c>
      <c r="G1077" s="204">
        <f ca="1">IF($S$1&lt;DATE(2025,2,1)," ",IF((SUM(G1078:G1084)-MAX(G1097,G1104))&lt;0,"ERR",SUM(G1078:G1084)))</f>
        <v>1</v>
      </c>
      <c r="H1077" s="204">
        <f ca="1">IF($S$1&lt;DATE(2025,3,1)," ",IF((SUM(H1078:H1084)-MAX(H1097,H1104))&lt;0,"ERR",SUM(H1078:H1084)))</f>
        <v>1</v>
      </c>
      <c r="I1077" s="204">
        <f ca="1">IF($S$1&lt;DATE(2025,4,1)," ",IF((SUM(I1078:I1084)-MAX(I1097,I1104))&lt;0,"ERR",SUM(I1078:I1084)))</f>
        <v>2</v>
      </c>
      <c r="J1077" s="204">
        <f ca="1">IF($S$1&lt;DATE(2025,5,1)," ",IF((SUM(J1078:J1084)-MAX(J1097,J1104))&lt;0,"ERR",SUM(J1078:J1084)))</f>
        <v>2</v>
      </c>
      <c r="K1077" s="204">
        <f ca="1">IF($S$1&lt;DATE(2025,6,1)," ",IF((SUM(K1078:K1084)-MAX(K1097,K1104))&lt;0,"ERR",SUM(K1078:K1084)))</f>
        <v>4</v>
      </c>
      <c r="L1077" s="204">
        <f ca="1">IF($S$1&lt;DATE(2025,7,1)," ",IF((SUM(L1078:L1084)-MAX(L1097,L1104))&lt;0,"ERR",SUM(L1078:L1084)))</f>
        <v>5</v>
      </c>
      <c r="M1077" s="204">
        <f ca="1">IF($S$1&lt;DATE(2025,8,1)," ",IF((SUM(M1078:M1084)-MAX(M1097,M1104))&lt;0,"ERR",SUM(M1078:M1084)))</f>
        <v>6</v>
      </c>
      <c r="N1077" s="204">
        <f ca="1">IF($S$1&lt;DATE(2025,9,1)," ",IF((SUM(N1078:N1084)-MAX(N1097,N1104))&lt;0,"ERR",SUM(N1078:N1084)))</f>
        <v>9</v>
      </c>
      <c r="O1077" s="204">
        <f ca="1">IF($S$1&lt;DATE(2025,10,1)," ",IF((SUM(O1078:O1084)-MAX(O1097,O1104))&lt;0,"ERR",SUM(O1078:O1084)))</f>
        <v>9</v>
      </c>
      <c r="P1077" s="204">
        <f ca="1">IF($S$1&lt;DATE(2025,11,1)," ",IF((SUM(P1078:P1084)-MAX(P1097,P1104))&lt;0,"ERR",SUM(P1078:P1084)))</f>
        <v>10</v>
      </c>
      <c r="Q1077" s="204">
        <f ca="1">IF($S$1&lt;DATE(2025,12,1)," ",IF((SUM(Q1078:Q1084)-MAX(Q1097,Q1104))&lt;0,"ERR",SUM(Q1078:Q1084)))</f>
        <v>10</v>
      </c>
    </row>
    <row r="1078" ht="24" customHeight="1" spans="1:17">
      <c r="A1078" s="99" t="s">
        <v>347</v>
      </c>
      <c r="B1078" s="99" t="s">
        <v>299</v>
      </c>
      <c r="C1078" s="99" t="s">
        <v>316</v>
      </c>
      <c r="D1078" s="48" t="s">
        <v>31</v>
      </c>
      <c r="E1078" s="48" t="s">
        <v>90</v>
      </c>
      <c r="F1078" s="205">
        <f ca="1" t="shared" ref="F1078:F1084" si="989">IF($S$1&lt;DATE(2025,1,1)," ",F980)</f>
        <v>0</v>
      </c>
      <c r="G1078" s="205">
        <f ca="1" t="shared" ref="G1078:G1084" si="990">IF($S$1&lt;DATE(2025,2,1)," ",G980+F1078)</f>
        <v>0</v>
      </c>
      <c r="H1078" s="205">
        <f ca="1" t="shared" ref="H1078:H1084" si="991">IF($S$1&lt;DATE(2025,3,1)," ",H980+G1078)</f>
        <v>0</v>
      </c>
      <c r="I1078" s="205">
        <f ca="1" t="shared" ref="I1078:I1084" si="992">IF($S$1&lt;DATE(2025,4,1)," ",I980+H1078)</f>
        <v>0</v>
      </c>
      <c r="J1078" s="205">
        <f ca="1" t="shared" ref="J1078:J1084" si="993">IF($S$1&lt;DATE(2025,5,1)," ",J980+I1078)</f>
        <v>0</v>
      </c>
      <c r="K1078" s="205">
        <f ca="1" t="shared" ref="K1078:K1084" si="994">IF($S$1&lt;DATE(2025,6,1)," ",K980+J1078)</f>
        <v>0</v>
      </c>
      <c r="L1078" s="205">
        <f ca="1" t="shared" ref="L1078:L1084" si="995">IF($S$1&lt;DATE(2025,7,1)," ",L980+K1078)</f>
        <v>0</v>
      </c>
      <c r="M1078" s="205">
        <f ca="1" t="shared" ref="M1078:M1084" si="996">IF($S$1&lt;DATE(2025,8,1)," ",M980+L1078)</f>
        <v>0</v>
      </c>
      <c r="N1078" s="205">
        <f ca="1" t="shared" ref="N1078:N1084" si="997">IF($S$1&lt;DATE(2025,9,1)," ",N980+M1078)</f>
        <v>1</v>
      </c>
      <c r="O1078" s="205">
        <f ca="1" t="shared" ref="O1078:O1084" si="998">IF($S$1&lt;DATE(2025,10,1)," ",O980+N1078)</f>
        <v>1</v>
      </c>
      <c r="P1078" s="205">
        <f ca="1" t="shared" ref="P1078:P1084" si="999">IF($S$1&lt;DATE(2025,11,1)," ",P980+O1078)</f>
        <v>1</v>
      </c>
      <c r="Q1078" s="205">
        <f ca="1" t="shared" ref="Q1078:Q1084" si="1000">IF($S$1&lt;DATE(2025,12,1)," ",Q980+P1078)</f>
        <v>1</v>
      </c>
    </row>
    <row r="1079" ht="24" customHeight="1" spans="1:17">
      <c r="A1079" s="99" t="s">
        <v>347</v>
      </c>
      <c r="B1079" s="99" t="s">
        <v>299</v>
      </c>
      <c r="C1079" s="99" t="s">
        <v>316</v>
      </c>
      <c r="D1079" s="48" t="s">
        <v>31</v>
      </c>
      <c r="E1079" s="48" t="s">
        <v>82</v>
      </c>
      <c r="F1079" s="205">
        <f ca="1" t="shared" si="989"/>
        <v>1</v>
      </c>
      <c r="G1079" s="205">
        <f ca="1" t="shared" si="990"/>
        <v>1</v>
      </c>
      <c r="H1079" s="205">
        <f ca="1" t="shared" si="991"/>
        <v>1</v>
      </c>
      <c r="I1079" s="205">
        <f ca="1" t="shared" si="992"/>
        <v>1</v>
      </c>
      <c r="J1079" s="205">
        <f ca="1" t="shared" si="993"/>
        <v>1</v>
      </c>
      <c r="K1079" s="205">
        <f ca="1" t="shared" si="994"/>
        <v>3</v>
      </c>
      <c r="L1079" s="205">
        <f ca="1" t="shared" si="995"/>
        <v>3</v>
      </c>
      <c r="M1079" s="205">
        <f ca="1" t="shared" si="996"/>
        <v>3</v>
      </c>
      <c r="N1079" s="205">
        <f ca="1" t="shared" si="997"/>
        <v>4</v>
      </c>
      <c r="O1079" s="205">
        <f ca="1" t="shared" si="998"/>
        <v>4</v>
      </c>
      <c r="P1079" s="205">
        <f ca="1" t="shared" si="999"/>
        <v>4</v>
      </c>
      <c r="Q1079" s="205">
        <f ca="1" t="shared" si="1000"/>
        <v>4</v>
      </c>
    </row>
    <row r="1080" ht="24" customHeight="1" spans="1:17">
      <c r="A1080" s="99" t="s">
        <v>347</v>
      </c>
      <c r="B1080" s="99" t="s">
        <v>299</v>
      </c>
      <c r="C1080" s="99" t="s">
        <v>316</v>
      </c>
      <c r="D1080" s="48" t="s">
        <v>31</v>
      </c>
      <c r="E1080" s="48" t="s">
        <v>86</v>
      </c>
      <c r="F1080" s="205">
        <f ca="1" t="shared" si="989"/>
        <v>0</v>
      </c>
      <c r="G1080" s="205">
        <f ca="1" t="shared" si="990"/>
        <v>0</v>
      </c>
      <c r="H1080" s="205">
        <f ca="1" t="shared" si="991"/>
        <v>0</v>
      </c>
      <c r="I1080" s="205">
        <f ca="1" t="shared" si="992"/>
        <v>0</v>
      </c>
      <c r="J1080" s="205">
        <f ca="1" t="shared" si="993"/>
        <v>0</v>
      </c>
      <c r="K1080" s="205">
        <f ca="1" t="shared" si="994"/>
        <v>0</v>
      </c>
      <c r="L1080" s="205">
        <f ca="1" t="shared" si="995"/>
        <v>1</v>
      </c>
      <c r="M1080" s="205">
        <f ca="1" t="shared" si="996"/>
        <v>1</v>
      </c>
      <c r="N1080" s="205">
        <f ca="1" t="shared" si="997"/>
        <v>1</v>
      </c>
      <c r="O1080" s="205">
        <f ca="1" t="shared" si="998"/>
        <v>1</v>
      </c>
      <c r="P1080" s="205">
        <f ca="1" t="shared" si="999"/>
        <v>1</v>
      </c>
      <c r="Q1080" s="205">
        <f ca="1" t="shared" si="1000"/>
        <v>1</v>
      </c>
    </row>
    <row r="1081" ht="24" customHeight="1" spans="1:17">
      <c r="A1081" s="99" t="s">
        <v>347</v>
      </c>
      <c r="B1081" s="99" t="s">
        <v>299</v>
      </c>
      <c r="C1081" s="99" t="s">
        <v>316</v>
      </c>
      <c r="D1081" s="48" t="s">
        <v>31</v>
      </c>
      <c r="E1081" s="48" t="s">
        <v>97</v>
      </c>
      <c r="F1081" s="205">
        <f ca="1" t="shared" si="989"/>
        <v>0</v>
      </c>
      <c r="G1081" s="205">
        <f ca="1" t="shared" si="990"/>
        <v>0</v>
      </c>
      <c r="H1081" s="205">
        <f ca="1" t="shared" si="991"/>
        <v>0</v>
      </c>
      <c r="I1081" s="205">
        <f ca="1" t="shared" si="992"/>
        <v>1</v>
      </c>
      <c r="J1081" s="205">
        <f ca="1" t="shared" si="993"/>
        <v>1</v>
      </c>
      <c r="K1081" s="205">
        <f ca="1" t="shared" si="994"/>
        <v>1</v>
      </c>
      <c r="L1081" s="205">
        <f ca="1" t="shared" si="995"/>
        <v>1</v>
      </c>
      <c r="M1081" s="205">
        <f ca="1" t="shared" si="996"/>
        <v>1</v>
      </c>
      <c r="N1081" s="205">
        <f ca="1" t="shared" si="997"/>
        <v>2</v>
      </c>
      <c r="O1081" s="205">
        <f ca="1" t="shared" si="998"/>
        <v>2</v>
      </c>
      <c r="P1081" s="205">
        <f ca="1" t="shared" si="999"/>
        <v>3</v>
      </c>
      <c r="Q1081" s="205">
        <f ca="1" t="shared" si="1000"/>
        <v>3</v>
      </c>
    </row>
    <row r="1082" ht="24" customHeight="1" spans="1:17">
      <c r="A1082" s="99" t="s">
        <v>347</v>
      </c>
      <c r="B1082" s="99" t="s">
        <v>299</v>
      </c>
      <c r="C1082" s="99" t="s">
        <v>316</v>
      </c>
      <c r="D1082" s="48" t="s">
        <v>31</v>
      </c>
      <c r="E1082" s="48" t="s">
        <v>87</v>
      </c>
      <c r="F1082" s="205">
        <f ca="1" t="shared" si="989"/>
        <v>0</v>
      </c>
      <c r="G1082" s="205">
        <f ca="1" t="shared" si="990"/>
        <v>0</v>
      </c>
      <c r="H1082" s="205">
        <f ca="1" t="shared" si="991"/>
        <v>0</v>
      </c>
      <c r="I1082" s="205">
        <f ca="1" t="shared" si="992"/>
        <v>0</v>
      </c>
      <c r="J1082" s="205">
        <f ca="1" t="shared" si="993"/>
        <v>0</v>
      </c>
      <c r="K1082" s="205">
        <f ca="1" t="shared" si="994"/>
        <v>0</v>
      </c>
      <c r="L1082" s="205">
        <f ca="1" t="shared" si="995"/>
        <v>0</v>
      </c>
      <c r="M1082" s="205">
        <f ca="1" t="shared" si="996"/>
        <v>0</v>
      </c>
      <c r="N1082" s="205">
        <f ca="1" t="shared" si="997"/>
        <v>0</v>
      </c>
      <c r="O1082" s="205">
        <f ca="1" t="shared" si="998"/>
        <v>0</v>
      </c>
      <c r="P1082" s="205">
        <f ca="1" t="shared" si="999"/>
        <v>0</v>
      </c>
      <c r="Q1082" s="205">
        <f ca="1" t="shared" si="1000"/>
        <v>0</v>
      </c>
    </row>
    <row r="1083" ht="24" customHeight="1" spans="1:17">
      <c r="A1083" s="99" t="s">
        <v>347</v>
      </c>
      <c r="B1083" s="99" t="s">
        <v>299</v>
      </c>
      <c r="C1083" s="99" t="s">
        <v>316</v>
      </c>
      <c r="D1083" s="48" t="s">
        <v>31</v>
      </c>
      <c r="E1083" s="48" t="s">
        <v>149</v>
      </c>
      <c r="F1083" s="205">
        <f ca="1" t="shared" si="989"/>
        <v>0</v>
      </c>
      <c r="G1083" s="205">
        <f ca="1" t="shared" si="990"/>
        <v>0</v>
      </c>
      <c r="H1083" s="205">
        <f ca="1" t="shared" si="991"/>
        <v>0</v>
      </c>
      <c r="I1083" s="205">
        <f ca="1" t="shared" si="992"/>
        <v>0</v>
      </c>
      <c r="J1083" s="205">
        <f ca="1" t="shared" si="993"/>
        <v>0</v>
      </c>
      <c r="K1083" s="205">
        <f ca="1" t="shared" si="994"/>
        <v>0</v>
      </c>
      <c r="L1083" s="205">
        <f ca="1" t="shared" si="995"/>
        <v>0</v>
      </c>
      <c r="M1083" s="205">
        <f ca="1" t="shared" si="996"/>
        <v>1</v>
      </c>
      <c r="N1083" s="205">
        <f ca="1" t="shared" si="997"/>
        <v>1</v>
      </c>
      <c r="O1083" s="205">
        <f ca="1" t="shared" si="998"/>
        <v>1</v>
      </c>
      <c r="P1083" s="205">
        <f ca="1" t="shared" si="999"/>
        <v>1</v>
      </c>
      <c r="Q1083" s="205">
        <f ca="1" t="shared" si="1000"/>
        <v>1</v>
      </c>
    </row>
    <row r="1084" ht="24" customHeight="1" spans="1:17">
      <c r="A1084" s="99" t="s">
        <v>347</v>
      </c>
      <c r="B1084" s="99" t="s">
        <v>299</v>
      </c>
      <c r="C1084" s="99" t="s">
        <v>316</v>
      </c>
      <c r="D1084" s="48" t="s">
        <v>31</v>
      </c>
      <c r="E1084" s="48" t="s">
        <v>83</v>
      </c>
      <c r="F1084" s="205">
        <f ca="1" t="shared" si="989"/>
        <v>0</v>
      </c>
      <c r="G1084" s="205">
        <f ca="1" t="shared" si="990"/>
        <v>0</v>
      </c>
      <c r="H1084" s="205">
        <f ca="1" t="shared" si="991"/>
        <v>0</v>
      </c>
      <c r="I1084" s="205">
        <f ca="1" t="shared" si="992"/>
        <v>0</v>
      </c>
      <c r="J1084" s="205">
        <f ca="1" t="shared" si="993"/>
        <v>0</v>
      </c>
      <c r="K1084" s="205">
        <f ca="1" t="shared" si="994"/>
        <v>0</v>
      </c>
      <c r="L1084" s="205">
        <f ca="1" t="shared" si="995"/>
        <v>0</v>
      </c>
      <c r="M1084" s="205">
        <f ca="1" t="shared" si="996"/>
        <v>0</v>
      </c>
      <c r="N1084" s="205">
        <f ca="1" t="shared" si="997"/>
        <v>0</v>
      </c>
      <c r="O1084" s="205">
        <f ca="1" t="shared" si="998"/>
        <v>0</v>
      </c>
      <c r="P1084" s="205">
        <f ca="1" t="shared" si="999"/>
        <v>0</v>
      </c>
      <c r="Q1084" s="205">
        <f ca="1" t="shared" si="1000"/>
        <v>0</v>
      </c>
    </row>
    <row r="1085" ht="24" customHeight="1" spans="1:17">
      <c r="A1085" s="99" t="s">
        <v>347</v>
      </c>
      <c r="B1085" s="99" t="s">
        <v>299</v>
      </c>
      <c r="C1085" s="99" t="s">
        <v>316</v>
      </c>
      <c r="D1085" s="48" t="s">
        <v>321</v>
      </c>
      <c r="E1085" s="48" t="s">
        <v>90</v>
      </c>
      <c r="F1085" s="112">
        <f ca="1" t="shared" ref="F1085:Q1085" si="1001">IFERROR(F1078/F1077," ")</f>
        <v>0</v>
      </c>
      <c r="G1085" s="112">
        <f ca="1" t="shared" si="1001"/>
        <v>0</v>
      </c>
      <c r="H1085" s="112">
        <f ca="1" t="shared" si="1001"/>
        <v>0</v>
      </c>
      <c r="I1085" s="112">
        <f ca="1" t="shared" si="1001"/>
        <v>0</v>
      </c>
      <c r="J1085" s="112">
        <f ca="1" t="shared" si="1001"/>
        <v>0</v>
      </c>
      <c r="K1085" s="112">
        <f ca="1" t="shared" si="1001"/>
        <v>0</v>
      </c>
      <c r="L1085" s="112">
        <f ca="1" t="shared" si="1001"/>
        <v>0</v>
      </c>
      <c r="M1085" s="112">
        <f ca="1" t="shared" si="1001"/>
        <v>0</v>
      </c>
      <c r="N1085" s="112">
        <f ca="1" t="shared" si="1001"/>
        <v>0.111111111111111</v>
      </c>
      <c r="O1085" s="112">
        <f ca="1" t="shared" si="1001"/>
        <v>0.111111111111111</v>
      </c>
      <c r="P1085" s="112">
        <f ca="1" t="shared" si="1001"/>
        <v>0.1</v>
      </c>
      <c r="Q1085" s="112">
        <f ca="1" t="shared" si="1001"/>
        <v>0.1</v>
      </c>
    </row>
    <row r="1086" ht="24" customHeight="1" spans="1:17">
      <c r="A1086" s="99" t="s">
        <v>347</v>
      </c>
      <c r="B1086" s="99" t="s">
        <v>299</v>
      </c>
      <c r="C1086" s="99" t="s">
        <v>316</v>
      </c>
      <c r="D1086" s="48" t="s">
        <v>321</v>
      </c>
      <c r="E1086" s="48" t="s">
        <v>82</v>
      </c>
      <c r="F1086" s="112">
        <f ca="1" t="shared" ref="F1086:Q1086" si="1002">IFERROR(F1079/F1077," ")</f>
        <v>1</v>
      </c>
      <c r="G1086" s="112">
        <f ca="1" t="shared" si="1002"/>
        <v>1</v>
      </c>
      <c r="H1086" s="112">
        <f ca="1" t="shared" si="1002"/>
        <v>1</v>
      </c>
      <c r="I1086" s="112">
        <f ca="1" t="shared" si="1002"/>
        <v>0.5</v>
      </c>
      <c r="J1086" s="112">
        <f ca="1" t="shared" si="1002"/>
        <v>0.5</v>
      </c>
      <c r="K1086" s="112">
        <f ca="1" t="shared" si="1002"/>
        <v>0.75</v>
      </c>
      <c r="L1086" s="112">
        <f ca="1" t="shared" si="1002"/>
        <v>0.6</v>
      </c>
      <c r="M1086" s="112">
        <f ca="1" t="shared" si="1002"/>
        <v>0.5</v>
      </c>
      <c r="N1086" s="112">
        <f ca="1" t="shared" si="1002"/>
        <v>0.444444444444444</v>
      </c>
      <c r="O1086" s="112">
        <f ca="1" t="shared" si="1002"/>
        <v>0.444444444444444</v>
      </c>
      <c r="P1086" s="112">
        <f ca="1" t="shared" si="1002"/>
        <v>0.4</v>
      </c>
      <c r="Q1086" s="112">
        <f ca="1" t="shared" si="1002"/>
        <v>0.4</v>
      </c>
    </row>
    <row r="1087" ht="24" customHeight="1" spans="1:17">
      <c r="A1087" s="99" t="s">
        <v>347</v>
      </c>
      <c r="B1087" s="99" t="s">
        <v>299</v>
      </c>
      <c r="C1087" s="99" t="s">
        <v>316</v>
      </c>
      <c r="D1087" s="48" t="s">
        <v>321</v>
      </c>
      <c r="E1087" s="48" t="s">
        <v>86</v>
      </c>
      <c r="F1087" s="112">
        <f ca="1" t="shared" ref="F1087:Q1087" si="1003">IFERROR(F1080/F1077," ")</f>
        <v>0</v>
      </c>
      <c r="G1087" s="112">
        <f ca="1" t="shared" si="1003"/>
        <v>0</v>
      </c>
      <c r="H1087" s="112">
        <f ca="1" t="shared" si="1003"/>
        <v>0</v>
      </c>
      <c r="I1087" s="112">
        <f ca="1" t="shared" si="1003"/>
        <v>0</v>
      </c>
      <c r="J1087" s="112">
        <f ca="1" t="shared" si="1003"/>
        <v>0</v>
      </c>
      <c r="K1087" s="112">
        <f ca="1" t="shared" si="1003"/>
        <v>0</v>
      </c>
      <c r="L1087" s="112">
        <f ca="1" t="shared" si="1003"/>
        <v>0.2</v>
      </c>
      <c r="M1087" s="112">
        <f ca="1" t="shared" si="1003"/>
        <v>0.166666666666667</v>
      </c>
      <c r="N1087" s="112">
        <f ca="1" t="shared" si="1003"/>
        <v>0.111111111111111</v>
      </c>
      <c r="O1087" s="112">
        <f ca="1" t="shared" si="1003"/>
        <v>0.111111111111111</v>
      </c>
      <c r="P1087" s="112">
        <f ca="1" t="shared" si="1003"/>
        <v>0.1</v>
      </c>
      <c r="Q1087" s="112">
        <f ca="1" t="shared" si="1003"/>
        <v>0.1</v>
      </c>
    </row>
    <row r="1088" ht="24" customHeight="1" spans="1:17">
      <c r="A1088" s="99" t="s">
        <v>347</v>
      </c>
      <c r="B1088" s="99" t="s">
        <v>299</v>
      </c>
      <c r="C1088" s="99" t="s">
        <v>316</v>
      </c>
      <c r="D1088" s="48" t="s">
        <v>321</v>
      </c>
      <c r="E1088" s="48" t="s">
        <v>97</v>
      </c>
      <c r="F1088" s="112">
        <f ca="1" t="shared" ref="F1088:Q1088" si="1004">IFERROR(F1081/F1077," ")</f>
        <v>0</v>
      </c>
      <c r="G1088" s="112">
        <f ca="1" t="shared" si="1004"/>
        <v>0</v>
      </c>
      <c r="H1088" s="112">
        <f ca="1" t="shared" si="1004"/>
        <v>0</v>
      </c>
      <c r="I1088" s="112">
        <f ca="1" t="shared" si="1004"/>
        <v>0.5</v>
      </c>
      <c r="J1088" s="112">
        <f ca="1" t="shared" si="1004"/>
        <v>0.5</v>
      </c>
      <c r="K1088" s="112">
        <f ca="1" t="shared" si="1004"/>
        <v>0.25</v>
      </c>
      <c r="L1088" s="112">
        <f ca="1" t="shared" si="1004"/>
        <v>0.2</v>
      </c>
      <c r="M1088" s="112">
        <f ca="1" t="shared" si="1004"/>
        <v>0.166666666666667</v>
      </c>
      <c r="N1088" s="112">
        <f ca="1" t="shared" si="1004"/>
        <v>0.222222222222222</v>
      </c>
      <c r="O1088" s="112">
        <f ca="1" t="shared" si="1004"/>
        <v>0.222222222222222</v>
      </c>
      <c r="P1088" s="112">
        <f ca="1" t="shared" si="1004"/>
        <v>0.3</v>
      </c>
      <c r="Q1088" s="112">
        <f ca="1" t="shared" si="1004"/>
        <v>0.3</v>
      </c>
    </row>
    <row r="1089" ht="24" customHeight="1" spans="1:17">
      <c r="A1089" s="99" t="s">
        <v>347</v>
      </c>
      <c r="B1089" s="99" t="s">
        <v>299</v>
      </c>
      <c r="C1089" s="99" t="s">
        <v>316</v>
      </c>
      <c r="D1089" s="48" t="s">
        <v>321</v>
      </c>
      <c r="E1089" s="48" t="s">
        <v>87</v>
      </c>
      <c r="F1089" s="112">
        <f ca="1" t="shared" ref="F1089:Q1089" si="1005">IFERROR(F1082/F1077," ")</f>
        <v>0</v>
      </c>
      <c r="G1089" s="112">
        <f ca="1" t="shared" si="1005"/>
        <v>0</v>
      </c>
      <c r="H1089" s="112">
        <f ca="1" t="shared" si="1005"/>
        <v>0</v>
      </c>
      <c r="I1089" s="112">
        <f ca="1" t="shared" si="1005"/>
        <v>0</v>
      </c>
      <c r="J1089" s="112">
        <f ca="1" t="shared" si="1005"/>
        <v>0</v>
      </c>
      <c r="K1089" s="112">
        <f ca="1" t="shared" si="1005"/>
        <v>0</v>
      </c>
      <c r="L1089" s="112">
        <f ca="1" t="shared" si="1005"/>
        <v>0</v>
      </c>
      <c r="M1089" s="112">
        <f ca="1" t="shared" si="1005"/>
        <v>0</v>
      </c>
      <c r="N1089" s="112">
        <f ca="1" t="shared" si="1005"/>
        <v>0</v>
      </c>
      <c r="O1089" s="112">
        <f ca="1" t="shared" si="1005"/>
        <v>0</v>
      </c>
      <c r="P1089" s="112">
        <f ca="1" t="shared" si="1005"/>
        <v>0</v>
      </c>
      <c r="Q1089" s="112">
        <f ca="1" t="shared" si="1005"/>
        <v>0</v>
      </c>
    </row>
    <row r="1090" ht="24" customHeight="1" spans="1:17">
      <c r="A1090" s="99" t="s">
        <v>347</v>
      </c>
      <c r="B1090" s="99" t="s">
        <v>299</v>
      </c>
      <c r="C1090" s="99" t="s">
        <v>316</v>
      </c>
      <c r="D1090" s="48" t="s">
        <v>321</v>
      </c>
      <c r="E1090" s="48" t="s">
        <v>149</v>
      </c>
      <c r="F1090" s="112">
        <f ca="1" t="shared" ref="F1090:Q1090" si="1006">IFERROR(F1083/F1077," ")</f>
        <v>0</v>
      </c>
      <c r="G1090" s="112">
        <f ca="1" t="shared" si="1006"/>
        <v>0</v>
      </c>
      <c r="H1090" s="112">
        <f ca="1" t="shared" si="1006"/>
        <v>0</v>
      </c>
      <c r="I1090" s="112">
        <f ca="1" t="shared" si="1006"/>
        <v>0</v>
      </c>
      <c r="J1090" s="112">
        <f ca="1" t="shared" si="1006"/>
        <v>0</v>
      </c>
      <c r="K1090" s="112">
        <f ca="1" t="shared" si="1006"/>
        <v>0</v>
      </c>
      <c r="L1090" s="112">
        <f ca="1" t="shared" si="1006"/>
        <v>0</v>
      </c>
      <c r="M1090" s="112">
        <f ca="1" t="shared" si="1006"/>
        <v>0.166666666666667</v>
      </c>
      <c r="N1090" s="112">
        <f ca="1" t="shared" si="1006"/>
        <v>0.111111111111111</v>
      </c>
      <c r="O1090" s="112">
        <f ca="1" t="shared" si="1006"/>
        <v>0.111111111111111</v>
      </c>
      <c r="P1090" s="112">
        <f ca="1" t="shared" si="1006"/>
        <v>0.1</v>
      </c>
      <c r="Q1090" s="112">
        <f ca="1" t="shared" si="1006"/>
        <v>0.1</v>
      </c>
    </row>
    <row r="1091" ht="24" customHeight="1" spans="1:17">
      <c r="A1091" s="99" t="s">
        <v>347</v>
      </c>
      <c r="B1091" s="99" t="s">
        <v>299</v>
      </c>
      <c r="C1091" s="99" t="s">
        <v>316</v>
      </c>
      <c r="D1091" s="48" t="s">
        <v>321</v>
      </c>
      <c r="E1091" s="48" t="s">
        <v>83</v>
      </c>
      <c r="F1091" s="112">
        <f ca="1" t="shared" ref="F1091:Q1091" si="1007">IFERROR(F1084/F1079," ")</f>
        <v>0</v>
      </c>
      <c r="G1091" s="112">
        <f ca="1" t="shared" si="1007"/>
        <v>0</v>
      </c>
      <c r="H1091" s="112">
        <f ca="1" t="shared" si="1007"/>
        <v>0</v>
      </c>
      <c r="I1091" s="112">
        <f ca="1" t="shared" si="1007"/>
        <v>0</v>
      </c>
      <c r="J1091" s="112">
        <f ca="1" t="shared" si="1007"/>
        <v>0</v>
      </c>
      <c r="K1091" s="112">
        <f ca="1" t="shared" si="1007"/>
        <v>0</v>
      </c>
      <c r="L1091" s="112">
        <f ca="1" t="shared" si="1007"/>
        <v>0</v>
      </c>
      <c r="M1091" s="112">
        <f ca="1" t="shared" si="1007"/>
        <v>0</v>
      </c>
      <c r="N1091" s="112">
        <f ca="1" t="shared" si="1007"/>
        <v>0</v>
      </c>
      <c r="O1091" s="112">
        <f ca="1" t="shared" si="1007"/>
        <v>0</v>
      </c>
      <c r="P1091" s="112">
        <f ca="1" t="shared" si="1007"/>
        <v>0</v>
      </c>
      <c r="Q1091" s="112">
        <f ca="1" t="shared" si="1007"/>
        <v>0</v>
      </c>
    </row>
    <row r="1092" ht="24" customHeight="1" spans="1:17">
      <c r="A1092" s="99" t="s">
        <v>347</v>
      </c>
      <c r="B1092" s="99" t="s">
        <v>299</v>
      </c>
      <c r="C1092" s="99" t="s">
        <v>316</v>
      </c>
      <c r="D1092" s="47" t="s">
        <v>294</v>
      </c>
      <c r="E1092" s="47" t="s">
        <v>93</v>
      </c>
      <c r="F1092" s="206">
        <f ca="1" t="shared" ref="F1092:Q1092" si="1008">IF($S$1&lt;DATE(2025,1,1)," ",F995)</f>
        <v>0</v>
      </c>
      <c r="G1092" s="206">
        <f ca="1" t="shared" si="1008"/>
        <v>0</v>
      </c>
      <c r="H1092" s="206">
        <f ca="1" t="shared" si="1008"/>
        <v>0</v>
      </c>
      <c r="I1092" s="206">
        <f ca="1" t="shared" si="1008"/>
        <v>0</v>
      </c>
      <c r="J1092" s="206">
        <f ca="1" t="shared" si="1008"/>
        <v>0</v>
      </c>
      <c r="K1092" s="206">
        <f ca="1" t="shared" si="1008"/>
        <v>0</v>
      </c>
      <c r="L1092" s="206">
        <f ca="1" t="shared" si="1008"/>
        <v>1</v>
      </c>
      <c r="M1092" s="206">
        <f ca="1" t="shared" si="1008"/>
        <v>1</v>
      </c>
      <c r="N1092" s="206">
        <f ca="1" t="shared" si="1008"/>
        <v>1</v>
      </c>
      <c r="O1092" s="206">
        <f ca="1" t="shared" si="1008"/>
        <v>0</v>
      </c>
      <c r="P1092" s="206">
        <f ca="1" t="shared" si="1008"/>
        <v>0</v>
      </c>
      <c r="Q1092" s="206">
        <f ca="1" t="shared" si="1008"/>
        <v>0</v>
      </c>
    </row>
    <row r="1093" ht="24" customHeight="1" spans="1:17">
      <c r="A1093" s="99" t="s">
        <v>347</v>
      </c>
      <c r="B1093" s="99" t="s">
        <v>299</v>
      </c>
      <c r="C1093" s="99" t="s">
        <v>316</v>
      </c>
      <c r="D1093" s="47" t="s">
        <v>294</v>
      </c>
      <c r="E1093" s="47" t="s">
        <v>85</v>
      </c>
      <c r="F1093" s="206">
        <f ca="1" t="shared" ref="F1093:Q1093" si="1009">IF($S$1&lt;DATE(2025,1,1)," ",F996)</f>
        <v>0</v>
      </c>
      <c r="G1093" s="206">
        <f ca="1" t="shared" si="1009"/>
        <v>0</v>
      </c>
      <c r="H1093" s="206">
        <f ca="1" t="shared" si="1009"/>
        <v>0</v>
      </c>
      <c r="I1093" s="206">
        <f ca="1" t="shared" si="1009"/>
        <v>0</v>
      </c>
      <c r="J1093" s="206">
        <f ca="1" t="shared" si="1009"/>
        <v>0</v>
      </c>
      <c r="K1093" s="206">
        <f ca="1" t="shared" si="1009"/>
        <v>1</v>
      </c>
      <c r="L1093" s="206">
        <f ca="1" t="shared" si="1009"/>
        <v>0</v>
      </c>
      <c r="M1093" s="206">
        <f ca="1" t="shared" si="1009"/>
        <v>0</v>
      </c>
      <c r="N1093" s="206">
        <f ca="1" t="shared" si="1009"/>
        <v>0</v>
      </c>
      <c r="O1093" s="206">
        <f ca="1" t="shared" si="1009"/>
        <v>0</v>
      </c>
      <c r="P1093" s="206">
        <f ca="1" t="shared" si="1009"/>
        <v>0</v>
      </c>
      <c r="Q1093" s="206">
        <f ca="1" t="shared" si="1009"/>
        <v>0</v>
      </c>
    </row>
    <row r="1094" ht="24" customHeight="1" spans="1:17">
      <c r="A1094" s="99" t="s">
        <v>347</v>
      </c>
      <c r="B1094" s="99" t="s">
        <v>299</v>
      </c>
      <c r="C1094" s="99" t="s">
        <v>316</v>
      </c>
      <c r="D1094" s="47" t="s">
        <v>294</v>
      </c>
      <c r="E1094" s="47" t="s">
        <v>81</v>
      </c>
      <c r="F1094" s="206">
        <f ca="1" t="shared" ref="F1094:Q1094" si="1010">IF($S$1&lt;DATE(2025,1,1)," ",F997)</f>
        <v>0</v>
      </c>
      <c r="G1094" s="206">
        <f ca="1" t="shared" si="1010"/>
        <v>0</v>
      </c>
      <c r="H1094" s="206">
        <f ca="1" t="shared" si="1010"/>
        <v>0</v>
      </c>
      <c r="I1094" s="206">
        <f ca="1" t="shared" si="1010"/>
        <v>0</v>
      </c>
      <c r="J1094" s="206">
        <f ca="1" t="shared" si="1010"/>
        <v>0</v>
      </c>
      <c r="K1094" s="206">
        <f ca="1" t="shared" si="1010"/>
        <v>0</v>
      </c>
      <c r="L1094" s="206">
        <f ca="1" t="shared" si="1010"/>
        <v>0</v>
      </c>
      <c r="M1094" s="206">
        <f ca="1" t="shared" si="1010"/>
        <v>0</v>
      </c>
      <c r="N1094" s="206">
        <f ca="1" t="shared" si="1010"/>
        <v>0</v>
      </c>
      <c r="O1094" s="206">
        <f ca="1" t="shared" si="1010"/>
        <v>0</v>
      </c>
      <c r="P1094" s="206">
        <f ca="1" t="shared" si="1010"/>
        <v>0</v>
      </c>
      <c r="Q1094" s="206">
        <f ca="1" t="shared" si="1010"/>
        <v>0</v>
      </c>
    </row>
    <row r="1095" ht="24" customHeight="1" spans="1:17">
      <c r="A1095" s="99" t="s">
        <v>347</v>
      </c>
      <c r="B1095" s="99" t="s">
        <v>299</v>
      </c>
      <c r="C1095" s="99" t="s">
        <v>316</v>
      </c>
      <c r="D1095" s="47" t="s">
        <v>294</v>
      </c>
      <c r="E1095" s="47" t="s">
        <v>96</v>
      </c>
      <c r="F1095" s="206">
        <f ca="1" t="shared" ref="F1095:Q1095" si="1011">IF($S$1&lt;DATE(2025,1,1)," ",F998)</f>
        <v>0</v>
      </c>
      <c r="G1095" s="206">
        <f ca="1" t="shared" si="1011"/>
        <v>0</v>
      </c>
      <c r="H1095" s="206">
        <f ca="1" t="shared" si="1011"/>
        <v>0</v>
      </c>
      <c r="I1095" s="206">
        <f ca="1" t="shared" si="1011"/>
        <v>0</v>
      </c>
      <c r="J1095" s="206">
        <f ca="1" t="shared" si="1011"/>
        <v>0</v>
      </c>
      <c r="K1095" s="206">
        <f ca="1" t="shared" si="1011"/>
        <v>0</v>
      </c>
      <c r="L1095" s="206">
        <f ca="1" t="shared" si="1011"/>
        <v>0</v>
      </c>
      <c r="M1095" s="206">
        <f ca="1" t="shared" si="1011"/>
        <v>0</v>
      </c>
      <c r="N1095" s="206">
        <f ca="1" t="shared" si="1011"/>
        <v>0</v>
      </c>
      <c r="O1095" s="206">
        <f ca="1" t="shared" si="1011"/>
        <v>0</v>
      </c>
      <c r="P1095" s="206">
        <f ca="1" t="shared" si="1011"/>
        <v>0</v>
      </c>
      <c r="Q1095" s="206">
        <f ca="1" t="shared" si="1011"/>
        <v>0</v>
      </c>
    </row>
    <row r="1096" ht="24" customHeight="1" spans="1:17">
      <c r="A1096" s="99" t="s">
        <v>347</v>
      </c>
      <c r="B1096" s="99" t="s">
        <v>299</v>
      </c>
      <c r="C1096" s="99" t="s">
        <v>316</v>
      </c>
      <c r="D1096" s="47" t="s">
        <v>294</v>
      </c>
      <c r="E1096" s="47" t="s">
        <v>160</v>
      </c>
      <c r="F1096" s="206">
        <f ca="1" t="shared" ref="F1096:Q1096" si="1012">IF($S$1&lt;DATE(2025,1,1)," ",F999)</f>
        <v>0</v>
      </c>
      <c r="G1096" s="206">
        <f ca="1" t="shared" si="1012"/>
        <v>0</v>
      </c>
      <c r="H1096" s="206">
        <f ca="1" t="shared" si="1012"/>
        <v>0</v>
      </c>
      <c r="I1096" s="206">
        <f ca="1" t="shared" si="1012"/>
        <v>0</v>
      </c>
      <c r="J1096" s="206">
        <f ca="1" t="shared" si="1012"/>
        <v>0</v>
      </c>
      <c r="K1096" s="206">
        <f ca="1" t="shared" si="1012"/>
        <v>0</v>
      </c>
      <c r="L1096" s="206">
        <f ca="1" t="shared" si="1012"/>
        <v>0</v>
      </c>
      <c r="M1096" s="206">
        <f ca="1" t="shared" si="1012"/>
        <v>0</v>
      </c>
      <c r="N1096" s="206">
        <f ca="1" t="shared" si="1012"/>
        <v>0</v>
      </c>
      <c r="O1096" s="206">
        <f ca="1" t="shared" si="1012"/>
        <v>0</v>
      </c>
      <c r="P1096" s="206">
        <f ca="1" t="shared" si="1012"/>
        <v>0</v>
      </c>
      <c r="Q1096" s="206">
        <f ca="1" t="shared" si="1012"/>
        <v>0</v>
      </c>
    </row>
    <row r="1097" ht="24" customHeight="1" spans="1:17">
      <c r="A1097" s="99" t="s">
        <v>347</v>
      </c>
      <c r="B1097" s="99" t="s">
        <v>299</v>
      </c>
      <c r="C1097" s="99" t="s">
        <v>316</v>
      </c>
      <c r="D1097" s="100" t="s">
        <v>292</v>
      </c>
      <c r="E1097" s="100" t="s">
        <v>322</v>
      </c>
      <c r="F1097" s="204">
        <f ca="1">IF($S$1&lt;DATE(2025,1,1)," ",SUM(F1098:F1100))</f>
        <v>1</v>
      </c>
      <c r="G1097" s="204">
        <f ca="1">IF($S$1&lt;DATE(2025,2,1)," ",SUM(G1098:G1100))</f>
        <v>1</v>
      </c>
      <c r="H1097" s="204">
        <f ca="1">IF($S$1&lt;DATE(2025,3,1)," ",SUM(H1098:H1100))</f>
        <v>1</v>
      </c>
      <c r="I1097" s="204">
        <f ca="1">IF($S$1&lt;DATE(2025,4,1)," ",SUM(I1098:I1100))</f>
        <v>1</v>
      </c>
      <c r="J1097" s="204">
        <f ca="1">IF($S$1&lt;DATE(2025,5,1)," ",SUM(J1098:J1100))</f>
        <v>1</v>
      </c>
      <c r="K1097" s="204">
        <f ca="1">IF($S$1&lt;DATE(2025,6,1)," ",SUM(K1098:K1100))</f>
        <v>3</v>
      </c>
      <c r="L1097" s="204">
        <f ca="1">IF($S$1&lt;DATE(2025,7,1)," ",SUM(L1098:L1100))</f>
        <v>4</v>
      </c>
      <c r="M1097" s="204">
        <f ca="1">IF($S$1&lt;DATE(2025,8,1)," ",SUM(M1098:M1100))</f>
        <v>5</v>
      </c>
      <c r="N1097" s="204">
        <f ca="1">IF($S$1&lt;DATE(2025,9,1)," ",SUM(N1098:N1100))</f>
        <v>8</v>
      </c>
      <c r="O1097" s="204">
        <f ca="1">IF($S$1&lt;DATE(2025,10,1)," ",SUM(O1098:O1100))</f>
        <v>8</v>
      </c>
      <c r="P1097" s="204">
        <f ca="1">IF($S$1&lt;DATE(2025,11,1)," ",SUM(P1098:P1100))</f>
        <v>9</v>
      </c>
      <c r="Q1097" s="204">
        <f ca="1">IF($S$1&lt;DATE(2025,12,1)," ",SUM(Q1098:Q1100))</f>
        <v>9</v>
      </c>
    </row>
    <row r="1098" ht="24" customHeight="1" spans="1:17">
      <c r="A1098" s="99" t="s">
        <v>347</v>
      </c>
      <c r="B1098" s="99" t="s">
        <v>299</v>
      </c>
      <c r="C1098" s="99" t="s">
        <v>316</v>
      </c>
      <c r="D1098" s="48" t="s">
        <v>296</v>
      </c>
      <c r="E1098" s="48" t="s">
        <v>90</v>
      </c>
      <c r="F1098" s="205">
        <f ca="1" t="shared" ref="F1098:F1100" si="1013">IF($S$1&lt;DATE(2025,1,1)," ",F1011)</f>
        <v>0</v>
      </c>
      <c r="G1098" s="205">
        <f ca="1" t="shared" ref="G1098:G1100" si="1014">IF($S$1&lt;DATE(2025,2,1)," ",G1011+F1098)</f>
        <v>0</v>
      </c>
      <c r="H1098" s="205">
        <f ca="1" t="shared" ref="H1098:H1100" si="1015">IF($S$1&lt;DATE(2025,3,1)," ",H1011+G1098)</f>
        <v>0</v>
      </c>
      <c r="I1098" s="205">
        <f ca="1" t="shared" ref="I1098:I1100" si="1016">IF($S$1&lt;DATE(2025,4,1)," ",I1011+H1098)</f>
        <v>0</v>
      </c>
      <c r="J1098" s="205">
        <f ca="1" t="shared" ref="J1098:J1100" si="1017">IF($S$1&lt;DATE(2025,5,1)," ",J1011+I1098)</f>
        <v>0</v>
      </c>
      <c r="K1098" s="205">
        <f ca="1" t="shared" ref="K1098:K1100" si="1018">IF($S$1&lt;DATE(2025,6,1)," ",K1011+J1098)</f>
        <v>0</v>
      </c>
      <c r="L1098" s="205">
        <f ca="1" t="shared" ref="L1098:L1100" si="1019">IF($S$1&lt;DATE(2025,7,1)," ",L1011+K1098)</f>
        <v>0</v>
      </c>
      <c r="M1098" s="205">
        <f ca="1" t="shared" ref="M1098:M1100" si="1020">IF($S$1&lt;DATE(2025,8,1)," ",M1011+L1098)</f>
        <v>1</v>
      </c>
      <c r="N1098" s="205">
        <f ca="1" t="shared" ref="N1098:N1100" si="1021">IF($S$1&lt;DATE(2025,9,1)," ",N1011+M1098)</f>
        <v>2</v>
      </c>
      <c r="O1098" s="205">
        <f ca="1" t="shared" ref="O1098:O1100" si="1022">IF($S$1&lt;DATE(2025,10,1)," ",O1011+N1098)</f>
        <v>2</v>
      </c>
      <c r="P1098" s="205">
        <f ca="1" t="shared" ref="P1098:P1100" si="1023">IF($S$1&lt;DATE(2025,11,1)," ",P1011+O1098)</f>
        <v>2</v>
      </c>
      <c r="Q1098" s="205">
        <f ca="1" t="shared" ref="Q1098:Q1100" si="1024">IF($S$1&lt;DATE(2025,12,1)," ",Q1011+P1098)</f>
        <v>2</v>
      </c>
    </row>
    <row r="1099" ht="24" customHeight="1" spans="1:17">
      <c r="A1099" s="99" t="s">
        <v>347</v>
      </c>
      <c r="B1099" s="99" t="s">
        <v>299</v>
      </c>
      <c r="C1099" s="99" t="s">
        <v>316</v>
      </c>
      <c r="D1099" s="48" t="s">
        <v>296</v>
      </c>
      <c r="E1099" s="48" t="s">
        <v>82</v>
      </c>
      <c r="F1099" s="205">
        <f ca="1" t="shared" si="1013"/>
        <v>1</v>
      </c>
      <c r="G1099" s="205">
        <f ca="1" t="shared" si="1014"/>
        <v>1</v>
      </c>
      <c r="H1099" s="205">
        <f ca="1" t="shared" si="1015"/>
        <v>1</v>
      </c>
      <c r="I1099" s="205">
        <f ca="1" t="shared" si="1016"/>
        <v>1</v>
      </c>
      <c r="J1099" s="205">
        <f ca="1" t="shared" si="1017"/>
        <v>1</v>
      </c>
      <c r="K1099" s="205">
        <f ca="1" t="shared" si="1018"/>
        <v>3</v>
      </c>
      <c r="L1099" s="205">
        <f ca="1" t="shared" si="1019"/>
        <v>3</v>
      </c>
      <c r="M1099" s="205">
        <f ca="1" t="shared" si="1020"/>
        <v>3</v>
      </c>
      <c r="N1099" s="205">
        <f ca="1" t="shared" si="1021"/>
        <v>5</v>
      </c>
      <c r="O1099" s="205">
        <f ca="1" t="shared" si="1022"/>
        <v>5</v>
      </c>
      <c r="P1099" s="205">
        <f ca="1" t="shared" si="1023"/>
        <v>6</v>
      </c>
      <c r="Q1099" s="205">
        <f ca="1" t="shared" si="1024"/>
        <v>6</v>
      </c>
    </row>
    <row r="1100" ht="24" customHeight="1" spans="1:17">
      <c r="A1100" s="99" t="s">
        <v>347</v>
      </c>
      <c r="B1100" s="99" t="s">
        <v>299</v>
      </c>
      <c r="C1100" s="99" t="s">
        <v>316</v>
      </c>
      <c r="D1100" s="48" t="s">
        <v>296</v>
      </c>
      <c r="E1100" s="48" t="s">
        <v>86</v>
      </c>
      <c r="F1100" s="205">
        <f ca="1" t="shared" si="1013"/>
        <v>0</v>
      </c>
      <c r="G1100" s="205">
        <f ca="1" t="shared" si="1014"/>
        <v>0</v>
      </c>
      <c r="H1100" s="205">
        <f ca="1" t="shared" si="1015"/>
        <v>0</v>
      </c>
      <c r="I1100" s="205">
        <f ca="1" t="shared" si="1016"/>
        <v>0</v>
      </c>
      <c r="J1100" s="205">
        <f ca="1" t="shared" si="1017"/>
        <v>0</v>
      </c>
      <c r="K1100" s="205">
        <f ca="1" t="shared" si="1018"/>
        <v>0</v>
      </c>
      <c r="L1100" s="205">
        <f ca="1" t="shared" si="1019"/>
        <v>1</v>
      </c>
      <c r="M1100" s="205">
        <f ca="1" t="shared" si="1020"/>
        <v>1</v>
      </c>
      <c r="N1100" s="205">
        <f ca="1" t="shared" si="1021"/>
        <v>1</v>
      </c>
      <c r="O1100" s="205">
        <f ca="1" t="shared" si="1022"/>
        <v>1</v>
      </c>
      <c r="P1100" s="205">
        <f ca="1" t="shared" si="1023"/>
        <v>1</v>
      </c>
      <c r="Q1100" s="205">
        <f ca="1" t="shared" si="1024"/>
        <v>1</v>
      </c>
    </row>
    <row r="1101" ht="24" customHeight="1" spans="1:17">
      <c r="A1101" s="99" t="s">
        <v>347</v>
      </c>
      <c r="B1101" s="99" t="s">
        <v>299</v>
      </c>
      <c r="C1101" s="99" t="s">
        <v>316</v>
      </c>
      <c r="D1101" s="48" t="s">
        <v>323</v>
      </c>
      <c r="E1101" s="48" t="s">
        <v>90</v>
      </c>
      <c r="F1101" s="112">
        <f ca="1" t="shared" ref="F1101:Q1101" si="1025">IFERROR(F1098/F1097," ")</f>
        <v>0</v>
      </c>
      <c r="G1101" s="112">
        <f ca="1" t="shared" si="1025"/>
        <v>0</v>
      </c>
      <c r="H1101" s="112">
        <f ca="1" t="shared" si="1025"/>
        <v>0</v>
      </c>
      <c r="I1101" s="112">
        <f ca="1" t="shared" si="1025"/>
        <v>0</v>
      </c>
      <c r="J1101" s="112">
        <f ca="1" t="shared" si="1025"/>
        <v>0</v>
      </c>
      <c r="K1101" s="112">
        <f ca="1" t="shared" si="1025"/>
        <v>0</v>
      </c>
      <c r="L1101" s="112">
        <f ca="1" t="shared" si="1025"/>
        <v>0</v>
      </c>
      <c r="M1101" s="112">
        <f ca="1" t="shared" si="1025"/>
        <v>0.2</v>
      </c>
      <c r="N1101" s="112">
        <f ca="1" t="shared" si="1025"/>
        <v>0.25</v>
      </c>
      <c r="O1101" s="112">
        <f ca="1" t="shared" si="1025"/>
        <v>0.25</v>
      </c>
      <c r="P1101" s="112">
        <f ca="1" t="shared" si="1025"/>
        <v>0.222222222222222</v>
      </c>
      <c r="Q1101" s="112">
        <f ca="1" t="shared" si="1025"/>
        <v>0.222222222222222</v>
      </c>
    </row>
    <row r="1102" ht="24" customHeight="1" spans="1:17">
      <c r="A1102" s="99" t="s">
        <v>347</v>
      </c>
      <c r="B1102" s="99" t="s">
        <v>299</v>
      </c>
      <c r="C1102" s="99" t="s">
        <v>316</v>
      </c>
      <c r="D1102" s="48" t="s">
        <v>323</v>
      </c>
      <c r="E1102" s="48" t="s">
        <v>82</v>
      </c>
      <c r="F1102" s="112">
        <f ca="1" t="shared" ref="F1102:Q1102" si="1026">IFERROR(F1099/F1097," ")</f>
        <v>1</v>
      </c>
      <c r="G1102" s="112">
        <f ca="1" t="shared" si="1026"/>
        <v>1</v>
      </c>
      <c r="H1102" s="112">
        <f ca="1" t="shared" si="1026"/>
        <v>1</v>
      </c>
      <c r="I1102" s="112">
        <f ca="1" t="shared" si="1026"/>
        <v>1</v>
      </c>
      <c r="J1102" s="112">
        <f ca="1" t="shared" si="1026"/>
        <v>1</v>
      </c>
      <c r="K1102" s="112">
        <f ca="1" t="shared" si="1026"/>
        <v>1</v>
      </c>
      <c r="L1102" s="112">
        <f ca="1" t="shared" si="1026"/>
        <v>0.75</v>
      </c>
      <c r="M1102" s="112">
        <f ca="1" t="shared" si="1026"/>
        <v>0.6</v>
      </c>
      <c r="N1102" s="112">
        <f ca="1" t="shared" si="1026"/>
        <v>0.625</v>
      </c>
      <c r="O1102" s="112">
        <f ca="1" t="shared" si="1026"/>
        <v>0.625</v>
      </c>
      <c r="P1102" s="112">
        <f ca="1" t="shared" si="1026"/>
        <v>0.666666666666667</v>
      </c>
      <c r="Q1102" s="112">
        <f ca="1" t="shared" si="1026"/>
        <v>0.666666666666667</v>
      </c>
    </row>
    <row r="1103" ht="24" customHeight="1" spans="1:17">
      <c r="A1103" s="99" t="s">
        <v>347</v>
      </c>
      <c r="B1103" s="99" t="s">
        <v>299</v>
      </c>
      <c r="C1103" s="99" t="s">
        <v>316</v>
      </c>
      <c r="D1103" s="48" t="s">
        <v>323</v>
      </c>
      <c r="E1103" s="48" t="s">
        <v>86</v>
      </c>
      <c r="F1103" s="112">
        <f ca="1" t="shared" ref="F1103:Q1103" si="1027">IFERROR(F1100/F1097," ")</f>
        <v>0</v>
      </c>
      <c r="G1103" s="112">
        <f ca="1" t="shared" si="1027"/>
        <v>0</v>
      </c>
      <c r="H1103" s="112">
        <f ca="1" t="shared" si="1027"/>
        <v>0</v>
      </c>
      <c r="I1103" s="112">
        <f ca="1" t="shared" si="1027"/>
        <v>0</v>
      </c>
      <c r="J1103" s="112">
        <f ca="1" t="shared" si="1027"/>
        <v>0</v>
      </c>
      <c r="K1103" s="112">
        <f ca="1" t="shared" si="1027"/>
        <v>0</v>
      </c>
      <c r="L1103" s="112">
        <f ca="1" t="shared" si="1027"/>
        <v>0.25</v>
      </c>
      <c r="M1103" s="112">
        <f ca="1" t="shared" si="1027"/>
        <v>0.2</v>
      </c>
      <c r="N1103" s="112">
        <f ca="1" t="shared" si="1027"/>
        <v>0.125</v>
      </c>
      <c r="O1103" s="112">
        <f ca="1" t="shared" si="1027"/>
        <v>0.125</v>
      </c>
      <c r="P1103" s="112">
        <f ca="1" t="shared" si="1027"/>
        <v>0.111111111111111</v>
      </c>
      <c r="Q1103" s="112">
        <f ca="1" t="shared" si="1027"/>
        <v>0.111111111111111</v>
      </c>
    </row>
    <row r="1104" ht="24" customHeight="1" spans="1:17">
      <c r="A1104" s="99" t="s">
        <v>347</v>
      </c>
      <c r="B1104" s="99" t="s">
        <v>299</v>
      </c>
      <c r="C1104" s="99" t="s">
        <v>316</v>
      </c>
      <c r="D1104" s="100" t="s">
        <v>292</v>
      </c>
      <c r="E1104" s="100" t="s">
        <v>324</v>
      </c>
      <c r="F1104" s="204">
        <f ca="1">IF($S$1&lt;DATE(2025,1,1)," ",SUM(F1105:F1108))</f>
        <v>1</v>
      </c>
      <c r="G1104" s="204">
        <f ca="1">IF($S$1&lt;DATE(2025,2,1)," ",SUM(G1105:G1108))</f>
        <v>1</v>
      </c>
      <c r="H1104" s="204">
        <f ca="1">IF($S$1&lt;DATE(2025,3,1)," ",SUM(H1105:H1108))</f>
        <v>1</v>
      </c>
      <c r="I1104" s="204">
        <f ca="1">IF($S$1&lt;DATE(2025,4,1)," ",SUM(I1105:I1108))</f>
        <v>2</v>
      </c>
      <c r="J1104" s="204">
        <f ca="1">IF($S$1&lt;DATE(2025,5,1)," ",SUM(J1105:J1108))</f>
        <v>2</v>
      </c>
      <c r="K1104" s="204">
        <f ca="1">IF($S$1&lt;DATE(2025,6,1)," ",SUM(K1105:K1108))</f>
        <v>4</v>
      </c>
      <c r="L1104" s="204">
        <f ca="1">IF($S$1&lt;DATE(2025,7,1)," ",SUM(L1105:L1108))</f>
        <v>4</v>
      </c>
      <c r="M1104" s="204">
        <f ca="1">IF($S$1&lt;DATE(2025,8,1)," ",SUM(M1105:M1108))</f>
        <v>5</v>
      </c>
      <c r="N1104" s="204">
        <f ca="1">IF($S$1&lt;DATE(2025,9,1)," ",SUM(N1105:N1108))</f>
        <v>6</v>
      </c>
      <c r="O1104" s="204">
        <f ca="1">IF($S$1&lt;DATE(2025,10,1)," ",SUM(O1105:O1108))</f>
        <v>6</v>
      </c>
      <c r="P1104" s="204">
        <f ca="1">IF($S$1&lt;DATE(2025,11,1)," ",SUM(P1105:P1108))</f>
        <v>7</v>
      </c>
      <c r="Q1104" s="204">
        <f ca="1">IF($S$1&lt;DATE(2025,12,1)," ",SUM(Q1105:Q1108))</f>
        <v>7</v>
      </c>
    </row>
    <row r="1105" ht="24" customHeight="1" spans="1:17">
      <c r="A1105" s="99" t="s">
        <v>347</v>
      </c>
      <c r="B1105" s="99" t="s">
        <v>299</v>
      </c>
      <c r="C1105" s="99" t="s">
        <v>316</v>
      </c>
      <c r="D1105" s="48" t="s">
        <v>298</v>
      </c>
      <c r="E1105" s="48" t="s">
        <v>97</v>
      </c>
      <c r="F1105" s="205">
        <f ca="1" t="shared" ref="F1105:F1108" si="1028">IF($S$1&lt;DATE(2025,1,1)," ",F1015)</f>
        <v>0</v>
      </c>
      <c r="G1105" s="205">
        <f ca="1" t="shared" ref="G1105:G1108" si="1029">IF($S$1&lt;DATE(2025,2,1)," ",G1015+F1105)</f>
        <v>0</v>
      </c>
      <c r="H1105" s="205">
        <f ca="1" t="shared" ref="H1105:H1108" si="1030">IF($S$1&lt;DATE(2025,3,1)," ",H1015+G1105)</f>
        <v>0</v>
      </c>
      <c r="I1105" s="205">
        <f ca="1" t="shared" ref="I1105:I1108" si="1031">IF($S$1&lt;DATE(2025,4,1)," ",I1015+H1105)</f>
        <v>1</v>
      </c>
      <c r="J1105" s="205">
        <f ca="1" t="shared" ref="J1105:J1108" si="1032">IF($S$1&lt;DATE(2025,5,1)," ",J1015+I1105)</f>
        <v>1</v>
      </c>
      <c r="K1105" s="205">
        <f ca="1" t="shared" ref="K1105:K1108" si="1033">IF($S$1&lt;DATE(2025,6,1)," ",K1015+J1105)</f>
        <v>2</v>
      </c>
      <c r="L1105" s="205">
        <f ca="1" t="shared" ref="L1105:L1108" si="1034">IF($S$1&lt;DATE(2025,7,1)," ",L1015+K1105)</f>
        <v>2</v>
      </c>
      <c r="M1105" s="205">
        <f ca="1" t="shared" ref="M1105:M1108" si="1035">IF($S$1&lt;DATE(2025,8,1)," ",M1015+L1105)</f>
        <v>2</v>
      </c>
      <c r="N1105" s="205">
        <f ca="1" t="shared" ref="N1105:N1108" si="1036">IF($S$1&lt;DATE(2025,9,1)," ",N1015+M1105)</f>
        <v>3</v>
      </c>
      <c r="O1105" s="205">
        <f ca="1" t="shared" ref="O1105:O1108" si="1037">IF($S$1&lt;DATE(2025,10,1)," ",O1015+N1105)</f>
        <v>3</v>
      </c>
      <c r="P1105" s="205">
        <f ca="1" t="shared" ref="P1105:P1108" si="1038">IF($S$1&lt;DATE(2025,11,1)," ",P1015+O1105)</f>
        <v>4</v>
      </c>
      <c r="Q1105" s="205">
        <f ca="1" t="shared" ref="Q1105:Q1108" si="1039">IF($S$1&lt;DATE(2025,12,1)," ",Q1015+P1105)</f>
        <v>4</v>
      </c>
    </row>
    <row r="1106" ht="24" customHeight="1" spans="1:17">
      <c r="A1106" s="99" t="s">
        <v>347</v>
      </c>
      <c r="B1106" s="99" t="s">
        <v>299</v>
      </c>
      <c r="C1106" s="99" t="s">
        <v>316</v>
      </c>
      <c r="D1106" s="48" t="s">
        <v>298</v>
      </c>
      <c r="E1106" s="48" t="s">
        <v>87</v>
      </c>
      <c r="F1106" s="205">
        <f ca="1" t="shared" si="1028"/>
        <v>1</v>
      </c>
      <c r="G1106" s="205">
        <f ca="1" t="shared" si="1029"/>
        <v>1</v>
      </c>
      <c r="H1106" s="205">
        <f ca="1" t="shared" si="1030"/>
        <v>1</v>
      </c>
      <c r="I1106" s="205">
        <f ca="1" t="shared" si="1031"/>
        <v>1</v>
      </c>
      <c r="J1106" s="205">
        <f ca="1" t="shared" si="1032"/>
        <v>1</v>
      </c>
      <c r="K1106" s="205">
        <f ca="1" t="shared" si="1033"/>
        <v>1</v>
      </c>
      <c r="L1106" s="205">
        <f ca="1" t="shared" si="1034"/>
        <v>1</v>
      </c>
      <c r="M1106" s="205">
        <f ca="1" t="shared" si="1035"/>
        <v>1</v>
      </c>
      <c r="N1106" s="205">
        <f ca="1" t="shared" si="1036"/>
        <v>1</v>
      </c>
      <c r="O1106" s="205">
        <f ca="1" t="shared" si="1037"/>
        <v>1</v>
      </c>
      <c r="P1106" s="205">
        <f ca="1" t="shared" si="1038"/>
        <v>1</v>
      </c>
      <c r="Q1106" s="205">
        <f ca="1" t="shared" si="1039"/>
        <v>1</v>
      </c>
    </row>
    <row r="1107" ht="24" customHeight="1" spans="1:17">
      <c r="A1107" s="99" t="s">
        <v>347</v>
      </c>
      <c r="B1107" s="99" t="s">
        <v>299</v>
      </c>
      <c r="C1107" s="99" t="s">
        <v>316</v>
      </c>
      <c r="D1107" s="48" t="s">
        <v>298</v>
      </c>
      <c r="E1107" s="48" t="s">
        <v>149</v>
      </c>
      <c r="F1107" s="205">
        <f ca="1" t="shared" si="1028"/>
        <v>0</v>
      </c>
      <c r="G1107" s="205">
        <f ca="1" t="shared" si="1029"/>
        <v>0</v>
      </c>
      <c r="H1107" s="205">
        <f ca="1" t="shared" si="1030"/>
        <v>0</v>
      </c>
      <c r="I1107" s="205">
        <f ca="1" t="shared" si="1031"/>
        <v>0</v>
      </c>
      <c r="J1107" s="205">
        <f ca="1" t="shared" si="1032"/>
        <v>0</v>
      </c>
      <c r="K1107" s="205">
        <f ca="1" t="shared" si="1033"/>
        <v>0</v>
      </c>
      <c r="L1107" s="205">
        <f ca="1" t="shared" si="1034"/>
        <v>0</v>
      </c>
      <c r="M1107" s="205">
        <f ca="1" t="shared" si="1035"/>
        <v>1</v>
      </c>
      <c r="N1107" s="205">
        <f ca="1" t="shared" si="1036"/>
        <v>1</v>
      </c>
      <c r="O1107" s="205">
        <f ca="1" t="shared" si="1037"/>
        <v>1</v>
      </c>
      <c r="P1107" s="205">
        <f ca="1" t="shared" si="1038"/>
        <v>1</v>
      </c>
      <c r="Q1107" s="205">
        <f ca="1" t="shared" si="1039"/>
        <v>1</v>
      </c>
    </row>
    <row r="1108" ht="24" customHeight="1" spans="1:17">
      <c r="A1108" s="99" t="s">
        <v>347</v>
      </c>
      <c r="B1108" s="99" t="s">
        <v>299</v>
      </c>
      <c r="C1108" s="99" t="s">
        <v>316</v>
      </c>
      <c r="D1108" s="48" t="s">
        <v>298</v>
      </c>
      <c r="E1108" s="48" t="s">
        <v>83</v>
      </c>
      <c r="F1108" s="205">
        <f ca="1" t="shared" si="1028"/>
        <v>0</v>
      </c>
      <c r="G1108" s="205">
        <f ca="1" t="shared" si="1029"/>
        <v>0</v>
      </c>
      <c r="H1108" s="205">
        <f ca="1" t="shared" si="1030"/>
        <v>0</v>
      </c>
      <c r="I1108" s="205">
        <f ca="1" t="shared" si="1031"/>
        <v>0</v>
      </c>
      <c r="J1108" s="205">
        <f ca="1" t="shared" si="1032"/>
        <v>0</v>
      </c>
      <c r="K1108" s="205">
        <f ca="1" t="shared" si="1033"/>
        <v>1</v>
      </c>
      <c r="L1108" s="205">
        <f ca="1" t="shared" si="1034"/>
        <v>1</v>
      </c>
      <c r="M1108" s="205">
        <f ca="1" t="shared" si="1035"/>
        <v>1</v>
      </c>
      <c r="N1108" s="205">
        <f ca="1" t="shared" si="1036"/>
        <v>1</v>
      </c>
      <c r="O1108" s="205">
        <f ca="1" t="shared" si="1037"/>
        <v>1</v>
      </c>
      <c r="P1108" s="205">
        <f ca="1" t="shared" si="1038"/>
        <v>1</v>
      </c>
      <c r="Q1108" s="205">
        <f ca="1" t="shared" si="1039"/>
        <v>1</v>
      </c>
    </row>
    <row r="1109" ht="24" customHeight="1" spans="1:17">
      <c r="A1109" s="99" t="s">
        <v>347</v>
      </c>
      <c r="B1109" s="99" t="s">
        <v>299</v>
      </c>
      <c r="C1109" s="99" t="s">
        <v>316</v>
      </c>
      <c r="D1109" s="48" t="s">
        <v>325</v>
      </c>
      <c r="E1109" s="48" t="s">
        <v>97</v>
      </c>
      <c r="F1109" s="112">
        <f ca="1" t="shared" ref="F1109:Q1109" si="1040">IFERROR(F1105/F1104," ")</f>
        <v>0</v>
      </c>
      <c r="G1109" s="112">
        <f ca="1" t="shared" si="1040"/>
        <v>0</v>
      </c>
      <c r="H1109" s="112">
        <f ca="1" t="shared" si="1040"/>
        <v>0</v>
      </c>
      <c r="I1109" s="112">
        <f ca="1" t="shared" si="1040"/>
        <v>0.5</v>
      </c>
      <c r="J1109" s="112">
        <f ca="1" t="shared" si="1040"/>
        <v>0.5</v>
      </c>
      <c r="K1109" s="112">
        <f ca="1" t="shared" si="1040"/>
        <v>0.5</v>
      </c>
      <c r="L1109" s="112">
        <f ca="1" t="shared" si="1040"/>
        <v>0.5</v>
      </c>
      <c r="M1109" s="112">
        <f ca="1" t="shared" si="1040"/>
        <v>0.4</v>
      </c>
      <c r="N1109" s="112">
        <f ca="1" t="shared" si="1040"/>
        <v>0.5</v>
      </c>
      <c r="O1109" s="112">
        <f ca="1" t="shared" si="1040"/>
        <v>0.5</v>
      </c>
      <c r="P1109" s="112">
        <f ca="1" t="shared" si="1040"/>
        <v>0.571428571428571</v>
      </c>
      <c r="Q1109" s="112">
        <f ca="1" t="shared" si="1040"/>
        <v>0.571428571428571</v>
      </c>
    </row>
    <row r="1110" ht="24" customHeight="1" spans="1:17">
      <c r="A1110" s="99" t="s">
        <v>347</v>
      </c>
      <c r="B1110" s="99" t="s">
        <v>299</v>
      </c>
      <c r="C1110" s="99" t="s">
        <v>316</v>
      </c>
      <c r="D1110" s="48" t="s">
        <v>325</v>
      </c>
      <c r="E1110" s="48" t="s">
        <v>87</v>
      </c>
      <c r="F1110" s="112">
        <f ca="1" t="shared" ref="F1110:Q1110" si="1041">IFERROR(F1106/F1104," ")</f>
        <v>1</v>
      </c>
      <c r="G1110" s="112">
        <f ca="1" t="shared" si="1041"/>
        <v>1</v>
      </c>
      <c r="H1110" s="112">
        <f ca="1" t="shared" si="1041"/>
        <v>1</v>
      </c>
      <c r="I1110" s="112">
        <f ca="1" t="shared" si="1041"/>
        <v>0.5</v>
      </c>
      <c r="J1110" s="112">
        <f ca="1" t="shared" si="1041"/>
        <v>0.5</v>
      </c>
      <c r="K1110" s="112">
        <f ca="1" t="shared" si="1041"/>
        <v>0.25</v>
      </c>
      <c r="L1110" s="112">
        <f ca="1" t="shared" si="1041"/>
        <v>0.25</v>
      </c>
      <c r="M1110" s="112">
        <f ca="1" t="shared" si="1041"/>
        <v>0.2</v>
      </c>
      <c r="N1110" s="112">
        <f ca="1" t="shared" si="1041"/>
        <v>0.166666666666667</v>
      </c>
      <c r="O1110" s="112">
        <f ca="1" t="shared" si="1041"/>
        <v>0.166666666666667</v>
      </c>
      <c r="P1110" s="112">
        <f ca="1" t="shared" si="1041"/>
        <v>0.142857142857143</v>
      </c>
      <c r="Q1110" s="112">
        <f ca="1" t="shared" si="1041"/>
        <v>0.142857142857143</v>
      </c>
    </row>
    <row r="1111" ht="24" customHeight="1" spans="1:17">
      <c r="A1111" s="99" t="s">
        <v>347</v>
      </c>
      <c r="B1111" s="99" t="s">
        <v>299</v>
      </c>
      <c r="C1111" s="99" t="s">
        <v>316</v>
      </c>
      <c r="D1111" s="48" t="s">
        <v>325</v>
      </c>
      <c r="E1111" s="48" t="s">
        <v>149</v>
      </c>
      <c r="F1111" s="112">
        <f ca="1" t="shared" ref="F1111:Q1111" si="1042">IFERROR(F1107/F1104," ")</f>
        <v>0</v>
      </c>
      <c r="G1111" s="112">
        <f ca="1" t="shared" si="1042"/>
        <v>0</v>
      </c>
      <c r="H1111" s="112">
        <f ca="1" t="shared" si="1042"/>
        <v>0</v>
      </c>
      <c r="I1111" s="112">
        <f ca="1" t="shared" si="1042"/>
        <v>0</v>
      </c>
      <c r="J1111" s="112">
        <f ca="1" t="shared" si="1042"/>
        <v>0</v>
      </c>
      <c r="K1111" s="112">
        <f ca="1" t="shared" si="1042"/>
        <v>0</v>
      </c>
      <c r="L1111" s="112">
        <f ca="1" t="shared" si="1042"/>
        <v>0</v>
      </c>
      <c r="M1111" s="112">
        <f ca="1" t="shared" si="1042"/>
        <v>0.2</v>
      </c>
      <c r="N1111" s="112">
        <f ca="1" t="shared" si="1042"/>
        <v>0.166666666666667</v>
      </c>
      <c r="O1111" s="112">
        <f ca="1" t="shared" si="1042"/>
        <v>0.166666666666667</v>
      </c>
      <c r="P1111" s="112">
        <f ca="1" t="shared" si="1042"/>
        <v>0.142857142857143</v>
      </c>
      <c r="Q1111" s="112">
        <f ca="1" t="shared" si="1042"/>
        <v>0.142857142857143</v>
      </c>
    </row>
    <row r="1112" ht="24" customHeight="1" spans="1:17">
      <c r="A1112" s="99" t="s">
        <v>347</v>
      </c>
      <c r="B1112" s="99" t="s">
        <v>299</v>
      </c>
      <c r="C1112" s="99" t="s">
        <v>316</v>
      </c>
      <c r="D1112" s="48" t="s">
        <v>325</v>
      </c>
      <c r="E1112" s="48" t="s">
        <v>83</v>
      </c>
      <c r="F1112" s="112">
        <f ca="1" t="shared" ref="F1112:Q1112" si="1043">IFERROR(F1108/F1104," ")</f>
        <v>0</v>
      </c>
      <c r="G1112" s="112">
        <f ca="1" t="shared" si="1043"/>
        <v>0</v>
      </c>
      <c r="H1112" s="112">
        <f ca="1" t="shared" si="1043"/>
        <v>0</v>
      </c>
      <c r="I1112" s="112">
        <f ca="1" t="shared" si="1043"/>
        <v>0</v>
      </c>
      <c r="J1112" s="112">
        <f ca="1" t="shared" si="1043"/>
        <v>0</v>
      </c>
      <c r="K1112" s="112">
        <f ca="1" t="shared" si="1043"/>
        <v>0.25</v>
      </c>
      <c r="L1112" s="112">
        <f ca="1" t="shared" si="1043"/>
        <v>0.25</v>
      </c>
      <c r="M1112" s="112">
        <f ca="1" t="shared" si="1043"/>
        <v>0.2</v>
      </c>
      <c r="N1112" s="112">
        <f ca="1" t="shared" si="1043"/>
        <v>0.166666666666667</v>
      </c>
      <c r="O1112" s="112">
        <f ca="1" t="shared" si="1043"/>
        <v>0.166666666666667</v>
      </c>
      <c r="P1112" s="112">
        <f ca="1" t="shared" si="1043"/>
        <v>0.142857142857143</v>
      </c>
      <c r="Q1112" s="112">
        <f ca="1" t="shared" si="1043"/>
        <v>0.142857142857143</v>
      </c>
    </row>
    <row r="1113" ht="24" customHeight="1" spans="1:17">
      <c r="A1113" s="99" t="s">
        <v>347</v>
      </c>
      <c r="B1113" s="99" t="s">
        <v>299</v>
      </c>
      <c r="C1113" s="99" t="s">
        <v>316</v>
      </c>
      <c r="D1113" s="100" t="s">
        <v>292</v>
      </c>
      <c r="E1113" s="53" t="s">
        <v>326</v>
      </c>
      <c r="F1113" s="210">
        <f ca="1">IF($S$1&lt;DATE(2025,1,1)," ",IF((F992-F1116-F1117-F1118-F1119-F1120)&lt;&gt;0,"ERR",F992))</f>
        <v>0</v>
      </c>
      <c r="G1113" s="210">
        <f ca="1">IF($S$1&lt;DATE(2025,2,1)," ",IF((G992+F1113-G1116-G1117-G1118-G1119-G1120)&lt;&gt;0,"ERR",G992+F1113))</f>
        <v>0</v>
      </c>
      <c r="H1113" s="210">
        <f ca="1">IF($S$1&lt;DATE(2025,3,1)," ",IF((H992+G1113-H1116-H1117-H1118-H1119-H1120)&lt;&gt;0,"ERR",H992+G1113))</f>
        <v>0</v>
      </c>
      <c r="I1113" s="210">
        <f ca="1">IF($S$1&lt;DATE(2025,4,1)," ",IF((I992+H1113-I1116-I1117-I1118-I1119-I1120)&lt;&gt;0,"ERR",I992+H1113))</f>
        <v>0</v>
      </c>
      <c r="J1113" s="210">
        <f ca="1">IF($S$1&lt;DATE(2025,5,1)," ",IF((J992+I1113-J1116-J1117-J1118-J1119-J1120)&lt;&gt;0,"ERR",J992+I1113))</f>
        <v>0</v>
      </c>
      <c r="K1113" s="210">
        <f ca="1">IF($S$1&lt;DATE(2025,6,1)," ",IF((K992+J1113-K1116-K1117-K1118-K1119-K1120)&lt;&gt;0,"ERR",K992+J1113))</f>
        <v>1</v>
      </c>
      <c r="L1113" s="210">
        <f ca="1">IF($S$1&lt;DATE(2025,7,1)," ",IF((L992+K1113-L1116-L1117-L1118-L1119-L1120)&lt;&gt;0,"ERR",L992+K1113))</f>
        <v>2</v>
      </c>
      <c r="M1113" s="210">
        <f ca="1">IF($S$1&lt;DATE(2025,8,1)," ",IF((M992+L1113-M1116-M1117-M1118-M1119-M1120)&lt;&gt;0,"ERR",M992+L1113))</f>
        <v>3</v>
      </c>
      <c r="N1113" s="210">
        <f ca="1">IF($S$1&lt;DATE(2025,9,1)," ",IF((N992+M1113-N1116-N1117-N1118-N1119-N1120)&lt;&gt;0,"ERR",N992+M1113))</f>
        <v>4</v>
      </c>
      <c r="O1113" s="210">
        <f ca="1">IF($S$1&lt;DATE(2025,10,1)," ",IF((O992+N1113-O1116-O1117-O1118-O1119-O1120)&lt;&gt;0,"ERR",O992+N1113))</f>
        <v>4</v>
      </c>
      <c r="P1113" s="210">
        <f ca="1">IF($S$1&lt;DATE(2025,11,1)," ",IF((P992+O1113-P1116-P1117-P1118-P1119-P1120)&lt;&gt;0,"ERR",P992+O1113))</f>
        <v>4</v>
      </c>
      <c r="Q1113" s="210">
        <f ca="1">IF($S$1&lt;DATE(2025,12,1)," ",IF((Q992+P1113-Q1116-Q1117-Q1118-Q1119-Q1120)&lt;&gt;0,"ERR",Q992+P1113))</f>
        <v>4</v>
      </c>
    </row>
    <row r="1114" ht="24" customHeight="1" spans="1:17">
      <c r="A1114" s="99" t="s">
        <v>347</v>
      </c>
      <c r="B1114" s="99" t="s">
        <v>299</v>
      </c>
      <c r="C1114" s="99" t="s">
        <v>316</v>
      </c>
      <c r="D1114" s="100" t="s">
        <v>292</v>
      </c>
      <c r="E1114" s="53" t="s">
        <v>327</v>
      </c>
      <c r="F1114" s="210">
        <f ca="1">IF($S$1&lt;DATE(2025,1,1)," ",IF((F993-F1121-F1122-F1123-F1124-F1125)&lt;&gt;0,"ERR",F993))</f>
        <v>1</v>
      </c>
      <c r="G1114" s="210">
        <f ca="1">IF($S$1&lt;DATE(2025,2,1)," ",IF((G993+F1114-G1121-G1122-G1123-G1124-G1125)&lt;&gt;0,"ERR",G993+F1114))</f>
        <v>1</v>
      </c>
      <c r="H1114" s="210">
        <f ca="1">IF($S$1&lt;DATE(2025,3,1)," ",IF((H993+G1114-H1121-H1122-H1123-H1124-H1125)&lt;&gt;0,"ERR",H993+G1114))</f>
        <v>1</v>
      </c>
      <c r="I1114" s="210">
        <f ca="1">IF($S$1&lt;DATE(2025,4,1)," ",IF((I993+H1114-I1121-I1122-I1123-I1124-I1125)&lt;&gt;0,"ERR",I993+H1114))</f>
        <v>1</v>
      </c>
      <c r="J1114" s="210">
        <f ca="1">IF($S$1&lt;DATE(2025,5,1)," ",IF((J993+I1114-J1121-J1122-J1123-J1124-J1125)&lt;&gt;0,"ERR",J993+I1114))</f>
        <v>1</v>
      </c>
      <c r="K1114" s="210">
        <f ca="1">IF($S$1&lt;DATE(2025,6,1)," ",IF((K993+J1114-K1121-K1122-K1123-K1124-K1125)&lt;&gt;0,"ERR",K993+J1114))</f>
        <v>2</v>
      </c>
      <c r="L1114" s="210">
        <f ca="1">IF($S$1&lt;DATE(2025,7,1)," ",IF((L993+K1114-L1121-L1122-L1123-L1124-L1125)&lt;&gt;0,"ERR",L993+K1114))</f>
        <v>2</v>
      </c>
      <c r="M1114" s="210">
        <f ca="1">IF($S$1&lt;DATE(2025,8,1)," ",IF((M993+L1114-M1121-M1122-M1123-M1124-M1125)&lt;&gt;0,"ERR",M993+L1114))</f>
        <v>2</v>
      </c>
      <c r="N1114" s="210">
        <f ca="1">IF($S$1&lt;DATE(2025,9,1)," ",IF((N993+M1114-N1121-N1122-N1123-N1124-N1125)&lt;&gt;0,"ERR",N993+M1114))</f>
        <v>2</v>
      </c>
      <c r="O1114" s="210">
        <f ca="1">IF($S$1&lt;DATE(2025,10,1)," ",IF((O993+N1114-O1121-O1122-O1123-O1124-O1125)&lt;&gt;0,"ERR",O993+N1114))</f>
        <v>2</v>
      </c>
      <c r="P1114" s="210">
        <f ca="1">IF($S$1&lt;DATE(2025,11,1)," ",IF((P993+O1114-P1121-P1122-P1123-P1124-P1125)&lt;&gt;0,"ERR",P993+O1114))</f>
        <v>3</v>
      </c>
      <c r="Q1114" s="210">
        <f ca="1">IF($S$1&lt;DATE(2025,12,1)," ",IF((Q993+P1114-Q1121-Q1122-Q1123-Q1124-Q1125)&lt;&gt;0,"ERR",Q993+P1114))</f>
        <v>3</v>
      </c>
    </row>
    <row r="1115" ht="24" customHeight="1" spans="1:17">
      <c r="A1115" s="99" t="s">
        <v>347</v>
      </c>
      <c r="B1115" s="99" t="s">
        <v>299</v>
      </c>
      <c r="C1115" s="99" t="s">
        <v>316</v>
      </c>
      <c r="D1115" s="100" t="s">
        <v>292</v>
      </c>
      <c r="E1115" s="53" t="s">
        <v>328</v>
      </c>
      <c r="F1115" s="210">
        <f ca="1">IF($S$1&lt;DATE(2025,1,1)," ",IF((F994-F1126-F1127-F1128-F1129-F1130)&lt;&gt;0,"ERR",F994))</f>
        <v>0</v>
      </c>
      <c r="G1115" s="210">
        <f ca="1">IF($S$1&lt;DATE(2025,2,1)," ",IF((G994+F1115-G1126-G1127-G1128-G1129-G1130)&lt;&gt;0,"ERR",G994+F1115))</f>
        <v>0</v>
      </c>
      <c r="H1115" s="210">
        <f ca="1">IF($S$1&lt;DATE(2025,3,1)," ",IF((H994+G1115-H1126-H1127-H1128-H1129-H1130)&lt;&gt;0,"ERR",H994+G1115))</f>
        <v>0</v>
      </c>
      <c r="I1115" s="210">
        <f ca="1">IF($S$1&lt;DATE(2025,4,1)," ",IF((I994+H1115-I1126-I1127-I1128-I1129-I1130)&lt;&gt;0,"ERR",I994+H1115))</f>
        <v>1</v>
      </c>
      <c r="J1115" s="210">
        <f ca="1">IF($S$1&lt;DATE(2025,5,1)," ",IF((J994+I1115-J1126-J1127-J1128-J1129-J1130)&lt;&gt;0,"ERR",J994+I1115))</f>
        <v>1</v>
      </c>
      <c r="K1115" s="210">
        <f ca="1">IF($S$1&lt;DATE(2025,6,1)," ",IF((K994+J1115-K1126-K1127-K1128-K1129-K1130)&lt;&gt;0,"ERR",K994+J1115))</f>
        <v>1</v>
      </c>
      <c r="L1115" s="210">
        <f ca="1">IF($S$1&lt;DATE(2025,7,1)," ",IF((L994+K1115-L1126-L1127-L1128-L1129-L1130)&lt;&gt;0,"ERR",L994+K1115))</f>
        <v>1</v>
      </c>
      <c r="M1115" s="210">
        <f ca="1">IF($S$1&lt;DATE(2025,8,1)," ",IF((M994+L1115-M1126-M1127-M1128-M1129-M1130)&lt;&gt;0,"ERR",M994+L1115))</f>
        <v>1</v>
      </c>
      <c r="N1115" s="210">
        <f ca="1">IF($S$1&lt;DATE(2025,9,1)," ",IF((N994+M1115-N1126-N1127-N1128-N1129-N1130)&lt;&gt;0,"ERR",N994+M1115))</f>
        <v>3</v>
      </c>
      <c r="O1115" s="210">
        <f ca="1">IF($S$1&lt;DATE(2025,10,1)," ",IF((O994+N1115-O1126-O1127-O1128-O1129-O1130)&lt;&gt;0,"ERR",O994+N1115))</f>
        <v>3</v>
      </c>
      <c r="P1115" s="210">
        <f ca="1">IF($S$1&lt;DATE(2025,11,1)," ",IF((P994+O1115-P1126-P1127-P1128-P1129-P1130)&lt;&gt;0,"ERR",P994+O1115))</f>
        <v>3</v>
      </c>
      <c r="Q1115" s="210">
        <f ca="1">IF($S$1&lt;DATE(2025,12,1)," ",IF((Q994+P1115-Q1126-Q1127-Q1128-Q1129-Q1130)&lt;&gt;0,"ERR",Q994+P1115))</f>
        <v>3</v>
      </c>
    </row>
    <row r="1116" ht="24" customHeight="1" spans="1:17">
      <c r="A1116" s="99" t="s">
        <v>347</v>
      </c>
      <c r="B1116" s="99" t="s">
        <v>299</v>
      </c>
      <c r="C1116" s="99" t="s">
        <v>316</v>
      </c>
      <c r="D1116" s="53" t="s">
        <v>326</v>
      </c>
      <c r="E1116" s="53" t="s">
        <v>93</v>
      </c>
      <c r="F1116" s="210">
        <f ca="1" t="shared" ref="F1116:F1130" si="1044">IF($S$1&lt;DATE(2025,1,1)," ",F995)</f>
        <v>0</v>
      </c>
      <c r="G1116" s="210">
        <f ca="1" t="shared" ref="G1116:G1130" si="1045">IF($S$1&lt;DATE(2025,2,1)," ",G995+F1116)</f>
        <v>0</v>
      </c>
      <c r="H1116" s="210">
        <f ca="1" t="shared" ref="H1116:H1130" si="1046">IF($S$1&lt;DATE(2025,3,1)," ",H995+G1116)</f>
        <v>0</v>
      </c>
      <c r="I1116" s="210">
        <f ca="1" t="shared" ref="I1116:I1130" si="1047">IF($S$1&lt;DATE(2025,4,1)," ",I995+H1116)</f>
        <v>0</v>
      </c>
      <c r="J1116" s="210">
        <f ca="1" t="shared" ref="J1116:J1130" si="1048">IF($S$1&lt;DATE(2025,5,1)," ",J995+I1116)</f>
        <v>0</v>
      </c>
      <c r="K1116" s="210">
        <f ca="1" t="shared" ref="K1116:K1130" si="1049">IF($S$1&lt;DATE(2025,6,1)," ",K995+J1116)</f>
        <v>0</v>
      </c>
      <c r="L1116" s="210">
        <f ca="1" t="shared" ref="L1116:L1130" si="1050">IF($S$1&lt;DATE(2025,7,1)," ",L995+K1116)</f>
        <v>1</v>
      </c>
      <c r="M1116" s="210">
        <f ca="1" t="shared" ref="M1116:M1130" si="1051">IF($S$1&lt;DATE(2025,8,1)," ",M995+L1116)</f>
        <v>2</v>
      </c>
      <c r="N1116" s="210">
        <f ca="1" t="shared" ref="N1116:N1130" si="1052">IF($S$1&lt;DATE(2025,9,1)," ",N995+M1116)</f>
        <v>3</v>
      </c>
      <c r="O1116" s="210">
        <f ca="1" t="shared" ref="O1116:O1130" si="1053">IF($S$1&lt;DATE(2025,10,1)," ",O995+N1116)</f>
        <v>3</v>
      </c>
      <c r="P1116" s="210">
        <f ca="1" t="shared" ref="P1116:P1130" si="1054">IF($S$1&lt;DATE(2025,11,1)," ",P995+O1116)</f>
        <v>3</v>
      </c>
      <c r="Q1116" s="210">
        <f ca="1" t="shared" ref="Q1116:Q1130" si="1055">IF($S$1&lt;DATE(2025,12,1)," ",Q995+P1116)</f>
        <v>3</v>
      </c>
    </row>
    <row r="1117" ht="24" customHeight="1" spans="1:17">
      <c r="A1117" s="99" t="s">
        <v>347</v>
      </c>
      <c r="B1117" s="99" t="s">
        <v>299</v>
      </c>
      <c r="C1117" s="99" t="s">
        <v>316</v>
      </c>
      <c r="D1117" s="53" t="s">
        <v>326</v>
      </c>
      <c r="E1117" s="53" t="s">
        <v>85</v>
      </c>
      <c r="F1117" s="210">
        <f ca="1" t="shared" si="1044"/>
        <v>0</v>
      </c>
      <c r="G1117" s="210">
        <f ca="1" t="shared" si="1045"/>
        <v>0</v>
      </c>
      <c r="H1117" s="210">
        <f ca="1" t="shared" si="1046"/>
        <v>0</v>
      </c>
      <c r="I1117" s="210">
        <f ca="1" t="shared" si="1047"/>
        <v>0</v>
      </c>
      <c r="J1117" s="210">
        <f ca="1" t="shared" si="1048"/>
        <v>0</v>
      </c>
      <c r="K1117" s="210">
        <f ca="1" t="shared" si="1049"/>
        <v>1</v>
      </c>
      <c r="L1117" s="210">
        <f ca="1" t="shared" si="1050"/>
        <v>1</v>
      </c>
      <c r="M1117" s="210">
        <f ca="1" t="shared" si="1051"/>
        <v>1</v>
      </c>
      <c r="N1117" s="210">
        <f ca="1" t="shared" si="1052"/>
        <v>1</v>
      </c>
      <c r="O1117" s="210">
        <f ca="1" t="shared" si="1053"/>
        <v>1</v>
      </c>
      <c r="P1117" s="210">
        <f ca="1" t="shared" si="1054"/>
        <v>1</v>
      </c>
      <c r="Q1117" s="210">
        <f ca="1" t="shared" si="1055"/>
        <v>1</v>
      </c>
    </row>
    <row r="1118" ht="24" customHeight="1" spans="1:17">
      <c r="A1118" s="99" t="s">
        <v>347</v>
      </c>
      <c r="B1118" s="99" t="s">
        <v>299</v>
      </c>
      <c r="C1118" s="99" t="s">
        <v>316</v>
      </c>
      <c r="D1118" s="53" t="s">
        <v>326</v>
      </c>
      <c r="E1118" s="53" t="s">
        <v>81</v>
      </c>
      <c r="F1118" s="210">
        <f ca="1" t="shared" si="1044"/>
        <v>0</v>
      </c>
      <c r="G1118" s="210">
        <f ca="1" t="shared" si="1045"/>
        <v>0</v>
      </c>
      <c r="H1118" s="210">
        <f ca="1" t="shared" si="1046"/>
        <v>0</v>
      </c>
      <c r="I1118" s="210">
        <f ca="1" t="shared" si="1047"/>
        <v>0</v>
      </c>
      <c r="J1118" s="210">
        <f ca="1" t="shared" si="1048"/>
        <v>0</v>
      </c>
      <c r="K1118" s="210">
        <f ca="1" t="shared" si="1049"/>
        <v>0</v>
      </c>
      <c r="L1118" s="210">
        <f ca="1" t="shared" si="1050"/>
        <v>0</v>
      </c>
      <c r="M1118" s="210">
        <f ca="1" t="shared" si="1051"/>
        <v>0</v>
      </c>
      <c r="N1118" s="210">
        <f ca="1" t="shared" si="1052"/>
        <v>0</v>
      </c>
      <c r="O1118" s="210">
        <f ca="1" t="shared" si="1053"/>
        <v>0</v>
      </c>
      <c r="P1118" s="210">
        <f ca="1" t="shared" si="1054"/>
        <v>0</v>
      </c>
      <c r="Q1118" s="210">
        <f ca="1" t="shared" si="1055"/>
        <v>0</v>
      </c>
    </row>
    <row r="1119" ht="24" customHeight="1" spans="1:17">
      <c r="A1119" s="99" t="s">
        <v>347</v>
      </c>
      <c r="B1119" s="99" t="s">
        <v>299</v>
      </c>
      <c r="C1119" s="99" t="s">
        <v>316</v>
      </c>
      <c r="D1119" s="53" t="s">
        <v>326</v>
      </c>
      <c r="E1119" s="53" t="s">
        <v>96</v>
      </c>
      <c r="F1119" s="210">
        <f ca="1" t="shared" si="1044"/>
        <v>0</v>
      </c>
      <c r="G1119" s="210">
        <f ca="1" t="shared" si="1045"/>
        <v>0</v>
      </c>
      <c r="H1119" s="210">
        <f ca="1" t="shared" si="1046"/>
        <v>0</v>
      </c>
      <c r="I1119" s="210">
        <f ca="1" t="shared" si="1047"/>
        <v>0</v>
      </c>
      <c r="J1119" s="210">
        <f ca="1" t="shared" si="1048"/>
        <v>0</v>
      </c>
      <c r="K1119" s="210">
        <f ca="1" t="shared" si="1049"/>
        <v>0</v>
      </c>
      <c r="L1119" s="210">
        <f ca="1" t="shared" si="1050"/>
        <v>0</v>
      </c>
      <c r="M1119" s="210">
        <f ca="1" t="shared" si="1051"/>
        <v>0</v>
      </c>
      <c r="N1119" s="210">
        <f ca="1" t="shared" si="1052"/>
        <v>0</v>
      </c>
      <c r="O1119" s="210">
        <f ca="1" t="shared" si="1053"/>
        <v>0</v>
      </c>
      <c r="P1119" s="210">
        <f ca="1" t="shared" si="1054"/>
        <v>0</v>
      </c>
      <c r="Q1119" s="210">
        <f ca="1" t="shared" si="1055"/>
        <v>0</v>
      </c>
    </row>
    <row r="1120" ht="24" customHeight="1" spans="1:17">
      <c r="A1120" s="99" t="s">
        <v>347</v>
      </c>
      <c r="B1120" s="99" t="s">
        <v>299</v>
      </c>
      <c r="C1120" s="99" t="s">
        <v>316</v>
      </c>
      <c r="D1120" s="53" t="s">
        <v>326</v>
      </c>
      <c r="E1120" s="53" t="s">
        <v>160</v>
      </c>
      <c r="F1120" s="210">
        <f ca="1" t="shared" si="1044"/>
        <v>0</v>
      </c>
      <c r="G1120" s="210">
        <f ca="1" t="shared" si="1045"/>
        <v>0</v>
      </c>
      <c r="H1120" s="210">
        <f ca="1" t="shared" si="1046"/>
        <v>0</v>
      </c>
      <c r="I1120" s="210">
        <f ca="1" t="shared" si="1047"/>
        <v>0</v>
      </c>
      <c r="J1120" s="210">
        <f ca="1" t="shared" si="1048"/>
        <v>0</v>
      </c>
      <c r="K1120" s="210">
        <f ca="1" t="shared" si="1049"/>
        <v>0</v>
      </c>
      <c r="L1120" s="210">
        <f ca="1" t="shared" si="1050"/>
        <v>0</v>
      </c>
      <c r="M1120" s="210">
        <f ca="1" t="shared" si="1051"/>
        <v>0</v>
      </c>
      <c r="N1120" s="210">
        <f ca="1" t="shared" si="1052"/>
        <v>0</v>
      </c>
      <c r="O1120" s="210">
        <f ca="1" t="shared" si="1053"/>
        <v>0</v>
      </c>
      <c r="P1120" s="210">
        <f ca="1" t="shared" si="1054"/>
        <v>0</v>
      </c>
      <c r="Q1120" s="210">
        <f ca="1" t="shared" si="1055"/>
        <v>0</v>
      </c>
    </row>
    <row r="1121" ht="24" customHeight="1" spans="1:17">
      <c r="A1121" s="99" t="s">
        <v>347</v>
      </c>
      <c r="B1121" s="99" t="s">
        <v>299</v>
      </c>
      <c r="C1121" s="99" t="s">
        <v>316</v>
      </c>
      <c r="D1121" s="53" t="s">
        <v>327</v>
      </c>
      <c r="E1121" s="53" t="s">
        <v>93</v>
      </c>
      <c r="F1121" s="210">
        <f ca="1" t="shared" si="1044"/>
        <v>1</v>
      </c>
      <c r="G1121" s="210">
        <f ca="1" t="shared" si="1045"/>
        <v>1</v>
      </c>
      <c r="H1121" s="210">
        <f ca="1" t="shared" si="1046"/>
        <v>1</v>
      </c>
      <c r="I1121" s="210">
        <f ca="1" t="shared" si="1047"/>
        <v>1</v>
      </c>
      <c r="J1121" s="210">
        <f ca="1" t="shared" si="1048"/>
        <v>1</v>
      </c>
      <c r="K1121" s="210">
        <f ca="1" t="shared" si="1049"/>
        <v>2</v>
      </c>
      <c r="L1121" s="210">
        <f ca="1" t="shared" si="1050"/>
        <v>2</v>
      </c>
      <c r="M1121" s="210">
        <f ca="1" t="shared" si="1051"/>
        <v>2</v>
      </c>
      <c r="N1121" s="210">
        <f ca="1" t="shared" si="1052"/>
        <v>2</v>
      </c>
      <c r="O1121" s="210">
        <f ca="1" t="shared" si="1053"/>
        <v>2</v>
      </c>
      <c r="P1121" s="210">
        <f ca="1" t="shared" si="1054"/>
        <v>3</v>
      </c>
      <c r="Q1121" s="210">
        <f ca="1" t="shared" si="1055"/>
        <v>3</v>
      </c>
    </row>
    <row r="1122" ht="24" customHeight="1" spans="1:17">
      <c r="A1122" s="99" t="s">
        <v>347</v>
      </c>
      <c r="B1122" s="99" t="s">
        <v>299</v>
      </c>
      <c r="C1122" s="99" t="s">
        <v>316</v>
      </c>
      <c r="D1122" s="53" t="s">
        <v>327</v>
      </c>
      <c r="E1122" s="53" t="s">
        <v>85</v>
      </c>
      <c r="F1122" s="210">
        <f ca="1" t="shared" si="1044"/>
        <v>0</v>
      </c>
      <c r="G1122" s="210">
        <f ca="1" t="shared" si="1045"/>
        <v>0</v>
      </c>
      <c r="H1122" s="210">
        <f ca="1" t="shared" si="1046"/>
        <v>0</v>
      </c>
      <c r="I1122" s="210">
        <f ca="1" t="shared" si="1047"/>
        <v>0</v>
      </c>
      <c r="J1122" s="210">
        <f ca="1" t="shared" si="1048"/>
        <v>0</v>
      </c>
      <c r="K1122" s="210">
        <f ca="1" t="shared" si="1049"/>
        <v>0</v>
      </c>
      <c r="L1122" s="210">
        <f ca="1" t="shared" si="1050"/>
        <v>0</v>
      </c>
      <c r="M1122" s="210">
        <f ca="1" t="shared" si="1051"/>
        <v>0</v>
      </c>
      <c r="N1122" s="210">
        <f ca="1" t="shared" si="1052"/>
        <v>0</v>
      </c>
      <c r="O1122" s="210">
        <f ca="1" t="shared" si="1053"/>
        <v>0</v>
      </c>
      <c r="P1122" s="210">
        <f ca="1" t="shared" si="1054"/>
        <v>0</v>
      </c>
      <c r="Q1122" s="210">
        <f ca="1" t="shared" si="1055"/>
        <v>0</v>
      </c>
    </row>
    <row r="1123" ht="24" customHeight="1" spans="1:17">
      <c r="A1123" s="99" t="s">
        <v>347</v>
      </c>
      <c r="B1123" s="99" t="s">
        <v>299</v>
      </c>
      <c r="C1123" s="99" t="s">
        <v>316</v>
      </c>
      <c r="D1123" s="53" t="s">
        <v>327</v>
      </c>
      <c r="E1123" s="53" t="s">
        <v>81</v>
      </c>
      <c r="F1123" s="210">
        <f ca="1" t="shared" si="1044"/>
        <v>0</v>
      </c>
      <c r="G1123" s="210">
        <f ca="1" t="shared" si="1045"/>
        <v>0</v>
      </c>
      <c r="H1123" s="210">
        <f ca="1" t="shared" si="1046"/>
        <v>0</v>
      </c>
      <c r="I1123" s="210">
        <f ca="1" t="shared" si="1047"/>
        <v>0</v>
      </c>
      <c r="J1123" s="210">
        <f ca="1" t="shared" si="1048"/>
        <v>0</v>
      </c>
      <c r="K1123" s="210">
        <f ca="1" t="shared" si="1049"/>
        <v>0</v>
      </c>
      <c r="L1123" s="210">
        <f ca="1" t="shared" si="1050"/>
        <v>0</v>
      </c>
      <c r="M1123" s="210">
        <f ca="1" t="shared" si="1051"/>
        <v>0</v>
      </c>
      <c r="N1123" s="210">
        <f ca="1" t="shared" si="1052"/>
        <v>0</v>
      </c>
      <c r="O1123" s="210">
        <f ca="1" t="shared" si="1053"/>
        <v>0</v>
      </c>
      <c r="P1123" s="210">
        <f ca="1" t="shared" si="1054"/>
        <v>0</v>
      </c>
      <c r="Q1123" s="210">
        <f ca="1" t="shared" si="1055"/>
        <v>0</v>
      </c>
    </row>
    <row r="1124" ht="24" customHeight="1" spans="1:17">
      <c r="A1124" s="99" t="s">
        <v>347</v>
      </c>
      <c r="B1124" s="99" t="s">
        <v>299</v>
      </c>
      <c r="C1124" s="99" t="s">
        <v>316</v>
      </c>
      <c r="D1124" s="53" t="s">
        <v>327</v>
      </c>
      <c r="E1124" s="53" t="s">
        <v>96</v>
      </c>
      <c r="F1124" s="210">
        <f ca="1" t="shared" si="1044"/>
        <v>0</v>
      </c>
      <c r="G1124" s="210">
        <f ca="1" t="shared" si="1045"/>
        <v>0</v>
      </c>
      <c r="H1124" s="210">
        <f ca="1" t="shared" si="1046"/>
        <v>0</v>
      </c>
      <c r="I1124" s="210">
        <f ca="1" t="shared" si="1047"/>
        <v>0</v>
      </c>
      <c r="J1124" s="210">
        <f ca="1" t="shared" si="1048"/>
        <v>0</v>
      </c>
      <c r="K1124" s="210">
        <f ca="1" t="shared" si="1049"/>
        <v>0</v>
      </c>
      <c r="L1124" s="210">
        <f ca="1" t="shared" si="1050"/>
        <v>0</v>
      </c>
      <c r="M1124" s="210">
        <f ca="1" t="shared" si="1051"/>
        <v>0</v>
      </c>
      <c r="N1124" s="210">
        <f ca="1" t="shared" si="1052"/>
        <v>0</v>
      </c>
      <c r="O1124" s="210">
        <f ca="1" t="shared" si="1053"/>
        <v>0</v>
      </c>
      <c r="P1124" s="210">
        <f ca="1" t="shared" si="1054"/>
        <v>0</v>
      </c>
      <c r="Q1124" s="210">
        <f ca="1" t="shared" si="1055"/>
        <v>0</v>
      </c>
    </row>
    <row r="1125" ht="24" customHeight="1" spans="1:17">
      <c r="A1125" s="99" t="s">
        <v>347</v>
      </c>
      <c r="B1125" s="99" t="s">
        <v>299</v>
      </c>
      <c r="C1125" s="99" t="s">
        <v>316</v>
      </c>
      <c r="D1125" s="53" t="s">
        <v>327</v>
      </c>
      <c r="E1125" s="53" t="s">
        <v>160</v>
      </c>
      <c r="F1125" s="210">
        <f ca="1" t="shared" si="1044"/>
        <v>0</v>
      </c>
      <c r="G1125" s="210">
        <f ca="1" t="shared" si="1045"/>
        <v>0</v>
      </c>
      <c r="H1125" s="210">
        <f ca="1" t="shared" si="1046"/>
        <v>0</v>
      </c>
      <c r="I1125" s="210">
        <f ca="1" t="shared" si="1047"/>
        <v>0</v>
      </c>
      <c r="J1125" s="210">
        <f ca="1" t="shared" si="1048"/>
        <v>0</v>
      </c>
      <c r="K1125" s="210">
        <f ca="1" t="shared" si="1049"/>
        <v>0</v>
      </c>
      <c r="L1125" s="210">
        <f ca="1" t="shared" si="1050"/>
        <v>0</v>
      </c>
      <c r="M1125" s="210">
        <f ca="1" t="shared" si="1051"/>
        <v>0</v>
      </c>
      <c r="N1125" s="210">
        <f ca="1" t="shared" si="1052"/>
        <v>0</v>
      </c>
      <c r="O1125" s="210">
        <f ca="1" t="shared" si="1053"/>
        <v>0</v>
      </c>
      <c r="P1125" s="210">
        <f ca="1" t="shared" si="1054"/>
        <v>0</v>
      </c>
      <c r="Q1125" s="210">
        <f ca="1" t="shared" si="1055"/>
        <v>0</v>
      </c>
    </row>
    <row r="1126" ht="24" customHeight="1" spans="1:17">
      <c r="A1126" s="99" t="s">
        <v>347</v>
      </c>
      <c r="B1126" s="99" t="s">
        <v>299</v>
      </c>
      <c r="C1126" s="99" t="s">
        <v>316</v>
      </c>
      <c r="D1126" s="53" t="s">
        <v>328</v>
      </c>
      <c r="E1126" s="53" t="s">
        <v>93</v>
      </c>
      <c r="F1126" s="210">
        <f ca="1" t="shared" si="1044"/>
        <v>0</v>
      </c>
      <c r="G1126" s="210">
        <f ca="1" t="shared" si="1045"/>
        <v>0</v>
      </c>
      <c r="H1126" s="210">
        <f ca="1" t="shared" si="1046"/>
        <v>0</v>
      </c>
      <c r="I1126" s="210">
        <f ca="1" t="shared" si="1047"/>
        <v>0</v>
      </c>
      <c r="J1126" s="210">
        <f ca="1" t="shared" si="1048"/>
        <v>0</v>
      </c>
      <c r="K1126" s="210">
        <f ca="1" t="shared" si="1049"/>
        <v>0</v>
      </c>
      <c r="L1126" s="210">
        <f ca="1" t="shared" si="1050"/>
        <v>0</v>
      </c>
      <c r="M1126" s="210">
        <f ca="1" t="shared" si="1051"/>
        <v>0</v>
      </c>
      <c r="N1126" s="210">
        <f ca="1" t="shared" si="1052"/>
        <v>1</v>
      </c>
      <c r="O1126" s="210">
        <f ca="1" t="shared" si="1053"/>
        <v>1</v>
      </c>
      <c r="P1126" s="210">
        <f ca="1" t="shared" si="1054"/>
        <v>1</v>
      </c>
      <c r="Q1126" s="210">
        <f ca="1" t="shared" si="1055"/>
        <v>1</v>
      </c>
    </row>
    <row r="1127" ht="24" customHeight="1" spans="1:17">
      <c r="A1127" s="99" t="s">
        <v>347</v>
      </c>
      <c r="B1127" s="99" t="s">
        <v>299</v>
      </c>
      <c r="C1127" s="99" t="s">
        <v>316</v>
      </c>
      <c r="D1127" s="53" t="s">
        <v>328</v>
      </c>
      <c r="E1127" s="53" t="s">
        <v>85</v>
      </c>
      <c r="F1127" s="210">
        <f ca="1" t="shared" si="1044"/>
        <v>0</v>
      </c>
      <c r="G1127" s="210">
        <f ca="1" t="shared" si="1045"/>
        <v>0</v>
      </c>
      <c r="H1127" s="210">
        <f ca="1" t="shared" si="1046"/>
        <v>0</v>
      </c>
      <c r="I1127" s="210">
        <f ca="1" t="shared" si="1047"/>
        <v>0</v>
      </c>
      <c r="J1127" s="210">
        <f ca="1" t="shared" si="1048"/>
        <v>0</v>
      </c>
      <c r="K1127" s="210">
        <f ca="1" t="shared" si="1049"/>
        <v>0</v>
      </c>
      <c r="L1127" s="210">
        <f ca="1" t="shared" si="1050"/>
        <v>0</v>
      </c>
      <c r="M1127" s="210">
        <f ca="1" t="shared" si="1051"/>
        <v>0</v>
      </c>
      <c r="N1127" s="210">
        <f ca="1" t="shared" si="1052"/>
        <v>0</v>
      </c>
      <c r="O1127" s="210">
        <f ca="1" t="shared" si="1053"/>
        <v>0</v>
      </c>
      <c r="P1127" s="210">
        <f ca="1" t="shared" si="1054"/>
        <v>0</v>
      </c>
      <c r="Q1127" s="210">
        <f ca="1" t="shared" si="1055"/>
        <v>0</v>
      </c>
    </row>
    <row r="1128" ht="24" customHeight="1" spans="1:17">
      <c r="A1128" s="99" t="s">
        <v>347</v>
      </c>
      <c r="B1128" s="99" t="s">
        <v>299</v>
      </c>
      <c r="C1128" s="99" t="s">
        <v>316</v>
      </c>
      <c r="D1128" s="53" t="s">
        <v>328</v>
      </c>
      <c r="E1128" s="53" t="s">
        <v>81</v>
      </c>
      <c r="F1128" s="210">
        <f ca="1" t="shared" si="1044"/>
        <v>0</v>
      </c>
      <c r="G1128" s="210">
        <f ca="1" t="shared" si="1045"/>
        <v>0</v>
      </c>
      <c r="H1128" s="210">
        <f ca="1" t="shared" si="1046"/>
        <v>0</v>
      </c>
      <c r="I1128" s="210">
        <f ca="1" t="shared" si="1047"/>
        <v>1</v>
      </c>
      <c r="J1128" s="210">
        <f ca="1" t="shared" si="1048"/>
        <v>1</v>
      </c>
      <c r="K1128" s="210">
        <f ca="1" t="shared" si="1049"/>
        <v>1</v>
      </c>
      <c r="L1128" s="210">
        <f ca="1" t="shared" si="1050"/>
        <v>1</v>
      </c>
      <c r="M1128" s="210">
        <f ca="1" t="shared" si="1051"/>
        <v>1</v>
      </c>
      <c r="N1128" s="210">
        <f ca="1" t="shared" si="1052"/>
        <v>2</v>
      </c>
      <c r="O1128" s="210">
        <f ca="1" t="shared" si="1053"/>
        <v>2</v>
      </c>
      <c r="P1128" s="210">
        <f ca="1" t="shared" si="1054"/>
        <v>2</v>
      </c>
      <c r="Q1128" s="210">
        <f ca="1" t="shared" si="1055"/>
        <v>2</v>
      </c>
    </row>
    <row r="1129" ht="24" customHeight="1" spans="1:17">
      <c r="A1129" s="99" t="s">
        <v>347</v>
      </c>
      <c r="B1129" s="99" t="s">
        <v>299</v>
      </c>
      <c r="C1129" s="99" t="s">
        <v>316</v>
      </c>
      <c r="D1129" s="53" t="s">
        <v>328</v>
      </c>
      <c r="E1129" s="53" t="s">
        <v>96</v>
      </c>
      <c r="F1129" s="210">
        <f ca="1" t="shared" si="1044"/>
        <v>0</v>
      </c>
      <c r="G1129" s="210">
        <f ca="1" t="shared" si="1045"/>
        <v>0</v>
      </c>
      <c r="H1129" s="210">
        <f ca="1" t="shared" si="1046"/>
        <v>0</v>
      </c>
      <c r="I1129" s="210">
        <f ca="1" t="shared" si="1047"/>
        <v>0</v>
      </c>
      <c r="J1129" s="210">
        <f ca="1" t="shared" si="1048"/>
        <v>0</v>
      </c>
      <c r="K1129" s="210">
        <f ca="1" t="shared" si="1049"/>
        <v>0</v>
      </c>
      <c r="L1129" s="210">
        <f ca="1" t="shared" si="1050"/>
        <v>0</v>
      </c>
      <c r="M1129" s="210">
        <f ca="1" t="shared" si="1051"/>
        <v>0</v>
      </c>
      <c r="N1129" s="210">
        <f ca="1" t="shared" si="1052"/>
        <v>0</v>
      </c>
      <c r="O1129" s="210">
        <f ca="1" t="shared" si="1053"/>
        <v>0</v>
      </c>
      <c r="P1129" s="210">
        <f ca="1" t="shared" si="1054"/>
        <v>0</v>
      </c>
      <c r="Q1129" s="210">
        <f ca="1" t="shared" si="1055"/>
        <v>0</v>
      </c>
    </row>
    <row r="1130" ht="24" customHeight="1" spans="1:17">
      <c r="A1130" s="99" t="s">
        <v>347</v>
      </c>
      <c r="B1130" s="99" t="s">
        <v>299</v>
      </c>
      <c r="C1130" s="99" t="s">
        <v>316</v>
      </c>
      <c r="D1130" s="53" t="s">
        <v>328</v>
      </c>
      <c r="E1130" s="53" t="s">
        <v>160</v>
      </c>
      <c r="F1130" s="210">
        <f ca="1" t="shared" si="1044"/>
        <v>0</v>
      </c>
      <c r="G1130" s="210">
        <f ca="1" t="shared" si="1045"/>
        <v>0</v>
      </c>
      <c r="H1130" s="210">
        <f ca="1" t="shared" si="1046"/>
        <v>0</v>
      </c>
      <c r="I1130" s="210">
        <f ca="1" t="shared" si="1047"/>
        <v>0</v>
      </c>
      <c r="J1130" s="210">
        <f ca="1" t="shared" si="1048"/>
        <v>0</v>
      </c>
      <c r="K1130" s="210">
        <f ca="1" t="shared" si="1049"/>
        <v>0</v>
      </c>
      <c r="L1130" s="210">
        <f ca="1" t="shared" si="1050"/>
        <v>0</v>
      </c>
      <c r="M1130" s="210">
        <f ca="1" t="shared" si="1051"/>
        <v>0</v>
      </c>
      <c r="N1130" s="210">
        <f ca="1" t="shared" si="1052"/>
        <v>0</v>
      </c>
      <c r="O1130" s="210">
        <f ca="1" t="shared" si="1053"/>
        <v>0</v>
      </c>
      <c r="P1130" s="210">
        <f ca="1" t="shared" si="1054"/>
        <v>0</v>
      </c>
      <c r="Q1130" s="210">
        <f ca="1" t="shared" si="1055"/>
        <v>0</v>
      </c>
    </row>
    <row r="1131" ht="24" customHeight="1" spans="1:17">
      <c r="A1131" s="99" t="s">
        <v>347</v>
      </c>
      <c r="B1131" s="99" t="s">
        <v>299</v>
      </c>
      <c r="C1131" s="99" t="s">
        <v>329</v>
      </c>
      <c r="D1131" s="113" t="s">
        <v>292</v>
      </c>
      <c r="E1131" s="113" t="s">
        <v>330</v>
      </c>
      <c r="F1131" s="115">
        <f ca="1" t="shared" ref="F1131:Q1131" si="1056">IFERROR(IF(F1055=" "," ",F1077/F1055)," ")</f>
        <v>1</v>
      </c>
      <c r="G1131" s="115">
        <f ca="1" t="shared" si="1056"/>
        <v>1</v>
      </c>
      <c r="H1131" s="115">
        <f ca="1" t="shared" si="1056"/>
        <v>1</v>
      </c>
      <c r="I1131" s="115">
        <f ca="1" t="shared" si="1056"/>
        <v>1</v>
      </c>
      <c r="J1131" s="115">
        <f ca="1" t="shared" si="1056"/>
        <v>0.666666666666667</v>
      </c>
      <c r="K1131" s="115">
        <f ca="1" t="shared" si="1056"/>
        <v>1</v>
      </c>
      <c r="L1131" s="115">
        <f ca="1" t="shared" si="1056"/>
        <v>0.833333333333333</v>
      </c>
      <c r="M1131" s="115">
        <f ca="1" t="shared" si="1056"/>
        <v>1</v>
      </c>
      <c r="N1131" s="115">
        <f ca="1" t="shared" si="1056"/>
        <v>1</v>
      </c>
      <c r="O1131" s="115">
        <f ca="1" t="shared" si="1056"/>
        <v>0.9</v>
      </c>
      <c r="P1131" s="115">
        <f ca="1" t="shared" si="1056"/>
        <v>1</v>
      </c>
      <c r="Q1131" s="115">
        <f ca="1" t="shared" si="1056"/>
        <v>0.909090909090909</v>
      </c>
    </row>
    <row r="1132" ht="24" customHeight="1" spans="1:17">
      <c r="A1132" s="99" t="s">
        <v>347</v>
      </c>
      <c r="B1132" s="99" t="s">
        <v>299</v>
      </c>
      <c r="C1132" s="99" t="s">
        <v>329</v>
      </c>
      <c r="D1132" s="48" t="s">
        <v>296</v>
      </c>
      <c r="E1132" s="116" t="s">
        <v>90</v>
      </c>
      <c r="F1132" s="117" t="str">
        <f ca="1">IFERROR(IF(F1056=" "," ",F1078/F1056)," ")</f>
        <v> </v>
      </c>
      <c r="G1132" s="117" t="str">
        <f ca="1" t="shared" ref="G1132:O1132" si="1057">IFERROR(IF(G1056=" "," ",G1078/G1056),"")</f>
        <v/>
      </c>
      <c r="H1132" s="117" t="str">
        <f ca="1" t="shared" si="1057"/>
        <v/>
      </c>
      <c r="I1132" s="117" t="str">
        <f ca="1" t="shared" si="1057"/>
        <v/>
      </c>
      <c r="J1132" s="117" t="str">
        <f ca="1" t="shared" si="1057"/>
        <v/>
      </c>
      <c r="K1132" s="117" t="str">
        <f ca="1" t="shared" si="1057"/>
        <v/>
      </c>
      <c r="L1132" s="117" t="str">
        <f ca="1" t="shared" si="1057"/>
        <v/>
      </c>
      <c r="M1132" s="117" t="str">
        <f ca="1" t="shared" si="1057"/>
        <v/>
      </c>
      <c r="N1132" s="117">
        <f ca="1" t="shared" si="1057"/>
        <v>1</v>
      </c>
      <c r="O1132" s="117">
        <f ca="1" t="shared" si="1057"/>
        <v>1</v>
      </c>
      <c r="P1132" s="117">
        <f ca="1" t="shared" ref="P1132:Q1132" si="1058">IF(P1056=" "," ",P1078/P1056)</f>
        <v>1</v>
      </c>
      <c r="Q1132" s="117">
        <f ca="1" t="shared" si="1058"/>
        <v>0.5</v>
      </c>
    </row>
    <row r="1133" ht="24" customHeight="1" spans="1:17">
      <c r="A1133" s="99" t="s">
        <v>347</v>
      </c>
      <c r="B1133" s="99" t="s">
        <v>299</v>
      </c>
      <c r="C1133" s="99" t="s">
        <v>329</v>
      </c>
      <c r="D1133" s="48" t="s">
        <v>296</v>
      </c>
      <c r="E1133" s="116" t="s">
        <v>82</v>
      </c>
      <c r="F1133" s="117">
        <f ca="1" t="shared" ref="F1133:Q1133" si="1059">IF(F1057=" "," ",F1079/F1057)</f>
        <v>1</v>
      </c>
      <c r="G1133" s="117">
        <f ca="1" t="shared" si="1059"/>
        <v>1</v>
      </c>
      <c r="H1133" s="117">
        <f ca="1" t="shared" si="1059"/>
        <v>1</v>
      </c>
      <c r="I1133" s="117">
        <f ca="1" t="shared" si="1059"/>
        <v>1</v>
      </c>
      <c r="J1133" s="117">
        <f ca="1" t="shared" si="1059"/>
        <v>0.5</v>
      </c>
      <c r="K1133" s="117">
        <f ca="1" t="shared" si="1059"/>
        <v>1</v>
      </c>
      <c r="L1133" s="117">
        <f ca="1" t="shared" si="1059"/>
        <v>1</v>
      </c>
      <c r="M1133" s="117">
        <f ca="1" t="shared" si="1059"/>
        <v>1</v>
      </c>
      <c r="N1133" s="117">
        <f ca="1" t="shared" si="1059"/>
        <v>1</v>
      </c>
      <c r="O1133" s="117">
        <f ca="1" t="shared" si="1059"/>
        <v>1</v>
      </c>
      <c r="P1133" s="117">
        <f ca="1" t="shared" si="1059"/>
        <v>1</v>
      </c>
      <c r="Q1133" s="117">
        <f ca="1" t="shared" si="1059"/>
        <v>1</v>
      </c>
    </row>
    <row r="1134" ht="24" customHeight="1" spans="1:17">
      <c r="A1134" s="99" t="s">
        <v>347</v>
      </c>
      <c r="B1134" s="99" t="s">
        <v>299</v>
      </c>
      <c r="C1134" s="99" t="s">
        <v>329</v>
      </c>
      <c r="D1134" s="48" t="s">
        <v>296</v>
      </c>
      <c r="E1134" s="116" t="s">
        <v>86</v>
      </c>
      <c r="F1134" s="117" t="str">
        <f ca="1" t="shared" ref="F1134:F1138" si="1060">IFERROR(IF(F1058=" "," ",F1080/F1058)," ")</f>
        <v> </v>
      </c>
      <c r="G1134" s="117" t="str">
        <f ca="1" t="shared" ref="G1134:L1134" si="1061">IFERROR(IF(G1058=" "," ",G1080/G1058),"")</f>
        <v/>
      </c>
      <c r="H1134" s="117" t="str">
        <f ca="1" t="shared" si="1061"/>
        <v/>
      </c>
      <c r="I1134" s="117" t="str">
        <f ca="1" t="shared" si="1061"/>
        <v/>
      </c>
      <c r="J1134" s="117" t="str">
        <f ca="1" t="shared" si="1061"/>
        <v/>
      </c>
      <c r="K1134" s="117" t="str">
        <f ca="1" t="shared" si="1061"/>
        <v/>
      </c>
      <c r="L1134" s="117">
        <f ca="1" t="shared" si="1061"/>
        <v>1</v>
      </c>
      <c r="M1134" s="117">
        <f ca="1" t="shared" ref="M1134:Q1134" si="1062">IF(M1058=" "," ",M1080/M1058)</f>
        <v>1</v>
      </c>
      <c r="N1134" s="117">
        <f ca="1" t="shared" si="1062"/>
        <v>1</v>
      </c>
      <c r="O1134" s="117">
        <f ca="1" t="shared" si="1062"/>
        <v>1</v>
      </c>
      <c r="P1134" s="117">
        <f ca="1" t="shared" si="1062"/>
        <v>1</v>
      </c>
      <c r="Q1134" s="117">
        <f ca="1" t="shared" si="1062"/>
        <v>1</v>
      </c>
    </row>
    <row r="1135" ht="24" customHeight="1" spans="1:17">
      <c r="A1135" s="99" t="s">
        <v>347</v>
      </c>
      <c r="B1135" s="99" t="s">
        <v>299</v>
      </c>
      <c r="C1135" s="99" t="s">
        <v>329</v>
      </c>
      <c r="D1135" s="48" t="s">
        <v>298</v>
      </c>
      <c r="E1135" s="116" t="s">
        <v>97</v>
      </c>
      <c r="F1135" s="117" t="str">
        <f ca="1" t="shared" si="1060"/>
        <v> </v>
      </c>
      <c r="G1135" s="117" t="str">
        <f ca="1" t="shared" ref="G1135:I1135" si="1063">IFERROR(IF(G1059=" "," ",G1081/G1059),"")</f>
        <v/>
      </c>
      <c r="H1135" s="117" t="str">
        <f ca="1" t="shared" si="1063"/>
        <v/>
      </c>
      <c r="I1135" s="117">
        <f ca="1" t="shared" si="1063"/>
        <v>1</v>
      </c>
      <c r="J1135" s="117">
        <f ca="1" t="shared" ref="J1135:Q1135" si="1064">IF(J1059=" "," ",J1081/J1059)</f>
        <v>1</v>
      </c>
      <c r="K1135" s="117">
        <f ca="1" t="shared" si="1064"/>
        <v>1</v>
      </c>
      <c r="L1135" s="117">
        <f ca="1" t="shared" si="1064"/>
        <v>1</v>
      </c>
      <c r="M1135" s="117">
        <f ca="1" t="shared" si="1064"/>
        <v>1</v>
      </c>
      <c r="N1135" s="117">
        <f ca="1" t="shared" si="1064"/>
        <v>1</v>
      </c>
      <c r="O1135" s="117">
        <f ca="1" t="shared" si="1064"/>
        <v>0.666666666666667</v>
      </c>
      <c r="P1135" s="117">
        <f ca="1" t="shared" si="1064"/>
        <v>1</v>
      </c>
      <c r="Q1135" s="117">
        <f ca="1" t="shared" si="1064"/>
        <v>1</v>
      </c>
    </row>
    <row r="1136" ht="24" customHeight="1" spans="1:17">
      <c r="A1136" s="99" t="s">
        <v>347</v>
      </c>
      <c r="B1136" s="99" t="s">
        <v>299</v>
      </c>
      <c r="C1136" s="99" t="s">
        <v>329</v>
      </c>
      <c r="D1136" s="48" t="s">
        <v>298</v>
      </c>
      <c r="E1136" s="116" t="s">
        <v>87</v>
      </c>
      <c r="F1136" s="117" t="str">
        <f ca="1" t="shared" si="1060"/>
        <v> </v>
      </c>
      <c r="G1136" s="117" t="str">
        <f ca="1" t="shared" ref="G1136:Q1136" si="1065">IFERROR(IF(G1060=" "," ",G1082/G1060),"")</f>
        <v/>
      </c>
      <c r="H1136" s="117" t="str">
        <f ca="1" t="shared" si="1065"/>
        <v/>
      </c>
      <c r="I1136" s="117" t="str">
        <f ca="1" t="shared" si="1065"/>
        <v/>
      </c>
      <c r="J1136" s="117" t="str">
        <f ca="1" t="shared" si="1065"/>
        <v/>
      </c>
      <c r="K1136" s="117" t="str">
        <f ca="1" t="shared" si="1065"/>
        <v/>
      </c>
      <c r="L1136" s="117" t="str">
        <f ca="1" t="shared" si="1065"/>
        <v/>
      </c>
      <c r="M1136" s="117" t="str">
        <f ca="1" t="shared" si="1065"/>
        <v/>
      </c>
      <c r="N1136" s="117" t="str">
        <f ca="1" t="shared" si="1065"/>
        <v/>
      </c>
      <c r="O1136" s="117" t="str">
        <f ca="1" t="shared" si="1065"/>
        <v/>
      </c>
      <c r="P1136" s="117" t="str">
        <f ca="1" t="shared" si="1065"/>
        <v/>
      </c>
      <c r="Q1136" s="117" t="str">
        <f ca="1" t="shared" si="1065"/>
        <v/>
      </c>
    </row>
    <row r="1137" ht="24" customHeight="1" spans="1:17">
      <c r="A1137" s="99" t="s">
        <v>347</v>
      </c>
      <c r="B1137" s="99" t="s">
        <v>299</v>
      </c>
      <c r="C1137" s="99" t="s">
        <v>329</v>
      </c>
      <c r="D1137" s="48" t="s">
        <v>298</v>
      </c>
      <c r="E1137" s="116" t="s">
        <v>149</v>
      </c>
      <c r="F1137" s="117" t="str">
        <f ca="1" t="shared" si="1060"/>
        <v> </v>
      </c>
      <c r="G1137" s="117" t="str">
        <f ca="1" t="shared" ref="G1137:L1137" si="1066">IFERROR(IF(G1061=" "," ",G1083/G1061),"")</f>
        <v/>
      </c>
      <c r="H1137" s="117" t="str">
        <f ca="1" t="shared" si="1066"/>
        <v/>
      </c>
      <c r="I1137" s="117" t="str">
        <f ca="1" t="shared" si="1066"/>
        <v/>
      </c>
      <c r="J1137" s="117" t="str">
        <f ca="1" t="shared" si="1066"/>
        <v/>
      </c>
      <c r="K1137" s="117" t="str">
        <f ca="1" t="shared" si="1066"/>
        <v/>
      </c>
      <c r="L1137" s="117">
        <f ca="1" t="shared" si="1066"/>
        <v>0</v>
      </c>
      <c r="M1137" s="117">
        <f ca="1" t="shared" ref="M1137:Q1137" si="1067">IF(M1061=" "," ",M1083/M1061)</f>
        <v>1</v>
      </c>
      <c r="N1137" s="117">
        <f ca="1" t="shared" si="1067"/>
        <v>1</v>
      </c>
      <c r="O1137" s="117">
        <f ca="1" t="shared" si="1067"/>
        <v>1</v>
      </c>
      <c r="P1137" s="117">
        <f ca="1" t="shared" si="1067"/>
        <v>1</v>
      </c>
      <c r="Q1137" s="117">
        <f ca="1" t="shared" si="1067"/>
        <v>1</v>
      </c>
    </row>
    <row r="1138" ht="24" customHeight="1" spans="1:17">
      <c r="A1138" s="99" t="s">
        <v>347</v>
      </c>
      <c r="B1138" s="99" t="s">
        <v>299</v>
      </c>
      <c r="C1138" s="99" t="s">
        <v>329</v>
      </c>
      <c r="D1138" s="48" t="s">
        <v>298</v>
      </c>
      <c r="E1138" s="116" t="s">
        <v>83</v>
      </c>
      <c r="F1138" s="117" t="str">
        <f ca="1" t="shared" si="1060"/>
        <v> </v>
      </c>
      <c r="G1138" s="117" t="str">
        <f ca="1" t="shared" ref="G1138:Q1138" si="1068">IFERROR(IF(G1062=" "," ",G1084/G1062),"")</f>
        <v/>
      </c>
      <c r="H1138" s="117" t="str">
        <f ca="1" t="shared" si="1068"/>
        <v/>
      </c>
      <c r="I1138" s="117" t="str">
        <f ca="1" t="shared" si="1068"/>
        <v/>
      </c>
      <c r="J1138" s="117" t="str">
        <f ca="1" t="shared" si="1068"/>
        <v/>
      </c>
      <c r="K1138" s="117" t="str">
        <f ca="1" t="shared" si="1068"/>
        <v/>
      </c>
      <c r="L1138" s="117" t="str">
        <f ca="1" t="shared" si="1068"/>
        <v/>
      </c>
      <c r="M1138" s="117" t="str">
        <f ca="1" t="shared" si="1068"/>
        <v/>
      </c>
      <c r="N1138" s="117" t="str">
        <f ca="1" t="shared" si="1068"/>
        <v/>
      </c>
      <c r="O1138" s="117" t="str">
        <f ca="1" t="shared" si="1068"/>
        <v/>
      </c>
      <c r="P1138" s="117" t="str">
        <f ca="1" t="shared" si="1068"/>
        <v/>
      </c>
      <c r="Q1138" s="117" t="str">
        <f ca="1" t="shared" si="1068"/>
        <v/>
      </c>
    </row>
    <row r="1139" ht="24" customHeight="1" spans="1:17">
      <c r="A1139" s="99" t="s">
        <v>347</v>
      </c>
      <c r="B1139" s="99" t="s">
        <v>299</v>
      </c>
      <c r="C1139" s="99" t="s">
        <v>329</v>
      </c>
      <c r="D1139" s="47" t="s">
        <v>294</v>
      </c>
      <c r="E1139" s="118" t="s">
        <v>93</v>
      </c>
      <c r="F1139" s="119">
        <f ca="1" t="shared" ref="F1139:Q1139" si="1069">IF(F1063=" "," ",F1092/F1063)</f>
        <v>0</v>
      </c>
      <c r="G1139" s="119">
        <f ca="1" t="shared" si="1069"/>
        <v>0</v>
      </c>
      <c r="H1139" s="119">
        <f ca="1" t="shared" si="1069"/>
        <v>0</v>
      </c>
      <c r="I1139" s="119">
        <f ca="1" t="shared" si="1069"/>
        <v>0</v>
      </c>
      <c r="J1139" s="119">
        <f ca="1" t="shared" si="1069"/>
        <v>0</v>
      </c>
      <c r="K1139" s="119">
        <f ca="1" t="shared" si="1069"/>
        <v>0</v>
      </c>
      <c r="L1139" s="119">
        <f ca="1" t="shared" si="1069"/>
        <v>0.25</v>
      </c>
      <c r="M1139" s="119">
        <f ca="1" t="shared" si="1069"/>
        <v>0.25</v>
      </c>
      <c r="N1139" s="119">
        <f ca="1" t="shared" si="1069"/>
        <v>0.166666666666667</v>
      </c>
      <c r="O1139" s="119">
        <f ca="1" t="shared" si="1069"/>
        <v>0</v>
      </c>
      <c r="P1139" s="119">
        <f ca="1" t="shared" si="1069"/>
        <v>0</v>
      </c>
      <c r="Q1139" s="119">
        <f ca="1" t="shared" si="1069"/>
        <v>0</v>
      </c>
    </row>
    <row r="1140" ht="24" customHeight="1" spans="1:17">
      <c r="A1140" s="99" t="s">
        <v>347</v>
      </c>
      <c r="B1140" s="99" t="s">
        <v>299</v>
      </c>
      <c r="C1140" s="99" t="s">
        <v>329</v>
      </c>
      <c r="D1140" s="47" t="s">
        <v>294</v>
      </c>
      <c r="E1140" s="118" t="s">
        <v>85</v>
      </c>
      <c r="F1140" s="119" t="str">
        <f ca="1" t="shared" ref="F1140:F1147" si="1070">IFERROR(IF(F1064=" "," ",F1093/F1064)," ")</f>
        <v> </v>
      </c>
      <c r="G1140" s="119" t="str">
        <f ca="1" t="shared" ref="G1140:J1140" si="1071">IFERROR(IF(G1064=" "," ",G1093/G1064),"")</f>
        <v/>
      </c>
      <c r="H1140" s="119" t="str">
        <f ca="1" t="shared" si="1071"/>
        <v/>
      </c>
      <c r="I1140" s="119" t="str">
        <f ca="1" t="shared" si="1071"/>
        <v/>
      </c>
      <c r="J1140" s="119" t="str">
        <f ca="1" t="shared" si="1071"/>
        <v/>
      </c>
      <c r="K1140" s="119">
        <f ca="1" t="shared" ref="K1140:Q1140" si="1072">IF(K1064=" "," ",K1093/K1064)</f>
        <v>1</v>
      </c>
      <c r="L1140" s="119">
        <f ca="1" t="shared" si="1072"/>
        <v>0</v>
      </c>
      <c r="M1140" s="119">
        <f ca="1" t="shared" si="1072"/>
        <v>0</v>
      </c>
      <c r="N1140" s="119">
        <f ca="1" t="shared" si="1072"/>
        <v>0</v>
      </c>
      <c r="O1140" s="119">
        <f ca="1" t="shared" si="1072"/>
        <v>0</v>
      </c>
      <c r="P1140" s="119">
        <f ca="1" t="shared" si="1072"/>
        <v>0</v>
      </c>
      <c r="Q1140" s="119">
        <f ca="1" t="shared" si="1072"/>
        <v>0</v>
      </c>
    </row>
    <row r="1141" ht="24" customHeight="1" spans="1:17">
      <c r="A1141" s="99" t="s">
        <v>347</v>
      </c>
      <c r="B1141" s="99" t="s">
        <v>299</v>
      </c>
      <c r="C1141" s="99" t="s">
        <v>329</v>
      </c>
      <c r="D1141" s="47" t="s">
        <v>294</v>
      </c>
      <c r="E1141" s="118" t="s">
        <v>81</v>
      </c>
      <c r="F1141" s="119" t="str">
        <f ca="1" t="shared" si="1070"/>
        <v> </v>
      </c>
      <c r="G1141" s="119" t="str">
        <f ca="1" t="shared" ref="G1141:I1141" si="1073">IFERROR(IF(G1065=" "," ",G1094/G1065),"")</f>
        <v/>
      </c>
      <c r="H1141" s="119" t="str">
        <f ca="1" t="shared" si="1073"/>
        <v/>
      </c>
      <c r="I1141" s="119">
        <f ca="1" t="shared" si="1073"/>
        <v>0</v>
      </c>
      <c r="J1141" s="119">
        <f ca="1" t="shared" ref="J1141:Q1141" si="1074">IF(J1065=" "," ",J1094/J1065)</f>
        <v>0</v>
      </c>
      <c r="K1141" s="119">
        <f ca="1" t="shared" si="1074"/>
        <v>0</v>
      </c>
      <c r="L1141" s="119">
        <f ca="1" t="shared" si="1074"/>
        <v>0</v>
      </c>
      <c r="M1141" s="119">
        <f ca="1" t="shared" si="1074"/>
        <v>0</v>
      </c>
      <c r="N1141" s="119">
        <f ca="1" t="shared" si="1074"/>
        <v>0</v>
      </c>
      <c r="O1141" s="119">
        <f ca="1" t="shared" si="1074"/>
        <v>0</v>
      </c>
      <c r="P1141" s="119">
        <f ca="1" t="shared" si="1074"/>
        <v>0</v>
      </c>
      <c r="Q1141" s="119">
        <f ca="1" t="shared" si="1074"/>
        <v>0</v>
      </c>
    </row>
    <row r="1142" ht="24" customHeight="1" spans="1:17">
      <c r="A1142" s="99" t="s">
        <v>347</v>
      </c>
      <c r="B1142" s="99" t="s">
        <v>299</v>
      </c>
      <c r="C1142" s="99" t="s">
        <v>329</v>
      </c>
      <c r="D1142" s="47" t="s">
        <v>294</v>
      </c>
      <c r="E1142" s="118" t="s">
        <v>96</v>
      </c>
      <c r="F1142" s="119" t="str">
        <f ca="1" t="shared" si="1070"/>
        <v> </v>
      </c>
      <c r="G1142" s="119" t="str">
        <f ca="1" t="shared" ref="G1142:Q1142" si="1075">IFERROR(IF(G1066=" "," ",G1095/G1066),"")</f>
        <v/>
      </c>
      <c r="H1142" s="119" t="str">
        <f ca="1" t="shared" si="1075"/>
        <v/>
      </c>
      <c r="I1142" s="119" t="str">
        <f ca="1" t="shared" si="1075"/>
        <v/>
      </c>
      <c r="J1142" s="119" t="str">
        <f ca="1" t="shared" si="1075"/>
        <v/>
      </c>
      <c r="K1142" s="119" t="str">
        <f ca="1" t="shared" si="1075"/>
        <v/>
      </c>
      <c r="L1142" s="119" t="str">
        <f ca="1" t="shared" si="1075"/>
        <v/>
      </c>
      <c r="M1142" s="119" t="str">
        <f ca="1" t="shared" si="1075"/>
        <v/>
      </c>
      <c r="N1142" s="119" t="str">
        <f ca="1" t="shared" si="1075"/>
        <v/>
      </c>
      <c r="O1142" s="119" t="str">
        <f ca="1" t="shared" si="1075"/>
        <v/>
      </c>
      <c r="P1142" s="119" t="str">
        <f ca="1" t="shared" si="1075"/>
        <v/>
      </c>
      <c r="Q1142" s="119" t="str">
        <f ca="1" t="shared" si="1075"/>
        <v/>
      </c>
    </row>
    <row r="1143" ht="24" customHeight="1" spans="1:17">
      <c r="A1143" s="99" t="s">
        <v>347</v>
      </c>
      <c r="B1143" s="99" t="s">
        <v>299</v>
      </c>
      <c r="C1143" s="99" t="s">
        <v>329</v>
      </c>
      <c r="D1143" s="47" t="s">
        <v>294</v>
      </c>
      <c r="E1143" s="118" t="s">
        <v>160</v>
      </c>
      <c r="F1143" s="119" t="str">
        <f ca="1" t="shared" si="1070"/>
        <v> </v>
      </c>
      <c r="G1143" s="119" t="str">
        <f ca="1" t="shared" ref="G1143:I1143" si="1076">IFERROR(IF(G1067=" "," ",G1096/G1067),"")</f>
        <v/>
      </c>
      <c r="H1143" s="119" t="str">
        <f ca="1" t="shared" si="1076"/>
        <v/>
      </c>
      <c r="I1143" s="119" t="str">
        <f ca="1" t="shared" si="1076"/>
        <v/>
      </c>
      <c r="J1143" s="119" t="str">
        <f ca="1" t="shared" ref="J1143:Q1143" si="1077">IFERROR(IF(J1067=" "," ",J1096/J1067)," ")</f>
        <v> </v>
      </c>
      <c r="K1143" s="119" t="str">
        <f ca="1" t="shared" si="1077"/>
        <v> </v>
      </c>
      <c r="L1143" s="119" t="str">
        <f ca="1" t="shared" si="1077"/>
        <v> </v>
      </c>
      <c r="M1143" s="119" t="str">
        <f ca="1" t="shared" si="1077"/>
        <v> </v>
      </c>
      <c r="N1143" s="119" t="str">
        <f ca="1" t="shared" si="1077"/>
        <v> </v>
      </c>
      <c r="O1143" s="119" t="str">
        <f ca="1" t="shared" si="1077"/>
        <v> </v>
      </c>
      <c r="P1143" s="119" t="str">
        <f ca="1" t="shared" si="1077"/>
        <v> </v>
      </c>
      <c r="Q1143" s="119" t="str">
        <f ca="1" t="shared" si="1077"/>
        <v> </v>
      </c>
    </row>
    <row r="1144" ht="24" customHeight="1" spans="1:17">
      <c r="A1144" s="99" t="s">
        <v>347</v>
      </c>
      <c r="B1144" s="99" t="s">
        <v>299</v>
      </c>
      <c r="C1144" s="99" t="s">
        <v>329</v>
      </c>
      <c r="D1144" s="113" t="s">
        <v>292</v>
      </c>
      <c r="E1144" s="113" t="s">
        <v>331</v>
      </c>
      <c r="F1144" s="115">
        <f ca="1" t="shared" si="1070"/>
        <v>1</v>
      </c>
      <c r="G1144" s="115">
        <f ca="1" t="shared" ref="G1144:Q1144" si="1078">IFERROR(IF(G1068=" "," ",G1097/G1068)," ")</f>
        <v>1</v>
      </c>
      <c r="H1144" s="115">
        <f ca="1" t="shared" si="1078"/>
        <v>1</v>
      </c>
      <c r="I1144" s="115">
        <f ca="1" t="shared" si="1078"/>
        <v>1</v>
      </c>
      <c r="J1144" s="115">
        <f ca="1" t="shared" si="1078"/>
        <v>0.5</v>
      </c>
      <c r="K1144" s="115">
        <f ca="1" t="shared" si="1078"/>
        <v>1</v>
      </c>
      <c r="L1144" s="115">
        <f ca="1" t="shared" si="1078"/>
        <v>0.8</v>
      </c>
      <c r="M1144" s="115">
        <f ca="1" t="shared" si="1078"/>
        <v>1</v>
      </c>
      <c r="N1144" s="115">
        <f ca="1" t="shared" si="1078"/>
        <v>1</v>
      </c>
      <c r="O1144" s="115">
        <f ca="1" t="shared" si="1078"/>
        <v>0.888888888888889</v>
      </c>
      <c r="P1144" s="115">
        <f ca="1" t="shared" si="1078"/>
        <v>1</v>
      </c>
      <c r="Q1144" s="115">
        <f ca="1" t="shared" si="1078"/>
        <v>0.9</v>
      </c>
    </row>
    <row r="1145" ht="24" customHeight="1" spans="1:17">
      <c r="A1145" s="99" t="s">
        <v>347</v>
      </c>
      <c r="B1145" s="99" t="s">
        <v>299</v>
      </c>
      <c r="C1145" s="99" t="s">
        <v>329</v>
      </c>
      <c r="D1145" s="48" t="s">
        <v>296</v>
      </c>
      <c r="E1145" s="116" t="s">
        <v>90</v>
      </c>
      <c r="F1145" s="117" t="str">
        <f ca="1" t="shared" si="1070"/>
        <v> </v>
      </c>
      <c r="G1145" s="117" t="str">
        <f ca="1" t="shared" ref="G1145:L1145" si="1079">IFERROR(IF(G1069=" "," ",G1098/G1069),"")</f>
        <v/>
      </c>
      <c r="H1145" s="117" t="str">
        <f ca="1" t="shared" si="1079"/>
        <v/>
      </c>
      <c r="I1145" s="117" t="str">
        <f ca="1" t="shared" si="1079"/>
        <v/>
      </c>
      <c r="J1145" s="117" t="str">
        <f ca="1" t="shared" si="1079"/>
        <v/>
      </c>
      <c r="K1145" s="117" t="str">
        <f ca="1" t="shared" si="1079"/>
        <v/>
      </c>
      <c r="L1145" s="117">
        <f ca="1" t="shared" si="1079"/>
        <v>0</v>
      </c>
      <c r="M1145" s="117">
        <f ca="1" t="shared" ref="M1145:Q1145" si="1080">IF(M1069=" "," ",M1098/M1069)</f>
        <v>1</v>
      </c>
      <c r="N1145" s="117">
        <f ca="1" t="shared" si="1080"/>
        <v>1</v>
      </c>
      <c r="O1145" s="117">
        <f ca="1" t="shared" si="1080"/>
        <v>1</v>
      </c>
      <c r="P1145" s="117">
        <f ca="1" t="shared" si="1080"/>
        <v>1</v>
      </c>
      <c r="Q1145" s="117">
        <f ca="1" t="shared" si="1080"/>
        <v>0.666666666666667</v>
      </c>
    </row>
    <row r="1146" ht="24" customHeight="1" spans="1:17">
      <c r="A1146" s="99" t="s">
        <v>347</v>
      </c>
      <c r="B1146" s="99" t="s">
        <v>299</v>
      </c>
      <c r="C1146" s="99" t="s">
        <v>329</v>
      </c>
      <c r="D1146" s="48" t="s">
        <v>296</v>
      </c>
      <c r="E1146" s="116" t="s">
        <v>82</v>
      </c>
      <c r="F1146" s="117">
        <f ca="1" t="shared" si="1070"/>
        <v>1</v>
      </c>
      <c r="G1146" s="117">
        <f ca="1" t="shared" ref="G1146:I1146" si="1081">IFERROR(IF(G1070=" "," ",G1099/G1070),"")</f>
        <v>1</v>
      </c>
      <c r="H1146" s="117">
        <f ca="1" t="shared" si="1081"/>
        <v>1</v>
      </c>
      <c r="I1146" s="117">
        <f ca="1" t="shared" si="1081"/>
        <v>1</v>
      </c>
      <c r="J1146" s="117">
        <f ca="1" t="shared" ref="J1146:Q1146" si="1082">IF(J1070=" "," ",J1099/J1070)</f>
        <v>0.5</v>
      </c>
      <c r="K1146" s="117">
        <f ca="1" t="shared" si="1082"/>
        <v>1</v>
      </c>
      <c r="L1146" s="117">
        <f ca="1" t="shared" si="1082"/>
        <v>1</v>
      </c>
      <c r="M1146" s="117">
        <f ca="1" t="shared" si="1082"/>
        <v>1</v>
      </c>
      <c r="N1146" s="117">
        <f ca="1" t="shared" si="1082"/>
        <v>1</v>
      </c>
      <c r="O1146" s="117">
        <f ca="1" t="shared" si="1082"/>
        <v>0.833333333333333</v>
      </c>
      <c r="P1146" s="117">
        <f ca="1" t="shared" si="1082"/>
        <v>1</v>
      </c>
      <c r="Q1146" s="117">
        <f ca="1" t="shared" si="1082"/>
        <v>1</v>
      </c>
    </row>
    <row r="1147" ht="24" customHeight="1" spans="1:17">
      <c r="A1147" s="99" t="s">
        <v>347</v>
      </c>
      <c r="B1147" s="99" t="s">
        <v>299</v>
      </c>
      <c r="C1147" s="99" t="s">
        <v>329</v>
      </c>
      <c r="D1147" s="48" t="s">
        <v>296</v>
      </c>
      <c r="E1147" s="116" t="s">
        <v>86</v>
      </c>
      <c r="F1147" s="117" t="str">
        <f ca="1" t="shared" si="1070"/>
        <v> </v>
      </c>
      <c r="G1147" s="117" t="str">
        <f ca="1" t="shared" ref="G1147:L1147" si="1083">IFERROR(IF(G1071=" "," ",G1100/G1071),"")</f>
        <v/>
      </c>
      <c r="H1147" s="117" t="str">
        <f ca="1" t="shared" si="1083"/>
        <v/>
      </c>
      <c r="I1147" s="117" t="str">
        <f ca="1" t="shared" si="1083"/>
        <v/>
      </c>
      <c r="J1147" s="117" t="str">
        <f ca="1" t="shared" si="1083"/>
        <v/>
      </c>
      <c r="K1147" s="117" t="str">
        <f ca="1" t="shared" si="1083"/>
        <v/>
      </c>
      <c r="L1147" s="117">
        <f ca="1" t="shared" si="1083"/>
        <v>1</v>
      </c>
      <c r="M1147" s="117">
        <f ca="1" t="shared" ref="M1147:Q1147" si="1084">IF(M1071=" "," ",M1100/M1071)</f>
        <v>1</v>
      </c>
      <c r="N1147" s="117">
        <f ca="1" t="shared" si="1084"/>
        <v>1</v>
      </c>
      <c r="O1147" s="117">
        <f ca="1" t="shared" si="1084"/>
        <v>1</v>
      </c>
      <c r="P1147" s="117">
        <f ca="1" t="shared" si="1084"/>
        <v>1</v>
      </c>
      <c r="Q1147" s="117">
        <f ca="1" t="shared" si="1084"/>
        <v>1</v>
      </c>
    </row>
    <row r="1148" ht="24" customHeight="1" spans="1:17">
      <c r="A1148" s="99" t="s">
        <v>347</v>
      </c>
      <c r="B1148" s="99" t="s">
        <v>299</v>
      </c>
      <c r="C1148" s="99" t="s">
        <v>329</v>
      </c>
      <c r="D1148" s="113" t="s">
        <v>292</v>
      </c>
      <c r="E1148" s="113" t="s">
        <v>332</v>
      </c>
      <c r="F1148" s="115">
        <f ca="1" t="shared" ref="F1148:Q1148" si="1085">IFERROR(IF(F1072=" "," ",F1104/F1072)," ")</f>
        <v>1</v>
      </c>
      <c r="G1148" s="115">
        <f ca="1" t="shared" si="1085"/>
        <v>1</v>
      </c>
      <c r="H1148" s="115">
        <f ca="1" t="shared" si="1085"/>
        <v>1</v>
      </c>
      <c r="I1148" s="115">
        <f ca="1" t="shared" si="1085"/>
        <v>1</v>
      </c>
      <c r="J1148" s="115">
        <f ca="1" t="shared" si="1085"/>
        <v>0.666666666666667</v>
      </c>
      <c r="K1148" s="115">
        <f ca="1" t="shared" si="1085"/>
        <v>1</v>
      </c>
      <c r="L1148" s="115">
        <f ca="1" t="shared" si="1085"/>
        <v>0.8</v>
      </c>
      <c r="M1148" s="115">
        <f ca="1" t="shared" si="1085"/>
        <v>1</v>
      </c>
      <c r="N1148" s="115">
        <f ca="1" t="shared" si="1085"/>
        <v>1</v>
      </c>
      <c r="O1148" s="115">
        <f ca="1" t="shared" si="1085"/>
        <v>0.857142857142857</v>
      </c>
      <c r="P1148" s="115">
        <f ca="1" t="shared" si="1085"/>
        <v>1</v>
      </c>
      <c r="Q1148" s="115">
        <f ca="1" t="shared" si="1085"/>
        <v>0.875</v>
      </c>
    </row>
    <row r="1149" ht="24" customHeight="1" spans="1:17">
      <c r="A1149" s="99" t="s">
        <v>347</v>
      </c>
      <c r="B1149" s="99" t="s">
        <v>299</v>
      </c>
      <c r="C1149" s="99" t="s">
        <v>329</v>
      </c>
      <c r="D1149" s="48" t="s">
        <v>298</v>
      </c>
      <c r="E1149" s="116" t="s">
        <v>97</v>
      </c>
      <c r="F1149" s="117" t="str">
        <f ca="1" t="shared" ref="F1149:F1152" si="1086">IFERROR(IF(F1073=" "," ",F1105/F1073)," ")</f>
        <v> </v>
      </c>
      <c r="G1149" s="117" t="str">
        <f ca="1" t="shared" ref="G1149:I1149" si="1087">IFERROR(IF(G1073=" "," ",G1105/G1073),"")</f>
        <v/>
      </c>
      <c r="H1149" s="117" t="str">
        <f ca="1" t="shared" si="1087"/>
        <v/>
      </c>
      <c r="I1149" s="117">
        <f ca="1" t="shared" si="1087"/>
        <v>1</v>
      </c>
      <c r="J1149" s="117">
        <f ca="1" t="shared" ref="J1149:Q1149" si="1088">IF(J1073=" "," ",J1105/J1073)</f>
        <v>1</v>
      </c>
      <c r="K1149" s="117">
        <f ca="1" t="shared" si="1088"/>
        <v>1</v>
      </c>
      <c r="L1149" s="117">
        <f ca="1" t="shared" si="1088"/>
        <v>1</v>
      </c>
      <c r="M1149" s="117">
        <f ca="1" t="shared" si="1088"/>
        <v>1</v>
      </c>
      <c r="N1149" s="117">
        <f ca="1" t="shared" si="1088"/>
        <v>1</v>
      </c>
      <c r="O1149" s="117">
        <f ca="1" t="shared" si="1088"/>
        <v>0.75</v>
      </c>
      <c r="P1149" s="117">
        <f ca="1" t="shared" si="1088"/>
        <v>1</v>
      </c>
      <c r="Q1149" s="117">
        <f ca="1" t="shared" si="1088"/>
        <v>1</v>
      </c>
    </row>
    <row r="1150" ht="24" customHeight="1" spans="1:17">
      <c r="A1150" s="99" t="s">
        <v>347</v>
      </c>
      <c r="B1150" s="99" t="s">
        <v>299</v>
      </c>
      <c r="C1150" s="99" t="s">
        <v>329</v>
      </c>
      <c r="D1150" s="48" t="s">
        <v>298</v>
      </c>
      <c r="E1150" s="116" t="s">
        <v>87</v>
      </c>
      <c r="F1150" s="117">
        <f ca="1" t="shared" si="1086"/>
        <v>1</v>
      </c>
      <c r="G1150" s="117">
        <f ca="1" t="shared" ref="G1150:I1150" si="1089">IFERROR(IF(G1074=" "," ",G1106/G1074),"")</f>
        <v>1</v>
      </c>
      <c r="H1150" s="117">
        <f ca="1" t="shared" si="1089"/>
        <v>1</v>
      </c>
      <c r="I1150" s="117">
        <f ca="1" t="shared" si="1089"/>
        <v>1</v>
      </c>
      <c r="J1150" s="117">
        <f ca="1" t="shared" ref="J1150:Q1150" si="1090">IF(J1074=" "," ",J1106/J1074)</f>
        <v>1</v>
      </c>
      <c r="K1150" s="117">
        <f ca="1" t="shared" si="1090"/>
        <v>1</v>
      </c>
      <c r="L1150" s="117">
        <f ca="1" t="shared" si="1090"/>
        <v>1</v>
      </c>
      <c r="M1150" s="117">
        <f ca="1" t="shared" si="1090"/>
        <v>1</v>
      </c>
      <c r="N1150" s="117">
        <f ca="1" t="shared" si="1090"/>
        <v>1</v>
      </c>
      <c r="O1150" s="117">
        <f ca="1" t="shared" si="1090"/>
        <v>1</v>
      </c>
      <c r="P1150" s="117">
        <f ca="1" t="shared" si="1090"/>
        <v>1</v>
      </c>
      <c r="Q1150" s="117">
        <f ca="1" t="shared" si="1090"/>
        <v>1</v>
      </c>
    </row>
    <row r="1151" ht="24" customHeight="1" spans="1:17">
      <c r="A1151" s="99" t="s">
        <v>347</v>
      </c>
      <c r="B1151" s="99" t="s">
        <v>299</v>
      </c>
      <c r="C1151" s="99" t="s">
        <v>329</v>
      </c>
      <c r="D1151" s="48" t="s">
        <v>298</v>
      </c>
      <c r="E1151" s="116" t="s">
        <v>149</v>
      </c>
      <c r="F1151" s="117" t="str">
        <f ca="1" t="shared" si="1086"/>
        <v> </v>
      </c>
      <c r="G1151" s="117" t="str">
        <f ca="1" t="shared" ref="G1151:L1151" si="1091">IFERROR(IF(G1075=" "," ",G1107/G1075),"")</f>
        <v/>
      </c>
      <c r="H1151" s="117" t="str">
        <f ca="1" t="shared" si="1091"/>
        <v/>
      </c>
      <c r="I1151" s="117" t="str">
        <f ca="1" t="shared" si="1091"/>
        <v/>
      </c>
      <c r="J1151" s="117" t="str">
        <f ca="1" t="shared" si="1091"/>
        <v/>
      </c>
      <c r="K1151" s="117" t="str">
        <f ca="1" t="shared" si="1091"/>
        <v/>
      </c>
      <c r="L1151" s="117">
        <f ca="1" t="shared" si="1091"/>
        <v>0</v>
      </c>
      <c r="M1151" s="117">
        <f ca="1" t="shared" ref="M1151:Q1151" si="1092">IF(M1075=" "," ",M1107/M1075)</f>
        <v>1</v>
      </c>
      <c r="N1151" s="117">
        <f ca="1" t="shared" si="1092"/>
        <v>1</v>
      </c>
      <c r="O1151" s="117">
        <f ca="1" t="shared" si="1092"/>
        <v>1</v>
      </c>
      <c r="P1151" s="117">
        <f ca="1" t="shared" si="1092"/>
        <v>1</v>
      </c>
      <c r="Q1151" s="117">
        <f ca="1" t="shared" si="1092"/>
        <v>1</v>
      </c>
    </row>
    <row r="1152" ht="24" customHeight="1" spans="1:17">
      <c r="A1152" s="99" t="s">
        <v>347</v>
      </c>
      <c r="B1152" s="99" t="s">
        <v>299</v>
      </c>
      <c r="C1152" s="99" t="s">
        <v>329</v>
      </c>
      <c r="D1152" s="48" t="s">
        <v>298</v>
      </c>
      <c r="E1152" s="116" t="s">
        <v>83</v>
      </c>
      <c r="F1152" s="117" t="str">
        <f ca="1" t="shared" si="1086"/>
        <v> </v>
      </c>
      <c r="G1152" s="117" t="str">
        <f ca="1" t="shared" ref="G1152:J1152" si="1093">IFERROR(IF(G1076=" "," ",G1108/G1076),"")</f>
        <v/>
      </c>
      <c r="H1152" s="117" t="str">
        <f ca="1" t="shared" si="1093"/>
        <v/>
      </c>
      <c r="I1152" s="117" t="str">
        <f ca="1" t="shared" si="1093"/>
        <v/>
      </c>
      <c r="J1152" s="117">
        <f ca="1" t="shared" si="1093"/>
        <v>0</v>
      </c>
      <c r="K1152" s="117">
        <f ca="1" t="shared" ref="K1152:Q1152" si="1094">IF(K1076=" "," ",K1108/K1076)</f>
        <v>1</v>
      </c>
      <c r="L1152" s="117">
        <f ca="1" t="shared" si="1094"/>
        <v>1</v>
      </c>
      <c r="M1152" s="117">
        <f ca="1" t="shared" si="1094"/>
        <v>1</v>
      </c>
      <c r="N1152" s="117">
        <f ca="1" t="shared" si="1094"/>
        <v>1</v>
      </c>
      <c r="O1152" s="117">
        <f ca="1" t="shared" si="1094"/>
        <v>1</v>
      </c>
      <c r="P1152" s="117">
        <f ca="1" t="shared" si="1094"/>
        <v>1</v>
      </c>
      <c r="Q1152" s="117">
        <f ca="1" t="shared" si="1094"/>
        <v>0.5</v>
      </c>
    </row>
    <row r="1153" ht="24" customHeight="1" spans="1:17">
      <c r="A1153" s="99" t="s">
        <v>347</v>
      </c>
      <c r="B1153" s="99" t="s">
        <v>299</v>
      </c>
      <c r="C1153" s="99" t="s">
        <v>333</v>
      </c>
      <c r="D1153" s="114" t="s">
        <v>292</v>
      </c>
      <c r="E1153" s="114" t="s">
        <v>300</v>
      </c>
      <c r="F1153" s="215">
        <f ca="1">IF($S$1&lt;DATE(2025,1,1)," ",SUM(F1154:F1160))</f>
        <v>7.514364</v>
      </c>
      <c r="G1153" s="215">
        <f ca="1">IF($S$1&lt;DATE(2025,2,1)," ",SUM(G1154:G1160))</f>
        <v>0</v>
      </c>
      <c r="H1153" s="215">
        <f ca="1">IF($S$1&lt;DATE(2025,3,1)," ",SUM(H1154:H1160))</f>
        <v>0</v>
      </c>
      <c r="I1153" s="215">
        <f ca="1">IF($S$1&lt;DATE(2025,4,1)," ",SUM(I1154:I1160))</f>
        <v>0.1463</v>
      </c>
      <c r="J1153" s="215">
        <f ca="1">IF($S$1&lt;DATE(2025,5,1)," ",SUM(J1154:J1160))</f>
        <v>0</v>
      </c>
      <c r="K1153" s="215">
        <f ca="1">IF($S$1&lt;DATE(2025,6,1)," ",SUM(K1154:K1160))</f>
        <v>4.208329</v>
      </c>
      <c r="L1153" s="215">
        <f ca="1">IF($S$1&lt;DATE(2025,7,1)," ",SUM(L1154:L1160))</f>
        <v>0.365744</v>
      </c>
      <c r="M1153" s="215">
        <f ca="1">IF($S$1&lt;DATE(2025,8,1)," ",SUM(M1154:M1160))</f>
        <v>4.969973</v>
      </c>
      <c r="N1153" s="215">
        <f ca="1">IF($S$1&lt;DATE(2025,9,1)," ",SUM(N1154:N1160))</f>
        <v>4.717058</v>
      </c>
      <c r="O1153" s="215">
        <f ca="1">IF($S$1&lt;DATE(2025,10,1)," ",SUM(O1154:O1160))</f>
        <v>0</v>
      </c>
      <c r="P1153" s="215">
        <f ca="1">IF($S$1&lt;DATE(2025,11,1)," ",SUM(P1154:P1160))</f>
        <v>0.136884</v>
      </c>
      <c r="Q1153" s="215">
        <f ca="1">IF($S$1&lt;DATE(2025,12,1)," ",SUM(Q1154:Q1160))</f>
        <v>0</v>
      </c>
    </row>
    <row r="1154" ht="24" customHeight="1" spans="1:17">
      <c r="A1154" s="99" t="s">
        <v>347</v>
      </c>
      <c r="B1154" s="99" t="s">
        <v>299</v>
      </c>
      <c r="C1154" s="99" t="s">
        <v>333</v>
      </c>
      <c r="D1154" s="48" t="s">
        <v>31</v>
      </c>
      <c r="E1154" s="48" t="s">
        <v>90</v>
      </c>
      <c r="F1154" s="51">
        <f ca="1">IF($S$1&lt;DATE(2025,1,1)," ",SUMIFS('2025数据'!$BE$3:$BE$181,'2025数据'!$P$3:$P$181,"&gt;="&amp;DATE(2025,1,1),'2025数据'!$P$3:$P$181,"&lt;="&amp;DATE(2025,1,31),'2025数据'!$AE$3:$AE$181,$E1154)/10000)</f>
        <v>0</v>
      </c>
      <c r="G1154" s="51">
        <f ca="1">IF($S$1&lt;DATE(2025,2,1)," ",SUMIFS('2025数据'!$BE$3:$BE$181,'2025数据'!$P$3:$P$181,"&gt;="&amp;DATE(2025,2,1),'2025数据'!$P$3:$P$181,"&lt;="&amp;DATE(2025,2,28),'2025数据'!$AE$3:$AE$181,$E1154)/10000)</f>
        <v>0</v>
      </c>
      <c r="H1154" s="51">
        <f ca="1">IF($S$1&lt;DATE(2025,3,1)," ",SUMIFS('2025数据'!$BE$3:$BE$181,'2025数据'!$P$3:$P$181,"&gt;="&amp;DATE(2025,3,1),'2025数据'!$P$3:$P$181,"&lt;="&amp;DATE(2025,3,31),'2025数据'!$AE$3:$AE$181,$E1154)/10000)</f>
        <v>0</v>
      </c>
      <c r="I1154" s="51">
        <f ca="1">IF($S$1&lt;DATE(2025,4,1)," ",SUMIFS('2025数据'!$BE$3:$BE$181,'2025数据'!$P$3:$P$181,"&gt;="&amp;DATE(2025,4,1),'2025数据'!$P$3:$P$181,"&lt;="&amp;DATE(2025,4,30),'2025数据'!$AE$3:$AE$181,$E1154)/10000)</f>
        <v>0</v>
      </c>
      <c r="J1154" s="51">
        <f ca="1">IF($S$1&lt;DATE(2025,5,1)," ",SUMIFS('2025数据'!$BE$3:$BE$181,'2025数据'!$P$3:$P$181,"&gt;="&amp;DATE(2025,5,1),'2025数据'!$P$3:$P$181,"&lt;="&amp;DATE(2025,5,31),'2025数据'!$AE$3:$AE$181,$E1154)/10000)</f>
        <v>0</v>
      </c>
      <c r="K1154" s="51">
        <f ca="1">IF($S$1&lt;DATE(2025,6,1)," ",SUMIFS('2025数据'!$BE$3:$BE$181,'2025数据'!$P$3:$P$181,"&gt;="&amp;DATE(2025,6,1),'2025数据'!$P$3:$P$181,"&lt;="&amp;DATE(2025,6,30),'2025数据'!$AE$3:$AE$181,$E1154)/10000)</f>
        <v>0</v>
      </c>
      <c r="L1154" s="51">
        <f ca="1">IF($S$1&lt;DATE(2025,7,1)," ",SUMIFS('2025数据'!$BE$3:$BE$181,'2025数据'!$P$3:$P$181,"&gt;="&amp;DATE(2025,7,1),'2025数据'!$P$3:$P$181,"&lt;="&amp;DATE(2025,7,31),'2025数据'!$AE$3:$AE$181,$E1154)/10000)</f>
        <v>0</v>
      </c>
      <c r="M1154" s="51">
        <f ca="1">IF($S$1&lt;DATE(2025,8,1)," ",SUMIFS('2025数据'!$BE$3:$BE$181,'2025数据'!$P$3:$P$181,"&gt;="&amp;DATE(2025,8,1),'2025数据'!$P$3:$P$181,"&lt;="&amp;DATE(2025,8,31),'2025数据'!$AE$3:$AE$181,$E1154)/10000)</f>
        <v>0</v>
      </c>
      <c r="N1154" s="51">
        <f ca="1">IF($S$1&lt;DATE(2025,9,1)," ",SUMIFS('2025数据'!$BE$3:$BE$181,'2025数据'!$P$3:$P$181,"&gt;="&amp;DATE(2025,9,1),'2025数据'!$P$3:$P$181,"&lt;="&amp;DATE(2025,9,30),'2025数据'!$AE$3:$AE$181,$E1154)/10000)</f>
        <v>0.306879</v>
      </c>
      <c r="O1154" s="51">
        <f ca="1">IF($S$1&lt;DATE(2025,10,1)," ",SUMIFS('2025数据'!$BE$3:$BE$181,'2025数据'!$P$3:$P$181,"&gt;="&amp;DATE(2025,10,1),'2025数据'!$P$3:$P$181,"&lt;="&amp;DATE(2025,10,31),'2025数据'!$AE$3:$AE$181,$E1154)/10000)</f>
        <v>0</v>
      </c>
      <c r="P1154" s="217">
        <f ca="1">IF($S$1&lt;DATE(2025,11,1)," ",SUMIFS('2025数据'!$BE$3:$BE$181,'2025数据'!$P$3:$P$181,"&gt;="&amp;DATE(2025,11,1),'2025数据'!$P$3:$P$181,"&lt;="&amp;DATE(2025,11,30),'2025数据'!$AE$3:$AE$181,$E1154)/10000)</f>
        <v>0</v>
      </c>
      <c r="Q1154" s="217">
        <f ca="1">IF($S$1&lt;DATE(2025,12,1)," ",SUMIFS('2025数据'!$BE$3:$BE$181,'2025数据'!$P$3:$P$181,"&gt;="&amp;DATE(2025,12,1),'2025数据'!$P$3:$P$181,"&lt;="&amp;DATE(2025,12,31),'2025数据'!$AE$3:$AE$181,$E1154)/10000)</f>
        <v>0</v>
      </c>
    </row>
    <row r="1155" ht="24" customHeight="1" spans="1:17">
      <c r="A1155" s="99" t="s">
        <v>347</v>
      </c>
      <c r="B1155" s="99" t="s">
        <v>299</v>
      </c>
      <c r="C1155" s="99" t="s">
        <v>333</v>
      </c>
      <c r="D1155" s="48" t="s">
        <v>31</v>
      </c>
      <c r="E1155" s="48" t="s">
        <v>82</v>
      </c>
      <c r="F1155" s="51">
        <f ca="1">IF($S$1&lt;DATE(2025,1,1)," ",SUMIFS('2025数据'!$BE$3:$BE$181,'2025数据'!$P$3:$P$181,"&gt;="&amp;DATE(2025,1,1),'2025数据'!$P$3:$P$181,"&lt;="&amp;DATE(2025,1,31),'2025数据'!$AE$3:$AE$181,$E1155)/10000)</f>
        <v>7.514364</v>
      </c>
      <c r="G1155" s="51">
        <f ca="1">IF($S$1&lt;DATE(2025,2,1)," ",SUMIFS('2025数据'!$BE$3:$BE$181,'2025数据'!$P$3:$P$181,"&gt;="&amp;DATE(2025,2,1),'2025数据'!$P$3:$P$181,"&lt;="&amp;DATE(2025,2,28),'2025数据'!$AE$3:$AE$181,$E1155)/10000)</f>
        <v>0</v>
      </c>
      <c r="H1155" s="51">
        <f ca="1">IF($S$1&lt;DATE(2025,3,1)," ",SUMIFS('2025数据'!$BE$3:$BE$181,'2025数据'!$P$3:$P$181,"&gt;="&amp;DATE(2025,3,1),'2025数据'!$P$3:$P$181,"&lt;="&amp;DATE(2025,3,31),'2025数据'!$AE$3:$AE$181,$E1155)/10000)</f>
        <v>0</v>
      </c>
      <c r="I1155" s="51">
        <f ca="1">IF($S$1&lt;DATE(2025,4,1)," ",SUMIFS('2025数据'!$BE$3:$BE$181,'2025数据'!$P$3:$P$181,"&gt;="&amp;DATE(2025,4,1),'2025数据'!$P$3:$P$181,"&lt;="&amp;DATE(2025,4,30),'2025数据'!$AE$3:$AE$181,$E1155)/10000)</f>
        <v>0</v>
      </c>
      <c r="J1155" s="51">
        <f ca="1">IF($S$1&lt;DATE(2025,5,1)," ",SUMIFS('2025数据'!$BE$3:$BE$181,'2025数据'!$P$3:$P$181,"&gt;="&amp;DATE(2025,5,1),'2025数据'!$P$3:$P$181,"&lt;="&amp;DATE(2025,5,31),'2025数据'!$AE$3:$AE$181,$E1155)/10000)</f>
        <v>0</v>
      </c>
      <c r="K1155" s="51">
        <f ca="1">IF($S$1&lt;DATE(2025,6,1)," ",SUMIFS('2025数据'!$BE$3:$BE$181,'2025数据'!$P$3:$P$181,"&gt;="&amp;DATE(2025,6,1),'2025数据'!$P$3:$P$181,"&lt;="&amp;DATE(2025,6,30),'2025数据'!$AE$3:$AE$181,$E1155)/10000)</f>
        <v>4.208329</v>
      </c>
      <c r="L1155" s="51">
        <f ca="1">IF($S$1&lt;DATE(2025,7,1)," ",SUMIFS('2025数据'!$BE$3:$BE$181,'2025数据'!$P$3:$P$181,"&gt;="&amp;DATE(2025,7,1),'2025数据'!$P$3:$P$181,"&lt;="&amp;DATE(2025,7,31),'2025数据'!$AE$3:$AE$181,$E1155)/10000)</f>
        <v>0</v>
      </c>
      <c r="M1155" s="51">
        <f ca="1">IF($S$1&lt;DATE(2025,8,1)," ",SUMIFS('2025数据'!$BE$3:$BE$181,'2025数据'!$P$3:$P$181,"&gt;="&amp;DATE(2025,8,1),'2025数据'!$P$3:$P$181,"&lt;="&amp;DATE(2025,8,31),'2025数据'!$AE$3:$AE$181,$E1155)/10000)</f>
        <v>0</v>
      </c>
      <c r="N1155" s="51">
        <f ca="1">IF($S$1&lt;DATE(2025,9,1)," ",SUMIFS('2025数据'!$BE$3:$BE$181,'2025数据'!$P$3:$P$181,"&gt;="&amp;DATE(2025,9,1),'2025数据'!$P$3:$P$181,"&lt;="&amp;DATE(2025,9,30),'2025数据'!$AE$3:$AE$181,$E1155)/10000)</f>
        <v>0.372538</v>
      </c>
      <c r="O1155" s="51">
        <f ca="1">IF($S$1&lt;DATE(2025,10,1)," ",SUMIFS('2025数据'!$BE$3:$BE$181,'2025数据'!$P$3:$P$181,"&gt;="&amp;DATE(2025,10,1),'2025数据'!$P$3:$P$181,"&lt;="&amp;DATE(2025,10,31),'2025数据'!$AE$3:$AE$181,$E1155)/10000)</f>
        <v>0</v>
      </c>
      <c r="P1155" s="217">
        <f ca="1">IF($S$1&lt;DATE(2025,11,1)," ",SUMIFS('2025数据'!$BE$3:$BE$181,'2025数据'!$P$3:$P$181,"&gt;="&amp;DATE(2025,11,1),'2025数据'!$P$3:$P$181,"&lt;="&amp;DATE(2025,11,30),'2025数据'!$AE$3:$AE$181,$E1155)/10000)</f>
        <v>0</v>
      </c>
      <c r="Q1155" s="217">
        <f ca="1">IF($S$1&lt;DATE(2025,12,1)," ",SUMIFS('2025数据'!$BE$3:$BE$181,'2025数据'!$P$3:$P$181,"&gt;="&amp;DATE(2025,12,1),'2025数据'!$P$3:$P$181,"&lt;="&amp;DATE(2025,12,31),'2025数据'!$AE$3:$AE$181,$E1155)/10000)</f>
        <v>0</v>
      </c>
    </row>
    <row r="1156" ht="24" customHeight="1" spans="1:17">
      <c r="A1156" s="99" t="s">
        <v>347</v>
      </c>
      <c r="B1156" s="99" t="s">
        <v>299</v>
      </c>
      <c r="C1156" s="99" t="s">
        <v>333</v>
      </c>
      <c r="D1156" s="48" t="s">
        <v>31</v>
      </c>
      <c r="E1156" s="48" t="s">
        <v>86</v>
      </c>
      <c r="F1156" s="51">
        <f ca="1">IF($S$1&lt;DATE(2025,1,1)," ",SUMIFS('2025数据'!$BE$3:$BE$181,'2025数据'!$P$3:$P$181,"&gt;="&amp;DATE(2025,1,1),'2025数据'!$P$3:$P$181,"&lt;="&amp;DATE(2025,1,31),'2025数据'!$AE$3:$AE$181,$E1156)/10000)</f>
        <v>0</v>
      </c>
      <c r="G1156" s="51">
        <f ca="1">IF($S$1&lt;DATE(2025,2,1)," ",SUMIFS('2025数据'!$BE$3:$BE$181,'2025数据'!$P$3:$P$181,"&gt;="&amp;DATE(2025,2,1),'2025数据'!$P$3:$P$181,"&lt;="&amp;DATE(2025,2,28),'2025数据'!$AE$3:$AE$181,$E1156)/10000)</f>
        <v>0</v>
      </c>
      <c r="H1156" s="51">
        <f ca="1">IF($S$1&lt;DATE(2025,3,1)," ",SUMIFS('2025数据'!$BE$3:$BE$181,'2025数据'!$P$3:$P$181,"&gt;="&amp;DATE(2025,3,1),'2025数据'!$P$3:$P$181,"&lt;="&amp;DATE(2025,3,31),'2025数据'!$AE$3:$AE$181,$E1156)/10000)</f>
        <v>0</v>
      </c>
      <c r="I1156" s="51">
        <f ca="1">IF($S$1&lt;DATE(2025,4,1)," ",SUMIFS('2025数据'!$BE$3:$BE$181,'2025数据'!$P$3:$P$181,"&gt;="&amp;DATE(2025,4,1),'2025数据'!$P$3:$P$181,"&lt;="&amp;DATE(2025,4,30),'2025数据'!$AE$3:$AE$181,$E1156)/10000)</f>
        <v>0</v>
      </c>
      <c r="J1156" s="51">
        <f ca="1">IF($S$1&lt;DATE(2025,5,1)," ",SUMIFS('2025数据'!$BE$3:$BE$181,'2025数据'!$P$3:$P$181,"&gt;="&amp;DATE(2025,5,1),'2025数据'!$P$3:$P$181,"&lt;="&amp;DATE(2025,5,31),'2025数据'!$AE$3:$AE$181,$E1156)/10000)</f>
        <v>0</v>
      </c>
      <c r="K1156" s="51">
        <f ca="1">IF($S$1&lt;DATE(2025,6,1)," ",SUMIFS('2025数据'!$BE$3:$BE$181,'2025数据'!$P$3:$P$181,"&gt;="&amp;DATE(2025,6,1),'2025数据'!$P$3:$P$181,"&lt;="&amp;DATE(2025,6,30),'2025数据'!$AE$3:$AE$181,$E1156)/10000)</f>
        <v>0</v>
      </c>
      <c r="L1156" s="51">
        <f ca="1">IF($S$1&lt;DATE(2025,7,1)," ",SUMIFS('2025数据'!$BE$3:$BE$181,'2025数据'!$P$3:$P$181,"&gt;="&amp;DATE(2025,7,1),'2025数据'!$P$3:$P$181,"&lt;="&amp;DATE(2025,7,31),'2025数据'!$AE$3:$AE$181,$E1156)/10000)</f>
        <v>0.365744</v>
      </c>
      <c r="M1156" s="51">
        <f ca="1">IF($S$1&lt;DATE(2025,8,1)," ",SUMIFS('2025数据'!$BE$3:$BE$181,'2025数据'!$P$3:$P$181,"&gt;="&amp;DATE(2025,8,1),'2025数据'!$P$3:$P$181,"&lt;="&amp;DATE(2025,8,31),'2025数据'!$AE$3:$AE$181,$E1156)/10000)</f>
        <v>0</v>
      </c>
      <c r="N1156" s="51">
        <f ca="1">IF($S$1&lt;DATE(2025,9,1)," ",SUMIFS('2025数据'!$BE$3:$BE$181,'2025数据'!$P$3:$P$181,"&gt;="&amp;DATE(2025,9,1),'2025数据'!$P$3:$P$181,"&lt;="&amp;DATE(2025,9,30),'2025数据'!$AE$3:$AE$181,$E1156)/10000)</f>
        <v>0</v>
      </c>
      <c r="O1156" s="51">
        <f ca="1">IF($S$1&lt;DATE(2025,10,1)," ",SUMIFS('2025数据'!$BE$3:$BE$181,'2025数据'!$P$3:$P$181,"&gt;="&amp;DATE(2025,10,1),'2025数据'!$P$3:$P$181,"&lt;="&amp;DATE(2025,10,31),'2025数据'!$AE$3:$AE$181,$E1156)/10000)</f>
        <v>0</v>
      </c>
      <c r="P1156" s="217">
        <f ca="1">IF($S$1&lt;DATE(2025,11,1)," ",SUMIFS('2025数据'!$BE$3:$BE$181,'2025数据'!$P$3:$P$181,"&gt;="&amp;DATE(2025,11,1),'2025数据'!$P$3:$P$181,"&lt;="&amp;DATE(2025,11,30),'2025数据'!$AE$3:$AE$181,$E1156)/10000)</f>
        <v>0</v>
      </c>
      <c r="Q1156" s="217">
        <f ca="1">IF($S$1&lt;DATE(2025,12,1)," ",SUMIFS('2025数据'!$BE$3:$BE$181,'2025数据'!$P$3:$P$181,"&gt;="&amp;DATE(2025,12,1),'2025数据'!$P$3:$P$181,"&lt;="&amp;DATE(2025,12,31),'2025数据'!$AE$3:$AE$181,$E1156)/10000)</f>
        <v>0</v>
      </c>
    </row>
    <row r="1157" ht="24" customHeight="1" spans="1:17">
      <c r="A1157" s="99" t="s">
        <v>347</v>
      </c>
      <c r="B1157" s="99" t="s">
        <v>299</v>
      </c>
      <c r="C1157" s="99" t="s">
        <v>333</v>
      </c>
      <c r="D1157" s="48" t="s">
        <v>31</v>
      </c>
      <c r="E1157" s="48" t="s">
        <v>97</v>
      </c>
      <c r="F1157" s="51">
        <f ca="1">IF($S$1&lt;DATE(2025,1,1)," ",SUMIFS('2025数据'!$BE$3:$BE$181,'2025数据'!$P$3:$P$181,"&gt;="&amp;DATE(2025,1,1),'2025数据'!$P$3:$P$181,"&lt;="&amp;DATE(2025,1,31),'2025数据'!$AE$3:$AE$181,$E1157)/10000)</f>
        <v>0</v>
      </c>
      <c r="G1157" s="51">
        <f ca="1">IF($S$1&lt;DATE(2025,2,1)," ",SUMIFS('2025数据'!$BE$3:$BE$181,'2025数据'!$P$3:$P$181,"&gt;="&amp;DATE(2025,2,1),'2025数据'!$P$3:$P$181,"&lt;="&amp;DATE(2025,2,28),'2025数据'!$AE$3:$AE$181,$E1157)/10000)</f>
        <v>0</v>
      </c>
      <c r="H1157" s="51">
        <f ca="1">IF($S$1&lt;DATE(2025,3,1)," ",SUMIFS('2025数据'!$BE$3:$BE$181,'2025数据'!$P$3:$P$181,"&gt;="&amp;DATE(2025,3,1),'2025数据'!$P$3:$P$181,"&lt;="&amp;DATE(2025,3,31),'2025数据'!$AE$3:$AE$181,$E1157)/10000)</f>
        <v>0</v>
      </c>
      <c r="I1157" s="51">
        <f ca="1">IF($S$1&lt;DATE(2025,4,1)," ",SUMIFS('2025数据'!$BE$3:$BE$181,'2025数据'!$P$3:$P$181,"&gt;="&amp;DATE(2025,4,1),'2025数据'!$P$3:$P$181,"&lt;="&amp;DATE(2025,4,30),'2025数据'!$AE$3:$AE$181,$E1157)/10000)</f>
        <v>0.1463</v>
      </c>
      <c r="J1157" s="51">
        <f ca="1">IF($S$1&lt;DATE(2025,5,1)," ",SUMIFS('2025数据'!$BE$3:$BE$181,'2025数据'!$P$3:$P$181,"&gt;="&amp;DATE(2025,5,1),'2025数据'!$P$3:$P$181,"&lt;="&amp;DATE(2025,5,31),'2025数据'!$AE$3:$AE$181,$E1157)/10000)</f>
        <v>0</v>
      </c>
      <c r="K1157" s="51">
        <f ca="1">IF($S$1&lt;DATE(2025,6,1)," ",SUMIFS('2025数据'!$BE$3:$BE$181,'2025数据'!$P$3:$P$181,"&gt;="&amp;DATE(2025,6,1),'2025数据'!$P$3:$P$181,"&lt;="&amp;DATE(2025,6,30),'2025数据'!$AE$3:$AE$181,$E1157)/10000)</f>
        <v>0</v>
      </c>
      <c r="L1157" s="51">
        <f ca="1">IF($S$1&lt;DATE(2025,7,1)," ",SUMIFS('2025数据'!$BE$3:$BE$181,'2025数据'!$P$3:$P$181,"&gt;="&amp;DATE(2025,7,1),'2025数据'!$P$3:$P$181,"&lt;="&amp;DATE(2025,7,31),'2025数据'!$AE$3:$AE$181,$E1157)/10000)</f>
        <v>0</v>
      </c>
      <c r="M1157" s="51">
        <f ca="1">IF($S$1&lt;DATE(2025,8,1)," ",SUMIFS('2025数据'!$BE$3:$BE$181,'2025数据'!$P$3:$P$181,"&gt;="&amp;DATE(2025,8,1),'2025数据'!$P$3:$P$181,"&lt;="&amp;DATE(2025,8,31),'2025数据'!$AE$3:$AE$181,$E1157)/10000)</f>
        <v>0</v>
      </c>
      <c r="N1157" s="51">
        <f ca="1">IF($S$1&lt;DATE(2025,9,1)," ",SUMIFS('2025数据'!$BE$3:$BE$181,'2025数据'!$P$3:$P$181,"&gt;="&amp;DATE(2025,9,1),'2025数据'!$P$3:$P$181,"&lt;="&amp;DATE(2025,9,30),'2025数据'!$AE$3:$AE$181,$E1157)/10000)</f>
        <v>4.037641</v>
      </c>
      <c r="O1157" s="51">
        <f ca="1">IF($S$1&lt;DATE(2025,10,1)," ",SUMIFS('2025数据'!$BE$3:$BE$181,'2025数据'!$P$3:$P$181,"&gt;="&amp;DATE(2025,10,1),'2025数据'!$P$3:$P$181,"&lt;="&amp;DATE(2025,10,31),'2025数据'!$AE$3:$AE$181,$E1157)/10000)</f>
        <v>0</v>
      </c>
      <c r="P1157" s="217">
        <f ca="1">IF($S$1&lt;DATE(2025,11,1)," ",SUMIFS('2025数据'!$BE$3:$BE$181,'2025数据'!$P$3:$P$181,"&gt;="&amp;DATE(2025,11,1),'2025数据'!$P$3:$P$181,"&lt;="&amp;DATE(2025,11,30),'2025数据'!$AE$3:$AE$181,$E1157)/10000)</f>
        <v>0.136884</v>
      </c>
      <c r="Q1157" s="217">
        <f ca="1">IF($S$1&lt;DATE(2025,12,1)," ",SUMIFS('2025数据'!$BE$3:$BE$181,'2025数据'!$P$3:$P$181,"&gt;="&amp;DATE(2025,12,1),'2025数据'!$P$3:$P$181,"&lt;="&amp;DATE(2025,12,31),'2025数据'!$AE$3:$AE$181,$E1157)/10000)</f>
        <v>0</v>
      </c>
    </row>
    <row r="1158" ht="24" customHeight="1" spans="1:17">
      <c r="A1158" s="99" t="s">
        <v>347</v>
      </c>
      <c r="B1158" s="99" t="s">
        <v>299</v>
      </c>
      <c r="C1158" s="99" t="s">
        <v>333</v>
      </c>
      <c r="D1158" s="48" t="s">
        <v>31</v>
      </c>
      <c r="E1158" s="48" t="s">
        <v>87</v>
      </c>
      <c r="F1158" s="51">
        <f ca="1">IF($S$1&lt;DATE(2025,1,1)," ",SUMIFS('2025数据'!$BE$3:$BE$181,'2025数据'!$P$3:$P$181,"&gt;="&amp;DATE(2025,1,1),'2025数据'!$P$3:$P$181,"&lt;="&amp;DATE(2025,1,31),'2025数据'!$AE$3:$AE$181,$E1158)/10000)</f>
        <v>0</v>
      </c>
      <c r="G1158" s="51">
        <f ca="1">IF($S$1&lt;DATE(2025,2,1)," ",SUMIFS('2025数据'!$BE$3:$BE$181,'2025数据'!$P$3:$P$181,"&gt;="&amp;DATE(2025,2,1),'2025数据'!$P$3:$P$181,"&lt;="&amp;DATE(2025,2,28),'2025数据'!$AE$3:$AE$181,$E1158)/10000)</f>
        <v>0</v>
      </c>
      <c r="H1158" s="51">
        <f ca="1">IF($S$1&lt;DATE(2025,3,1)," ",SUMIFS('2025数据'!$BE$3:$BE$181,'2025数据'!$P$3:$P$181,"&gt;="&amp;DATE(2025,3,1),'2025数据'!$P$3:$P$181,"&lt;="&amp;DATE(2025,3,31),'2025数据'!$AE$3:$AE$181,$E1158)/10000)</f>
        <v>0</v>
      </c>
      <c r="I1158" s="51">
        <f ca="1">IF($S$1&lt;DATE(2025,4,1)," ",SUMIFS('2025数据'!$BE$3:$BE$181,'2025数据'!$P$3:$P$181,"&gt;="&amp;DATE(2025,4,1),'2025数据'!$P$3:$P$181,"&lt;="&amp;DATE(2025,4,30),'2025数据'!$AE$3:$AE$181,$E1158)/10000)</f>
        <v>0</v>
      </c>
      <c r="J1158" s="51">
        <f ca="1">IF($S$1&lt;DATE(2025,5,1)," ",SUMIFS('2025数据'!$BE$3:$BE$181,'2025数据'!$P$3:$P$181,"&gt;="&amp;DATE(2025,5,1),'2025数据'!$P$3:$P$181,"&lt;="&amp;DATE(2025,5,31),'2025数据'!$AE$3:$AE$181,$E1158)/10000)</f>
        <v>0</v>
      </c>
      <c r="K1158" s="51">
        <f ca="1">IF($S$1&lt;DATE(2025,6,1)," ",SUMIFS('2025数据'!$BE$3:$BE$181,'2025数据'!$P$3:$P$181,"&gt;="&amp;DATE(2025,6,1),'2025数据'!$P$3:$P$181,"&lt;="&amp;DATE(2025,6,30),'2025数据'!$AE$3:$AE$181,$E1158)/10000)</f>
        <v>0</v>
      </c>
      <c r="L1158" s="51">
        <f ca="1">IF($S$1&lt;DATE(2025,7,1)," ",SUMIFS('2025数据'!$BE$3:$BE$181,'2025数据'!$P$3:$P$181,"&gt;="&amp;DATE(2025,7,1),'2025数据'!$P$3:$P$181,"&lt;="&amp;DATE(2025,7,31),'2025数据'!$AE$3:$AE$181,$E1158)/10000)</f>
        <v>0</v>
      </c>
      <c r="M1158" s="51">
        <f ca="1">IF($S$1&lt;DATE(2025,8,1)," ",SUMIFS('2025数据'!$BE$3:$BE$181,'2025数据'!$P$3:$P$181,"&gt;="&amp;DATE(2025,8,1),'2025数据'!$P$3:$P$181,"&lt;="&amp;DATE(2025,8,31),'2025数据'!$AE$3:$AE$181,$E1158)/10000)</f>
        <v>0</v>
      </c>
      <c r="N1158" s="51">
        <f ca="1">IF($S$1&lt;DATE(2025,9,1)," ",SUMIFS('2025数据'!$BE$3:$BE$181,'2025数据'!$P$3:$P$181,"&gt;="&amp;DATE(2025,9,1),'2025数据'!$P$3:$P$181,"&lt;="&amp;DATE(2025,9,30),'2025数据'!$AE$3:$AE$181,$E1158)/10000)</f>
        <v>0</v>
      </c>
      <c r="O1158" s="51">
        <f ca="1">IF($S$1&lt;DATE(2025,10,1)," ",SUMIFS('2025数据'!$BE$3:$BE$181,'2025数据'!$P$3:$P$181,"&gt;="&amp;DATE(2025,10,1),'2025数据'!$P$3:$P$181,"&lt;="&amp;DATE(2025,10,31),'2025数据'!$AE$3:$AE$181,$E1158)/10000)</f>
        <v>0</v>
      </c>
      <c r="P1158" s="217">
        <f ca="1">IF($S$1&lt;DATE(2025,11,1)," ",SUMIFS('2025数据'!$BE$3:$BE$181,'2025数据'!$P$3:$P$181,"&gt;="&amp;DATE(2025,11,1),'2025数据'!$P$3:$P$181,"&lt;="&amp;DATE(2025,11,30),'2025数据'!$AE$3:$AE$181,$E1158)/10000)</f>
        <v>0</v>
      </c>
      <c r="Q1158" s="217">
        <f ca="1">IF($S$1&lt;DATE(2025,12,1)," ",SUMIFS('2025数据'!$BE$3:$BE$181,'2025数据'!$P$3:$P$181,"&gt;="&amp;DATE(2025,12,1),'2025数据'!$P$3:$P$181,"&lt;="&amp;DATE(2025,12,31),'2025数据'!$AE$3:$AE$181,$E1158)/10000)</f>
        <v>0</v>
      </c>
    </row>
    <row r="1159" ht="24" customHeight="1" spans="1:17">
      <c r="A1159" s="99" t="s">
        <v>347</v>
      </c>
      <c r="B1159" s="99" t="s">
        <v>299</v>
      </c>
      <c r="C1159" s="99" t="s">
        <v>333</v>
      </c>
      <c r="D1159" s="48" t="s">
        <v>31</v>
      </c>
      <c r="E1159" s="48" t="s">
        <v>149</v>
      </c>
      <c r="F1159" s="51">
        <f ca="1">IF($S$1&lt;DATE(2025,1,1)," ",SUMIFS('2025数据'!$BE$3:$BE$181,'2025数据'!$P$3:$P$181,"&gt;="&amp;DATE(2025,1,1),'2025数据'!$P$3:$P$181,"&lt;="&amp;DATE(2025,1,31),'2025数据'!$AE$3:$AE$181,$E1159)/10000)</f>
        <v>0</v>
      </c>
      <c r="G1159" s="51">
        <f ca="1">IF($S$1&lt;DATE(2025,2,1)," ",SUMIFS('2025数据'!$BE$3:$BE$181,'2025数据'!$P$3:$P$181,"&gt;="&amp;DATE(2025,2,1),'2025数据'!$P$3:$P$181,"&lt;="&amp;DATE(2025,2,28),'2025数据'!$AE$3:$AE$181,$E1159)/10000)</f>
        <v>0</v>
      </c>
      <c r="H1159" s="51">
        <f ca="1">IF($S$1&lt;DATE(2025,3,1)," ",SUMIFS('2025数据'!$BE$3:$BE$181,'2025数据'!$P$3:$P$181,"&gt;="&amp;DATE(2025,3,1),'2025数据'!$P$3:$P$181,"&lt;="&amp;DATE(2025,3,31),'2025数据'!$AE$3:$AE$181,$E1159)/10000)</f>
        <v>0</v>
      </c>
      <c r="I1159" s="51">
        <f ca="1">IF($S$1&lt;DATE(2025,4,1)," ",SUMIFS('2025数据'!$BE$3:$BE$181,'2025数据'!$P$3:$P$181,"&gt;="&amp;DATE(2025,4,1),'2025数据'!$P$3:$P$181,"&lt;="&amp;DATE(2025,4,30),'2025数据'!$AE$3:$AE$181,$E1159)/10000)</f>
        <v>0</v>
      </c>
      <c r="J1159" s="51">
        <f ca="1">IF($S$1&lt;DATE(2025,5,1)," ",SUMIFS('2025数据'!$BE$3:$BE$181,'2025数据'!$P$3:$P$181,"&gt;="&amp;DATE(2025,5,1),'2025数据'!$P$3:$P$181,"&lt;="&amp;DATE(2025,5,31),'2025数据'!$AE$3:$AE$181,$E1159)/10000)</f>
        <v>0</v>
      </c>
      <c r="K1159" s="51">
        <f ca="1">IF($S$1&lt;DATE(2025,6,1)," ",SUMIFS('2025数据'!$BE$3:$BE$181,'2025数据'!$P$3:$P$181,"&gt;="&amp;DATE(2025,6,1),'2025数据'!$P$3:$P$181,"&lt;="&amp;DATE(2025,6,30),'2025数据'!$AE$3:$AE$181,$E1159)/10000)</f>
        <v>0</v>
      </c>
      <c r="L1159" s="51">
        <f ca="1">IF($S$1&lt;DATE(2025,7,1)," ",SUMIFS('2025数据'!$BE$3:$BE$181,'2025数据'!$P$3:$P$181,"&gt;="&amp;DATE(2025,7,1),'2025数据'!$P$3:$P$181,"&lt;="&amp;DATE(2025,7,31),'2025数据'!$AE$3:$AE$181,$E1159)/10000)</f>
        <v>0</v>
      </c>
      <c r="M1159" s="51">
        <f ca="1">IF($S$1&lt;DATE(2025,8,1)," ",SUMIFS('2025数据'!$BE$3:$BE$181,'2025数据'!$P$3:$P$181,"&gt;="&amp;DATE(2025,8,1),'2025数据'!$P$3:$P$181,"&lt;="&amp;DATE(2025,8,31),'2025数据'!$AE$3:$AE$181,$E1159)/10000)</f>
        <v>4.969973</v>
      </c>
      <c r="N1159" s="51">
        <f ca="1">IF($S$1&lt;DATE(2025,9,1)," ",SUMIFS('2025数据'!$BE$3:$BE$181,'2025数据'!$P$3:$P$181,"&gt;="&amp;DATE(2025,9,1),'2025数据'!$P$3:$P$181,"&lt;="&amp;DATE(2025,9,30),'2025数据'!$AE$3:$AE$181,$E1159)/10000)</f>
        <v>0</v>
      </c>
      <c r="O1159" s="51">
        <f ca="1">IF($S$1&lt;DATE(2025,10,1)," ",SUMIFS('2025数据'!$BE$3:$BE$181,'2025数据'!$P$3:$P$181,"&gt;="&amp;DATE(2025,10,1),'2025数据'!$P$3:$P$181,"&lt;="&amp;DATE(2025,10,31),'2025数据'!$AE$3:$AE$181,$E1159)/10000)</f>
        <v>0</v>
      </c>
      <c r="P1159" s="217">
        <f ca="1">IF($S$1&lt;DATE(2025,11,1)," ",SUMIFS('2025数据'!$BE$3:$BE$181,'2025数据'!$P$3:$P$181,"&gt;="&amp;DATE(2025,11,1),'2025数据'!$P$3:$P$181,"&lt;="&amp;DATE(2025,11,30),'2025数据'!$AE$3:$AE$181,$E1159)/10000)</f>
        <v>0</v>
      </c>
      <c r="Q1159" s="217">
        <f ca="1">IF($S$1&lt;DATE(2025,12,1)," ",SUMIFS('2025数据'!$BE$3:$BE$181,'2025数据'!$P$3:$P$181,"&gt;="&amp;DATE(2025,12,1),'2025数据'!$P$3:$P$181,"&lt;="&amp;DATE(2025,12,31),'2025数据'!$AE$3:$AE$181,$E1159)/10000)</f>
        <v>0</v>
      </c>
    </row>
    <row r="1160" ht="24" customHeight="1" spans="1:17">
      <c r="A1160" s="99" t="s">
        <v>347</v>
      </c>
      <c r="B1160" s="99" t="s">
        <v>299</v>
      </c>
      <c r="C1160" s="99" t="s">
        <v>333</v>
      </c>
      <c r="D1160" s="48" t="s">
        <v>31</v>
      </c>
      <c r="E1160" s="48" t="s">
        <v>83</v>
      </c>
      <c r="F1160" s="51">
        <f ca="1">IF($S$1&lt;DATE(2025,1,1)," ",SUMIFS('2025数据'!$BE$3:$BE$181,'2025数据'!$P$3:$P$181,"&gt;="&amp;DATE(2025,1,1),'2025数据'!$P$3:$P$181,"&lt;="&amp;DATE(2025,1,31),'2025数据'!$AE$3:$AE$181,$E1160)/10000)</f>
        <v>0</v>
      </c>
      <c r="G1160" s="51">
        <f ca="1">IF($S$1&lt;DATE(2025,2,1)," ",SUMIFS('2025数据'!$BE$3:$BE$181,'2025数据'!$P$3:$P$181,"&gt;="&amp;DATE(2025,2,1),'2025数据'!$P$3:$P$181,"&lt;="&amp;DATE(2025,2,28),'2025数据'!$AE$3:$AE$181,$E1160)/10000)</f>
        <v>0</v>
      </c>
      <c r="H1160" s="51">
        <f ca="1">IF($S$1&lt;DATE(2025,3,1)," ",SUMIFS('2025数据'!$BE$3:$BE$181,'2025数据'!$P$3:$P$181,"&gt;="&amp;DATE(2025,3,1),'2025数据'!$P$3:$P$181,"&lt;="&amp;DATE(2025,3,31),'2025数据'!$AE$3:$AE$181,$E1160)/10000)</f>
        <v>0</v>
      </c>
      <c r="I1160" s="51">
        <f ca="1">IF($S$1&lt;DATE(2025,4,1)," ",SUMIFS('2025数据'!$BE$3:$BE$181,'2025数据'!$P$3:$P$181,"&gt;="&amp;DATE(2025,4,1),'2025数据'!$P$3:$P$181,"&lt;="&amp;DATE(2025,4,30),'2025数据'!$AE$3:$AE$181,$E1160)/10000)</f>
        <v>0</v>
      </c>
      <c r="J1160" s="51">
        <f ca="1">IF($S$1&lt;DATE(2025,5,1)," ",SUMIFS('2025数据'!$BE$3:$BE$181,'2025数据'!$P$3:$P$181,"&gt;="&amp;DATE(2025,5,1),'2025数据'!$P$3:$P$181,"&lt;="&amp;DATE(2025,5,31),'2025数据'!$AE$3:$AE$181,$E1160)/10000)</f>
        <v>0</v>
      </c>
      <c r="K1160" s="51">
        <f ca="1">IF($S$1&lt;DATE(2025,6,1)," ",SUMIFS('2025数据'!$BE$3:$BE$181,'2025数据'!$P$3:$P$181,"&gt;="&amp;DATE(2025,6,1),'2025数据'!$P$3:$P$181,"&lt;="&amp;DATE(2025,6,30),'2025数据'!$AE$3:$AE$181,$E1160)/10000)</f>
        <v>0</v>
      </c>
      <c r="L1160" s="51">
        <f ca="1">IF($S$1&lt;DATE(2025,7,1)," ",SUMIFS('2025数据'!$BE$3:$BE$181,'2025数据'!$P$3:$P$181,"&gt;="&amp;DATE(2025,7,1),'2025数据'!$P$3:$P$181,"&lt;="&amp;DATE(2025,7,31),'2025数据'!$AE$3:$AE$181,$E1160)/10000)</f>
        <v>0</v>
      </c>
      <c r="M1160" s="51">
        <f ca="1">IF($S$1&lt;DATE(2025,8,1)," ",SUMIFS('2025数据'!$BE$3:$BE$181,'2025数据'!$P$3:$P$181,"&gt;="&amp;DATE(2025,8,1),'2025数据'!$P$3:$P$181,"&lt;="&amp;DATE(2025,8,31),'2025数据'!$AE$3:$AE$181,$E1160)/10000)</f>
        <v>0</v>
      </c>
      <c r="N1160" s="51">
        <f ca="1">IF($S$1&lt;DATE(2025,9,1)," ",SUMIFS('2025数据'!$BE$3:$BE$181,'2025数据'!$P$3:$P$181,"&gt;="&amp;DATE(2025,9,1),'2025数据'!$P$3:$P$181,"&lt;="&amp;DATE(2025,9,30),'2025数据'!$AE$3:$AE$181,$E1160)/10000)</f>
        <v>0</v>
      </c>
      <c r="O1160" s="51">
        <f ca="1">IF($S$1&lt;DATE(2025,10,1)," ",SUMIFS('2025数据'!$BE$3:$BE$181,'2025数据'!$P$3:$P$181,"&gt;="&amp;DATE(2025,10,1),'2025数据'!$P$3:$P$181,"&lt;="&amp;DATE(2025,10,31),'2025数据'!$AE$3:$AE$181,$E1160)/10000)</f>
        <v>0</v>
      </c>
      <c r="P1160" s="217">
        <f ca="1">IF($S$1&lt;DATE(2025,11,1)," ",SUMIFS('2025数据'!$BE$3:$BE$181,'2025数据'!$P$3:$P$181,"&gt;="&amp;DATE(2025,11,1),'2025数据'!$P$3:$P$181,"&lt;="&amp;DATE(2025,11,30),'2025数据'!$AE$3:$AE$181,$E1160)/10000)</f>
        <v>0</v>
      </c>
      <c r="Q1160" s="217">
        <f ca="1">IF($S$1&lt;DATE(2025,12,1)," ",SUMIFS('2025数据'!$BE$3:$BE$181,'2025数据'!$P$3:$P$181,"&gt;="&amp;DATE(2025,12,1),'2025数据'!$P$3:$P$181,"&lt;="&amp;DATE(2025,12,31),'2025数据'!$AE$3:$AE$181,$E1160)/10000)</f>
        <v>0</v>
      </c>
    </row>
    <row r="1161" ht="24" customHeight="1" spans="1:17">
      <c r="A1161" s="99" t="s">
        <v>347</v>
      </c>
      <c r="B1161" s="99" t="s">
        <v>299</v>
      </c>
      <c r="C1161" s="99" t="s">
        <v>333</v>
      </c>
      <c r="D1161" s="47" t="s">
        <v>294</v>
      </c>
      <c r="E1161" s="47" t="s">
        <v>93</v>
      </c>
      <c r="F1161" s="51">
        <f ca="1">IF($S$1&lt;DATE(2025,1,1)," ",SUMIFS('2025数据'!$BE$3:$BE$181,'2025数据'!$P$3:$P$181,"&gt;="&amp;DATE(2025,1,1),'2025数据'!$P$3:$P$181,"&lt;="&amp;DATE(2025,1,31),'2025数据'!$B$3:$B$181,$E1161)/10000)</f>
        <v>7.514364</v>
      </c>
      <c r="G1161" s="51">
        <f ca="1">IF($S$1&lt;DATE(2025,2,1)," ",SUMIFS('2025数据'!$BE$3:$BE$181,'2025数据'!$P$3:$P$181,"&gt;="&amp;DATE(2025,2,1),'2025数据'!$P$3:$P$181,"&lt;="&amp;DATE(2025,2,28),'2025数据'!$B$3:$B$181,$E1161)/10000)</f>
        <v>0</v>
      </c>
      <c r="H1161" s="51">
        <f ca="1">IF($S$1&lt;DATE(2025,3,1)," ",SUMIFS('2025数据'!$BE$3:$BE$181,'2025数据'!$P$3:$P$181,"&gt;="&amp;DATE(2025,3,1),'2025数据'!$P$3:$P$181,"&lt;="&amp;DATE(2025,3,31),'2025数据'!$B$3:$B$181,$E1161)/10000)</f>
        <v>0</v>
      </c>
      <c r="I1161" s="51">
        <f ca="1">IF($S$1&lt;DATE(2025,4,1)," ",SUMIFS('2025数据'!$BE$3:$BE$181,'2025数据'!$P$3:$P$181,"&gt;="&amp;DATE(2025,4,1),'2025数据'!$P$3:$P$181,"&lt;="&amp;DATE(2025,4,30),'2025数据'!$B$3:$B$181,$E1161)/10000)</f>
        <v>0</v>
      </c>
      <c r="J1161" s="51">
        <f ca="1">IF($S$1&lt;DATE(2025,5,1)," ",SUMIFS('2025数据'!$BE$3:$BE$181,'2025数据'!$P$3:$P$181,"&gt;="&amp;DATE(2025,5,1),'2025数据'!$P$3:$P$181,"&lt;="&amp;DATE(2025,5,31),'2025数据'!$B$3:$B$181,$E1161)/10000)</f>
        <v>0</v>
      </c>
      <c r="K1161" s="51">
        <f ca="1">IF($S$1&lt;DATE(2025,6,1)," ",SUMIFS('2025数据'!$BE$3:$BE$181,'2025数据'!$P$3:$P$181,"&gt;="&amp;DATE(2025,6,1),'2025数据'!$P$3:$P$181,"&lt;="&amp;DATE(2025,6,30),'2025数据'!$B$3:$B$181,$E1161)/10000)</f>
        <v>1.681211</v>
      </c>
      <c r="L1161" s="51">
        <f ca="1">IF($S$1&lt;DATE(2025,7,1)," ",SUMIFS('2025数据'!$BE$3:$BE$181,'2025数据'!$P$3:$P$181,"&gt;="&amp;DATE(2025,7,1),'2025数据'!$P$3:$P$181,"&lt;="&amp;DATE(2025,7,31),'2025数据'!$B$3:$B$181,$E1161)/10000)</f>
        <v>0.365744</v>
      </c>
      <c r="M1161" s="51">
        <f ca="1">IF($S$1&lt;DATE(2025,8,1)," ",SUMIFS('2025数据'!$BE$3:$BE$181,'2025数据'!$P$3:$P$181,"&gt;="&amp;DATE(2025,8,1),'2025数据'!$P$3:$P$181,"&lt;="&amp;DATE(2025,8,31),'2025数据'!$B$3:$B$181,$E1161)/10000)</f>
        <v>4.969973</v>
      </c>
      <c r="N1161" s="51">
        <f ca="1">IF($S$1&lt;DATE(2025,9,1)," ",SUMIFS('2025数据'!$BE$3:$BE$181,'2025数据'!$P$3:$P$181,"&gt;="&amp;DATE(2025,9,1),'2025数据'!$P$3:$P$181,"&lt;="&amp;DATE(2025,9,30),'2025数据'!$B$3:$B$181,$E1161)/10000)</f>
        <v>4.34452</v>
      </c>
      <c r="O1161" s="51">
        <f ca="1">IF($S$1&lt;DATE(2025,10,1)," ",SUMIFS('2025数据'!$BE$3:$BE$181,'2025数据'!$P$3:$P$181,"&gt;="&amp;DATE(2025,10,1),'2025数据'!$P$3:$P$181,"&lt;="&amp;DATE(2025,10,31),'2025数据'!$B$3:$B$181,$E1161)/10000)</f>
        <v>0</v>
      </c>
      <c r="P1161" s="217">
        <f ca="1">IF($S$1&lt;DATE(2025,11,1)," ",SUMIFS('2025数据'!$BE$3:$BE$181,'2025数据'!$P$3:$P$181,"&gt;="&amp;DATE(2025,11,1),'2025数据'!$P$3:$P$181,"&lt;="&amp;DATE(2025,11,30),'2025数据'!$B$3:$B$181,$E1161)/10000)</f>
        <v>0.136884</v>
      </c>
      <c r="Q1161" s="217">
        <f ca="1">IF($S$1&lt;DATE(2025,12,1)," ",SUMIFS('2025数据'!$BE$3:$BE$181,'2025数据'!$P$3:$P$181,"&gt;="&amp;DATE(2025,12,1),'2025数据'!$P$3:$P$181,"&lt;="&amp;DATE(2025,12,31),'2025数据'!$B$3:$B$181,$E1161)/10000)</f>
        <v>0</v>
      </c>
    </row>
    <row r="1162" ht="24" customHeight="1" spans="1:17">
      <c r="A1162" s="99" t="s">
        <v>347</v>
      </c>
      <c r="B1162" s="99" t="s">
        <v>299</v>
      </c>
      <c r="C1162" s="99" t="s">
        <v>333</v>
      </c>
      <c r="D1162" s="47" t="s">
        <v>294</v>
      </c>
      <c r="E1162" s="47" t="s">
        <v>85</v>
      </c>
      <c r="F1162" s="51">
        <f ca="1">IF($S$1&lt;DATE(2025,1,1)," ",SUMIFS('2025数据'!$BE$3:$BE$181,'2025数据'!$P$3:$P$181,"&gt;="&amp;DATE(2025,1,1),'2025数据'!$P$3:$P$181,"&lt;="&amp;DATE(2025,1,31),'2025数据'!$B$3:$B$181,$E1162)/10000)</f>
        <v>0</v>
      </c>
      <c r="G1162" s="51">
        <f ca="1">IF($S$1&lt;DATE(2025,2,1)," ",SUMIFS('2025数据'!$BE$3:$BE$181,'2025数据'!$P$3:$P$181,"&gt;="&amp;DATE(2025,2,1),'2025数据'!$P$3:$P$181,"&lt;="&amp;DATE(2025,2,28),'2025数据'!$B$3:$B$181,$E1162)/10000)</f>
        <v>0</v>
      </c>
      <c r="H1162" s="51">
        <f ca="1">IF($S$1&lt;DATE(2025,3,1)," ",SUMIFS('2025数据'!$BE$3:$BE$181,'2025数据'!$P$3:$P$181,"&gt;="&amp;DATE(2025,3,1),'2025数据'!$P$3:$P$181,"&lt;="&amp;DATE(2025,3,31),'2025数据'!$B$3:$B$181,$E1162)/10000)</f>
        <v>0</v>
      </c>
      <c r="I1162" s="51">
        <f ca="1">IF($S$1&lt;DATE(2025,4,1)," ",SUMIFS('2025数据'!$BE$3:$BE$181,'2025数据'!$P$3:$P$181,"&gt;="&amp;DATE(2025,4,1),'2025数据'!$P$3:$P$181,"&lt;="&amp;DATE(2025,4,30),'2025数据'!$B$3:$B$181,$E1162)/10000)</f>
        <v>0</v>
      </c>
      <c r="J1162" s="51">
        <f ca="1">IF($S$1&lt;DATE(2025,5,1)," ",SUMIFS('2025数据'!$BE$3:$BE$181,'2025数据'!$P$3:$P$181,"&gt;="&amp;DATE(2025,5,1),'2025数据'!$P$3:$P$181,"&lt;="&amp;DATE(2025,5,31),'2025数据'!$B$3:$B$181,$E1162)/10000)</f>
        <v>0</v>
      </c>
      <c r="K1162" s="51">
        <f ca="1">IF($S$1&lt;DATE(2025,6,1)," ",SUMIFS('2025数据'!$BE$3:$BE$181,'2025数据'!$P$3:$P$181,"&gt;="&amp;DATE(2025,6,1),'2025数据'!$P$3:$P$181,"&lt;="&amp;DATE(2025,6,30),'2025数据'!$B$3:$B$181,$E1162)/10000)</f>
        <v>2.527118</v>
      </c>
      <c r="L1162" s="51">
        <f ca="1">IF($S$1&lt;DATE(2025,7,1)," ",SUMIFS('2025数据'!$BE$3:$BE$181,'2025数据'!$P$3:$P$181,"&gt;="&amp;DATE(2025,7,1),'2025数据'!$P$3:$P$181,"&lt;="&amp;DATE(2025,7,31),'2025数据'!$B$3:$B$181,$E1162)/10000)</f>
        <v>0</v>
      </c>
      <c r="M1162" s="51">
        <f ca="1">IF($S$1&lt;DATE(2025,8,1)," ",SUMIFS('2025数据'!$BE$3:$BE$181,'2025数据'!$P$3:$P$181,"&gt;="&amp;DATE(2025,8,1),'2025数据'!$P$3:$P$181,"&lt;="&amp;DATE(2025,8,31),'2025数据'!$B$3:$B$181,$E1162)/10000)</f>
        <v>0</v>
      </c>
      <c r="N1162" s="51">
        <f ca="1">IF($S$1&lt;DATE(2025,9,1)," ",SUMIFS('2025数据'!$BE$3:$BE$181,'2025数据'!$P$3:$P$181,"&gt;="&amp;DATE(2025,9,1),'2025数据'!$P$3:$P$181,"&lt;="&amp;DATE(2025,9,30),'2025数据'!$B$3:$B$181,$E1162)/10000)</f>
        <v>0</v>
      </c>
      <c r="O1162" s="51">
        <f ca="1">IF($S$1&lt;DATE(2025,10,1)," ",SUMIFS('2025数据'!$BE$3:$BE$181,'2025数据'!$P$3:$P$181,"&gt;="&amp;DATE(2025,10,1),'2025数据'!$P$3:$P$181,"&lt;="&amp;DATE(2025,10,31),'2025数据'!$B$3:$B$181,$E1162)/10000)</f>
        <v>0</v>
      </c>
      <c r="P1162" s="217">
        <f ca="1">IF($S$1&lt;DATE(2025,11,1)," ",SUMIFS('2025数据'!$BE$3:$BE$181,'2025数据'!$P$3:$P$181,"&gt;="&amp;DATE(2025,11,1),'2025数据'!$P$3:$P$181,"&lt;="&amp;DATE(2025,11,30),'2025数据'!$B$3:$B$181,$E1162)/10000)</f>
        <v>0</v>
      </c>
      <c r="Q1162" s="217">
        <f ca="1">IF($S$1&lt;DATE(2025,12,1)," ",SUMIFS('2025数据'!$BE$3:$BE$181,'2025数据'!$P$3:$P$181,"&gt;="&amp;DATE(2025,12,1),'2025数据'!$P$3:$P$181,"&lt;="&amp;DATE(2025,12,31),'2025数据'!$B$3:$B$181,$E1162)/10000)</f>
        <v>0</v>
      </c>
    </row>
    <row r="1163" ht="24" customHeight="1" spans="1:17">
      <c r="A1163" s="99" t="s">
        <v>347</v>
      </c>
      <c r="B1163" s="99" t="s">
        <v>299</v>
      </c>
      <c r="C1163" s="99" t="s">
        <v>333</v>
      </c>
      <c r="D1163" s="47" t="s">
        <v>294</v>
      </c>
      <c r="E1163" s="47" t="s">
        <v>81</v>
      </c>
      <c r="F1163" s="51">
        <f ca="1">IF($S$1&lt;DATE(2025,1,1)," ",SUMIFS('2025数据'!$BE$3:$BE$181,'2025数据'!$P$3:$P$181,"&gt;="&amp;DATE(2025,1,1),'2025数据'!$P$3:$P$181,"&lt;="&amp;DATE(2025,1,31),'2025数据'!$B$3:$B$181,$E1163)/10000)</f>
        <v>0</v>
      </c>
      <c r="G1163" s="51">
        <f ca="1">IF($S$1&lt;DATE(2025,2,1)," ",SUMIFS('2025数据'!$BE$3:$BE$181,'2025数据'!$P$3:$P$181,"&gt;="&amp;DATE(2025,2,1),'2025数据'!$P$3:$P$181,"&lt;="&amp;DATE(2025,2,28),'2025数据'!$B$3:$B$181,$E1163)/10000)</f>
        <v>0</v>
      </c>
      <c r="H1163" s="51">
        <f ca="1">IF($S$1&lt;DATE(2025,3,1)," ",SUMIFS('2025数据'!$BE$3:$BE$181,'2025数据'!$P$3:$P$181,"&gt;="&amp;DATE(2025,3,1),'2025数据'!$P$3:$P$181,"&lt;="&amp;DATE(2025,3,31),'2025数据'!$B$3:$B$181,$E1163)/10000)</f>
        <v>0</v>
      </c>
      <c r="I1163" s="51">
        <f ca="1">IF($S$1&lt;DATE(2025,4,1)," ",SUMIFS('2025数据'!$BE$3:$BE$181,'2025数据'!$P$3:$P$181,"&gt;="&amp;DATE(2025,4,1),'2025数据'!$P$3:$P$181,"&lt;="&amp;DATE(2025,4,30),'2025数据'!$B$3:$B$181,$E1163)/10000)</f>
        <v>0.1463</v>
      </c>
      <c r="J1163" s="51">
        <f ca="1">IF($S$1&lt;DATE(2025,5,1)," ",SUMIFS('2025数据'!$BE$3:$BE$181,'2025数据'!$P$3:$P$181,"&gt;="&amp;DATE(2025,5,1),'2025数据'!$P$3:$P$181,"&lt;="&amp;DATE(2025,5,31),'2025数据'!$B$3:$B$181,$E1163)/10000)</f>
        <v>0</v>
      </c>
      <c r="K1163" s="51">
        <f ca="1">IF($S$1&lt;DATE(2025,6,1)," ",SUMIFS('2025数据'!$BE$3:$BE$181,'2025数据'!$P$3:$P$181,"&gt;="&amp;DATE(2025,6,1),'2025数据'!$P$3:$P$181,"&lt;="&amp;DATE(2025,6,30),'2025数据'!$B$3:$B$181,$E1163)/10000)</f>
        <v>0</v>
      </c>
      <c r="L1163" s="51">
        <f ca="1">IF($S$1&lt;DATE(2025,7,1)," ",SUMIFS('2025数据'!$BE$3:$BE$181,'2025数据'!$P$3:$P$181,"&gt;="&amp;DATE(2025,7,1),'2025数据'!$P$3:$P$181,"&lt;="&amp;DATE(2025,7,31),'2025数据'!$B$3:$B$181,$E1163)/10000)</f>
        <v>0</v>
      </c>
      <c r="M1163" s="51">
        <f ca="1">IF($S$1&lt;DATE(2025,8,1)," ",SUMIFS('2025数据'!$BE$3:$BE$181,'2025数据'!$P$3:$P$181,"&gt;="&amp;DATE(2025,8,1),'2025数据'!$P$3:$P$181,"&lt;="&amp;DATE(2025,8,31),'2025数据'!$B$3:$B$181,$E1163)/10000)</f>
        <v>0</v>
      </c>
      <c r="N1163" s="51">
        <f ca="1">IF($S$1&lt;DATE(2025,9,1)," ",SUMIFS('2025数据'!$BE$3:$BE$181,'2025数据'!$P$3:$P$181,"&gt;="&amp;DATE(2025,9,1),'2025数据'!$P$3:$P$181,"&lt;="&amp;DATE(2025,9,30),'2025数据'!$B$3:$B$181,$E1163)/10000)</f>
        <v>0.372538</v>
      </c>
      <c r="O1163" s="51">
        <f ca="1">IF($S$1&lt;DATE(2025,10,1)," ",SUMIFS('2025数据'!$BE$3:$BE$181,'2025数据'!$P$3:$P$181,"&gt;="&amp;DATE(2025,10,1),'2025数据'!$P$3:$P$181,"&lt;="&amp;DATE(2025,10,31),'2025数据'!$B$3:$B$181,$E1163)/10000)</f>
        <v>0</v>
      </c>
      <c r="P1163" s="217">
        <f ca="1">IF($S$1&lt;DATE(2025,11,1)," ",SUMIFS('2025数据'!$BE$3:$BE$181,'2025数据'!$P$3:$P$181,"&gt;="&amp;DATE(2025,11,1),'2025数据'!$P$3:$P$181,"&lt;="&amp;DATE(2025,11,30),'2025数据'!$B$3:$B$181,$E1163)/10000)</f>
        <v>0</v>
      </c>
      <c r="Q1163" s="217">
        <f ca="1">IF($S$1&lt;DATE(2025,12,1)," ",SUMIFS('2025数据'!$BE$3:$BE$181,'2025数据'!$P$3:$P$181,"&gt;="&amp;DATE(2025,12,1),'2025数据'!$P$3:$P$181,"&lt;="&amp;DATE(2025,12,31),'2025数据'!$B$3:$B$181,$E1163)/10000)</f>
        <v>0</v>
      </c>
    </row>
    <row r="1164" ht="24" customHeight="1" spans="1:17">
      <c r="A1164" s="99" t="s">
        <v>347</v>
      </c>
      <c r="B1164" s="99" t="s">
        <v>299</v>
      </c>
      <c r="C1164" s="99" t="s">
        <v>333</v>
      </c>
      <c r="D1164" s="47" t="s">
        <v>294</v>
      </c>
      <c r="E1164" s="47" t="s">
        <v>96</v>
      </c>
      <c r="F1164" s="51">
        <f ca="1">IF($S$1&lt;DATE(2025,1,1)," ",SUMIFS('2025数据'!$BE$3:$BE$181,'2025数据'!$P$3:$P$181,"&gt;="&amp;DATE(2025,1,1),'2025数据'!$P$3:$P$181,"&lt;="&amp;DATE(2025,1,31),'2025数据'!$B$3:$B$181,$E1164)/10000)</f>
        <v>0</v>
      </c>
      <c r="G1164" s="51">
        <f ca="1">IF($S$1&lt;DATE(2025,2,1)," ",SUMIFS('2025数据'!$BE$3:$BE$181,'2025数据'!$P$3:$P$181,"&gt;="&amp;DATE(2025,2,1),'2025数据'!$P$3:$P$181,"&lt;="&amp;DATE(2025,2,28),'2025数据'!$B$3:$B$181,$E1164)/10000)</f>
        <v>0</v>
      </c>
      <c r="H1164" s="51">
        <f ca="1">IF($S$1&lt;DATE(2025,3,1)," ",SUMIFS('2025数据'!$BE$3:$BE$181,'2025数据'!$P$3:$P$181,"&gt;="&amp;DATE(2025,3,1),'2025数据'!$P$3:$P$181,"&lt;="&amp;DATE(2025,3,31),'2025数据'!$B$3:$B$181,$E1164)/10000)</f>
        <v>0</v>
      </c>
      <c r="I1164" s="51">
        <f ca="1">IF($S$1&lt;DATE(2025,4,1)," ",SUMIFS('2025数据'!$BE$3:$BE$181,'2025数据'!$P$3:$P$181,"&gt;="&amp;DATE(2025,4,1),'2025数据'!$P$3:$P$181,"&lt;="&amp;DATE(2025,4,30),'2025数据'!$B$3:$B$181,$E1164)/10000)</f>
        <v>0</v>
      </c>
      <c r="J1164" s="51">
        <f ca="1">IF($S$1&lt;DATE(2025,5,1)," ",SUMIFS('2025数据'!$BE$3:$BE$181,'2025数据'!$P$3:$P$181,"&gt;="&amp;DATE(2025,5,1),'2025数据'!$P$3:$P$181,"&lt;="&amp;DATE(2025,5,31),'2025数据'!$B$3:$B$181,$E1164)/10000)</f>
        <v>0</v>
      </c>
      <c r="K1164" s="51">
        <f ca="1">IF($S$1&lt;DATE(2025,6,1)," ",SUMIFS('2025数据'!$BE$3:$BE$181,'2025数据'!$P$3:$P$181,"&gt;="&amp;DATE(2025,6,1),'2025数据'!$P$3:$P$181,"&lt;="&amp;DATE(2025,6,30),'2025数据'!$B$3:$B$181,$E1164)/10000)</f>
        <v>0</v>
      </c>
      <c r="L1164" s="51">
        <f ca="1">IF($S$1&lt;DATE(2025,7,1)," ",SUMIFS('2025数据'!$BE$3:$BE$181,'2025数据'!$P$3:$P$181,"&gt;="&amp;DATE(2025,7,1),'2025数据'!$P$3:$P$181,"&lt;="&amp;DATE(2025,7,31),'2025数据'!$B$3:$B$181,$E1164)/10000)</f>
        <v>0</v>
      </c>
      <c r="M1164" s="51">
        <f ca="1">IF($S$1&lt;DATE(2025,8,1)," ",SUMIFS('2025数据'!$BE$3:$BE$181,'2025数据'!$P$3:$P$181,"&gt;="&amp;DATE(2025,8,1),'2025数据'!$P$3:$P$181,"&lt;="&amp;DATE(2025,8,31),'2025数据'!$B$3:$B$181,$E1164)/10000)</f>
        <v>0</v>
      </c>
      <c r="N1164" s="51">
        <f ca="1">IF($S$1&lt;DATE(2025,9,1)," ",SUMIFS('2025数据'!$BE$3:$BE$181,'2025数据'!$P$3:$P$181,"&gt;="&amp;DATE(2025,9,1),'2025数据'!$P$3:$P$181,"&lt;="&amp;DATE(2025,9,30),'2025数据'!$B$3:$B$181,$E1164)/10000)</f>
        <v>0</v>
      </c>
      <c r="O1164" s="51">
        <f ca="1">IF($S$1&lt;DATE(2025,10,1)," ",SUMIFS('2025数据'!$BE$3:$BE$181,'2025数据'!$P$3:$P$181,"&gt;="&amp;DATE(2025,10,1),'2025数据'!$P$3:$P$181,"&lt;="&amp;DATE(2025,10,31),'2025数据'!$B$3:$B$181,$E1164)/10000)</f>
        <v>0</v>
      </c>
      <c r="P1164" s="217">
        <f ca="1">IF($S$1&lt;DATE(2025,11,1)," ",SUMIFS('2025数据'!$BE$3:$BE$181,'2025数据'!$P$3:$P$181,"&gt;="&amp;DATE(2025,11,1),'2025数据'!$P$3:$P$181,"&lt;="&amp;DATE(2025,11,30),'2025数据'!$B$3:$B$181,$E1164)/10000)</f>
        <v>0</v>
      </c>
      <c r="Q1164" s="217">
        <f ca="1">IF($S$1&lt;DATE(2025,12,1)," ",SUMIFS('2025数据'!$BE$3:$BE$181,'2025数据'!$P$3:$P$181,"&gt;="&amp;DATE(2025,12,1),'2025数据'!$P$3:$P$181,"&lt;="&amp;DATE(2025,12,31),'2025数据'!$B$3:$B$181,$E1164)/10000)</f>
        <v>0</v>
      </c>
    </row>
    <row r="1165" ht="24" customHeight="1" spans="1:17">
      <c r="A1165" s="99" t="s">
        <v>347</v>
      </c>
      <c r="B1165" s="99" t="s">
        <v>299</v>
      </c>
      <c r="C1165" s="99" t="s">
        <v>333</v>
      </c>
      <c r="D1165" s="47" t="s">
        <v>294</v>
      </c>
      <c r="E1165" s="47" t="s">
        <v>160</v>
      </c>
      <c r="F1165" s="51">
        <f ca="1">IF($S$1&lt;DATE(2025,1,1)," ",SUMIFS('2025数据'!$BE$3:$BE$181,'2025数据'!$P$3:$P$181,"&gt;="&amp;DATE(2025,1,1),'2025数据'!$P$3:$P$181,"&lt;="&amp;DATE(2025,1,31),'2025数据'!$B$3:$B$181,$E1165)/10000)</f>
        <v>0</v>
      </c>
      <c r="G1165" s="51">
        <f ca="1">IF($S$1&lt;DATE(2025,2,1)," ",SUMIFS('2025数据'!$BE$3:$BE$181,'2025数据'!$P$3:$P$181,"&gt;="&amp;DATE(2025,2,1),'2025数据'!$P$3:$P$181,"&lt;="&amp;DATE(2025,2,28),'2025数据'!$B$3:$B$181,$E1165)/10000)</f>
        <v>0</v>
      </c>
      <c r="H1165" s="51">
        <f ca="1">IF($S$1&lt;DATE(2025,3,1)," ",SUMIFS('2025数据'!$BE$3:$BE$181,'2025数据'!$P$3:$P$181,"&gt;="&amp;DATE(2025,3,1),'2025数据'!$P$3:$P$181,"&lt;="&amp;DATE(2025,3,31),'2025数据'!$B$3:$B$181,$E1165)/10000)</f>
        <v>0</v>
      </c>
      <c r="I1165" s="51">
        <f ca="1">IF($S$1&lt;DATE(2025,4,1)," ",SUMIFS('2025数据'!$BE$3:$BE$181,'2025数据'!$P$3:$P$181,"&gt;="&amp;DATE(2025,4,1),'2025数据'!$P$3:$P$181,"&lt;="&amp;DATE(2025,4,30),'2025数据'!$B$3:$B$181,$E1165)/10000)</f>
        <v>0</v>
      </c>
      <c r="J1165" s="51">
        <f ca="1">IF($S$1&lt;DATE(2025,5,1)," ",SUMIFS('2025数据'!$BE$3:$BE$181,'2025数据'!$P$3:$P$181,"&gt;="&amp;DATE(2025,5,1),'2025数据'!$P$3:$P$181,"&lt;="&amp;DATE(2025,5,31),'2025数据'!$B$3:$B$181,$E1165)/10000)</f>
        <v>0</v>
      </c>
      <c r="K1165" s="51">
        <f ca="1">IF($S$1&lt;DATE(2025,6,1)," ",SUMIFS('2025数据'!$BE$3:$BE$181,'2025数据'!$P$3:$P$181,"&gt;="&amp;DATE(2025,6,1),'2025数据'!$P$3:$P$181,"&lt;="&amp;DATE(2025,6,30),'2025数据'!$B$3:$B$181,$E1165)/10000)</f>
        <v>0</v>
      </c>
      <c r="L1165" s="51">
        <f ca="1">IF($S$1&lt;DATE(2025,7,1)," ",SUMIFS('2025数据'!$BE$3:$BE$181,'2025数据'!$P$3:$P$181,"&gt;="&amp;DATE(2025,7,1),'2025数据'!$P$3:$P$181,"&lt;="&amp;DATE(2025,7,31),'2025数据'!$B$3:$B$181,$E1165)/10000)</f>
        <v>0</v>
      </c>
      <c r="M1165" s="51">
        <f ca="1">IF($S$1&lt;DATE(2025,8,1)," ",SUMIFS('2025数据'!$BE$3:$BE$181,'2025数据'!$P$3:$P$181,"&gt;="&amp;DATE(2025,8,1),'2025数据'!$P$3:$P$181,"&lt;="&amp;DATE(2025,8,31),'2025数据'!$B$3:$B$181,$E1165)/10000)</f>
        <v>0</v>
      </c>
      <c r="N1165" s="51">
        <f ca="1">IF($S$1&lt;DATE(2025,9,1)," ",SUMIFS('2025数据'!$BE$3:$BE$181,'2025数据'!$P$3:$P$181,"&gt;="&amp;DATE(2025,9,1),'2025数据'!$P$3:$P$181,"&lt;="&amp;DATE(2025,9,30),'2025数据'!$B$3:$B$181,$E1165)/10000)</f>
        <v>0</v>
      </c>
      <c r="O1165" s="51">
        <f ca="1">IF($S$1&lt;DATE(2025,10,1)," ",SUMIFS('2025数据'!$BE$3:$BE$181,'2025数据'!$P$3:$P$181,"&gt;="&amp;DATE(2025,10,1),'2025数据'!$P$3:$P$181,"&lt;="&amp;DATE(2025,10,31),'2025数据'!$B$3:$B$181,$E1165)/10000)</f>
        <v>0</v>
      </c>
      <c r="P1165" s="217">
        <f ca="1">IF($S$1&lt;DATE(2025,11,1)," ",SUMIFS('2025数据'!$BE$3:$BE$181,'2025数据'!$P$3:$P$181,"&gt;="&amp;DATE(2025,11,1),'2025数据'!$P$3:$P$181,"&lt;="&amp;DATE(2025,11,30),'2025数据'!$B$3:$B$181,$E1165)/10000)</f>
        <v>0</v>
      </c>
      <c r="Q1165" s="217">
        <f ca="1">IF($S$1&lt;DATE(2025,12,1)," ",SUMIFS('2025数据'!$BE$3:$BE$181,'2025数据'!$P$3:$P$181,"&gt;="&amp;DATE(2025,12,1),'2025数据'!$P$3:$P$181,"&lt;="&amp;DATE(2025,12,31),'2025数据'!$B$3:$B$181,$E1165)/10000)</f>
        <v>0</v>
      </c>
    </row>
    <row r="1166" ht="24" customHeight="1" spans="1:17">
      <c r="A1166" s="99" t="s">
        <v>347</v>
      </c>
      <c r="B1166" s="99" t="s">
        <v>299</v>
      </c>
      <c r="C1166" s="99" t="s">
        <v>334</v>
      </c>
      <c r="D1166" s="213" t="s">
        <v>292</v>
      </c>
      <c r="E1166" s="213" t="s">
        <v>300</v>
      </c>
      <c r="F1166" s="216">
        <f ca="1">IF($S$1&lt;DATE(2025,1,1)," ",SUM(F1167:F1171))</f>
        <v>7.499271</v>
      </c>
      <c r="G1166" s="216">
        <f ca="1">IF($S$1&lt;DATE(2025,2,1)," ",SUM(G1167:G1171))</f>
        <v>0</v>
      </c>
      <c r="H1166" s="216">
        <f ca="1">IF($S$1&lt;DATE(2025,3,1)," ",SUM(H1167:H1171))</f>
        <v>0</v>
      </c>
      <c r="I1166" s="216">
        <f ca="1">IF($S$1&lt;DATE(2025,4,1)," ",SUM(I1167:I1171))</f>
        <v>0.1463</v>
      </c>
      <c r="J1166" s="216">
        <f ca="1">IF($S$1&lt;DATE(2025,5,1)," ",SUM(J1167:J1171))</f>
        <v>0</v>
      </c>
      <c r="K1166" s="216">
        <f ca="1">IF($S$1&lt;DATE(2025,6,1)," ",SUM(K1167:K1171))</f>
        <v>4.209599</v>
      </c>
      <c r="L1166" s="216">
        <f ca="1">IF($S$1&lt;DATE(2025,7,1)," ",SUM(L1167:L1171))</f>
        <v>0.367758</v>
      </c>
      <c r="M1166" s="216">
        <f ca="1">IF($S$1&lt;DATE(2025,8,1)," ",SUM(M1167:M1171))</f>
        <v>4.977</v>
      </c>
      <c r="N1166" s="216">
        <f ca="1">IF($S$1&lt;DATE(2025,9,1)," ",SUM(N1167:N1171))</f>
        <v>4.723804</v>
      </c>
      <c r="O1166" s="216">
        <f ca="1">IF($S$1&lt;DATE(2025,10,1)," ",SUM(O1167:O1171))</f>
        <v>0</v>
      </c>
      <c r="P1166" s="216">
        <f ca="1">IF($S$1&lt;DATE(2025,11,1)," ",SUM(P1167:P1171))</f>
        <v>0.126307</v>
      </c>
      <c r="Q1166" s="216">
        <f ca="1">IF($S$1&lt;DATE(2025,12,1)," ",SUM(Q1167:Q1171))</f>
        <v>0</v>
      </c>
    </row>
    <row r="1167" ht="24" customHeight="1" spans="1:17">
      <c r="A1167" s="99" t="s">
        <v>347</v>
      </c>
      <c r="B1167" s="99" t="s">
        <v>299</v>
      </c>
      <c r="C1167" s="99" t="s">
        <v>334</v>
      </c>
      <c r="D1167" s="214" t="s">
        <v>294</v>
      </c>
      <c r="E1167" s="214" t="s">
        <v>93</v>
      </c>
      <c r="F1167" s="51">
        <f ca="1">IF($S$1&lt;DATE(2025,1,1)," ",SUMIFS('2025数据'!$BD$3:$BD$181,'2025数据'!$P$3:$P$181,"&gt;="&amp;DATE(2025,1,1),'2025数据'!$P$3:$P$181,"&lt;="&amp;DATE(2025,1,31),'2025数据'!$B$3:$B$181,$E1167)/10000)</f>
        <v>7.499271</v>
      </c>
      <c r="G1167" s="51">
        <f ca="1">IF($S$1&lt;DATE(2025,2,1)," ",SUMIFS('2025数据'!$BD$3:$BD$181,'2025数据'!$P$3:$P$181,"&gt;="&amp;DATE(2025,2,1),'2025数据'!$P$3:$P$181,"&lt;="&amp;DATE(2025,2,28),'2025数据'!$B$3:$B$181,$E1167)/10000)</f>
        <v>0</v>
      </c>
      <c r="H1167" s="51">
        <f ca="1">IF($S$1&lt;DATE(2025,3,1)," ",SUMIFS('2025数据'!$BD$3:$BD$181,'2025数据'!$P$3:$P$181,"&gt;="&amp;DATE(2025,3,1),'2025数据'!$P$3:$P$181,"&lt;="&amp;DATE(2025,3,31),'2025数据'!$B$3:$B$181,$E1167)/10000)</f>
        <v>0</v>
      </c>
      <c r="I1167" s="51">
        <f ca="1">IF($S$1&lt;DATE(2025,4,1)," ",SUMIFS('2025数据'!$BD$3:$BD$181,'2025数据'!$P$3:$P$181,"&gt;="&amp;DATE(2025,4,1),'2025数据'!$P$3:$P$181,"&lt;="&amp;DATE(2025,4,30),'2025数据'!$B$3:$B$181,$E1167)/10000)</f>
        <v>0</v>
      </c>
      <c r="J1167" s="51">
        <f ca="1">IF($S$1&lt;DATE(2025,5,1)," ",SUMIFS('2025数据'!$BD$3:$BD$181,'2025数据'!$P$3:$P$181,"&gt;="&amp;DATE(2025,5,1),'2025数据'!$P$3:$P$181,"&lt;="&amp;DATE(2025,5,31),'2025数据'!$B$3:$B$181,$E1167)/10000)</f>
        <v>0</v>
      </c>
      <c r="K1167" s="51">
        <f ca="1">IF($S$1&lt;DATE(2025,6,1)," ",SUMIFS('2025数据'!$BD$3:$BD$181,'2025数据'!$P$3:$P$181,"&gt;="&amp;DATE(2025,6,1),'2025数据'!$P$3:$P$181,"&lt;="&amp;DATE(2025,6,30),'2025数据'!$B$3:$B$181,$E1167)/10000)</f>
        <v>1.680992</v>
      </c>
      <c r="L1167" s="51">
        <f ca="1">IF($S$1&lt;DATE(2025,7,1)," ",SUMIFS('2025数据'!$BD$3:$BD$181,'2025数据'!$P$3:$P$181,"&gt;="&amp;DATE(2025,7,1),'2025数据'!$P$3:$P$181,"&lt;="&amp;DATE(2025,7,31),'2025数据'!$B$3:$B$181,$E1167)/10000)</f>
        <v>0.367758</v>
      </c>
      <c r="M1167" s="51">
        <f ca="1">IF($S$1&lt;DATE(2025,8,1)," ",SUMIFS('2025数据'!$BD$3:$BD$181,'2025数据'!$P$3:$P$181,"&gt;="&amp;DATE(2025,8,1),'2025数据'!$P$3:$P$181,"&lt;="&amp;DATE(2025,8,31),'2025数据'!$B$3:$B$181,$E1167)/10000)</f>
        <v>4.977</v>
      </c>
      <c r="N1167" s="51">
        <f ca="1">IF($S$1&lt;DATE(2025,9,1)," ",SUMIFS('2025数据'!$BD$3:$BD$181,'2025数据'!$P$3:$P$181,"&gt;="&amp;DATE(2025,9,1),'2025数据'!$P$3:$P$181,"&lt;="&amp;DATE(2025,9,30),'2025数据'!$B$3:$B$181,$E1167)/10000)</f>
        <v>4.351266</v>
      </c>
      <c r="O1167" s="51">
        <f ca="1">IF($S$1&lt;DATE(2025,10,1)," ",SUMIFS('2025数据'!$BD$3:$BD$181,'2025数据'!$P$3:$P$181,"&gt;="&amp;DATE(2025,10,1),'2025数据'!$P$3:$P$181,"&lt;="&amp;DATE(2025,10,31),'2025数据'!$B$3:$B$181,$E1167)/10000)</f>
        <v>0</v>
      </c>
      <c r="P1167" s="217">
        <f ca="1">IF($S$1&lt;DATE(2025,11,1)," ",SUMIFS('2025数据'!$BD$3:$BD$181,'2025数据'!$P$3:$P$181,"&gt;="&amp;DATE(2025,11,1),'2025数据'!$P$3:$P$181,"&lt;="&amp;DATE(2025,11,30),'2025数据'!$B$3:$B$181,$E1167)/10000)</f>
        <v>0.126307</v>
      </c>
      <c r="Q1167" s="217">
        <f ca="1">IF($S$1&lt;DATE(2025,12,1)," ",SUMIFS('2025数据'!$BD$3:$BD$181,'2025数据'!$P$3:$P$181,"&gt;="&amp;DATE(2025,12,1),'2025数据'!$P$3:$P$181,"&lt;="&amp;DATE(2025,12,31),'2025数据'!$B$3:$B$181,$E1167)/10000)</f>
        <v>0</v>
      </c>
    </row>
    <row r="1168" ht="24" customHeight="1" spans="1:17">
      <c r="A1168" s="99" t="s">
        <v>347</v>
      </c>
      <c r="B1168" s="99" t="s">
        <v>299</v>
      </c>
      <c r="C1168" s="99" t="s">
        <v>334</v>
      </c>
      <c r="D1168" s="214" t="s">
        <v>294</v>
      </c>
      <c r="E1168" s="214" t="s">
        <v>85</v>
      </c>
      <c r="F1168" s="51">
        <f ca="1">IF($S$1&lt;DATE(2025,1,1)," ",SUMIFS('2025数据'!$BD$3:$BD$181,'2025数据'!$P$3:$P$181,"&gt;="&amp;DATE(2025,1,1),'2025数据'!$P$3:$P$181,"&lt;="&amp;DATE(2025,1,31),'2025数据'!$B$3:$B$181,$E1168)/10000)</f>
        <v>0</v>
      </c>
      <c r="G1168" s="51">
        <f ca="1">IF($S$1&lt;DATE(2025,2,1)," ",SUMIFS('2025数据'!$BD$3:$BD$181,'2025数据'!$P$3:$P$181,"&gt;="&amp;DATE(2025,2,1),'2025数据'!$P$3:$P$181,"&lt;="&amp;DATE(2025,2,28),'2025数据'!$B$3:$B$181,$E1168)/10000)</f>
        <v>0</v>
      </c>
      <c r="H1168" s="51">
        <f ca="1">IF($S$1&lt;DATE(2025,3,1)," ",SUMIFS('2025数据'!$BD$3:$BD$181,'2025数据'!$P$3:$P$181,"&gt;="&amp;DATE(2025,3,1),'2025数据'!$P$3:$P$181,"&lt;="&amp;DATE(2025,3,31),'2025数据'!$B$3:$B$181,$E1168)/10000)</f>
        <v>0</v>
      </c>
      <c r="I1168" s="51">
        <f ca="1">IF($S$1&lt;DATE(2025,4,1)," ",SUMIFS('2025数据'!$BD$3:$BD$181,'2025数据'!$P$3:$P$181,"&gt;="&amp;DATE(2025,4,1),'2025数据'!$P$3:$P$181,"&lt;="&amp;DATE(2025,4,30),'2025数据'!$B$3:$B$181,$E1168)/10000)</f>
        <v>0</v>
      </c>
      <c r="J1168" s="51">
        <f ca="1">IF($S$1&lt;DATE(2025,5,1)," ",SUMIFS('2025数据'!$BD$3:$BD$181,'2025数据'!$P$3:$P$181,"&gt;="&amp;DATE(2025,5,1),'2025数据'!$P$3:$P$181,"&lt;="&amp;DATE(2025,5,31),'2025数据'!$B$3:$B$181,$E1168)/10000)</f>
        <v>0</v>
      </c>
      <c r="K1168" s="51">
        <f ca="1">IF($S$1&lt;DATE(2025,6,1)," ",SUMIFS('2025数据'!$BD$3:$BD$181,'2025数据'!$P$3:$P$181,"&gt;="&amp;DATE(2025,6,1),'2025数据'!$P$3:$P$181,"&lt;="&amp;DATE(2025,6,30),'2025数据'!$B$3:$B$181,$E1168)/10000)</f>
        <v>2.528607</v>
      </c>
      <c r="L1168" s="51">
        <f ca="1">IF($S$1&lt;DATE(2025,7,1)," ",SUMIFS('2025数据'!$BD$3:$BD$181,'2025数据'!$P$3:$P$181,"&gt;="&amp;DATE(2025,7,1),'2025数据'!$P$3:$P$181,"&lt;="&amp;DATE(2025,7,31),'2025数据'!$B$3:$B$181,$E1168)/10000)</f>
        <v>0</v>
      </c>
      <c r="M1168" s="51">
        <f ca="1">IF($S$1&lt;DATE(2025,8,1)," ",SUMIFS('2025数据'!$BD$3:$BD$181,'2025数据'!$P$3:$P$181,"&gt;="&amp;DATE(2025,8,1),'2025数据'!$P$3:$P$181,"&lt;="&amp;DATE(2025,8,31),'2025数据'!$B$3:$B$181,$E1168)/10000)</f>
        <v>0</v>
      </c>
      <c r="N1168" s="51">
        <f ca="1">IF($S$1&lt;DATE(2025,9,1)," ",SUMIFS('2025数据'!$BD$3:$BD$181,'2025数据'!$P$3:$P$181,"&gt;="&amp;DATE(2025,9,1),'2025数据'!$P$3:$P$181,"&lt;="&amp;DATE(2025,9,30),'2025数据'!$B$3:$B$181,$E1168)/10000)</f>
        <v>0</v>
      </c>
      <c r="O1168" s="51">
        <f ca="1">IF($S$1&lt;DATE(2025,10,1)," ",SUMIFS('2025数据'!$BD$3:$BD$181,'2025数据'!$P$3:$P$181,"&gt;="&amp;DATE(2025,10,1),'2025数据'!$P$3:$P$181,"&lt;="&amp;DATE(2025,10,31),'2025数据'!$B$3:$B$181,$E1168)/10000)</f>
        <v>0</v>
      </c>
      <c r="P1168" s="217">
        <f ca="1">IF($S$1&lt;DATE(2025,11,1)," ",SUMIFS('2025数据'!$BD$3:$BD$181,'2025数据'!$P$3:$P$181,"&gt;="&amp;DATE(2025,11,1),'2025数据'!$P$3:$P$181,"&lt;="&amp;DATE(2025,11,30),'2025数据'!$B$3:$B$181,$E1168)/10000)</f>
        <v>0</v>
      </c>
      <c r="Q1168" s="217">
        <f ca="1">IF($S$1&lt;DATE(2025,12,1)," ",SUMIFS('2025数据'!$BD$3:$BD$181,'2025数据'!$P$3:$P$181,"&gt;="&amp;DATE(2025,12,1),'2025数据'!$P$3:$P$181,"&lt;="&amp;DATE(2025,12,31),'2025数据'!$B$3:$B$181,$E1168)/10000)</f>
        <v>0</v>
      </c>
    </row>
    <row r="1169" ht="24" customHeight="1" spans="1:17">
      <c r="A1169" s="99" t="s">
        <v>347</v>
      </c>
      <c r="B1169" s="99" t="s">
        <v>299</v>
      </c>
      <c r="C1169" s="99" t="s">
        <v>334</v>
      </c>
      <c r="D1169" s="214" t="s">
        <v>294</v>
      </c>
      <c r="E1169" s="214" t="s">
        <v>81</v>
      </c>
      <c r="F1169" s="51">
        <f ca="1">IF($S$1&lt;DATE(2025,1,1)," ",SUMIFS('2025数据'!$BD$3:$BD$181,'2025数据'!$P$3:$P$181,"&gt;="&amp;DATE(2025,1,1),'2025数据'!$P$3:$P$181,"&lt;="&amp;DATE(2025,1,31),'2025数据'!$B$3:$B$181,$E1169)/10000)</f>
        <v>0</v>
      </c>
      <c r="G1169" s="51">
        <f ca="1">IF($S$1&lt;DATE(2025,2,1)," ",SUMIFS('2025数据'!$BD$3:$BD$181,'2025数据'!$P$3:$P$181,"&gt;="&amp;DATE(2025,2,1),'2025数据'!$P$3:$P$181,"&lt;="&amp;DATE(2025,2,28),'2025数据'!$B$3:$B$181,$E1169)/10000)</f>
        <v>0</v>
      </c>
      <c r="H1169" s="51">
        <f ca="1">IF($S$1&lt;DATE(2025,3,1)," ",SUMIFS('2025数据'!$BD$3:$BD$181,'2025数据'!$P$3:$P$181,"&gt;="&amp;DATE(2025,3,1),'2025数据'!$P$3:$P$181,"&lt;="&amp;DATE(2025,3,31),'2025数据'!$B$3:$B$181,$E1169)/10000)</f>
        <v>0</v>
      </c>
      <c r="I1169" s="51">
        <f ca="1">IF($S$1&lt;DATE(2025,4,1)," ",SUMIFS('2025数据'!$BD$3:$BD$181,'2025数据'!$P$3:$P$181,"&gt;="&amp;DATE(2025,4,1),'2025数据'!$P$3:$P$181,"&lt;="&amp;DATE(2025,4,30),'2025数据'!$B$3:$B$181,$E1169)/10000)</f>
        <v>0.1463</v>
      </c>
      <c r="J1169" s="51">
        <f ca="1">IF($S$1&lt;DATE(2025,5,1)," ",SUMIFS('2025数据'!$BD$3:$BD$181,'2025数据'!$P$3:$P$181,"&gt;="&amp;DATE(2025,5,1),'2025数据'!$P$3:$P$181,"&lt;="&amp;DATE(2025,5,31),'2025数据'!$B$3:$B$181,$E1169)/10000)</f>
        <v>0</v>
      </c>
      <c r="K1169" s="51">
        <f ca="1">IF($S$1&lt;DATE(2025,6,1)," ",SUMIFS('2025数据'!$BD$3:$BD$181,'2025数据'!$P$3:$P$181,"&gt;="&amp;DATE(2025,6,1),'2025数据'!$P$3:$P$181,"&lt;="&amp;DATE(2025,6,30),'2025数据'!$B$3:$B$181,$E1169)/10000)</f>
        <v>0</v>
      </c>
      <c r="L1169" s="51">
        <f ca="1">IF($S$1&lt;DATE(2025,7,1)," ",SUMIFS('2025数据'!$BD$3:$BD$181,'2025数据'!$P$3:$P$181,"&gt;="&amp;DATE(2025,7,1),'2025数据'!$P$3:$P$181,"&lt;="&amp;DATE(2025,7,31),'2025数据'!$B$3:$B$181,$E1169)/10000)</f>
        <v>0</v>
      </c>
      <c r="M1169" s="51">
        <f ca="1">IF($S$1&lt;DATE(2025,8,1)," ",SUMIFS('2025数据'!$BD$3:$BD$181,'2025数据'!$P$3:$P$181,"&gt;="&amp;DATE(2025,8,1),'2025数据'!$P$3:$P$181,"&lt;="&amp;DATE(2025,8,31),'2025数据'!$B$3:$B$181,$E1169)/10000)</f>
        <v>0</v>
      </c>
      <c r="N1169" s="51">
        <f ca="1">IF($S$1&lt;DATE(2025,9,1)," ",SUMIFS('2025数据'!$BD$3:$BD$181,'2025数据'!$P$3:$P$181,"&gt;="&amp;DATE(2025,9,1),'2025数据'!$P$3:$P$181,"&lt;="&amp;DATE(2025,9,30),'2025数据'!$B$3:$B$181,$E1169)/10000)</f>
        <v>0.372538</v>
      </c>
      <c r="O1169" s="51">
        <f ca="1">IF($S$1&lt;DATE(2025,10,1)," ",SUMIFS('2025数据'!$BD$3:$BD$181,'2025数据'!$P$3:$P$181,"&gt;="&amp;DATE(2025,10,1),'2025数据'!$P$3:$P$181,"&lt;="&amp;DATE(2025,10,31),'2025数据'!$B$3:$B$181,$E1169)/10000)</f>
        <v>0</v>
      </c>
      <c r="P1169" s="217">
        <f ca="1">IF($S$1&lt;DATE(2025,11,1)," ",SUMIFS('2025数据'!$BD$3:$BD$181,'2025数据'!$P$3:$P$181,"&gt;="&amp;DATE(2025,11,1),'2025数据'!$P$3:$P$181,"&lt;="&amp;DATE(2025,11,30),'2025数据'!$B$3:$B$181,$E1169)/10000)</f>
        <v>0</v>
      </c>
      <c r="Q1169" s="217">
        <f ca="1">IF($S$1&lt;DATE(2025,12,1)," ",SUMIFS('2025数据'!$BD$3:$BD$181,'2025数据'!$P$3:$P$181,"&gt;="&amp;DATE(2025,12,1),'2025数据'!$P$3:$P$181,"&lt;="&amp;DATE(2025,12,31),'2025数据'!$B$3:$B$181,$E1169)/10000)</f>
        <v>0</v>
      </c>
    </row>
    <row r="1170" ht="24" customHeight="1" spans="1:17">
      <c r="A1170" s="99" t="s">
        <v>347</v>
      </c>
      <c r="B1170" s="99" t="s">
        <v>299</v>
      </c>
      <c r="C1170" s="99" t="s">
        <v>334</v>
      </c>
      <c r="D1170" s="214" t="s">
        <v>294</v>
      </c>
      <c r="E1170" s="214" t="s">
        <v>96</v>
      </c>
      <c r="F1170" s="51">
        <f ca="1">IF($S$1&lt;DATE(2025,1,1)," ",SUMIFS('2025数据'!$BD$3:$BD$181,'2025数据'!$P$3:$P$181,"&gt;="&amp;DATE(2025,1,1),'2025数据'!$P$3:$P$181,"&lt;="&amp;DATE(2025,1,31),'2025数据'!$B$3:$B$181,$E1170)/10000)</f>
        <v>0</v>
      </c>
      <c r="G1170" s="51">
        <f ca="1">IF($S$1&lt;DATE(2025,2,1)," ",SUMIFS('2025数据'!$BD$3:$BD$181,'2025数据'!$P$3:$P$181,"&gt;="&amp;DATE(2025,2,1),'2025数据'!$P$3:$P$181,"&lt;="&amp;DATE(2025,2,28),'2025数据'!$B$3:$B$181,$E1170)/10000)</f>
        <v>0</v>
      </c>
      <c r="H1170" s="51">
        <f ca="1">IF($S$1&lt;DATE(2025,3,1)," ",SUMIFS('2025数据'!$BD$3:$BD$181,'2025数据'!$P$3:$P$181,"&gt;="&amp;DATE(2025,3,1),'2025数据'!$P$3:$P$181,"&lt;="&amp;DATE(2025,3,31),'2025数据'!$B$3:$B$181,$E1170)/10000)</f>
        <v>0</v>
      </c>
      <c r="I1170" s="51">
        <f ca="1">IF($S$1&lt;DATE(2025,4,1)," ",SUMIFS('2025数据'!$BD$3:$BD$181,'2025数据'!$P$3:$P$181,"&gt;="&amp;DATE(2025,4,1),'2025数据'!$P$3:$P$181,"&lt;="&amp;DATE(2025,4,30),'2025数据'!$B$3:$B$181,$E1170)/10000)</f>
        <v>0</v>
      </c>
      <c r="J1170" s="51">
        <f ca="1">IF($S$1&lt;DATE(2025,5,1)," ",SUMIFS('2025数据'!$BD$3:$BD$181,'2025数据'!$P$3:$P$181,"&gt;="&amp;DATE(2025,5,1),'2025数据'!$P$3:$P$181,"&lt;="&amp;DATE(2025,5,31),'2025数据'!$B$3:$B$181,$E1170)/10000)</f>
        <v>0</v>
      </c>
      <c r="K1170" s="51">
        <f ca="1">IF($S$1&lt;DATE(2025,6,1)," ",SUMIFS('2025数据'!$BD$3:$BD$181,'2025数据'!$P$3:$P$181,"&gt;="&amp;DATE(2025,6,1),'2025数据'!$P$3:$P$181,"&lt;="&amp;DATE(2025,6,30),'2025数据'!$B$3:$B$181,$E1170)/10000)</f>
        <v>0</v>
      </c>
      <c r="L1170" s="51">
        <f ca="1">IF($S$1&lt;DATE(2025,7,1)," ",SUMIFS('2025数据'!$BD$3:$BD$181,'2025数据'!$P$3:$P$181,"&gt;="&amp;DATE(2025,7,1),'2025数据'!$P$3:$P$181,"&lt;="&amp;DATE(2025,7,31),'2025数据'!$B$3:$B$181,$E1170)/10000)</f>
        <v>0</v>
      </c>
      <c r="M1170" s="51">
        <f ca="1">IF($S$1&lt;DATE(2025,8,1)," ",SUMIFS('2025数据'!$BD$3:$BD$181,'2025数据'!$P$3:$P$181,"&gt;="&amp;DATE(2025,8,1),'2025数据'!$P$3:$P$181,"&lt;="&amp;DATE(2025,8,31),'2025数据'!$B$3:$B$181,$E1170)/10000)</f>
        <v>0</v>
      </c>
      <c r="N1170" s="51">
        <f ca="1">IF($S$1&lt;DATE(2025,9,1)," ",SUMIFS('2025数据'!$BD$3:$BD$181,'2025数据'!$P$3:$P$181,"&gt;="&amp;DATE(2025,9,1),'2025数据'!$P$3:$P$181,"&lt;="&amp;DATE(2025,9,30),'2025数据'!$B$3:$B$181,$E1170)/10000)</f>
        <v>0</v>
      </c>
      <c r="O1170" s="51">
        <f ca="1">IF($S$1&lt;DATE(2025,10,1)," ",SUMIFS('2025数据'!$BD$3:$BD$181,'2025数据'!$P$3:$P$181,"&gt;="&amp;DATE(2025,10,1),'2025数据'!$P$3:$P$181,"&lt;="&amp;DATE(2025,10,31),'2025数据'!$B$3:$B$181,$E1170)/10000)</f>
        <v>0</v>
      </c>
      <c r="P1170" s="217">
        <f ca="1">IF($S$1&lt;DATE(2025,11,1)," ",SUMIFS('2025数据'!$BD$3:$BD$181,'2025数据'!$P$3:$P$181,"&gt;="&amp;DATE(2025,11,1),'2025数据'!$P$3:$P$181,"&lt;="&amp;DATE(2025,11,30),'2025数据'!$B$3:$B$181,$E1170)/10000)</f>
        <v>0</v>
      </c>
      <c r="Q1170" s="217">
        <f ca="1">IF($S$1&lt;DATE(2025,12,1)," ",SUMIFS('2025数据'!$BD$3:$BD$181,'2025数据'!$P$3:$P$181,"&gt;="&amp;DATE(2025,12,1),'2025数据'!$P$3:$P$181,"&lt;="&amp;DATE(2025,12,31),'2025数据'!$B$3:$B$181,$E1170)/10000)</f>
        <v>0</v>
      </c>
    </row>
    <row r="1171" ht="24" customHeight="1" spans="1:17">
      <c r="A1171" s="99" t="s">
        <v>347</v>
      </c>
      <c r="B1171" s="99" t="s">
        <v>299</v>
      </c>
      <c r="C1171" s="99" t="s">
        <v>334</v>
      </c>
      <c r="D1171" s="214" t="s">
        <v>294</v>
      </c>
      <c r="E1171" s="214" t="s">
        <v>160</v>
      </c>
      <c r="F1171" s="51">
        <f ca="1">IF($S$1&lt;DATE(2025,1,1)," ",SUMIFS('2025数据'!$BD$3:$BD$181,'2025数据'!$P$3:$P$181,"&gt;="&amp;DATE(2025,1,1),'2025数据'!$P$3:$P$181,"&lt;="&amp;DATE(2025,1,31),'2025数据'!$B$3:$B$181,$E1171)/10000)</f>
        <v>0</v>
      </c>
      <c r="G1171" s="51">
        <f ca="1">IF($S$1&lt;DATE(2025,2,1)," ",SUMIFS('2025数据'!$BD$3:$BD$181,'2025数据'!$P$3:$P$181,"&gt;="&amp;DATE(2025,2,1),'2025数据'!$P$3:$P$181,"&lt;="&amp;DATE(2025,2,28),'2025数据'!$B$3:$B$181,$E1171)/10000)</f>
        <v>0</v>
      </c>
      <c r="H1171" s="51">
        <f ca="1">IF($S$1&lt;DATE(2025,3,1)," ",SUMIFS('2025数据'!$BD$3:$BD$181,'2025数据'!$P$3:$P$181,"&gt;="&amp;DATE(2025,3,1),'2025数据'!$P$3:$P$181,"&lt;="&amp;DATE(2025,3,31),'2025数据'!$B$3:$B$181,$E1171)/10000)</f>
        <v>0</v>
      </c>
      <c r="I1171" s="51">
        <f ca="1">IF($S$1&lt;DATE(2025,4,1)," ",SUMIFS('2025数据'!$BD$3:$BD$181,'2025数据'!$P$3:$P$181,"&gt;="&amp;DATE(2025,4,1),'2025数据'!$P$3:$P$181,"&lt;="&amp;DATE(2025,4,30),'2025数据'!$B$3:$B$181,$E1171)/10000)</f>
        <v>0</v>
      </c>
      <c r="J1171" s="51">
        <f ca="1">IF($S$1&lt;DATE(2025,5,1)," ",SUMIFS('2025数据'!$BD$3:$BD$181,'2025数据'!$P$3:$P$181,"&gt;="&amp;DATE(2025,5,1),'2025数据'!$P$3:$P$181,"&lt;="&amp;DATE(2025,5,31),'2025数据'!$B$3:$B$181,$E1171)/10000)</f>
        <v>0</v>
      </c>
      <c r="K1171" s="51">
        <f ca="1">IF($S$1&lt;DATE(2025,6,1)," ",SUMIFS('2025数据'!$BD$3:$BD$181,'2025数据'!$P$3:$P$181,"&gt;="&amp;DATE(2025,6,1),'2025数据'!$P$3:$P$181,"&lt;="&amp;DATE(2025,6,30),'2025数据'!$B$3:$B$181,$E1171)/10000)</f>
        <v>0</v>
      </c>
      <c r="L1171" s="51">
        <f ca="1">IF($S$1&lt;DATE(2025,7,1)," ",SUMIFS('2025数据'!$BD$3:$BD$181,'2025数据'!$P$3:$P$181,"&gt;="&amp;DATE(2025,7,1),'2025数据'!$P$3:$P$181,"&lt;="&amp;DATE(2025,7,31),'2025数据'!$B$3:$B$181,$E1171)/10000)</f>
        <v>0</v>
      </c>
      <c r="M1171" s="51">
        <f ca="1">IF($S$1&lt;DATE(2025,8,1)," ",SUMIFS('2025数据'!$BD$3:$BD$181,'2025数据'!$P$3:$P$181,"&gt;="&amp;DATE(2025,8,1),'2025数据'!$P$3:$P$181,"&lt;="&amp;DATE(2025,8,31),'2025数据'!$B$3:$B$181,$E1171)/10000)</f>
        <v>0</v>
      </c>
      <c r="N1171" s="51">
        <f ca="1">IF($S$1&lt;DATE(2025,9,1)," ",SUMIFS('2025数据'!$BD$3:$BD$181,'2025数据'!$P$3:$P$181,"&gt;="&amp;DATE(2025,9,1),'2025数据'!$P$3:$P$181,"&lt;="&amp;DATE(2025,9,30),'2025数据'!$B$3:$B$181,$E1171)/10000)</f>
        <v>0</v>
      </c>
      <c r="O1171" s="51">
        <f ca="1">IF($S$1&lt;DATE(2025,10,1)," ",SUMIFS('2025数据'!$BD$3:$BD$181,'2025数据'!$P$3:$P$181,"&gt;="&amp;DATE(2025,10,1),'2025数据'!$P$3:$P$181,"&lt;="&amp;DATE(2025,10,31),'2025数据'!$B$3:$B$181,$E1171)/10000)</f>
        <v>0</v>
      </c>
      <c r="P1171" s="217">
        <f ca="1">IF($S$1&lt;DATE(2025,11,1)," ",SUMIFS('2025数据'!$BD$3:$BD$181,'2025数据'!$P$3:$P$181,"&gt;="&amp;DATE(2025,11,1),'2025数据'!$P$3:$P$181,"&lt;="&amp;DATE(2025,11,30),'2025数据'!$B$3:$B$181,$E1171)/10000)</f>
        <v>0</v>
      </c>
      <c r="Q1171" s="217">
        <f ca="1">IF($S$1&lt;DATE(2025,12,1)," ",SUMIFS('2025数据'!$BD$3:$BD$181,'2025数据'!$P$3:$P$181,"&gt;="&amp;DATE(2025,12,1),'2025数据'!$P$3:$P$181,"&lt;="&amp;DATE(2025,12,31),'2025数据'!$B$3:$B$181,$E1171)/10000)</f>
        <v>0</v>
      </c>
    </row>
    <row r="1172" ht="24" customHeight="1" spans="1:17">
      <c r="A1172" s="99" t="s">
        <v>347</v>
      </c>
      <c r="B1172" s="99" t="s">
        <v>299</v>
      </c>
      <c r="C1172" s="99" t="s">
        <v>335</v>
      </c>
      <c r="D1172" s="213" t="s">
        <v>292</v>
      </c>
      <c r="E1172" s="213" t="s">
        <v>300</v>
      </c>
      <c r="F1172" s="216">
        <f ca="1">IF($S$1&lt;DATE(2025,1,1)," ",F1166)</f>
        <v>7.499271</v>
      </c>
      <c r="G1172" s="216">
        <f ca="1">IF($S$1&lt;DATE(2025,2,1)," ",F1172+G1166)</f>
        <v>7.499271</v>
      </c>
      <c r="H1172" s="216">
        <f ca="1">IF($S$1&lt;DATE(2025,3,1)," ",G1172+H1166)</f>
        <v>7.499271</v>
      </c>
      <c r="I1172" s="216">
        <f ca="1">IF($S$1&lt;DATE(2025,4,1)," ",H1172+I1166)</f>
        <v>7.645571</v>
      </c>
      <c r="J1172" s="216">
        <f ca="1">IF($S$1&lt;DATE(2025,5,1)," ",I1172+J1166)</f>
        <v>7.645571</v>
      </c>
      <c r="K1172" s="216">
        <f ca="1">IF($S$1&lt;DATE(2025,6,1)," ",J1172+K1166)</f>
        <v>11.85517</v>
      </c>
      <c r="L1172" s="216">
        <f ca="1">IF($S$1&lt;DATE(2025,7,1)," ",K1172+L1166)</f>
        <v>12.222928</v>
      </c>
      <c r="M1172" s="216">
        <f ca="1">IF($S$1&lt;DATE(2025,8,1)," ",L1172+M1166)</f>
        <v>17.199928</v>
      </c>
      <c r="N1172" s="216">
        <f ca="1">IF($S$1&lt;DATE(2025,9,1)," ",M1172+N1166)</f>
        <v>21.923732</v>
      </c>
      <c r="O1172" s="216">
        <f ca="1">IF($S$1&lt;DATE(2025,10,1)," ",N1172+O1166)</f>
        <v>21.923732</v>
      </c>
      <c r="P1172" s="216">
        <f ca="1">IF($S$1&lt;DATE(2025,11,1)," ",O1172+P1166)</f>
        <v>22.050039</v>
      </c>
      <c r="Q1172" s="216">
        <f ca="1">IF($S$1&lt;DATE(2025,12,1)," ",P1172+Q1166)</f>
        <v>22.050039</v>
      </c>
    </row>
    <row r="1173" ht="24" customHeight="1" spans="1:17">
      <c r="A1173" s="99" t="s">
        <v>347</v>
      </c>
      <c r="B1173" s="99" t="s">
        <v>299</v>
      </c>
      <c r="C1173" s="99" t="s">
        <v>336</v>
      </c>
      <c r="D1173" s="114" t="s">
        <v>292</v>
      </c>
      <c r="E1173" s="114" t="s">
        <v>300</v>
      </c>
      <c r="F1173" s="215">
        <f ca="1">IF($S$1&lt;DATE(2025,1,1)," ",SUM(F1174:F1180))</f>
        <v>7.642832</v>
      </c>
      <c r="G1173" s="215">
        <f ca="1">IF($S$1&lt;DATE(2025,2,1)," ",SUM(G1174:G1180))</f>
        <v>0</v>
      </c>
      <c r="H1173" s="215">
        <f ca="1">IF($S$1&lt;DATE(2025,3,1)," ",SUM(H1174:H1180))</f>
        <v>0</v>
      </c>
      <c r="I1173" s="215">
        <f ca="1">IF($S$1&lt;DATE(2025,4,1)," ",SUM(I1174:I1180))</f>
        <v>0.1466</v>
      </c>
      <c r="J1173" s="215">
        <f ca="1">IF($S$1&lt;DATE(2025,5,1)," ",SUM(J1174:J1180))</f>
        <v>0</v>
      </c>
      <c r="K1173" s="215">
        <f ca="1">IF($S$1&lt;DATE(2025,6,1)," ",SUM(K1174:K1180))</f>
        <v>4.284939</v>
      </c>
      <c r="L1173" s="215">
        <f ca="1">IF($S$1&lt;DATE(2025,7,1)," ",SUM(L1174:L1180))</f>
        <v>0.372132</v>
      </c>
      <c r="M1173" s="215">
        <f ca="1">IF($S$1&lt;DATE(2025,8,1)," ",SUM(M1174:M1180))</f>
        <v>5.06199</v>
      </c>
      <c r="N1173" s="215">
        <f ca="1">IF($S$1&lt;DATE(2025,9,1)," ",SUM(N1174:N1180))</f>
        <v>4.788995</v>
      </c>
      <c r="O1173" s="215">
        <f ca="1">IF($S$1&lt;DATE(2025,10,1)," ",SUM(O1174:O1180))</f>
        <v>0</v>
      </c>
      <c r="P1173" s="215">
        <f ca="1">IF($S$1&lt;DATE(2025,11,1)," ",SUM(P1174:P1180))</f>
        <v>0.138068</v>
      </c>
      <c r="Q1173" s="215">
        <f ca="1">IF($S$1&lt;DATE(2025,12,1)," ",SUM(Q1174:Q1180))</f>
        <v>0</v>
      </c>
    </row>
    <row r="1174" ht="24" customHeight="1" spans="1:17">
      <c r="A1174" s="99" t="s">
        <v>347</v>
      </c>
      <c r="B1174" s="99" t="s">
        <v>299</v>
      </c>
      <c r="C1174" s="99" t="s">
        <v>336</v>
      </c>
      <c r="D1174" s="48" t="s">
        <v>31</v>
      </c>
      <c r="E1174" s="48" t="s">
        <v>90</v>
      </c>
      <c r="F1174" s="51">
        <f ca="1">IF($S$1&lt;DATE(2025,1,1)," ",SUMIFS('2025数据'!$BC$3:$BC$181,'2025数据'!$P$3:$P$181,"&gt;="&amp;DATE(2025,1,1),'2025数据'!$P$3:$P$181,"&lt;="&amp;DATE(2025,1,31),'2025数据'!$AE$3:$AE$181,$E1174)/10000)</f>
        <v>0</v>
      </c>
      <c r="G1174" s="51">
        <f ca="1">IF($S$1&lt;DATE(2025,2,1)," ",SUMIFS('2025数据'!$BC$3:$BC$181,'2025数据'!$P$3:$P$181,"&gt;="&amp;DATE(2025,2,1),'2025数据'!$P$3:$P$181,"&lt;="&amp;DATE(2025,2,28),'2025数据'!$AE$3:$AE$181,$E1174)/10000)</f>
        <v>0</v>
      </c>
      <c r="H1174" s="51">
        <f ca="1">IF($S$1&lt;DATE(2025,3,1)," ",SUMIFS('2025数据'!$BC$3:$BC$181,'2025数据'!$P$3:$P$181,"&gt;="&amp;DATE(2025,3,1),'2025数据'!$P$3:$P$181,"&lt;="&amp;DATE(2025,3,31),'2025数据'!$AE$3:$AE$181,$E1174)/10000)</f>
        <v>0</v>
      </c>
      <c r="I1174" s="51">
        <f ca="1">IF($S$1&lt;DATE(2025,4,1)," ",SUMIFS('2025数据'!$BC$3:$BC$181,'2025数据'!$P$3:$P$181,"&gt;="&amp;DATE(2025,4,1),'2025数据'!$P$3:$P$181,"&lt;="&amp;DATE(2025,4,30),'2025数据'!$AE$3:$AE$181,$E1174)/10000)</f>
        <v>0</v>
      </c>
      <c r="J1174" s="51">
        <f ca="1">IF($S$1&lt;DATE(2025,5,1)," ",SUMIFS('2025数据'!$BC$3:$BC$181,'2025数据'!$P$3:$P$181,"&gt;="&amp;DATE(2025,5,1),'2025数据'!$P$3:$P$181,"&lt;="&amp;DATE(2025,5,31),'2025数据'!$AE$3:$AE$181,$E1174)/10000)</f>
        <v>0</v>
      </c>
      <c r="K1174" s="51">
        <f ca="1">IF($S$1&lt;DATE(2025,6,1)," ",SUMIFS('2025数据'!$BC$3:$BC$181,'2025数据'!$P$3:$P$181,"&gt;="&amp;DATE(2025,6,1),'2025数据'!$P$3:$P$181,"&lt;="&amp;DATE(2025,6,30),'2025数据'!$AE$3:$AE$181,$E1174)/10000)</f>
        <v>0</v>
      </c>
      <c r="L1174" s="51">
        <f ca="1">IF($S$1&lt;DATE(2025,7,1)," ",SUMIFS('2025数据'!$BC$3:$BC$181,'2025数据'!$P$3:$P$181,"&gt;="&amp;DATE(2025,7,1),'2025数据'!$P$3:$P$181,"&lt;="&amp;DATE(2025,7,31),'2025数据'!$AE$3:$AE$181,$E1174)/10000)</f>
        <v>0</v>
      </c>
      <c r="M1174" s="51">
        <f ca="1">IF($S$1&lt;DATE(2025,8,1)," ",SUMIFS('2025数据'!$BC$3:$BC$181,'2025数据'!$P$3:$P$181,"&gt;="&amp;DATE(2025,8,1),'2025数据'!$P$3:$P$181,"&lt;="&amp;DATE(2025,8,31),'2025数据'!$AE$3:$AE$181,$E1174)/10000)</f>
        <v>0</v>
      </c>
      <c r="N1174" s="51">
        <f ca="1">IF($S$1&lt;DATE(2025,9,1)," ",SUMIFS('2025数据'!$BC$3:$BC$181,'2025数据'!$P$3:$P$181,"&gt;="&amp;DATE(2025,9,1),'2025数据'!$P$3:$P$181,"&lt;="&amp;DATE(2025,9,30),'2025数据'!$AE$3:$AE$181,$E1174)/10000)</f>
        <v>0.309463</v>
      </c>
      <c r="O1174" s="51">
        <f ca="1">IF($S$1&lt;DATE(2025,10,1)," ",SUMIFS('2025数据'!$BC$3:$BC$181,'2025数据'!$P$3:$P$181,"&gt;="&amp;DATE(2025,10,1),'2025数据'!$P$3:$P$181,"&lt;="&amp;DATE(2025,10,31),'2025数据'!$AE$3:$AE$181,$E1174)/10000)</f>
        <v>0</v>
      </c>
      <c r="P1174" s="217">
        <f ca="1">IF($S$1&lt;DATE(2025,11,1)," ",SUMIFS('2025数据'!$BC$3:$BC$181,'2025数据'!$P$3:$P$181,"&gt;="&amp;DATE(2025,11,1),'2025数据'!$P$3:$P$181,"&lt;="&amp;DATE(2025,11,30),'2025数据'!$AE$3:$AE$181,$E1174)/10000)</f>
        <v>0</v>
      </c>
      <c r="Q1174" s="217">
        <f ca="1">IF($S$1&lt;DATE(2025,12,1)," ",SUMIFS('2025数据'!$BC$3:$BC$181,'2025数据'!$P$3:$P$181,"&gt;="&amp;DATE(2025,12,1),'2025数据'!$P$3:$P$181,"&lt;="&amp;DATE(2025,12,31),'2025数据'!$AE$3:$AE$181,$E1174)/10000)</f>
        <v>0</v>
      </c>
    </row>
    <row r="1175" ht="24" customHeight="1" spans="1:17">
      <c r="A1175" s="99" t="s">
        <v>347</v>
      </c>
      <c r="B1175" s="99" t="s">
        <v>299</v>
      </c>
      <c r="C1175" s="99" t="s">
        <v>336</v>
      </c>
      <c r="D1175" s="48" t="s">
        <v>31</v>
      </c>
      <c r="E1175" s="48" t="s">
        <v>82</v>
      </c>
      <c r="F1175" s="51">
        <f ca="1">IF($S$1&lt;DATE(2025,1,1)," ",SUMIFS('2025数据'!$BC$3:$BC$181,'2025数据'!$P$3:$P$181,"&gt;="&amp;DATE(2025,1,1),'2025数据'!$P$3:$P$181,"&lt;="&amp;DATE(2025,1,31),'2025数据'!$AE$3:$AE$181,$E1175)/10000)</f>
        <v>7.642832</v>
      </c>
      <c r="G1175" s="51">
        <f ca="1">IF($S$1&lt;DATE(2025,2,1)," ",SUMIFS('2025数据'!$BC$3:$BC$181,'2025数据'!$P$3:$P$181,"&gt;="&amp;DATE(2025,2,1),'2025数据'!$P$3:$P$181,"&lt;="&amp;DATE(2025,2,28),'2025数据'!$AE$3:$AE$181,$E1175)/10000)</f>
        <v>0</v>
      </c>
      <c r="H1175" s="51">
        <f ca="1">IF($S$1&lt;DATE(2025,3,1)," ",SUMIFS('2025数据'!$BC$3:$BC$181,'2025数据'!$P$3:$P$181,"&gt;="&amp;DATE(2025,3,1),'2025数据'!$P$3:$P$181,"&lt;="&amp;DATE(2025,3,31),'2025数据'!$AE$3:$AE$181,$E1175)/10000)</f>
        <v>0</v>
      </c>
      <c r="I1175" s="51">
        <f ca="1">IF($S$1&lt;DATE(2025,4,1)," ",SUMIFS('2025数据'!$BC$3:$BC$181,'2025数据'!$P$3:$P$181,"&gt;="&amp;DATE(2025,4,1),'2025数据'!$P$3:$P$181,"&lt;="&amp;DATE(2025,4,30),'2025数据'!$AE$3:$AE$181,$E1175)/10000)</f>
        <v>0</v>
      </c>
      <c r="J1175" s="51">
        <f ca="1">IF($S$1&lt;DATE(2025,5,1)," ",SUMIFS('2025数据'!$BC$3:$BC$181,'2025数据'!$P$3:$P$181,"&gt;="&amp;DATE(2025,5,1),'2025数据'!$P$3:$P$181,"&lt;="&amp;DATE(2025,5,31),'2025数据'!$AE$3:$AE$181,$E1175)/10000)</f>
        <v>0</v>
      </c>
      <c r="K1175" s="51">
        <f ca="1">IF($S$1&lt;DATE(2025,6,1)," ",SUMIFS('2025数据'!$BC$3:$BC$181,'2025数据'!$P$3:$P$181,"&gt;="&amp;DATE(2025,6,1),'2025数据'!$P$3:$P$181,"&lt;="&amp;DATE(2025,6,30),'2025数据'!$AE$3:$AE$181,$E1175)/10000)</f>
        <v>4.284939</v>
      </c>
      <c r="L1175" s="51">
        <f ca="1">IF($S$1&lt;DATE(2025,7,1)," ",SUMIFS('2025数据'!$BC$3:$BC$181,'2025数据'!$P$3:$P$181,"&gt;="&amp;DATE(2025,7,1),'2025数据'!$P$3:$P$181,"&lt;="&amp;DATE(2025,7,31),'2025数据'!$AE$3:$AE$181,$E1175)/10000)</f>
        <v>0</v>
      </c>
      <c r="M1175" s="51">
        <f ca="1">IF($S$1&lt;DATE(2025,8,1)," ",SUMIFS('2025数据'!$BC$3:$BC$181,'2025数据'!$P$3:$P$181,"&gt;="&amp;DATE(2025,8,1),'2025数据'!$P$3:$P$181,"&lt;="&amp;DATE(2025,8,31),'2025数据'!$AE$3:$AE$181,$E1175)/10000)</f>
        <v>0</v>
      </c>
      <c r="N1175" s="51">
        <f ca="1">IF($S$1&lt;DATE(2025,9,1)," ",SUMIFS('2025数据'!$BC$3:$BC$181,'2025数据'!$P$3:$P$181,"&gt;="&amp;DATE(2025,9,1),'2025数据'!$P$3:$P$181,"&lt;="&amp;DATE(2025,9,30),'2025数据'!$AE$3:$AE$181,$E1175)/10000)</f>
        <v>0.375675</v>
      </c>
      <c r="O1175" s="51">
        <f ca="1">IF($S$1&lt;DATE(2025,10,1)," ",SUMIFS('2025数据'!$BC$3:$BC$181,'2025数据'!$P$3:$P$181,"&gt;="&amp;DATE(2025,10,1),'2025数据'!$P$3:$P$181,"&lt;="&amp;DATE(2025,10,31),'2025数据'!$AE$3:$AE$181,$E1175)/10000)</f>
        <v>0</v>
      </c>
      <c r="P1175" s="217">
        <f ca="1">IF($S$1&lt;DATE(2025,11,1)," ",SUMIFS('2025数据'!$BC$3:$BC$181,'2025数据'!$P$3:$P$181,"&gt;="&amp;DATE(2025,11,1),'2025数据'!$P$3:$P$181,"&lt;="&amp;DATE(2025,11,30),'2025数据'!$AE$3:$AE$181,$E1175)/10000)</f>
        <v>0</v>
      </c>
      <c r="Q1175" s="217">
        <f ca="1">IF($S$1&lt;DATE(2025,12,1)," ",SUMIFS('2025数据'!$BC$3:$BC$181,'2025数据'!$P$3:$P$181,"&gt;="&amp;DATE(2025,12,1),'2025数据'!$P$3:$P$181,"&lt;="&amp;DATE(2025,12,31),'2025数据'!$AE$3:$AE$181,$E1175)/10000)</f>
        <v>0</v>
      </c>
    </row>
    <row r="1176" ht="24" customHeight="1" spans="1:17">
      <c r="A1176" s="99" t="s">
        <v>347</v>
      </c>
      <c r="B1176" s="99" t="s">
        <v>299</v>
      </c>
      <c r="C1176" s="99" t="s">
        <v>336</v>
      </c>
      <c r="D1176" s="48" t="s">
        <v>31</v>
      </c>
      <c r="E1176" s="48" t="s">
        <v>86</v>
      </c>
      <c r="F1176" s="51">
        <f ca="1">IF($S$1&lt;DATE(2025,1,1)," ",SUMIFS('2025数据'!$BC$3:$BC$181,'2025数据'!$P$3:$P$181,"&gt;="&amp;DATE(2025,1,1),'2025数据'!$P$3:$P$181,"&lt;="&amp;DATE(2025,1,31),'2025数据'!$AE$3:$AE$181,$E1176)/10000)</f>
        <v>0</v>
      </c>
      <c r="G1176" s="51">
        <f ca="1">IF($S$1&lt;DATE(2025,2,1)," ",SUMIFS('2025数据'!$BC$3:$BC$181,'2025数据'!$P$3:$P$181,"&gt;="&amp;DATE(2025,2,1),'2025数据'!$P$3:$P$181,"&lt;="&amp;DATE(2025,2,28),'2025数据'!$AE$3:$AE$181,$E1176)/10000)</f>
        <v>0</v>
      </c>
      <c r="H1176" s="51">
        <f ca="1">IF($S$1&lt;DATE(2025,3,1)," ",SUMIFS('2025数据'!$BC$3:$BC$181,'2025数据'!$P$3:$P$181,"&gt;="&amp;DATE(2025,3,1),'2025数据'!$P$3:$P$181,"&lt;="&amp;DATE(2025,3,31),'2025数据'!$AE$3:$AE$181,$E1176)/10000)</f>
        <v>0</v>
      </c>
      <c r="I1176" s="51">
        <f ca="1">IF($S$1&lt;DATE(2025,4,1)," ",SUMIFS('2025数据'!$BC$3:$BC$181,'2025数据'!$P$3:$P$181,"&gt;="&amp;DATE(2025,4,1),'2025数据'!$P$3:$P$181,"&lt;="&amp;DATE(2025,4,30),'2025数据'!$AE$3:$AE$181,$E1176)/10000)</f>
        <v>0</v>
      </c>
      <c r="J1176" s="51">
        <f ca="1">IF($S$1&lt;DATE(2025,5,1)," ",SUMIFS('2025数据'!$BC$3:$BC$181,'2025数据'!$P$3:$P$181,"&gt;="&amp;DATE(2025,5,1),'2025数据'!$P$3:$P$181,"&lt;="&amp;DATE(2025,5,31),'2025数据'!$AE$3:$AE$181,$E1176)/10000)</f>
        <v>0</v>
      </c>
      <c r="K1176" s="51">
        <f ca="1">IF($S$1&lt;DATE(2025,6,1)," ",SUMIFS('2025数据'!$BC$3:$BC$181,'2025数据'!$P$3:$P$181,"&gt;="&amp;DATE(2025,6,1),'2025数据'!$P$3:$P$181,"&lt;="&amp;DATE(2025,6,30),'2025数据'!$AE$3:$AE$181,$E1176)/10000)</f>
        <v>0</v>
      </c>
      <c r="L1176" s="51">
        <f ca="1">IF($S$1&lt;DATE(2025,7,1)," ",SUMIFS('2025数据'!$BC$3:$BC$181,'2025数据'!$P$3:$P$181,"&gt;="&amp;DATE(2025,7,1),'2025数据'!$P$3:$P$181,"&lt;="&amp;DATE(2025,7,31),'2025数据'!$AE$3:$AE$181,$E1176)/10000)</f>
        <v>0.372132</v>
      </c>
      <c r="M1176" s="51">
        <f ca="1">IF($S$1&lt;DATE(2025,8,1)," ",SUMIFS('2025数据'!$BC$3:$BC$181,'2025数据'!$P$3:$P$181,"&gt;="&amp;DATE(2025,8,1),'2025数据'!$P$3:$P$181,"&lt;="&amp;DATE(2025,8,31),'2025数据'!$AE$3:$AE$181,$E1176)/10000)</f>
        <v>0</v>
      </c>
      <c r="N1176" s="51">
        <f ca="1">IF($S$1&lt;DATE(2025,9,1)," ",SUMIFS('2025数据'!$BC$3:$BC$181,'2025数据'!$P$3:$P$181,"&gt;="&amp;DATE(2025,9,1),'2025数据'!$P$3:$P$181,"&lt;="&amp;DATE(2025,9,30),'2025数据'!$AE$3:$AE$181,$E1176)/10000)</f>
        <v>0</v>
      </c>
      <c r="O1176" s="51">
        <f ca="1">IF($S$1&lt;DATE(2025,10,1)," ",SUMIFS('2025数据'!$BC$3:$BC$181,'2025数据'!$P$3:$P$181,"&gt;="&amp;DATE(2025,10,1),'2025数据'!$P$3:$P$181,"&lt;="&amp;DATE(2025,10,31),'2025数据'!$AE$3:$AE$181,$E1176)/10000)</f>
        <v>0</v>
      </c>
      <c r="P1176" s="217">
        <f ca="1">IF($S$1&lt;DATE(2025,11,1)," ",SUMIFS('2025数据'!$BC$3:$BC$181,'2025数据'!$P$3:$P$181,"&gt;="&amp;DATE(2025,11,1),'2025数据'!$P$3:$P$181,"&lt;="&amp;DATE(2025,11,30),'2025数据'!$AE$3:$AE$181,$E1176)/10000)</f>
        <v>0</v>
      </c>
      <c r="Q1176" s="217">
        <f ca="1">IF($S$1&lt;DATE(2025,12,1)," ",SUMIFS('2025数据'!$BC$3:$BC$181,'2025数据'!$P$3:$P$181,"&gt;="&amp;DATE(2025,12,1),'2025数据'!$P$3:$P$181,"&lt;="&amp;DATE(2025,12,31),'2025数据'!$AE$3:$AE$181,$E1176)/10000)</f>
        <v>0</v>
      </c>
    </row>
    <row r="1177" ht="24" customHeight="1" spans="1:17">
      <c r="A1177" s="99" t="s">
        <v>347</v>
      </c>
      <c r="B1177" s="99" t="s">
        <v>299</v>
      </c>
      <c r="C1177" s="99" t="s">
        <v>336</v>
      </c>
      <c r="D1177" s="48" t="s">
        <v>31</v>
      </c>
      <c r="E1177" s="48" t="s">
        <v>97</v>
      </c>
      <c r="F1177" s="51">
        <f ca="1">IF($S$1&lt;DATE(2025,1,1)," ",SUMIFS('2025数据'!$BC$3:$BC$181,'2025数据'!$P$3:$P$181,"&gt;="&amp;DATE(2025,1,1),'2025数据'!$P$3:$P$181,"&lt;="&amp;DATE(2025,1,31),'2025数据'!$AE$3:$AE$181,$E1177)/10000)</f>
        <v>0</v>
      </c>
      <c r="G1177" s="51">
        <f ca="1">IF($S$1&lt;DATE(2025,2,1)," ",SUMIFS('2025数据'!$BC$3:$BC$181,'2025数据'!$P$3:$P$181,"&gt;="&amp;DATE(2025,2,1),'2025数据'!$P$3:$P$181,"&lt;="&amp;DATE(2025,2,28),'2025数据'!$AE$3:$AE$181,$E1177)/10000)</f>
        <v>0</v>
      </c>
      <c r="H1177" s="51">
        <f ca="1">IF($S$1&lt;DATE(2025,3,1)," ",SUMIFS('2025数据'!$BC$3:$BC$181,'2025数据'!$P$3:$P$181,"&gt;="&amp;DATE(2025,3,1),'2025数据'!$P$3:$P$181,"&lt;="&amp;DATE(2025,3,31),'2025数据'!$AE$3:$AE$181,$E1177)/10000)</f>
        <v>0</v>
      </c>
      <c r="I1177" s="51">
        <f ca="1">IF($S$1&lt;DATE(2025,4,1)," ",SUMIFS('2025数据'!$BC$3:$BC$181,'2025数据'!$P$3:$P$181,"&gt;="&amp;DATE(2025,4,1),'2025数据'!$P$3:$P$181,"&lt;="&amp;DATE(2025,4,30),'2025数据'!$AE$3:$AE$181,$E1177)/10000)</f>
        <v>0.1466</v>
      </c>
      <c r="J1177" s="51">
        <f ca="1">IF($S$1&lt;DATE(2025,5,1)," ",SUMIFS('2025数据'!$BC$3:$BC$181,'2025数据'!$P$3:$P$181,"&gt;="&amp;DATE(2025,5,1),'2025数据'!$P$3:$P$181,"&lt;="&amp;DATE(2025,5,31),'2025数据'!$AE$3:$AE$181,$E1177)/10000)</f>
        <v>0</v>
      </c>
      <c r="K1177" s="51">
        <f ca="1">IF($S$1&lt;DATE(2025,6,1)," ",SUMIFS('2025数据'!$BC$3:$BC$181,'2025数据'!$P$3:$P$181,"&gt;="&amp;DATE(2025,6,1),'2025数据'!$P$3:$P$181,"&lt;="&amp;DATE(2025,6,30),'2025数据'!$AE$3:$AE$181,$E1177)/10000)</f>
        <v>0</v>
      </c>
      <c r="L1177" s="51">
        <f ca="1">IF($S$1&lt;DATE(2025,7,1)," ",SUMIFS('2025数据'!$BC$3:$BC$181,'2025数据'!$P$3:$P$181,"&gt;="&amp;DATE(2025,7,1),'2025数据'!$P$3:$P$181,"&lt;="&amp;DATE(2025,7,31),'2025数据'!$AE$3:$AE$181,$E1177)/10000)</f>
        <v>0</v>
      </c>
      <c r="M1177" s="51">
        <f ca="1">IF($S$1&lt;DATE(2025,8,1)," ",SUMIFS('2025数据'!$BC$3:$BC$181,'2025数据'!$P$3:$P$181,"&gt;="&amp;DATE(2025,8,1),'2025数据'!$P$3:$P$181,"&lt;="&amp;DATE(2025,8,31),'2025数据'!$AE$3:$AE$181,$E1177)/10000)</f>
        <v>0</v>
      </c>
      <c r="N1177" s="51">
        <f ca="1">IF($S$1&lt;DATE(2025,9,1)," ",SUMIFS('2025数据'!$BC$3:$BC$181,'2025数据'!$P$3:$P$181,"&gt;="&amp;DATE(2025,9,1),'2025数据'!$P$3:$P$181,"&lt;="&amp;DATE(2025,9,30),'2025数据'!$AE$3:$AE$181,$E1177)/10000)</f>
        <v>4.103857</v>
      </c>
      <c r="O1177" s="51">
        <f ca="1">IF($S$1&lt;DATE(2025,10,1)," ",SUMIFS('2025数据'!$BC$3:$BC$181,'2025数据'!$P$3:$P$181,"&gt;="&amp;DATE(2025,10,1),'2025数据'!$P$3:$P$181,"&lt;="&amp;DATE(2025,10,31),'2025数据'!$AE$3:$AE$181,$E1177)/10000)</f>
        <v>0</v>
      </c>
      <c r="P1177" s="217">
        <f ca="1">IF($S$1&lt;DATE(2025,11,1)," ",SUMIFS('2025数据'!$BC$3:$BC$181,'2025数据'!$P$3:$P$181,"&gt;="&amp;DATE(2025,11,1),'2025数据'!$P$3:$P$181,"&lt;="&amp;DATE(2025,11,30),'2025数据'!$AE$3:$AE$181,$E1177)/10000)</f>
        <v>0.138068</v>
      </c>
      <c r="Q1177" s="217">
        <f ca="1">IF($S$1&lt;DATE(2025,12,1)," ",SUMIFS('2025数据'!$BC$3:$BC$181,'2025数据'!$P$3:$P$181,"&gt;="&amp;DATE(2025,12,1),'2025数据'!$P$3:$P$181,"&lt;="&amp;DATE(2025,12,31),'2025数据'!$AE$3:$AE$181,$E1177)/10000)</f>
        <v>0</v>
      </c>
    </row>
    <row r="1178" ht="24" customHeight="1" spans="1:17">
      <c r="A1178" s="99" t="s">
        <v>347</v>
      </c>
      <c r="B1178" s="99" t="s">
        <v>299</v>
      </c>
      <c r="C1178" s="99" t="s">
        <v>336</v>
      </c>
      <c r="D1178" s="48" t="s">
        <v>31</v>
      </c>
      <c r="E1178" s="48" t="s">
        <v>87</v>
      </c>
      <c r="F1178" s="51">
        <f ca="1">IF($S$1&lt;DATE(2025,1,1)," ",SUMIFS('2025数据'!$BC$3:$BC$181,'2025数据'!$P$3:$P$181,"&gt;="&amp;DATE(2025,1,1),'2025数据'!$P$3:$P$181,"&lt;="&amp;DATE(2025,1,31),'2025数据'!$AE$3:$AE$181,$E1178)/10000)</f>
        <v>0</v>
      </c>
      <c r="G1178" s="51">
        <f ca="1">IF($S$1&lt;DATE(2025,2,1)," ",SUMIFS('2025数据'!$BC$3:$BC$181,'2025数据'!$P$3:$P$181,"&gt;="&amp;DATE(2025,2,1),'2025数据'!$P$3:$P$181,"&lt;="&amp;DATE(2025,2,28),'2025数据'!$AE$3:$AE$181,$E1178)/10000)</f>
        <v>0</v>
      </c>
      <c r="H1178" s="51">
        <f ca="1">IF($S$1&lt;DATE(2025,3,1)," ",SUMIFS('2025数据'!$BC$3:$BC$181,'2025数据'!$P$3:$P$181,"&gt;="&amp;DATE(2025,3,1),'2025数据'!$P$3:$P$181,"&lt;="&amp;DATE(2025,3,31),'2025数据'!$AE$3:$AE$181,$E1178)/10000)</f>
        <v>0</v>
      </c>
      <c r="I1178" s="51">
        <f ca="1">IF($S$1&lt;DATE(2025,4,1)," ",SUMIFS('2025数据'!$BC$3:$BC$181,'2025数据'!$P$3:$P$181,"&gt;="&amp;DATE(2025,4,1),'2025数据'!$P$3:$P$181,"&lt;="&amp;DATE(2025,4,30),'2025数据'!$AE$3:$AE$181,$E1178)/10000)</f>
        <v>0</v>
      </c>
      <c r="J1178" s="51">
        <f ca="1">IF($S$1&lt;DATE(2025,5,1)," ",SUMIFS('2025数据'!$BC$3:$BC$181,'2025数据'!$P$3:$P$181,"&gt;="&amp;DATE(2025,5,1),'2025数据'!$P$3:$P$181,"&lt;="&amp;DATE(2025,5,31),'2025数据'!$AE$3:$AE$181,$E1178)/10000)</f>
        <v>0</v>
      </c>
      <c r="K1178" s="51">
        <f ca="1">IF($S$1&lt;DATE(2025,6,1)," ",SUMIFS('2025数据'!$BC$3:$BC$181,'2025数据'!$P$3:$P$181,"&gt;="&amp;DATE(2025,6,1),'2025数据'!$P$3:$P$181,"&lt;="&amp;DATE(2025,6,30),'2025数据'!$AE$3:$AE$181,$E1178)/10000)</f>
        <v>0</v>
      </c>
      <c r="L1178" s="51">
        <f ca="1">IF($S$1&lt;DATE(2025,7,1)," ",SUMIFS('2025数据'!$BC$3:$BC$181,'2025数据'!$P$3:$P$181,"&gt;="&amp;DATE(2025,7,1),'2025数据'!$P$3:$P$181,"&lt;="&amp;DATE(2025,7,31),'2025数据'!$AE$3:$AE$181,$E1178)/10000)</f>
        <v>0</v>
      </c>
      <c r="M1178" s="51">
        <f ca="1">IF($S$1&lt;DATE(2025,8,1)," ",SUMIFS('2025数据'!$BC$3:$BC$181,'2025数据'!$P$3:$P$181,"&gt;="&amp;DATE(2025,8,1),'2025数据'!$P$3:$P$181,"&lt;="&amp;DATE(2025,8,31),'2025数据'!$AE$3:$AE$181,$E1178)/10000)</f>
        <v>0</v>
      </c>
      <c r="N1178" s="51">
        <f ca="1">IF($S$1&lt;DATE(2025,9,1)," ",SUMIFS('2025数据'!$BC$3:$BC$181,'2025数据'!$P$3:$P$181,"&gt;="&amp;DATE(2025,9,1),'2025数据'!$P$3:$P$181,"&lt;="&amp;DATE(2025,9,30),'2025数据'!$AE$3:$AE$181,$E1178)/10000)</f>
        <v>0</v>
      </c>
      <c r="O1178" s="51">
        <f ca="1">IF($S$1&lt;DATE(2025,10,1)," ",SUMIFS('2025数据'!$BC$3:$BC$181,'2025数据'!$P$3:$P$181,"&gt;="&amp;DATE(2025,10,1),'2025数据'!$P$3:$P$181,"&lt;="&amp;DATE(2025,10,31),'2025数据'!$AE$3:$AE$181,$E1178)/10000)</f>
        <v>0</v>
      </c>
      <c r="P1178" s="217">
        <f ca="1">IF($S$1&lt;DATE(2025,11,1)," ",SUMIFS('2025数据'!$BC$3:$BC$181,'2025数据'!$P$3:$P$181,"&gt;="&amp;DATE(2025,11,1),'2025数据'!$P$3:$P$181,"&lt;="&amp;DATE(2025,11,30),'2025数据'!$AE$3:$AE$181,$E1178)/10000)</f>
        <v>0</v>
      </c>
      <c r="Q1178" s="217">
        <f ca="1">IF($S$1&lt;DATE(2025,12,1)," ",SUMIFS('2025数据'!$BC$3:$BC$181,'2025数据'!$P$3:$P$181,"&gt;="&amp;DATE(2025,12,1),'2025数据'!$P$3:$P$181,"&lt;="&amp;DATE(2025,12,31),'2025数据'!$AE$3:$AE$181,$E1178)/10000)</f>
        <v>0</v>
      </c>
    </row>
    <row r="1179" ht="24" customHeight="1" spans="1:17">
      <c r="A1179" s="99" t="s">
        <v>347</v>
      </c>
      <c r="B1179" s="99" t="s">
        <v>299</v>
      </c>
      <c r="C1179" s="99" t="s">
        <v>336</v>
      </c>
      <c r="D1179" s="48" t="s">
        <v>31</v>
      </c>
      <c r="E1179" s="48" t="s">
        <v>149</v>
      </c>
      <c r="F1179" s="51">
        <f ca="1">IF($S$1&lt;DATE(2025,1,1)," ",SUMIFS('2025数据'!$BC$3:$BC$181,'2025数据'!$P$3:$P$181,"&gt;="&amp;DATE(2025,1,1),'2025数据'!$P$3:$P$181,"&lt;="&amp;DATE(2025,1,31),'2025数据'!$AE$3:$AE$181,$E1179)/10000)</f>
        <v>0</v>
      </c>
      <c r="G1179" s="51">
        <f ca="1">IF($S$1&lt;DATE(2025,2,1)," ",SUMIFS('2025数据'!$BC$3:$BC$181,'2025数据'!$P$3:$P$181,"&gt;="&amp;DATE(2025,2,1),'2025数据'!$P$3:$P$181,"&lt;="&amp;DATE(2025,2,28),'2025数据'!$AE$3:$AE$181,$E1179)/10000)</f>
        <v>0</v>
      </c>
      <c r="H1179" s="51">
        <f ca="1">IF($S$1&lt;DATE(2025,3,1)," ",SUMIFS('2025数据'!$BC$3:$BC$181,'2025数据'!$P$3:$P$181,"&gt;="&amp;DATE(2025,3,1),'2025数据'!$P$3:$P$181,"&lt;="&amp;DATE(2025,3,31),'2025数据'!$AE$3:$AE$181,$E1179)/10000)</f>
        <v>0</v>
      </c>
      <c r="I1179" s="51">
        <f ca="1">IF($S$1&lt;DATE(2025,4,1)," ",SUMIFS('2025数据'!$BC$3:$BC$181,'2025数据'!$P$3:$P$181,"&gt;="&amp;DATE(2025,4,1),'2025数据'!$P$3:$P$181,"&lt;="&amp;DATE(2025,4,30),'2025数据'!$AE$3:$AE$181,$E1179)/10000)</f>
        <v>0</v>
      </c>
      <c r="J1179" s="51">
        <f ca="1">IF($S$1&lt;DATE(2025,5,1)," ",SUMIFS('2025数据'!$BC$3:$BC$181,'2025数据'!$P$3:$P$181,"&gt;="&amp;DATE(2025,5,1),'2025数据'!$P$3:$P$181,"&lt;="&amp;DATE(2025,5,31),'2025数据'!$AE$3:$AE$181,$E1179)/10000)</f>
        <v>0</v>
      </c>
      <c r="K1179" s="51">
        <f ca="1">IF($S$1&lt;DATE(2025,6,1)," ",SUMIFS('2025数据'!$BC$3:$BC$181,'2025数据'!$P$3:$P$181,"&gt;="&amp;DATE(2025,6,1),'2025数据'!$P$3:$P$181,"&lt;="&amp;DATE(2025,6,30),'2025数据'!$AE$3:$AE$181,$E1179)/10000)</f>
        <v>0</v>
      </c>
      <c r="L1179" s="51">
        <f ca="1">IF($S$1&lt;DATE(2025,7,1)," ",SUMIFS('2025数据'!$BC$3:$BC$181,'2025数据'!$P$3:$P$181,"&gt;="&amp;DATE(2025,7,1),'2025数据'!$P$3:$P$181,"&lt;="&amp;DATE(2025,7,31),'2025数据'!$AE$3:$AE$181,$E1179)/10000)</f>
        <v>0</v>
      </c>
      <c r="M1179" s="51">
        <f ca="1">IF($S$1&lt;DATE(2025,8,1)," ",SUMIFS('2025数据'!$BC$3:$BC$181,'2025数据'!$P$3:$P$181,"&gt;="&amp;DATE(2025,8,1),'2025数据'!$P$3:$P$181,"&lt;="&amp;DATE(2025,8,31),'2025数据'!$AE$3:$AE$181,$E1179)/10000)</f>
        <v>5.06199</v>
      </c>
      <c r="N1179" s="51">
        <f ca="1">IF($S$1&lt;DATE(2025,9,1)," ",SUMIFS('2025数据'!$BC$3:$BC$181,'2025数据'!$P$3:$P$181,"&gt;="&amp;DATE(2025,9,1),'2025数据'!$P$3:$P$181,"&lt;="&amp;DATE(2025,9,30),'2025数据'!$AE$3:$AE$181,$E1179)/10000)</f>
        <v>0</v>
      </c>
      <c r="O1179" s="51">
        <f ca="1">IF($S$1&lt;DATE(2025,10,1)," ",SUMIFS('2025数据'!$BC$3:$BC$181,'2025数据'!$P$3:$P$181,"&gt;="&amp;DATE(2025,10,1),'2025数据'!$P$3:$P$181,"&lt;="&amp;DATE(2025,10,31),'2025数据'!$AE$3:$AE$181,$E1179)/10000)</f>
        <v>0</v>
      </c>
      <c r="P1179" s="217">
        <f ca="1">IF($S$1&lt;DATE(2025,11,1)," ",SUMIFS('2025数据'!$BC$3:$BC$181,'2025数据'!$P$3:$P$181,"&gt;="&amp;DATE(2025,11,1),'2025数据'!$P$3:$P$181,"&lt;="&amp;DATE(2025,11,30),'2025数据'!$AE$3:$AE$181,$E1179)/10000)</f>
        <v>0</v>
      </c>
      <c r="Q1179" s="217">
        <f ca="1">IF($S$1&lt;DATE(2025,12,1)," ",SUMIFS('2025数据'!$BC$3:$BC$181,'2025数据'!$P$3:$P$181,"&gt;="&amp;DATE(2025,12,1),'2025数据'!$P$3:$P$181,"&lt;="&amp;DATE(2025,12,31),'2025数据'!$AE$3:$AE$181,$E1179)/10000)</f>
        <v>0</v>
      </c>
    </row>
    <row r="1180" ht="24" customHeight="1" spans="1:17">
      <c r="A1180" s="99" t="s">
        <v>347</v>
      </c>
      <c r="B1180" s="99" t="s">
        <v>299</v>
      </c>
      <c r="C1180" s="99" t="s">
        <v>336</v>
      </c>
      <c r="D1180" s="48" t="s">
        <v>31</v>
      </c>
      <c r="E1180" s="48" t="s">
        <v>83</v>
      </c>
      <c r="F1180" s="51">
        <f ca="1">IF($S$1&lt;DATE(2025,1,1)," ",SUMIFS('2025数据'!$BC$3:$BC$181,'2025数据'!$P$3:$P$181,"&gt;="&amp;DATE(2025,1,1),'2025数据'!$P$3:$P$181,"&lt;="&amp;DATE(2025,1,31),'2025数据'!$AE$3:$AE$181,$E1180)/10000)</f>
        <v>0</v>
      </c>
      <c r="G1180" s="51">
        <f ca="1">IF($S$1&lt;DATE(2025,2,1)," ",SUMIFS('2025数据'!$BC$3:$BC$181,'2025数据'!$P$3:$P$181,"&gt;="&amp;DATE(2025,2,1),'2025数据'!$P$3:$P$181,"&lt;="&amp;DATE(2025,2,28),'2025数据'!$AE$3:$AE$181,$E1180)/10000)</f>
        <v>0</v>
      </c>
      <c r="H1180" s="51">
        <f ca="1">IF($S$1&lt;DATE(2025,3,1)," ",SUMIFS('2025数据'!$BC$3:$BC$181,'2025数据'!$P$3:$P$181,"&gt;="&amp;DATE(2025,3,1),'2025数据'!$P$3:$P$181,"&lt;="&amp;DATE(2025,3,31),'2025数据'!$AE$3:$AE$181,$E1180)/10000)</f>
        <v>0</v>
      </c>
      <c r="I1180" s="51">
        <f ca="1">IF($S$1&lt;DATE(2025,4,1)," ",SUMIFS('2025数据'!$BC$3:$BC$181,'2025数据'!$P$3:$P$181,"&gt;="&amp;DATE(2025,4,1),'2025数据'!$P$3:$P$181,"&lt;="&amp;DATE(2025,4,30),'2025数据'!$AE$3:$AE$181,$E1180)/10000)</f>
        <v>0</v>
      </c>
      <c r="J1180" s="51">
        <f ca="1">IF($S$1&lt;DATE(2025,5,1)," ",SUMIFS('2025数据'!$BC$3:$BC$181,'2025数据'!$P$3:$P$181,"&gt;="&amp;DATE(2025,5,1),'2025数据'!$P$3:$P$181,"&lt;="&amp;DATE(2025,5,31),'2025数据'!$AE$3:$AE$181,$E1180)/10000)</f>
        <v>0</v>
      </c>
      <c r="K1180" s="51">
        <f ca="1">IF($S$1&lt;DATE(2025,6,1)," ",SUMIFS('2025数据'!$BC$3:$BC$181,'2025数据'!$P$3:$P$181,"&gt;="&amp;DATE(2025,6,1),'2025数据'!$P$3:$P$181,"&lt;="&amp;DATE(2025,6,30),'2025数据'!$AE$3:$AE$181,$E1180)/10000)</f>
        <v>0</v>
      </c>
      <c r="L1180" s="51">
        <f ca="1">IF($S$1&lt;DATE(2025,7,1)," ",SUMIFS('2025数据'!$BC$3:$BC$181,'2025数据'!$P$3:$P$181,"&gt;="&amp;DATE(2025,7,1),'2025数据'!$P$3:$P$181,"&lt;="&amp;DATE(2025,7,31),'2025数据'!$AE$3:$AE$181,$E1180)/10000)</f>
        <v>0</v>
      </c>
      <c r="M1180" s="51">
        <f ca="1">IF($S$1&lt;DATE(2025,8,1)," ",SUMIFS('2025数据'!$BC$3:$BC$181,'2025数据'!$P$3:$P$181,"&gt;="&amp;DATE(2025,8,1),'2025数据'!$P$3:$P$181,"&lt;="&amp;DATE(2025,8,31),'2025数据'!$AE$3:$AE$181,$E1180)/10000)</f>
        <v>0</v>
      </c>
      <c r="N1180" s="51">
        <f ca="1">IF($S$1&lt;DATE(2025,9,1)," ",SUMIFS('2025数据'!$BC$3:$BC$181,'2025数据'!$P$3:$P$181,"&gt;="&amp;DATE(2025,9,1),'2025数据'!$P$3:$P$181,"&lt;="&amp;DATE(2025,9,30),'2025数据'!$AE$3:$AE$181,$E1180)/10000)</f>
        <v>0</v>
      </c>
      <c r="O1180" s="51">
        <f ca="1">IF($S$1&lt;DATE(2025,10,1)," ",SUMIFS('2025数据'!$BC$3:$BC$181,'2025数据'!$P$3:$P$181,"&gt;="&amp;DATE(2025,10,1),'2025数据'!$P$3:$P$181,"&lt;="&amp;DATE(2025,10,31),'2025数据'!$AE$3:$AE$181,$E1180)/10000)</f>
        <v>0</v>
      </c>
      <c r="P1180" s="217">
        <f ca="1">IF($S$1&lt;DATE(2025,11,1)," ",SUMIFS('2025数据'!$BC$3:$BC$181,'2025数据'!$P$3:$P$181,"&gt;="&amp;DATE(2025,11,1),'2025数据'!$P$3:$P$181,"&lt;="&amp;DATE(2025,11,30),'2025数据'!$AE$3:$AE$181,$E1180)/10000)</f>
        <v>0</v>
      </c>
      <c r="Q1180" s="217">
        <f ca="1">IF($S$1&lt;DATE(2025,12,1)," ",SUMIFS('2025数据'!$BC$3:$BC$181,'2025数据'!$P$3:$P$181,"&gt;="&amp;DATE(2025,12,1),'2025数据'!$P$3:$P$181,"&lt;="&amp;DATE(2025,12,31),'2025数据'!$AE$3:$AE$181,$E1180)/10000)</f>
        <v>0</v>
      </c>
    </row>
    <row r="1181" ht="24" customHeight="1" spans="1:17">
      <c r="A1181" s="99" t="s">
        <v>347</v>
      </c>
      <c r="B1181" s="99" t="s">
        <v>299</v>
      </c>
      <c r="C1181" s="99" t="s">
        <v>336</v>
      </c>
      <c r="D1181" s="47" t="s">
        <v>294</v>
      </c>
      <c r="E1181" s="47" t="s">
        <v>93</v>
      </c>
      <c r="F1181" s="51">
        <f ca="1">IF($S$1&lt;DATE(2025,1,1)," ",SUMIFS('2025数据'!$BC$3:$BC$181,'2025数据'!$P$3:$P$181,"&gt;="&amp;DATE(2025,1,1),'2025数据'!$P$3:$P$181,"&lt;="&amp;DATE(2025,1,31),'2025数据'!$B$3:$B$181,$E1181)/10000)</f>
        <v>7.642832</v>
      </c>
      <c r="G1181" s="51">
        <f ca="1">IF($S$1&lt;DATE(2025,2,1)," ",SUMIFS('2025数据'!$BC$3:$BC$181,'2025数据'!$P$3:$P$181,"&gt;="&amp;DATE(2025,2,1),'2025数据'!$P$3:$P$181,"&lt;="&amp;DATE(2025,2,28),'2025数据'!$B$3:$B$181,$E1181)/10000)</f>
        <v>0</v>
      </c>
      <c r="H1181" s="51">
        <f ca="1">IF($S$1&lt;DATE(2025,3,1)," ",SUMIFS('2025数据'!$BC$3:$BC$181,'2025数据'!$P$3:$P$181,"&gt;="&amp;DATE(2025,3,1),'2025数据'!$P$3:$P$181,"&lt;="&amp;DATE(2025,3,31),'2025数据'!$B$3:$B$181,$E1181)/10000)</f>
        <v>0</v>
      </c>
      <c r="I1181" s="51">
        <f ca="1">IF($S$1&lt;DATE(2025,4,1)," ",SUMIFS('2025数据'!$BC$3:$BC$181,'2025数据'!$P$3:$P$181,"&gt;="&amp;DATE(2025,4,1),'2025数据'!$P$3:$P$181,"&lt;="&amp;DATE(2025,4,30),'2025数据'!$B$3:$B$181,$E1181)/10000)</f>
        <v>0</v>
      </c>
      <c r="J1181" s="51">
        <f ca="1">IF($S$1&lt;DATE(2025,5,1)," ",SUMIFS('2025数据'!$BC$3:$BC$181,'2025数据'!$P$3:$P$181,"&gt;="&amp;DATE(2025,5,1),'2025数据'!$P$3:$P$181,"&lt;="&amp;DATE(2025,5,31),'2025数据'!$B$3:$B$181,$E1181)/10000)</f>
        <v>0</v>
      </c>
      <c r="K1181" s="51">
        <f ca="1">IF($S$1&lt;DATE(2025,6,1)," ",SUMIFS('2025数据'!$BC$3:$BC$181,'2025数据'!$P$3:$P$181,"&gt;="&amp;DATE(2025,6,1),'2025数据'!$P$3:$P$181,"&lt;="&amp;DATE(2025,6,30),'2025数据'!$B$3:$B$181,$E1181)/10000)</f>
        <v>1.710533</v>
      </c>
      <c r="L1181" s="51">
        <f ca="1">IF($S$1&lt;DATE(2025,7,1)," ",SUMIFS('2025数据'!$BC$3:$BC$181,'2025数据'!$P$3:$P$181,"&gt;="&amp;DATE(2025,7,1),'2025数据'!$P$3:$P$181,"&lt;="&amp;DATE(2025,7,31),'2025数据'!$B$3:$B$181,$E1181)/10000)</f>
        <v>0.372132</v>
      </c>
      <c r="M1181" s="51">
        <f ca="1">IF($S$1&lt;DATE(2025,8,1)," ",SUMIFS('2025数据'!$BC$3:$BC$181,'2025数据'!$P$3:$P$181,"&gt;="&amp;DATE(2025,8,1),'2025数据'!$P$3:$P$181,"&lt;="&amp;DATE(2025,8,31),'2025数据'!$B$3:$B$181,$E1181)/10000)</f>
        <v>5.06199</v>
      </c>
      <c r="N1181" s="51">
        <f ca="1">IF($S$1&lt;DATE(2025,9,1)," ",SUMIFS('2025数据'!$BC$3:$BC$181,'2025数据'!$P$3:$P$181,"&gt;="&amp;DATE(2025,9,1),'2025数据'!$P$3:$P$181,"&lt;="&amp;DATE(2025,9,30),'2025数据'!$B$3:$B$181,$E1181)/10000)</f>
        <v>4.41332</v>
      </c>
      <c r="O1181" s="51">
        <f ca="1">IF($S$1&lt;DATE(2025,10,1)," ",SUMIFS('2025数据'!$BC$3:$BC$181,'2025数据'!$P$3:$P$181,"&gt;="&amp;DATE(2025,10,1),'2025数据'!$P$3:$P$181,"&lt;="&amp;DATE(2025,10,31),'2025数据'!$B$3:$B$181,$E1181)/10000)</f>
        <v>0</v>
      </c>
      <c r="P1181" s="217">
        <f ca="1">IF($S$1&lt;DATE(2025,11,1)," ",SUMIFS('2025数据'!$BC$3:$BC$181,'2025数据'!$P$3:$P$181,"&gt;="&amp;DATE(2025,11,1),'2025数据'!$P$3:$P$181,"&lt;="&amp;DATE(2025,11,30),'2025数据'!$B$3:$B$181,$E1181)/10000)</f>
        <v>0.138068</v>
      </c>
      <c r="Q1181" s="217">
        <f ca="1">IF($S$1&lt;DATE(2025,12,1)," ",SUMIFS('2025数据'!$BC$3:$BC$181,'2025数据'!$P$3:$P$181,"&gt;="&amp;DATE(2025,12,1),'2025数据'!$P$3:$P$181,"&lt;="&amp;DATE(2025,12,31),'2025数据'!$B$3:$B$181,$E1181)/10000)</f>
        <v>0</v>
      </c>
    </row>
    <row r="1182" ht="24" customHeight="1" spans="1:17">
      <c r="A1182" s="99" t="s">
        <v>347</v>
      </c>
      <c r="B1182" s="99" t="s">
        <v>299</v>
      </c>
      <c r="C1182" s="99" t="s">
        <v>336</v>
      </c>
      <c r="D1182" s="47" t="s">
        <v>294</v>
      </c>
      <c r="E1182" s="47" t="s">
        <v>85</v>
      </c>
      <c r="F1182" s="51">
        <f ca="1">IF($S$1&lt;DATE(2025,1,1)," ",SUMIFS('2025数据'!$BC$3:$BC$181,'2025数据'!$P$3:$P$181,"&gt;="&amp;DATE(2025,1,1),'2025数据'!$P$3:$P$181,"&lt;="&amp;DATE(2025,1,31),'2025数据'!$B$3:$B$181,$E1182)/10000)</f>
        <v>0</v>
      </c>
      <c r="G1182" s="51">
        <f ca="1">IF($S$1&lt;DATE(2025,2,1)," ",SUMIFS('2025数据'!$BC$3:$BC$181,'2025数据'!$P$3:$P$181,"&gt;="&amp;DATE(2025,2,1),'2025数据'!$P$3:$P$181,"&lt;="&amp;DATE(2025,2,28),'2025数据'!$B$3:$B$181,$E1182)/10000)</f>
        <v>0</v>
      </c>
      <c r="H1182" s="51">
        <f ca="1">IF($S$1&lt;DATE(2025,3,1)," ",SUMIFS('2025数据'!$BC$3:$BC$181,'2025数据'!$P$3:$P$181,"&gt;="&amp;DATE(2025,3,1),'2025数据'!$P$3:$P$181,"&lt;="&amp;DATE(2025,3,31),'2025数据'!$B$3:$B$181,$E1182)/10000)</f>
        <v>0</v>
      </c>
      <c r="I1182" s="51">
        <f ca="1">IF($S$1&lt;DATE(2025,4,1)," ",SUMIFS('2025数据'!$BC$3:$BC$181,'2025数据'!$P$3:$P$181,"&gt;="&amp;DATE(2025,4,1),'2025数据'!$P$3:$P$181,"&lt;="&amp;DATE(2025,4,30),'2025数据'!$B$3:$B$181,$E1182)/10000)</f>
        <v>0</v>
      </c>
      <c r="J1182" s="51">
        <f ca="1">IF($S$1&lt;DATE(2025,5,1)," ",SUMIFS('2025数据'!$BC$3:$BC$181,'2025数据'!$P$3:$P$181,"&gt;="&amp;DATE(2025,5,1),'2025数据'!$P$3:$P$181,"&lt;="&amp;DATE(2025,5,31),'2025数据'!$B$3:$B$181,$E1182)/10000)</f>
        <v>0</v>
      </c>
      <c r="K1182" s="51">
        <f ca="1">IF($S$1&lt;DATE(2025,6,1)," ",SUMIFS('2025数据'!$BC$3:$BC$181,'2025数据'!$P$3:$P$181,"&gt;="&amp;DATE(2025,6,1),'2025数据'!$P$3:$P$181,"&lt;="&amp;DATE(2025,6,30),'2025数据'!$B$3:$B$181,$E1182)/10000)</f>
        <v>2.574406</v>
      </c>
      <c r="L1182" s="51">
        <f ca="1">IF($S$1&lt;DATE(2025,7,1)," ",SUMIFS('2025数据'!$BC$3:$BC$181,'2025数据'!$P$3:$P$181,"&gt;="&amp;DATE(2025,7,1),'2025数据'!$P$3:$P$181,"&lt;="&amp;DATE(2025,7,31),'2025数据'!$B$3:$B$181,$E1182)/10000)</f>
        <v>0</v>
      </c>
      <c r="M1182" s="51">
        <f ca="1">IF($S$1&lt;DATE(2025,8,1)," ",SUMIFS('2025数据'!$BC$3:$BC$181,'2025数据'!$P$3:$P$181,"&gt;="&amp;DATE(2025,8,1),'2025数据'!$P$3:$P$181,"&lt;="&amp;DATE(2025,8,31),'2025数据'!$B$3:$B$181,$E1182)/10000)</f>
        <v>0</v>
      </c>
      <c r="N1182" s="51">
        <f ca="1">IF($S$1&lt;DATE(2025,9,1)," ",SUMIFS('2025数据'!$BC$3:$BC$181,'2025数据'!$P$3:$P$181,"&gt;="&amp;DATE(2025,9,1),'2025数据'!$P$3:$P$181,"&lt;="&amp;DATE(2025,9,30),'2025数据'!$B$3:$B$181,$E1182)/10000)</f>
        <v>0</v>
      </c>
      <c r="O1182" s="51">
        <f ca="1">IF($S$1&lt;DATE(2025,10,1)," ",SUMIFS('2025数据'!$BC$3:$BC$181,'2025数据'!$P$3:$P$181,"&gt;="&amp;DATE(2025,10,1),'2025数据'!$P$3:$P$181,"&lt;="&amp;DATE(2025,10,31),'2025数据'!$B$3:$B$181,$E1182)/10000)</f>
        <v>0</v>
      </c>
      <c r="P1182" s="217">
        <f ca="1">IF($S$1&lt;DATE(2025,11,1)," ",SUMIFS('2025数据'!$BC$3:$BC$181,'2025数据'!$P$3:$P$181,"&gt;="&amp;DATE(2025,11,1),'2025数据'!$P$3:$P$181,"&lt;="&amp;DATE(2025,11,30),'2025数据'!$B$3:$B$181,$E1182)/10000)</f>
        <v>0</v>
      </c>
      <c r="Q1182" s="217">
        <f ca="1">IF($S$1&lt;DATE(2025,12,1)," ",SUMIFS('2025数据'!$BC$3:$BC$181,'2025数据'!$P$3:$P$181,"&gt;="&amp;DATE(2025,12,1),'2025数据'!$P$3:$P$181,"&lt;="&amp;DATE(2025,12,31),'2025数据'!$B$3:$B$181,$E1182)/10000)</f>
        <v>0</v>
      </c>
    </row>
    <row r="1183" ht="24" customHeight="1" spans="1:17">
      <c r="A1183" s="99" t="s">
        <v>347</v>
      </c>
      <c r="B1183" s="99" t="s">
        <v>299</v>
      </c>
      <c r="C1183" s="99" t="s">
        <v>336</v>
      </c>
      <c r="D1183" s="47" t="s">
        <v>294</v>
      </c>
      <c r="E1183" s="47" t="s">
        <v>81</v>
      </c>
      <c r="F1183" s="51">
        <f ca="1">IF($S$1&lt;DATE(2025,1,1)," ",SUMIFS('2025数据'!$BC$3:$BC$181,'2025数据'!$P$3:$P$181,"&gt;="&amp;DATE(2025,1,1),'2025数据'!$P$3:$P$181,"&lt;="&amp;DATE(2025,1,31),'2025数据'!$B$3:$B$181,$E1183)/10000)</f>
        <v>0</v>
      </c>
      <c r="G1183" s="51">
        <f ca="1">IF($S$1&lt;DATE(2025,2,1)," ",SUMIFS('2025数据'!$BC$3:$BC$181,'2025数据'!$P$3:$P$181,"&gt;="&amp;DATE(2025,2,1),'2025数据'!$P$3:$P$181,"&lt;="&amp;DATE(2025,2,28),'2025数据'!$B$3:$B$181,$E1183)/10000)</f>
        <v>0</v>
      </c>
      <c r="H1183" s="51">
        <f ca="1">IF($S$1&lt;DATE(2025,3,1)," ",SUMIFS('2025数据'!$BC$3:$BC$181,'2025数据'!$P$3:$P$181,"&gt;="&amp;DATE(2025,3,1),'2025数据'!$P$3:$P$181,"&lt;="&amp;DATE(2025,3,31),'2025数据'!$B$3:$B$181,$E1183)/10000)</f>
        <v>0</v>
      </c>
      <c r="I1183" s="51">
        <f ca="1">IF($S$1&lt;DATE(2025,4,1)," ",SUMIFS('2025数据'!$BC$3:$BC$181,'2025数据'!$P$3:$P$181,"&gt;="&amp;DATE(2025,4,1),'2025数据'!$P$3:$P$181,"&lt;="&amp;DATE(2025,4,30),'2025数据'!$B$3:$B$181,$E1183)/10000)</f>
        <v>0.1466</v>
      </c>
      <c r="J1183" s="51">
        <f ca="1">IF($S$1&lt;DATE(2025,5,1)," ",SUMIFS('2025数据'!$BC$3:$BC$181,'2025数据'!$P$3:$P$181,"&gt;="&amp;DATE(2025,5,1),'2025数据'!$P$3:$P$181,"&lt;="&amp;DATE(2025,5,31),'2025数据'!$B$3:$B$181,$E1183)/10000)</f>
        <v>0</v>
      </c>
      <c r="K1183" s="51">
        <f ca="1">IF($S$1&lt;DATE(2025,6,1)," ",SUMIFS('2025数据'!$BC$3:$BC$181,'2025数据'!$P$3:$P$181,"&gt;="&amp;DATE(2025,6,1),'2025数据'!$P$3:$P$181,"&lt;="&amp;DATE(2025,6,30),'2025数据'!$B$3:$B$181,$E1183)/10000)</f>
        <v>0</v>
      </c>
      <c r="L1183" s="51">
        <f ca="1">IF($S$1&lt;DATE(2025,7,1)," ",SUMIFS('2025数据'!$BC$3:$BC$181,'2025数据'!$P$3:$P$181,"&gt;="&amp;DATE(2025,7,1),'2025数据'!$P$3:$P$181,"&lt;="&amp;DATE(2025,7,31),'2025数据'!$B$3:$B$181,$E1183)/10000)</f>
        <v>0</v>
      </c>
      <c r="M1183" s="51">
        <f ca="1">IF($S$1&lt;DATE(2025,8,1)," ",SUMIFS('2025数据'!$BC$3:$BC$181,'2025数据'!$P$3:$P$181,"&gt;="&amp;DATE(2025,8,1),'2025数据'!$P$3:$P$181,"&lt;="&amp;DATE(2025,8,31),'2025数据'!$B$3:$B$181,$E1183)/10000)</f>
        <v>0</v>
      </c>
      <c r="N1183" s="51">
        <f ca="1">IF($S$1&lt;DATE(2025,9,1)," ",SUMIFS('2025数据'!$BC$3:$BC$181,'2025数据'!$P$3:$P$181,"&gt;="&amp;DATE(2025,9,1),'2025数据'!$P$3:$P$181,"&lt;="&amp;DATE(2025,9,30),'2025数据'!$B$3:$B$181,$E1183)/10000)</f>
        <v>0.375675</v>
      </c>
      <c r="O1183" s="51">
        <f ca="1">IF($S$1&lt;DATE(2025,10,1)," ",SUMIFS('2025数据'!$BC$3:$BC$181,'2025数据'!$P$3:$P$181,"&gt;="&amp;DATE(2025,10,1),'2025数据'!$P$3:$P$181,"&lt;="&amp;DATE(2025,10,31),'2025数据'!$B$3:$B$181,$E1183)/10000)</f>
        <v>0</v>
      </c>
      <c r="P1183" s="217">
        <f ca="1">IF($S$1&lt;DATE(2025,11,1)," ",SUMIFS('2025数据'!$BC$3:$BC$181,'2025数据'!$P$3:$P$181,"&gt;="&amp;DATE(2025,11,1),'2025数据'!$P$3:$P$181,"&lt;="&amp;DATE(2025,11,30),'2025数据'!$B$3:$B$181,$E1183)/10000)</f>
        <v>0</v>
      </c>
      <c r="Q1183" s="217">
        <f ca="1">IF($S$1&lt;DATE(2025,12,1)," ",SUMIFS('2025数据'!$BC$3:$BC$181,'2025数据'!$P$3:$P$181,"&gt;="&amp;DATE(2025,12,1),'2025数据'!$P$3:$P$181,"&lt;="&amp;DATE(2025,12,31),'2025数据'!$B$3:$B$181,$E1183)/10000)</f>
        <v>0</v>
      </c>
    </row>
    <row r="1184" ht="24" customHeight="1" spans="1:17">
      <c r="A1184" s="99" t="s">
        <v>347</v>
      </c>
      <c r="B1184" s="99" t="s">
        <v>299</v>
      </c>
      <c r="C1184" s="99" t="s">
        <v>336</v>
      </c>
      <c r="D1184" s="47" t="s">
        <v>294</v>
      </c>
      <c r="E1184" s="47" t="s">
        <v>96</v>
      </c>
      <c r="F1184" s="51">
        <f ca="1">IF($S$1&lt;DATE(2025,1,1)," ",SUMIFS('2025数据'!$BC$3:$BC$181,'2025数据'!$P$3:$P$181,"&gt;="&amp;DATE(2025,1,1),'2025数据'!$P$3:$P$181,"&lt;="&amp;DATE(2025,1,31),'2025数据'!$B$3:$B$181,$E1184)/10000)</f>
        <v>0</v>
      </c>
      <c r="G1184" s="51">
        <f ca="1">IF($S$1&lt;DATE(2025,2,1)," ",SUMIFS('2025数据'!$BC$3:$BC$181,'2025数据'!$P$3:$P$181,"&gt;="&amp;DATE(2025,2,1),'2025数据'!$P$3:$P$181,"&lt;="&amp;DATE(2025,2,28),'2025数据'!$B$3:$B$181,$E1184)/10000)</f>
        <v>0</v>
      </c>
      <c r="H1184" s="51">
        <f ca="1">IF($S$1&lt;DATE(2025,3,1)," ",SUMIFS('2025数据'!$BC$3:$BC$181,'2025数据'!$P$3:$P$181,"&gt;="&amp;DATE(2025,3,1),'2025数据'!$P$3:$P$181,"&lt;="&amp;DATE(2025,3,31),'2025数据'!$B$3:$B$181,$E1184)/10000)</f>
        <v>0</v>
      </c>
      <c r="I1184" s="51">
        <f ca="1">IF($S$1&lt;DATE(2025,4,1)," ",SUMIFS('2025数据'!$BC$3:$BC$181,'2025数据'!$P$3:$P$181,"&gt;="&amp;DATE(2025,4,1),'2025数据'!$P$3:$P$181,"&lt;="&amp;DATE(2025,4,30),'2025数据'!$B$3:$B$181,$E1184)/10000)</f>
        <v>0</v>
      </c>
      <c r="J1184" s="51">
        <f ca="1">IF($S$1&lt;DATE(2025,5,1)," ",SUMIFS('2025数据'!$BC$3:$BC$181,'2025数据'!$P$3:$P$181,"&gt;="&amp;DATE(2025,5,1),'2025数据'!$P$3:$P$181,"&lt;="&amp;DATE(2025,5,31),'2025数据'!$B$3:$B$181,$E1184)/10000)</f>
        <v>0</v>
      </c>
      <c r="K1184" s="51">
        <f ca="1">IF($S$1&lt;DATE(2025,6,1)," ",SUMIFS('2025数据'!$BC$3:$BC$181,'2025数据'!$P$3:$P$181,"&gt;="&amp;DATE(2025,6,1),'2025数据'!$P$3:$P$181,"&lt;="&amp;DATE(2025,6,30),'2025数据'!$B$3:$B$181,$E1184)/10000)</f>
        <v>0</v>
      </c>
      <c r="L1184" s="51">
        <f ca="1">IF($S$1&lt;DATE(2025,7,1)," ",SUMIFS('2025数据'!$BC$3:$BC$181,'2025数据'!$P$3:$P$181,"&gt;="&amp;DATE(2025,7,1),'2025数据'!$P$3:$P$181,"&lt;="&amp;DATE(2025,7,31),'2025数据'!$B$3:$B$181,$E1184)/10000)</f>
        <v>0</v>
      </c>
      <c r="M1184" s="51">
        <f ca="1">IF($S$1&lt;DATE(2025,8,1)," ",SUMIFS('2025数据'!$BC$3:$BC$181,'2025数据'!$P$3:$P$181,"&gt;="&amp;DATE(2025,8,1),'2025数据'!$P$3:$P$181,"&lt;="&amp;DATE(2025,8,31),'2025数据'!$B$3:$B$181,$E1184)/10000)</f>
        <v>0</v>
      </c>
      <c r="N1184" s="51">
        <f ca="1">IF($S$1&lt;DATE(2025,9,1)," ",SUMIFS('2025数据'!$BC$3:$BC$181,'2025数据'!$P$3:$P$181,"&gt;="&amp;DATE(2025,9,1),'2025数据'!$P$3:$P$181,"&lt;="&amp;DATE(2025,9,30),'2025数据'!$B$3:$B$181,$E1184)/10000)</f>
        <v>0</v>
      </c>
      <c r="O1184" s="51">
        <f ca="1">IF($S$1&lt;DATE(2025,10,1)," ",SUMIFS('2025数据'!$BC$3:$BC$181,'2025数据'!$P$3:$P$181,"&gt;="&amp;DATE(2025,10,1),'2025数据'!$P$3:$P$181,"&lt;="&amp;DATE(2025,10,31),'2025数据'!$B$3:$B$181,$E1184)/10000)</f>
        <v>0</v>
      </c>
      <c r="P1184" s="217">
        <f ca="1">IF($S$1&lt;DATE(2025,11,1)," ",SUMIFS('2025数据'!$BC$3:$BC$181,'2025数据'!$P$3:$P$181,"&gt;="&amp;DATE(2025,11,1),'2025数据'!$P$3:$P$181,"&lt;="&amp;DATE(2025,11,30),'2025数据'!$B$3:$B$181,$E1184)/10000)</f>
        <v>0</v>
      </c>
      <c r="Q1184" s="217">
        <f ca="1">IF($S$1&lt;DATE(2025,12,1)," ",SUMIFS('2025数据'!$BC$3:$BC$181,'2025数据'!$P$3:$P$181,"&gt;="&amp;DATE(2025,12,1),'2025数据'!$P$3:$P$181,"&lt;="&amp;DATE(2025,12,31),'2025数据'!$B$3:$B$181,$E1184)/10000)</f>
        <v>0</v>
      </c>
    </row>
    <row r="1185" ht="24" customHeight="1" spans="1:17">
      <c r="A1185" s="99" t="s">
        <v>347</v>
      </c>
      <c r="B1185" s="99" t="s">
        <v>299</v>
      </c>
      <c r="C1185" s="99" t="s">
        <v>336</v>
      </c>
      <c r="D1185" s="47" t="s">
        <v>294</v>
      </c>
      <c r="E1185" s="47" t="s">
        <v>160</v>
      </c>
      <c r="F1185" s="51">
        <f ca="1">IF($S$1&lt;DATE(2025,1,1)," ",SUMIFS('2025数据'!$BC$3:$BC$181,'2025数据'!$P$3:$P$181,"&gt;="&amp;DATE(2025,1,1),'2025数据'!$P$3:$P$181,"&lt;="&amp;DATE(2025,1,31),'2025数据'!$B$3:$B$181,$E1185)/10000)</f>
        <v>0</v>
      </c>
      <c r="G1185" s="51">
        <f ca="1">IF($S$1&lt;DATE(2025,2,1)," ",SUMIFS('2025数据'!$BC$3:$BC$181,'2025数据'!$P$3:$P$181,"&gt;="&amp;DATE(2025,2,1),'2025数据'!$P$3:$P$181,"&lt;="&amp;DATE(2025,2,28),'2025数据'!$B$3:$B$181,$E1185)/10000)</f>
        <v>0</v>
      </c>
      <c r="H1185" s="51">
        <f ca="1">IF($S$1&lt;DATE(2025,3,1)," ",SUMIFS('2025数据'!$BC$3:$BC$181,'2025数据'!$P$3:$P$181,"&gt;="&amp;DATE(2025,3,1),'2025数据'!$P$3:$P$181,"&lt;="&amp;DATE(2025,3,31),'2025数据'!$B$3:$B$181,$E1185)/10000)</f>
        <v>0</v>
      </c>
      <c r="I1185" s="51">
        <f ca="1">IF($S$1&lt;DATE(2025,4,1)," ",SUMIFS('2025数据'!$BC$3:$BC$181,'2025数据'!$P$3:$P$181,"&gt;="&amp;DATE(2025,4,1),'2025数据'!$P$3:$P$181,"&lt;="&amp;DATE(2025,4,30),'2025数据'!$B$3:$B$181,$E1185)/10000)</f>
        <v>0</v>
      </c>
      <c r="J1185" s="51">
        <f ca="1">IF($S$1&lt;DATE(2025,5,1)," ",SUMIFS('2025数据'!$BC$3:$BC$181,'2025数据'!$P$3:$P$181,"&gt;="&amp;DATE(2025,5,1),'2025数据'!$P$3:$P$181,"&lt;="&amp;DATE(2025,5,31),'2025数据'!$B$3:$B$181,$E1185)/10000)</f>
        <v>0</v>
      </c>
      <c r="K1185" s="51">
        <f ca="1">IF($S$1&lt;DATE(2025,6,1)," ",SUMIFS('2025数据'!$BC$3:$BC$181,'2025数据'!$P$3:$P$181,"&gt;="&amp;DATE(2025,6,1),'2025数据'!$P$3:$P$181,"&lt;="&amp;DATE(2025,6,30),'2025数据'!$B$3:$B$181,$E1185)/10000)</f>
        <v>0</v>
      </c>
      <c r="L1185" s="51">
        <f ca="1">IF($S$1&lt;DATE(2025,7,1)," ",SUMIFS('2025数据'!$BC$3:$BC$181,'2025数据'!$P$3:$P$181,"&gt;="&amp;DATE(2025,7,1),'2025数据'!$P$3:$P$181,"&lt;="&amp;DATE(2025,7,31),'2025数据'!$B$3:$B$181,$E1185)/10000)</f>
        <v>0</v>
      </c>
      <c r="M1185" s="51">
        <f ca="1">IF($S$1&lt;DATE(2025,8,1)," ",SUMIFS('2025数据'!$BC$3:$BC$181,'2025数据'!$P$3:$P$181,"&gt;="&amp;DATE(2025,8,1),'2025数据'!$P$3:$P$181,"&lt;="&amp;DATE(2025,8,31),'2025数据'!$B$3:$B$181,$E1185)/10000)</f>
        <v>0</v>
      </c>
      <c r="N1185" s="51">
        <f ca="1">IF($S$1&lt;DATE(2025,9,1)," ",SUMIFS('2025数据'!$BC$3:$BC$181,'2025数据'!$P$3:$P$181,"&gt;="&amp;DATE(2025,9,1),'2025数据'!$P$3:$P$181,"&lt;="&amp;DATE(2025,9,30),'2025数据'!$B$3:$B$181,$E1185)/10000)</f>
        <v>0</v>
      </c>
      <c r="O1185" s="51">
        <f ca="1">IF($S$1&lt;DATE(2025,10,1)," ",SUMIFS('2025数据'!$BC$3:$BC$181,'2025数据'!$P$3:$P$181,"&gt;="&amp;DATE(2025,10,1),'2025数据'!$P$3:$P$181,"&lt;="&amp;DATE(2025,10,31),'2025数据'!$B$3:$B$181,$E1185)/10000)</f>
        <v>0</v>
      </c>
      <c r="P1185" s="217">
        <f ca="1">IF($S$1&lt;DATE(2025,11,1)," ",SUMIFS('2025数据'!$BC$3:$BC$181,'2025数据'!$P$3:$P$181,"&gt;="&amp;DATE(2025,11,1),'2025数据'!$P$3:$P$181,"&lt;="&amp;DATE(2025,11,30),'2025数据'!$B$3:$B$181,$E1185)/10000)</f>
        <v>0</v>
      </c>
      <c r="Q1185" s="217">
        <f ca="1">IF($S$1&lt;DATE(2025,12,1)," ",SUMIFS('2025数据'!$BC$3:$BC$181,'2025数据'!$P$3:$P$181,"&gt;="&amp;DATE(2025,12,1),'2025数据'!$P$3:$P$181,"&lt;="&amp;DATE(2025,12,31),'2025数据'!$B$3:$B$181,$E1185)/10000)</f>
        <v>0</v>
      </c>
    </row>
    <row r="1186" ht="24" customHeight="1" spans="1:17">
      <c r="A1186" s="99" t="s">
        <v>347</v>
      </c>
      <c r="B1186" s="99" t="s">
        <v>299</v>
      </c>
      <c r="C1186" s="99" t="s">
        <v>333</v>
      </c>
      <c r="D1186" s="114" t="s">
        <v>292</v>
      </c>
      <c r="E1186" s="53" t="s">
        <v>337</v>
      </c>
      <c r="F1186" s="219">
        <f ca="1">IF($S$1&lt;DATE(2025,1,1)," ",SUMIFS('2025数据'!$BG$3:$BG$181,'2025数据'!$P$3:$P$181,"&gt;="&amp;DATE(2025,1,1),'2025数据'!$P$3:$P$181,"&lt;="&amp;DATE(2025,1,31),'2025数据'!$BF$3:$BF$181,$E37)/10000)</f>
        <v>0</v>
      </c>
      <c r="G1186" s="219">
        <f ca="1">IF($S$1&lt;DATE(2025,2,1)," ",SUMIFS('2025数据'!$BG$3:$BG$181,'2025数据'!$P$3:$P$181,"&gt;="&amp;DATE(2025,2,1),'2025数据'!$P$3:$P$181,"&lt;="&amp;DATE(2025,2,28),'2025数据'!$BF$3:$BF$181,$E37)/10000)</f>
        <v>0</v>
      </c>
      <c r="H1186" s="219">
        <f ca="1">IF($S$1&lt;DATE(2025,3,1)," ",SUMIFS('2025数据'!$BG$3:$BG$181,'2025数据'!$P$3:$P$181,"&gt;="&amp;DATE(2025,3,1),'2025数据'!$P$3:$P$181,"&lt;="&amp;DATE(2025,3,31),'2025数据'!$BF$3:$BF$181,$E37)/10000)</f>
        <v>0</v>
      </c>
      <c r="I1186" s="219">
        <f ca="1">IF($S$1&lt;DATE(2025,4,1)," ",SUMIFS('2025数据'!$BG$3:$BG$181,'2025数据'!$P$3:$P$181,"&gt;="&amp;DATE(2025,4,1),'2025数据'!$P$3:$P$181,"&lt;="&amp;DATE(2025,4,30),'2025数据'!$BF$3:$BF$181,$E37)/10000)</f>
        <v>0</v>
      </c>
      <c r="J1186" s="219">
        <f ca="1">IF($S$1&lt;DATE(2025,5,1)," ",SUMIFS('2025数据'!$BG$3:$BG$181,'2025数据'!$P$3:$P$181,"&gt;="&amp;DATE(2025,5,1),'2025数据'!$P$3:$P$181,"&lt;="&amp;DATE(2025,5,31),'2025数据'!$BF$3:$BF$181,$E37)/10000)</f>
        <v>0</v>
      </c>
      <c r="K1186" s="219">
        <f ca="1">IF($S$1&lt;DATE(2025,6,1)," ",SUMIFS('2025数据'!$BG$3:$BG$181,'2025数据'!$P$3:$P$181,"&gt;="&amp;DATE(2025,6,1),'2025数据'!$P$3:$P$181,"&lt;="&amp;DATE(2025,6,30),'2025数据'!$BF$3:$BF$181,$E37)/10000)</f>
        <v>0.00148899999999994</v>
      </c>
      <c r="L1186" s="219">
        <f ca="1">IF($S$1&lt;DATE(2025,7,1)," ",SUMIFS('2025数据'!$BG$3:$BG$181,'2025数据'!$P$3:$P$181,"&gt;="&amp;DATE(2025,7,1),'2025数据'!$P$3:$P$181,"&lt;="&amp;DATE(2025,7,31),'2025数据'!$BF$3:$BF$181,$E37)/10000)</f>
        <v>0.00201399999999999</v>
      </c>
      <c r="M1186" s="219">
        <f ca="1">IF($S$1&lt;DATE(2025,8,1)," ",SUMIFS('2025数据'!$BG$3:$BG$181,'2025数据'!$P$3:$P$181,"&gt;="&amp;DATE(2025,8,1),'2025数据'!$P$3:$P$181,"&lt;="&amp;DATE(2025,8,31),'2025数据'!$BF$3:$BF$181,$E37)/10000)</f>
        <v>0.00702699999999968</v>
      </c>
      <c r="N1186" s="219">
        <f ca="1">IF($S$1&lt;DATE(2025,9,1)," ",SUMIFS('2025数据'!$BG$3:$BG$181,'2025数据'!$P$3:$P$181,"&gt;="&amp;DATE(2025,9,1),'2025数据'!$P$3:$P$181,"&lt;="&amp;DATE(2025,9,30),'2025数据'!$BF$3:$BF$181,$E37)/10000)</f>
        <v>0.00674599999999991</v>
      </c>
      <c r="O1186" s="219">
        <f ca="1">IF($S$1&lt;DATE(2025,10,1)," ",SUMIFS('2025数据'!$BG$3:$BG$181,'2025数据'!$P$3:$P$181,"&gt;="&amp;DATE(2025,10,1),'2025数据'!$P$3:$P$181,"&lt;="&amp;DATE(2025,10,31),'2025数据'!$BF$3:$BF$181,$E37)/10000)</f>
        <v>0</v>
      </c>
      <c r="P1186" s="224">
        <f ca="1">IF($S$1&lt;DATE(2025,11,1)," ",SUMIFS('2025数据'!$BG$3:$BG$181,'2025数据'!$P$3:$P$181,"&gt;="&amp;DATE(2025,11,1),'2025数据'!$P$3:$P$181,"&lt;="&amp;DATE(2025,11,30),'2025数据'!$BF$3:$BF$181,$E37)/10000)</f>
        <v>0</v>
      </c>
      <c r="Q1186" s="224">
        <f ca="1">IF($S$1&lt;DATE(2025,12,1)," ",SUMIFS('2025数据'!$BG$3:$BG$181,'2025数据'!$P$3:$P$181,"&gt;="&amp;DATE(2025,12,1),'2025数据'!$P$3:$P$181,"&lt;="&amp;DATE(2025,12,31),'2025数据'!$BF$3:$BF$181,$E37)/10000)</f>
        <v>0</v>
      </c>
    </row>
    <row r="1187" ht="24" customHeight="1" spans="1:17">
      <c r="A1187" s="99" t="s">
        <v>347</v>
      </c>
      <c r="B1187" s="99" t="s">
        <v>299</v>
      </c>
      <c r="C1187" s="99" t="s">
        <v>333</v>
      </c>
      <c r="D1187" s="114" t="s">
        <v>292</v>
      </c>
      <c r="E1187" s="53" t="s">
        <v>338</v>
      </c>
      <c r="F1187" s="219">
        <f ca="1">IF($S$1&lt;DATE(2025,1,1)," ",SUMIFS('2025数据'!$BG$3:$BG$181,'2025数据'!$P$3:$P$181,"&gt;="&amp;DATE(2025,1,1),'2025数据'!$P$3:$P$181,"&lt;="&amp;DATE(2025,1,31),'2025数据'!$BF$3:$BF$181,$E38)/10000)</f>
        <v>0.0150929999999993</v>
      </c>
      <c r="G1187" s="219">
        <f ca="1">IF($S$1&lt;DATE(2025,2,1)," ",SUMIFS('2025数据'!$BG$3:$BG$181,'2025数据'!$P$3:$P$181,"&gt;="&amp;DATE(2025,2,1),'2025数据'!$P$3:$P$181,"&lt;="&amp;DATE(2025,2,28),'2025数据'!$BF$3:$BF$181,$E38)/10000)</f>
        <v>0</v>
      </c>
      <c r="H1187" s="219">
        <f ca="1">IF($S$1&lt;DATE(2025,3,1)," ",SUMIFS('2025数据'!$BG$3:$BG$181,'2025数据'!$P$3:$P$181,"&gt;="&amp;DATE(2025,3,1),'2025数据'!$P$3:$P$181,"&lt;="&amp;DATE(2025,3,31),'2025数据'!$BF$3:$BF$181,$E38)/10000)</f>
        <v>0</v>
      </c>
      <c r="I1187" s="219">
        <f ca="1">IF($S$1&lt;DATE(2025,4,1)," ",SUMIFS('2025数据'!$BG$3:$BG$181,'2025数据'!$P$3:$P$181,"&gt;="&amp;DATE(2025,4,1),'2025数据'!$P$3:$P$181,"&lt;="&amp;DATE(2025,4,30),'2025数据'!$BF$3:$BF$181,$E38)/10000)</f>
        <v>0</v>
      </c>
      <c r="J1187" s="219">
        <f ca="1">IF($S$1&lt;DATE(2025,5,1)," ",SUMIFS('2025数据'!$BG$3:$BG$181,'2025数据'!$P$3:$P$181,"&gt;="&amp;DATE(2025,5,1),'2025数据'!$P$3:$P$181,"&lt;="&amp;DATE(2025,5,31),'2025数据'!$BF$3:$BF$181,$E38)/10000)</f>
        <v>0</v>
      </c>
      <c r="K1187" s="219">
        <f ca="1">IF($S$1&lt;DATE(2025,6,1)," ",SUMIFS('2025数据'!$BG$3:$BG$181,'2025数据'!$P$3:$P$181,"&gt;="&amp;DATE(2025,6,1),'2025数据'!$P$3:$P$181,"&lt;="&amp;DATE(2025,6,30),'2025数据'!$BF$3:$BF$181,$E38)/10000)</f>
        <v>0.000219000000000233</v>
      </c>
      <c r="L1187" s="219">
        <f ca="1">IF($S$1&lt;DATE(2025,7,1)," ",SUMIFS('2025数据'!$BG$3:$BG$181,'2025数据'!$P$3:$P$181,"&gt;="&amp;DATE(2025,7,1),'2025数据'!$P$3:$P$181,"&lt;="&amp;DATE(2025,7,31),'2025数据'!$BF$3:$BF$181,$E38)/10000)</f>
        <v>0</v>
      </c>
      <c r="M1187" s="219">
        <f ca="1">IF($S$1&lt;DATE(2025,8,1)," ",SUMIFS('2025数据'!$BG$3:$BG$181,'2025数据'!$P$3:$P$181,"&gt;="&amp;DATE(2025,8,1),'2025数据'!$P$3:$P$181,"&lt;="&amp;DATE(2025,8,31),'2025数据'!$BF$3:$BF$181,$E38)/10000)</f>
        <v>0</v>
      </c>
      <c r="N1187" s="219">
        <f ca="1">IF($S$1&lt;DATE(2025,9,1)," ",SUMIFS('2025数据'!$BG$3:$BG$181,'2025数据'!$P$3:$P$181,"&gt;="&amp;DATE(2025,9,1),'2025数据'!$P$3:$P$181,"&lt;="&amp;DATE(2025,9,30),'2025数据'!$BF$3:$BF$181,$E38)/10000)</f>
        <v>0</v>
      </c>
      <c r="O1187" s="219">
        <f ca="1">IF($S$1&lt;DATE(2025,10,1)," ",SUMIFS('2025数据'!$BG$3:$BG$181,'2025数据'!$P$3:$P$181,"&gt;="&amp;DATE(2025,10,1),'2025数据'!$P$3:$P$181,"&lt;="&amp;DATE(2025,10,31),'2025数据'!$BF$3:$BF$181,$E38)/10000)</f>
        <v>0</v>
      </c>
      <c r="P1187" s="224">
        <f ca="1">IF($S$1&lt;DATE(2025,11,1)," ",SUMIFS('2025数据'!$BG$3:$BG$181,'2025数据'!$P$3:$P$181,"&gt;="&amp;DATE(2025,11,1),'2025数据'!$P$3:$P$181,"&lt;="&amp;DATE(2025,11,30),'2025数据'!$BF$3:$BF$181,$E38)/10000)</f>
        <v>0.010577</v>
      </c>
      <c r="Q1187" s="224">
        <f ca="1">IF($S$1&lt;DATE(2025,12,1)," ",SUMIFS('2025数据'!$BG$3:$BG$181,'2025数据'!$P$3:$P$181,"&gt;="&amp;DATE(2025,12,1),'2025数据'!$P$3:$P$181,"&lt;="&amp;DATE(2025,12,31),'2025数据'!$BF$3:$BF$181,$E38)/10000)</f>
        <v>0</v>
      </c>
    </row>
    <row r="1188" ht="24" customHeight="1" spans="1:17">
      <c r="A1188" s="99" t="s">
        <v>347</v>
      </c>
      <c r="B1188" s="99" t="s">
        <v>299</v>
      </c>
      <c r="C1188" s="99" t="s">
        <v>333</v>
      </c>
      <c r="D1188" s="114" t="s">
        <v>292</v>
      </c>
      <c r="E1188" s="53" t="s">
        <v>339</v>
      </c>
      <c r="F1188" s="219">
        <f ca="1">IF($S$1&lt;DATE(2025,1,1)," ",SUMIFS('2025数据'!$BG$3:$BG$181,'2025数据'!$P$3:$P$181,"&gt;="&amp;DATE(2025,1,1),'2025数据'!$P$3:$P$181,"&lt;="&amp;DATE(2025,1,31),'2025数据'!$BF$3:$BF$181,$E39)/10000)</f>
        <v>0</v>
      </c>
      <c r="G1188" s="219">
        <f ca="1">IF($S$1&lt;DATE(2025,2,1)," ",SUMIFS('2025数据'!$BG$3:$BG$181,'2025数据'!$P$3:$P$181,"&gt;="&amp;DATE(2025,2,1),'2025数据'!$P$3:$P$181,"&lt;="&amp;DATE(2025,2,28),'2025数据'!$BF$3:$BF$181,$E39)/10000)</f>
        <v>0</v>
      </c>
      <c r="H1188" s="219">
        <f ca="1">IF($S$1&lt;DATE(2025,3,1)," ",SUMIFS('2025数据'!$BG$3:$BG$181,'2025数据'!$P$3:$P$181,"&gt;="&amp;DATE(2025,3,1),'2025数据'!$P$3:$P$181,"&lt;="&amp;DATE(2025,3,31),'2025数据'!$BF$3:$BF$181,$E39)/10000)</f>
        <v>0</v>
      </c>
      <c r="I1188" s="219">
        <f ca="1">IF($S$1&lt;DATE(2025,4,1)," ",SUMIFS('2025数据'!$BG$3:$BG$181,'2025数据'!$P$3:$P$181,"&gt;="&amp;DATE(2025,4,1),'2025数据'!$P$3:$P$181,"&lt;="&amp;DATE(2025,4,30),'2025数据'!$BF$3:$BF$181,$E39)/10000)</f>
        <v>0</v>
      </c>
      <c r="J1188" s="219">
        <f ca="1">IF($S$1&lt;DATE(2025,5,1)," ",SUMIFS('2025数据'!$BG$3:$BG$181,'2025数据'!$P$3:$P$181,"&gt;="&amp;DATE(2025,5,1),'2025数据'!$P$3:$P$181,"&lt;="&amp;DATE(2025,5,31),'2025数据'!$BF$3:$BF$181,$E39)/10000)</f>
        <v>0</v>
      </c>
      <c r="K1188" s="219">
        <f ca="1">IF($S$1&lt;DATE(2025,6,1)," ",SUMIFS('2025数据'!$BG$3:$BG$181,'2025数据'!$P$3:$P$181,"&gt;="&amp;DATE(2025,6,1),'2025数据'!$P$3:$P$181,"&lt;="&amp;DATE(2025,6,30),'2025数据'!$BF$3:$BF$181,$E39)/10000)</f>
        <v>0</v>
      </c>
      <c r="L1188" s="219">
        <f ca="1">IF($S$1&lt;DATE(2025,7,1)," ",SUMIFS('2025数据'!$BG$3:$BG$181,'2025数据'!$P$3:$P$181,"&gt;="&amp;DATE(2025,7,1),'2025数据'!$P$3:$P$181,"&lt;="&amp;DATE(2025,7,31),'2025数据'!$BF$3:$BF$181,$E39)/10000)</f>
        <v>0</v>
      </c>
      <c r="M1188" s="219">
        <f ca="1">IF($S$1&lt;DATE(2025,8,1)," ",SUMIFS('2025数据'!$BG$3:$BG$181,'2025数据'!$P$3:$P$181,"&gt;="&amp;DATE(2025,8,1),'2025数据'!$P$3:$P$181,"&lt;="&amp;DATE(2025,8,31),'2025数据'!$BF$3:$BF$181,$E39)/10000)</f>
        <v>0</v>
      </c>
      <c r="N1188" s="219">
        <f ca="1">IF($S$1&lt;DATE(2025,9,1)," ",SUMIFS('2025数据'!$BG$3:$BG$181,'2025数据'!$P$3:$P$181,"&gt;="&amp;DATE(2025,9,1),'2025数据'!$P$3:$P$181,"&lt;="&amp;DATE(2025,9,30),'2025数据'!$BF$3:$BF$181,$E39)/10000)</f>
        <v>0</v>
      </c>
      <c r="O1188" s="219">
        <f ca="1">IF($S$1&lt;DATE(2025,10,1)," ",SUMIFS('2025数据'!$BG$3:$BG$181,'2025数据'!$P$3:$P$181,"&gt;="&amp;DATE(2025,10,1),'2025数据'!$P$3:$P$181,"&lt;="&amp;DATE(2025,10,31),'2025数据'!$BF$3:$BF$181,$E39)/10000)</f>
        <v>0</v>
      </c>
      <c r="P1188" s="224">
        <f ca="1">IF($S$1&lt;DATE(2025,11,1)," ",SUMIFS('2025数据'!$BG$3:$BG$181,'2025数据'!$P$3:$P$181,"&gt;="&amp;DATE(2025,11,1),'2025数据'!$P$3:$P$181,"&lt;="&amp;DATE(2025,11,30),'2025数据'!$BF$3:$BF$181,$E39)/10000)</f>
        <v>0</v>
      </c>
      <c r="Q1188" s="224">
        <f ca="1">IF($S$1&lt;DATE(2025,12,1)," ",SUMIFS('2025数据'!$BG$3:$BG$181,'2025数据'!$P$3:$P$181,"&gt;="&amp;DATE(2025,12,1),'2025数据'!$P$3:$P$181,"&lt;="&amp;DATE(2025,12,31),'2025数据'!$BF$3:$BF$181,$E39)/10000)</f>
        <v>0</v>
      </c>
    </row>
    <row r="1189" ht="24" customHeight="1" spans="1:17">
      <c r="A1189" s="99" t="s">
        <v>347</v>
      </c>
      <c r="B1189" s="99" t="s">
        <v>299</v>
      </c>
      <c r="C1189" s="99" t="s">
        <v>333</v>
      </c>
      <c r="D1189" s="53" t="s">
        <v>303</v>
      </c>
      <c r="E1189" s="53" t="s">
        <v>93</v>
      </c>
      <c r="F1189" s="219">
        <f ca="1">IF($S$1&lt;DATE(2025,1,1)," ",SUMIFS('2025数据'!$BG$3:$BG$181,'2025数据'!$P$3:$P$181,"&gt;="&amp;DATE(2025,1,1),'2025数据'!$P$3:$P$181,"&lt;="&amp;DATE(2025,1,31),'2025数据'!$BF$3:$BF$181,$E$37,'2025数据'!$B$3:$B$181,E1189)/10000)</f>
        <v>0</v>
      </c>
      <c r="G1189" s="219">
        <f ca="1">IF($S$1&lt;DATE(2025,2,1)," ",SUMIFS('2025数据'!$BG$3:$BG$181,'2025数据'!$P$3:$P$181,"&gt;="&amp;DATE(2025,2,1),'2025数据'!$P$3:$P$181,"&lt;="&amp;DATE(2025,2,28),'2025数据'!$BF$3:$BF$181,$E$37,'2025数据'!$B$3:$B$181,E1189)/10000)</f>
        <v>0</v>
      </c>
      <c r="H1189" s="219">
        <f ca="1">IF($S$1&lt;DATE(2025,3,1)," ",SUMIFS('2025数据'!$BG$3:$BG$181,'2025数据'!$P$3:$P$181,"&gt;="&amp;DATE(2025,3,1),'2025数据'!$P$3:$P$181,"&lt;="&amp;DATE(2025,3,31),'2025数据'!$BF$3:$BF$181,$E$37,'2025数据'!$B$3:$B$181,E1189)/10000)</f>
        <v>0</v>
      </c>
      <c r="I1189" s="219">
        <f ca="1">IF($S$1&lt;DATE(2025,4,1)," ",SUMIFS('2025数据'!$BG$3:$BG$181,'2025数据'!$P$3:$P$181,"&gt;="&amp;DATE(2025,4,1),'2025数据'!$P$3:$P$181,"&lt;="&amp;DATE(2025,4,30),'2025数据'!$BF$3:$BF$181,$E$37,'2025数据'!$B$3:$B$181,E1189)/10000)</f>
        <v>0</v>
      </c>
      <c r="J1189" s="219">
        <f ca="1">IF($S$1&lt;DATE(2025,5,1)," ",SUMIFS('2025数据'!$BG$3:$BG$181,'2025数据'!$P$3:$P$181,"&gt;="&amp;DATE(2025,5,1),'2025数据'!$P$3:$P$181,"&lt;="&amp;DATE(2025,5,31),'2025数据'!$BF$3:$BF$181,$E$37,'2025数据'!$B$3:$B$181,E1189)/10000)</f>
        <v>0</v>
      </c>
      <c r="K1189" s="219">
        <f ca="1">IF($S$1&lt;DATE(2025,6,1)," ",SUMIFS('2025数据'!$BG$3:$BG$181,'2025数据'!$P$3:$P$181,"&gt;="&amp;DATE(2025,6,1),'2025数据'!$P$3:$P$181,"&lt;="&amp;DATE(2025,6,30),'2025数据'!$BF$3:$BF$181,$E$37,'2025数据'!$B$3:$B$181,E1189)/10000)</f>
        <v>0</v>
      </c>
      <c r="L1189" s="219">
        <f ca="1">IF($S$1&lt;DATE(2025,7,1)," ",SUMIFS('2025数据'!$BG$3:$BG$181,'2025数据'!$P$3:$P$181,"&gt;="&amp;DATE(2025,7,1),'2025数据'!$P$3:$P$181,"&lt;="&amp;DATE(2025,7,31),'2025数据'!$BF$3:$BF$181,$E$37,'2025数据'!$B$3:$B$181,E1189)/10000)</f>
        <v>0.00201399999999999</v>
      </c>
      <c r="M1189" s="219">
        <f ca="1">IF($S$1&lt;DATE(2025,8,1)," ",SUMIFS('2025数据'!$BG$3:$BG$181,'2025数据'!$P$3:$P$181,"&gt;="&amp;DATE(2025,8,1),'2025数据'!$P$3:$P$181,"&lt;="&amp;DATE(2025,8,31),'2025数据'!$BF$3:$BF$181,$E$37,'2025数据'!$B$3:$B$181,E1189)/10000)</f>
        <v>0.00702699999999968</v>
      </c>
      <c r="N1189" s="219">
        <f ca="1">IF($S$1&lt;DATE(2025,9,1)," ",SUMIFS('2025数据'!$BG$3:$BG$181,'2025数据'!$P$3:$P$181,"&gt;="&amp;DATE(2025,9,1),'2025数据'!$P$3:$P$181,"&lt;="&amp;DATE(2025,9,30),'2025数据'!$BF$3:$BF$181,$E$37,'2025数据'!$B$3:$B$181,E1189)/10000)</f>
        <v>0.00674599999999991</v>
      </c>
      <c r="O1189" s="219">
        <f ca="1">IF($S$1&lt;DATE(2025,10,1)," ",SUMIFS('2025数据'!$BG$3:$BG$181,'2025数据'!$P$3:$P$181,"&gt;="&amp;DATE(2025,10,1),'2025数据'!$P$3:$P$181,"&lt;="&amp;DATE(2025,10,31),'2025数据'!$BF$3:$BF$181,$E$37,'2025数据'!$B$3:$B$181,E1189)/10000)</f>
        <v>0</v>
      </c>
      <c r="P1189" s="224">
        <f ca="1">IF($S$1&lt;DATE(2025,11,1)," ",SUMIFS('2025数据'!$BG$3:$BG$181,'2025数据'!$P$3:$P$181,"&gt;="&amp;DATE(2025,11,1),'2025数据'!$P$3:$P$181,"&lt;="&amp;DATE(2025,11,30),'2025数据'!$BF$3:$BF$181,$E$37,'2025数据'!$B$3:$B$181,E1189)/10000)</f>
        <v>0</v>
      </c>
      <c r="Q1189" s="224">
        <f ca="1">IF($S$1&lt;DATE(2025,12,1)," ",SUMIFS('2025数据'!$BG$3:$BG$181,'2025数据'!$P$3:$P$181,"&gt;="&amp;DATE(2025,12,1),'2025数据'!$P$3:$P$181,"&lt;="&amp;DATE(2025,12,31),'2025数据'!$BF$3:$BF$181,$E$37,'2025数据'!$B$3:$B$181,E1189)/10000)</f>
        <v>0</v>
      </c>
    </row>
    <row r="1190" ht="24" customHeight="1" spans="1:17">
      <c r="A1190" s="99" t="s">
        <v>347</v>
      </c>
      <c r="B1190" s="99" t="s">
        <v>299</v>
      </c>
      <c r="C1190" s="99" t="s">
        <v>333</v>
      </c>
      <c r="D1190" s="53" t="s">
        <v>303</v>
      </c>
      <c r="E1190" s="53" t="s">
        <v>85</v>
      </c>
      <c r="F1190" s="219">
        <f ca="1">IF($S$1&lt;DATE(2025,1,1)," ",SUMIFS('2025数据'!$BG$3:$BG$181,'2025数据'!$P$3:$P$181,"&gt;="&amp;DATE(2025,1,1),'2025数据'!$P$3:$P$181,"&lt;="&amp;DATE(2025,1,31),'2025数据'!$BF$3:$BF$181,$E$37,'2025数据'!$B$3:$B$181,E1190)/10000)</f>
        <v>0</v>
      </c>
      <c r="G1190" s="219">
        <f ca="1">IF($S$1&lt;DATE(2025,2,1)," ",SUMIFS('2025数据'!$BG$3:$BG$181,'2025数据'!$P$3:$P$181,"&gt;="&amp;DATE(2025,2,1),'2025数据'!$P$3:$P$181,"&lt;="&amp;DATE(2025,2,28),'2025数据'!$BF$3:$BF$181,$E$37,'2025数据'!$B$3:$B$181,E1190)/10000)</f>
        <v>0</v>
      </c>
      <c r="H1190" s="219">
        <f ca="1">IF($S$1&lt;DATE(2025,3,1)," ",SUMIFS('2025数据'!$BG$3:$BG$181,'2025数据'!$P$3:$P$181,"&gt;="&amp;DATE(2025,3,1),'2025数据'!$P$3:$P$181,"&lt;="&amp;DATE(2025,3,31),'2025数据'!$BF$3:$BF$181,$E$37,'2025数据'!$B$3:$B$181,E1190)/10000)</f>
        <v>0</v>
      </c>
      <c r="I1190" s="219">
        <f ca="1">IF($S$1&lt;DATE(2025,4,1)," ",SUMIFS('2025数据'!$BG$3:$BG$181,'2025数据'!$P$3:$P$181,"&gt;="&amp;DATE(2025,4,1),'2025数据'!$P$3:$P$181,"&lt;="&amp;DATE(2025,4,30),'2025数据'!$BF$3:$BF$181,$E$37,'2025数据'!$B$3:$B$181,E1190)/10000)</f>
        <v>0</v>
      </c>
      <c r="J1190" s="219">
        <f ca="1">IF($S$1&lt;DATE(2025,5,1)," ",SUMIFS('2025数据'!$BG$3:$BG$181,'2025数据'!$P$3:$P$181,"&gt;="&amp;DATE(2025,5,1),'2025数据'!$P$3:$P$181,"&lt;="&amp;DATE(2025,5,31),'2025数据'!$BF$3:$BF$181,$E$37,'2025数据'!$B$3:$B$181,E1190)/10000)</f>
        <v>0</v>
      </c>
      <c r="K1190" s="229">
        <f ca="1">IF($S$1&lt;DATE(2025,6,1)," ",SUMIFS('2025数据'!$BG$3:$BG$181,'2025数据'!$P$3:$P$181,"&gt;="&amp;DATE(2025,6,1),'2025数据'!$P$3:$P$181,"&lt;="&amp;DATE(2025,6,30),'2025数据'!$BF$3:$BF$181,$E$37,'2025数据'!$B$3:$B$181,E1190)/10000)</f>
        <v>0.00148899999999994</v>
      </c>
      <c r="L1190" s="219">
        <f ca="1">IF($S$1&lt;DATE(2025,7,1)," ",SUMIFS('2025数据'!$BG$3:$BG$181,'2025数据'!$P$3:$P$181,"&gt;="&amp;DATE(2025,7,1),'2025数据'!$P$3:$P$181,"&lt;="&amp;DATE(2025,7,31),'2025数据'!$BF$3:$BF$181,$E$37,'2025数据'!$B$3:$B$181,E1190)/10000)</f>
        <v>0</v>
      </c>
      <c r="M1190" s="219">
        <f ca="1">IF($S$1&lt;DATE(2025,8,1)," ",SUMIFS('2025数据'!$BG$3:$BG$181,'2025数据'!$P$3:$P$181,"&gt;="&amp;DATE(2025,8,1),'2025数据'!$P$3:$P$181,"&lt;="&amp;DATE(2025,8,31),'2025数据'!$BF$3:$BF$181,$E$37,'2025数据'!$B$3:$B$181,E1190)/10000)</f>
        <v>0</v>
      </c>
      <c r="N1190" s="219">
        <f ca="1">IF($S$1&lt;DATE(2025,9,1)," ",SUMIFS('2025数据'!$BG$3:$BG$181,'2025数据'!$P$3:$P$181,"&gt;="&amp;DATE(2025,9,1),'2025数据'!$P$3:$P$181,"&lt;="&amp;DATE(2025,9,30),'2025数据'!$BF$3:$BF$181,$E$37,'2025数据'!$B$3:$B$181,E1190)/10000)</f>
        <v>0</v>
      </c>
      <c r="O1190" s="219">
        <f ca="1">IF($S$1&lt;DATE(2025,10,1)," ",SUMIFS('2025数据'!$BG$3:$BG$181,'2025数据'!$P$3:$P$181,"&gt;="&amp;DATE(2025,10,1),'2025数据'!$P$3:$P$181,"&lt;="&amp;DATE(2025,10,31),'2025数据'!$BF$3:$BF$181,$E$37,'2025数据'!$B$3:$B$181,E1190)/10000)</f>
        <v>0</v>
      </c>
      <c r="P1190" s="224">
        <f ca="1">IF($S$1&lt;DATE(2025,11,1)," ",SUMIFS('2025数据'!$BG$3:$BG$181,'2025数据'!$P$3:$P$181,"&gt;="&amp;DATE(2025,11,1),'2025数据'!$P$3:$P$181,"&lt;="&amp;DATE(2025,11,30),'2025数据'!$BF$3:$BF$181,$E$37,'2025数据'!$B$3:$B$181,E1190)/10000)</f>
        <v>0</v>
      </c>
      <c r="Q1190" s="224">
        <f ca="1">IF($S$1&lt;DATE(2025,12,1)," ",SUMIFS('2025数据'!$BG$3:$BG$181,'2025数据'!$P$3:$P$181,"&gt;="&amp;DATE(2025,12,1),'2025数据'!$P$3:$P$181,"&lt;="&amp;DATE(2025,12,31),'2025数据'!$BF$3:$BF$181,$E$37,'2025数据'!$B$3:$B$181,E1190)/10000)</f>
        <v>0</v>
      </c>
    </row>
    <row r="1191" ht="24" customHeight="1" spans="1:17">
      <c r="A1191" s="99" t="s">
        <v>347</v>
      </c>
      <c r="B1191" s="99" t="s">
        <v>299</v>
      </c>
      <c r="C1191" s="99" t="s">
        <v>333</v>
      </c>
      <c r="D1191" s="53" t="s">
        <v>303</v>
      </c>
      <c r="E1191" s="53" t="s">
        <v>81</v>
      </c>
      <c r="F1191" s="219">
        <f ca="1">IF($S$1&lt;DATE(2025,1,1)," ",SUMIFS('2025数据'!$BG$3:$BG$181,'2025数据'!$P$3:$P$181,"&gt;="&amp;DATE(2025,1,1),'2025数据'!$P$3:$P$181,"&lt;="&amp;DATE(2025,1,31),'2025数据'!$BF$3:$BF$181,$E$37,'2025数据'!$B$3:$B$181,E1191)/10000)</f>
        <v>0</v>
      </c>
      <c r="G1191" s="219">
        <f ca="1">IF($S$1&lt;DATE(2025,2,1)," ",SUMIFS('2025数据'!$BG$3:$BG$181,'2025数据'!$P$3:$P$181,"&gt;="&amp;DATE(2025,2,1),'2025数据'!$P$3:$P$181,"&lt;="&amp;DATE(2025,2,28),'2025数据'!$BF$3:$BF$181,$E$37,'2025数据'!$B$3:$B$181,E1191)/10000)</f>
        <v>0</v>
      </c>
      <c r="H1191" s="219">
        <f ca="1">IF($S$1&lt;DATE(2025,3,1)," ",SUMIFS('2025数据'!$BG$3:$BG$181,'2025数据'!$P$3:$P$181,"&gt;="&amp;DATE(2025,3,1),'2025数据'!$P$3:$P$181,"&lt;="&amp;DATE(2025,3,31),'2025数据'!$BF$3:$BF$181,$E$37,'2025数据'!$B$3:$B$181,E1191)/10000)</f>
        <v>0</v>
      </c>
      <c r="I1191" s="219">
        <f ca="1">IF($S$1&lt;DATE(2025,4,1)," ",SUMIFS('2025数据'!$BG$3:$BG$181,'2025数据'!$P$3:$P$181,"&gt;="&amp;DATE(2025,4,1),'2025数据'!$P$3:$P$181,"&lt;="&amp;DATE(2025,4,30),'2025数据'!$BF$3:$BF$181,$E$37,'2025数据'!$B$3:$B$181,E1191)/10000)</f>
        <v>0</v>
      </c>
      <c r="J1191" s="219">
        <f ca="1">IF($S$1&lt;DATE(2025,5,1)," ",SUMIFS('2025数据'!$BG$3:$BG$181,'2025数据'!$P$3:$P$181,"&gt;="&amp;DATE(2025,5,1),'2025数据'!$P$3:$P$181,"&lt;="&amp;DATE(2025,5,31),'2025数据'!$BF$3:$BF$181,$E$37,'2025数据'!$B$3:$B$181,E1191)/10000)</f>
        <v>0</v>
      </c>
      <c r="K1191" s="219">
        <f ca="1">IF($S$1&lt;DATE(2025,6,1)," ",SUMIFS('2025数据'!$BG$3:$BG$181,'2025数据'!$P$3:$P$181,"&gt;="&amp;DATE(2025,6,1),'2025数据'!$P$3:$P$181,"&lt;="&amp;DATE(2025,6,30),'2025数据'!$BF$3:$BF$181,$E$37,'2025数据'!$B$3:$B$181,E1191)/10000)</f>
        <v>0</v>
      </c>
      <c r="L1191" s="219">
        <f ca="1">IF($S$1&lt;DATE(2025,7,1)," ",SUMIFS('2025数据'!$BG$3:$BG$181,'2025数据'!$P$3:$P$181,"&gt;="&amp;DATE(2025,7,1),'2025数据'!$P$3:$P$181,"&lt;="&amp;DATE(2025,7,31),'2025数据'!$BF$3:$BF$181,$E$37,'2025数据'!$B$3:$B$181,E1191)/10000)</f>
        <v>0</v>
      </c>
      <c r="M1191" s="219">
        <f ca="1">IF($S$1&lt;DATE(2025,8,1)," ",SUMIFS('2025数据'!$BG$3:$BG$181,'2025数据'!$P$3:$P$181,"&gt;="&amp;DATE(2025,8,1),'2025数据'!$P$3:$P$181,"&lt;="&amp;DATE(2025,8,31),'2025数据'!$BF$3:$BF$181,$E$37,'2025数据'!$B$3:$B$181,E1191)/10000)</f>
        <v>0</v>
      </c>
      <c r="N1191" s="219">
        <f ca="1">IF($S$1&lt;DATE(2025,9,1)," ",SUMIFS('2025数据'!$BG$3:$BG$181,'2025数据'!$P$3:$P$181,"&gt;="&amp;DATE(2025,9,1),'2025数据'!$P$3:$P$181,"&lt;="&amp;DATE(2025,9,30),'2025数据'!$BF$3:$BF$181,$E$37,'2025数据'!$B$3:$B$181,E1191)/10000)</f>
        <v>0</v>
      </c>
      <c r="O1191" s="219">
        <f ca="1">IF($S$1&lt;DATE(2025,10,1)," ",SUMIFS('2025数据'!$BG$3:$BG$181,'2025数据'!$P$3:$P$181,"&gt;="&amp;DATE(2025,10,1),'2025数据'!$P$3:$P$181,"&lt;="&amp;DATE(2025,10,31),'2025数据'!$BF$3:$BF$181,$E$37,'2025数据'!$B$3:$B$181,E1191)/10000)</f>
        <v>0</v>
      </c>
      <c r="P1191" s="224">
        <f ca="1">IF($S$1&lt;DATE(2025,11,1)," ",SUMIFS('2025数据'!$BG$3:$BG$181,'2025数据'!$P$3:$P$181,"&gt;="&amp;DATE(2025,11,1),'2025数据'!$P$3:$P$181,"&lt;="&amp;DATE(2025,11,30),'2025数据'!$BF$3:$BF$181,$E$37,'2025数据'!$B$3:$B$181,E1191)/10000)</f>
        <v>0</v>
      </c>
      <c r="Q1191" s="224">
        <f ca="1">IF($S$1&lt;DATE(2025,12,1)," ",SUMIFS('2025数据'!$BG$3:$BG$181,'2025数据'!$P$3:$P$181,"&gt;="&amp;DATE(2025,12,1),'2025数据'!$P$3:$P$181,"&lt;="&amp;DATE(2025,12,31),'2025数据'!$BF$3:$BF$181,$E$37,'2025数据'!$B$3:$B$181,E1191)/10000)</f>
        <v>0</v>
      </c>
    </row>
    <row r="1192" ht="24" customHeight="1" spans="1:17">
      <c r="A1192" s="99" t="s">
        <v>347</v>
      </c>
      <c r="B1192" s="99" t="s">
        <v>299</v>
      </c>
      <c r="C1192" s="99" t="s">
        <v>333</v>
      </c>
      <c r="D1192" s="53" t="s">
        <v>303</v>
      </c>
      <c r="E1192" s="53" t="s">
        <v>96</v>
      </c>
      <c r="F1192" s="219">
        <f ca="1">IF($S$1&lt;DATE(2025,1,1)," ",SUMIFS('2025数据'!$BG$3:$BG$181,'2025数据'!$P$3:$P$181,"&gt;="&amp;DATE(2025,1,1),'2025数据'!$P$3:$P$181,"&lt;="&amp;DATE(2025,1,31),'2025数据'!$BF$3:$BF$181,$E$37,'2025数据'!$B$3:$B$181,E1192)/10000)</f>
        <v>0</v>
      </c>
      <c r="G1192" s="219">
        <f ca="1">IF($S$1&lt;DATE(2025,2,1)," ",SUMIFS('2025数据'!$BG$3:$BG$181,'2025数据'!$P$3:$P$181,"&gt;="&amp;DATE(2025,2,1),'2025数据'!$P$3:$P$181,"&lt;="&amp;DATE(2025,2,28),'2025数据'!$BF$3:$BF$181,$E$37,'2025数据'!$B$3:$B$181,E1192)/10000)</f>
        <v>0</v>
      </c>
      <c r="H1192" s="219">
        <f ca="1">IF($S$1&lt;DATE(2025,3,1)," ",SUMIFS('2025数据'!$BG$3:$BG$181,'2025数据'!$P$3:$P$181,"&gt;="&amp;DATE(2025,3,1),'2025数据'!$P$3:$P$181,"&lt;="&amp;DATE(2025,3,31),'2025数据'!$BF$3:$BF$181,$E$37,'2025数据'!$B$3:$B$181,E1192)/10000)</f>
        <v>0</v>
      </c>
      <c r="I1192" s="219">
        <f ca="1">IF($S$1&lt;DATE(2025,4,1)," ",SUMIFS('2025数据'!$BG$3:$BG$181,'2025数据'!$P$3:$P$181,"&gt;="&amp;DATE(2025,4,1),'2025数据'!$P$3:$P$181,"&lt;="&amp;DATE(2025,4,30),'2025数据'!$BF$3:$BF$181,$E$37,'2025数据'!$B$3:$B$181,E1192)/10000)</f>
        <v>0</v>
      </c>
      <c r="J1192" s="219">
        <f ca="1">IF($S$1&lt;DATE(2025,5,1)," ",SUMIFS('2025数据'!$BG$3:$BG$181,'2025数据'!$P$3:$P$181,"&gt;="&amp;DATE(2025,5,1),'2025数据'!$P$3:$P$181,"&lt;="&amp;DATE(2025,5,31),'2025数据'!$BF$3:$BF$181,$E$37,'2025数据'!$B$3:$B$181,E1192)/10000)</f>
        <v>0</v>
      </c>
      <c r="K1192" s="219">
        <f ca="1">IF($S$1&lt;DATE(2025,6,1)," ",SUMIFS('2025数据'!$BG$3:$BG$181,'2025数据'!$P$3:$P$181,"&gt;="&amp;DATE(2025,6,1),'2025数据'!$P$3:$P$181,"&lt;="&amp;DATE(2025,6,30),'2025数据'!$BF$3:$BF$181,$E$37,'2025数据'!$B$3:$B$181,E1192)/10000)</f>
        <v>0</v>
      </c>
      <c r="L1192" s="219">
        <f ca="1">IF($S$1&lt;DATE(2025,7,1)," ",SUMIFS('2025数据'!$BG$3:$BG$181,'2025数据'!$P$3:$P$181,"&gt;="&amp;DATE(2025,7,1),'2025数据'!$P$3:$P$181,"&lt;="&amp;DATE(2025,7,31),'2025数据'!$BF$3:$BF$181,$E$37,'2025数据'!$B$3:$B$181,E1192)/10000)</f>
        <v>0</v>
      </c>
      <c r="M1192" s="219">
        <f ca="1">IF($S$1&lt;DATE(2025,8,1)," ",SUMIFS('2025数据'!$BG$3:$BG$181,'2025数据'!$P$3:$P$181,"&gt;="&amp;DATE(2025,8,1),'2025数据'!$P$3:$P$181,"&lt;="&amp;DATE(2025,8,31),'2025数据'!$BF$3:$BF$181,$E$37,'2025数据'!$B$3:$B$181,E1192)/10000)</f>
        <v>0</v>
      </c>
      <c r="N1192" s="219">
        <f ca="1">IF($S$1&lt;DATE(2025,9,1)," ",SUMIFS('2025数据'!$BG$3:$BG$181,'2025数据'!$P$3:$P$181,"&gt;="&amp;DATE(2025,9,1),'2025数据'!$P$3:$P$181,"&lt;="&amp;DATE(2025,9,30),'2025数据'!$BF$3:$BF$181,$E$37,'2025数据'!$B$3:$B$181,E1192)/10000)</f>
        <v>0</v>
      </c>
      <c r="O1192" s="219">
        <f ca="1">IF($S$1&lt;DATE(2025,10,1)," ",SUMIFS('2025数据'!$BG$3:$BG$181,'2025数据'!$P$3:$P$181,"&gt;="&amp;DATE(2025,10,1),'2025数据'!$P$3:$P$181,"&lt;="&amp;DATE(2025,10,31),'2025数据'!$BF$3:$BF$181,$E$37,'2025数据'!$B$3:$B$181,E1192)/10000)</f>
        <v>0</v>
      </c>
      <c r="P1192" s="224">
        <f ca="1">IF($S$1&lt;DATE(2025,11,1)," ",SUMIFS('2025数据'!$BG$3:$BG$181,'2025数据'!$P$3:$P$181,"&gt;="&amp;DATE(2025,11,1),'2025数据'!$P$3:$P$181,"&lt;="&amp;DATE(2025,11,30),'2025数据'!$BF$3:$BF$181,$E$37,'2025数据'!$B$3:$B$181,E1192)/10000)</f>
        <v>0</v>
      </c>
      <c r="Q1192" s="224">
        <f ca="1">IF($S$1&lt;DATE(2025,12,1)," ",SUMIFS('2025数据'!$BG$3:$BG$181,'2025数据'!$P$3:$P$181,"&gt;="&amp;DATE(2025,12,1),'2025数据'!$P$3:$P$181,"&lt;="&amp;DATE(2025,12,31),'2025数据'!$BF$3:$BF$181,$E$37,'2025数据'!$B$3:$B$181,E1192)/10000)</f>
        <v>0</v>
      </c>
    </row>
    <row r="1193" ht="24" customHeight="1" spans="1:17">
      <c r="A1193" s="99" t="s">
        <v>347</v>
      </c>
      <c r="B1193" s="99" t="s">
        <v>299</v>
      </c>
      <c r="C1193" s="99" t="s">
        <v>333</v>
      </c>
      <c r="D1193" s="53" t="s">
        <v>303</v>
      </c>
      <c r="E1193" s="53" t="s">
        <v>160</v>
      </c>
      <c r="F1193" s="219">
        <f ca="1">IF($S$1&lt;DATE(2025,1,1)," ",SUMIFS('2025数据'!$BG$3:$BG$181,'2025数据'!$P$3:$P$181,"&gt;="&amp;DATE(2025,1,1),'2025数据'!$P$3:$P$181,"&lt;="&amp;DATE(2025,1,31),'2025数据'!$BF$3:$BF$181,$E$37,'2025数据'!$B$3:$B$181,E1193)/10000)</f>
        <v>0</v>
      </c>
      <c r="G1193" s="219">
        <f ca="1">IF($S$1&lt;DATE(2025,2,1)," ",SUMIFS('2025数据'!$BG$3:$BG$181,'2025数据'!$P$3:$P$181,"&gt;="&amp;DATE(2025,2,1),'2025数据'!$P$3:$P$181,"&lt;="&amp;DATE(2025,2,28),'2025数据'!$BF$3:$BF$181,$E$37,'2025数据'!$B$3:$B$181,E1193)/10000)</f>
        <v>0</v>
      </c>
      <c r="H1193" s="219">
        <f ca="1">IF($S$1&lt;DATE(2025,3,1)," ",SUMIFS('2025数据'!$BG$3:$BG$181,'2025数据'!$P$3:$P$181,"&gt;="&amp;DATE(2025,3,1),'2025数据'!$P$3:$P$181,"&lt;="&amp;DATE(2025,3,31),'2025数据'!$BF$3:$BF$181,$E$37,'2025数据'!$B$3:$B$181,E1193)/10000)</f>
        <v>0</v>
      </c>
      <c r="I1193" s="219">
        <f ca="1">IF($S$1&lt;DATE(2025,4,1)," ",SUMIFS('2025数据'!$BG$3:$BG$181,'2025数据'!$P$3:$P$181,"&gt;="&amp;DATE(2025,4,1),'2025数据'!$P$3:$P$181,"&lt;="&amp;DATE(2025,4,30),'2025数据'!$BF$3:$BF$181,$E$37,'2025数据'!$B$3:$B$181,E1193)/10000)</f>
        <v>0</v>
      </c>
      <c r="J1193" s="219">
        <f ca="1">IF($S$1&lt;DATE(2025,5,1)," ",SUMIFS('2025数据'!$BG$3:$BG$181,'2025数据'!$P$3:$P$181,"&gt;="&amp;DATE(2025,5,1),'2025数据'!$P$3:$P$181,"&lt;="&amp;DATE(2025,5,31),'2025数据'!$BF$3:$BF$181,$E$37,'2025数据'!$B$3:$B$181,E1193)/10000)</f>
        <v>0</v>
      </c>
      <c r="K1193" s="219">
        <f ca="1">IF($S$1&lt;DATE(2025,6,1)," ",SUMIFS('2025数据'!$BG$3:$BG$181,'2025数据'!$P$3:$P$181,"&gt;="&amp;DATE(2025,6,1),'2025数据'!$P$3:$P$181,"&lt;="&amp;DATE(2025,6,30),'2025数据'!$BF$3:$BF$181,$E$37,'2025数据'!$B$3:$B$181,E1193)/10000)</f>
        <v>0</v>
      </c>
      <c r="L1193" s="219">
        <f ca="1">IF($S$1&lt;DATE(2025,7,1)," ",SUMIFS('2025数据'!$BG$3:$BG$181,'2025数据'!$P$3:$P$181,"&gt;="&amp;DATE(2025,7,1),'2025数据'!$P$3:$P$181,"&lt;="&amp;DATE(2025,7,31),'2025数据'!$BF$3:$BF$181,$E$37,'2025数据'!$B$3:$B$181,E1193)/10000)</f>
        <v>0</v>
      </c>
      <c r="M1193" s="219">
        <f ca="1">IF($S$1&lt;DATE(2025,8,1)," ",SUMIFS('2025数据'!$BG$3:$BG$181,'2025数据'!$P$3:$P$181,"&gt;="&amp;DATE(2025,8,1),'2025数据'!$P$3:$P$181,"&lt;="&amp;DATE(2025,8,31),'2025数据'!$BF$3:$BF$181,$E$37,'2025数据'!$B$3:$B$181,E1193)/10000)</f>
        <v>0</v>
      </c>
      <c r="N1193" s="219">
        <f ca="1">IF($S$1&lt;DATE(2025,9,1)," ",SUMIFS('2025数据'!$BG$3:$BG$181,'2025数据'!$P$3:$P$181,"&gt;="&amp;DATE(2025,9,1),'2025数据'!$P$3:$P$181,"&lt;="&amp;DATE(2025,9,30),'2025数据'!$BF$3:$BF$181,$E$37,'2025数据'!$B$3:$B$181,E1193)/10000)</f>
        <v>0</v>
      </c>
      <c r="O1193" s="219">
        <f ca="1">IF($S$1&lt;DATE(2025,10,1)," ",SUMIFS('2025数据'!$BG$3:$BG$181,'2025数据'!$P$3:$P$181,"&gt;="&amp;DATE(2025,10,1),'2025数据'!$P$3:$P$181,"&lt;="&amp;DATE(2025,10,31),'2025数据'!$BF$3:$BF$181,$E$37,'2025数据'!$B$3:$B$181,E1193)/10000)</f>
        <v>0</v>
      </c>
      <c r="P1193" s="224">
        <f ca="1">IF($S$1&lt;DATE(2025,11,1)," ",SUMIFS('2025数据'!$BG$3:$BG$181,'2025数据'!$P$3:$P$181,"&gt;="&amp;DATE(2025,11,1),'2025数据'!$P$3:$P$181,"&lt;="&amp;DATE(2025,11,30),'2025数据'!$BF$3:$BF$181,$E$37,'2025数据'!$B$3:$B$181,E1193)/10000)</f>
        <v>0</v>
      </c>
      <c r="Q1193" s="224">
        <f ca="1">IF($S$1&lt;DATE(2025,12,1)," ",SUMIFS('2025数据'!$BG$3:$BG$181,'2025数据'!$P$3:$P$181,"&gt;="&amp;DATE(2025,12,1),'2025数据'!$P$3:$P$181,"&lt;="&amp;DATE(2025,12,31),'2025数据'!$BF$3:$BF$181,$E$37,'2025数据'!$B$3:$B$181,E1193)/10000)</f>
        <v>0</v>
      </c>
    </row>
    <row r="1194" ht="24" customHeight="1" spans="1:17">
      <c r="A1194" s="99" t="s">
        <v>347</v>
      </c>
      <c r="B1194" s="99" t="s">
        <v>299</v>
      </c>
      <c r="C1194" s="99" t="s">
        <v>333</v>
      </c>
      <c r="D1194" s="53" t="s">
        <v>304</v>
      </c>
      <c r="E1194" s="53" t="s">
        <v>93</v>
      </c>
      <c r="F1194" s="219">
        <f ca="1">IF($S$1&lt;DATE(2025,1,1)," ",SUMIFS('2025数据'!$BG$3:$BG$181,'2025数据'!$P$3:$P$181,"&gt;="&amp;DATE(2025,1,1),'2025数据'!$P$3:$P$181,"&lt;="&amp;DATE(2025,1,31),'2025数据'!$BF$3:$BF$181,$E$38,'2025数据'!$B$3:$B$181,E1194)/10000)</f>
        <v>0.0150929999999993</v>
      </c>
      <c r="G1194" s="219">
        <f ca="1">IF($S$1&lt;DATE(2025,2,1)," ",SUMIFS('2025数据'!$BG$3:$BG$181,'2025数据'!$P$3:$P$181,"&gt;="&amp;DATE(2025,2,1),'2025数据'!$P$3:$P$181,"&lt;="&amp;DATE(2025,2,28),'2025数据'!$BF$3:$BF$181,$E$38,'2025数据'!$B$3:$B$181,E1194)/10000)</f>
        <v>0</v>
      </c>
      <c r="H1194" s="219">
        <f ca="1">IF($S$1&lt;DATE(2025,3,1)," ",SUMIFS('2025数据'!$BG$3:$BG$181,'2025数据'!$P$3:$P$181,"&gt;="&amp;DATE(2025,3,1),'2025数据'!$P$3:$P$181,"&lt;="&amp;DATE(2025,3,31),'2025数据'!$BF$3:$BF$181,$E$38,'2025数据'!$B$3:$B$181,E1194)/10000)</f>
        <v>0</v>
      </c>
      <c r="I1194" s="219">
        <f ca="1">IF($S$1&lt;DATE(2025,4,1)," ",SUMIFS('2025数据'!$BG$3:$BG$181,'2025数据'!$P$3:$P$181,"&gt;="&amp;DATE(2025,4,1),'2025数据'!$P$3:$P$181,"&lt;="&amp;DATE(2025,4,30),'2025数据'!$BF$3:$BF$181,$E$38,'2025数据'!$B$3:$B$181,E1194)/10000)</f>
        <v>0</v>
      </c>
      <c r="J1194" s="219">
        <f ca="1">IF($S$1&lt;DATE(2025,5,1)," ",SUMIFS('2025数据'!$BG$3:$BG$181,'2025数据'!$P$3:$P$181,"&gt;="&amp;DATE(2025,5,1),'2025数据'!$P$3:$P$181,"&lt;="&amp;DATE(2025,5,31),'2025数据'!$BF$3:$BF$181,$E$38,'2025数据'!$B$3:$B$181,E1194)/10000)</f>
        <v>0</v>
      </c>
      <c r="K1194" s="219">
        <f ca="1">IF($S$1&lt;DATE(2025,6,1)," ",SUMIFS('2025数据'!$BG$3:$BG$181,'2025数据'!$P$3:$P$181,"&gt;="&amp;DATE(2025,6,1),'2025数据'!$P$3:$P$181,"&lt;="&amp;DATE(2025,6,30),'2025数据'!$BF$3:$BF$181,$E$38,'2025数据'!$B$3:$B$181,E1194)/10000)</f>
        <v>0.000219000000000233</v>
      </c>
      <c r="L1194" s="219">
        <f ca="1">IF($S$1&lt;DATE(2025,7,1)," ",SUMIFS('2025数据'!$BG$3:$BG$181,'2025数据'!$P$3:$P$181,"&gt;="&amp;DATE(2025,7,1),'2025数据'!$P$3:$P$181,"&lt;="&amp;DATE(2025,7,31),'2025数据'!$BF$3:$BF$181,$E$38,'2025数据'!$B$3:$B$181,E1194)/10000)</f>
        <v>0</v>
      </c>
      <c r="M1194" s="219">
        <f ca="1">IF($S$1&lt;DATE(2025,8,1)," ",SUMIFS('2025数据'!$BG$3:$BG$181,'2025数据'!$P$3:$P$181,"&gt;="&amp;DATE(2025,8,1),'2025数据'!$P$3:$P$181,"&lt;="&amp;DATE(2025,8,31),'2025数据'!$BF$3:$BF$181,$E$38,'2025数据'!$B$3:$B$181,E1194)/10000)</f>
        <v>0</v>
      </c>
      <c r="N1194" s="219">
        <f ca="1">IF($S$1&lt;DATE(2025,9,1)," ",SUMIFS('2025数据'!$BG$3:$BG$181,'2025数据'!$P$3:$P$181,"&gt;="&amp;DATE(2025,9,1),'2025数据'!$P$3:$P$181,"&lt;="&amp;DATE(2025,9,30),'2025数据'!$BF$3:$BF$181,$E$38,'2025数据'!$B$3:$B$181,E1194)/10000)</f>
        <v>0</v>
      </c>
      <c r="O1194" s="219">
        <f ca="1">IF($S$1&lt;DATE(2025,10,1)," ",SUMIFS('2025数据'!$BG$3:$BG$181,'2025数据'!$P$3:$P$181,"&gt;="&amp;DATE(2025,10,1),'2025数据'!$P$3:$P$181,"&lt;="&amp;DATE(2025,10,31),'2025数据'!$BF$3:$BF$181,$E$38,'2025数据'!$B$3:$B$181,E1194)/10000)</f>
        <v>0</v>
      </c>
      <c r="P1194" s="224">
        <f ca="1">IF($S$1&lt;DATE(2025,11,1)," ",SUMIFS('2025数据'!$BG$3:$BG$181,'2025数据'!$P$3:$P$181,"&gt;="&amp;DATE(2025,11,1),'2025数据'!$P$3:$P$181,"&lt;="&amp;DATE(2025,11,30),'2025数据'!$BF$3:$BF$181,$E$38,'2025数据'!$B$3:$B$181,E1194)/10000)</f>
        <v>0.010577</v>
      </c>
      <c r="Q1194" s="224">
        <f ca="1">IF($S$1&lt;DATE(2025,12,1)," ",SUMIFS('2025数据'!$BG$3:$BG$181,'2025数据'!$P$3:$P$181,"&gt;="&amp;DATE(2025,12,1),'2025数据'!$P$3:$P$181,"&lt;="&amp;DATE(2025,12,31),'2025数据'!$BF$3:$BF$181,$E$38,'2025数据'!$B$3:$B$181,E1194)/10000)</f>
        <v>0</v>
      </c>
    </row>
    <row r="1195" ht="24" customHeight="1" spans="1:17">
      <c r="A1195" s="99" t="s">
        <v>347</v>
      </c>
      <c r="B1195" s="99" t="s">
        <v>299</v>
      </c>
      <c r="C1195" s="99" t="s">
        <v>333</v>
      </c>
      <c r="D1195" s="53" t="s">
        <v>304</v>
      </c>
      <c r="E1195" s="53" t="s">
        <v>85</v>
      </c>
      <c r="F1195" s="219">
        <f ca="1">IF($S$1&lt;DATE(2025,1,1)," ",SUMIFS('2025数据'!$BG$3:$BG$181,'2025数据'!$P$3:$P$181,"&gt;="&amp;DATE(2025,1,1),'2025数据'!$P$3:$P$181,"&lt;="&amp;DATE(2025,1,31),'2025数据'!$BF$3:$BF$181,$E$38,'2025数据'!$B$3:$B$181,E1195)/10000)</f>
        <v>0</v>
      </c>
      <c r="G1195" s="219">
        <f ca="1">IF($S$1&lt;DATE(2025,2,1)," ",SUMIFS('2025数据'!$BG$3:$BG$181,'2025数据'!$P$3:$P$181,"&gt;="&amp;DATE(2025,2,1),'2025数据'!$P$3:$P$181,"&lt;="&amp;DATE(2025,2,28),'2025数据'!$BF$3:$BF$181,$E$38,'2025数据'!$B$3:$B$181,E1195)/10000)</f>
        <v>0</v>
      </c>
      <c r="H1195" s="219">
        <f ca="1">IF($S$1&lt;DATE(2025,3,1)," ",SUMIFS('2025数据'!$BG$3:$BG$181,'2025数据'!$P$3:$P$181,"&gt;="&amp;DATE(2025,3,1),'2025数据'!$P$3:$P$181,"&lt;="&amp;DATE(2025,3,31),'2025数据'!$BF$3:$BF$181,$E$38,'2025数据'!$B$3:$B$181,E1195)/10000)</f>
        <v>0</v>
      </c>
      <c r="I1195" s="219">
        <f ca="1">IF($S$1&lt;DATE(2025,4,1)," ",SUMIFS('2025数据'!$BG$3:$BG$181,'2025数据'!$P$3:$P$181,"&gt;="&amp;DATE(2025,4,1),'2025数据'!$P$3:$P$181,"&lt;="&amp;DATE(2025,4,30),'2025数据'!$BF$3:$BF$181,$E$38,'2025数据'!$B$3:$B$181,E1195)/10000)</f>
        <v>0</v>
      </c>
      <c r="J1195" s="219">
        <f ca="1">IF($S$1&lt;DATE(2025,5,1)," ",SUMIFS('2025数据'!$BG$3:$BG$181,'2025数据'!$P$3:$P$181,"&gt;="&amp;DATE(2025,5,1),'2025数据'!$P$3:$P$181,"&lt;="&amp;DATE(2025,5,31),'2025数据'!$BF$3:$BF$181,$E$38,'2025数据'!$B$3:$B$181,E1195)/10000)</f>
        <v>0</v>
      </c>
      <c r="K1195" s="219">
        <f ca="1">IF($S$1&lt;DATE(2025,6,1)," ",SUMIFS('2025数据'!$BG$3:$BG$181,'2025数据'!$P$3:$P$181,"&gt;="&amp;DATE(2025,6,1),'2025数据'!$P$3:$P$181,"&lt;="&amp;DATE(2025,6,30),'2025数据'!$BF$3:$BF$181,$E$38,'2025数据'!$B$3:$B$181,E1195)/10000)</f>
        <v>0</v>
      </c>
      <c r="L1195" s="219">
        <f ca="1">IF($S$1&lt;DATE(2025,7,1)," ",SUMIFS('2025数据'!$BG$3:$BG$181,'2025数据'!$P$3:$P$181,"&gt;="&amp;DATE(2025,7,1),'2025数据'!$P$3:$P$181,"&lt;="&amp;DATE(2025,7,31),'2025数据'!$BF$3:$BF$181,$E$38,'2025数据'!$B$3:$B$181,E1195)/10000)</f>
        <v>0</v>
      </c>
      <c r="M1195" s="219">
        <f ca="1">IF($S$1&lt;DATE(2025,8,1)," ",SUMIFS('2025数据'!$BG$3:$BG$181,'2025数据'!$P$3:$P$181,"&gt;="&amp;DATE(2025,8,1),'2025数据'!$P$3:$P$181,"&lt;="&amp;DATE(2025,8,31),'2025数据'!$BF$3:$BF$181,$E$38,'2025数据'!$B$3:$B$181,E1195)/10000)</f>
        <v>0</v>
      </c>
      <c r="N1195" s="219">
        <f ca="1">IF($S$1&lt;DATE(2025,9,1)," ",SUMIFS('2025数据'!$BG$3:$BG$181,'2025数据'!$P$3:$P$181,"&gt;="&amp;DATE(2025,9,1),'2025数据'!$P$3:$P$181,"&lt;="&amp;DATE(2025,9,30),'2025数据'!$BF$3:$BF$181,$E$38,'2025数据'!$B$3:$B$181,E1195)/10000)</f>
        <v>0</v>
      </c>
      <c r="O1195" s="219">
        <f ca="1">IF($S$1&lt;DATE(2025,10,1)," ",SUMIFS('2025数据'!$BG$3:$BG$181,'2025数据'!$P$3:$P$181,"&gt;="&amp;DATE(2025,10,1),'2025数据'!$P$3:$P$181,"&lt;="&amp;DATE(2025,10,31),'2025数据'!$BF$3:$BF$181,$E$38,'2025数据'!$B$3:$B$181,E1195)/10000)</f>
        <v>0</v>
      </c>
      <c r="P1195" s="224">
        <f ca="1">IF($S$1&lt;DATE(2025,11,1)," ",SUMIFS('2025数据'!$BG$3:$BG$181,'2025数据'!$P$3:$P$181,"&gt;="&amp;DATE(2025,11,1),'2025数据'!$P$3:$P$181,"&lt;="&amp;DATE(2025,11,30),'2025数据'!$BF$3:$BF$181,$E$38,'2025数据'!$B$3:$B$181,E1195)/10000)</f>
        <v>0</v>
      </c>
      <c r="Q1195" s="224">
        <f ca="1">IF($S$1&lt;DATE(2025,12,1)," ",SUMIFS('2025数据'!$BG$3:$BG$181,'2025数据'!$P$3:$P$181,"&gt;="&amp;DATE(2025,12,1),'2025数据'!$P$3:$P$181,"&lt;="&amp;DATE(2025,12,31),'2025数据'!$BF$3:$BF$181,$E$38,'2025数据'!$B$3:$B$181,E1195)/10000)</f>
        <v>0</v>
      </c>
    </row>
    <row r="1196" ht="24" customHeight="1" spans="1:17">
      <c r="A1196" s="99" t="s">
        <v>347</v>
      </c>
      <c r="B1196" s="99" t="s">
        <v>299</v>
      </c>
      <c r="C1196" s="99" t="s">
        <v>333</v>
      </c>
      <c r="D1196" s="53" t="s">
        <v>304</v>
      </c>
      <c r="E1196" s="53" t="s">
        <v>81</v>
      </c>
      <c r="F1196" s="219">
        <f ca="1">IF($S$1&lt;DATE(2025,1,1)," ",SUMIFS('2025数据'!$BG$3:$BG$181,'2025数据'!$P$3:$P$181,"&gt;="&amp;DATE(2025,1,1),'2025数据'!$P$3:$P$181,"&lt;="&amp;DATE(2025,1,31),'2025数据'!$BF$3:$BF$181,$E$38,'2025数据'!$B$3:$B$181,E1196)/10000)</f>
        <v>0</v>
      </c>
      <c r="G1196" s="219">
        <f ca="1">IF($S$1&lt;DATE(2025,2,1)," ",SUMIFS('2025数据'!$BG$3:$BG$181,'2025数据'!$P$3:$P$181,"&gt;="&amp;DATE(2025,2,1),'2025数据'!$P$3:$P$181,"&lt;="&amp;DATE(2025,2,28),'2025数据'!$BF$3:$BF$181,$E$38,'2025数据'!$B$3:$B$181,E1196)/10000)</f>
        <v>0</v>
      </c>
      <c r="H1196" s="219">
        <f ca="1">IF($S$1&lt;DATE(2025,3,1)," ",SUMIFS('2025数据'!$BG$3:$BG$181,'2025数据'!$P$3:$P$181,"&gt;="&amp;DATE(2025,3,1),'2025数据'!$P$3:$P$181,"&lt;="&amp;DATE(2025,3,31),'2025数据'!$BF$3:$BF$181,$E$38,'2025数据'!$B$3:$B$181,E1196)/10000)</f>
        <v>0</v>
      </c>
      <c r="I1196" s="219">
        <f ca="1">IF($S$1&lt;DATE(2025,4,1)," ",SUMIFS('2025数据'!$BG$3:$BG$181,'2025数据'!$P$3:$P$181,"&gt;="&amp;DATE(2025,4,1),'2025数据'!$P$3:$P$181,"&lt;="&amp;DATE(2025,4,30),'2025数据'!$BF$3:$BF$181,$E$38,'2025数据'!$B$3:$B$181,E1196)/10000)</f>
        <v>0</v>
      </c>
      <c r="J1196" s="219">
        <f ca="1">IF($S$1&lt;DATE(2025,5,1)," ",SUMIFS('2025数据'!$BG$3:$BG$181,'2025数据'!$P$3:$P$181,"&gt;="&amp;DATE(2025,5,1),'2025数据'!$P$3:$P$181,"&lt;="&amp;DATE(2025,5,31),'2025数据'!$BF$3:$BF$181,$E$38,'2025数据'!$B$3:$B$181,E1196)/10000)</f>
        <v>0</v>
      </c>
      <c r="K1196" s="219">
        <f ca="1">IF($S$1&lt;DATE(2025,6,1)," ",SUMIFS('2025数据'!$BG$3:$BG$181,'2025数据'!$P$3:$P$181,"&gt;="&amp;DATE(2025,6,1),'2025数据'!$P$3:$P$181,"&lt;="&amp;DATE(2025,6,30),'2025数据'!$BF$3:$BF$181,$E$38,'2025数据'!$B$3:$B$181,E1196)/10000)</f>
        <v>0</v>
      </c>
      <c r="L1196" s="219">
        <f ca="1">IF($S$1&lt;DATE(2025,7,1)," ",SUMIFS('2025数据'!$BG$3:$BG$181,'2025数据'!$P$3:$P$181,"&gt;="&amp;DATE(2025,7,1),'2025数据'!$P$3:$P$181,"&lt;="&amp;DATE(2025,7,31),'2025数据'!$BF$3:$BF$181,$E$38,'2025数据'!$B$3:$B$181,E1196)/10000)</f>
        <v>0</v>
      </c>
      <c r="M1196" s="219">
        <f ca="1">IF($S$1&lt;DATE(2025,8,1)," ",SUMIFS('2025数据'!$BG$3:$BG$181,'2025数据'!$P$3:$P$181,"&gt;="&amp;DATE(2025,8,1),'2025数据'!$P$3:$P$181,"&lt;="&amp;DATE(2025,8,31),'2025数据'!$BF$3:$BF$181,$E$38,'2025数据'!$B$3:$B$181,E1196)/10000)</f>
        <v>0</v>
      </c>
      <c r="N1196" s="219">
        <f ca="1">IF($S$1&lt;DATE(2025,9,1)," ",SUMIFS('2025数据'!$BG$3:$BG$181,'2025数据'!$P$3:$P$181,"&gt;="&amp;DATE(2025,9,1),'2025数据'!$P$3:$P$181,"&lt;="&amp;DATE(2025,9,30),'2025数据'!$BF$3:$BF$181,$E$38,'2025数据'!$B$3:$B$181,E1196)/10000)</f>
        <v>0</v>
      </c>
      <c r="O1196" s="219">
        <f ca="1">IF($S$1&lt;DATE(2025,10,1)," ",SUMIFS('2025数据'!$BG$3:$BG$181,'2025数据'!$P$3:$P$181,"&gt;="&amp;DATE(2025,10,1),'2025数据'!$P$3:$P$181,"&lt;="&amp;DATE(2025,10,31),'2025数据'!$BF$3:$BF$181,$E$38,'2025数据'!$B$3:$B$181,E1196)/10000)</f>
        <v>0</v>
      </c>
      <c r="P1196" s="224">
        <f ca="1">IF($S$1&lt;DATE(2025,11,1)," ",SUMIFS('2025数据'!$BG$3:$BG$181,'2025数据'!$P$3:$P$181,"&gt;="&amp;DATE(2025,11,1),'2025数据'!$P$3:$P$181,"&lt;="&amp;DATE(2025,11,30),'2025数据'!$BF$3:$BF$181,$E$38,'2025数据'!$B$3:$B$181,E1196)/10000)</f>
        <v>0</v>
      </c>
      <c r="Q1196" s="224">
        <f ca="1">IF($S$1&lt;DATE(2025,12,1)," ",SUMIFS('2025数据'!$BG$3:$BG$181,'2025数据'!$P$3:$P$181,"&gt;="&amp;DATE(2025,12,1),'2025数据'!$P$3:$P$181,"&lt;="&amp;DATE(2025,12,31),'2025数据'!$BF$3:$BF$181,$E$38,'2025数据'!$B$3:$B$181,E1196)/10000)</f>
        <v>0</v>
      </c>
    </row>
    <row r="1197" ht="24" customHeight="1" spans="1:17">
      <c r="A1197" s="99" t="s">
        <v>347</v>
      </c>
      <c r="B1197" s="99" t="s">
        <v>299</v>
      </c>
      <c r="C1197" s="99" t="s">
        <v>333</v>
      </c>
      <c r="D1197" s="53" t="s">
        <v>304</v>
      </c>
      <c r="E1197" s="53" t="s">
        <v>96</v>
      </c>
      <c r="F1197" s="219">
        <f ca="1">IF($S$1&lt;DATE(2025,1,1)," ",SUMIFS('2025数据'!$BG$3:$BG$181,'2025数据'!$P$3:$P$181,"&gt;="&amp;DATE(2025,1,1),'2025数据'!$P$3:$P$181,"&lt;="&amp;DATE(2025,1,31),'2025数据'!$BF$3:$BF$181,$E$38,'2025数据'!$B$3:$B$181,E1197)/10000)</f>
        <v>0</v>
      </c>
      <c r="G1197" s="219">
        <f ca="1">IF($S$1&lt;DATE(2025,2,1)," ",SUMIFS('2025数据'!$BG$3:$BG$181,'2025数据'!$P$3:$P$181,"&gt;="&amp;DATE(2025,2,1),'2025数据'!$P$3:$P$181,"&lt;="&amp;DATE(2025,2,28),'2025数据'!$BF$3:$BF$181,$E$38,'2025数据'!$B$3:$B$181,E1197)/10000)</f>
        <v>0</v>
      </c>
      <c r="H1197" s="219">
        <f ca="1">IF($S$1&lt;DATE(2025,3,1)," ",SUMIFS('2025数据'!$BG$3:$BG$181,'2025数据'!$P$3:$P$181,"&gt;="&amp;DATE(2025,3,1),'2025数据'!$P$3:$P$181,"&lt;="&amp;DATE(2025,3,31),'2025数据'!$BF$3:$BF$181,$E$38,'2025数据'!$B$3:$B$181,E1197)/10000)</f>
        <v>0</v>
      </c>
      <c r="I1197" s="219">
        <f ca="1">IF($S$1&lt;DATE(2025,4,1)," ",SUMIFS('2025数据'!$BG$3:$BG$181,'2025数据'!$P$3:$P$181,"&gt;="&amp;DATE(2025,4,1),'2025数据'!$P$3:$P$181,"&lt;="&amp;DATE(2025,4,30),'2025数据'!$BF$3:$BF$181,$E$38,'2025数据'!$B$3:$B$181,E1197)/10000)</f>
        <v>0</v>
      </c>
      <c r="J1197" s="219">
        <f ca="1">IF($S$1&lt;DATE(2025,5,1)," ",SUMIFS('2025数据'!$BG$3:$BG$181,'2025数据'!$P$3:$P$181,"&gt;="&amp;DATE(2025,5,1),'2025数据'!$P$3:$P$181,"&lt;="&amp;DATE(2025,5,31),'2025数据'!$BF$3:$BF$181,$E$38,'2025数据'!$B$3:$B$181,E1197)/10000)</f>
        <v>0</v>
      </c>
      <c r="K1197" s="219">
        <f ca="1">IF($S$1&lt;DATE(2025,6,1)," ",SUMIFS('2025数据'!$BG$3:$BG$181,'2025数据'!$P$3:$P$181,"&gt;="&amp;DATE(2025,6,1),'2025数据'!$P$3:$P$181,"&lt;="&amp;DATE(2025,6,30),'2025数据'!$BF$3:$BF$181,$E$38,'2025数据'!$B$3:$B$181,E1197)/10000)</f>
        <v>0</v>
      </c>
      <c r="L1197" s="219">
        <f ca="1">IF($S$1&lt;DATE(2025,7,1)," ",SUMIFS('2025数据'!$BG$3:$BG$181,'2025数据'!$P$3:$P$181,"&gt;="&amp;DATE(2025,7,1),'2025数据'!$P$3:$P$181,"&lt;="&amp;DATE(2025,7,31),'2025数据'!$BF$3:$BF$181,$E$38,'2025数据'!$B$3:$B$181,E1197)/10000)</f>
        <v>0</v>
      </c>
      <c r="M1197" s="219">
        <f ca="1">IF($S$1&lt;DATE(2025,8,1)," ",SUMIFS('2025数据'!$BG$3:$BG$181,'2025数据'!$P$3:$P$181,"&gt;="&amp;DATE(2025,8,1),'2025数据'!$P$3:$P$181,"&lt;="&amp;DATE(2025,8,31),'2025数据'!$BF$3:$BF$181,$E$38,'2025数据'!$B$3:$B$181,E1197)/10000)</f>
        <v>0</v>
      </c>
      <c r="N1197" s="219">
        <f ca="1">IF($S$1&lt;DATE(2025,9,1)," ",SUMIFS('2025数据'!$BG$3:$BG$181,'2025数据'!$P$3:$P$181,"&gt;="&amp;DATE(2025,9,1),'2025数据'!$P$3:$P$181,"&lt;="&amp;DATE(2025,9,30),'2025数据'!$BF$3:$BF$181,$E$38,'2025数据'!$B$3:$B$181,E1197)/10000)</f>
        <v>0</v>
      </c>
      <c r="O1197" s="219">
        <f ca="1">IF($S$1&lt;DATE(2025,10,1)," ",SUMIFS('2025数据'!$BG$3:$BG$181,'2025数据'!$P$3:$P$181,"&gt;="&amp;DATE(2025,10,1),'2025数据'!$P$3:$P$181,"&lt;="&amp;DATE(2025,10,31),'2025数据'!$BF$3:$BF$181,$E$38,'2025数据'!$B$3:$B$181,E1197)/10000)</f>
        <v>0</v>
      </c>
      <c r="P1197" s="224">
        <f ca="1">IF($S$1&lt;DATE(2025,11,1)," ",SUMIFS('2025数据'!$BG$3:$BG$181,'2025数据'!$P$3:$P$181,"&gt;="&amp;DATE(2025,11,1),'2025数据'!$P$3:$P$181,"&lt;="&amp;DATE(2025,11,30),'2025数据'!$BF$3:$BF$181,$E$38,'2025数据'!$B$3:$B$181,E1197)/10000)</f>
        <v>0</v>
      </c>
      <c r="Q1197" s="224">
        <f ca="1">IF($S$1&lt;DATE(2025,12,1)," ",SUMIFS('2025数据'!$BG$3:$BG$181,'2025数据'!$P$3:$P$181,"&gt;="&amp;DATE(2025,12,1),'2025数据'!$P$3:$P$181,"&lt;="&amp;DATE(2025,12,31),'2025数据'!$BF$3:$BF$181,$E$38,'2025数据'!$B$3:$B$181,E1197)/10000)</f>
        <v>0</v>
      </c>
    </row>
    <row r="1198" ht="24" customHeight="1" spans="1:17">
      <c r="A1198" s="99" t="s">
        <v>347</v>
      </c>
      <c r="B1198" s="99" t="s">
        <v>299</v>
      </c>
      <c r="C1198" s="99" t="s">
        <v>333</v>
      </c>
      <c r="D1198" s="53" t="s">
        <v>304</v>
      </c>
      <c r="E1198" s="53" t="s">
        <v>160</v>
      </c>
      <c r="F1198" s="219">
        <f ca="1">IF($S$1&lt;DATE(2025,1,1)," ",SUMIFS('2025数据'!$BG$3:$BG$181,'2025数据'!$P$3:$P$181,"&gt;="&amp;DATE(2025,1,1),'2025数据'!$P$3:$P$181,"&lt;="&amp;DATE(2025,1,31),'2025数据'!$BF$3:$BF$181,$E$38,'2025数据'!$B$3:$B$181,E1198)/10000)</f>
        <v>0</v>
      </c>
      <c r="G1198" s="219">
        <f ca="1">IF($S$1&lt;DATE(2025,2,1)," ",SUMIFS('2025数据'!$BG$3:$BG$181,'2025数据'!$P$3:$P$181,"&gt;="&amp;DATE(2025,2,1),'2025数据'!$P$3:$P$181,"&lt;="&amp;DATE(2025,2,28),'2025数据'!$BF$3:$BF$181,$E$38,'2025数据'!$B$3:$B$181,E1198)/10000)</f>
        <v>0</v>
      </c>
      <c r="H1198" s="219">
        <f ca="1">IF($S$1&lt;DATE(2025,3,1)," ",SUMIFS('2025数据'!$BG$3:$BG$181,'2025数据'!$P$3:$P$181,"&gt;="&amp;DATE(2025,3,1),'2025数据'!$P$3:$P$181,"&lt;="&amp;DATE(2025,3,31),'2025数据'!$BF$3:$BF$181,$E$38,'2025数据'!$B$3:$B$181,E1198)/10000)</f>
        <v>0</v>
      </c>
      <c r="I1198" s="219">
        <f ca="1">IF($S$1&lt;DATE(2025,4,1)," ",SUMIFS('2025数据'!$BG$3:$BG$181,'2025数据'!$P$3:$P$181,"&gt;="&amp;DATE(2025,4,1),'2025数据'!$P$3:$P$181,"&lt;="&amp;DATE(2025,4,30),'2025数据'!$BF$3:$BF$181,$E$38,'2025数据'!$B$3:$B$181,E1198)/10000)</f>
        <v>0</v>
      </c>
      <c r="J1198" s="219">
        <f ca="1">IF($S$1&lt;DATE(2025,5,1)," ",SUMIFS('2025数据'!$BG$3:$BG$181,'2025数据'!$P$3:$P$181,"&gt;="&amp;DATE(2025,5,1),'2025数据'!$P$3:$P$181,"&lt;="&amp;DATE(2025,5,31),'2025数据'!$BF$3:$BF$181,$E$38,'2025数据'!$B$3:$B$181,E1198)/10000)</f>
        <v>0</v>
      </c>
      <c r="K1198" s="219">
        <f ca="1">IF($S$1&lt;DATE(2025,6,1)," ",SUMIFS('2025数据'!$BG$3:$BG$181,'2025数据'!$P$3:$P$181,"&gt;="&amp;DATE(2025,6,1),'2025数据'!$P$3:$P$181,"&lt;="&amp;DATE(2025,6,30),'2025数据'!$BF$3:$BF$181,$E$38,'2025数据'!$B$3:$B$181,E1198)/10000)</f>
        <v>0</v>
      </c>
      <c r="L1198" s="219">
        <f ca="1">IF($S$1&lt;DATE(2025,7,1)," ",SUMIFS('2025数据'!$BG$3:$BG$181,'2025数据'!$P$3:$P$181,"&gt;="&amp;DATE(2025,7,1),'2025数据'!$P$3:$P$181,"&lt;="&amp;DATE(2025,7,31),'2025数据'!$BF$3:$BF$181,$E$38,'2025数据'!$B$3:$B$181,E1198)/10000)</f>
        <v>0</v>
      </c>
      <c r="M1198" s="219">
        <f ca="1">IF($S$1&lt;DATE(2025,8,1)," ",SUMIFS('2025数据'!$BG$3:$BG$181,'2025数据'!$P$3:$P$181,"&gt;="&amp;DATE(2025,8,1),'2025数据'!$P$3:$P$181,"&lt;="&amp;DATE(2025,8,31),'2025数据'!$BF$3:$BF$181,$E$38,'2025数据'!$B$3:$B$181,E1198)/10000)</f>
        <v>0</v>
      </c>
      <c r="N1198" s="219">
        <f ca="1">IF($S$1&lt;DATE(2025,9,1)," ",SUMIFS('2025数据'!$BG$3:$BG$181,'2025数据'!$P$3:$P$181,"&gt;="&amp;DATE(2025,9,1),'2025数据'!$P$3:$P$181,"&lt;="&amp;DATE(2025,9,30),'2025数据'!$BF$3:$BF$181,$E$38,'2025数据'!$B$3:$B$181,E1198)/10000)</f>
        <v>0</v>
      </c>
      <c r="O1198" s="219">
        <f ca="1">IF($S$1&lt;DATE(2025,10,1)," ",SUMIFS('2025数据'!$BG$3:$BG$181,'2025数据'!$P$3:$P$181,"&gt;="&amp;DATE(2025,10,1),'2025数据'!$P$3:$P$181,"&lt;="&amp;DATE(2025,10,31),'2025数据'!$BF$3:$BF$181,$E$38,'2025数据'!$B$3:$B$181,E1198)/10000)</f>
        <v>0</v>
      </c>
      <c r="P1198" s="224">
        <f ca="1">IF($S$1&lt;DATE(2025,11,1)," ",SUMIFS('2025数据'!$BG$3:$BG$181,'2025数据'!$P$3:$P$181,"&gt;="&amp;DATE(2025,11,1),'2025数据'!$P$3:$P$181,"&lt;="&amp;DATE(2025,11,30),'2025数据'!$BF$3:$BF$181,$E$38,'2025数据'!$B$3:$B$181,E1198)/10000)</f>
        <v>0</v>
      </c>
      <c r="Q1198" s="224">
        <f ca="1">IF($S$1&lt;DATE(2025,12,1)," ",SUMIFS('2025数据'!$BG$3:$BG$181,'2025数据'!$P$3:$P$181,"&gt;="&amp;DATE(2025,12,1),'2025数据'!$P$3:$P$181,"&lt;="&amp;DATE(2025,12,31),'2025数据'!$BF$3:$BF$181,$E$38,'2025数据'!$B$3:$B$181,E1198)/10000)</f>
        <v>0</v>
      </c>
    </row>
    <row r="1199" ht="24" customHeight="1" spans="1:17">
      <c r="A1199" s="99" t="s">
        <v>347</v>
      </c>
      <c r="B1199" s="99" t="s">
        <v>299</v>
      </c>
      <c r="C1199" s="99" t="s">
        <v>333</v>
      </c>
      <c r="D1199" s="218" t="s">
        <v>292</v>
      </c>
      <c r="E1199" s="220" t="s">
        <v>340</v>
      </c>
      <c r="F1199" s="221">
        <f ca="1">IF($S$1&lt;DATE(2025,1,1)," ",SUMIFS('2025数据'!$BD$3:$BD$181,'2025数据'!$P$3:$P$181,"&gt;="&amp;DATE(2025,1,1),'2025数据'!$P$3:$P$181,"&lt;="&amp;DATE(2025,1,31),'2025数据'!$BF$3:$BF$181,$E37)/10000)</f>
        <v>0</v>
      </c>
      <c r="G1199" s="221">
        <f ca="1">IF($S$1&lt;DATE(2025,2,1)," ",SUMIFS('2025数据'!$BD$3:$BD$181,'2025数据'!$P$3:$P$181,"&gt;="&amp;DATE(2025,2,1),'2025数据'!$P$3:$P$181,"&lt;="&amp;DATE(2025,2,28),'2025数据'!$BF$3:$BF$181,$E37)/10000)</f>
        <v>0</v>
      </c>
      <c r="H1199" s="221">
        <f ca="1">IF($S$1&lt;DATE(2025,3,1)," ",SUMIFS('2025数据'!$BD$3:$BD$181,'2025数据'!$P$3:$P$181,"&gt;="&amp;DATE(2025,3,1),'2025数据'!$P$3:$P$181,"&lt;="&amp;DATE(2025,3,31),'2025数据'!$BF$3:$BF$181,$E37)/10000)</f>
        <v>0</v>
      </c>
      <c r="I1199" s="221">
        <f ca="1">IF($S$1&lt;DATE(2025,4,1)," ",SUMIFS('2025数据'!$BD$3:$BD$181,'2025数据'!$P$3:$P$181,"&gt;="&amp;DATE(2025,4,1),'2025数据'!$P$3:$P$181,"&lt;="&amp;DATE(2025,4,30),'2025数据'!$BF$3:$BF$181,$E37)/10000)</f>
        <v>0</v>
      </c>
      <c r="J1199" s="221">
        <f ca="1">IF($S$1&lt;DATE(2025,5,1)," ",SUMIFS('2025数据'!$BD$3:$BD$181,'2025数据'!$P$3:$P$181,"&gt;="&amp;DATE(2025,5,1),'2025数据'!$P$3:$P$181,"&lt;="&amp;DATE(2025,5,31),'2025数据'!$BF$3:$BF$181,$E37)/10000)</f>
        <v>0</v>
      </c>
      <c r="K1199" s="221">
        <f ca="1">IF($S$1&lt;DATE(2025,6,1)," ",SUMIFS('2025数据'!$BD$3:$BD$181,'2025数据'!$P$3:$P$181,"&gt;="&amp;DATE(2025,6,1),'2025数据'!$P$3:$P$181,"&lt;="&amp;DATE(2025,6,30),'2025数据'!$BF$3:$BF$181,$E37)/10000)</f>
        <v>2.528607</v>
      </c>
      <c r="L1199" s="221">
        <f ca="1">IF($S$1&lt;DATE(2025,7,1)," ",SUMIFS('2025数据'!$BD$3:$BD$181,'2025数据'!$P$3:$P$181,"&gt;="&amp;DATE(2025,7,1),'2025数据'!$P$3:$P$181,"&lt;="&amp;DATE(2025,7,31),'2025数据'!$BF$3:$BF$181,$E37)/10000)</f>
        <v>0.367758</v>
      </c>
      <c r="M1199" s="221">
        <f ca="1">IF($S$1&lt;DATE(2025,8,1)," ",SUMIFS('2025数据'!$BD$3:$BD$181,'2025数据'!$P$3:$P$181,"&gt;="&amp;DATE(2025,8,1),'2025数据'!$P$3:$P$181,"&lt;="&amp;DATE(2025,8,31),'2025数据'!$BF$3:$BF$181,$E37)/10000)</f>
        <v>4.977</v>
      </c>
      <c r="N1199" s="221">
        <f ca="1">IF($S$1&lt;DATE(2025,9,1)," ",SUMIFS('2025数据'!$BD$3:$BD$181,'2025数据'!$P$3:$P$181,"&gt;="&amp;DATE(2025,9,1),'2025数据'!$P$3:$P$181,"&lt;="&amp;DATE(2025,9,30),'2025数据'!$BF$3:$BF$181,$E37)/10000)</f>
        <v>4.044387</v>
      </c>
      <c r="O1199" s="221">
        <f ca="1">IF($S$1&lt;DATE(2025,10,1)," ",SUMIFS('2025数据'!$BD$3:$BD$181,'2025数据'!$P$3:$P$181,"&gt;="&amp;DATE(2025,10,1),'2025数据'!$P$3:$P$181,"&lt;="&amp;DATE(2025,10,31),'2025数据'!$BF$3:$BF$181,$E37)/10000)</f>
        <v>0</v>
      </c>
      <c r="P1199" s="225">
        <f ca="1">IF($S$1&lt;DATE(2025,11,1)," ",SUMIFS('2025数据'!$BD$3:$BD$181,'2025数据'!$P$3:$P$181,"&gt;="&amp;DATE(2025,11,1),'2025数据'!$P$3:$P$181,"&lt;="&amp;DATE(2025,11,30),'2025数据'!$BF$3:$BF$181,$E37)/10000)</f>
        <v>0</v>
      </c>
      <c r="Q1199" s="225">
        <f ca="1">IF($S$1&lt;DATE(2025,12,1)," ",SUMIFS('2025数据'!$BD$3:$BD$181,'2025数据'!$P$3:$P$181,"&gt;="&amp;DATE(2025,12,1),'2025数据'!$P$3:$P$181,"&lt;="&amp;DATE(2025,12,31),'2025数据'!$BF$3:$BF$181,$E37)/10000)</f>
        <v>0</v>
      </c>
    </row>
    <row r="1200" ht="24" customHeight="1" spans="1:17">
      <c r="A1200" s="99" t="s">
        <v>347</v>
      </c>
      <c r="B1200" s="99" t="s">
        <v>299</v>
      </c>
      <c r="C1200" s="99" t="s">
        <v>333</v>
      </c>
      <c r="D1200" s="218" t="s">
        <v>292</v>
      </c>
      <c r="E1200" s="220" t="s">
        <v>341</v>
      </c>
      <c r="F1200" s="221">
        <f ca="1">IF($S$1&lt;DATE(2025,1,1)," ",SUMIFS('2025数据'!$BD$3:$BD$181,'2025数据'!$P$3:$P$181,"&gt;="&amp;DATE(2025,1,1),'2025数据'!$P$3:$P$181,"&lt;="&amp;DATE(2025,1,31),'2025数据'!$BF$3:$BF$181,$E38)/10000)</f>
        <v>7.499271</v>
      </c>
      <c r="G1200" s="221">
        <f ca="1">IF($S$1&lt;DATE(2025,2,1)," ",SUMIFS('2025数据'!$BD$3:$BD$181,'2025数据'!$P$3:$P$181,"&gt;="&amp;DATE(2025,2,1),'2025数据'!$P$3:$P$181,"&lt;="&amp;DATE(2025,2,28),'2025数据'!$BF$3:$BF$181,$E38)/10000)</f>
        <v>0</v>
      </c>
      <c r="H1200" s="221">
        <f ca="1">IF($S$1&lt;DATE(2025,3,1)," ",SUMIFS('2025数据'!$BD$3:$BD$181,'2025数据'!$P$3:$P$181,"&gt;="&amp;DATE(2025,3,1),'2025数据'!$P$3:$P$181,"&lt;="&amp;DATE(2025,3,31),'2025数据'!$BF$3:$BF$181,$E38)/10000)</f>
        <v>0</v>
      </c>
      <c r="I1200" s="221">
        <f ca="1">IF($S$1&lt;DATE(2025,4,1)," ",SUMIFS('2025数据'!$BD$3:$BD$181,'2025数据'!$P$3:$P$181,"&gt;="&amp;DATE(2025,4,1),'2025数据'!$P$3:$P$181,"&lt;="&amp;DATE(2025,4,30),'2025数据'!$BF$3:$BF$181,$E38)/10000)</f>
        <v>0</v>
      </c>
      <c r="J1200" s="221">
        <f ca="1">IF($S$1&lt;DATE(2025,5,1)," ",SUMIFS('2025数据'!$BD$3:$BD$181,'2025数据'!$P$3:$P$181,"&gt;="&amp;DATE(2025,5,1),'2025数据'!$P$3:$P$181,"&lt;="&amp;DATE(2025,5,31),'2025数据'!$BF$3:$BF$181,$E38)/10000)</f>
        <v>0</v>
      </c>
      <c r="K1200" s="221">
        <f ca="1">IF($S$1&lt;DATE(2025,6,1)," ",SUMIFS('2025数据'!$BD$3:$BD$181,'2025数据'!$P$3:$P$181,"&gt;="&amp;DATE(2025,6,1),'2025数据'!$P$3:$P$181,"&lt;="&amp;DATE(2025,6,30),'2025数据'!$BF$3:$BF$181,$E38)/10000)</f>
        <v>1.680992</v>
      </c>
      <c r="L1200" s="221">
        <f ca="1">IF($S$1&lt;DATE(2025,7,1)," ",SUMIFS('2025数据'!$BD$3:$BD$181,'2025数据'!$P$3:$P$181,"&gt;="&amp;DATE(2025,7,1),'2025数据'!$P$3:$P$181,"&lt;="&amp;DATE(2025,7,31),'2025数据'!$BF$3:$BF$181,$E38)/10000)</f>
        <v>0</v>
      </c>
      <c r="M1200" s="221">
        <f ca="1">IF($S$1&lt;DATE(2025,8,1)," ",SUMIFS('2025数据'!$BD$3:$BD$181,'2025数据'!$P$3:$P$181,"&gt;="&amp;DATE(2025,8,1),'2025数据'!$P$3:$P$181,"&lt;="&amp;DATE(2025,8,31),'2025数据'!$BF$3:$BF$181,$E38)/10000)</f>
        <v>0</v>
      </c>
      <c r="N1200" s="221">
        <f ca="1">IF($S$1&lt;DATE(2025,9,1)," ",SUMIFS('2025数据'!$BD$3:$BD$181,'2025数据'!$P$3:$P$181,"&gt;="&amp;DATE(2025,9,1),'2025数据'!$P$3:$P$181,"&lt;="&amp;DATE(2025,9,30),'2025数据'!$BF$3:$BF$181,$E38)/10000)</f>
        <v>0</v>
      </c>
      <c r="O1200" s="221">
        <f ca="1">IF($S$1&lt;DATE(2025,10,1)," ",SUMIFS('2025数据'!$BD$3:$BD$181,'2025数据'!$P$3:$P$181,"&gt;="&amp;DATE(2025,10,1),'2025数据'!$P$3:$P$181,"&lt;="&amp;DATE(2025,10,31),'2025数据'!$BF$3:$BF$181,$E38)/10000)</f>
        <v>0</v>
      </c>
      <c r="P1200" s="225">
        <f ca="1">IF($S$1&lt;DATE(2025,11,1)," ",SUMIFS('2025数据'!$BD$3:$BD$181,'2025数据'!$P$3:$P$181,"&gt;="&amp;DATE(2025,11,1),'2025数据'!$P$3:$P$181,"&lt;="&amp;DATE(2025,11,30),'2025数据'!$BF$3:$BF$181,$E38)/10000)</f>
        <v>0.126307</v>
      </c>
      <c r="Q1200" s="225">
        <f ca="1">IF($S$1&lt;DATE(2025,12,1)," ",SUMIFS('2025数据'!$BD$3:$BD$181,'2025数据'!$P$3:$P$181,"&gt;="&amp;DATE(2025,12,1),'2025数据'!$P$3:$P$181,"&lt;="&amp;DATE(2025,12,31),'2025数据'!$BF$3:$BF$181,$E38)/10000)</f>
        <v>0</v>
      </c>
    </row>
    <row r="1201" ht="24" customHeight="1" spans="1:17">
      <c r="A1201" s="99" t="s">
        <v>347</v>
      </c>
      <c r="B1201" s="99" t="s">
        <v>299</v>
      </c>
      <c r="C1201" s="99" t="s">
        <v>333</v>
      </c>
      <c r="D1201" s="218" t="s">
        <v>292</v>
      </c>
      <c r="E1201" s="220" t="s">
        <v>342</v>
      </c>
      <c r="F1201" s="221">
        <f ca="1">IF($S$1&lt;DATE(2025,1,1)," ",SUMIFS('2025数据'!$BD$3:$BD$181,'2025数据'!$P$3:$P$181,"&gt;="&amp;DATE(2025,1,1),'2025数据'!$P$3:$P$181,"&lt;="&amp;DATE(2025,1,31),'2025数据'!$BF$3:$BF$181,$E39)/10000)</f>
        <v>0</v>
      </c>
      <c r="G1201" s="221">
        <f ca="1">IF($S$1&lt;DATE(2025,2,1)," ",SUMIFS('2025数据'!$BD$3:$BD$181,'2025数据'!$P$3:$P$181,"&gt;="&amp;DATE(2025,2,1),'2025数据'!$P$3:$P$181,"&lt;="&amp;DATE(2025,2,28),'2025数据'!$BF$3:$BF$181,$E39)/10000)</f>
        <v>0</v>
      </c>
      <c r="H1201" s="221">
        <f ca="1">IF($S$1&lt;DATE(2025,3,1)," ",SUMIFS('2025数据'!$BD$3:$BD$181,'2025数据'!$P$3:$P$181,"&gt;="&amp;DATE(2025,3,1),'2025数据'!$P$3:$P$181,"&lt;="&amp;DATE(2025,3,31),'2025数据'!$BF$3:$BF$181,$E39)/10000)</f>
        <v>0</v>
      </c>
      <c r="I1201" s="221">
        <f ca="1">IF($S$1&lt;DATE(2025,4,1)," ",SUMIFS('2025数据'!$BD$3:$BD$181,'2025数据'!$P$3:$P$181,"&gt;="&amp;DATE(2025,4,1),'2025数据'!$P$3:$P$181,"&lt;="&amp;DATE(2025,4,30),'2025数据'!$BF$3:$BF$181,$E39)/10000)</f>
        <v>0.1463</v>
      </c>
      <c r="J1201" s="221">
        <f ca="1">IF($S$1&lt;DATE(2025,5,1)," ",SUMIFS('2025数据'!$BD$3:$BD$181,'2025数据'!$P$3:$P$181,"&gt;="&amp;DATE(2025,5,1),'2025数据'!$P$3:$P$181,"&lt;="&amp;DATE(2025,5,31),'2025数据'!$BF$3:$BF$181,$E39)/10000)</f>
        <v>0</v>
      </c>
      <c r="K1201" s="221">
        <f ca="1">IF($S$1&lt;DATE(2025,6,1)," ",SUMIFS('2025数据'!$BD$3:$BD$181,'2025数据'!$P$3:$P$181,"&gt;="&amp;DATE(2025,6,1),'2025数据'!$P$3:$P$181,"&lt;="&amp;DATE(2025,6,30),'2025数据'!$BF$3:$BF$181,$E39)/10000)</f>
        <v>0</v>
      </c>
      <c r="L1201" s="221">
        <f ca="1">IF($S$1&lt;DATE(2025,7,1)," ",SUMIFS('2025数据'!$BD$3:$BD$181,'2025数据'!$P$3:$P$181,"&gt;="&amp;DATE(2025,7,1),'2025数据'!$P$3:$P$181,"&lt;="&amp;DATE(2025,7,31),'2025数据'!$BF$3:$BF$181,$E39)/10000)</f>
        <v>0</v>
      </c>
      <c r="M1201" s="221">
        <f ca="1">IF($S$1&lt;DATE(2025,8,1)," ",SUMIFS('2025数据'!$BD$3:$BD$181,'2025数据'!$P$3:$P$181,"&gt;="&amp;DATE(2025,8,1),'2025数据'!$P$3:$P$181,"&lt;="&amp;DATE(2025,8,31),'2025数据'!$BF$3:$BF$181,$E39)/10000)</f>
        <v>0</v>
      </c>
      <c r="N1201" s="221">
        <f ca="1">IF($S$1&lt;DATE(2025,9,1)," ",SUMIFS('2025数据'!$BD$3:$BD$181,'2025数据'!$P$3:$P$181,"&gt;="&amp;DATE(2025,9,1),'2025数据'!$P$3:$P$181,"&lt;="&amp;DATE(2025,9,30),'2025数据'!$BF$3:$BF$181,$E39)/10000)</f>
        <v>0.679417</v>
      </c>
      <c r="O1201" s="221">
        <f ca="1">IF($S$1&lt;DATE(2025,10,1)," ",SUMIFS('2025数据'!$BD$3:$BD$181,'2025数据'!$P$3:$P$181,"&gt;="&amp;DATE(2025,10,1),'2025数据'!$P$3:$P$181,"&lt;="&amp;DATE(2025,10,31),'2025数据'!$BF$3:$BF$181,$E39)/10000)</f>
        <v>0</v>
      </c>
      <c r="P1201" s="225">
        <f ca="1">IF($S$1&lt;DATE(2025,11,1)," ",SUMIFS('2025数据'!$BD$3:$BD$181,'2025数据'!$P$3:$P$181,"&gt;="&amp;DATE(2025,11,1),'2025数据'!$P$3:$P$181,"&lt;="&amp;DATE(2025,11,30),'2025数据'!$BF$3:$BF$181,$E39)/10000)</f>
        <v>0</v>
      </c>
      <c r="Q1201" s="225">
        <f ca="1">IF($S$1&lt;DATE(2025,12,1)," ",SUMIFS('2025数据'!$BD$3:$BD$181,'2025数据'!$P$3:$P$181,"&gt;="&amp;DATE(2025,12,1),'2025数据'!$P$3:$P$181,"&lt;="&amp;DATE(2025,12,31),'2025数据'!$BF$3:$BF$181,$E39)/10000)</f>
        <v>0</v>
      </c>
    </row>
    <row r="1202" ht="24" customHeight="1" spans="1:17">
      <c r="A1202" s="99" t="s">
        <v>347</v>
      </c>
      <c r="B1202" s="99" t="s">
        <v>299</v>
      </c>
      <c r="C1202" s="99" t="s">
        <v>343</v>
      </c>
      <c r="D1202" s="218" t="s">
        <v>292</v>
      </c>
      <c r="E1202" s="220" t="s">
        <v>340</v>
      </c>
      <c r="F1202" s="222">
        <f ca="1" t="shared" ref="F1202:F1204" si="1095">IF($S$1&lt;DATE(2025,1,1)," ",F1199)</f>
        <v>0</v>
      </c>
      <c r="G1202" s="222">
        <f ca="1" t="shared" ref="G1202:G1204" si="1096">IF($S$1&lt;DATE(2025,2,1)," ",F1202+G1199)</f>
        <v>0</v>
      </c>
      <c r="H1202" s="222">
        <f ca="1" t="shared" ref="H1202:H1204" si="1097">IF($S$1&lt;DATE(2025,3,1)," ",G1202+H1199)</f>
        <v>0</v>
      </c>
      <c r="I1202" s="222">
        <f ca="1" t="shared" ref="I1202:I1204" si="1098">IF($S$1&lt;DATE(2025,4,1)," ",H1202+I1199)</f>
        <v>0</v>
      </c>
      <c r="J1202" s="222">
        <f ca="1" t="shared" ref="J1202:J1204" si="1099">IF($S$1&lt;DATE(2025,5,1)," ",I1202+J1199)</f>
        <v>0</v>
      </c>
      <c r="K1202" s="222">
        <f ca="1" t="shared" ref="K1202:K1204" si="1100">IF($S$1&lt;DATE(2025,6,1)," ",J1202+K1199)</f>
        <v>2.528607</v>
      </c>
      <c r="L1202" s="222">
        <f ca="1" t="shared" ref="L1202:L1204" si="1101">IF($S$1&lt;DATE(2025,7,1)," ",K1202+L1199)</f>
        <v>2.896365</v>
      </c>
      <c r="M1202" s="222">
        <f ca="1" t="shared" ref="M1202:M1204" si="1102">IF($S$1&lt;DATE(2025,8,1)," ",L1202+M1199)</f>
        <v>7.873365</v>
      </c>
      <c r="N1202" s="222">
        <f ca="1" t="shared" ref="N1202:N1204" si="1103">IF($S$1&lt;DATE(2025,9,1)," ",M1202+N1199)</f>
        <v>11.917752</v>
      </c>
      <c r="O1202" s="222">
        <f ca="1" t="shared" ref="O1202:O1204" si="1104">IF($S$1&lt;DATE(2025,10,1)," ",N1202+O1199)</f>
        <v>11.917752</v>
      </c>
      <c r="P1202" s="222">
        <f ca="1" t="shared" ref="P1202:P1204" si="1105">IF($S$1&lt;DATE(2025,11,1)," ",O1202+P1199)</f>
        <v>11.917752</v>
      </c>
      <c r="Q1202" s="222">
        <f ca="1" t="shared" ref="Q1202:Q1204" si="1106">IF($S$1&lt;DATE(2025,12,1)," ",P1202+Q1199)</f>
        <v>11.917752</v>
      </c>
    </row>
    <row r="1203" ht="24" customHeight="1" spans="1:17">
      <c r="A1203" s="99" t="s">
        <v>347</v>
      </c>
      <c r="B1203" s="99" t="s">
        <v>299</v>
      </c>
      <c r="C1203" s="99" t="s">
        <v>343</v>
      </c>
      <c r="D1203" s="218" t="s">
        <v>292</v>
      </c>
      <c r="E1203" s="220" t="s">
        <v>341</v>
      </c>
      <c r="F1203" s="222">
        <f ca="1" t="shared" si="1095"/>
        <v>7.499271</v>
      </c>
      <c r="G1203" s="222">
        <f ca="1" t="shared" si="1096"/>
        <v>7.499271</v>
      </c>
      <c r="H1203" s="222">
        <f ca="1" t="shared" si="1097"/>
        <v>7.499271</v>
      </c>
      <c r="I1203" s="222">
        <f ca="1" t="shared" si="1098"/>
        <v>7.499271</v>
      </c>
      <c r="J1203" s="222">
        <f ca="1" t="shared" si="1099"/>
        <v>7.499271</v>
      </c>
      <c r="K1203" s="222">
        <f ca="1" t="shared" si="1100"/>
        <v>9.180263</v>
      </c>
      <c r="L1203" s="222">
        <f ca="1" t="shared" si="1101"/>
        <v>9.180263</v>
      </c>
      <c r="M1203" s="222">
        <f ca="1" t="shared" si="1102"/>
        <v>9.180263</v>
      </c>
      <c r="N1203" s="222">
        <f ca="1" t="shared" si="1103"/>
        <v>9.180263</v>
      </c>
      <c r="O1203" s="222">
        <f ca="1" t="shared" si="1104"/>
        <v>9.180263</v>
      </c>
      <c r="P1203" s="222">
        <f ca="1" t="shared" si="1105"/>
        <v>9.30657</v>
      </c>
      <c r="Q1203" s="222">
        <f ca="1" t="shared" si="1106"/>
        <v>9.30657</v>
      </c>
    </row>
    <row r="1204" ht="24" customHeight="1" spans="1:17">
      <c r="A1204" s="99" t="s">
        <v>347</v>
      </c>
      <c r="B1204" s="99" t="s">
        <v>299</v>
      </c>
      <c r="C1204" s="99" t="s">
        <v>343</v>
      </c>
      <c r="D1204" s="218" t="s">
        <v>292</v>
      </c>
      <c r="E1204" s="220" t="s">
        <v>342</v>
      </c>
      <c r="F1204" s="222">
        <f ca="1" t="shared" si="1095"/>
        <v>0</v>
      </c>
      <c r="G1204" s="222">
        <f ca="1" t="shared" si="1096"/>
        <v>0</v>
      </c>
      <c r="H1204" s="222">
        <f ca="1" t="shared" si="1097"/>
        <v>0</v>
      </c>
      <c r="I1204" s="222">
        <f ca="1" t="shared" si="1098"/>
        <v>0.1463</v>
      </c>
      <c r="J1204" s="222">
        <f ca="1" t="shared" si="1099"/>
        <v>0.1463</v>
      </c>
      <c r="K1204" s="222">
        <f ca="1" t="shared" si="1100"/>
        <v>0.1463</v>
      </c>
      <c r="L1204" s="222">
        <f ca="1" t="shared" si="1101"/>
        <v>0.1463</v>
      </c>
      <c r="M1204" s="222">
        <f ca="1" t="shared" si="1102"/>
        <v>0.1463</v>
      </c>
      <c r="N1204" s="222">
        <f ca="1" t="shared" si="1103"/>
        <v>0.825717</v>
      </c>
      <c r="O1204" s="222">
        <f ca="1" t="shared" si="1104"/>
        <v>0.825717</v>
      </c>
      <c r="P1204" s="222">
        <f ca="1" t="shared" si="1105"/>
        <v>0.825717</v>
      </c>
      <c r="Q1204" s="222">
        <f ca="1" t="shared" si="1106"/>
        <v>0.825717</v>
      </c>
    </row>
    <row r="1205" ht="24" customHeight="1" spans="1:17">
      <c r="A1205" s="99" t="s">
        <v>347</v>
      </c>
      <c r="B1205" s="99" t="s">
        <v>299</v>
      </c>
      <c r="C1205" s="99" t="s">
        <v>343</v>
      </c>
      <c r="D1205" s="114" t="s">
        <v>292</v>
      </c>
      <c r="E1205" s="114" t="s">
        <v>320</v>
      </c>
      <c r="F1205" s="215">
        <f ca="1">IF($S$1&lt;DATE(2025,1,1)," ",IF(SUM(F1206:F1212)&lt;&gt;SUM(F1220:F1224),"ERR",SUM(F1206:F1212)))</f>
        <v>7.514364</v>
      </c>
      <c r="G1205" s="215">
        <f ca="1">IF($S$1&lt;DATE(2025,2,1)," ",IF(SUM(G1206:G1212)&lt;&gt;SUM(G1220:G1224),"ERR",SUM(G1206:G1212)))</f>
        <v>7.514364</v>
      </c>
      <c r="H1205" s="215">
        <f ca="1">IF($S$1&lt;DATE(2025,3,1)," ",IF(SUM(H1206:H1212)&lt;&gt;SUM(H1220:H1224),"ERR",SUM(H1206:H1212)))</f>
        <v>7.514364</v>
      </c>
      <c r="I1205" s="215">
        <f ca="1">IF($S$1&lt;DATE(2025,4,1)," ",IF(SUM(I1206:I1212)&lt;&gt;SUM(I1220:I1224),"ERR",SUM(I1206:I1212)))</f>
        <v>7.660664</v>
      </c>
      <c r="J1205" s="215">
        <f ca="1">IF($S$1&lt;DATE(2025,5,1)," ",IF(SUM(J1206:J1212)&lt;&gt;SUM(J1220:J1224),"ERR",SUM(J1206:J1212)))</f>
        <v>7.660664</v>
      </c>
      <c r="K1205" s="215">
        <f ca="1">IF($S$1&lt;DATE(2025,6,1)," ",IF(SUM(K1206:K1212)&lt;&gt;SUM(K1220:K1224),"ERR",SUM(K1206:K1212)))</f>
        <v>11.868993</v>
      </c>
      <c r="L1205" s="215">
        <f ca="1">IF($S$1&lt;DATE(2025,7,1)," ",IF(SUM(L1206:L1212)&lt;&gt;SUM(L1220:L1224),"ERR",SUM(L1206:L1212)))</f>
        <v>12.234737</v>
      </c>
      <c r="M1205" s="215">
        <f ca="1">IF($S$1&lt;DATE(2025,8,1)," ",IF(SUM(M1206:M1212)&lt;&gt;SUM(M1220:M1224),"ERR",SUM(M1206:M1212)))</f>
        <v>17.20471</v>
      </c>
      <c r="N1205" s="215">
        <f ca="1">IF($S$1&lt;DATE(2025,9,1)," ",IF(SUM(N1206:N1212)&lt;&gt;SUM(N1220:N1224),"ERR",SUM(N1206:N1212)))</f>
        <v>21.921768</v>
      </c>
      <c r="O1205" s="215">
        <f ca="1">IF($S$1&lt;DATE(2025,10,1)," ",IF(SUM(O1206:O1212)&lt;&gt;SUM(O1220:O1224),"ERR",SUM(O1206:O1212)))</f>
        <v>21.921768</v>
      </c>
      <c r="P1205" s="215">
        <f ca="1">IF($S$1&lt;DATE(2025,11,1)," ",IF(SUM(P1206:P1212)&lt;&gt;SUM(P1220:P1224),"ERR",SUM(P1206:P1212)))</f>
        <v>22.058652</v>
      </c>
      <c r="Q1205" s="215">
        <f ca="1">IF($S$1&lt;DATE(2025,12,1)," ",IF(SUM(Q1206:Q1212)&lt;&gt;SUM(Q1220:Q1224),"ERR",SUM(Q1206:Q1212)))</f>
        <v>22.058652</v>
      </c>
    </row>
    <row r="1206" ht="24" customHeight="1" spans="1:17">
      <c r="A1206" s="99" t="s">
        <v>347</v>
      </c>
      <c r="B1206" s="99" t="s">
        <v>299</v>
      </c>
      <c r="C1206" s="99" t="s">
        <v>343</v>
      </c>
      <c r="D1206" s="48" t="s">
        <v>31</v>
      </c>
      <c r="E1206" s="48" t="s">
        <v>90</v>
      </c>
      <c r="F1206" s="51">
        <f ca="1" t="shared" ref="F1206:F1212" si="1107">IF($S$1&lt;DATE(2025,1,1)," ",F1154)</f>
        <v>0</v>
      </c>
      <c r="G1206" s="51">
        <f ca="1" t="shared" ref="G1206:G1212" si="1108">IF($S$1&lt;DATE(2025,2,1)," ",G1154+F1206)</f>
        <v>0</v>
      </c>
      <c r="H1206" s="51">
        <f ca="1" t="shared" ref="H1206:H1212" si="1109">IF($S$1&lt;DATE(2025,3,1)," ",H1154+G1206)</f>
        <v>0</v>
      </c>
      <c r="I1206" s="51">
        <f ca="1" t="shared" ref="I1206:I1212" si="1110">IF($S$1&lt;DATE(2025,4,1)," ",I1154+H1206)</f>
        <v>0</v>
      </c>
      <c r="J1206" s="51">
        <f ca="1" t="shared" ref="J1206:J1212" si="1111">IF($S$1&lt;DATE(2025,5,1)," ",J1154+I1206)</f>
        <v>0</v>
      </c>
      <c r="K1206" s="51">
        <f ca="1" t="shared" ref="K1206:K1212" si="1112">IF($S$1&lt;DATE(2025,6,1)," ",K1154+J1206)</f>
        <v>0</v>
      </c>
      <c r="L1206" s="51">
        <f ca="1" t="shared" ref="L1206:L1212" si="1113">IF($S$1&lt;DATE(2025,7,1)," ",L1154+K1206)</f>
        <v>0</v>
      </c>
      <c r="M1206" s="51">
        <f ca="1" t="shared" ref="M1206:M1212" si="1114">IF($S$1&lt;DATE(2025,8,1)," ",M1154+L1206)</f>
        <v>0</v>
      </c>
      <c r="N1206" s="51">
        <f ca="1" t="shared" ref="N1206:N1212" si="1115">IF($S$1&lt;DATE(2025,9,1)," ",N1154+M1206)</f>
        <v>0.306879</v>
      </c>
      <c r="O1206" s="51">
        <f ca="1" t="shared" ref="O1206:O1212" si="1116">IF($S$1&lt;DATE(2025,10,1)," ",O1154+N1206)</f>
        <v>0.306879</v>
      </c>
      <c r="P1206" s="51">
        <f ca="1" t="shared" ref="P1206:P1212" si="1117">IF($S$1&lt;DATE(2025,11,1)," ",P1154+O1206)</f>
        <v>0.306879</v>
      </c>
      <c r="Q1206" s="51">
        <f ca="1" t="shared" ref="Q1206:Q1212" si="1118">IF($S$1&lt;DATE(2025,12,1)," ",Q1154+P1206)</f>
        <v>0.306879</v>
      </c>
    </row>
    <row r="1207" ht="24" customHeight="1" spans="1:17">
      <c r="A1207" s="99" t="s">
        <v>347</v>
      </c>
      <c r="B1207" s="99" t="s">
        <v>299</v>
      </c>
      <c r="C1207" s="99" t="s">
        <v>343</v>
      </c>
      <c r="D1207" s="48" t="s">
        <v>31</v>
      </c>
      <c r="E1207" s="48" t="s">
        <v>82</v>
      </c>
      <c r="F1207" s="51">
        <f ca="1" t="shared" si="1107"/>
        <v>7.514364</v>
      </c>
      <c r="G1207" s="51">
        <f ca="1" t="shared" si="1108"/>
        <v>7.514364</v>
      </c>
      <c r="H1207" s="51">
        <f ca="1" t="shared" si="1109"/>
        <v>7.514364</v>
      </c>
      <c r="I1207" s="51">
        <f ca="1" t="shared" si="1110"/>
        <v>7.514364</v>
      </c>
      <c r="J1207" s="51">
        <f ca="1" t="shared" si="1111"/>
        <v>7.514364</v>
      </c>
      <c r="K1207" s="51">
        <f ca="1" t="shared" si="1112"/>
        <v>11.722693</v>
      </c>
      <c r="L1207" s="51">
        <f ca="1" t="shared" si="1113"/>
        <v>11.722693</v>
      </c>
      <c r="M1207" s="51">
        <f ca="1" t="shared" si="1114"/>
        <v>11.722693</v>
      </c>
      <c r="N1207" s="51">
        <f ca="1" t="shared" si="1115"/>
        <v>12.095231</v>
      </c>
      <c r="O1207" s="51">
        <f ca="1" t="shared" si="1116"/>
        <v>12.095231</v>
      </c>
      <c r="P1207" s="51">
        <f ca="1" t="shared" si="1117"/>
        <v>12.095231</v>
      </c>
      <c r="Q1207" s="51">
        <f ca="1" t="shared" si="1118"/>
        <v>12.095231</v>
      </c>
    </row>
    <row r="1208" ht="24" customHeight="1" spans="1:17">
      <c r="A1208" s="99" t="s">
        <v>347</v>
      </c>
      <c r="B1208" s="99" t="s">
        <v>299</v>
      </c>
      <c r="C1208" s="99" t="s">
        <v>343</v>
      </c>
      <c r="D1208" s="48" t="s">
        <v>31</v>
      </c>
      <c r="E1208" s="48" t="s">
        <v>86</v>
      </c>
      <c r="F1208" s="51">
        <f ca="1" t="shared" si="1107"/>
        <v>0</v>
      </c>
      <c r="G1208" s="51">
        <f ca="1" t="shared" si="1108"/>
        <v>0</v>
      </c>
      <c r="H1208" s="51">
        <f ca="1" t="shared" si="1109"/>
        <v>0</v>
      </c>
      <c r="I1208" s="51">
        <f ca="1" t="shared" si="1110"/>
        <v>0</v>
      </c>
      <c r="J1208" s="51">
        <f ca="1" t="shared" si="1111"/>
        <v>0</v>
      </c>
      <c r="K1208" s="51">
        <f ca="1" t="shared" si="1112"/>
        <v>0</v>
      </c>
      <c r="L1208" s="51">
        <f ca="1" t="shared" si="1113"/>
        <v>0.365744</v>
      </c>
      <c r="M1208" s="51">
        <f ca="1" t="shared" si="1114"/>
        <v>0.365744</v>
      </c>
      <c r="N1208" s="51">
        <f ca="1" t="shared" si="1115"/>
        <v>0.365744</v>
      </c>
      <c r="O1208" s="51">
        <f ca="1" t="shared" si="1116"/>
        <v>0.365744</v>
      </c>
      <c r="P1208" s="51">
        <f ca="1" t="shared" si="1117"/>
        <v>0.365744</v>
      </c>
      <c r="Q1208" s="51">
        <f ca="1" t="shared" si="1118"/>
        <v>0.365744</v>
      </c>
    </row>
    <row r="1209" ht="24" customHeight="1" spans="1:17">
      <c r="A1209" s="99" t="s">
        <v>347</v>
      </c>
      <c r="B1209" s="99" t="s">
        <v>299</v>
      </c>
      <c r="C1209" s="99" t="s">
        <v>343</v>
      </c>
      <c r="D1209" s="48" t="s">
        <v>31</v>
      </c>
      <c r="E1209" s="48" t="s">
        <v>97</v>
      </c>
      <c r="F1209" s="51">
        <f ca="1" t="shared" si="1107"/>
        <v>0</v>
      </c>
      <c r="G1209" s="51">
        <f ca="1" t="shared" si="1108"/>
        <v>0</v>
      </c>
      <c r="H1209" s="51">
        <f ca="1" t="shared" si="1109"/>
        <v>0</v>
      </c>
      <c r="I1209" s="51">
        <f ca="1" t="shared" si="1110"/>
        <v>0.1463</v>
      </c>
      <c r="J1209" s="51">
        <f ca="1" t="shared" si="1111"/>
        <v>0.1463</v>
      </c>
      <c r="K1209" s="51">
        <f ca="1" t="shared" si="1112"/>
        <v>0.1463</v>
      </c>
      <c r="L1209" s="51">
        <f ca="1" t="shared" si="1113"/>
        <v>0.1463</v>
      </c>
      <c r="M1209" s="51">
        <f ca="1" t="shared" si="1114"/>
        <v>0.1463</v>
      </c>
      <c r="N1209" s="51">
        <f ca="1" t="shared" si="1115"/>
        <v>4.183941</v>
      </c>
      <c r="O1209" s="51">
        <f ca="1" t="shared" si="1116"/>
        <v>4.183941</v>
      </c>
      <c r="P1209" s="51">
        <f ca="1" t="shared" si="1117"/>
        <v>4.320825</v>
      </c>
      <c r="Q1209" s="51">
        <f ca="1" t="shared" si="1118"/>
        <v>4.320825</v>
      </c>
    </row>
    <row r="1210" ht="24" customHeight="1" spans="1:17">
      <c r="A1210" s="99" t="s">
        <v>347</v>
      </c>
      <c r="B1210" s="99" t="s">
        <v>299</v>
      </c>
      <c r="C1210" s="99" t="s">
        <v>343</v>
      </c>
      <c r="D1210" s="48" t="s">
        <v>31</v>
      </c>
      <c r="E1210" s="48" t="s">
        <v>87</v>
      </c>
      <c r="F1210" s="51">
        <f ca="1" t="shared" si="1107"/>
        <v>0</v>
      </c>
      <c r="G1210" s="51">
        <f ca="1" t="shared" si="1108"/>
        <v>0</v>
      </c>
      <c r="H1210" s="51">
        <f ca="1" t="shared" si="1109"/>
        <v>0</v>
      </c>
      <c r="I1210" s="51">
        <f ca="1" t="shared" si="1110"/>
        <v>0</v>
      </c>
      <c r="J1210" s="51">
        <f ca="1" t="shared" si="1111"/>
        <v>0</v>
      </c>
      <c r="K1210" s="51">
        <f ca="1" t="shared" si="1112"/>
        <v>0</v>
      </c>
      <c r="L1210" s="51">
        <f ca="1" t="shared" si="1113"/>
        <v>0</v>
      </c>
      <c r="M1210" s="51">
        <f ca="1" t="shared" si="1114"/>
        <v>0</v>
      </c>
      <c r="N1210" s="51">
        <f ca="1" t="shared" si="1115"/>
        <v>0</v>
      </c>
      <c r="O1210" s="51">
        <f ca="1" t="shared" si="1116"/>
        <v>0</v>
      </c>
      <c r="P1210" s="51">
        <f ca="1" t="shared" si="1117"/>
        <v>0</v>
      </c>
      <c r="Q1210" s="51">
        <f ca="1" t="shared" si="1118"/>
        <v>0</v>
      </c>
    </row>
    <row r="1211" ht="24" customHeight="1" spans="1:17">
      <c r="A1211" s="99" t="s">
        <v>347</v>
      </c>
      <c r="B1211" s="99" t="s">
        <v>299</v>
      </c>
      <c r="C1211" s="99" t="s">
        <v>343</v>
      </c>
      <c r="D1211" s="48" t="s">
        <v>31</v>
      </c>
      <c r="E1211" s="48" t="s">
        <v>149</v>
      </c>
      <c r="F1211" s="51">
        <f ca="1" t="shared" si="1107"/>
        <v>0</v>
      </c>
      <c r="G1211" s="51">
        <f ca="1" t="shared" si="1108"/>
        <v>0</v>
      </c>
      <c r="H1211" s="51">
        <f ca="1" t="shared" si="1109"/>
        <v>0</v>
      </c>
      <c r="I1211" s="51">
        <f ca="1" t="shared" si="1110"/>
        <v>0</v>
      </c>
      <c r="J1211" s="51">
        <f ca="1" t="shared" si="1111"/>
        <v>0</v>
      </c>
      <c r="K1211" s="51">
        <f ca="1" t="shared" si="1112"/>
        <v>0</v>
      </c>
      <c r="L1211" s="51">
        <f ca="1" t="shared" si="1113"/>
        <v>0</v>
      </c>
      <c r="M1211" s="51">
        <f ca="1" t="shared" si="1114"/>
        <v>4.969973</v>
      </c>
      <c r="N1211" s="51">
        <f ca="1" t="shared" si="1115"/>
        <v>4.969973</v>
      </c>
      <c r="O1211" s="51">
        <f ca="1" t="shared" si="1116"/>
        <v>4.969973</v>
      </c>
      <c r="P1211" s="51">
        <f ca="1" t="shared" si="1117"/>
        <v>4.969973</v>
      </c>
      <c r="Q1211" s="51">
        <f ca="1" t="shared" si="1118"/>
        <v>4.969973</v>
      </c>
    </row>
    <row r="1212" ht="24" customHeight="1" spans="1:17">
      <c r="A1212" s="99" t="s">
        <v>347</v>
      </c>
      <c r="B1212" s="99" t="s">
        <v>299</v>
      </c>
      <c r="C1212" s="99" t="s">
        <v>343</v>
      </c>
      <c r="D1212" s="48" t="s">
        <v>31</v>
      </c>
      <c r="E1212" s="48" t="s">
        <v>83</v>
      </c>
      <c r="F1212" s="51">
        <f ca="1" t="shared" si="1107"/>
        <v>0</v>
      </c>
      <c r="G1212" s="51">
        <f ca="1" t="shared" si="1108"/>
        <v>0</v>
      </c>
      <c r="H1212" s="51">
        <f ca="1" t="shared" si="1109"/>
        <v>0</v>
      </c>
      <c r="I1212" s="51">
        <f ca="1" t="shared" si="1110"/>
        <v>0</v>
      </c>
      <c r="J1212" s="51">
        <f ca="1" t="shared" si="1111"/>
        <v>0</v>
      </c>
      <c r="K1212" s="51">
        <f ca="1" t="shared" si="1112"/>
        <v>0</v>
      </c>
      <c r="L1212" s="51">
        <f ca="1" t="shared" si="1113"/>
        <v>0</v>
      </c>
      <c r="M1212" s="51">
        <f ca="1" t="shared" si="1114"/>
        <v>0</v>
      </c>
      <c r="N1212" s="51">
        <f ca="1" t="shared" si="1115"/>
        <v>0</v>
      </c>
      <c r="O1212" s="51">
        <f ca="1" t="shared" si="1116"/>
        <v>0</v>
      </c>
      <c r="P1212" s="51">
        <f ca="1" t="shared" si="1117"/>
        <v>0</v>
      </c>
      <c r="Q1212" s="51">
        <f ca="1" t="shared" si="1118"/>
        <v>0</v>
      </c>
    </row>
    <row r="1213" ht="24" customHeight="1" spans="1:17">
      <c r="A1213" s="99" t="s">
        <v>347</v>
      </c>
      <c r="B1213" s="99" t="s">
        <v>299</v>
      </c>
      <c r="C1213" s="99" t="s">
        <v>343</v>
      </c>
      <c r="D1213" s="48" t="s">
        <v>321</v>
      </c>
      <c r="E1213" s="48" t="s">
        <v>90</v>
      </c>
      <c r="F1213" s="112">
        <f ca="1" t="shared" ref="F1213:Q1213" si="1119">IFERROR(F1206/F1205," ")</f>
        <v>0</v>
      </c>
      <c r="G1213" s="112">
        <f ca="1" t="shared" si="1119"/>
        <v>0</v>
      </c>
      <c r="H1213" s="112">
        <f ca="1" t="shared" si="1119"/>
        <v>0</v>
      </c>
      <c r="I1213" s="112">
        <f ca="1" t="shared" si="1119"/>
        <v>0</v>
      </c>
      <c r="J1213" s="112">
        <f ca="1" t="shared" si="1119"/>
        <v>0</v>
      </c>
      <c r="K1213" s="112">
        <f ca="1" t="shared" si="1119"/>
        <v>0</v>
      </c>
      <c r="L1213" s="112">
        <f ca="1" t="shared" si="1119"/>
        <v>0</v>
      </c>
      <c r="M1213" s="112">
        <f ca="1" t="shared" si="1119"/>
        <v>0</v>
      </c>
      <c r="N1213" s="112">
        <f ca="1" t="shared" si="1119"/>
        <v>0.0139988252772313</v>
      </c>
      <c r="O1213" s="112">
        <f ca="1" t="shared" si="1119"/>
        <v>0.0139988252772313</v>
      </c>
      <c r="P1213" s="112">
        <f ca="1" t="shared" si="1119"/>
        <v>0.0139119561793713</v>
      </c>
      <c r="Q1213" s="112">
        <f ca="1" t="shared" si="1119"/>
        <v>0.0139119561793713</v>
      </c>
    </row>
    <row r="1214" ht="24" customHeight="1" spans="1:17">
      <c r="A1214" s="99" t="s">
        <v>347</v>
      </c>
      <c r="B1214" s="99" t="s">
        <v>299</v>
      </c>
      <c r="C1214" s="99" t="s">
        <v>343</v>
      </c>
      <c r="D1214" s="48" t="s">
        <v>321</v>
      </c>
      <c r="E1214" s="48" t="s">
        <v>82</v>
      </c>
      <c r="F1214" s="112">
        <f ca="1" t="shared" ref="F1214:Q1214" si="1120">IFERROR(F1207/F1205," ")</f>
        <v>1</v>
      </c>
      <c r="G1214" s="112">
        <f ca="1" t="shared" si="1120"/>
        <v>1</v>
      </c>
      <c r="H1214" s="112">
        <f ca="1" t="shared" si="1120"/>
        <v>1</v>
      </c>
      <c r="I1214" s="112">
        <f ca="1" t="shared" si="1120"/>
        <v>0.980902438744213</v>
      </c>
      <c r="J1214" s="112">
        <f ca="1" t="shared" si="1120"/>
        <v>0.980902438744213</v>
      </c>
      <c r="K1214" s="112">
        <f ca="1" t="shared" si="1120"/>
        <v>0.987673764741457</v>
      </c>
      <c r="L1214" s="112">
        <f ca="1" t="shared" si="1120"/>
        <v>0.958148344341198</v>
      </c>
      <c r="M1214" s="112">
        <f ca="1" t="shared" si="1120"/>
        <v>0.681365335422684</v>
      </c>
      <c r="N1214" s="112">
        <f ca="1" t="shared" si="1120"/>
        <v>0.551745233322422</v>
      </c>
      <c r="O1214" s="112">
        <f ca="1" t="shared" si="1120"/>
        <v>0.551745233322422</v>
      </c>
      <c r="P1214" s="112">
        <f ca="1" t="shared" si="1120"/>
        <v>0.548321402413892</v>
      </c>
      <c r="Q1214" s="112">
        <f ca="1" t="shared" si="1120"/>
        <v>0.548321402413892</v>
      </c>
    </row>
    <row r="1215" ht="24" customHeight="1" spans="1:17">
      <c r="A1215" s="99" t="s">
        <v>347</v>
      </c>
      <c r="B1215" s="99" t="s">
        <v>299</v>
      </c>
      <c r="C1215" s="99" t="s">
        <v>343</v>
      </c>
      <c r="D1215" s="48" t="s">
        <v>321</v>
      </c>
      <c r="E1215" s="48" t="s">
        <v>86</v>
      </c>
      <c r="F1215" s="112">
        <f ca="1" t="shared" ref="F1215:Q1215" si="1121">IFERROR(F1208/F1205," ")</f>
        <v>0</v>
      </c>
      <c r="G1215" s="112">
        <f ca="1" t="shared" si="1121"/>
        <v>0</v>
      </c>
      <c r="H1215" s="112">
        <f ca="1" t="shared" si="1121"/>
        <v>0</v>
      </c>
      <c r="I1215" s="112">
        <f ca="1" t="shared" si="1121"/>
        <v>0</v>
      </c>
      <c r="J1215" s="112">
        <f ca="1" t="shared" si="1121"/>
        <v>0</v>
      </c>
      <c r="K1215" s="112">
        <f ca="1" t="shared" si="1121"/>
        <v>0</v>
      </c>
      <c r="L1215" s="112">
        <f ca="1" t="shared" si="1121"/>
        <v>0.0298938996400168</v>
      </c>
      <c r="M1215" s="112">
        <f ca="1" t="shared" si="1121"/>
        <v>0.0212583647152437</v>
      </c>
      <c r="N1215" s="112">
        <f ca="1" t="shared" si="1121"/>
        <v>0.0166840557750634</v>
      </c>
      <c r="O1215" s="112">
        <f ca="1" t="shared" si="1121"/>
        <v>0.0166840557750634</v>
      </c>
      <c r="P1215" s="112">
        <f ca="1" t="shared" si="1121"/>
        <v>0.0165805235968182</v>
      </c>
      <c r="Q1215" s="112">
        <f ca="1" t="shared" si="1121"/>
        <v>0.0165805235968182</v>
      </c>
    </row>
    <row r="1216" ht="24" customHeight="1" spans="1:17">
      <c r="A1216" s="99" t="s">
        <v>347</v>
      </c>
      <c r="B1216" s="99" t="s">
        <v>299</v>
      </c>
      <c r="C1216" s="99" t="s">
        <v>343</v>
      </c>
      <c r="D1216" s="48" t="s">
        <v>321</v>
      </c>
      <c r="E1216" s="48" t="s">
        <v>97</v>
      </c>
      <c r="F1216" s="112">
        <f ca="1" t="shared" ref="F1216:Q1216" si="1122">IFERROR(F1209/F1205," ")</f>
        <v>0</v>
      </c>
      <c r="G1216" s="112">
        <f ca="1" t="shared" si="1122"/>
        <v>0</v>
      </c>
      <c r="H1216" s="112">
        <f ca="1" t="shared" si="1122"/>
        <v>0</v>
      </c>
      <c r="I1216" s="112">
        <f ca="1" t="shared" si="1122"/>
        <v>0.0190975612557867</v>
      </c>
      <c r="J1216" s="112">
        <f ca="1" t="shared" si="1122"/>
        <v>0.0190975612557867</v>
      </c>
      <c r="K1216" s="112">
        <f ca="1" t="shared" si="1122"/>
        <v>0.012326235258543</v>
      </c>
      <c r="L1216" s="112">
        <f ca="1" t="shared" si="1122"/>
        <v>0.0119577560187849</v>
      </c>
      <c r="M1216" s="112">
        <f ca="1" t="shared" si="1122"/>
        <v>0.00850348538278181</v>
      </c>
      <c r="N1216" s="112">
        <f ca="1" t="shared" si="1122"/>
        <v>0.190857826795722</v>
      </c>
      <c r="O1216" s="112">
        <f ca="1" t="shared" si="1122"/>
        <v>0.190857826795722</v>
      </c>
      <c r="P1216" s="112">
        <f ca="1" t="shared" si="1122"/>
        <v>0.195878923154507</v>
      </c>
      <c r="Q1216" s="112">
        <f ca="1" t="shared" si="1122"/>
        <v>0.195878923154507</v>
      </c>
    </row>
    <row r="1217" ht="24" customHeight="1" spans="1:17">
      <c r="A1217" s="99" t="s">
        <v>347</v>
      </c>
      <c r="B1217" s="99" t="s">
        <v>299</v>
      </c>
      <c r="C1217" s="99" t="s">
        <v>343</v>
      </c>
      <c r="D1217" s="48" t="s">
        <v>321</v>
      </c>
      <c r="E1217" s="48" t="s">
        <v>87</v>
      </c>
      <c r="F1217" s="112">
        <f ca="1" t="shared" ref="F1217:Q1217" si="1123">IFERROR(F1210/F1205," ")</f>
        <v>0</v>
      </c>
      <c r="G1217" s="112">
        <f ca="1" t="shared" si="1123"/>
        <v>0</v>
      </c>
      <c r="H1217" s="112">
        <f ca="1" t="shared" si="1123"/>
        <v>0</v>
      </c>
      <c r="I1217" s="112">
        <f ca="1" t="shared" si="1123"/>
        <v>0</v>
      </c>
      <c r="J1217" s="112">
        <f ca="1" t="shared" si="1123"/>
        <v>0</v>
      </c>
      <c r="K1217" s="112">
        <f ca="1" t="shared" si="1123"/>
        <v>0</v>
      </c>
      <c r="L1217" s="112">
        <f ca="1" t="shared" si="1123"/>
        <v>0</v>
      </c>
      <c r="M1217" s="112">
        <f ca="1" t="shared" si="1123"/>
        <v>0</v>
      </c>
      <c r="N1217" s="112">
        <f ca="1" t="shared" si="1123"/>
        <v>0</v>
      </c>
      <c r="O1217" s="112">
        <f ca="1" t="shared" si="1123"/>
        <v>0</v>
      </c>
      <c r="P1217" s="112">
        <f ca="1" t="shared" si="1123"/>
        <v>0</v>
      </c>
      <c r="Q1217" s="112">
        <f ca="1" t="shared" si="1123"/>
        <v>0</v>
      </c>
    </row>
    <row r="1218" ht="24" customHeight="1" spans="1:17">
      <c r="A1218" s="99" t="s">
        <v>347</v>
      </c>
      <c r="B1218" s="99" t="s">
        <v>299</v>
      </c>
      <c r="C1218" s="99" t="s">
        <v>343</v>
      </c>
      <c r="D1218" s="48" t="s">
        <v>321</v>
      </c>
      <c r="E1218" s="48" t="s">
        <v>149</v>
      </c>
      <c r="F1218" s="112">
        <f ca="1" t="shared" ref="F1218:Q1218" si="1124">IFERROR(F1211/F1205," ")</f>
        <v>0</v>
      </c>
      <c r="G1218" s="112">
        <f ca="1" t="shared" si="1124"/>
        <v>0</v>
      </c>
      <c r="H1218" s="112">
        <f ca="1" t="shared" si="1124"/>
        <v>0</v>
      </c>
      <c r="I1218" s="112">
        <f ca="1" t="shared" si="1124"/>
        <v>0</v>
      </c>
      <c r="J1218" s="112">
        <f ca="1" t="shared" si="1124"/>
        <v>0</v>
      </c>
      <c r="K1218" s="112">
        <f ca="1" t="shared" si="1124"/>
        <v>0</v>
      </c>
      <c r="L1218" s="112">
        <f ca="1" t="shared" si="1124"/>
        <v>0</v>
      </c>
      <c r="M1218" s="112">
        <f ca="1" t="shared" si="1124"/>
        <v>0.288872814479291</v>
      </c>
      <c r="N1218" s="112">
        <f ca="1" t="shared" si="1124"/>
        <v>0.226714058829562</v>
      </c>
      <c r="O1218" s="112">
        <f ca="1" t="shared" si="1124"/>
        <v>0.226714058829562</v>
      </c>
      <c r="P1218" s="112">
        <f ca="1" t="shared" si="1124"/>
        <v>0.225307194655412</v>
      </c>
      <c r="Q1218" s="112">
        <f ca="1" t="shared" si="1124"/>
        <v>0.225307194655412</v>
      </c>
    </row>
    <row r="1219" ht="24" customHeight="1" spans="1:17">
      <c r="A1219" s="99" t="s">
        <v>347</v>
      </c>
      <c r="B1219" s="99" t="s">
        <v>299</v>
      </c>
      <c r="C1219" s="99" t="s">
        <v>343</v>
      </c>
      <c r="D1219" s="48" t="s">
        <v>321</v>
      </c>
      <c r="E1219" s="48" t="s">
        <v>83</v>
      </c>
      <c r="F1219" s="112">
        <f ca="1" t="shared" ref="F1219:Q1219" si="1125">IFERROR(F1212/F1205," ")</f>
        <v>0</v>
      </c>
      <c r="G1219" s="112">
        <f ca="1" t="shared" si="1125"/>
        <v>0</v>
      </c>
      <c r="H1219" s="112">
        <f ca="1" t="shared" si="1125"/>
        <v>0</v>
      </c>
      <c r="I1219" s="112">
        <f ca="1" t="shared" si="1125"/>
        <v>0</v>
      </c>
      <c r="J1219" s="112">
        <f ca="1" t="shared" si="1125"/>
        <v>0</v>
      </c>
      <c r="K1219" s="112">
        <f ca="1" t="shared" si="1125"/>
        <v>0</v>
      </c>
      <c r="L1219" s="112">
        <f ca="1" t="shared" si="1125"/>
        <v>0</v>
      </c>
      <c r="M1219" s="112">
        <f ca="1" t="shared" si="1125"/>
        <v>0</v>
      </c>
      <c r="N1219" s="112">
        <f ca="1" t="shared" si="1125"/>
        <v>0</v>
      </c>
      <c r="O1219" s="112">
        <f ca="1" t="shared" si="1125"/>
        <v>0</v>
      </c>
      <c r="P1219" s="112">
        <f ca="1" t="shared" si="1125"/>
        <v>0</v>
      </c>
      <c r="Q1219" s="112">
        <f ca="1" t="shared" si="1125"/>
        <v>0</v>
      </c>
    </row>
    <row r="1220" ht="24" customHeight="1" spans="1:17">
      <c r="A1220" s="99" t="s">
        <v>347</v>
      </c>
      <c r="B1220" s="99" t="s">
        <v>299</v>
      </c>
      <c r="C1220" s="99" t="s">
        <v>343</v>
      </c>
      <c r="D1220" s="47" t="s">
        <v>294</v>
      </c>
      <c r="E1220" s="47" t="s">
        <v>93</v>
      </c>
      <c r="F1220" s="64">
        <f ca="1" t="shared" ref="F1220:F1224" si="1126">IF($S$1&lt;DATE(2025,1,1)," ",F1161)</f>
        <v>7.514364</v>
      </c>
      <c r="G1220" s="64">
        <f ca="1" t="shared" ref="G1220:G1224" si="1127">IF($S$1&lt;DATE(2025,2,1)," ",G1161+F1220)</f>
        <v>7.514364</v>
      </c>
      <c r="H1220" s="64">
        <f ca="1" t="shared" ref="H1220:H1224" si="1128">IF($S$1&lt;DATE(2025,3,1)," ",H1161+G1220)</f>
        <v>7.514364</v>
      </c>
      <c r="I1220" s="64">
        <f ca="1" t="shared" ref="I1220:I1224" si="1129">IF($S$1&lt;DATE(2025,4,1)," ",I1161+H1220)</f>
        <v>7.514364</v>
      </c>
      <c r="J1220" s="64">
        <f ca="1" t="shared" ref="J1220:J1224" si="1130">IF($S$1&lt;DATE(2025,5,1)," ",J1161+I1220)</f>
        <v>7.514364</v>
      </c>
      <c r="K1220" s="64">
        <f ca="1" t="shared" ref="K1220:K1224" si="1131">IF($S$1&lt;DATE(2025,6,1)," ",K1161+J1220)</f>
        <v>9.195575</v>
      </c>
      <c r="L1220" s="64">
        <f ca="1" t="shared" ref="L1220:L1224" si="1132">IF($S$1&lt;DATE(2025,7,1)," ",L1161+K1220)</f>
        <v>9.561319</v>
      </c>
      <c r="M1220" s="64">
        <f ca="1" t="shared" ref="M1220:M1224" si="1133">IF($S$1&lt;DATE(2025,8,1)," ",M1161+L1220)</f>
        <v>14.531292</v>
      </c>
      <c r="N1220" s="64">
        <f ca="1" t="shared" ref="N1220:N1224" si="1134">IF($S$1&lt;DATE(2025,9,1)," ",N1161+M1220)</f>
        <v>18.875812</v>
      </c>
      <c r="O1220" s="64">
        <f ca="1" t="shared" ref="O1220:O1224" si="1135">IF($S$1&lt;DATE(2025,10,1)," ",O1161+N1220)</f>
        <v>18.875812</v>
      </c>
      <c r="P1220" s="64">
        <f ca="1" t="shared" ref="P1220:P1224" si="1136">IF($S$1&lt;DATE(2025,11,1)," ",P1161+O1220)</f>
        <v>19.012696</v>
      </c>
      <c r="Q1220" s="64">
        <f ca="1" t="shared" ref="Q1220:Q1224" si="1137">IF($S$1&lt;DATE(2025,12,1)," ",Q1161+P1220)</f>
        <v>19.012696</v>
      </c>
    </row>
    <row r="1221" ht="24" customHeight="1" spans="1:17">
      <c r="A1221" s="99" t="s">
        <v>347</v>
      </c>
      <c r="B1221" s="99" t="s">
        <v>299</v>
      </c>
      <c r="C1221" s="99" t="s">
        <v>343</v>
      </c>
      <c r="D1221" s="47" t="s">
        <v>294</v>
      </c>
      <c r="E1221" s="47" t="s">
        <v>85</v>
      </c>
      <c r="F1221" s="64">
        <f ca="1" t="shared" si="1126"/>
        <v>0</v>
      </c>
      <c r="G1221" s="64">
        <f ca="1" t="shared" si="1127"/>
        <v>0</v>
      </c>
      <c r="H1221" s="64">
        <f ca="1" t="shared" si="1128"/>
        <v>0</v>
      </c>
      <c r="I1221" s="64">
        <f ca="1" t="shared" si="1129"/>
        <v>0</v>
      </c>
      <c r="J1221" s="64">
        <f ca="1" t="shared" si="1130"/>
        <v>0</v>
      </c>
      <c r="K1221" s="64">
        <f ca="1" t="shared" si="1131"/>
        <v>2.527118</v>
      </c>
      <c r="L1221" s="64">
        <f ca="1" t="shared" si="1132"/>
        <v>2.527118</v>
      </c>
      <c r="M1221" s="64">
        <f ca="1" t="shared" si="1133"/>
        <v>2.527118</v>
      </c>
      <c r="N1221" s="64">
        <f ca="1" t="shared" si="1134"/>
        <v>2.527118</v>
      </c>
      <c r="O1221" s="64">
        <f ca="1" t="shared" si="1135"/>
        <v>2.527118</v>
      </c>
      <c r="P1221" s="64">
        <f ca="1" t="shared" si="1136"/>
        <v>2.527118</v>
      </c>
      <c r="Q1221" s="64">
        <f ca="1" t="shared" si="1137"/>
        <v>2.527118</v>
      </c>
    </row>
    <row r="1222" ht="24" customHeight="1" spans="1:17">
      <c r="A1222" s="99" t="s">
        <v>347</v>
      </c>
      <c r="B1222" s="99" t="s">
        <v>299</v>
      </c>
      <c r="C1222" s="99" t="s">
        <v>343</v>
      </c>
      <c r="D1222" s="47" t="s">
        <v>294</v>
      </c>
      <c r="E1222" s="47" t="s">
        <v>81</v>
      </c>
      <c r="F1222" s="64">
        <f ca="1" t="shared" si="1126"/>
        <v>0</v>
      </c>
      <c r="G1222" s="64">
        <f ca="1" t="shared" si="1127"/>
        <v>0</v>
      </c>
      <c r="H1222" s="64">
        <f ca="1" t="shared" si="1128"/>
        <v>0</v>
      </c>
      <c r="I1222" s="64">
        <f ca="1" t="shared" si="1129"/>
        <v>0.1463</v>
      </c>
      <c r="J1222" s="64">
        <f ca="1" t="shared" si="1130"/>
        <v>0.1463</v>
      </c>
      <c r="K1222" s="64">
        <f ca="1" t="shared" si="1131"/>
        <v>0.1463</v>
      </c>
      <c r="L1222" s="64">
        <f ca="1" t="shared" si="1132"/>
        <v>0.1463</v>
      </c>
      <c r="M1222" s="64">
        <f ca="1" t="shared" si="1133"/>
        <v>0.1463</v>
      </c>
      <c r="N1222" s="64">
        <f ca="1" t="shared" si="1134"/>
        <v>0.518838</v>
      </c>
      <c r="O1222" s="64">
        <f ca="1" t="shared" si="1135"/>
        <v>0.518838</v>
      </c>
      <c r="P1222" s="64">
        <f ca="1" t="shared" si="1136"/>
        <v>0.518838</v>
      </c>
      <c r="Q1222" s="64">
        <f ca="1" t="shared" si="1137"/>
        <v>0.518838</v>
      </c>
    </row>
    <row r="1223" ht="24" customHeight="1" spans="1:17">
      <c r="A1223" s="99" t="s">
        <v>347</v>
      </c>
      <c r="B1223" s="99" t="s">
        <v>299</v>
      </c>
      <c r="C1223" s="99" t="s">
        <v>343</v>
      </c>
      <c r="D1223" s="47" t="s">
        <v>294</v>
      </c>
      <c r="E1223" s="47" t="s">
        <v>96</v>
      </c>
      <c r="F1223" s="64">
        <f ca="1" t="shared" si="1126"/>
        <v>0</v>
      </c>
      <c r="G1223" s="64">
        <f ca="1" t="shared" si="1127"/>
        <v>0</v>
      </c>
      <c r="H1223" s="64">
        <f ca="1" t="shared" si="1128"/>
        <v>0</v>
      </c>
      <c r="I1223" s="64">
        <f ca="1" t="shared" si="1129"/>
        <v>0</v>
      </c>
      <c r="J1223" s="64">
        <f ca="1" t="shared" si="1130"/>
        <v>0</v>
      </c>
      <c r="K1223" s="64">
        <f ca="1" t="shared" si="1131"/>
        <v>0</v>
      </c>
      <c r="L1223" s="64">
        <f ca="1" t="shared" si="1132"/>
        <v>0</v>
      </c>
      <c r="M1223" s="64">
        <f ca="1" t="shared" si="1133"/>
        <v>0</v>
      </c>
      <c r="N1223" s="64">
        <f ca="1" t="shared" si="1134"/>
        <v>0</v>
      </c>
      <c r="O1223" s="64">
        <f ca="1" t="shared" si="1135"/>
        <v>0</v>
      </c>
      <c r="P1223" s="64">
        <f ca="1" t="shared" si="1136"/>
        <v>0</v>
      </c>
      <c r="Q1223" s="64">
        <f ca="1" t="shared" si="1137"/>
        <v>0</v>
      </c>
    </row>
    <row r="1224" ht="24" customHeight="1" spans="1:17">
      <c r="A1224" s="99" t="s">
        <v>347</v>
      </c>
      <c r="B1224" s="99" t="s">
        <v>299</v>
      </c>
      <c r="C1224" s="99" t="s">
        <v>343</v>
      </c>
      <c r="D1224" s="47" t="s">
        <v>294</v>
      </c>
      <c r="E1224" s="47" t="s">
        <v>160</v>
      </c>
      <c r="F1224" s="64">
        <f ca="1" t="shared" si="1126"/>
        <v>0</v>
      </c>
      <c r="G1224" s="64">
        <f ca="1" t="shared" si="1127"/>
        <v>0</v>
      </c>
      <c r="H1224" s="64">
        <f ca="1" t="shared" si="1128"/>
        <v>0</v>
      </c>
      <c r="I1224" s="64">
        <f ca="1" t="shared" si="1129"/>
        <v>0</v>
      </c>
      <c r="J1224" s="64">
        <f ca="1" t="shared" si="1130"/>
        <v>0</v>
      </c>
      <c r="K1224" s="64">
        <f ca="1" t="shared" si="1131"/>
        <v>0</v>
      </c>
      <c r="L1224" s="64">
        <f ca="1" t="shared" si="1132"/>
        <v>0</v>
      </c>
      <c r="M1224" s="64">
        <f ca="1" t="shared" si="1133"/>
        <v>0</v>
      </c>
      <c r="N1224" s="64">
        <f ca="1" t="shared" si="1134"/>
        <v>0</v>
      </c>
      <c r="O1224" s="64">
        <f ca="1" t="shared" si="1135"/>
        <v>0</v>
      </c>
      <c r="P1224" s="64">
        <f ca="1" t="shared" si="1136"/>
        <v>0</v>
      </c>
      <c r="Q1224" s="64">
        <f ca="1" t="shared" si="1137"/>
        <v>0</v>
      </c>
    </row>
    <row r="1225" ht="24" customHeight="1" spans="1:17">
      <c r="A1225" s="99" t="s">
        <v>347</v>
      </c>
      <c r="B1225" s="99" t="s">
        <v>299</v>
      </c>
      <c r="C1225" s="99" t="s">
        <v>343</v>
      </c>
      <c r="D1225" s="47" t="s">
        <v>321</v>
      </c>
      <c r="E1225" s="47" t="s">
        <v>93</v>
      </c>
      <c r="F1225" s="126">
        <f ca="1" t="shared" ref="F1225:Q1225" si="1138">IFERROR(F1220/F1205," ")</f>
        <v>1</v>
      </c>
      <c r="G1225" s="126">
        <f ca="1" t="shared" si="1138"/>
        <v>1</v>
      </c>
      <c r="H1225" s="126">
        <f ca="1" t="shared" si="1138"/>
        <v>1</v>
      </c>
      <c r="I1225" s="126">
        <f ca="1" t="shared" si="1138"/>
        <v>0.980902438744213</v>
      </c>
      <c r="J1225" s="126">
        <f ca="1" t="shared" si="1138"/>
        <v>0.980902438744213</v>
      </c>
      <c r="K1225" s="126">
        <f ca="1" t="shared" si="1138"/>
        <v>0.774756122949942</v>
      </c>
      <c r="L1225" s="126">
        <f ca="1" t="shared" si="1138"/>
        <v>0.781489540805005</v>
      </c>
      <c r="M1225" s="126">
        <f ca="1" t="shared" si="1138"/>
        <v>0.844611272145825</v>
      </c>
      <c r="N1225" s="126">
        <f ca="1" t="shared" si="1138"/>
        <v>0.861053360294662</v>
      </c>
      <c r="O1225" s="126">
        <f ca="1" t="shared" si="1138"/>
        <v>0.861053360294662</v>
      </c>
      <c r="P1225" s="126">
        <f ca="1" t="shared" si="1138"/>
        <v>0.861915587588942</v>
      </c>
      <c r="Q1225" s="126">
        <f ca="1" t="shared" si="1138"/>
        <v>0.861915587588942</v>
      </c>
    </row>
    <row r="1226" ht="24" customHeight="1" spans="1:17">
      <c r="A1226" s="99" t="s">
        <v>347</v>
      </c>
      <c r="B1226" s="99" t="s">
        <v>299</v>
      </c>
      <c r="C1226" s="99" t="s">
        <v>343</v>
      </c>
      <c r="D1226" s="47" t="s">
        <v>321</v>
      </c>
      <c r="E1226" s="47" t="s">
        <v>85</v>
      </c>
      <c r="F1226" s="126">
        <f ca="1" t="shared" ref="F1226:Q1226" si="1139">IFERROR(F1221/F1205," ")</f>
        <v>0</v>
      </c>
      <c r="G1226" s="126">
        <f ca="1" t="shared" si="1139"/>
        <v>0</v>
      </c>
      <c r="H1226" s="126">
        <f ca="1" t="shared" si="1139"/>
        <v>0</v>
      </c>
      <c r="I1226" s="126">
        <f ca="1" t="shared" si="1139"/>
        <v>0</v>
      </c>
      <c r="J1226" s="126">
        <f ca="1" t="shared" si="1139"/>
        <v>0</v>
      </c>
      <c r="K1226" s="126">
        <f ca="1" t="shared" si="1139"/>
        <v>0.212917641791515</v>
      </c>
      <c r="L1226" s="126">
        <f ca="1" t="shared" si="1139"/>
        <v>0.206552703176211</v>
      </c>
      <c r="M1226" s="126">
        <f ca="1" t="shared" si="1139"/>
        <v>0.146885242471393</v>
      </c>
      <c r="N1226" s="126">
        <f ca="1" t="shared" si="1139"/>
        <v>0.115278931881772</v>
      </c>
      <c r="O1226" s="126">
        <f ca="1" t="shared" si="1139"/>
        <v>0.115278931881772</v>
      </c>
      <c r="P1226" s="126">
        <f ca="1" t="shared" si="1139"/>
        <v>0.114563573513014</v>
      </c>
      <c r="Q1226" s="126">
        <f ca="1" t="shared" si="1139"/>
        <v>0.114563573513014</v>
      </c>
    </row>
    <row r="1227" ht="24" customHeight="1" spans="1:17">
      <c r="A1227" s="99" t="s">
        <v>347</v>
      </c>
      <c r="B1227" s="99" t="s">
        <v>299</v>
      </c>
      <c r="C1227" s="99" t="s">
        <v>343</v>
      </c>
      <c r="D1227" s="47" t="s">
        <v>321</v>
      </c>
      <c r="E1227" s="47" t="s">
        <v>81</v>
      </c>
      <c r="F1227" s="126">
        <f ca="1" t="shared" ref="F1227:Q1227" si="1140">IFERROR(F1222/F1205," ")</f>
        <v>0</v>
      </c>
      <c r="G1227" s="126">
        <f ca="1" t="shared" si="1140"/>
        <v>0</v>
      </c>
      <c r="H1227" s="126">
        <f ca="1" t="shared" si="1140"/>
        <v>0</v>
      </c>
      <c r="I1227" s="126">
        <f ca="1" t="shared" si="1140"/>
        <v>0.0190975612557867</v>
      </c>
      <c r="J1227" s="126">
        <f ca="1" t="shared" si="1140"/>
        <v>0.0190975612557867</v>
      </c>
      <c r="K1227" s="126">
        <f ca="1" t="shared" si="1140"/>
        <v>0.012326235258543</v>
      </c>
      <c r="L1227" s="126">
        <f ca="1" t="shared" si="1140"/>
        <v>0.0119577560187849</v>
      </c>
      <c r="M1227" s="126">
        <f ca="1" t="shared" si="1140"/>
        <v>0.00850348538278181</v>
      </c>
      <c r="N1227" s="126">
        <f ca="1" t="shared" si="1140"/>
        <v>0.0236677078235661</v>
      </c>
      <c r="O1227" s="126">
        <f ca="1" t="shared" si="1140"/>
        <v>0.0236677078235661</v>
      </c>
      <c r="P1227" s="126">
        <f ca="1" t="shared" si="1140"/>
        <v>0.0235208388980433</v>
      </c>
      <c r="Q1227" s="126">
        <f ca="1" t="shared" si="1140"/>
        <v>0.0235208388980433</v>
      </c>
    </row>
    <row r="1228" ht="24" customHeight="1" spans="1:17">
      <c r="A1228" s="99" t="s">
        <v>347</v>
      </c>
      <c r="B1228" s="99" t="s">
        <v>299</v>
      </c>
      <c r="C1228" s="99" t="s">
        <v>343</v>
      </c>
      <c r="D1228" s="47" t="s">
        <v>321</v>
      </c>
      <c r="E1228" s="47" t="s">
        <v>96</v>
      </c>
      <c r="F1228" s="126">
        <f ca="1" t="shared" ref="F1228:Q1228" si="1141">IFERROR(F1223/F1205," ")</f>
        <v>0</v>
      </c>
      <c r="G1228" s="126">
        <f ca="1" t="shared" si="1141"/>
        <v>0</v>
      </c>
      <c r="H1228" s="126">
        <f ca="1" t="shared" si="1141"/>
        <v>0</v>
      </c>
      <c r="I1228" s="126">
        <f ca="1" t="shared" si="1141"/>
        <v>0</v>
      </c>
      <c r="J1228" s="126">
        <f ca="1" t="shared" si="1141"/>
        <v>0</v>
      </c>
      <c r="K1228" s="126">
        <f ca="1" t="shared" si="1141"/>
        <v>0</v>
      </c>
      <c r="L1228" s="126">
        <f ca="1" t="shared" si="1141"/>
        <v>0</v>
      </c>
      <c r="M1228" s="126">
        <f ca="1" t="shared" si="1141"/>
        <v>0</v>
      </c>
      <c r="N1228" s="126">
        <f ca="1" t="shared" si="1141"/>
        <v>0</v>
      </c>
      <c r="O1228" s="126">
        <f ca="1" t="shared" si="1141"/>
        <v>0</v>
      </c>
      <c r="P1228" s="126">
        <f ca="1" t="shared" si="1141"/>
        <v>0</v>
      </c>
      <c r="Q1228" s="126">
        <f ca="1" t="shared" si="1141"/>
        <v>0</v>
      </c>
    </row>
    <row r="1229" ht="24" customHeight="1" spans="1:17">
      <c r="A1229" s="99" t="s">
        <v>347</v>
      </c>
      <c r="B1229" s="99" t="s">
        <v>299</v>
      </c>
      <c r="C1229" s="99" t="s">
        <v>343</v>
      </c>
      <c r="D1229" s="47" t="s">
        <v>321</v>
      </c>
      <c r="E1229" s="47" t="s">
        <v>160</v>
      </c>
      <c r="F1229" s="126">
        <f ca="1" t="shared" ref="F1229:Q1229" si="1142">IFERROR(F1224/F1205," ")</f>
        <v>0</v>
      </c>
      <c r="G1229" s="126">
        <f ca="1" t="shared" si="1142"/>
        <v>0</v>
      </c>
      <c r="H1229" s="126">
        <f ca="1" t="shared" si="1142"/>
        <v>0</v>
      </c>
      <c r="I1229" s="126">
        <f ca="1" t="shared" si="1142"/>
        <v>0</v>
      </c>
      <c r="J1229" s="126">
        <f ca="1" t="shared" si="1142"/>
        <v>0</v>
      </c>
      <c r="K1229" s="126">
        <f ca="1" t="shared" si="1142"/>
        <v>0</v>
      </c>
      <c r="L1229" s="126">
        <f ca="1" t="shared" si="1142"/>
        <v>0</v>
      </c>
      <c r="M1229" s="126">
        <f ca="1" t="shared" si="1142"/>
        <v>0</v>
      </c>
      <c r="N1229" s="126">
        <f ca="1" t="shared" si="1142"/>
        <v>0</v>
      </c>
      <c r="O1229" s="126">
        <f ca="1" t="shared" si="1142"/>
        <v>0</v>
      </c>
      <c r="P1229" s="126">
        <f ca="1" t="shared" si="1142"/>
        <v>0</v>
      </c>
      <c r="Q1229" s="126">
        <f ca="1" t="shared" si="1142"/>
        <v>0</v>
      </c>
    </row>
    <row r="1230" ht="24" customHeight="1" spans="1:17">
      <c r="A1230" s="99" t="s">
        <v>347</v>
      </c>
      <c r="B1230" s="99" t="s">
        <v>299</v>
      </c>
      <c r="C1230" s="99" t="s">
        <v>344</v>
      </c>
      <c r="D1230" s="114" t="s">
        <v>292</v>
      </c>
      <c r="E1230" s="114" t="s">
        <v>320</v>
      </c>
      <c r="F1230" s="215">
        <f ca="1">IF($S$1&lt;DATE(2025,1,1)," ",IF(SUM(F1231:F1237)&lt;&gt;SUM(F1245:F1249),"ERR",SUM(F1231:F1237)))</f>
        <v>7.642832</v>
      </c>
      <c r="G1230" s="215">
        <f ca="1">IF($S$1&lt;DATE(2025,2,1)," ",IF(SUM(G1231:G1237)&lt;&gt;SUM(G1245:G1249),"ERR",SUM(G1231:G1237)))</f>
        <v>7.642832</v>
      </c>
      <c r="H1230" s="215">
        <f ca="1">IF($S$1&lt;DATE(2025,3,1)," ",IF(SUM(H1231:H1237)&lt;&gt;SUM(H1245:H1249),"ERR",SUM(H1231:H1237)))</f>
        <v>7.642832</v>
      </c>
      <c r="I1230" s="215">
        <f ca="1">IF($S$1&lt;DATE(2025,4,1)," ",IF(SUM(I1231:I1237)&lt;&gt;SUM(I1245:I1249),"ERR",SUM(I1231:I1237)))</f>
        <v>7.789432</v>
      </c>
      <c r="J1230" s="215">
        <f ca="1">IF($S$1&lt;DATE(2025,5,1)," ",IF(SUM(J1231:J1237)&lt;&gt;SUM(J1245:J1249),"ERR",SUM(J1231:J1237)))</f>
        <v>7.789432</v>
      </c>
      <c r="K1230" s="215">
        <f ca="1">IF($S$1&lt;DATE(2025,6,1)," ",IF(SUM(K1231:K1237)&lt;&gt;SUM(K1245:K1249),"ERR",SUM(K1231:K1237)))</f>
        <v>12.074371</v>
      </c>
      <c r="L1230" s="215">
        <f ca="1">IF($S$1&lt;DATE(2025,7,1)," ",IF(SUM(L1231:L1237)&lt;&gt;SUM(L1245:L1249),"ERR",SUM(L1231:L1237)))</f>
        <v>12.446503</v>
      </c>
      <c r="M1230" s="215">
        <f ca="1">IF($S$1&lt;DATE(2025,8,1)," ",IF(SUM(M1231:M1237)&lt;&gt;SUM(M1245:M1249),"ERR",SUM(M1231:M1237)))</f>
        <v>17.508493</v>
      </c>
      <c r="N1230" s="215">
        <f ca="1">IF($S$1&lt;DATE(2025,9,1)," ",IF(SUM(N1231:N1237)&lt;&gt;SUM(N1245:N1249),"ERR",SUM(N1231:N1237)))</f>
        <v>22.297488</v>
      </c>
      <c r="O1230" s="215">
        <f ca="1">IF($S$1&lt;DATE(2025,10,1)," ",IF(SUM(O1231:O1237)&lt;&gt;SUM(O1245:O1249),"ERR",SUM(O1231:O1237)))</f>
        <v>22.297488</v>
      </c>
      <c r="P1230" s="215">
        <f ca="1">IF($S$1&lt;DATE(2025,11,1)," ",IF(SUM(P1231:P1237)&lt;&gt;SUM(P1245:P1249),"ERR",SUM(P1231:P1237)))</f>
        <v>22.435556</v>
      </c>
      <c r="Q1230" s="215">
        <f ca="1">IF($S$1&lt;DATE(2025,12,1)," ",IF(SUM(Q1231:Q1237)&lt;&gt;SUM(Q1245:Q1249),"ERR",SUM(Q1231:Q1237)))</f>
        <v>22.435556</v>
      </c>
    </row>
    <row r="1231" ht="24" customHeight="1" spans="1:17">
      <c r="A1231" s="99" t="s">
        <v>347</v>
      </c>
      <c r="B1231" s="99" t="s">
        <v>299</v>
      </c>
      <c r="C1231" s="99" t="s">
        <v>344</v>
      </c>
      <c r="D1231" s="48" t="s">
        <v>31</v>
      </c>
      <c r="E1231" s="48" t="s">
        <v>90</v>
      </c>
      <c r="F1231" s="51">
        <f ca="1" t="shared" ref="F1231:F1237" si="1143">IF($S$1&lt;DATE(2025,1,1)," ",F1174)</f>
        <v>0</v>
      </c>
      <c r="G1231" s="51">
        <f ca="1" t="shared" ref="G1231:G1237" si="1144">IF($S$1&lt;DATE(2025,2,1)," ",G1174+F1231)</f>
        <v>0</v>
      </c>
      <c r="H1231" s="51">
        <f ca="1" t="shared" ref="H1231:H1237" si="1145">IF($S$1&lt;DATE(2025,3,1)," ",H1174+G1231)</f>
        <v>0</v>
      </c>
      <c r="I1231" s="51">
        <f ca="1" t="shared" ref="I1231:I1237" si="1146">IF($S$1&lt;DATE(2025,4,1)," ",I1174+H1231)</f>
        <v>0</v>
      </c>
      <c r="J1231" s="51">
        <f ca="1" t="shared" ref="J1231:J1237" si="1147">IF($S$1&lt;DATE(2025,5,1)," ",J1174+I1231)</f>
        <v>0</v>
      </c>
      <c r="K1231" s="51">
        <f ca="1" t="shared" ref="K1231:K1237" si="1148">IF($S$1&lt;DATE(2025,6,1)," ",K1174+J1231)</f>
        <v>0</v>
      </c>
      <c r="L1231" s="51">
        <f ca="1" t="shared" ref="L1231:L1237" si="1149">IF($S$1&lt;DATE(2025,7,1)," ",L1174+K1231)</f>
        <v>0</v>
      </c>
      <c r="M1231" s="51">
        <f ca="1" t="shared" ref="M1231:M1237" si="1150">IF($S$1&lt;DATE(2025,8,1)," ",M1174+L1231)</f>
        <v>0</v>
      </c>
      <c r="N1231" s="51">
        <f ca="1" t="shared" ref="N1231:N1237" si="1151">IF($S$1&lt;DATE(2025,9,1)," ",N1174+M1231)</f>
        <v>0.309463</v>
      </c>
      <c r="O1231" s="51">
        <f ca="1" t="shared" ref="O1231:O1237" si="1152">IF($S$1&lt;DATE(2025,10,1)," ",O1174+N1231)</f>
        <v>0.309463</v>
      </c>
      <c r="P1231" s="51">
        <f ca="1" t="shared" ref="P1231:P1237" si="1153">IF($S$1&lt;DATE(2025,11,1)," ",P1174+O1231)</f>
        <v>0.309463</v>
      </c>
      <c r="Q1231" s="51">
        <f ca="1" t="shared" ref="Q1231:Q1237" si="1154">IF($S$1&lt;DATE(2025,12,1)," ",Q1174+P1231)</f>
        <v>0.309463</v>
      </c>
    </row>
    <row r="1232" ht="24" customHeight="1" spans="1:17">
      <c r="A1232" s="99" t="s">
        <v>347</v>
      </c>
      <c r="B1232" s="99" t="s">
        <v>299</v>
      </c>
      <c r="C1232" s="99" t="s">
        <v>344</v>
      </c>
      <c r="D1232" s="48" t="s">
        <v>31</v>
      </c>
      <c r="E1232" s="48" t="s">
        <v>82</v>
      </c>
      <c r="F1232" s="51">
        <f ca="1" t="shared" si="1143"/>
        <v>7.642832</v>
      </c>
      <c r="G1232" s="51">
        <f ca="1" t="shared" si="1144"/>
        <v>7.642832</v>
      </c>
      <c r="H1232" s="51">
        <f ca="1" t="shared" si="1145"/>
        <v>7.642832</v>
      </c>
      <c r="I1232" s="51">
        <f ca="1" t="shared" si="1146"/>
        <v>7.642832</v>
      </c>
      <c r="J1232" s="51">
        <f ca="1" t="shared" si="1147"/>
        <v>7.642832</v>
      </c>
      <c r="K1232" s="51">
        <f ca="1" t="shared" si="1148"/>
        <v>11.927771</v>
      </c>
      <c r="L1232" s="51">
        <f ca="1" t="shared" si="1149"/>
        <v>11.927771</v>
      </c>
      <c r="M1232" s="51">
        <f ca="1" t="shared" si="1150"/>
        <v>11.927771</v>
      </c>
      <c r="N1232" s="51">
        <f ca="1" t="shared" si="1151"/>
        <v>12.303446</v>
      </c>
      <c r="O1232" s="51">
        <f ca="1" t="shared" si="1152"/>
        <v>12.303446</v>
      </c>
      <c r="P1232" s="51">
        <f ca="1" t="shared" si="1153"/>
        <v>12.303446</v>
      </c>
      <c r="Q1232" s="51">
        <f ca="1" t="shared" si="1154"/>
        <v>12.303446</v>
      </c>
    </row>
    <row r="1233" ht="24" customHeight="1" spans="1:17">
      <c r="A1233" s="99" t="s">
        <v>347</v>
      </c>
      <c r="B1233" s="99" t="s">
        <v>299</v>
      </c>
      <c r="C1233" s="99" t="s">
        <v>344</v>
      </c>
      <c r="D1233" s="48" t="s">
        <v>31</v>
      </c>
      <c r="E1233" s="48" t="s">
        <v>86</v>
      </c>
      <c r="F1233" s="51">
        <f ca="1" t="shared" si="1143"/>
        <v>0</v>
      </c>
      <c r="G1233" s="51">
        <f ca="1" t="shared" si="1144"/>
        <v>0</v>
      </c>
      <c r="H1233" s="51">
        <f ca="1" t="shared" si="1145"/>
        <v>0</v>
      </c>
      <c r="I1233" s="51">
        <f ca="1" t="shared" si="1146"/>
        <v>0</v>
      </c>
      <c r="J1233" s="51">
        <f ca="1" t="shared" si="1147"/>
        <v>0</v>
      </c>
      <c r="K1233" s="51">
        <f ca="1" t="shared" si="1148"/>
        <v>0</v>
      </c>
      <c r="L1233" s="51">
        <f ca="1" t="shared" si="1149"/>
        <v>0.372132</v>
      </c>
      <c r="M1233" s="51">
        <f ca="1" t="shared" si="1150"/>
        <v>0.372132</v>
      </c>
      <c r="N1233" s="51">
        <f ca="1" t="shared" si="1151"/>
        <v>0.372132</v>
      </c>
      <c r="O1233" s="51">
        <f ca="1" t="shared" si="1152"/>
        <v>0.372132</v>
      </c>
      <c r="P1233" s="51">
        <f ca="1" t="shared" si="1153"/>
        <v>0.372132</v>
      </c>
      <c r="Q1233" s="51">
        <f ca="1" t="shared" si="1154"/>
        <v>0.372132</v>
      </c>
    </row>
    <row r="1234" ht="24" customHeight="1" spans="1:17">
      <c r="A1234" s="99" t="s">
        <v>347</v>
      </c>
      <c r="B1234" s="99" t="s">
        <v>299</v>
      </c>
      <c r="C1234" s="99" t="s">
        <v>344</v>
      </c>
      <c r="D1234" s="48" t="s">
        <v>31</v>
      </c>
      <c r="E1234" s="48" t="s">
        <v>97</v>
      </c>
      <c r="F1234" s="51">
        <f ca="1" t="shared" si="1143"/>
        <v>0</v>
      </c>
      <c r="G1234" s="51">
        <f ca="1" t="shared" si="1144"/>
        <v>0</v>
      </c>
      <c r="H1234" s="51">
        <f ca="1" t="shared" si="1145"/>
        <v>0</v>
      </c>
      <c r="I1234" s="51">
        <f ca="1" t="shared" si="1146"/>
        <v>0.1466</v>
      </c>
      <c r="J1234" s="51">
        <f ca="1" t="shared" si="1147"/>
        <v>0.1466</v>
      </c>
      <c r="K1234" s="51">
        <f ca="1" t="shared" si="1148"/>
        <v>0.1466</v>
      </c>
      <c r="L1234" s="51">
        <f ca="1" t="shared" si="1149"/>
        <v>0.1466</v>
      </c>
      <c r="M1234" s="51">
        <f ca="1" t="shared" si="1150"/>
        <v>0.1466</v>
      </c>
      <c r="N1234" s="51">
        <f ca="1" t="shared" si="1151"/>
        <v>4.250457</v>
      </c>
      <c r="O1234" s="51">
        <f ca="1" t="shared" si="1152"/>
        <v>4.250457</v>
      </c>
      <c r="P1234" s="51">
        <f ca="1" t="shared" si="1153"/>
        <v>4.388525</v>
      </c>
      <c r="Q1234" s="51">
        <f ca="1" t="shared" si="1154"/>
        <v>4.388525</v>
      </c>
    </row>
    <row r="1235" ht="24" customHeight="1" spans="1:17">
      <c r="A1235" s="99" t="s">
        <v>347</v>
      </c>
      <c r="B1235" s="99" t="s">
        <v>299</v>
      </c>
      <c r="C1235" s="99" t="s">
        <v>344</v>
      </c>
      <c r="D1235" s="48" t="s">
        <v>31</v>
      </c>
      <c r="E1235" s="48" t="s">
        <v>87</v>
      </c>
      <c r="F1235" s="51">
        <f ca="1" t="shared" si="1143"/>
        <v>0</v>
      </c>
      <c r="G1235" s="51">
        <f ca="1" t="shared" si="1144"/>
        <v>0</v>
      </c>
      <c r="H1235" s="51">
        <f ca="1" t="shared" si="1145"/>
        <v>0</v>
      </c>
      <c r="I1235" s="51">
        <f ca="1" t="shared" si="1146"/>
        <v>0</v>
      </c>
      <c r="J1235" s="51">
        <f ca="1" t="shared" si="1147"/>
        <v>0</v>
      </c>
      <c r="K1235" s="51">
        <f ca="1" t="shared" si="1148"/>
        <v>0</v>
      </c>
      <c r="L1235" s="51">
        <f ca="1" t="shared" si="1149"/>
        <v>0</v>
      </c>
      <c r="M1235" s="51">
        <f ca="1" t="shared" si="1150"/>
        <v>0</v>
      </c>
      <c r="N1235" s="51">
        <f ca="1" t="shared" si="1151"/>
        <v>0</v>
      </c>
      <c r="O1235" s="51">
        <f ca="1" t="shared" si="1152"/>
        <v>0</v>
      </c>
      <c r="P1235" s="51">
        <f ca="1" t="shared" si="1153"/>
        <v>0</v>
      </c>
      <c r="Q1235" s="51">
        <f ca="1" t="shared" si="1154"/>
        <v>0</v>
      </c>
    </row>
    <row r="1236" ht="24" customHeight="1" spans="1:17">
      <c r="A1236" s="99" t="s">
        <v>347</v>
      </c>
      <c r="B1236" s="99" t="s">
        <v>299</v>
      </c>
      <c r="C1236" s="99" t="s">
        <v>344</v>
      </c>
      <c r="D1236" s="48" t="s">
        <v>31</v>
      </c>
      <c r="E1236" s="48" t="s">
        <v>149</v>
      </c>
      <c r="F1236" s="51">
        <f ca="1" t="shared" si="1143"/>
        <v>0</v>
      </c>
      <c r="G1236" s="51">
        <f ca="1" t="shared" si="1144"/>
        <v>0</v>
      </c>
      <c r="H1236" s="51">
        <f ca="1" t="shared" si="1145"/>
        <v>0</v>
      </c>
      <c r="I1236" s="51">
        <f ca="1" t="shared" si="1146"/>
        <v>0</v>
      </c>
      <c r="J1236" s="51">
        <f ca="1" t="shared" si="1147"/>
        <v>0</v>
      </c>
      <c r="K1236" s="51">
        <f ca="1" t="shared" si="1148"/>
        <v>0</v>
      </c>
      <c r="L1236" s="51">
        <f ca="1" t="shared" si="1149"/>
        <v>0</v>
      </c>
      <c r="M1236" s="51">
        <f ca="1" t="shared" si="1150"/>
        <v>5.06199</v>
      </c>
      <c r="N1236" s="51">
        <f ca="1" t="shared" si="1151"/>
        <v>5.06199</v>
      </c>
      <c r="O1236" s="51">
        <f ca="1" t="shared" si="1152"/>
        <v>5.06199</v>
      </c>
      <c r="P1236" s="51">
        <f ca="1" t="shared" si="1153"/>
        <v>5.06199</v>
      </c>
      <c r="Q1236" s="51">
        <f ca="1" t="shared" si="1154"/>
        <v>5.06199</v>
      </c>
    </row>
    <row r="1237" ht="24" customHeight="1" spans="1:17">
      <c r="A1237" s="99" t="s">
        <v>347</v>
      </c>
      <c r="B1237" s="99" t="s">
        <v>299</v>
      </c>
      <c r="C1237" s="99" t="s">
        <v>344</v>
      </c>
      <c r="D1237" s="48" t="s">
        <v>31</v>
      </c>
      <c r="E1237" s="48" t="s">
        <v>83</v>
      </c>
      <c r="F1237" s="51">
        <f ca="1" t="shared" si="1143"/>
        <v>0</v>
      </c>
      <c r="G1237" s="51">
        <f ca="1" t="shared" si="1144"/>
        <v>0</v>
      </c>
      <c r="H1237" s="51">
        <f ca="1" t="shared" si="1145"/>
        <v>0</v>
      </c>
      <c r="I1237" s="51">
        <f ca="1" t="shared" si="1146"/>
        <v>0</v>
      </c>
      <c r="J1237" s="51">
        <f ca="1" t="shared" si="1147"/>
        <v>0</v>
      </c>
      <c r="K1237" s="51">
        <f ca="1" t="shared" si="1148"/>
        <v>0</v>
      </c>
      <c r="L1237" s="51">
        <f ca="1" t="shared" si="1149"/>
        <v>0</v>
      </c>
      <c r="M1237" s="51">
        <f ca="1" t="shared" si="1150"/>
        <v>0</v>
      </c>
      <c r="N1237" s="51">
        <f ca="1" t="shared" si="1151"/>
        <v>0</v>
      </c>
      <c r="O1237" s="51">
        <f ca="1" t="shared" si="1152"/>
        <v>0</v>
      </c>
      <c r="P1237" s="51">
        <f ca="1" t="shared" si="1153"/>
        <v>0</v>
      </c>
      <c r="Q1237" s="51">
        <f ca="1" t="shared" si="1154"/>
        <v>0</v>
      </c>
    </row>
    <row r="1238" ht="24" customHeight="1" spans="1:17">
      <c r="A1238" s="99" t="s">
        <v>347</v>
      </c>
      <c r="B1238" s="99" t="s">
        <v>299</v>
      </c>
      <c r="C1238" s="99" t="s">
        <v>344</v>
      </c>
      <c r="D1238" s="48" t="s">
        <v>321</v>
      </c>
      <c r="E1238" s="48" t="s">
        <v>90</v>
      </c>
      <c r="F1238" s="112">
        <f ca="1" t="shared" ref="F1238:Q1238" si="1155">IFERROR(F1231/F1230," ")</f>
        <v>0</v>
      </c>
      <c r="G1238" s="112">
        <f ca="1" t="shared" si="1155"/>
        <v>0</v>
      </c>
      <c r="H1238" s="112">
        <f ca="1" t="shared" si="1155"/>
        <v>0</v>
      </c>
      <c r="I1238" s="112">
        <f ca="1" t="shared" si="1155"/>
        <v>0</v>
      </c>
      <c r="J1238" s="112">
        <f ca="1" t="shared" si="1155"/>
        <v>0</v>
      </c>
      <c r="K1238" s="112">
        <f ca="1" t="shared" si="1155"/>
        <v>0</v>
      </c>
      <c r="L1238" s="112">
        <f ca="1" t="shared" si="1155"/>
        <v>0</v>
      </c>
      <c r="M1238" s="112">
        <f ca="1" t="shared" si="1155"/>
        <v>0</v>
      </c>
      <c r="N1238" s="112">
        <f ca="1" t="shared" si="1155"/>
        <v>0.0138788279648362</v>
      </c>
      <c r="O1238" s="112">
        <f ca="1" t="shared" si="1155"/>
        <v>0.0138788279648362</v>
      </c>
      <c r="P1238" s="112">
        <f ca="1" t="shared" si="1155"/>
        <v>0.0137934179121748</v>
      </c>
      <c r="Q1238" s="112">
        <f ca="1" t="shared" si="1155"/>
        <v>0.0137934179121748</v>
      </c>
    </row>
    <row r="1239" ht="24" customHeight="1" spans="1:17">
      <c r="A1239" s="99" t="s">
        <v>347</v>
      </c>
      <c r="B1239" s="99" t="s">
        <v>299</v>
      </c>
      <c r="C1239" s="99" t="s">
        <v>344</v>
      </c>
      <c r="D1239" s="48" t="s">
        <v>321</v>
      </c>
      <c r="E1239" s="48" t="s">
        <v>82</v>
      </c>
      <c r="F1239" s="112">
        <f ca="1" t="shared" ref="F1239:Q1239" si="1156">IFERROR(F1232/F1230," ")</f>
        <v>1</v>
      </c>
      <c r="G1239" s="112">
        <f ca="1" t="shared" si="1156"/>
        <v>1</v>
      </c>
      <c r="H1239" s="112">
        <f ca="1" t="shared" si="1156"/>
        <v>1</v>
      </c>
      <c r="I1239" s="112">
        <f ca="1" t="shared" si="1156"/>
        <v>0.981179629015312</v>
      </c>
      <c r="J1239" s="112">
        <f ca="1" t="shared" si="1156"/>
        <v>0.981179629015312</v>
      </c>
      <c r="K1239" s="112">
        <f ca="1" t="shared" si="1156"/>
        <v>0.987858580790668</v>
      </c>
      <c r="L1239" s="112">
        <f ca="1" t="shared" si="1156"/>
        <v>0.958323072753849</v>
      </c>
      <c r="M1239" s="112">
        <f ca="1" t="shared" si="1156"/>
        <v>0.68125629087552</v>
      </c>
      <c r="N1239" s="112">
        <f ca="1" t="shared" si="1156"/>
        <v>0.551786192238336</v>
      </c>
      <c r="O1239" s="112">
        <f ca="1" t="shared" si="1156"/>
        <v>0.551786192238336</v>
      </c>
      <c r="P1239" s="112">
        <f ca="1" t="shared" si="1156"/>
        <v>0.548390510134895</v>
      </c>
      <c r="Q1239" s="112">
        <f ca="1" t="shared" si="1156"/>
        <v>0.548390510134895</v>
      </c>
    </row>
    <row r="1240" ht="24" customHeight="1" spans="1:17">
      <c r="A1240" s="99" t="s">
        <v>347</v>
      </c>
      <c r="B1240" s="99" t="s">
        <v>299</v>
      </c>
      <c r="C1240" s="99" t="s">
        <v>344</v>
      </c>
      <c r="D1240" s="48" t="s">
        <v>321</v>
      </c>
      <c r="E1240" s="48" t="s">
        <v>86</v>
      </c>
      <c r="F1240" s="112">
        <f ca="1" t="shared" ref="F1240:Q1240" si="1157">IFERROR(F1233/F1230," ")</f>
        <v>0</v>
      </c>
      <c r="G1240" s="112">
        <f ca="1" t="shared" si="1157"/>
        <v>0</v>
      </c>
      <c r="H1240" s="112">
        <f ca="1" t="shared" si="1157"/>
        <v>0</v>
      </c>
      <c r="I1240" s="112">
        <f ca="1" t="shared" si="1157"/>
        <v>0</v>
      </c>
      <c r="J1240" s="112">
        <f ca="1" t="shared" si="1157"/>
        <v>0</v>
      </c>
      <c r="K1240" s="112">
        <f ca="1" t="shared" si="1157"/>
        <v>0</v>
      </c>
      <c r="L1240" s="112">
        <f ca="1" t="shared" si="1157"/>
        <v>0.0298985184834648</v>
      </c>
      <c r="M1240" s="112">
        <f ca="1" t="shared" si="1157"/>
        <v>0.0212543706645683</v>
      </c>
      <c r="N1240" s="112">
        <f ca="1" t="shared" si="1157"/>
        <v>0.0166894136236333</v>
      </c>
      <c r="O1240" s="112">
        <f ca="1" t="shared" si="1157"/>
        <v>0.0166894136236333</v>
      </c>
      <c r="P1240" s="112">
        <f ca="1" t="shared" si="1157"/>
        <v>0.0165867072783933</v>
      </c>
      <c r="Q1240" s="112">
        <f ca="1" t="shared" si="1157"/>
        <v>0.0165867072783933</v>
      </c>
    </row>
    <row r="1241" ht="24" customHeight="1" spans="1:17">
      <c r="A1241" s="99" t="s">
        <v>347</v>
      </c>
      <c r="B1241" s="99" t="s">
        <v>299</v>
      </c>
      <c r="C1241" s="99" t="s">
        <v>344</v>
      </c>
      <c r="D1241" s="48" t="s">
        <v>321</v>
      </c>
      <c r="E1241" s="48" t="s">
        <v>97</v>
      </c>
      <c r="F1241" s="112">
        <f ca="1" t="shared" ref="F1241:Q1241" si="1158">IFERROR(F1234/F1230," ")</f>
        <v>0</v>
      </c>
      <c r="G1241" s="112">
        <f ca="1" t="shared" si="1158"/>
        <v>0</v>
      </c>
      <c r="H1241" s="112">
        <f ca="1" t="shared" si="1158"/>
        <v>0</v>
      </c>
      <c r="I1241" s="112">
        <f ca="1" t="shared" si="1158"/>
        <v>0.018820370984688</v>
      </c>
      <c r="J1241" s="112">
        <f ca="1" t="shared" si="1158"/>
        <v>0.018820370984688</v>
      </c>
      <c r="K1241" s="112">
        <f ca="1" t="shared" si="1158"/>
        <v>0.0121414192093319</v>
      </c>
      <c r="L1241" s="112">
        <f ca="1" t="shared" si="1158"/>
        <v>0.0117784087626862</v>
      </c>
      <c r="M1241" s="112">
        <f ca="1" t="shared" si="1158"/>
        <v>0.00837307928215181</v>
      </c>
      <c r="N1241" s="112">
        <f ca="1" t="shared" si="1158"/>
        <v>0.190624926000633</v>
      </c>
      <c r="O1241" s="112">
        <f ca="1" t="shared" si="1158"/>
        <v>0.190624926000633</v>
      </c>
      <c r="P1241" s="112">
        <f ca="1" t="shared" si="1158"/>
        <v>0.195605805356462</v>
      </c>
      <c r="Q1241" s="112">
        <f ca="1" t="shared" si="1158"/>
        <v>0.195605805356462</v>
      </c>
    </row>
    <row r="1242" ht="24" customHeight="1" spans="1:17">
      <c r="A1242" s="99" t="s">
        <v>347</v>
      </c>
      <c r="B1242" s="99" t="s">
        <v>299</v>
      </c>
      <c r="C1242" s="99" t="s">
        <v>344</v>
      </c>
      <c r="D1242" s="48" t="s">
        <v>321</v>
      </c>
      <c r="E1242" s="48" t="s">
        <v>87</v>
      </c>
      <c r="F1242" s="112">
        <f ca="1" t="shared" ref="F1242:Q1242" si="1159">IFERROR(F1235/F1230," ")</f>
        <v>0</v>
      </c>
      <c r="G1242" s="112">
        <f ca="1" t="shared" si="1159"/>
        <v>0</v>
      </c>
      <c r="H1242" s="112">
        <f ca="1" t="shared" si="1159"/>
        <v>0</v>
      </c>
      <c r="I1242" s="112">
        <f ca="1" t="shared" si="1159"/>
        <v>0</v>
      </c>
      <c r="J1242" s="112">
        <f ca="1" t="shared" si="1159"/>
        <v>0</v>
      </c>
      <c r="K1242" s="112">
        <f ca="1" t="shared" si="1159"/>
        <v>0</v>
      </c>
      <c r="L1242" s="112">
        <f ca="1" t="shared" si="1159"/>
        <v>0</v>
      </c>
      <c r="M1242" s="112">
        <f ca="1" t="shared" si="1159"/>
        <v>0</v>
      </c>
      <c r="N1242" s="112">
        <f ca="1" t="shared" si="1159"/>
        <v>0</v>
      </c>
      <c r="O1242" s="112">
        <f ca="1" t="shared" si="1159"/>
        <v>0</v>
      </c>
      <c r="P1242" s="112">
        <f ca="1" t="shared" si="1159"/>
        <v>0</v>
      </c>
      <c r="Q1242" s="112">
        <f ca="1" t="shared" si="1159"/>
        <v>0</v>
      </c>
    </row>
    <row r="1243" ht="24" customHeight="1" spans="1:17">
      <c r="A1243" s="99" t="s">
        <v>347</v>
      </c>
      <c r="B1243" s="99" t="s">
        <v>299</v>
      </c>
      <c r="C1243" s="99" t="s">
        <v>344</v>
      </c>
      <c r="D1243" s="48" t="s">
        <v>321</v>
      </c>
      <c r="E1243" s="48" t="s">
        <v>149</v>
      </c>
      <c r="F1243" s="112">
        <f ca="1" t="shared" ref="F1243:Q1243" si="1160">IFERROR(F1236/F1230," ")</f>
        <v>0</v>
      </c>
      <c r="G1243" s="112">
        <f ca="1" t="shared" si="1160"/>
        <v>0</v>
      </c>
      <c r="H1243" s="112">
        <f ca="1" t="shared" si="1160"/>
        <v>0</v>
      </c>
      <c r="I1243" s="112">
        <f ca="1" t="shared" si="1160"/>
        <v>0</v>
      </c>
      <c r="J1243" s="112">
        <f ca="1" t="shared" si="1160"/>
        <v>0</v>
      </c>
      <c r="K1243" s="112">
        <f ca="1" t="shared" si="1160"/>
        <v>0</v>
      </c>
      <c r="L1243" s="112">
        <f ca="1" t="shared" si="1160"/>
        <v>0</v>
      </c>
      <c r="M1243" s="112">
        <f ca="1" t="shared" si="1160"/>
        <v>0.28911625917776</v>
      </c>
      <c r="N1243" s="112">
        <f ca="1" t="shared" si="1160"/>
        <v>0.227020640172561</v>
      </c>
      <c r="O1243" s="112">
        <f ca="1" t="shared" si="1160"/>
        <v>0.227020640172561</v>
      </c>
      <c r="P1243" s="112">
        <f ca="1" t="shared" si="1160"/>
        <v>0.225623559318075</v>
      </c>
      <c r="Q1243" s="112">
        <f ca="1" t="shared" si="1160"/>
        <v>0.225623559318075</v>
      </c>
    </row>
    <row r="1244" ht="24" customHeight="1" spans="1:17">
      <c r="A1244" s="99" t="s">
        <v>347</v>
      </c>
      <c r="B1244" s="99" t="s">
        <v>299</v>
      </c>
      <c r="C1244" s="99" t="s">
        <v>344</v>
      </c>
      <c r="D1244" s="48" t="s">
        <v>321</v>
      </c>
      <c r="E1244" s="48" t="s">
        <v>83</v>
      </c>
      <c r="F1244" s="112">
        <f ca="1" t="shared" ref="F1244:Q1244" si="1161">IFERROR(F1237/F1230," ")</f>
        <v>0</v>
      </c>
      <c r="G1244" s="112">
        <f ca="1" t="shared" si="1161"/>
        <v>0</v>
      </c>
      <c r="H1244" s="112">
        <f ca="1" t="shared" si="1161"/>
        <v>0</v>
      </c>
      <c r="I1244" s="112">
        <f ca="1" t="shared" si="1161"/>
        <v>0</v>
      </c>
      <c r="J1244" s="112">
        <f ca="1" t="shared" si="1161"/>
        <v>0</v>
      </c>
      <c r="K1244" s="112">
        <f ca="1" t="shared" si="1161"/>
        <v>0</v>
      </c>
      <c r="L1244" s="112">
        <f ca="1" t="shared" si="1161"/>
        <v>0</v>
      </c>
      <c r="M1244" s="112">
        <f ca="1" t="shared" si="1161"/>
        <v>0</v>
      </c>
      <c r="N1244" s="112">
        <f ca="1" t="shared" si="1161"/>
        <v>0</v>
      </c>
      <c r="O1244" s="112">
        <f ca="1" t="shared" si="1161"/>
        <v>0</v>
      </c>
      <c r="P1244" s="112">
        <f ca="1" t="shared" si="1161"/>
        <v>0</v>
      </c>
      <c r="Q1244" s="112">
        <f ca="1" t="shared" si="1161"/>
        <v>0</v>
      </c>
    </row>
    <row r="1245" ht="24" customHeight="1" spans="1:17">
      <c r="A1245" s="99" t="s">
        <v>347</v>
      </c>
      <c r="B1245" s="99" t="s">
        <v>299</v>
      </c>
      <c r="C1245" s="99" t="s">
        <v>344</v>
      </c>
      <c r="D1245" s="47" t="s">
        <v>294</v>
      </c>
      <c r="E1245" s="47" t="s">
        <v>93</v>
      </c>
      <c r="F1245" s="64">
        <f ca="1" t="shared" ref="F1245:F1249" si="1162">IF($S$1&lt;DATE(2025,1,1)," ",F1181)</f>
        <v>7.642832</v>
      </c>
      <c r="G1245" s="64">
        <f ca="1" t="shared" ref="G1245:G1249" si="1163">IF($S$1&lt;DATE(2025,2,1)," ",G1181+F1245)</f>
        <v>7.642832</v>
      </c>
      <c r="H1245" s="64">
        <f ca="1" t="shared" ref="H1245:H1249" si="1164">IF($S$1&lt;DATE(2025,3,1)," ",H1181+G1245)</f>
        <v>7.642832</v>
      </c>
      <c r="I1245" s="64">
        <f ca="1" t="shared" ref="I1245:I1249" si="1165">IF($S$1&lt;DATE(2025,4,1)," ",I1181+H1245)</f>
        <v>7.642832</v>
      </c>
      <c r="J1245" s="64">
        <f ca="1" t="shared" ref="J1245:J1249" si="1166">IF($S$1&lt;DATE(2025,5,1)," ",J1181+I1245)</f>
        <v>7.642832</v>
      </c>
      <c r="K1245" s="64">
        <f ca="1" t="shared" ref="K1245:K1249" si="1167">IF($S$1&lt;DATE(2025,6,1)," ",K1181+J1245)</f>
        <v>9.353365</v>
      </c>
      <c r="L1245" s="64">
        <f ca="1" t="shared" ref="L1245:L1249" si="1168">IF($S$1&lt;DATE(2025,7,1)," ",L1181+K1245)</f>
        <v>9.725497</v>
      </c>
      <c r="M1245" s="64">
        <f ca="1" t="shared" ref="M1245:M1249" si="1169">IF($S$1&lt;DATE(2025,8,1)," ",M1181+L1245)</f>
        <v>14.787487</v>
      </c>
      <c r="N1245" s="64">
        <f ca="1" t="shared" ref="N1245:N1249" si="1170">IF($S$1&lt;DATE(2025,9,1)," ",N1181+M1245)</f>
        <v>19.200807</v>
      </c>
      <c r="O1245" s="64">
        <f ca="1" t="shared" ref="O1245:O1249" si="1171">IF($S$1&lt;DATE(2025,10,1)," ",O1181+N1245)</f>
        <v>19.200807</v>
      </c>
      <c r="P1245" s="64">
        <f ca="1" t="shared" ref="P1245:P1249" si="1172">IF($S$1&lt;DATE(2025,11,1)," ",P1181+O1245)</f>
        <v>19.338875</v>
      </c>
      <c r="Q1245" s="64">
        <f ca="1" t="shared" ref="Q1245:Q1249" si="1173">IF($S$1&lt;DATE(2025,12,1)," ",Q1181+P1245)</f>
        <v>19.338875</v>
      </c>
    </row>
    <row r="1246" ht="24" customHeight="1" spans="1:17">
      <c r="A1246" s="99" t="s">
        <v>347</v>
      </c>
      <c r="B1246" s="99" t="s">
        <v>299</v>
      </c>
      <c r="C1246" s="99" t="s">
        <v>344</v>
      </c>
      <c r="D1246" s="47" t="s">
        <v>294</v>
      </c>
      <c r="E1246" s="47" t="s">
        <v>85</v>
      </c>
      <c r="F1246" s="64">
        <f ca="1" t="shared" si="1162"/>
        <v>0</v>
      </c>
      <c r="G1246" s="64">
        <f ca="1" t="shared" si="1163"/>
        <v>0</v>
      </c>
      <c r="H1246" s="64">
        <f ca="1" t="shared" si="1164"/>
        <v>0</v>
      </c>
      <c r="I1246" s="64">
        <f ca="1" t="shared" si="1165"/>
        <v>0</v>
      </c>
      <c r="J1246" s="64">
        <f ca="1" t="shared" si="1166"/>
        <v>0</v>
      </c>
      <c r="K1246" s="64">
        <f ca="1" t="shared" si="1167"/>
        <v>2.574406</v>
      </c>
      <c r="L1246" s="64">
        <f ca="1" t="shared" si="1168"/>
        <v>2.574406</v>
      </c>
      <c r="M1246" s="64">
        <f ca="1" t="shared" si="1169"/>
        <v>2.574406</v>
      </c>
      <c r="N1246" s="64">
        <f ca="1" t="shared" si="1170"/>
        <v>2.574406</v>
      </c>
      <c r="O1246" s="64">
        <f ca="1" t="shared" si="1171"/>
        <v>2.574406</v>
      </c>
      <c r="P1246" s="64">
        <f ca="1" t="shared" si="1172"/>
        <v>2.574406</v>
      </c>
      <c r="Q1246" s="64">
        <f ca="1" t="shared" si="1173"/>
        <v>2.574406</v>
      </c>
    </row>
    <row r="1247" ht="24" customHeight="1" spans="1:17">
      <c r="A1247" s="99" t="s">
        <v>347</v>
      </c>
      <c r="B1247" s="99" t="s">
        <v>299</v>
      </c>
      <c r="C1247" s="99" t="s">
        <v>344</v>
      </c>
      <c r="D1247" s="47" t="s">
        <v>294</v>
      </c>
      <c r="E1247" s="47" t="s">
        <v>81</v>
      </c>
      <c r="F1247" s="64">
        <f ca="1" t="shared" si="1162"/>
        <v>0</v>
      </c>
      <c r="G1247" s="64">
        <f ca="1" t="shared" si="1163"/>
        <v>0</v>
      </c>
      <c r="H1247" s="64">
        <f ca="1" t="shared" si="1164"/>
        <v>0</v>
      </c>
      <c r="I1247" s="64">
        <f ca="1" t="shared" si="1165"/>
        <v>0.1466</v>
      </c>
      <c r="J1247" s="64">
        <f ca="1" t="shared" si="1166"/>
        <v>0.1466</v>
      </c>
      <c r="K1247" s="64">
        <f ca="1" t="shared" si="1167"/>
        <v>0.1466</v>
      </c>
      <c r="L1247" s="64">
        <f ca="1" t="shared" si="1168"/>
        <v>0.1466</v>
      </c>
      <c r="M1247" s="64">
        <f ca="1" t="shared" si="1169"/>
        <v>0.1466</v>
      </c>
      <c r="N1247" s="64">
        <f ca="1" t="shared" si="1170"/>
        <v>0.522275</v>
      </c>
      <c r="O1247" s="64">
        <f ca="1" t="shared" si="1171"/>
        <v>0.522275</v>
      </c>
      <c r="P1247" s="64">
        <f ca="1" t="shared" si="1172"/>
        <v>0.522275</v>
      </c>
      <c r="Q1247" s="64">
        <f ca="1" t="shared" si="1173"/>
        <v>0.522275</v>
      </c>
    </row>
    <row r="1248" ht="24" customHeight="1" spans="1:17">
      <c r="A1248" s="99" t="s">
        <v>347</v>
      </c>
      <c r="B1248" s="99" t="s">
        <v>299</v>
      </c>
      <c r="C1248" s="99" t="s">
        <v>344</v>
      </c>
      <c r="D1248" s="47" t="s">
        <v>294</v>
      </c>
      <c r="E1248" s="47" t="s">
        <v>96</v>
      </c>
      <c r="F1248" s="64">
        <f ca="1" t="shared" si="1162"/>
        <v>0</v>
      </c>
      <c r="G1248" s="64">
        <f ca="1" t="shared" si="1163"/>
        <v>0</v>
      </c>
      <c r="H1248" s="64">
        <f ca="1" t="shared" si="1164"/>
        <v>0</v>
      </c>
      <c r="I1248" s="64">
        <f ca="1" t="shared" si="1165"/>
        <v>0</v>
      </c>
      <c r="J1248" s="64">
        <f ca="1" t="shared" si="1166"/>
        <v>0</v>
      </c>
      <c r="K1248" s="64">
        <f ca="1" t="shared" si="1167"/>
        <v>0</v>
      </c>
      <c r="L1248" s="64">
        <f ca="1" t="shared" si="1168"/>
        <v>0</v>
      </c>
      <c r="M1248" s="64">
        <f ca="1" t="shared" si="1169"/>
        <v>0</v>
      </c>
      <c r="N1248" s="64">
        <f ca="1" t="shared" si="1170"/>
        <v>0</v>
      </c>
      <c r="O1248" s="64">
        <f ca="1" t="shared" si="1171"/>
        <v>0</v>
      </c>
      <c r="P1248" s="64">
        <f ca="1" t="shared" si="1172"/>
        <v>0</v>
      </c>
      <c r="Q1248" s="64">
        <f ca="1" t="shared" si="1173"/>
        <v>0</v>
      </c>
    </row>
    <row r="1249" ht="24" customHeight="1" spans="1:17">
      <c r="A1249" s="99" t="s">
        <v>347</v>
      </c>
      <c r="B1249" s="99" t="s">
        <v>299</v>
      </c>
      <c r="C1249" s="99" t="s">
        <v>344</v>
      </c>
      <c r="D1249" s="47" t="s">
        <v>294</v>
      </c>
      <c r="E1249" s="47" t="s">
        <v>160</v>
      </c>
      <c r="F1249" s="64">
        <f ca="1" t="shared" si="1162"/>
        <v>0</v>
      </c>
      <c r="G1249" s="64">
        <f ca="1" t="shared" si="1163"/>
        <v>0</v>
      </c>
      <c r="H1249" s="64">
        <f ca="1" t="shared" si="1164"/>
        <v>0</v>
      </c>
      <c r="I1249" s="64">
        <f ca="1" t="shared" si="1165"/>
        <v>0</v>
      </c>
      <c r="J1249" s="64">
        <f ca="1" t="shared" si="1166"/>
        <v>0</v>
      </c>
      <c r="K1249" s="64">
        <f ca="1" t="shared" si="1167"/>
        <v>0</v>
      </c>
      <c r="L1249" s="64">
        <f ca="1" t="shared" si="1168"/>
        <v>0</v>
      </c>
      <c r="M1249" s="64">
        <f ca="1" t="shared" si="1169"/>
        <v>0</v>
      </c>
      <c r="N1249" s="64">
        <f ca="1" t="shared" si="1170"/>
        <v>0</v>
      </c>
      <c r="O1249" s="64">
        <f ca="1" t="shared" si="1171"/>
        <v>0</v>
      </c>
      <c r="P1249" s="64">
        <f ca="1" t="shared" si="1172"/>
        <v>0</v>
      </c>
      <c r="Q1249" s="64">
        <f ca="1" t="shared" si="1173"/>
        <v>0</v>
      </c>
    </row>
    <row r="1250" ht="24" customHeight="1" spans="1:17">
      <c r="A1250" s="99" t="s">
        <v>347</v>
      </c>
      <c r="B1250" s="99" t="s">
        <v>299</v>
      </c>
      <c r="C1250" s="99" t="s">
        <v>344</v>
      </c>
      <c r="D1250" s="47" t="s">
        <v>321</v>
      </c>
      <c r="E1250" s="47" t="s">
        <v>93</v>
      </c>
      <c r="F1250" s="126">
        <f ca="1" t="shared" ref="F1250:Q1250" si="1174">IFERROR(F1245/F1230," ")</f>
        <v>1</v>
      </c>
      <c r="G1250" s="126">
        <f ca="1" t="shared" si="1174"/>
        <v>1</v>
      </c>
      <c r="H1250" s="126">
        <f ca="1" t="shared" si="1174"/>
        <v>1</v>
      </c>
      <c r="I1250" s="126">
        <f ca="1" t="shared" si="1174"/>
        <v>0.981179629015312</v>
      </c>
      <c r="J1250" s="126">
        <f ca="1" t="shared" si="1174"/>
        <v>0.981179629015312</v>
      </c>
      <c r="K1250" s="126">
        <f ca="1" t="shared" si="1174"/>
        <v>0.774646149269391</v>
      </c>
      <c r="L1250" s="126">
        <f ca="1" t="shared" si="1174"/>
        <v>0.78138389554078</v>
      </c>
      <c r="M1250" s="126">
        <f ca="1" t="shared" si="1174"/>
        <v>0.844589365858044</v>
      </c>
      <c r="N1250" s="126">
        <f ca="1" t="shared" si="1174"/>
        <v>0.861119736895923</v>
      </c>
      <c r="O1250" s="126">
        <f ca="1" t="shared" si="1174"/>
        <v>0.861119736895923</v>
      </c>
      <c r="P1250" s="126">
        <f ca="1" t="shared" si="1174"/>
        <v>0.861974403487036</v>
      </c>
      <c r="Q1250" s="126">
        <f ca="1" t="shared" si="1174"/>
        <v>0.861974403487036</v>
      </c>
    </row>
    <row r="1251" ht="24" customHeight="1" spans="1:17">
      <c r="A1251" s="99" t="s">
        <v>347</v>
      </c>
      <c r="B1251" s="99" t="s">
        <v>299</v>
      </c>
      <c r="C1251" s="99" t="s">
        <v>344</v>
      </c>
      <c r="D1251" s="47" t="s">
        <v>321</v>
      </c>
      <c r="E1251" s="47" t="s">
        <v>85</v>
      </c>
      <c r="F1251" s="126">
        <f ca="1" t="shared" ref="F1251:Q1251" si="1175">IFERROR(F1246/F1230," ")</f>
        <v>0</v>
      </c>
      <c r="G1251" s="126">
        <f ca="1" t="shared" si="1175"/>
        <v>0</v>
      </c>
      <c r="H1251" s="126">
        <f ca="1" t="shared" si="1175"/>
        <v>0</v>
      </c>
      <c r="I1251" s="126">
        <f ca="1" t="shared" si="1175"/>
        <v>0</v>
      </c>
      <c r="J1251" s="126">
        <f ca="1" t="shared" si="1175"/>
        <v>0</v>
      </c>
      <c r="K1251" s="126">
        <f ca="1" t="shared" si="1175"/>
        <v>0.213212431521278</v>
      </c>
      <c r="L1251" s="126">
        <f ca="1" t="shared" si="1175"/>
        <v>0.206837695696534</v>
      </c>
      <c r="M1251" s="126">
        <f ca="1" t="shared" si="1175"/>
        <v>0.147037554859804</v>
      </c>
      <c r="N1251" s="126">
        <f ca="1" t="shared" si="1175"/>
        <v>0.115457221010726</v>
      </c>
      <c r="O1251" s="126">
        <f ca="1" t="shared" si="1175"/>
        <v>0.115457221010726</v>
      </c>
      <c r="P1251" s="126">
        <f ca="1" t="shared" si="1175"/>
        <v>0.114746699390913</v>
      </c>
      <c r="Q1251" s="126">
        <f ca="1" t="shared" si="1175"/>
        <v>0.114746699390913</v>
      </c>
    </row>
    <row r="1252" ht="24" customHeight="1" spans="1:17">
      <c r="A1252" s="99" t="s">
        <v>347</v>
      </c>
      <c r="B1252" s="99" t="s">
        <v>299</v>
      </c>
      <c r="C1252" s="99" t="s">
        <v>344</v>
      </c>
      <c r="D1252" s="47" t="s">
        <v>321</v>
      </c>
      <c r="E1252" s="47" t="s">
        <v>81</v>
      </c>
      <c r="F1252" s="126">
        <f ca="1" t="shared" ref="F1252:Q1252" si="1176">IFERROR(F1247/F1230," ")</f>
        <v>0</v>
      </c>
      <c r="G1252" s="126">
        <f ca="1" t="shared" si="1176"/>
        <v>0</v>
      </c>
      <c r="H1252" s="126">
        <f ca="1" t="shared" si="1176"/>
        <v>0</v>
      </c>
      <c r="I1252" s="126">
        <f ca="1" t="shared" si="1176"/>
        <v>0.018820370984688</v>
      </c>
      <c r="J1252" s="126">
        <f ca="1" t="shared" si="1176"/>
        <v>0.018820370984688</v>
      </c>
      <c r="K1252" s="126">
        <f ca="1" t="shared" si="1176"/>
        <v>0.0121414192093319</v>
      </c>
      <c r="L1252" s="126">
        <f ca="1" t="shared" si="1176"/>
        <v>0.0117784087626862</v>
      </c>
      <c r="M1252" s="126">
        <f ca="1" t="shared" si="1176"/>
        <v>0.00837307928215181</v>
      </c>
      <c r="N1252" s="126">
        <f ca="1" t="shared" si="1176"/>
        <v>0.0234230420933515</v>
      </c>
      <c r="O1252" s="126">
        <f ca="1" t="shared" si="1176"/>
        <v>0.0234230420933515</v>
      </c>
      <c r="P1252" s="126">
        <f ca="1" t="shared" si="1176"/>
        <v>0.0232788971220504</v>
      </c>
      <c r="Q1252" s="126">
        <f ca="1" t="shared" si="1176"/>
        <v>0.0232788971220504</v>
      </c>
    </row>
    <row r="1253" ht="24" customHeight="1" spans="1:17">
      <c r="A1253" s="99" t="s">
        <v>347</v>
      </c>
      <c r="B1253" s="99" t="s">
        <v>299</v>
      </c>
      <c r="C1253" s="99" t="s">
        <v>344</v>
      </c>
      <c r="D1253" s="47" t="s">
        <v>321</v>
      </c>
      <c r="E1253" s="47" t="s">
        <v>96</v>
      </c>
      <c r="F1253" s="126">
        <f ca="1" t="shared" ref="F1253:Q1253" si="1177">IFERROR(F1248/F1230," ")</f>
        <v>0</v>
      </c>
      <c r="G1253" s="126">
        <f ca="1" t="shared" si="1177"/>
        <v>0</v>
      </c>
      <c r="H1253" s="126">
        <f ca="1" t="shared" si="1177"/>
        <v>0</v>
      </c>
      <c r="I1253" s="126">
        <f ca="1" t="shared" si="1177"/>
        <v>0</v>
      </c>
      <c r="J1253" s="126">
        <f ca="1" t="shared" si="1177"/>
        <v>0</v>
      </c>
      <c r="K1253" s="126">
        <f ca="1" t="shared" si="1177"/>
        <v>0</v>
      </c>
      <c r="L1253" s="126">
        <f ca="1" t="shared" si="1177"/>
        <v>0</v>
      </c>
      <c r="M1253" s="126">
        <f ca="1" t="shared" si="1177"/>
        <v>0</v>
      </c>
      <c r="N1253" s="126">
        <f ca="1" t="shared" si="1177"/>
        <v>0</v>
      </c>
      <c r="O1253" s="126">
        <f ca="1" t="shared" si="1177"/>
        <v>0</v>
      </c>
      <c r="P1253" s="126">
        <f ca="1" t="shared" si="1177"/>
        <v>0</v>
      </c>
      <c r="Q1253" s="126">
        <f ca="1" t="shared" si="1177"/>
        <v>0</v>
      </c>
    </row>
    <row r="1254" ht="24" customHeight="1" spans="1:17">
      <c r="A1254" s="99" t="s">
        <v>347</v>
      </c>
      <c r="B1254" s="99" t="s">
        <v>299</v>
      </c>
      <c r="C1254" s="99" t="s">
        <v>344</v>
      </c>
      <c r="D1254" s="47" t="s">
        <v>321</v>
      </c>
      <c r="E1254" s="47" t="s">
        <v>160</v>
      </c>
      <c r="F1254" s="126">
        <f ca="1" t="shared" ref="F1254:Q1254" si="1178">IFERROR(F1249/F1230," ")</f>
        <v>0</v>
      </c>
      <c r="G1254" s="126">
        <f ca="1" t="shared" si="1178"/>
        <v>0</v>
      </c>
      <c r="H1254" s="126">
        <f ca="1" t="shared" si="1178"/>
        <v>0</v>
      </c>
      <c r="I1254" s="126">
        <f ca="1" t="shared" si="1178"/>
        <v>0</v>
      </c>
      <c r="J1254" s="126">
        <f ca="1" t="shared" si="1178"/>
        <v>0</v>
      </c>
      <c r="K1254" s="126">
        <f ca="1" t="shared" si="1178"/>
        <v>0</v>
      </c>
      <c r="L1254" s="126">
        <f ca="1" t="shared" si="1178"/>
        <v>0</v>
      </c>
      <c r="M1254" s="126">
        <f ca="1" t="shared" si="1178"/>
        <v>0</v>
      </c>
      <c r="N1254" s="126">
        <f ca="1" t="shared" si="1178"/>
        <v>0</v>
      </c>
      <c r="O1254" s="126">
        <f ca="1" t="shared" si="1178"/>
        <v>0</v>
      </c>
      <c r="P1254" s="126">
        <f ca="1" t="shared" si="1178"/>
        <v>0</v>
      </c>
      <c r="Q1254" s="126">
        <f ca="1" t="shared" si="1178"/>
        <v>0</v>
      </c>
    </row>
    <row r="1255" ht="24" customHeight="1" spans="1:17">
      <c r="A1255" s="99" t="s">
        <v>347</v>
      </c>
      <c r="B1255" s="99" t="s">
        <v>299</v>
      </c>
      <c r="C1255" s="99" t="s">
        <v>343</v>
      </c>
      <c r="D1255" s="114" t="s">
        <v>292</v>
      </c>
      <c r="E1255" s="53" t="s">
        <v>326</v>
      </c>
      <c r="F1255" s="219">
        <f ca="1">IF($S$1&lt;DATE(2025,1,1)," ",IF((F1186-F1257-F1258-F1259-F1260-F1261)&lt;&gt;0,"ERR",F1186))</f>
        <v>0</v>
      </c>
      <c r="G1255" s="219">
        <f ca="1">IF($S$1&lt;DATE(2025,2,1)," ",IF((G1186+F1255-G1257-G1258-G1259-G1260-G1261)&lt;&gt;0,"ERR",G1186+F1255))</f>
        <v>0</v>
      </c>
      <c r="H1255" s="219">
        <f ca="1">IF($S$1&lt;DATE(2025,3,1)," ",IF((H1186+G1255-H1257-H1258-H1259-H1260-H1261)&lt;&gt;0,"ERR",H1186+G1255))</f>
        <v>0</v>
      </c>
      <c r="I1255" s="219">
        <f ca="1">IF($S$1&lt;DATE(2025,4,1)," ",IF((I1186+H1255-I1257-I1258-I1259-I1260-I1261)&lt;&gt;0,"ERR",I1186+H1255))</f>
        <v>0</v>
      </c>
      <c r="J1255" s="219">
        <f ca="1">IF($S$1&lt;DATE(2025,5,1)," ",IF((J1186+I1255-J1257-J1258-J1259-J1260-J1261)&lt;&gt;0,"ERR",J1186+I1255))</f>
        <v>0</v>
      </c>
      <c r="K1255" s="219">
        <f ca="1">IF($S$1&lt;DATE(2025,6,1)," ",IF((K1186+J1255-K1257-K1258-K1259-K1260-K1261)&lt;&gt;0,"ERR",K1186+J1255))</f>
        <v>0.00148899999999994</v>
      </c>
      <c r="L1255" s="219">
        <f ca="1">IF($S$1&lt;DATE(2025,7,1)," ",IF((L1186+K1255-L1257-L1258-L1259-L1260-L1261)&lt;&gt;0,"ERR",L1186+K1255))</f>
        <v>0.00350299999999993</v>
      </c>
      <c r="M1255" s="219">
        <f ca="1">IF($S$1&lt;DATE(2025,8,1)," ",IF((M1186+L1255-M1257-M1258-M1259-M1260-M1261)&lt;&gt;0,"ERR",M1186+L1255))</f>
        <v>0.0105299999999996</v>
      </c>
      <c r="N1255" s="219">
        <f ca="1">IF($S$1&lt;DATE(2025,9,1)," ",IF((N1186+M1255-SUM(N1257:N1261))&lt;&gt;0,"ERR",N1186+M1255))</f>
        <v>0.0172759999999995</v>
      </c>
      <c r="O1255" s="219">
        <f ca="1">IF($S$1&lt;DATE(2025,10,1)," ",IF((O1186+N1255-SUM(O1257:O1261))&lt;&gt;0,"ERR",O1186+N1255))</f>
        <v>0.0172759999999995</v>
      </c>
      <c r="P1255" s="219">
        <f ca="1">IF($S$1&lt;DATE(2025,11,1)," ",IF((P1186+O1255-SUM(P1257:P1261))&lt;&gt;0,"ERR",P1186+O1255))</f>
        <v>0.0172759999999995</v>
      </c>
      <c r="Q1255" s="219">
        <f ca="1">IF($S$1&lt;DATE(2025,12,1)," ",IF((Q1186+P1255-SUM(Q1257:Q1261))&lt;&gt;0,"ERR",Q1186+P1255))</f>
        <v>0.0172759999999995</v>
      </c>
    </row>
    <row r="1256" ht="24" customHeight="1" spans="1:17">
      <c r="A1256" s="99" t="s">
        <v>347</v>
      </c>
      <c r="B1256" s="99" t="s">
        <v>299</v>
      </c>
      <c r="C1256" s="99" t="s">
        <v>343</v>
      </c>
      <c r="D1256" s="114" t="s">
        <v>292</v>
      </c>
      <c r="E1256" s="53" t="s">
        <v>327</v>
      </c>
      <c r="F1256" s="219">
        <f ca="1">IF($S$1&lt;DATE(2025,1,1)," ",IF((F1187-SUM(F1262:F1266))&lt;&gt;0,"ERR",F1187))</f>
        <v>0.0150929999999993</v>
      </c>
      <c r="G1256" s="219">
        <f ca="1">IF($S$1&lt;DATE(2025,2,1)," ",IF((G1187+F1256-SUM(G1262:G1266))&lt;&gt;0,"ERR",G1187+F1256))</f>
        <v>0.0150929999999993</v>
      </c>
      <c r="H1256" s="219">
        <f ca="1">IF($S$1&lt;DATE(2025,3,1)," ",IF((H1187+G1256-SUM(H1262:H1266))&lt;&gt;0,"ERR",H1187+G1256))</f>
        <v>0.0150929999999993</v>
      </c>
      <c r="I1256" s="219">
        <f ca="1">IF($S$1&lt;DATE(2025,4,1)," ",IF((I1187+H1256-SUM(I1262:I1266))&lt;&gt;0,"ERR",I1187+H1256))</f>
        <v>0.0150929999999993</v>
      </c>
      <c r="J1256" s="219">
        <f ca="1">IF($S$1&lt;DATE(2025,5,1)," ",IF((J1187+I1256-SUM(J1262:J1266))&lt;&gt;0,"ERR",J1187+I1256))</f>
        <v>0.0150929999999993</v>
      </c>
      <c r="K1256" s="219">
        <f ca="1">IF($S$1&lt;DATE(2025,6,1)," ",IF((K1187+J1256-SUM(K1262:K1266))&lt;&gt;0,"ERR",K1187+J1256))</f>
        <v>0.0153119999999995</v>
      </c>
      <c r="L1256" s="219">
        <f ca="1">IF($S$1&lt;DATE(2025,7,1)," ",IF((L1187+K1256-SUM(L1262:L1266))&lt;&gt;0,"ERR",L1187+K1256))</f>
        <v>0.0153119999999995</v>
      </c>
      <c r="M1256" s="219">
        <f ca="1">IF($S$1&lt;DATE(2025,8,1)," ",IF((M1187+L1256-SUM(M1262:M1266))&lt;&gt;0,"ERR",M1187+L1256))</f>
        <v>0.0153119999999995</v>
      </c>
      <c r="N1256" s="219">
        <f ca="1">IF($S$1&lt;DATE(2025,9,1)," ",IF((N1187+M1256-SUM(N1262:N1266))&lt;&gt;0,"ERR",N1187+M1256))</f>
        <v>0.0153119999999995</v>
      </c>
      <c r="O1256" s="219">
        <f ca="1">IF($S$1&lt;DATE(2025,10,1)," ",IF((O1187+N1256-SUM(O1262:O1266))&lt;&gt;0,"ERR",O1187+N1256))</f>
        <v>0.0153119999999995</v>
      </c>
      <c r="P1256" s="219">
        <f ca="1">IF($S$1&lt;DATE(2025,11,1)," ",IF((P1187+O1256-SUM(P1262:P1266))&lt;&gt;0,"ERR",P1187+O1256))</f>
        <v>0.0258889999999995</v>
      </c>
      <c r="Q1256" s="219">
        <f ca="1">IF($S$1&lt;DATE(2025,12,1)," ",IF((Q1187+P1256-SUM(Q1262:Q1266))&lt;&gt;0,"ERR",Q1187+P1256))</f>
        <v>0.0258889999999995</v>
      </c>
    </row>
    <row r="1257" ht="24" customHeight="1" spans="1:17">
      <c r="A1257" s="99" t="s">
        <v>347</v>
      </c>
      <c r="B1257" s="99" t="s">
        <v>299</v>
      </c>
      <c r="C1257" s="99" t="s">
        <v>343</v>
      </c>
      <c r="D1257" s="53" t="s">
        <v>326</v>
      </c>
      <c r="E1257" s="53" t="s">
        <v>93</v>
      </c>
      <c r="F1257" s="219">
        <f ca="1" t="shared" ref="F1257:F1266" si="1179">IF($S$1&lt;DATE(2025,1,1)," ",F1189)</f>
        <v>0</v>
      </c>
      <c r="G1257" s="219">
        <f ca="1" t="shared" ref="G1257:G1266" si="1180">IF($S$1&lt;DATE(2025,2,1)," ",G1189+F1257)</f>
        <v>0</v>
      </c>
      <c r="H1257" s="219">
        <f ca="1" t="shared" ref="H1257:H1266" si="1181">IF($S$1&lt;DATE(2025,3,1)," ",H1189+G1257)</f>
        <v>0</v>
      </c>
      <c r="I1257" s="219">
        <f ca="1" t="shared" ref="I1257:I1266" si="1182">IF($S$1&lt;DATE(2025,4,1)," ",I1189+H1257)</f>
        <v>0</v>
      </c>
      <c r="J1257" s="219">
        <f ca="1" t="shared" ref="J1257:J1266" si="1183">IF($S$1&lt;DATE(2025,5,1)," ",J1189+I1257)</f>
        <v>0</v>
      </c>
      <c r="K1257" s="219">
        <f ca="1" t="shared" ref="K1257:K1266" si="1184">IF($S$1&lt;DATE(2025,6,1)," ",K1189+J1257)</f>
        <v>0</v>
      </c>
      <c r="L1257" s="219">
        <f ca="1" t="shared" ref="L1257:L1266" si="1185">IF($S$1&lt;DATE(2025,7,1)," ",L1189+K1257)</f>
        <v>0.00201399999999999</v>
      </c>
      <c r="M1257" s="219">
        <f ca="1" t="shared" ref="M1257:M1266" si="1186">IF($S$1&lt;DATE(2025,8,1)," ",M1189+L1257)</f>
        <v>0.00904099999999967</v>
      </c>
      <c r="N1257" s="219">
        <f ca="1" t="shared" ref="N1257:N1266" si="1187">IF($S$1&lt;DATE(2025,9,1)," ",N1189+M1257)</f>
        <v>0.0157869999999996</v>
      </c>
      <c r="O1257" s="219">
        <f ca="1" t="shared" ref="O1257:O1266" si="1188">IF($S$1&lt;DATE(2025,10,1)," ",O1189+N1257)</f>
        <v>0.0157869999999996</v>
      </c>
      <c r="P1257" s="219">
        <f ca="1" t="shared" ref="P1257:P1266" si="1189">IF($S$1&lt;DATE(2025,11,1)," ",P1189+O1257)</f>
        <v>0.0157869999999996</v>
      </c>
      <c r="Q1257" s="219">
        <f ca="1" t="shared" ref="Q1257:Q1266" si="1190">IF($S$1&lt;DATE(2025,12,1)," ",Q1189+P1257)</f>
        <v>0.0157869999999996</v>
      </c>
    </row>
    <row r="1258" ht="24" customHeight="1" spans="1:17">
      <c r="A1258" s="99" t="s">
        <v>347</v>
      </c>
      <c r="B1258" s="99" t="s">
        <v>299</v>
      </c>
      <c r="C1258" s="99" t="s">
        <v>343</v>
      </c>
      <c r="D1258" s="53" t="s">
        <v>326</v>
      </c>
      <c r="E1258" s="53" t="s">
        <v>85</v>
      </c>
      <c r="F1258" s="219">
        <f ca="1" t="shared" si="1179"/>
        <v>0</v>
      </c>
      <c r="G1258" s="219">
        <f ca="1" t="shared" si="1180"/>
        <v>0</v>
      </c>
      <c r="H1258" s="219">
        <f ca="1" t="shared" si="1181"/>
        <v>0</v>
      </c>
      <c r="I1258" s="219">
        <f ca="1" t="shared" si="1182"/>
        <v>0</v>
      </c>
      <c r="J1258" s="219">
        <f ca="1" t="shared" si="1183"/>
        <v>0</v>
      </c>
      <c r="K1258" s="219">
        <f ca="1" t="shared" si="1184"/>
        <v>0.00148899999999994</v>
      </c>
      <c r="L1258" s="219">
        <f ca="1" t="shared" si="1185"/>
        <v>0.00148899999999994</v>
      </c>
      <c r="M1258" s="219">
        <f ca="1" t="shared" si="1186"/>
        <v>0.00148899999999994</v>
      </c>
      <c r="N1258" s="229">
        <f ca="1" t="shared" si="1187"/>
        <v>0.00148899999999994</v>
      </c>
      <c r="O1258" s="229">
        <f ca="1" t="shared" si="1188"/>
        <v>0.00148899999999994</v>
      </c>
      <c r="P1258" s="219">
        <f ca="1" t="shared" si="1189"/>
        <v>0.00148899999999994</v>
      </c>
      <c r="Q1258" s="219">
        <f ca="1" t="shared" si="1190"/>
        <v>0.00148899999999994</v>
      </c>
    </row>
    <row r="1259" ht="24" customHeight="1" spans="1:17">
      <c r="A1259" s="99" t="s">
        <v>347</v>
      </c>
      <c r="B1259" s="99" t="s">
        <v>299</v>
      </c>
      <c r="C1259" s="99" t="s">
        <v>343</v>
      </c>
      <c r="D1259" s="53" t="s">
        <v>326</v>
      </c>
      <c r="E1259" s="53" t="s">
        <v>81</v>
      </c>
      <c r="F1259" s="219">
        <f ca="1" t="shared" si="1179"/>
        <v>0</v>
      </c>
      <c r="G1259" s="219">
        <f ca="1" t="shared" si="1180"/>
        <v>0</v>
      </c>
      <c r="H1259" s="219">
        <f ca="1" t="shared" si="1181"/>
        <v>0</v>
      </c>
      <c r="I1259" s="219">
        <f ca="1" t="shared" si="1182"/>
        <v>0</v>
      </c>
      <c r="J1259" s="219">
        <f ca="1" t="shared" si="1183"/>
        <v>0</v>
      </c>
      <c r="K1259" s="219">
        <f ca="1" t="shared" si="1184"/>
        <v>0</v>
      </c>
      <c r="L1259" s="219">
        <f ca="1" t="shared" si="1185"/>
        <v>0</v>
      </c>
      <c r="M1259" s="219">
        <f ca="1" t="shared" si="1186"/>
        <v>0</v>
      </c>
      <c r="N1259" s="219">
        <f ca="1" t="shared" si="1187"/>
        <v>0</v>
      </c>
      <c r="O1259" s="219">
        <f ca="1" t="shared" si="1188"/>
        <v>0</v>
      </c>
      <c r="P1259" s="219">
        <f ca="1" t="shared" si="1189"/>
        <v>0</v>
      </c>
      <c r="Q1259" s="219">
        <f ca="1" t="shared" si="1190"/>
        <v>0</v>
      </c>
    </row>
    <row r="1260" ht="24" customHeight="1" spans="1:17">
      <c r="A1260" s="99" t="s">
        <v>347</v>
      </c>
      <c r="B1260" s="99" t="s">
        <v>299</v>
      </c>
      <c r="C1260" s="99" t="s">
        <v>343</v>
      </c>
      <c r="D1260" s="53" t="s">
        <v>326</v>
      </c>
      <c r="E1260" s="53" t="s">
        <v>96</v>
      </c>
      <c r="F1260" s="219">
        <f ca="1" t="shared" si="1179"/>
        <v>0</v>
      </c>
      <c r="G1260" s="219">
        <f ca="1" t="shared" si="1180"/>
        <v>0</v>
      </c>
      <c r="H1260" s="219">
        <f ca="1" t="shared" si="1181"/>
        <v>0</v>
      </c>
      <c r="I1260" s="219">
        <f ca="1" t="shared" si="1182"/>
        <v>0</v>
      </c>
      <c r="J1260" s="219">
        <f ca="1" t="shared" si="1183"/>
        <v>0</v>
      </c>
      <c r="K1260" s="219">
        <f ca="1" t="shared" si="1184"/>
        <v>0</v>
      </c>
      <c r="L1260" s="219">
        <f ca="1" t="shared" si="1185"/>
        <v>0</v>
      </c>
      <c r="M1260" s="219">
        <f ca="1" t="shared" si="1186"/>
        <v>0</v>
      </c>
      <c r="N1260" s="219">
        <f ca="1" t="shared" si="1187"/>
        <v>0</v>
      </c>
      <c r="O1260" s="219">
        <f ca="1" t="shared" si="1188"/>
        <v>0</v>
      </c>
      <c r="P1260" s="219">
        <f ca="1" t="shared" si="1189"/>
        <v>0</v>
      </c>
      <c r="Q1260" s="219">
        <f ca="1" t="shared" si="1190"/>
        <v>0</v>
      </c>
    </row>
    <row r="1261" ht="24" customHeight="1" spans="1:17">
      <c r="A1261" s="99" t="s">
        <v>347</v>
      </c>
      <c r="B1261" s="99" t="s">
        <v>299</v>
      </c>
      <c r="C1261" s="99" t="s">
        <v>343</v>
      </c>
      <c r="D1261" s="53" t="s">
        <v>326</v>
      </c>
      <c r="E1261" s="53" t="s">
        <v>160</v>
      </c>
      <c r="F1261" s="219">
        <f ca="1" t="shared" si="1179"/>
        <v>0</v>
      </c>
      <c r="G1261" s="219">
        <f ca="1" t="shared" si="1180"/>
        <v>0</v>
      </c>
      <c r="H1261" s="219">
        <f ca="1" t="shared" si="1181"/>
        <v>0</v>
      </c>
      <c r="I1261" s="219">
        <f ca="1" t="shared" si="1182"/>
        <v>0</v>
      </c>
      <c r="J1261" s="219">
        <f ca="1" t="shared" si="1183"/>
        <v>0</v>
      </c>
      <c r="K1261" s="219">
        <f ca="1" t="shared" si="1184"/>
        <v>0</v>
      </c>
      <c r="L1261" s="219">
        <f ca="1" t="shared" si="1185"/>
        <v>0</v>
      </c>
      <c r="M1261" s="219">
        <f ca="1" t="shared" si="1186"/>
        <v>0</v>
      </c>
      <c r="N1261" s="219">
        <f ca="1" t="shared" si="1187"/>
        <v>0</v>
      </c>
      <c r="O1261" s="219">
        <f ca="1" t="shared" si="1188"/>
        <v>0</v>
      </c>
      <c r="P1261" s="219">
        <f ca="1" t="shared" si="1189"/>
        <v>0</v>
      </c>
      <c r="Q1261" s="219">
        <f ca="1" t="shared" si="1190"/>
        <v>0</v>
      </c>
    </row>
    <row r="1262" ht="24" customHeight="1" spans="1:17">
      <c r="A1262" s="99" t="s">
        <v>347</v>
      </c>
      <c r="B1262" s="99" t="s">
        <v>299</v>
      </c>
      <c r="C1262" s="99" t="s">
        <v>343</v>
      </c>
      <c r="D1262" s="53" t="s">
        <v>327</v>
      </c>
      <c r="E1262" s="53" t="s">
        <v>93</v>
      </c>
      <c r="F1262" s="219">
        <f ca="1" t="shared" si="1179"/>
        <v>0.0150929999999993</v>
      </c>
      <c r="G1262" s="219">
        <f ca="1" t="shared" si="1180"/>
        <v>0.0150929999999993</v>
      </c>
      <c r="H1262" s="219">
        <f ca="1" t="shared" si="1181"/>
        <v>0.0150929999999993</v>
      </c>
      <c r="I1262" s="219">
        <f ca="1" t="shared" si="1182"/>
        <v>0.0150929999999993</v>
      </c>
      <c r="J1262" s="219">
        <f ca="1" t="shared" si="1183"/>
        <v>0.0150929999999993</v>
      </c>
      <c r="K1262" s="219">
        <f ca="1" t="shared" si="1184"/>
        <v>0.0153119999999995</v>
      </c>
      <c r="L1262" s="219">
        <f ca="1" t="shared" si="1185"/>
        <v>0.0153119999999995</v>
      </c>
      <c r="M1262" s="219">
        <f ca="1" t="shared" si="1186"/>
        <v>0.0153119999999995</v>
      </c>
      <c r="N1262" s="219">
        <f ca="1" t="shared" si="1187"/>
        <v>0.0153119999999995</v>
      </c>
      <c r="O1262" s="219">
        <f ca="1" t="shared" si="1188"/>
        <v>0.0153119999999995</v>
      </c>
      <c r="P1262" s="219">
        <f ca="1" t="shared" si="1189"/>
        <v>0.0258889999999995</v>
      </c>
      <c r="Q1262" s="219">
        <f ca="1" t="shared" si="1190"/>
        <v>0.0258889999999995</v>
      </c>
    </row>
    <row r="1263" ht="24" customHeight="1" spans="1:17">
      <c r="A1263" s="99" t="s">
        <v>347</v>
      </c>
      <c r="B1263" s="99" t="s">
        <v>299</v>
      </c>
      <c r="C1263" s="99" t="s">
        <v>343</v>
      </c>
      <c r="D1263" s="53" t="s">
        <v>327</v>
      </c>
      <c r="E1263" s="53" t="s">
        <v>85</v>
      </c>
      <c r="F1263" s="219">
        <f ca="1" t="shared" si="1179"/>
        <v>0</v>
      </c>
      <c r="G1263" s="219">
        <f ca="1" t="shared" si="1180"/>
        <v>0</v>
      </c>
      <c r="H1263" s="219">
        <f ca="1" t="shared" si="1181"/>
        <v>0</v>
      </c>
      <c r="I1263" s="219">
        <f ca="1" t="shared" si="1182"/>
        <v>0</v>
      </c>
      <c r="J1263" s="219">
        <f ca="1" t="shared" si="1183"/>
        <v>0</v>
      </c>
      <c r="K1263" s="219">
        <f ca="1" t="shared" si="1184"/>
        <v>0</v>
      </c>
      <c r="L1263" s="219">
        <f ca="1" t="shared" si="1185"/>
        <v>0</v>
      </c>
      <c r="M1263" s="219">
        <f ca="1" t="shared" si="1186"/>
        <v>0</v>
      </c>
      <c r="N1263" s="219">
        <f ca="1" t="shared" si="1187"/>
        <v>0</v>
      </c>
      <c r="O1263" s="219">
        <f ca="1" t="shared" si="1188"/>
        <v>0</v>
      </c>
      <c r="P1263" s="219">
        <f ca="1" t="shared" si="1189"/>
        <v>0</v>
      </c>
      <c r="Q1263" s="219">
        <f ca="1" t="shared" si="1190"/>
        <v>0</v>
      </c>
    </row>
    <row r="1264" ht="24" customHeight="1" spans="1:17">
      <c r="A1264" s="99" t="s">
        <v>347</v>
      </c>
      <c r="B1264" s="99" t="s">
        <v>299</v>
      </c>
      <c r="C1264" s="99" t="s">
        <v>343</v>
      </c>
      <c r="D1264" s="53" t="s">
        <v>327</v>
      </c>
      <c r="E1264" s="53" t="s">
        <v>81</v>
      </c>
      <c r="F1264" s="219">
        <f ca="1" t="shared" si="1179"/>
        <v>0</v>
      </c>
      <c r="G1264" s="219">
        <f ca="1" t="shared" si="1180"/>
        <v>0</v>
      </c>
      <c r="H1264" s="219">
        <f ca="1" t="shared" si="1181"/>
        <v>0</v>
      </c>
      <c r="I1264" s="219">
        <f ca="1" t="shared" si="1182"/>
        <v>0</v>
      </c>
      <c r="J1264" s="219">
        <f ca="1" t="shared" si="1183"/>
        <v>0</v>
      </c>
      <c r="K1264" s="219">
        <f ca="1" t="shared" si="1184"/>
        <v>0</v>
      </c>
      <c r="L1264" s="219">
        <f ca="1" t="shared" si="1185"/>
        <v>0</v>
      </c>
      <c r="M1264" s="219">
        <f ca="1" t="shared" si="1186"/>
        <v>0</v>
      </c>
      <c r="N1264" s="219">
        <f ca="1" t="shared" si="1187"/>
        <v>0</v>
      </c>
      <c r="O1264" s="219">
        <f ca="1" t="shared" si="1188"/>
        <v>0</v>
      </c>
      <c r="P1264" s="219">
        <f ca="1" t="shared" si="1189"/>
        <v>0</v>
      </c>
      <c r="Q1264" s="219">
        <f ca="1" t="shared" si="1190"/>
        <v>0</v>
      </c>
    </row>
    <row r="1265" ht="24" customHeight="1" spans="1:17">
      <c r="A1265" s="99" t="s">
        <v>347</v>
      </c>
      <c r="B1265" s="99" t="s">
        <v>299</v>
      </c>
      <c r="C1265" s="99" t="s">
        <v>343</v>
      </c>
      <c r="D1265" s="53" t="s">
        <v>327</v>
      </c>
      <c r="E1265" s="53" t="s">
        <v>96</v>
      </c>
      <c r="F1265" s="219">
        <f ca="1" t="shared" si="1179"/>
        <v>0</v>
      </c>
      <c r="G1265" s="219">
        <f ca="1" t="shared" si="1180"/>
        <v>0</v>
      </c>
      <c r="H1265" s="219">
        <f ca="1" t="shared" si="1181"/>
        <v>0</v>
      </c>
      <c r="I1265" s="219">
        <f ca="1" t="shared" si="1182"/>
        <v>0</v>
      </c>
      <c r="J1265" s="219">
        <f ca="1" t="shared" si="1183"/>
        <v>0</v>
      </c>
      <c r="K1265" s="219">
        <f ca="1" t="shared" si="1184"/>
        <v>0</v>
      </c>
      <c r="L1265" s="219">
        <f ca="1" t="shared" si="1185"/>
        <v>0</v>
      </c>
      <c r="M1265" s="219">
        <f ca="1" t="shared" si="1186"/>
        <v>0</v>
      </c>
      <c r="N1265" s="219">
        <f ca="1" t="shared" si="1187"/>
        <v>0</v>
      </c>
      <c r="O1265" s="219">
        <f ca="1" t="shared" si="1188"/>
        <v>0</v>
      </c>
      <c r="P1265" s="219">
        <f ca="1" t="shared" si="1189"/>
        <v>0</v>
      </c>
      <c r="Q1265" s="219">
        <f ca="1" t="shared" si="1190"/>
        <v>0</v>
      </c>
    </row>
    <row r="1266" ht="24" customHeight="1" spans="1:17">
      <c r="A1266" s="99" t="s">
        <v>347</v>
      </c>
      <c r="B1266" s="99" t="s">
        <v>299</v>
      </c>
      <c r="C1266" s="99" t="s">
        <v>343</v>
      </c>
      <c r="D1266" s="53" t="s">
        <v>327</v>
      </c>
      <c r="E1266" s="53" t="s">
        <v>160</v>
      </c>
      <c r="F1266" s="219">
        <f ca="1" t="shared" si="1179"/>
        <v>0</v>
      </c>
      <c r="G1266" s="219">
        <f ca="1" t="shared" si="1180"/>
        <v>0</v>
      </c>
      <c r="H1266" s="219">
        <f ca="1" t="shared" si="1181"/>
        <v>0</v>
      </c>
      <c r="I1266" s="219">
        <f ca="1" t="shared" si="1182"/>
        <v>0</v>
      </c>
      <c r="J1266" s="219">
        <f ca="1" t="shared" si="1183"/>
        <v>0</v>
      </c>
      <c r="K1266" s="219">
        <f ca="1" t="shared" si="1184"/>
        <v>0</v>
      </c>
      <c r="L1266" s="219">
        <f ca="1" t="shared" si="1185"/>
        <v>0</v>
      </c>
      <c r="M1266" s="219">
        <f ca="1" t="shared" si="1186"/>
        <v>0</v>
      </c>
      <c r="N1266" s="219">
        <f ca="1" t="shared" si="1187"/>
        <v>0</v>
      </c>
      <c r="O1266" s="219">
        <f ca="1" t="shared" si="1188"/>
        <v>0</v>
      </c>
      <c r="P1266" s="219">
        <f ca="1" t="shared" si="1189"/>
        <v>0</v>
      </c>
      <c r="Q1266" s="219">
        <f ca="1" t="shared" si="1190"/>
        <v>0</v>
      </c>
    </row>
    <row r="1267" ht="24" customHeight="1" spans="1:17">
      <c r="A1267" s="99" t="s">
        <v>348</v>
      </c>
      <c r="B1267" s="99" t="s">
        <v>290</v>
      </c>
      <c r="C1267" s="99" t="s">
        <v>291</v>
      </c>
      <c r="D1267" s="100" t="s">
        <v>292</v>
      </c>
      <c r="E1267" s="100" t="s">
        <v>293</v>
      </c>
      <c r="F1267" s="204">
        <f ca="1">IF($S$1&lt;DATE(2025,1,1)," ",IF((SUM(F1268:F1274)-MAX(F1280,F1284))&lt;0,"ERR",SUM(F1268:F1274)))</f>
        <v>5</v>
      </c>
      <c r="G1267" s="204">
        <f ca="1">IF($S$1&lt;DATE(2025,2,1)," ",IF((SUM(G1268:G1274)-MAX(G1280,G1284))&lt;0,"ERR",SUM(G1268:G1274)))</f>
        <v>3</v>
      </c>
      <c r="H1267" s="204">
        <f ca="1">IF($S$1&lt;DATE(2025,3,1)," ",IF((SUM(H1268:H1274)-MAX(H1280,H1284))&lt;0,"ERR",SUM(H1268:H1274)))</f>
        <v>2</v>
      </c>
      <c r="I1267" s="204">
        <f ca="1">IF($S$1&lt;DATE(2025,4,1)," ",IF((SUM(I1268:I1274)-MAX(I1280,I1284))&lt;0,"ERR",SUM(I1268:I1274)))</f>
        <v>4</v>
      </c>
      <c r="J1267" s="204">
        <f ca="1">IF($S$1&lt;DATE(2025,5,1)," ",IF((SUM(J1268:J1274)-MAX(J1280,J1284))&lt;0,"ERR",SUM(J1268:J1274)))</f>
        <v>5</v>
      </c>
      <c r="K1267" s="204">
        <f ca="1">IF($S$1&lt;DATE(2025,6,1)," ",IF((SUM(K1268:K1274)-MAX(K1280,K1284))&lt;0,"ERR",SUM(K1268:K1274)))</f>
        <v>5</v>
      </c>
      <c r="L1267" s="204">
        <f ca="1">IF($S$1&lt;DATE(2025,7,1)," ",IF((SUM(L1268:L1274)-MAX(L1280,L1284))&lt;0,"ERR",SUM(L1268:L1274)))</f>
        <v>5</v>
      </c>
      <c r="M1267" s="204">
        <f ca="1">IF($S$1&lt;DATE(2025,8,1)," ",IF((SUM(M1268:M1274)-MAX(M1280,M1284))&lt;0,"ERR",SUM(M1268:M1274)))</f>
        <v>5</v>
      </c>
      <c r="N1267" s="204">
        <f ca="1">IF($S$1&lt;DATE(2025,9,1)," ",IF((SUM(N1268:N1274)-MAX(N1280,N1284))&lt;0,"ERR",SUM(N1268:N1274)))</f>
        <v>7</v>
      </c>
      <c r="O1267" s="204">
        <f ca="1">IF($S$1&lt;DATE(2025,10,1)," ",IF((SUM(O1268:O1274)-MAX(O1280,O1284))&lt;0,"ERR",SUM(O1268:O1274)))</f>
        <v>3</v>
      </c>
      <c r="P1267" s="204">
        <f ca="1">IF($S$1&lt;DATE(2025,11,1)," ",IF((SUM(P1268:P1274)-MAX(P1280,P1284))&lt;0,"ERR",SUM(P1268:P1274)))</f>
        <v>4</v>
      </c>
      <c r="Q1267" s="204">
        <f ca="1">IF($S$1&lt;DATE(2025,12,1)," ",IF((SUM(Q1268:Q1274)-MAX(Q1280,Q1284))&lt;0,"ERR",SUM(Q1268:Q1274)))</f>
        <v>6</v>
      </c>
    </row>
    <row r="1268" ht="24" customHeight="1" spans="1:35">
      <c r="A1268" s="99" t="s">
        <v>348</v>
      </c>
      <c r="B1268" s="99" t="s">
        <v>290</v>
      </c>
      <c r="C1268" s="99" t="s">
        <v>291</v>
      </c>
      <c r="D1268" s="48" t="s">
        <v>31</v>
      </c>
      <c r="E1268" s="48" t="s">
        <v>90</v>
      </c>
      <c r="F1268" s="205">
        <f ca="1">IF($S$1&lt;DATE(2025,1,1)," ",COUNTIFS('2025数据'!$S$3:$S$181,"&gt;="&amp;DATE(2024,1,1),'2025数据'!$S$3:$S$181,"&lt;="&amp;DATE(2025,1,31),'2025数据'!$AE$3:$AE$181,$E1268))</f>
        <v>1</v>
      </c>
      <c r="G1268" s="205">
        <f ca="1">IF($S$1&lt;DATE(2025,2,1)," ",COUNTIFS('2025数据'!$S$3:$S$181,"&gt;="&amp;DATE(2025,2,1),'2025数据'!$S$3:$S$181,"&lt;="&amp;DATE(2025,2,28),'2025数据'!$AE$3:$AE$181,$E1268))</f>
        <v>2</v>
      </c>
      <c r="H1268" s="205">
        <f ca="1">IF($S$1&lt;DATE(2025,3,1)," ",COUNTIFS('2025数据'!$S$3:$S$181,"&gt;="&amp;DATE(2025,3,1),'2025数据'!$S$3:$S$181,"&lt;="&amp;DATE(2025,3,31),'2025数据'!$AE$3:$AE$181,$E1268))</f>
        <v>0</v>
      </c>
      <c r="I1268" s="205">
        <f ca="1">IF($S$1&lt;DATE(2025,4,1)," ",COUNTIFS('2025数据'!$S$3:$S$181,"&gt;="&amp;DATE(2025,4,1),'2025数据'!$S$3:$S$181,"&lt;="&amp;DATE(2025,4,30),'2025数据'!$AE$3:$AE$181,$E1268))</f>
        <v>0</v>
      </c>
      <c r="J1268" s="205">
        <f ca="1">IF($S$1&lt;DATE(2025,5,1)," ",COUNTIFS('2025数据'!$S$3:$S$181,"&gt;="&amp;DATE(2025,5,1),'2025数据'!$S$3:$S$181,"&lt;="&amp;DATE(2025,5,31),'2025数据'!$AE$3:$AE$181,$E1268))</f>
        <v>0</v>
      </c>
      <c r="K1268" s="205">
        <f ca="1">IF($S$1&lt;DATE(2025,6,1)," ",COUNTIFS('2025数据'!$S$3:$S$181,"&gt;="&amp;DATE(2025,6,1),'2025数据'!$S$3:$S$181,"&lt;="&amp;DATE(2025,6,30),'2025数据'!$AE$3:$AE$181,$E1268))</f>
        <v>1</v>
      </c>
      <c r="L1268" s="205">
        <f ca="1">IF($S$1&lt;DATE(2025,7,1)," ",COUNTIFS('2025数据'!$S$3:$S$181,"&gt;="&amp;DATE(2025,7,1),'2025数据'!$S$3:$S$181,"&lt;="&amp;DATE(2025,7,31),'2025数据'!$AE$3:$AE$181,$E1268))</f>
        <v>1</v>
      </c>
      <c r="M1268" s="205">
        <f ca="1">IF($S$1&lt;DATE(2025,8,1)," ",COUNTIFS('2025数据'!$S$3:$S$181,"&gt;="&amp;DATE(2025,8,1),'2025数据'!$S$3:$S$181,"&lt;="&amp;DATE(2025,8,31),'2025数据'!$AE$3:$AE$181,$E1268))</f>
        <v>2</v>
      </c>
      <c r="N1268" s="205">
        <f ca="1">IF($S$1&lt;DATE(2025,9,1)," ",COUNTIFS('2025数据'!$S$3:$S$181,"&gt;="&amp;DATE(2025,9,1),'2025数据'!$S$3:$S$181,"&lt;="&amp;DATE(2025,9,30),'2025数据'!$AE$3:$AE$181,$E1268))</f>
        <v>2</v>
      </c>
      <c r="O1268" s="205">
        <f ca="1">IF($S$1&lt;DATE(2025,10,1)," ",COUNTIFS('2025数据'!$S$3:$S$181,"&gt;="&amp;DATE(2025,10,1),'2025数据'!$S$3:$S$181,"&lt;="&amp;DATE(2025,10,31),'2025数据'!$AE$3:$AE$181,$E1268))</f>
        <v>1</v>
      </c>
      <c r="P1268" s="207">
        <f ca="1">IF($S$1&lt;DATE(2025,11,1)," ",COUNTIFS('2025数据'!$S$3:$S$181,"&gt;="&amp;DATE(2025,11,1),'2025数据'!$S$3:$S$181,"&lt;="&amp;DATE(2025,11,30),'2025数据'!$AE$3:$AE$181,$E1268))</f>
        <v>1</v>
      </c>
      <c r="Q1268" s="207">
        <f ca="1">IF($S$1&lt;DATE(2025,12,1)," ",COUNTIFS('2025数据'!$S$3:$S$181,"&gt;="&amp;DATE(2025,12,1),'2025数据'!$S$3:$S$181,"&lt;="&amp;DATE(2025,12,31),'2025数据'!$AE$3:$AE$181,$E1268))</f>
        <v>2</v>
      </c>
      <c r="S1268" s="108" t="s">
        <v>272</v>
      </c>
      <c r="T1268" s="108" t="s">
        <v>273</v>
      </c>
      <c r="U1268" s="108" t="s">
        <v>274</v>
      </c>
      <c r="V1268" s="98" t="s">
        <v>275</v>
      </c>
      <c r="W1268" s="98" t="s">
        <v>276</v>
      </c>
      <c r="X1268" s="102" t="s">
        <v>277</v>
      </c>
      <c r="Y1268" s="103" t="s">
        <v>278</v>
      </c>
      <c r="Z1268" s="102" t="s">
        <v>279</v>
      </c>
      <c r="AA1268" s="103" t="s">
        <v>280</v>
      </c>
      <c r="AB1268" s="102" t="s">
        <v>281</v>
      </c>
      <c r="AC1268" s="103" t="s">
        <v>282</v>
      </c>
      <c r="AD1268" s="102" t="s">
        <v>283</v>
      </c>
      <c r="AE1268" s="103" t="s">
        <v>284</v>
      </c>
      <c r="AF1268" s="102" t="s">
        <v>285</v>
      </c>
      <c r="AG1268" s="103" t="s">
        <v>286</v>
      </c>
      <c r="AH1268" s="102" t="s">
        <v>287</v>
      </c>
      <c r="AI1268" s="107" t="s">
        <v>288</v>
      </c>
    </row>
    <row r="1269" ht="24" customHeight="1" spans="1:17">
      <c r="A1269" s="99" t="s">
        <v>348</v>
      </c>
      <c r="B1269" s="99" t="s">
        <v>290</v>
      </c>
      <c r="C1269" s="99" t="s">
        <v>291</v>
      </c>
      <c r="D1269" s="48" t="s">
        <v>31</v>
      </c>
      <c r="E1269" s="48" t="s">
        <v>82</v>
      </c>
      <c r="F1269" s="205">
        <f ca="1">IF($S$1&lt;DATE(2025,1,1)," ",COUNTIFS('2025数据'!$S$3:$S$181,"&gt;="&amp;DATE(2024,1,1),'2025数据'!$S$3:$S$181,"&lt;="&amp;DATE(2025,1,31),'2025数据'!$AE$3:$AE$181,$E1269))</f>
        <v>0</v>
      </c>
      <c r="G1269" s="205">
        <f ca="1">IF($S$1&lt;DATE(2025,2,1)," ",COUNTIFS('2025数据'!$S$3:$S$181,"&gt;="&amp;DATE(2025,2,1),'2025数据'!$S$3:$S$181,"&lt;="&amp;DATE(2025,2,28),'2025数据'!$AE$3:$AE$181,$E1269))</f>
        <v>0</v>
      </c>
      <c r="H1269" s="205">
        <f ca="1">IF($S$1&lt;DATE(2025,3,1)," ",COUNTIFS('2025数据'!$S$3:$S$181,"&gt;="&amp;DATE(2025,3,1),'2025数据'!$S$3:$S$181,"&lt;="&amp;DATE(2025,3,31),'2025数据'!$AE$3:$AE$181,$E1269))</f>
        <v>1</v>
      </c>
      <c r="I1269" s="205">
        <f ca="1">IF($S$1&lt;DATE(2025,4,1)," ",COUNTIFS('2025数据'!$S$3:$S$181,"&gt;="&amp;DATE(2025,4,1),'2025数据'!$S$3:$S$181,"&lt;="&amp;DATE(2025,4,30),'2025数据'!$AE$3:$AE$181,$E1269))</f>
        <v>1</v>
      </c>
      <c r="J1269" s="205">
        <f ca="1">IF($S$1&lt;DATE(2025,5,1)," ",COUNTIFS('2025数据'!$S$3:$S$181,"&gt;="&amp;DATE(2025,5,1),'2025数据'!$S$3:$S$181,"&lt;="&amp;DATE(2025,5,31),'2025数据'!$AE$3:$AE$181,$E1269))</f>
        <v>1</v>
      </c>
      <c r="K1269" s="205">
        <f ca="1">IF($S$1&lt;DATE(2025,6,1)," ",COUNTIFS('2025数据'!$S$3:$S$181,"&gt;="&amp;DATE(2025,6,1),'2025数据'!$S$3:$S$181,"&lt;="&amp;DATE(2025,6,30),'2025数据'!$AE$3:$AE$181,$E1269))</f>
        <v>2</v>
      </c>
      <c r="L1269" s="205">
        <f ca="1">IF($S$1&lt;DATE(2025,7,1)," ",COUNTIFS('2025数据'!$S$3:$S$181,"&gt;="&amp;DATE(2025,7,1),'2025数据'!$S$3:$S$181,"&lt;="&amp;DATE(2025,7,31),'2025数据'!$AE$3:$AE$181,$E1269))</f>
        <v>1</v>
      </c>
      <c r="M1269" s="205">
        <f ca="1">IF($S$1&lt;DATE(2025,8,1)," ",COUNTIFS('2025数据'!$S$3:$S$181,"&gt;="&amp;DATE(2025,8,1),'2025数据'!$S$3:$S$181,"&lt;="&amp;DATE(2025,8,31),'2025数据'!$AE$3:$AE$181,$E1269))</f>
        <v>0</v>
      </c>
      <c r="N1269" s="205">
        <f ca="1">IF($S$1&lt;DATE(2025,9,1)," ",COUNTIFS('2025数据'!$S$3:$S$181,"&gt;="&amp;DATE(2025,9,1),'2025数据'!$S$3:$S$181,"&lt;="&amp;DATE(2025,9,30),'2025数据'!$AE$3:$AE$181,$E1269))</f>
        <v>3</v>
      </c>
      <c r="O1269" s="205">
        <f ca="1">IF($S$1&lt;DATE(2025,10,1)," ",COUNTIFS('2025数据'!$S$3:$S$181,"&gt;="&amp;DATE(2025,10,1),'2025数据'!$S$3:$S$181,"&lt;="&amp;DATE(2025,10,31),'2025数据'!$AE$3:$AE$181,$E1269))</f>
        <v>0</v>
      </c>
      <c r="P1269" s="207">
        <f ca="1">IF($S$1&lt;DATE(2025,11,1)," ",COUNTIFS('2025数据'!$S$3:$S$181,"&gt;="&amp;DATE(2025,11,1),'2025数据'!$S$3:$S$181,"&lt;="&amp;DATE(2025,11,30),'2025数据'!$AE$3:$AE$181,$E1269))</f>
        <v>2</v>
      </c>
      <c r="Q1269" s="207">
        <f ca="1">IF($S$1&lt;DATE(2025,12,1)," ",COUNTIFS('2025数据'!$S$3:$S$181,"&gt;="&amp;DATE(2025,12,1),'2025数据'!$S$3:$S$181,"&lt;="&amp;DATE(2025,12,31),'2025数据'!$AE$3:$AE$181,$E1269))</f>
        <v>1</v>
      </c>
    </row>
    <row r="1270" ht="24" customHeight="1" spans="1:17">
      <c r="A1270" s="99" t="s">
        <v>348</v>
      </c>
      <c r="B1270" s="99" t="s">
        <v>290</v>
      </c>
      <c r="C1270" s="99" t="s">
        <v>291</v>
      </c>
      <c r="D1270" s="48" t="s">
        <v>31</v>
      </c>
      <c r="E1270" s="48" t="s">
        <v>86</v>
      </c>
      <c r="F1270" s="205">
        <f ca="1">IF($S$1&lt;DATE(2025,1,1)," ",COUNTIFS('2025数据'!$S$3:$S$181,"&gt;="&amp;DATE(2024,1,1),'2025数据'!$S$3:$S$181,"&lt;="&amp;DATE(2025,1,31),'2025数据'!$AE$3:$AE$181,$E1270))</f>
        <v>4</v>
      </c>
      <c r="G1270" s="205">
        <f ca="1">IF($S$1&lt;DATE(2025,2,1)," ",COUNTIFS('2025数据'!$S$3:$S$181,"&gt;="&amp;DATE(2025,2,1),'2025数据'!$S$3:$S$181,"&lt;="&amp;DATE(2025,2,28),'2025数据'!$AE$3:$AE$181,$E1270))</f>
        <v>1</v>
      </c>
      <c r="H1270" s="205">
        <f ca="1">IF($S$1&lt;DATE(2025,3,1)," ",COUNTIFS('2025数据'!$S$3:$S$181,"&gt;="&amp;DATE(2025,3,1),'2025数据'!$S$3:$S$181,"&lt;="&amp;DATE(2025,3,31),'2025数据'!$AE$3:$AE$181,$E1270))</f>
        <v>0</v>
      </c>
      <c r="I1270" s="205">
        <f ca="1">IF($S$1&lt;DATE(2025,4,1)," ",COUNTIFS('2025数据'!$S$3:$S$181,"&gt;="&amp;DATE(2025,4,1),'2025数据'!$S$3:$S$181,"&lt;="&amp;DATE(2025,4,30),'2025数据'!$AE$3:$AE$181,$E1270))</f>
        <v>1</v>
      </c>
      <c r="J1270" s="205">
        <f ca="1">IF($S$1&lt;DATE(2025,5,1)," ",COUNTIFS('2025数据'!$S$3:$S$181,"&gt;="&amp;DATE(2025,5,1),'2025数据'!$S$3:$S$181,"&lt;="&amp;DATE(2025,5,31),'2025数据'!$AE$3:$AE$181,$E1270))</f>
        <v>3</v>
      </c>
      <c r="K1270" s="205">
        <f ca="1">IF($S$1&lt;DATE(2025,6,1)," ",COUNTIFS('2025数据'!$S$3:$S$181,"&gt;="&amp;DATE(2025,6,1),'2025数据'!$S$3:$S$181,"&lt;="&amp;DATE(2025,6,30),'2025数据'!$AE$3:$AE$181,$E1270))</f>
        <v>1</v>
      </c>
      <c r="L1270" s="205">
        <f ca="1">IF($S$1&lt;DATE(2025,7,1)," ",COUNTIFS('2025数据'!$S$3:$S$181,"&gt;="&amp;DATE(2025,7,1),'2025数据'!$S$3:$S$181,"&lt;="&amp;DATE(2025,7,31),'2025数据'!$AE$3:$AE$181,$E1270))</f>
        <v>1</v>
      </c>
      <c r="M1270" s="205">
        <f ca="1">IF($S$1&lt;DATE(2025,8,1)," ",COUNTIFS('2025数据'!$S$3:$S$181,"&gt;="&amp;DATE(2025,8,1),'2025数据'!$S$3:$S$181,"&lt;="&amp;DATE(2025,8,31),'2025数据'!$AE$3:$AE$181,$E1270))</f>
        <v>2</v>
      </c>
      <c r="N1270" s="205">
        <f ca="1">IF($S$1&lt;DATE(2025,9,1)," ",COUNTIFS('2025数据'!$S$3:$S$181,"&gt;="&amp;DATE(2025,9,1),'2025数据'!$S$3:$S$181,"&lt;="&amp;DATE(2025,9,30),'2025数据'!$AE$3:$AE$181,$E1270))</f>
        <v>2</v>
      </c>
      <c r="O1270" s="205">
        <f ca="1">IF($S$1&lt;DATE(2025,10,1)," ",COUNTIFS('2025数据'!$S$3:$S$181,"&gt;="&amp;DATE(2025,10,1),'2025数据'!$S$3:$S$181,"&lt;="&amp;DATE(2025,10,31),'2025数据'!$AE$3:$AE$181,$E1270))</f>
        <v>1</v>
      </c>
      <c r="P1270" s="207">
        <f ca="1">IF($S$1&lt;DATE(2025,11,1)," ",COUNTIFS('2025数据'!$S$3:$S$181,"&gt;="&amp;DATE(2025,11,1),'2025数据'!$S$3:$S$181,"&lt;="&amp;DATE(2025,11,30),'2025数据'!$AE$3:$AE$181,$E1270))</f>
        <v>1</v>
      </c>
      <c r="Q1270" s="207">
        <f ca="1">IF($S$1&lt;DATE(2025,12,1)," ",COUNTIFS('2025数据'!$S$3:$S$181,"&gt;="&amp;DATE(2025,12,1),'2025数据'!$S$3:$S$181,"&lt;="&amp;DATE(2025,12,31),'2025数据'!$AE$3:$AE$181,$E1270))</f>
        <v>0</v>
      </c>
    </row>
    <row r="1271" ht="24" customHeight="1" spans="1:17">
      <c r="A1271" s="99" t="s">
        <v>348</v>
      </c>
      <c r="B1271" s="99" t="s">
        <v>290</v>
      </c>
      <c r="C1271" s="99" t="s">
        <v>291</v>
      </c>
      <c r="D1271" s="48" t="s">
        <v>31</v>
      </c>
      <c r="E1271" s="48" t="s">
        <v>97</v>
      </c>
      <c r="F1271" s="205">
        <f ca="1">IF($S$1&lt;DATE(2025,1,1)," ",COUNTIFS('2025数据'!$S$3:$S$181,"&gt;="&amp;DATE(2024,1,1),'2025数据'!$S$3:$S$181,"&lt;="&amp;DATE(2025,1,31),'2025数据'!$AE$3:$AE$181,$E1271))</f>
        <v>0</v>
      </c>
      <c r="G1271" s="205">
        <f ca="1">IF($S$1&lt;DATE(2025,2,1)," ",COUNTIFS('2025数据'!$S$3:$S$181,"&gt;="&amp;DATE(2025,2,1),'2025数据'!$S$3:$S$181,"&lt;="&amp;DATE(2025,2,28),'2025数据'!$AE$3:$AE$181,$E1271))</f>
        <v>0</v>
      </c>
      <c r="H1271" s="205">
        <f ca="1">IF($S$1&lt;DATE(2025,3,1)," ",COUNTIFS('2025数据'!$S$3:$S$181,"&gt;="&amp;DATE(2025,3,1),'2025数据'!$S$3:$S$181,"&lt;="&amp;DATE(2025,3,31),'2025数据'!$AE$3:$AE$181,$E1271))</f>
        <v>1</v>
      </c>
      <c r="I1271" s="205">
        <f ca="1">IF($S$1&lt;DATE(2025,4,1)," ",COUNTIFS('2025数据'!$S$3:$S$181,"&gt;="&amp;DATE(2025,4,1),'2025数据'!$S$3:$S$181,"&lt;="&amp;DATE(2025,4,30),'2025数据'!$AE$3:$AE$181,$E1271))</f>
        <v>2</v>
      </c>
      <c r="J1271" s="205">
        <f ca="1">IF($S$1&lt;DATE(2025,5,1)," ",COUNTIFS('2025数据'!$S$3:$S$181,"&gt;="&amp;DATE(2025,5,1),'2025数据'!$S$3:$S$181,"&lt;="&amp;DATE(2025,5,31),'2025数据'!$AE$3:$AE$181,$E1271))</f>
        <v>1</v>
      </c>
      <c r="K1271" s="205">
        <f ca="1">IF($S$1&lt;DATE(2025,6,1)," ",COUNTIFS('2025数据'!$S$3:$S$181,"&gt;="&amp;DATE(2025,6,1),'2025数据'!$S$3:$S$181,"&lt;="&amp;DATE(2025,6,30),'2025数据'!$AE$3:$AE$181,$E1271))</f>
        <v>0</v>
      </c>
      <c r="L1271" s="205">
        <f ca="1">IF($S$1&lt;DATE(2025,7,1)," ",COUNTIFS('2025数据'!$S$3:$S$181,"&gt;="&amp;DATE(2025,7,1),'2025数据'!$S$3:$S$181,"&lt;="&amp;DATE(2025,7,31),'2025数据'!$AE$3:$AE$181,$E1271))</f>
        <v>0</v>
      </c>
      <c r="M1271" s="205">
        <f ca="1">IF($S$1&lt;DATE(2025,8,1)," ",COUNTIFS('2025数据'!$S$3:$S$181,"&gt;="&amp;DATE(2025,8,1),'2025数据'!$S$3:$S$181,"&lt;="&amp;DATE(2025,8,31),'2025数据'!$AE$3:$AE$181,$E1271))</f>
        <v>1</v>
      </c>
      <c r="N1271" s="205">
        <f ca="1">IF($S$1&lt;DATE(2025,9,1)," ",COUNTIFS('2025数据'!$S$3:$S$181,"&gt;="&amp;DATE(2025,9,1),'2025数据'!$S$3:$S$181,"&lt;="&amp;DATE(2025,9,30),'2025数据'!$AE$3:$AE$181,$E1271))</f>
        <v>0</v>
      </c>
      <c r="O1271" s="205">
        <f ca="1">IF($S$1&lt;DATE(2025,10,1)," ",COUNTIFS('2025数据'!$S$3:$S$181,"&gt;="&amp;DATE(2025,10,1),'2025数据'!$S$3:$S$181,"&lt;="&amp;DATE(2025,10,31),'2025数据'!$AE$3:$AE$181,$E1271))</f>
        <v>1</v>
      </c>
      <c r="P1271" s="207">
        <f ca="1">IF($S$1&lt;DATE(2025,11,1)," ",COUNTIFS('2025数据'!$S$3:$S$181,"&gt;="&amp;DATE(2025,11,1),'2025数据'!$S$3:$S$181,"&lt;="&amp;DATE(2025,11,30),'2025数据'!$AE$3:$AE$181,$E1271))</f>
        <v>0</v>
      </c>
      <c r="Q1271" s="207">
        <f ca="1">IF($S$1&lt;DATE(2025,12,1)," ",COUNTIFS('2025数据'!$S$3:$S$181,"&gt;="&amp;DATE(2025,12,1),'2025数据'!$S$3:$S$181,"&lt;="&amp;DATE(2025,12,31),'2025数据'!$AE$3:$AE$181,$E1271))</f>
        <v>1</v>
      </c>
    </row>
    <row r="1272" ht="24" customHeight="1" spans="1:17">
      <c r="A1272" s="99" t="s">
        <v>348</v>
      </c>
      <c r="B1272" s="99" t="s">
        <v>290</v>
      </c>
      <c r="C1272" s="99" t="s">
        <v>291</v>
      </c>
      <c r="D1272" s="48" t="s">
        <v>31</v>
      </c>
      <c r="E1272" s="48" t="s">
        <v>87</v>
      </c>
      <c r="F1272" s="205">
        <f ca="1">IF($S$1&lt;DATE(2025,1,1)," ",COUNTIFS('2025数据'!$S$3:$S$181,"&gt;="&amp;DATE(2024,1,1),'2025数据'!$S$3:$S$181,"&lt;="&amp;DATE(2025,1,31),'2025数据'!$AE$3:$AE$181,$E1272))</f>
        <v>0</v>
      </c>
      <c r="G1272" s="205">
        <f ca="1">IF($S$1&lt;DATE(2025,2,1)," ",COUNTIFS('2025数据'!$S$3:$S$181,"&gt;="&amp;DATE(2025,2,1),'2025数据'!$S$3:$S$181,"&lt;="&amp;DATE(2025,2,28),'2025数据'!$AE$3:$AE$181,$E1272))</f>
        <v>0</v>
      </c>
      <c r="H1272" s="205">
        <f ca="1">IF($S$1&lt;DATE(2025,3,1)," ",COUNTIFS('2025数据'!$S$3:$S$181,"&gt;="&amp;DATE(2025,3,1),'2025数据'!$S$3:$S$181,"&lt;="&amp;DATE(2025,3,31),'2025数据'!$AE$3:$AE$181,$E1272))</f>
        <v>0</v>
      </c>
      <c r="I1272" s="205">
        <f ca="1">IF($S$1&lt;DATE(2025,4,1)," ",COUNTIFS('2025数据'!$S$3:$S$181,"&gt;="&amp;DATE(2025,4,1),'2025数据'!$S$3:$S$181,"&lt;="&amp;DATE(2025,4,30),'2025数据'!$AE$3:$AE$181,$E1272))</f>
        <v>0</v>
      </c>
      <c r="J1272" s="205">
        <f ca="1">IF($S$1&lt;DATE(2025,5,1)," ",COUNTIFS('2025数据'!$S$3:$S$181,"&gt;="&amp;DATE(2025,5,1),'2025数据'!$S$3:$S$181,"&lt;="&amp;DATE(2025,5,31),'2025数据'!$AE$3:$AE$181,$E1272))</f>
        <v>0</v>
      </c>
      <c r="K1272" s="205">
        <f ca="1">IF($S$1&lt;DATE(2025,6,1)," ",COUNTIFS('2025数据'!$S$3:$S$181,"&gt;="&amp;DATE(2025,6,1),'2025数据'!$S$3:$S$181,"&lt;="&amp;DATE(2025,6,30),'2025数据'!$AE$3:$AE$181,$E1272))</f>
        <v>1</v>
      </c>
      <c r="L1272" s="205">
        <f ca="1">IF($S$1&lt;DATE(2025,7,1)," ",COUNTIFS('2025数据'!$S$3:$S$181,"&gt;="&amp;DATE(2025,7,1),'2025数据'!$S$3:$S$181,"&lt;="&amp;DATE(2025,7,31),'2025数据'!$AE$3:$AE$181,$E1272))</f>
        <v>0</v>
      </c>
      <c r="M1272" s="205">
        <f ca="1">IF($S$1&lt;DATE(2025,8,1)," ",COUNTIFS('2025数据'!$S$3:$S$181,"&gt;="&amp;DATE(2025,8,1),'2025数据'!$S$3:$S$181,"&lt;="&amp;DATE(2025,8,31),'2025数据'!$AE$3:$AE$181,$E1272))</f>
        <v>0</v>
      </c>
      <c r="N1272" s="205">
        <f ca="1">IF($S$1&lt;DATE(2025,9,1)," ",COUNTIFS('2025数据'!$S$3:$S$181,"&gt;="&amp;DATE(2025,9,1),'2025数据'!$S$3:$S$181,"&lt;="&amp;DATE(2025,9,30),'2025数据'!$AE$3:$AE$181,$E1272))</f>
        <v>0</v>
      </c>
      <c r="O1272" s="205">
        <f ca="1">IF($S$1&lt;DATE(2025,10,1)," ",COUNTIFS('2025数据'!$S$3:$S$181,"&gt;="&amp;DATE(2025,10,1),'2025数据'!$S$3:$S$181,"&lt;="&amp;DATE(2025,10,31),'2025数据'!$AE$3:$AE$181,$E1272))</f>
        <v>0</v>
      </c>
      <c r="P1272" s="207">
        <f ca="1">IF($S$1&lt;DATE(2025,11,1)," ",COUNTIFS('2025数据'!$S$3:$S$181,"&gt;="&amp;DATE(2025,11,1),'2025数据'!$S$3:$S$181,"&lt;="&amp;DATE(2025,11,30),'2025数据'!$AE$3:$AE$181,$E1272))</f>
        <v>0</v>
      </c>
      <c r="Q1272" s="207">
        <f ca="1">IF($S$1&lt;DATE(2025,12,1)," ",COUNTIFS('2025数据'!$S$3:$S$181,"&gt;="&amp;DATE(2025,12,1),'2025数据'!$S$3:$S$181,"&lt;="&amp;DATE(2025,12,31),'2025数据'!$AE$3:$AE$181,$E1272))</f>
        <v>1</v>
      </c>
    </row>
    <row r="1273" ht="24" customHeight="1" spans="1:17">
      <c r="A1273" s="99" t="s">
        <v>348</v>
      </c>
      <c r="B1273" s="99" t="s">
        <v>290</v>
      </c>
      <c r="C1273" s="99" t="s">
        <v>291</v>
      </c>
      <c r="D1273" s="48" t="s">
        <v>31</v>
      </c>
      <c r="E1273" s="48" t="s">
        <v>149</v>
      </c>
      <c r="F1273" s="205">
        <f ca="1">IF($S$1&lt;DATE(2025,1,1)," ",COUNTIFS('2025数据'!$S$3:$S$181,"&gt;="&amp;DATE(2024,1,1),'2025数据'!$S$3:$S$181,"&lt;="&amp;DATE(2025,1,31),'2025数据'!$AE$3:$AE$181,$E1273))</f>
        <v>0</v>
      </c>
      <c r="G1273" s="205">
        <f ca="1">IF($S$1&lt;DATE(2025,2,1)," ",COUNTIFS('2025数据'!$S$3:$S$181,"&gt;="&amp;DATE(2025,2,1),'2025数据'!$S$3:$S$181,"&lt;="&amp;DATE(2025,2,28),'2025数据'!$AE$3:$AE$181,$E1273))</f>
        <v>0</v>
      </c>
      <c r="H1273" s="205">
        <f ca="1">IF($S$1&lt;DATE(2025,3,1)," ",COUNTIFS('2025数据'!$S$3:$S$181,"&gt;="&amp;DATE(2025,3,1),'2025数据'!$S$3:$S$181,"&lt;="&amp;DATE(2025,3,31),'2025数据'!$AE$3:$AE$181,$E1273))</f>
        <v>0</v>
      </c>
      <c r="I1273" s="205">
        <f ca="1">IF($S$1&lt;DATE(2025,4,1)," ",COUNTIFS('2025数据'!$S$3:$S$181,"&gt;="&amp;DATE(2025,4,1),'2025数据'!$S$3:$S$181,"&lt;="&amp;DATE(2025,4,30),'2025数据'!$AE$3:$AE$181,$E1273))</f>
        <v>0</v>
      </c>
      <c r="J1273" s="205">
        <f ca="1">IF($S$1&lt;DATE(2025,5,1)," ",COUNTIFS('2025数据'!$S$3:$S$181,"&gt;="&amp;DATE(2025,5,1),'2025数据'!$S$3:$S$181,"&lt;="&amp;DATE(2025,5,31),'2025数据'!$AE$3:$AE$181,$E1273))</f>
        <v>0</v>
      </c>
      <c r="K1273" s="205">
        <f ca="1">IF($S$1&lt;DATE(2025,6,1)," ",COUNTIFS('2025数据'!$S$3:$S$181,"&gt;="&amp;DATE(2025,6,1),'2025数据'!$S$3:$S$181,"&lt;="&amp;DATE(2025,6,30),'2025数据'!$AE$3:$AE$181,$E1273))</f>
        <v>0</v>
      </c>
      <c r="L1273" s="205">
        <f ca="1">IF($S$1&lt;DATE(2025,7,1)," ",COUNTIFS('2025数据'!$S$3:$S$181,"&gt;="&amp;DATE(2025,7,1),'2025数据'!$S$3:$S$181,"&lt;="&amp;DATE(2025,7,31),'2025数据'!$AE$3:$AE$181,$E1273))</f>
        <v>0</v>
      </c>
      <c r="M1273" s="205">
        <f ca="1">IF($S$1&lt;DATE(2025,8,1)," ",COUNTIFS('2025数据'!$S$3:$S$181,"&gt;="&amp;DATE(2025,8,1),'2025数据'!$S$3:$S$181,"&lt;="&amp;DATE(2025,8,31),'2025数据'!$AE$3:$AE$181,$E1273))</f>
        <v>0</v>
      </c>
      <c r="N1273" s="205">
        <f ca="1">IF($S$1&lt;DATE(2025,9,1)," ",COUNTIFS('2025数据'!$S$3:$S$181,"&gt;="&amp;DATE(2025,9,1),'2025数据'!$S$3:$S$181,"&lt;="&amp;DATE(2025,9,30),'2025数据'!$AE$3:$AE$181,$E1273))</f>
        <v>0</v>
      </c>
      <c r="O1273" s="205">
        <f ca="1">IF($S$1&lt;DATE(2025,10,1)," ",COUNTIFS('2025数据'!$S$3:$S$181,"&gt;="&amp;DATE(2025,10,1),'2025数据'!$S$3:$S$181,"&lt;="&amp;DATE(2025,10,31),'2025数据'!$AE$3:$AE$181,$E1273))</f>
        <v>0</v>
      </c>
      <c r="P1273" s="207">
        <f ca="1">IF($S$1&lt;DATE(2025,11,1)," ",COUNTIFS('2025数据'!$S$3:$S$181,"&gt;="&amp;DATE(2025,11,1),'2025数据'!$S$3:$S$181,"&lt;="&amp;DATE(2025,11,30),'2025数据'!$AE$3:$AE$181,$E1273))</f>
        <v>0</v>
      </c>
      <c r="Q1273" s="207">
        <f ca="1">IF($S$1&lt;DATE(2025,12,1)," ",COUNTIFS('2025数据'!$S$3:$S$181,"&gt;="&amp;DATE(2025,12,1),'2025数据'!$S$3:$S$181,"&lt;="&amp;DATE(2025,12,31),'2025数据'!$AE$3:$AE$181,$E1273))</f>
        <v>0</v>
      </c>
    </row>
    <row r="1274" ht="24" customHeight="1" spans="1:17">
      <c r="A1274" s="99" t="s">
        <v>348</v>
      </c>
      <c r="B1274" s="99" t="s">
        <v>290</v>
      </c>
      <c r="C1274" s="99" t="s">
        <v>291</v>
      </c>
      <c r="D1274" s="48" t="s">
        <v>31</v>
      </c>
      <c r="E1274" s="48" t="s">
        <v>83</v>
      </c>
      <c r="F1274" s="205">
        <f ca="1">IF($S$1&lt;DATE(2025,1,1)," ",COUNTIFS('2025数据'!$S$3:$S$181,"&gt;="&amp;DATE(2024,1,1),'2025数据'!$S$3:$S$181,"&lt;="&amp;DATE(2025,1,31),'2025数据'!$AE$3:$AE$181,$E1274))</f>
        <v>0</v>
      </c>
      <c r="G1274" s="205">
        <f ca="1">IF($S$1&lt;DATE(2025,2,1)," ",COUNTIFS('2025数据'!$S$3:$S$181,"&gt;="&amp;DATE(2025,2,1),'2025数据'!$S$3:$S$181,"&lt;="&amp;DATE(2025,2,28),'2025数据'!$AE$3:$AE$181,$E1274))</f>
        <v>0</v>
      </c>
      <c r="H1274" s="205">
        <f ca="1">IF($S$1&lt;DATE(2025,3,1)," ",COUNTIFS('2025数据'!$S$3:$S$181,"&gt;="&amp;DATE(2025,3,1),'2025数据'!$S$3:$S$181,"&lt;="&amp;DATE(2025,3,31),'2025数据'!$AE$3:$AE$181,$E1274))</f>
        <v>0</v>
      </c>
      <c r="I1274" s="205">
        <f ca="1">IF($S$1&lt;DATE(2025,4,1)," ",COUNTIFS('2025数据'!$S$3:$S$181,"&gt;="&amp;DATE(2025,4,1),'2025数据'!$S$3:$S$181,"&lt;="&amp;DATE(2025,4,30),'2025数据'!$AE$3:$AE$181,$E1274))</f>
        <v>0</v>
      </c>
      <c r="J1274" s="205">
        <f ca="1">IF($S$1&lt;DATE(2025,5,1)," ",COUNTIFS('2025数据'!$S$3:$S$181,"&gt;="&amp;DATE(2025,5,1),'2025数据'!$S$3:$S$181,"&lt;="&amp;DATE(2025,5,31),'2025数据'!$AE$3:$AE$181,$E1274))</f>
        <v>0</v>
      </c>
      <c r="K1274" s="205">
        <f ca="1">IF($S$1&lt;DATE(2025,6,1)," ",COUNTIFS('2025数据'!$S$3:$S$181,"&gt;="&amp;DATE(2025,6,1),'2025数据'!$S$3:$S$181,"&lt;="&amp;DATE(2025,6,30),'2025数据'!$AE$3:$AE$181,$E1274))</f>
        <v>0</v>
      </c>
      <c r="L1274" s="205">
        <f ca="1">IF($S$1&lt;DATE(2025,7,1)," ",COUNTIFS('2025数据'!$S$3:$S$181,"&gt;="&amp;DATE(2025,7,1),'2025数据'!$S$3:$S$181,"&lt;="&amp;DATE(2025,7,31),'2025数据'!$AE$3:$AE$181,$E1274))</f>
        <v>2</v>
      </c>
      <c r="M1274" s="205">
        <f ca="1">IF($S$1&lt;DATE(2025,8,1)," ",COUNTIFS('2025数据'!$S$3:$S$181,"&gt;="&amp;DATE(2025,8,1),'2025数据'!$S$3:$S$181,"&lt;="&amp;DATE(2025,8,31),'2025数据'!$AE$3:$AE$181,$E1274))</f>
        <v>0</v>
      </c>
      <c r="N1274" s="205">
        <f ca="1">IF($S$1&lt;DATE(2025,9,1)," ",COUNTIFS('2025数据'!$S$3:$S$181,"&gt;="&amp;DATE(2025,9,1),'2025数据'!$S$3:$S$181,"&lt;="&amp;DATE(2025,9,30),'2025数据'!$AE$3:$AE$181,$E1274))</f>
        <v>0</v>
      </c>
      <c r="O1274" s="205">
        <f ca="1">IF($S$1&lt;DATE(2025,10,1)," ",COUNTIFS('2025数据'!$S$3:$S$181,"&gt;="&amp;DATE(2025,10,1),'2025数据'!$S$3:$S$181,"&lt;="&amp;DATE(2025,10,31),'2025数据'!$AE$3:$AE$181,$E1274))</f>
        <v>0</v>
      </c>
      <c r="P1274" s="207">
        <f ca="1">IF($S$1&lt;DATE(2025,11,1)," ",COUNTIFS('2025数据'!$S$3:$S$181,"&gt;="&amp;DATE(2025,11,1),'2025数据'!$S$3:$S$181,"&lt;="&amp;DATE(2025,11,30),'2025数据'!$AE$3:$AE$181,$E1274))</f>
        <v>0</v>
      </c>
      <c r="Q1274" s="207">
        <f ca="1">IF($S$1&lt;DATE(2025,12,1)," ",COUNTIFS('2025数据'!$S$3:$S$181,"&gt;="&amp;DATE(2025,12,1),'2025数据'!$S$3:$S$181,"&lt;="&amp;DATE(2025,12,31),'2025数据'!$AE$3:$AE$181,$E1274))</f>
        <v>1</v>
      </c>
    </row>
    <row r="1275" ht="24" customHeight="1" spans="1:17">
      <c r="A1275" s="99" t="s">
        <v>348</v>
      </c>
      <c r="B1275" s="99" t="s">
        <v>290</v>
      </c>
      <c r="C1275" s="99" t="s">
        <v>291</v>
      </c>
      <c r="D1275" s="47" t="s">
        <v>294</v>
      </c>
      <c r="E1275" s="47" t="s">
        <v>93</v>
      </c>
      <c r="F1275" s="206">
        <f ca="1">IF($S$1&lt;DATE(2025,1,1)," ",COUNTIFS('2025数据'!$S$3:$S$181,"&gt;="&amp;DATE(2024,1,1),'2025数据'!$S$3:$S$181,"&lt;="&amp;DATE(2025,1,31),'2025数据'!$B$3:$B$181,$E1275))</f>
        <v>0</v>
      </c>
      <c r="G1275" s="206">
        <f ca="1">IF($S$1&lt;DATE(2025,2,1)," ",COUNTIFS('2025数据'!$S$3:$S$181,"&gt;="&amp;DATE(2025,2,1),'2025数据'!$S$3:$S$181,"&lt;="&amp;DATE(2025,2,28),'2025数据'!$B$3:$B$181,$E1275))</f>
        <v>3</v>
      </c>
      <c r="H1275" s="206">
        <f ca="1">IF($S$1&lt;DATE(2025,3,1)," ",COUNTIFS('2025数据'!$S$3:$S$181,"&gt;="&amp;DATE(2025,3,1),'2025数据'!$S$3:$S$181,"&lt;="&amp;DATE(2025,3,31),'2025数据'!$B$3:$B$181,$E1275))</f>
        <v>1</v>
      </c>
      <c r="I1275" s="206">
        <f ca="1">IF($S$1&lt;DATE(2025,4,1)," ",COUNTIFS('2025数据'!$S$3:$S$181,"&gt;="&amp;DATE(2025,4,1),'2025数据'!$S$3:$S$181,"&lt;="&amp;DATE(2025,4,30),'2025数据'!$B$3:$B$181,$E1275))</f>
        <v>3</v>
      </c>
      <c r="J1275" s="206">
        <f ca="1">IF($S$1&lt;DATE(2025,5,1)," ",COUNTIFS('2025数据'!$S$3:$S$181,"&gt;="&amp;DATE(2025,5,1),'2025数据'!$S$3:$S$181,"&lt;="&amp;DATE(2025,5,31),'2025数据'!$B$3:$B$181,$E1275))</f>
        <v>4</v>
      </c>
      <c r="K1275" s="206">
        <f ca="1">IF($S$1&lt;DATE(2025,6,1)," ",COUNTIFS('2025数据'!$S$3:$S$181,"&gt;="&amp;DATE(2025,6,1),'2025数据'!$S$3:$S$181,"&lt;="&amp;DATE(2025,6,30),'2025数据'!$B$3:$B$181,$E1275))</f>
        <v>2</v>
      </c>
      <c r="L1275" s="206">
        <f ca="1">IF($S$1&lt;DATE(2025,7,1)," ",COUNTIFS('2025数据'!$S$3:$S$181,"&gt;="&amp;DATE(2025,7,1),'2025数据'!$S$3:$S$181,"&lt;="&amp;DATE(2025,7,31),'2025数据'!$B$3:$B$181,$E1275))</f>
        <v>2</v>
      </c>
      <c r="M1275" s="206">
        <f ca="1">IF($S$1&lt;DATE(2025,8,1)," ",COUNTIFS('2025数据'!$S$3:$S$181,"&gt;="&amp;DATE(2025,8,1),'2025数据'!$S$3:$S$181,"&lt;="&amp;DATE(2025,8,31),'2025数据'!$B$3:$B$181,$E1275))</f>
        <v>2</v>
      </c>
      <c r="N1275" s="206">
        <f ca="1">IF($S$1&lt;DATE(2025,9,1)," ",COUNTIFS('2025数据'!$S$3:$S$181,"&gt;="&amp;DATE(2025,9,1),'2025数据'!$S$3:$S$181,"&lt;="&amp;DATE(2025,9,30),'2025数据'!$B$3:$B$181,$E1275))</f>
        <v>2</v>
      </c>
      <c r="O1275" s="206">
        <f ca="1">IF($S$1&lt;DATE(2025,10,1)," ",COUNTIFS('2025数据'!$S$3:$S$181,"&gt;="&amp;DATE(2025,10,1),'2025数据'!$S$3:$S$181,"&lt;="&amp;DATE(2025,10,31),'2025数据'!$B$3:$B$181,$E1275))</f>
        <v>0</v>
      </c>
      <c r="P1275" s="208">
        <f ca="1">IF($S$1&lt;DATE(2025,11,1)," ",COUNTIFS('2025数据'!$S$3:$S$181,"&gt;="&amp;DATE(2025,11,1),'2025数据'!$S$3:$S$181,"&lt;="&amp;DATE(2025,11,30),'2025数据'!$B$3:$B$181,$E1275))</f>
        <v>1</v>
      </c>
      <c r="Q1275" s="208">
        <f ca="1">IF($S$1&lt;DATE(2025,12,1)," ",COUNTIFS('2025数据'!$S$3:$S$181,"&gt;="&amp;DATE(2025,12,1),'2025数据'!$S$3:$S$181,"&lt;="&amp;DATE(2025,12,31),'2025数据'!$B$3:$B$181,$E1275))</f>
        <v>5</v>
      </c>
    </row>
    <row r="1276" ht="24" customHeight="1" spans="1:17">
      <c r="A1276" s="99" t="s">
        <v>348</v>
      </c>
      <c r="B1276" s="99" t="s">
        <v>290</v>
      </c>
      <c r="C1276" s="99" t="s">
        <v>291</v>
      </c>
      <c r="D1276" s="47" t="s">
        <v>294</v>
      </c>
      <c r="E1276" s="47" t="s">
        <v>85</v>
      </c>
      <c r="F1276" s="206">
        <f ca="1">IF($S$1&lt;DATE(2025,1,1)," ",COUNTIFS('2025数据'!$S$3:$S$181,"&gt;="&amp;DATE(2024,1,1),'2025数据'!$S$3:$S$181,"&lt;="&amp;DATE(2025,1,31),'2025数据'!$B$3:$B$181,$E1276))</f>
        <v>2</v>
      </c>
      <c r="G1276" s="206">
        <f ca="1">IF($S$1&lt;DATE(2025,2,1)," ",COUNTIFS('2025数据'!$S$3:$S$181,"&gt;="&amp;DATE(2025,2,1),'2025数据'!$S$3:$S$181,"&lt;="&amp;DATE(2025,2,28),'2025数据'!$B$3:$B$181,$E1276))</f>
        <v>0</v>
      </c>
      <c r="H1276" s="206">
        <f ca="1">IF($S$1&lt;DATE(2025,3,1)," ",COUNTIFS('2025数据'!$S$3:$S$181,"&gt;="&amp;DATE(2025,3,1),'2025数据'!$S$3:$S$181,"&lt;="&amp;DATE(2025,3,31),'2025数据'!$B$3:$B$181,$E1276))</f>
        <v>0</v>
      </c>
      <c r="I1276" s="206">
        <f ca="1">IF($S$1&lt;DATE(2025,4,1)," ",COUNTIFS('2025数据'!$S$3:$S$181,"&gt;="&amp;DATE(2025,4,1),'2025数据'!$S$3:$S$181,"&lt;="&amp;DATE(2025,4,30),'2025数据'!$B$3:$B$181,$E1276))</f>
        <v>1</v>
      </c>
      <c r="J1276" s="206">
        <f ca="1">IF($S$1&lt;DATE(2025,5,1)," ",COUNTIFS('2025数据'!$S$3:$S$181,"&gt;="&amp;DATE(2025,5,1),'2025数据'!$S$3:$S$181,"&lt;="&amp;DATE(2025,5,31),'2025数据'!$B$3:$B$181,$E1276))</f>
        <v>1</v>
      </c>
      <c r="K1276" s="206">
        <f ca="1">IF($S$1&lt;DATE(2025,6,1)," ",COUNTIFS('2025数据'!$S$3:$S$181,"&gt;="&amp;DATE(2025,6,1),'2025数据'!$S$3:$S$181,"&lt;="&amp;DATE(2025,6,30),'2025数据'!$B$3:$B$181,$E1276))</f>
        <v>1</v>
      </c>
      <c r="L1276" s="206">
        <f ca="1">IF($S$1&lt;DATE(2025,7,1)," ",COUNTIFS('2025数据'!$S$3:$S$181,"&gt;="&amp;DATE(2025,7,1),'2025数据'!$S$3:$S$181,"&lt;="&amp;DATE(2025,7,31),'2025数据'!$B$3:$B$181,$E1276))</f>
        <v>1</v>
      </c>
      <c r="M1276" s="206">
        <f ca="1">IF($S$1&lt;DATE(2025,8,1)," ",COUNTIFS('2025数据'!$S$3:$S$181,"&gt;="&amp;DATE(2025,8,1),'2025数据'!$S$3:$S$181,"&lt;="&amp;DATE(2025,8,31),'2025数据'!$B$3:$B$181,$E1276))</f>
        <v>1</v>
      </c>
      <c r="N1276" s="206">
        <f ca="1">IF($S$1&lt;DATE(2025,9,1)," ",COUNTIFS('2025数据'!$S$3:$S$181,"&gt;="&amp;DATE(2025,9,1),'2025数据'!$S$3:$S$181,"&lt;="&amp;DATE(2025,9,30),'2025数据'!$B$3:$B$181,$E1276))</f>
        <v>2</v>
      </c>
      <c r="O1276" s="206">
        <f ca="1">IF($S$1&lt;DATE(2025,10,1)," ",COUNTIFS('2025数据'!$S$3:$S$181,"&gt;="&amp;DATE(2025,10,1),'2025数据'!$S$3:$S$181,"&lt;="&amp;DATE(2025,10,31),'2025数据'!$B$3:$B$181,$E1276))</f>
        <v>2</v>
      </c>
      <c r="P1276" s="208">
        <f ca="1">IF($S$1&lt;DATE(2025,11,1)," ",COUNTIFS('2025数据'!$S$3:$S$181,"&gt;="&amp;DATE(2025,11,1),'2025数据'!$S$3:$S$181,"&lt;="&amp;DATE(2025,11,30),'2025数据'!$B$3:$B$181,$E1276))</f>
        <v>3</v>
      </c>
      <c r="Q1276" s="208">
        <f ca="1">IF($S$1&lt;DATE(2025,12,1)," ",COUNTIFS('2025数据'!$S$3:$S$181,"&gt;="&amp;DATE(2025,12,1),'2025数据'!$S$3:$S$181,"&lt;="&amp;DATE(2025,12,31),'2025数据'!$B$3:$B$181,$E1276))</f>
        <v>1</v>
      </c>
    </row>
    <row r="1277" ht="24" customHeight="1" spans="1:17">
      <c r="A1277" s="99" t="s">
        <v>348</v>
      </c>
      <c r="B1277" s="99" t="s">
        <v>290</v>
      </c>
      <c r="C1277" s="99" t="s">
        <v>291</v>
      </c>
      <c r="D1277" s="47" t="s">
        <v>294</v>
      </c>
      <c r="E1277" s="47" t="s">
        <v>81</v>
      </c>
      <c r="F1277" s="206">
        <f ca="1">IF($S$1&lt;DATE(2025,1,1)," ",COUNTIFS('2025数据'!$S$3:$S$181,"&gt;="&amp;DATE(2024,1,1),'2025数据'!$S$3:$S$181,"&lt;="&amp;DATE(2025,1,31),'2025数据'!$B$3:$B$181,$E1277))</f>
        <v>2</v>
      </c>
      <c r="G1277" s="206">
        <f ca="1">IF($S$1&lt;DATE(2025,2,1)," ",COUNTIFS('2025数据'!$S$3:$S$181,"&gt;="&amp;DATE(2025,2,1),'2025数据'!$S$3:$S$181,"&lt;="&amp;DATE(2025,2,28),'2025数据'!$B$3:$B$181,$E1277))</f>
        <v>0</v>
      </c>
      <c r="H1277" s="206">
        <f ca="1">IF($S$1&lt;DATE(2025,3,1)," ",COUNTIFS('2025数据'!$S$3:$S$181,"&gt;="&amp;DATE(2025,3,1),'2025数据'!$S$3:$S$181,"&lt;="&amp;DATE(2025,3,31),'2025数据'!$B$3:$B$181,$E1277))</f>
        <v>0</v>
      </c>
      <c r="I1277" s="206">
        <f ca="1">IF($S$1&lt;DATE(2025,4,1)," ",COUNTIFS('2025数据'!$S$3:$S$181,"&gt;="&amp;DATE(2025,4,1),'2025数据'!$S$3:$S$181,"&lt;="&amp;DATE(2025,4,30),'2025数据'!$B$3:$B$181,$E1277))</f>
        <v>0</v>
      </c>
      <c r="J1277" s="206">
        <f ca="1">IF($S$1&lt;DATE(2025,5,1)," ",COUNTIFS('2025数据'!$S$3:$S$181,"&gt;="&amp;DATE(2025,5,1),'2025数据'!$S$3:$S$181,"&lt;="&amp;DATE(2025,5,31),'2025数据'!$B$3:$B$181,$E1277))</f>
        <v>0</v>
      </c>
      <c r="K1277" s="206">
        <f ca="1">IF($S$1&lt;DATE(2025,6,1)," ",COUNTIFS('2025数据'!$S$3:$S$181,"&gt;="&amp;DATE(2025,6,1),'2025数据'!$S$3:$S$181,"&lt;="&amp;DATE(2025,6,30),'2025数据'!$B$3:$B$181,$E1277))</f>
        <v>2</v>
      </c>
      <c r="L1277" s="206">
        <f ca="1">IF($S$1&lt;DATE(2025,7,1)," ",COUNTIFS('2025数据'!$S$3:$S$181,"&gt;="&amp;DATE(2025,7,1),'2025数据'!$S$3:$S$181,"&lt;="&amp;DATE(2025,7,31),'2025数据'!$B$3:$B$181,$E1277))</f>
        <v>0</v>
      </c>
      <c r="M1277" s="206">
        <f ca="1">IF($S$1&lt;DATE(2025,8,1)," ",COUNTIFS('2025数据'!$S$3:$S$181,"&gt;="&amp;DATE(2025,8,1),'2025数据'!$S$3:$S$181,"&lt;="&amp;DATE(2025,8,31),'2025数据'!$B$3:$B$181,$E1277))</f>
        <v>2</v>
      </c>
      <c r="N1277" s="206">
        <f ca="1">IF($S$1&lt;DATE(2025,9,1)," ",COUNTIFS('2025数据'!$S$3:$S$181,"&gt;="&amp;DATE(2025,9,1),'2025数据'!$S$3:$S$181,"&lt;="&amp;DATE(2025,9,30),'2025数据'!$B$3:$B$181,$E1277))</f>
        <v>3</v>
      </c>
      <c r="O1277" s="206">
        <f ca="1">IF($S$1&lt;DATE(2025,10,1)," ",COUNTIFS('2025数据'!$S$3:$S$181,"&gt;="&amp;DATE(2025,10,1),'2025数据'!$S$3:$S$181,"&lt;="&amp;DATE(2025,10,31),'2025数据'!$B$3:$B$181,$E1277))</f>
        <v>0</v>
      </c>
      <c r="P1277" s="208">
        <f ca="1">IF($S$1&lt;DATE(2025,11,1)," ",COUNTIFS('2025数据'!$S$3:$S$181,"&gt;="&amp;DATE(2025,11,1),'2025数据'!$S$3:$S$181,"&lt;="&amp;DATE(2025,11,30),'2025数据'!$B$3:$B$181,$E1277))</f>
        <v>0</v>
      </c>
      <c r="Q1277" s="208">
        <f ca="1">IF($S$1&lt;DATE(2025,12,1)," ",COUNTIFS('2025数据'!$S$3:$S$181,"&gt;="&amp;DATE(2025,12,1),'2025数据'!$S$3:$S$181,"&lt;="&amp;DATE(2025,12,31),'2025数据'!$B$3:$B$181,$E1277))</f>
        <v>0</v>
      </c>
    </row>
    <row r="1278" ht="24" customHeight="1" spans="1:17">
      <c r="A1278" s="99" t="s">
        <v>348</v>
      </c>
      <c r="B1278" s="99" t="s">
        <v>290</v>
      </c>
      <c r="C1278" s="99" t="s">
        <v>291</v>
      </c>
      <c r="D1278" s="47" t="s">
        <v>294</v>
      </c>
      <c r="E1278" s="47" t="s">
        <v>96</v>
      </c>
      <c r="F1278" s="206">
        <f ca="1">IF($S$1&lt;DATE(2025,1,1)," ",COUNTIFS('2025数据'!$S$3:$S$181,"&gt;="&amp;DATE(2024,1,1),'2025数据'!$S$3:$S$181,"&lt;="&amp;DATE(2025,1,31),'2025数据'!$B$3:$B$181,$E1278))</f>
        <v>1</v>
      </c>
      <c r="G1278" s="206">
        <f ca="1">IF($S$1&lt;DATE(2025,2,1)," ",COUNTIFS('2025数据'!$S$3:$S$181,"&gt;="&amp;DATE(2025,2,1),'2025数据'!$S$3:$S$181,"&lt;="&amp;DATE(2025,2,28),'2025数据'!$B$3:$B$181,$E1278))</f>
        <v>0</v>
      </c>
      <c r="H1278" s="206">
        <f ca="1">IF($S$1&lt;DATE(2025,3,1)," ",COUNTIFS('2025数据'!$S$3:$S$181,"&gt;="&amp;DATE(2025,3,1),'2025数据'!$S$3:$S$181,"&lt;="&amp;DATE(2025,3,31),'2025数据'!$B$3:$B$181,$E1278))</f>
        <v>1</v>
      </c>
      <c r="I1278" s="206">
        <f ca="1">IF($S$1&lt;DATE(2025,4,1)," ",COUNTIFS('2025数据'!$S$3:$S$181,"&gt;="&amp;DATE(2025,4,1),'2025数据'!$S$3:$S$181,"&lt;="&amp;DATE(2025,4,30),'2025数据'!$B$3:$B$181,$E1278))</f>
        <v>0</v>
      </c>
      <c r="J1278" s="206">
        <f ca="1">IF($S$1&lt;DATE(2025,5,1)," ",COUNTIFS('2025数据'!$S$3:$S$181,"&gt;="&amp;DATE(2025,5,1),'2025数据'!$S$3:$S$181,"&lt;="&amp;DATE(2025,5,31),'2025数据'!$B$3:$B$181,$E1278))</f>
        <v>0</v>
      </c>
      <c r="K1278" s="206">
        <f ca="1">IF($S$1&lt;DATE(2025,6,1)," ",COUNTIFS('2025数据'!$S$3:$S$181,"&gt;="&amp;DATE(2025,6,1),'2025数据'!$S$3:$S$181,"&lt;="&amp;DATE(2025,6,30),'2025数据'!$B$3:$B$181,$E1278))</f>
        <v>0</v>
      </c>
      <c r="L1278" s="206">
        <f ca="1">IF($S$1&lt;DATE(2025,7,1)," ",COUNTIFS('2025数据'!$S$3:$S$181,"&gt;="&amp;DATE(2025,7,1),'2025数据'!$S$3:$S$181,"&lt;="&amp;DATE(2025,7,31),'2025数据'!$B$3:$B$181,$E1278))</f>
        <v>1</v>
      </c>
      <c r="M1278" s="206">
        <f ca="1">IF($S$1&lt;DATE(2025,8,1)," ",COUNTIFS('2025数据'!$S$3:$S$181,"&gt;="&amp;DATE(2025,8,1),'2025数据'!$S$3:$S$181,"&lt;="&amp;DATE(2025,8,31),'2025数据'!$B$3:$B$181,$E1278))</f>
        <v>0</v>
      </c>
      <c r="N1278" s="206">
        <f ca="1">IF($S$1&lt;DATE(2025,9,1)," ",COUNTIFS('2025数据'!$S$3:$S$181,"&gt;="&amp;DATE(2025,9,1),'2025数据'!$S$3:$S$181,"&lt;="&amp;DATE(2025,9,30),'2025数据'!$B$3:$B$181,$E1278))</f>
        <v>0</v>
      </c>
      <c r="O1278" s="206">
        <f ca="1">IF($S$1&lt;DATE(2025,10,1)," ",COUNTIFS('2025数据'!$S$3:$S$181,"&gt;="&amp;DATE(2025,10,1),'2025数据'!$S$3:$S$181,"&lt;="&amp;DATE(2025,10,31),'2025数据'!$B$3:$B$181,$E1278))</f>
        <v>1</v>
      </c>
      <c r="P1278" s="208">
        <f ca="1">IF($S$1&lt;DATE(2025,11,1)," ",COUNTIFS('2025数据'!$S$3:$S$181,"&gt;="&amp;DATE(2025,11,1),'2025数据'!$S$3:$S$181,"&lt;="&amp;DATE(2025,11,30),'2025数据'!$B$3:$B$181,$E1278))</f>
        <v>0</v>
      </c>
      <c r="Q1278" s="208">
        <f ca="1">IF($S$1&lt;DATE(2025,12,1)," ",COUNTIFS('2025数据'!$S$3:$S$181,"&gt;="&amp;DATE(2025,12,1),'2025数据'!$S$3:$S$181,"&lt;="&amp;DATE(2025,12,31),'2025数据'!$B$3:$B$181,$E1278))</f>
        <v>0</v>
      </c>
    </row>
    <row r="1279" ht="24" customHeight="1" spans="1:17">
      <c r="A1279" s="99" t="s">
        <v>348</v>
      </c>
      <c r="B1279" s="99" t="s">
        <v>290</v>
      </c>
      <c r="C1279" s="99" t="s">
        <v>291</v>
      </c>
      <c r="D1279" s="47" t="s">
        <v>294</v>
      </c>
      <c r="E1279" s="47" t="s">
        <v>160</v>
      </c>
      <c r="F1279" s="206">
        <f ca="1">IF($S$1&lt;DATE(2025,1,1)," ",COUNTIFS('2025数据'!$S$3:$S$181,"&gt;="&amp;DATE(2024,1,1),'2025数据'!$S$3:$S$181,"&lt;="&amp;DATE(2025,1,31),'2025数据'!$B$3:$B$181,$E1279))</f>
        <v>0</v>
      </c>
      <c r="G1279" s="206">
        <f ca="1">IF($S$1&lt;DATE(2025,2,1)," ",COUNTIFS('2025数据'!$S$3:$S$181,"&gt;="&amp;DATE(2025,2,1),'2025数据'!$S$3:$S$181,"&lt;="&amp;DATE(2025,2,28),'2025数据'!$B$3:$B$181,$E1279))</f>
        <v>0</v>
      </c>
      <c r="H1279" s="206">
        <f ca="1">IF($S$1&lt;DATE(2025,3,1)," ",COUNTIFS('2025数据'!$S$3:$S$181,"&gt;="&amp;DATE(2025,3,1),'2025数据'!$S$3:$S$181,"&lt;="&amp;DATE(2025,3,31),'2025数据'!$B$3:$B$181,$E1279))</f>
        <v>0</v>
      </c>
      <c r="I1279" s="206">
        <f ca="1">IF($S$1&lt;DATE(2025,4,1)," ",COUNTIFS('2025数据'!$S$3:$S$181,"&gt;="&amp;DATE(2025,4,1),'2025数据'!$S$3:$S$181,"&lt;="&amp;DATE(2025,4,30),'2025数据'!$B$3:$B$181,$E1279))</f>
        <v>0</v>
      </c>
      <c r="J1279" s="206">
        <f ca="1">IF($S$1&lt;DATE(2025,5,1)," ",COUNTIFS('2025数据'!$S$3:$S$181,"&gt;="&amp;DATE(2025,5,1),'2025数据'!$S$3:$S$181,"&lt;="&amp;DATE(2025,5,31),'2025数据'!$B$3:$B$181,$E1279))</f>
        <v>0</v>
      </c>
      <c r="K1279" s="206">
        <f ca="1">IF($S$1&lt;DATE(2025,6,1)," ",COUNTIFS('2025数据'!$S$3:$S$181,"&gt;="&amp;DATE(2025,6,1),'2025数据'!$S$3:$S$181,"&lt;="&amp;DATE(2025,6,30),'2025数据'!$B$3:$B$181,$E1279))</f>
        <v>0</v>
      </c>
      <c r="L1279" s="206">
        <f ca="1">IF($S$1&lt;DATE(2025,7,1)," ",COUNTIFS('2025数据'!$S$3:$S$181,"&gt;="&amp;DATE(2025,7,1),'2025数据'!$S$3:$S$181,"&lt;="&amp;DATE(2025,7,31),'2025数据'!$B$3:$B$181,$E1279))</f>
        <v>1</v>
      </c>
      <c r="M1279" s="206">
        <f ca="1">IF($S$1&lt;DATE(2025,8,1)," ",COUNTIFS('2025数据'!$S$3:$S$181,"&gt;="&amp;DATE(2025,8,1),'2025数据'!$S$3:$S$181,"&lt;="&amp;DATE(2025,8,31),'2025数据'!$B$3:$B$181,$E1279))</f>
        <v>0</v>
      </c>
      <c r="N1279" s="206">
        <f ca="1">IF($S$1&lt;DATE(2025,9,1)," ",COUNTIFS('2025数据'!$S$3:$S$181,"&gt;="&amp;DATE(2025,9,1),'2025数据'!$S$3:$S$181,"&lt;="&amp;DATE(2025,9,30),'2025数据'!$B$3:$B$181,$E1279))</f>
        <v>0</v>
      </c>
      <c r="O1279" s="206">
        <f ca="1">IF($S$1&lt;DATE(2025,10,1)," ",COUNTIFS('2025数据'!$S$3:$S$181,"&gt;="&amp;DATE(2025,10,1),'2025数据'!$S$3:$S$181,"&lt;="&amp;DATE(2025,10,31),'2025数据'!$B$3:$B$181,$E1279))</f>
        <v>0</v>
      </c>
      <c r="P1279" s="208">
        <f ca="1">IF($S$1&lt;DATE(2025,11,1)," ",COUNTIFS('2025数据'!$S$3:$S$181,"&gt;="&amp;DATE(2025,11,1),'2025数据'!$S$3:$S$181,"&lt;="&amp;DATE(2025,11,30),'2025数据'!$B$3:$B$181,$E1279))</f>
        <v>0</v>
      </c>
      <c r="Q1279" s="208">
        <f ca="1">IF($S$1&lt;DATE(2025,12,1)," ",COUNTIFS('2025数据'!$S$3:$S$181,"&gt;="&amp;DATE(2025,12,1),'2025数据'!$S$3:$S$181,"&lt;="&amp;DATE(2025,12,31),'2025数据'!$B$3:$B$181,$E1279))</f>
        <v>0</v>
      </c>
    </row>
    <row r="1280" ht="24" customHeight="1" spans="1:17">
      <c r="A1280" s="99" t="s">
        <v>348</v>
      </c>
      <c r="B1280" s="99" t="s">
        <v>290</v>
      </c>
      <c r="C1280" s="99" t="s">
        <v>291</v>
      </c>
      <c r="D1280" s="100" t="s">
        <v>292</v>
      </c>
      <c r="E1280" s="100" t="s">
        <v>295</v>
      </c>
      <c r="F1280" s="204">
        <f ca="1">IF($S$1&lt;DATE(2025,1,1)," ",SUM(F1281:F1283))</f>
        <v>5</v>
      </c>
      <c r="G1280" s="204">
        <f ca="1">IF($S$1&lt;DATE(2025,2,1)," ",SUM(G1281:G1283))</f>
        <v>3</v>
      </c>
      <c r="H1280" s="204">
        <f ca="1">IF($S$1&lt;DATE(2025,3,1)," ",SUM(H1281:H1283))</f>
        <v>1</v>
      </c>
      <c r="I1280" s="204">
        <f ca="1">IF($S$1&lt;DATE(2025,4,1)," ",SUM(I1281:I1283))</f>
        <v>4</v>
      </c>
      <c r="J1280" s="204">
        <f ca="1">IF($S$1&lt;DATE(2025,5,1)," ",SUM(J1281:J1283))</f>
        <v>5</v>
      </c>
      <c r="K1280" s="204">
        <f ca="1">IF($S$1&lt;DATE(2025,6,1)," ",SUM(K1281:K1283))</f>
        <v>4</v>
      </c>
      <c r="L1280" s="204">
        <f ca="1">IF($S$1&lt;DATE(2025,7,1)," ",SUM(L1281:L1283))</f>
        <v>4</v>
      </c>
      <c r="M1280" s="204">
        <f ca="1">IF($S$1&lt;DATE(2025,8,1)," ",SUM(M1281:M1283))</f>
        <v>5</v>
      </c>
      <c r="N1280" s="204">
        <f ca="1">IF($S$1&lt;DATE(2025,9,1)," ",SUM(N1281:N1283))</f>
        <v>7</v>
      </c>
      <c r="O1280" s="204">
        <f ca="1">IF($S$1&lt;DATE(2025,10,1)," ",SUM(O1281:O1283))</f>
        <v>3</v>
      </c>
      <c r="P1280" s="204">
        <f ca="1">IF($S$1&lt;DATE(2025,11,1)," ",SUM(P1281:P1283))</f>
        <v>4</v>
      </c>
      <c r="Q1280" s="204">
        <f ca="1">IF($S$1&lt;DATE(2025,12,1)," ",SUM(Q1281:Q1283))</f>
        <v>6</v>
      </c>
    </row>
    <row r="1281" ht="24" customHeight="1" spans="1:17">
      <c r="A1281" s="99" t="s">
        <v>348</v>
      </c>
      <c r="B1281" s="99" t="s">
        <v>290</v>
      </c>
      <c r="C1281" s="99" t="s">
        <v>291</v>
      </c>
      <c r="D1281" s="48" t="s">
        <v>296</v>
      </c>
      <c r="E1281" s="48" t="s">
        <v>90</v>
      </c>
      <c r="F1281" s="205">
        <f ca="1">IF($S$1&lt;DATE(2025,1,1)," ",COUNTIFS('2025数据'!$S$3:$S$181,"&gt;="&amp;DATE(2024,1,1),'2025数据'!$S$3:$S$181,"&lt;="&amp;DATE(2025,1,31),'2025数据'!$AF$3:$AF$181,$E1281))</f>
        <v>1</v>
      </c>
      <c r="G1281" s="205">
        <f ca="1">IF($S$1&lt;DATE(2025,2,1)," ",COUNTIFS('2025数据'!$S$3:$S$181,"&gt;="&amp;DATE(2025,2,1),'2025数据'!$S$3:$S$181,"&lt;="&amp;DATE(2025,2,28),'2025数据'!$AF$3:$AF$181,$E1281))</f>
        <v>2</v>
      </c>
      <c r="H1281" s="205">
        <f ca="1">IF($S$1&lt;DATE(2025,3,1)," ",COUNTIFS('2025数据'!$S$3:$S$181,"&gt;="&amp;DATE(2025,3,1),'2025数据'!$S$3:$S$181,"&lt;="&amp;DATE(2025,3,31),'2025数据'!$AF$3:$AF$181,$E1281))</f>
        <v>0</v>
      </c>
      <c r="I1281" s="205">
        <f ca="1">IF($S$1&lt;DATE(2025,4,1)," ",COUNTIFS('2025数据'!$S$3:$S$181,"&gt;="&amp;DATE(2025,4,1),'2025数据'!$S$3:$S$181,"&lt;="&amp;DATE(2025,4,30),'2025数据'!$AF$3:$AF$181,$E1281))</f>
        <v>0</v>
      </c>
      <c r="J1281" s="205">
        <f ca="1">IF($S$1&lt;DATE(2025,5,1)," ",COUNTIFS('2025数据'!$S$3:$S$181,"&gt;="&amp;DATE(2025,5,1),'2025数据'!$S$3:$S$181,"&lt;="&amp;DATE(2025,5,31),'2025数据'!$AF$3:$AF$181,$E1281))</f>
        <v>1</v>
      </c>
      <c r="K1281" s="205">
        <f ca="1">IF($S$1&lt;DATE(2025,6,1)," ",COUNTIFS('2025数据'!$S$3:$S$181,"&gt;="&amp;DATE(2025,6,1),'2025数据'!$S$3:$S$181,"&lt;="&amp;DATE(2025,6,30),'2025数据'!$AF$3:$AF$181,$E1281))</f>
        <v>1</v>
      </c>
      <c r="L1281" s="205">
        <f ca="1">IF($S$1&lt;DATE(2025,7,1)," ",COUNTIFS('2025数据'!$S$3:$S$181,"&gt;="&amp;DATE(2025,7,1),'2025数据'!$S$3:$S$181,"&lt;="&amp;DATE(2025,7,31),'2025数据'!$AF$3:$AF$181,$E1281))</f>
        <v>1</v>
      </c>
      <c r="M1281" s="205">
        <f ca="1">IF($S$1&lt;DATE(2025,8,1)," ",COUNTIFS('2025数据'!$S$3:$S$181,"&gt;="&amp;DATE(2025,8,1),'2025数据'!$S$3:$S$181,"&lt;="&amp;DATE(2025,8,31),'2025数据'!$AF$3:$AF$181,$E1281))</f>
        <v>2</v>
      </c>
      <c r="N1281" s="205">
        <f ca="1">IF($S$1&lt;DATE(2025,9,1)," ",COUNTIFS('2025数据'!$S$3:$S$181,"&gt;="&amp;DATE(2025,9,1),'2025数据'!$S$3:$S$181,"&lt;="&amp;DATE(2025,9,30),'2025数据'!$AF$3:$AF$181,$E1281))</f>
        <v>2</v>
      </c>
      <c r="O1281" s="205">
        <f ca="1">IF($S$1&lt;DATE(2025,10,1)," ",COUNTIFS('2025数据'!$S$3:$S$181,"&gt;="&amp;DATE(2025,10,1),'2025数据'!$S$3:$S$181,"&lt;="&amp;DATE(2025,10,31),'2025数据'!$AF$3:$AF$181,$E1281))</f>
        <v>2</v>
      </c>
      <c r="P1281" s="207">
        <f ca="1">IF($S$1&lt;DATE(2025,11,1)," ",COUNTIFS('2025数据'!$S$3:$S$181,"&gt;="&amp;DATE(2025,11,1),'2025数据'!$S$3:$S$181,"&lt;="&amp;DATE(2025,11,30),'2025数据'!$AF$3:$AF$181,$E1281))</f>
        <v>1</v>
      </c>
      <c r="Q1281" s="207">
        <f ca="1">IF($S$1&lt;DATE(2025,12,1)," ",COUNTIFS('2025数据'!$S$3:$S$181,"&gt;="&amp;DATE(2025,12,1),'2025数据'!$S$3:$S$181,"&lt;="&amp;DATE(2025,12,31),'2025数据'!$AF$3:$AF$181,$E1281))</f>
        <v>3</v>
      </c>
    </row>
    <row r="1282" ht="24" customHeight="1" spans="1:17">
      <c r="A1282" s="99" t="s">
        <v>348</v>
      </c>
      <c r="B1282" s="99" t="s">
        <v>290</v>
      </c>
      <c r="C1282" s="99" t="s">
        <v>291</v>
      </c>
      <c r="D1282" s="48" t="s">
        <v>296</v>
      </c>
      <c r="E1282" s="48" t="s">
        <v>82</v>
      </c>
      <c r="F1282" s="205">
        <f ca="1">IF($S$1&lt;DATE(2025,1,1)," ",COUNTIFS('2025数据'!$S$3:$S$181,"&gt;="&amp;DATE(2024,1,1),'2025数据'!$S$3:$S$181,"&lt;="&amp;DATE(2025,1,31),'2025数据'!$AF$3:$AF$181,$E1282))</f>
        <v>0</v>
      </c>
      <c r="G1282" s="205">
        <f ca="1">IF($S$1&lt;DATE(2025,2,1)," ",COUNTIFS('2025数据'!$S$3:$S$181,"&gt;="&amp;DATE(2025,2,1),'2025数据'!$S$3:$S$181,"&lt;="&amp;DATE(2025,2,28),'2025数据'!$AF$3:$AF$181,$E1282))</f>
        <v>0</v>
      </c>
      <c r="H1282" s="205">
        <f ca="1">IF($S$1&lt;DATE(2025,3,1)," ",COUNTIFS('2025数据'!$S$3:$S$181,"&gt;="&amp;DATE(2025,3,1),'2025数据'!$S$3:$S$181,"&lt;="&amp;DATE(2025,3,31),'2025数据'!$AF$3:$AF$181,$E1282))</f>
        <v>1</v>
      </c>
      <c r="I1282" s="205">
        <f ca="1">IF($S$1&lt;DATE(2025,4,1)," ",COUNTIFS('2025数据'!$S$3:$S$181,"&gt;="&amp;DATE(2025,4,1),'2025数据'!$S$3:$S$181,"&lt;="&amp;DATE(2025,4,30),'2025数据'!$AF$3:$AF$181,$E1282))</f>
        <v>3</v>
      </c>
      <c r="J1282" s="205">
        <f ca="1">IF($S$1&lt;DATE(2025,5,1)," ",COUNTIFS('2025数据'!$S$3:$S$181,"&gt;="&amp;DATE(2025,5,1),'2025数据'!$S$3:$S$181,"&lt;="&amp;DATE(2025,5,31),'2025数据'!$AF$3:$AF$181,$E1282))</f>
        <v>1</v>
      </c>
      <c r="K1282" s="205">
        <f ca="1">IF($S$1&lt;DATE(2025,6,1)," ",COUNTIFS('2025数据'!$S$3:$S$181,"&gt;="&amp;DATE(2025,6,1),'2025数据'!$S$3:$S$181,"&lt;="&amp;DATE(2025,6,30),'2025数据'!$AF$3:$AF$181,$E1282))</f>
        <v>2</v>
      </c>
      <c r="L1282" s="205">
        <f ca="1">IF($S$1&lt;DATE(2025,7,1)," ",COUNTIFS('2025数据'!$S$3:$S$181,"&gt;="&amp;DATE(2025,7,1),'2025数据'!$S$3:$S$181,"&lt;="&amp;DATE(2025,7,31),'2025数据'!$AF$3:$AF$181,$E1282))</f>
        <v>2</v>
      </c>
      <c r="M1282" s="205">
        <f ca="1">IF($S$1&lt;DATE(2025,8,1)," ",COUNTIFS('2025数据'!$S$3:$S$181,"&gt;="&amp;DATE(2025,8,1),'2025数据'!$S$3:$S$181,"&lt;="&amp;DATE(2025,8,31),'2025数据'!$AF$3:$AF$181,$E1282))</f>
        <v>0</v>
      </c>
      <c r="N1282" s="205">
        <f ca="1">IF($S$1&lt;DATE(2025,9,1)," ",COUNTIFS('2025数据'!$S$3:$S$181,"&gt;="&amp;DATE(2025,9,1),'2025数据'!$S$3:$S$181,"&lt;="&amp;DATE(2025,9,30),'2025数据'!$AF$3:$AF$181,$E1282))</f>
        <v>3</v>
      </c>
      <c r="O1282" s="205">
        <f ca="1">IF($S$1&lt;DATE(2025,10,1)," ",COUNTIFS('2025数据'!$S$3:$S$181,"&gt;="&amp;DATE(2025,10,1),'2025数据'!$S$3:$S$181,"&lt;="&amp;DATE(2025,10,31),'2025数据'!$AF$3:$AF$181,$E1282))</f>
        <v>0</v>
      </c>
      <c r="P1282" s="207">
        <f ca="1">IF($S$1&lt;DATE(2025,11,1)," ",COUNTIFS('2025数据'!$S$3:$S$181,"&gt;="&amp;DATE(2025,11,1),'2025数据'!$S$3:$S$181,"&lt;="&amp;DATE(2025,11,30),'2025数据'!$AF$3:$AF$181,$E1282))</f>
        <v>2</v>
      </c>
      <c r="Q1282" s="207">
        <f ca="1">IF($S$1&lt;DATE(2025,12,1)," ",COUNTIFS('2025数据'!$S$3:$S$181,"&gt;="&amp;DATE(2025,12,1),'2025数据'!$S$3:$S$181,"&lt;="&amp;DATE(2025,12,31),'2025数据'!$AF$3:$AF$181,$E1282))</f>
        <v>2</v>
      </c>
    </row>
    <row r="1283" ht="24" customHeight="1" spans="1:17">
      <c r="A1283" s="99" t="s">
        <v>348</v>
      </c>
      <c r="B1283" s="99" t="s">
        <v>290</v>
      </c>
      <c r="C1283" s="99" t="s">
        <v>291</v>
      </c>
      <c r="D1283" s="48" t="s">
        <v>296</v>
      </c>
      <c r="E1283" s="48" t="s">
        <v>86</v>
      </c>
      <c r="F1283" s="205">
        <f ca="1">IF($S$1&lt;DATE(2025,1,1)," ",COUNTIFS('2025数据'!$S$3:$S$181,"&gt;="&amp;DATE(2024,1,1),'2025数据'!$S$3:$S$181,"&lt;="&amp;DATE(2025,1,31),'2025数据'!$AF$3:$AF$181,$E1283))</f>
        <v>4</v>
      </c>
      <c r="G1283" s="205">
        <f ca="1">IF($S$1&lt;DATE(2025,2,1)," ",COUNTIFS('2025数据'!$S$3:$S$181,"&gt;="&amp;DATE(2025,2,1),'2025数据'!$S$3:$S$181,"&lt;="&amp;DATE(2025,2,28),'2025数据'!$AF$3:$AF$181,$E1283))</f>
        <v>1</v>
      </c>
      <c r="H1283" s="205">
        <f ca="1">IF($S$1&lt;DATE(2025,3,1)," ",COUNTIFS('2025数据'!$S$3:$S$181,"&gt;="&amp;DATE(2025,3,1),'2025数据'!$S$3:$S$181,"&lt;="&amp;DATE(2025,3,31),'2025数据'!$AF$3:$AF$181,$E1283))</f>
        <v>0</v>
      </c>
      <c r="I1283" s="205">
        <f ca="1">IF($S$1&lt;DATE(2025,4,1)," ",COUNTIFS('2025数据'!$S$3:$S$181,"&gt;="&amp;DATE(2025,4,1),'2025数据'!$S$3:$S$181,"&lt;="&amp;DATE(2025,4,30),'2025数据'!$AF$3:$AF$181,$E1283))</f>
        <v>1</v>
      </c>
      <c r="J1283" s="205">
        <f ca="1">IF($S$1&lt;DATE(2025,5,1)," ",COUNTIFS('2025数据'!$S$3:$S$181,"&gt;="&amp;DATE(2025,5,1),'2025数据'!$S$3:$S$181,"&lt;="&amp;DATE(2025,5,31),'2025数据'!$AF$3:$AF$181,$E1283))</f>
        <v>3</v>
      </c>
      <c r="K1283" s="205">
        <f ca="1">IF($S$1&lt;DATE(2025,6,1)," ",COUNTIFS('2025数据'!$S$3:$S$181,"&gt;="&amp;DATE(2025,6,1),'2025数据'!$S$3:$S$181,"&lt;="&amp;DATE(2025,6,30),'2025数据'!$AF$3:$AF$181,$E1283))</f>
        <v>1</v>
      </c>
      <c r="L1283" s="205">
        <f ca="1">IF($S$1&lt;DATE(2025,7,1)," ",COUNTIFS('2025数据'!$S$3:$S$181,"&gt;="&amp;DATE(2025,7,1),'2025数据'!$S$3:$S$181,"&lt;="&amp;DATE(2025,7,31),'2025数据'!$AF$3:$AF$181,$E1283))</f>
        <v>1</v>
      </c>
      <c r="M1283" s="205">
        <f ca="1">IF($S$1&lt;DATE(2025,8,1)," ",COUNTIFS('2025数据'!$S$3:$S$181,"&gt;="&amp;DATE(2025,8,1),'2025数据'!$S$3:$S$181,"&lt;="&amp;DATE(2025,8,31),'2025数据'!$AF$3:$AF$181,$E1283))</f>
        <v>3</v>
      </c>
      <c r="N1283" s="205">
        <f ca="1">IF($S$1&lt;DATE(2025,9,1)," ",COUNTIFS('2025数据'!$S$3:$S$181,"&gt;="&amp;DATE(2025,9,1),'2025数据'!$S$3:$S$181,"&lt;="&amp;DATE(2025,9,30),'2025数据'!$AF$3:$AF$181,$E1283))</f>
        <v>2</v>
      </c>
      <c r="O1283" s="205">
        <f ca="1">IF($S$1&lt;DATE(2025,10,1)," ",COUNTIFS('2025数据'!$S$3:$S$181,"&gt;="&amp;DATE(2025,10,1),'2025数据'!$S$3:$S$181,"&lt;="&amp;DATE(2025,10,31),'2025数据'!$AF$3:$AF$181,$E1283))</f>
        <v>1</v>
      </c>
      <c r="P1283" s="207">
        <f ca="1">IF($S$1&lt;DATE(2025,11,1)," ",COUNTIFS('2025数据'!$S$3:$S$181,"&gt;="&amp;DATE(2025,11,1),'2025数据'!$S$3:$S$181,"&lt;="&amp;DATE(2025,11,30),'2025数据'!$AF$3:$AF$181,$E1283))</f>
        <v>1</v>
      </c>
      <c r="Q1283" s="207">
        <f ca="1">IF($S$1&lt;DATE(2025,12,1)," ",COUNTIFS('2025数据'!$S$3:$S$181,"&gt;="&amp;DATE(2025,12,1),'2025数据'!$S$3:$S$181,"&lt;="&amp;DATE(2025,12,31),'2025数据'!$AF$3:$AF$181,$E1283))</f>
        <v>1</v>
      </c>
    </row>
    <row r="1284" ht="24" customHeight="1" spans="1:17">
      <c r="A1284" s="99" t="s">
        <v>348</v>
      </c>
      <c r="B1284" s="99" t="s">
        <v>290</v>
      </c>
      <c r="C1284" s="99" t="s">
        <v>291</v>
      </c>
      <c r="D1284" s="100" t="s">
        <v>292</v>
      </c>
      <c r="E1284" s="100" t="s">
        <v>297</v>
      </c>
      <c r="F1284" s="204">
        <f ca="1">IF($S$1&lt;DATE(2025,1,1)," ",SUM(F1285:F1288))</f>
        <v>1</v>
      </c>
      <c r="G1284" s="204">
        <f ca="1">IF($S$1&lt;DATE(2025,2,1)," ",SUM(G1285:G1288))</f>
        <v>3</v>
      </c>
      <c r="H1284" s="204">
        <f ca="1">IF($S$1&lt;DATE(2025,3,1)," ",SUM(H1285:H1288))</f>
        <v>1</v>
      </c>
      <c r="I1284" s="204">
        <f ca="1">IF($S$1&lt;DATE(2025,4,1)," ",SUM(I1285:I1288))</f>
        <v>4</v>
      </c>
      <c r="J1284" s="204">
        <f ca="1">IF($S$1&lt;DATE(2025,5,1)," ",SUM(J1285:J1288))</f>
        <v>2</v>
      </c>
      <c r="K1284" s="204">
        <f ca="1">IF($S$1&lt;DATE(2025,6,1)," ",SUM(K1285:K1288))</f>
        <v>5</v>
      </c>
      <c r="L1284" s="204">
        <f ca="1">IF($S$1&lt;DATE(2025,7,1)," ",SUM(L1285:L1288))</f>
        <v>4</v>
      </c>
      <c r="M1284" s="204">
        <f ca="1">IF($S$1&lt;DATE(2025,8,1)," ",SUM(M1285:M1288))</f>
        <v>5</v>
      </c>
      <c r="N1284" s="204">
        <f ca="1">IF($S$1&lt;DATE(2025,9,1)," ",SUM(N1285:N1288))</f>
        <v>5</v>
      </c>
      <c r="O1284" s="204">
        <f ca="1">IF($S$1&lt;DATE(2025,10,1)," ",SUM(O1285:O1288))</f>
        <v>3</v>
      </c>
      <c r="P1284" s="204">
        <f ca="1">IF($S$1&lt;DATE(2025,11,1)," ",SUM(P1285:P1288))</f>
        <v>2</v>
      </c>
      <c r="Q1284" s="204">
        <f ca="1">IF($S$1&lt;DATE(2025,12,1)," ",SUM(Q1285:Q1288))</f>
        <v>4</v>
      </c>
    </row>
    <row r="1285" ht="24" customHeight="1" spans="1:17">
      <c r="A1285" s="99" t="s">
        <v>348</v>
      </c>
      <c r="B1285" s="99" t="s">
        <v>290</v>
      </c>
      <c r="C1285" s="99" t="s">
        <v>291</v>
      </c>
      <c r="D1285" s="48" t="s">
        <v>298</v>
      </c>
      <c r="E1285" s="48" t="s">
        <v>97</v>
      </c>
      <c r="F1285" s="205">
        <f ca="1">IF($S$1&lt;DATE(2025,1,1)," ",COUNTIFS('2025数据'!$S$3:$S$181,"&gt;="&amp;DATE(2024,1,1),'2025数据'!$S$3:$S$181,"&lt;="&amp;DATE(2025,1,31),'2025数据'!$AG$3:$AG$181,$E1285))</f>
        <v>1</v>
      </c>
      <c r="G1285" s="205">
        <f ca="1">IF($S$1&lt;DATE(2025,2,1)," ",COUNTIFS('2025数据'!$S$3:$S$181,"&gt;="&amp;DATE(2025,2,1),'2025数据'!$S$3:$S$181,"&lt;="&amp;DATE(2025,2,28),'2025数据'!$AG$3:$AG$181,$E1285))</f>
        <v>3</v>
      </c>
      <c r="H1285" s="205">
        <f ca="1">IF($S$1&lt;DATE(2025,3,1)," ",COUNTIFS('2025数据'!$S$3:$S$181,"&gt;="&amp;DATE(2025,3,1),'2025数据'!$S$3:$S$181,"&lt;="&amp;DATE(2025,3,31),'2025数据'!$AG$3:$AG$181,$E1285))</f>
        <v>1</v>
      </c>
      <c r="I1285" s="205">
        <f ca="1">IF($S$1&lt;DATE(2025,4,1)," ",COUNTIFS('2025数据'!$S$3:$S$181,"&gt;="&amp;DATE(2025,4,1),'2025数据'!$S$3:$S$181,"&lt;="&amp;DATE(2025,4,30),'2025数据'!$AG$3:$AG$181,$E1285))</f>
        <v>3</v>
      </c>
      <c r="J1285" s="205">
        <f ca="1">IF($S$1&lt;DATE(2025,5,1)," ",COUNTIFS('2025数据'!$S$3:$S$181,"&gt;="&amp;DATE(2025,5,1),'2025数据'!$S$3:$S$181,"&lt;="&amp;DATE(2025,5,31),'2025数据'!$AG$3:$AG$181,$E1285))</f>
        <v>2</v>
      </c>
      <c r="K1285" s="205">
        <f ca="1">IF($S$1&lt;DATE(2025,6,1)," ",COUNTIFS('2025数据'!$S$3:$S$181,"&gt;="&amp;DATE(2025,6,1),'2025数据'!$S$3:$S$181,"&lt;="&amp;DATE(2025,6,30),'2025数据'!$AG$3:$AG$181,$E1285))</f>
        <v>3</v>
      </c>
      <c r="L1285" s="205">
        <f ca="1">IF($S$1&lt;DATE(2025,7,1)," ",COUNTIFS('2025数据'!$S$3:$S$181,"&gt;="&amp;DATE(2025,7,1),'2025数据'!$S$3:$S$181,"&lt;="&amp;DATE(2025,7,31),'2025数据'!$AG$3:$AG$181,$E1285))</f>
        <v>1</v>
      </c>
      <c r="M1285" s="205">
        <f ca="1">IF($S$1&lt;DATE(2025,8,1)," ",COUNTIFS('2025数据'!$S$3:$S$181,"&gt;="&amp;DATE(2025,8,1),'2025数据'!$S$3:$S$181,"&lt;="&amp;DATE(2025,8,31),'2025数据'!$AG$3:$AG$181,$E1285))</f>
        <v>3</v>
      </c>
      <c r="N1285" s="205">
        <f ca="1">IF($S$1&lt;DATE(2025,9,1)," ",COUNTIFS('2025数据'!$S$3:$S$181,"&gt;="&amp;DATE(2025,9,1),'2025数据'!$S$3:$S$181,"&lt;="&amp;DATE(2025,9,30),'2025数据'!$AG$3:$AG$181,$E1285))</f>
        <v>1</v>
      </c>
      <c r="O1285" s="205">
        <f ca="1">IF($S$1&lt;DATE(2025,10,1)," ",COUNTIFS('2025数据'!$S$3:$S$181,"&gt;="&amp;DATE(2025,10,1),'2025数据'!$S$3:$S$181,"&lt;="&amp;DATE(2025,10,31),'2025数据'!$AG$3:$AG$181,$E1285))</f>
        <v>1</v>
      </c>
      <c r="P1285" s="207">
        <f ca="1">IF($S$1&lt;DATE(2025,11,1)," ",COUNTIFS('2025数据'!$S$3:$S$181,"&gt;="&amp;DATE(2025,11,1),'2025数据'!$S$3:$S$181,"&lt;="&amp;DATE(2025,11,30),'2025数据'!$AG$3:$AG$181,$E1285))</f>
        <v>2</v>
      </c>
      <c r="Q1285" s="207">
        <f ca="1">IF($S$1&lt;DATE(2025,12,1)," ",COUNTIFS('2025数据'!$S$3:$S$181,"&gt;="&amp;DATE(2025,12,1),'2025数据'!$S$3:$S$181,"&lt;="&amp;DATE(2025,12,31),'2025数据'!$AG$3:$AG$181,$E1285))</f>
        <v>1</v>
      </c>
    </row>
    <row r="1286" ht="24" customHeight="1" spans="1:17">
      <c r="A1286" s="99" t="s">
        <v>348</v>
      </c>
      <c r="B1286" s="99" t="s">
        <v>290</v>
      </c>
      <c r="C1286" s="99" t="s">
        <v>291</v>
      </c>
      <c r="D1286" s="48" t="s">
        <v>298</v>
      </c>
      <c r="E1286" s="48" t="s">
        <v>87</v>
      </c>
      <c r="F1286" s="205">
        <f ca="1">IF($S$1&lt;DATE(2025,1,1)," ",COUNTIFS('2025数据'!$S$3:$S$181,"&gt;="&amp;DATE(2024,1,1),'2025数据'!$S$3:$S$181,"&lt;="&amp;DATE(2025,1,31),'2025数据'!$AG$3:$AG$181,$E1286))</f>
        <v>0</v>
      </c>
      <c r="G1286" s="205">
        <f ca="1">IF($S$1&lt;DATE(2025,2,1)," ",COUNTIFS('2025数据'!$S$3:$S$181,"&gt;="&amp;DATE(2025,2,1),'2025数据'!$S$3:$S$181,"&lt;="&amp;DATE(2025,2,28),'2025数据'!$AG$3:$AG$181,$E1286))</f>
        <v>0</v>
      </c>
      <c r="H1286" s="205">
        <f ca="1">IF($S$1&lt;DATE(2025,3,1)," ",COUNTIFS('2025数据'!$S$3:$S$181,"&gt;="&amp;DATE(2025,3,1),'2025数据'!$S$3:$S$181,"&lt;="&amp;DATE(2025,3,31),'2025数据'!$AG$3:$AG$181,$E1286))</f>
        <v>0</v>
      </c>
      <c r="I1286" s="205">
        <f ca="1">IF($S$1&lt;DATE(2025,4,1)," ",COUNTIFS('2025数据'!$S$3:$S$181,"&gt;="&amp;DATE(2025,4,1),'2025数据'!$S$3:$S$181,"&lt;="&amp;DATE(2025,4,30),'2025数据'!$AG$3:$AG$181,$E1286))</f>
        <v>1</v>
      </c>
      <c r="J1286" s="205">
        <f ca="1">IF($S$1&lt;DATE(2025,5,1)," ",COUNTIFS('2025数据'!$S$3:$S$181,"&gt;="&amp;DATE(2025,5,1),'2025数据'!$S$3:$S$181,"&lt;="&amp;DATE(2025,5,31),'2025数据'!$AG$3:$AG$181,$E1286))</f>
        <v>0</v>
      </c>
      <c r="K1286" s="205">
        <f ca="1">IF($S$1&lt;DATE(2025,6,1)," ",COUNTIFS('2025数据'!$S$3:$S$181,"&gt;="&amp;DATE(2025,6,1),'2025数据'!$S$3:$S$181,"&lt;="&amp;DATE(2025,6,30),'2025数据'!$AG$3:$AG$181,$E1286))</f>
        <v>1</v>
      </c>
      <c r="L1286" s="205">
        <f ca="1">IF($S$1&lt;DATE(2025,7,1)," ",COUNTIFS('2025数据'!$S$3:$S$181,"&gt;="&amp;DATE(2025,7,1),'2025数据'!$S$3:$S$181,"&lt;="&amp;DATE(2025,7,31),'2025数据'!$AG$3:$AG$181,$E1286))</f>
        <v>1</v>
      </c>
      <c r="M1286" s="205">
        <f ca="1">IF($S$1&lt;DATE(2025,8,1)," ",COUNTIFS('2025数据'!$S$3:$S$181,"&gt;="&amp;DATE(2025,8,1),'2025数据'!$S$3:$S$181,"&lt;="&amp;DATE(2025,8,31),'2025数据'!$AG$3:$AG$181,$E1286))</f>
        <v>1</v>
      </c>
      <c r="N1286" s="205">
        <f ca="1">IF($S$1&lt;DATE(2025,9,1)," ",COUNTIFS('2025数据'!$S$3:$S$181,"&gt;="&amp;DATE(2025,9,1),'2025数据'!$S$3:$S$181,"&lt;="&amp;DATE(2025,9,30),'2025数据'!$AG$3:$AG$181,$E1286))</f>
        <v>3</v>
      </c>
      <c r="O1286" s="205">
        <f ca="1">IF($S$1&lt;DATE(2025,10,1)," ",COUNTIFS('2025数据'!$S$3:$S$181,"&gt;="&amp;DATE(2025,10,1),'2025数据'!$S$3:$S$181,"&lt;="&amp;DATE(2025,10,31),'2025数据'!$AG$3:$AG$181,$E1286))</f>
        <v>2</v>
      </c>
      <c r="P1286" s="207">
        <f ca="1">IF($S$1&lt;DATE(2025,11,1)," ",COUNTIFS('2025数据'!$S$3:$S$181,"&gt;="&amp;DATE(2025,11,1),'2025数据'!$S$3:$S$181,"&lt;="&amp;DATE(2025,11,30),'2025数据'!$AG$3:$AG$181,$E1286))</f>
        <v>0</v>
      </c>
      <c r="Q1286" s="207">
        <f ca="1">IF($S$1&lt;DATE(2025,12,1)," ",COUNTIFS('2025数据'!$S$3:$S$181,"&gt;="&amp;DATE(2025,12,1),'2025数据'!$S$3:$S$181,"&lt;="&amp;DATE(2025,12,31),'2025数据'!$AG$3:$AG$181,$E1286))</f>
        <v>2</v>
      </c>
    </row>
    <row r="1287" ht="24" customHeight="1" spans="1:17">
      <c r="A1287" s="99" t="s">
        <v>348</v>
      </c>
      <c r="B1287" s="99" t="s">
        <v>290</v>
      </c>
      <c r="C1287" s="99" t="s">
        <v>291</v>
      </c>
      <c r="D1287" s="48" t="s">
        <v>298</v>
      </c>
      <c r="E1287" s="48" t="s">
        <v>149</v>
      </c>
      <c r="F1287" s="205">
        <f ca="1">IF($S$1&lt;DATE(2025,1,1)," ",COUNTIFS('2025数据'!$S$3:$S$181,"&gt;="&amp;DATE(2024,1,1),'2025数据'!$S$3:$S$181,"&lt;="&amp;DATE(2025,1,31),'2025数据'!$AG$3:$AG$181,$E1287))</f>
        <v>0</v>
      </c>
      <c r="G1287" s="205">
        <f ca="1">IF($S$1&lt;DATE(2025,2,1)," ",COUNTIFS('2025数据'!$S$3:$S$181,"&gt;="&amp;DATE(2025,2,1),'2025数据'!$S$3:$S$181,"&lt;="&amp;DATE(2025,2,28),'2025数据'!$AG$3:$AG$181,$E1287))</f>
        <v>0</v>
      </c>
      <c r="H1287" s="205">
        <f ca="1">IF($S$1&lt;DATE(2025,3,1)," ",COUNTIFS('2025数据'!$S$3:$S$181,"&gt;="&amp;DATE(2025,3,1),'2025数据'!$S$3:$S$181,"&lt;="&amp;DATE(2025,3,31),'2025数据'!$AG$3:$AG$181,$E1287))</f>
        <v>0</v>
      </c>
      <c r="I1287" s="205">
        <f ca="1">IF($S$1&lt;DATE(2025,4,1)," ",COUNTIFS('2025数据'!$S$3:$S$181,"&gt;="&amp;DATE(2025,4,1),'2025数据'!$S$3:$S$181,"&lt;="&amp;DATE(2025,4,30),'2025数据'!$AG$3:$AG$181,$E1287))</f>
        <v>0</v>
      </c>
      <c r="J1287" s="205">
        <f ca="1">IF($S$1&lt;DATE(2025,5,1)," ",COUNTIFS('2025数据'!$S$3:$S$181,"&gt;="&amp;DATE(2025,5,1),'2025数据'!$S$3:$S$181,"&lt;="&amp;DATE(2025,5,31),'2025数据'!$AG$3:$AG$181,$E1287))</f>
        <v>0</v>
      </c>
      <c r="K1287" s="205">
        <f ca="1">IF($S$1&lt;DATE(2025,6,1)," ",COUNTIFS('2025数据'!$S$3:$S$181,"&gt;="&amp;DATE(2025,6,1),'2025数据'!$S$3:$S$181,"&lt;="&amp;DATE(2025,6,30),'2025数据'!$AG$3:$AG$181,$E1287))</f>
        <v>0</v>
      </c>
      <c r="L1287" s="205">
        <f ca="1">IF($S$1&lt;DATE(2025,7,1)," ",COUNTIFS('2025数据'!$S$3:$S$181,"&gt;="&amp;DATE(2025,7,1),'2025数据'!$S$3:$S$181,"&lt;="&amp;DATE(2025,7,31),'2025数据'!$AG$3:$AG$181,$E1287))</f>
        <v>0</v>
      </c>
      <c r="M1287" s="205">
        <f ca="1">IF($S$1&lt;DATE(2025,8,1)," ",COUNTIFS('2025数据'!$S$3:$S$181,"&gt;="&amp;DATE(2025,8,1),'2025数据'!$S$3:$S$181,"&lt;="&amp;DATE(2025,8,31),'2025数据'!$AG$3:$AG$181,$E1287))</f>
        <v>0</v>
      </c>
      <c r="N1287" s="205">
        <f ca="1">IF($S$1&lt;DATE(2025,9,1)," ",COUNTIFS('2025数据'!$S$3:$S$181,"&gt;="&amp;DATE(2025,9,1),'2025数据'!$S$3:$S$181,"&lt;="&amp;DATE(2025,9,30),'2025数据'!$AG$3:$AG$181,$E1287))</f>
        <v>0</v>
      </c>
      <c r="O1287" s="205">
        <f ca="1">IF($S$1&lt;DATE(2025,10,1)," ",COUNTIFS('2025数据'!$S$3:$S$181,"&gt;="&amp;DATE(2025,10,1),'2025数据'!$S$3:$S$181,"&lt;="&amp;DATE(2025,10,31),'2025数据'!$AG$3:$AG$181,$E1287))</f>
        <v>0</v>
      </c>
      <c r="P1287" s="207">
        <f ca="1">IF($S$1&lt;DATE(2025,11,1)," ",COUNTIFS('2025数据'!$S$3:$S$181,"&gt;="&amp;DATE(2025,11,1),'2025数据'!$S$3:$S$181,"&lt;="&amp;DATE(2025,11,30),'2025数据'!$AG$3:$AG$181,$E1287))</f>
        <v>0</v>
      </c>
      <c r="Q1287" s="207">
        <f ca="1">IF($S$1&lt;DATE(2025,12,1)," ",COUNTIFS('2025数据'!$S$3:$S$181,"&gt;="&amp;DATE(2025,12,1),'2025数据'!$S$3:$S$181,"&lt;="&amp;DATE(2025,12,31),'2025数据'!$AG$3:$AG$181,$E1287))</f>
        <v>0</v>
      </c>
    </row>
    <row r="1288" ht="24" customHeight="1" spans="1:17">
      <c r="A1288" s="99" t="s">
        <v>348</v>
      </c>
      <c r="B1288" s="99" t="s">
        <v>290</v>
      </c>
      <c r="C1288" s="99" t="s">
        <v>291</v>
      </c>
      <c r="D1288" s="48" t="s">
        <v>298</v>
      </c>
      <c r="E1288" s="48" t="s">
        <v>83</v>
      </c>
      <c r="F1288" s="205">
        <f ca="1">IF($S$1&lt;DATE(2025,1,1)," ",COUNTIFS('2025数据'!$S$3:$S$181,"&gt;="&amp;DATE(2024,1,1),'2025数据'!$S$3:$S$181,"&lt;="&amp;DATE(2025,1,31),'2025数据'!$AG$3:$AG$181,$E1288))</f>
        <v>0</v>
      </c>
      <c r="G1288" s="205">
        <f ca="1">IF($S$1&lt;DATE(2025,2,1)," ",COUNTIFS('2025数据'!$S$3:$S$181,"&gt;="&amp;DATE(2025,2,1),'2025数据'!$S$3:$S$181,"&lt;="&amp;DATE(2025,2,28),'2025数据'!$AG$3:$AG$181,$E1288))</f>
        <v>0</v>
      </c>
      <c r="H1288" s="205">
        <f ca="1">IF($S$1&lt;DATE(2025,3,1)," ",COUNTIFS('2025数据'!$S$3:$S$181,"&gt;="&amp;DATE(2025,3,1),'2025数据'!$S$3:$S$181,"&lt;="&amp;DATE(2025,3,31),'2025数据'!$AG$3:$AG$181,$E1288))</f>
        <v>0</v>
      </c>
      <c r="I1288" s="205">
        <f ca="1">IF($S$1&lt;DATE(2025,4,1)," ",COUNTIFS('2025数据'!$S$3:$S$181,"&gt;="&amp;DATE(2025,4,1),'2025数据'!$S$3:$S$181,"&lt;="&amp;DATE(2025,4,30),'2025数据'!$AG$3:$AG$181,$E1288))</f>
        <v>0</v>
      </c>
      <c r="J1288" s="205">
        <f ca="1">IF($S$1&lt;DATE(2025,5,1)," ",COUNTIFS('2025数据'!$S$3:$S$181,"&gt;="&amp;DATE(2025,5,1),'2025数据'!$S$3:$S$181,"&lt;="&amp;DATE(2025,5,31),'2025数据'!$AG$3:$AG$181,$E1288))</f>
        <v>0</v>
      </c>
      <c r="K1288" s="205">
        <f ca="1">IF($S$1&lt;DATE(2025,6,1)," ",COUNTIFS('2025数据'!$S$3:$S$181,"&gt;="&amp;DATE(2025,6,1),'2025数据'!$S$3:$S$181,"&lt;="&amp;DATE(2025,6,30),'2025数据'!$AG$3:$AG$181,$E1288))</f>
        <v>1</v>
      </c>
      <c r="L1288" s="205">
        <f ca="1">IF($S$1&lt;DATE(2025,7,1)," ",COUNTIFS('2025数据'!$S$3:$S$181,"&gt;="&amp;DATE(2025,7,1),'2025数据'!$S$3:$S$181,"&lt;="&amp;DATE(2025,7,31),'2025数据'!$AG$3:$AG$181,$E1288))</f>
        <v>2</v>
      </c>
      <c r="M1288" s="205">
        <f ca="1">IF($S$1&lt;DATE(2025,8,1)," ",COUNTIFS('2025数据'!$S$3:$S$181,"&gt;="&amp;DATE(2025,8,1),'2025数据'!$S$3:$S$181,"&lt;="&amp;DATE(2025,8,31),'2025数据'!$AG$3:$AG$181,$E1288))</f>
        <v>1</v>
      </c>
      <c r="N1288" s="205">
        <f ca="1">IF($S$1&lt;DATE(2025,9,1)," ",COUNTIFS('2025数据'!$S$3:$S$181,"&gt;="&amp;DATE(2025,9,1),'2025数据'!$S$3:$S$181,"&lt;="&amp;DATE(2025,9,30),'2025数据'!$AG$3:$AG$181,$E1288))</f>
        <v>1</v>
      </c>
      <c r="O1288" s="205">
        <f ca="1">IF($S$1&lt;DATE(2025,10,1)," ",COUNTIFS('2025数据'!$S$3:$S$181,"&gt;="&amp;DATE(2025,10,1),'2025数据'!$S$3:$S$181,"&lt;="&amp;DATE(2025,10,31),'2025数据'!$AG$3:$AG$181,$E1288))</f>
        <v>0</v>
      </c>
      <c r="P1288" s="207">
        <f ca="1">IF($S$1&lt;DATE(2025,11,1)," ",COUNTIFS('2025数据'!$S$3:$S$181,"&gt;="&amp;DATE(2025,11,1),'2025数据'!$S$3:$S$181,"&lt;="&amp;DATE(2025,11,30),'2025数据'!$AG$3:$AG$181,$E1288))</f>
        <v>0</v>
      </c>
      <c r="Q1288" s="207">
        <f ca="1">IF($S$1&lt;DATE(2025,12,1)," ",COUNTIFS('2025数据'!$S$3:$S$181,"&gt;="&amp;DATE(2025,12,1),'2025数据'!$S$3:$S$181,"&lt;="&amp;DATE(2025,12,31),'2025数据'!$AG$3:$AG$181,$E1288))</f>
        <v>1</v>
      </c>
    </row>
    <row r="1289" ht="24" customHeight="1" spans="1:17">
      <c r="A1289" s="99" t="s">
        <v>348</v>
      </c>
      <c r="B1289" s="99" t="s">
        <v>299</v>
      </c>
      <c r="C1289" s="99" t="s">
        <v>291</v>
      </c>
      <c r="D1289" s="100" t="s">
        <v>292</v>
      </c>
      <c r="E1289" s="100" t="s">
        <v>300</v>
      </c>
      <c r="F1289" s="204">
        <f ca="1">IF($S$1&lt;DATE(2025,1,1)," ",IF((SUM(F1290:F1296)-MAX(F1320,F1324))&lt;0,"ERR",SUM(F1290:F1296)))</f>
        <v>5</v>
      </c>
      <c r="G1289" s="204">
        <f ca="1">IF($S$1&lt;DATE(2025,2,1)," ",IF((SUM(G1290:G1296)-MAX(G1320,G1324))&lt;0,"ERR",SUM(G1290:G1296)))</f>
        <v>2</v>
      </c>
      <c r="H1289" s="204">
        <f ca="1">IF($S$1&lt;DATE(2025,3,1)," ",IF((SUM(H1290:H1296)-MAX(H1320,H1324))&lt;0,"ERR",SUM(H1290:H1296)))</f>
        <v>2</v>
      </c>
      <c r="I1289" s="204">
        <f ca="1">IF($S$1&lt;DATE(2025,4,1)," ",IF((SUM(I1290:I1296)-MAX(I1320,I1324))&lt;0,"ERR",SUM(I1290:I1296)))</f>
        <v>2</v>
      </c>
      <c r="J1289" s="204">
        <f ca="1">IF($S$1&lt;DATE(2025,5,1)," ",IF((SUM(J1290:J1296)-MAX(J1320,J1324))&lt;0,"ERR",SUM(J1290:J1296)))</f>
        <v>5</v>
      </c>
      <c r="K1289" s="204">
        <f ca="1">IF($S$1&lt;DATE(2025,6,1)," ",IF((SUM(K1290:K1296)-MAX(K1320,K1324))&lt;0,"ERR",SUM(K1290:K1296)))</f>
        <v>5</v>
      </c>
      <c r="L1289" s="204">
        <f ca="1">IF($S$1&lt;DATE(2025,7,1)," ",IF((SUM(L1290:L1296)-MAX(L1320,L1324))&lt;0,"ERR",SUM(L1290:L1296)))</f>
        <v>3</v>
      </c>
      <c r="M1289" s="204">
        <f ca="1">IF($S$1&lt;DATE(2025,8,1)," ",IF((SUM(M1290:M1296)-MAX(M1320,M1324))&lt;0,"ERR",SUM(M1290:M1296)))</f>
        <v>8</v>
      </c>
      <c r="N1289" s="204">
        <f ca="1">IF($S$1&lt;DATE(2025,9,1)," ",IF((SUM(N1290:N1296)-MAX(N1320,N1324))&lt;0,"ERR",SUM(N1290:N1296)))</f>
        <v>5</v>
      </c>
      <c r="O1289" s="204">
        <f ca="1">IF($S$1&lt;DATE(2025,10,1)," ",IF((SUM(O1290:O1296)-MAX(O1320,O1324))&lt;0,"ERR",SUM(O1290:O1296)))</f>
        <v>5</v>
      </c>
      <c r="P1289" s="204">
        <f ca="1">IF($S$1&lt;DATE(2025,11,1)," ",IF((SUM(P1290:P1296)-MAX(P1320,P1324))&lt;0,"ERR",SUM(P1290:P1296)))</f>
        <v>1</v>
      </c>
      <c r="Q1289" s="204">
        <f ca="1">IF($S$1&lt;DATE(2025,12,1)," ",IF((SUM(Q1290:Q1296)-MAX(Q1320,Q1324))&lt;0,"ERR",SUM(Q1290:Q1296)))</f>
        <v>5</v>
      </c>
    </row>
    <row r="1290" ht="24" customHeight="1" spans="1:17">
      <c r="A1290" s="99" t="s">
        <v>348</v>
      </c>
      <c r="B1290" s="99" t="s">
        <v>299</v>
      </c>
      <c r="C1290" s="99" t="s">
        <v>291</v>
      </c>
      <c r="D1290" s="48" t="s">
        <v>31</v>
      </c>
      <c r="E1290" s="48" t="s">
        <v>90</v>
      </c>
      <c r="F1290" s="205">
        <f ca="1">IF($S$1&lt;DATE(2025,1,1)," ",COUNTIFS('2025数据'!$T$3:$T$181,"&gt;="&amp;DATE(2024,1,1),'2025数据'!$T$3:$T$181,"&lt;="&amp;DATE(2025,1,31),'2025数据'!$AE$3:$AE$181,$E1290))</f>
        <v>1</v>
      </c>
      <c r="G1290" s="205">
        <f ca="1">IF($S$1&lt;DATE(2025,2,1)," ",COUNTIFS('2025数据'!$T$3:$T$181,"&gt;="&amp;DATE(2025,2,1),'2025数据'!$T$3:$T$181,"&lt;="&amp;DATE(2025,2,28),'2025数据'!$AE$3:$AE$181,$E1290))</f>
        <v>1</v>
      </c>
      <c r="H1290" s="205">
        <f ca="1">IF($S$1&lt;DATE(2025,3,1)," ",COUNTIFS('2025数据'!$T$3:$T$181,"&gt;="&amp;DATE(2025,3,1),'2025数据'!$T$3:$T$181,"&lt;="&amp;DATE(2025,3,31),'2025数据'!$AE$3:$AE$181,$E1290))</f>
        <v>1</v>
      </c>
      <c r="I1290" s="205">
        <f ca="1">IF($S$1&lt;DATE(2025,4,1)," ",COUNTIFS('2025数据'!$T$3:$T$181,"&gt;="&amp;DATE(2025,4,1),'2025数据'!$T$3:$T$181,"&lt;="&amp;DATE(2025,4,30),'2025数据'!$AE$3:$AE$181,$E1290))</f>
        <v>0</v>
      </c>
      <c r="J1290" s="205">
        <f ca="1">IF($S$1&lt;DATE(2025,5,1)," ",COUNTIFS('2025数据'!$T$3:$T$181,"&gt;="&amp;DATE(2025,5,1),'2025数据'!$T$3:$T$181,"&lt;="&amp;DATE(2025,5,31),'2025数据'!$AE$3:$AE$181,$E1290))</f>
        <v>0</v>
      </c>
      <c r="K1290" s="205">
        <f ca="1">IF($S$1&lt;DATE(2025,6,1)," ",COUNTIFS('2025数据'!$T$3:$T$181,"&gt;="&amp;DATE(2025,6,1),'2025数据'!$T$3:$T$181,"&lt;="&amp;DATE(2025,6,30),'2025数据'!$AE$3:$AE$181,$E1290))</f>
        <v>1</v>
      </c>
      <c r="L1290" s="205">
        <f ca="1">IF($S$1&lt;DATE(2025,7,1)," ",COUNTIFS('2025数据'!$T$3:$T$181,"&gt;="&amp;DATE(2025,7,1),'2025数据'!$T$3:$T$181,"&lt;="&amp;DATE(2025,7,31),'2025数据'!$AE$3:$AE$181,$E1290))</f>
        <v>1</v>
      </c>
      <c r="M1290" s="205">
        <f ca="1">IF($S$1&lt;DATE(2025,8,1)," ",COUNTIFS('2025数据'!$T$3:$T$181,"&gt;="&amp;DATE(2025,8,1),'2025数据'!$T$3:$T$181,"&lt;="&amp;DATE(2025,8,31),'2025数据'!$AE$3:$AE$181,$E1290))</f>
        <v>1</v>
      </c>
      <c r="N1290" s="205">
        <f ca="1">IF($S$1&lt;DATE(2025,9,1)," ",COUNTIFS('2025数据'!$T$3:$T$181,"&gt;="&amp;DATE(2025,9,1),'2025数据'!$T$3:$T$181,"&lt;="&amp;DATE(2025,9,30),'2025数据'!$AE$3:$AE$181,$E1290))</f>
        <v>1</v>
      </c>
      <c r="O1290" s="205">
        <f ca="1">IF($S$1&lt;DATE(2025,10,1)," ",COUNTIFS('2025数据'!$T$3:$T$181,"&gt;="&amp;DATE(2025,10,1),'2025数据'!$T$3:$T$181,"&lt;="&amp;DATE(2025,10,31),'2025数据'!$AE$3:$AE$181,$E1290))</f>
        <v>3</v>
      </c>
      <c r="P1290" s="207">
        <f ca="1">IF($S$1&lt;DATE(2025,11,1)," ",COUNTIFS('2025数据'!$T$3:$T$181,"&gt;="&amp;DATE(2025,11,1),'2025数据'!$T$3:$T$181,"&lt;="&amp;DATE(2025,11,30),'2025数据'!$AE$3:$AE$181,$E1290))</f>
        <v>0</v>
      </c>
      <c r="Q1290" s="207">
        <f ca="1">IF($S$1&lt;DATE(2025,12,1)," ",COUNTIFS('2025数据'!$T$3:$T$181,"&gt;="&amp;DATE(2025,12,1),'2025数据'!$T$3:$T$181,"&lt;="&amp;DATE(2025,12,31),'2025数据'!$AE$3:$AE$181,$E1290))</f>
        <v>2</v>
      </c>
    </row>
    <row r="1291" ht="24" customHeight="1" spans="1:17">
      <c r="A1291" s="99" t="s">
        <v>348</v>
      </c>
      <c r="B1291" s="99" t="s">
        <v>299</v>
      </c>
      <c r="C1291" s="99" t="s">
        <v>291</v>
      </c>
      <c r="D1291" s="48" t="s">
        <v>31</v>
      </c>
      <c r="E1291" s="48" t="s">
        <v>82</v>
      </c>
      <c r="F1291" s="205">
        <f ca="1">IF($S$1&lt;DATE(2025,1,1)," ",COUNTIFS('2025数据'!$T$3:$T$181,"&gt;="&amp;DATE(2024,1,1),'2025数据'!$T$3:$T$181,"&lt;="&amp;DATE(2025,1,31),'2025数据'!$AE$3:$AE$181,$E1291))</f>
        <v>0</v>
      </c>
      <c r="G1291" s="205">
        <f ca="1">IF($S$1&lt;DATE(2025,2,1)," ",COUNTIFS('2025数据'!$T$3:$T$181,"&gt;="&amp;DATE(2025,2,1),'2025数据'!$T$3:$T$181,"&lt;="&amp;DATE(2025,2,28),'2025数据'!$AE$3:$AE$181,$E1291))</f>
        <v>0</v>
      </c>
      <c r="H1291" s="205">
        <f ca="1">IF($S$1&lt;DATE(2025,3,1)," ",COUNTIFS('2025数据'!$T$3:$T$181,"&gt;="&amp;DATE(2025,3,1),'2025数据'!$T$3:$T$181,"&lt;="&amp;DATE(2025,3,31),'2025数据'!$AE$3:$AE$181,$E1291))</f>
        <v>1</v>
      </c>
      <c r="I1291" s="205">
        <f ca="1">IF($S$1&lt;DATE(2025,4,1)," ",COUNTIFS('2025数据'!$T$3:$T$181,"&gt;="&amp;DATE(2025,4,1),'2025数据'!$T$3:$T$181,"&lt;="&amp;DATE(2025,4,30),'2025数据'!$AE$3:$AE$181,$E1291))</f>
        <v>0</v>
      </c>
      <c r="J1291" s="205">
        <f ca="1">IF($S$1&lt;DATE(2025,5,1)," ",COUNTIFS('2025数据'!$T$3:$T$181,"&gt;="&amp;DATE(2025,5,1),'2025数据'!$T$3:$T$181,"&lt;="&amp;DATE(2025,5,31),'2025数据'!$AE$3:$AE$181,$E1291))</f>
        <v>1</v>
      </c>
      <c r="K1291" s="205">
        <f ca="1">IF($S$1&lt;DATE(2025,6,1)," ",COUNTIFS('2025数据'!$T$3:$T$181,"&gt;="&amp;DATE(2025,6,1),'2025数据'!$T$3:$T$181,"&lt;="&amp;DATE(2025,6,30),'2025数据'!$AE$3:$AE$181,$E1291))</f>
        <v>1</v>
      </c>
      <c r="L1291" s="205">
        <f ca="1">IF($S$1&lt;DATE(2025,7,1)," ",COUNTIFS('2025数据'!$T$3:$T$181,"&gt;="&amp;DATE(2025,7,1),'2025数据'!$T$3:$T$181,"&lt;="&amp;DATE(2025,7,31),'2025数据'!$AE$3:$AE$181,$E1291))</f>
        <v>1</v>
      </c>
      <c r="M1291" s="205">
        <f ca="1">IF($S$1&lt;DATE(2025,8,1)," ",COUNTIFS('2025数据'!$T$3:$T$181,"&gt;="&amp;DATE(2025,8,1),'2025数据'!$T$3:$T$181,"&lt;="&amp;DATE(2025,8,31),'2025数据'!$AE$3:$AE$181,$E1291))</f>
        <v>2</v>
      </c>
      <c r="N1291" s="205">
        <f ca="1">IF($S$1&lt;DATE(2025,9,1)," ",COUNTIFS('2025数据'!$T$3:$T$181,"&gt;="&amp;DATE(2025,9,1),'2025数据'!$T$3:$T$181,"&lt;="&amp;DATE(2025,9,30),'2025数据'!$AE$3:$AE$181,$E1291))</f>
        <v>1</v>
      </c>
      <c r="O1291" s="205">
        <f ca="1">IF($S$1&lt;DATE(2025,10,1)," ",COUNTIFS('2025数据'!$T$3:$T$181,"&gt;="&amp;DATE(2025,10,1),'2025数据'!$T$3:$T$181,"&lt;="&amp;DATE(2025,10,31),'2025数据'!$AE$3:$AE$181,$E1291))</f>
        <v>2</v>
      </c>
      <c r="P1291" s="207">
        <f ca="1">IF($S$1&lt;DATE(2025,11,1)," ",COUNTIFS('2025数据'!$T$3:$T$181,"&gt;="&amp;DATE(2025,11,1),'2025数据'!$T$3:$T$181,"&lt;="&amp;DATE(2025,11,30),'2025数据'!$AE$3:$AE$181,$E1291))</f>
        <v>0</v>
      </c>
      <c r="Q1291" s="207">
        <f ca="1">IF($S$1&lt;DATE(2025,12,1)," ",COUNTIFS('2025数据'!$T$3:$T$181,"&gt;="&amp;DATE(2025,12,1),'2025数据'!$T$3:$T$181,"&lt;="&amp;DATE(2025,12,31),'2025数据'!$AE$3:$AE$181,$E1291))</f>
        <v>1</v>
      </c>
    </row>
    <row r="1292" ht="24" customHeight="1" spans="1:17">
      <c r="A1292" s="99" t="s">
        <v>348</v>
      </c>
      <c r="B1292" s="99" t="s">
        <v>299</v>
      </c>
      <c r="C1292" s="99" t="s">
        <v>291</v>
      </c>
      <c r="D1292" s="48" t="s">
        <v>31</v>
      </c>
      <c r="E1292" s="48" t="s">
        <v>86</v>
      </c>
      <c r="F1292" s="205">
        <f ca="1">IF($S$1&lt;DATE(2025,1,1)," ",COUNTIFS('2025数据'!$T$3:$T$181,"&gt;="&amp;DATE(2024,1,1),'2025数据'!$T$3:$T$181,"&lt;="&amp;DATE(2025,1,31),'2025数据'!$AE$3:$AE$181,$E1292))</f>
        <v>4</v>
      </c>
      <c r="G1292" s="205">
        <f ca="1">IF($S$1&lt;DATE(2025,2,1)," ",COUNTIFS('2025数据'!$T$3:$T$181,"&gt;="&amp;DATE(2025,2,1),'2025数据'!$T$3:$T$181,"&lt;="&amp;DATE(2025,2,28),'2025数据'!$AE$3:$AE$181,$E1292))</f>
        <v>1</v>
      </c>
      <c r="H1292" s="205">
        <f ca="1">IF($S$1&lt;DATE(2025,3,1)," ",COUNTIFS('2025数据'!$T$3:$T$181,"&gt;="&amp;DATE(2025,3,1),'2025数据'!$T$3:$T$181,"&lt;="&amp;DATE(2025,3,31),'2025数据'!$AE$3:$AE$181,$E1292))</f>
        <v>0</v>
      </c>
      <c r="I1292" s="205">
        <f ca="1">IF($S$1&lt;DATE(2025,4,1)," ",COUNTIFS('2025数据'!$T$3:$T$181,"&gt;="&amp;DATE(2025,4,1),'2025数据'!$T$3:$T$181,"&lt;="&amp;DATE(2025,4,30),'2025数据'!$AE$3:$AE$181,$E1292))</f>
        <v>0</v>
      </c>
      <c r="J1292" s="205">
        <f ca="1">IF($S$1&lt;DATE(2025,5,1)," ",COUNTIFS('2025数据'!$T$3:$T$181,"&gt;="&amp;DATE(2025,5,1),'2025数据'!$T$3:$T$181,"&lt;="&amp;DATE(2025,5,31),'2025数据'!$AE$3:$AE$181,$E1292))</f>
        <v>3</v>
      </c>
      <c r="K1292" s="205">
        <f ca="1">IF($S$1&lt;DATE(2025,6,1)," ",COUNTIFS('2025数据'!$T$3:$T$181,"&gt;="&amp;DATE(2025,6,1),'2025数据'!$T$3:$T$181,"&lt;="&amp;DATE(2025,6,30),'2025数据'!$AE$3:$AE$181,$E1292))</f>
        <v>2</v>
      </c>
      <c r="L1292" s="205">
        <f ca="1">IF($S$1&lt;DATE(2025,7,1)," ",COUNTIFS('2025数据'!$T$3:$T$181,"&gt;="&amp;DATE(2025,7,1),'2025数据'!$T$3:$T$181,"&lt;="&amp;DATE(2025,7,31),'2025数据'!$AE$3:$AE$181,$E1292))</f>
        <v>0</v>
      </c>
      <c r="M1292" s="205">
        <f ca="1">IF($S$1&lt;DATE(2025,8,1)," ",COUNTIFS('2025数据'!$T$3:$T$181,"&gt;="&amp;DATE(2025,8,1),'2025数据'!$T$3:$T$181,"&lt;="&amp;DATE(2025,8,31),'2025数据'!$AE$3:$AE$181,$E1292))</f>
        <v>3</v>
      </c>
      <c r="N1292" s="205">
        <f ca="1">IF($S$1&lt;DATE(2025,9,1)," ",COUNTIFS('2025数据'!$T$3:$T$181,"&gt;="&amp;DATE(2025,9,1),'2025数据'!$T$3:$T$181,"&lt;="&amp;DATE(2025,9,30),'2025数据'!$AE$3:$AE$181,$E1292))</f>
        <v>2</v>
      </c>
      <c r="O1292" s="205">
        <f ca="1">IF($S$1&lt;DATE(2025,10,1)," ",COUNTIFS('2025数据'!$T$3:$T$181,"&gt;="&amp;DATE(2025,10,1),'2025数据'!$T$3:$T$181,"&lt;="&amp;DATE(2025,10,31),'2025数据'!$AE$3:$AE$181,$E1292))</f>
        <v>0</v>
      </c>
      <c r="P1292" s="207">
        <f ca="1">IF($S$1&lt;DATE(2025,11,1)," ",COUNTIFS('2025数据'!$T$3:$T$181,"&gt;="&amp;DATE(2025,11,1),'2025数据'!$T$3:$T$181,"&lt;="&amp;DATE(2025,11,30),'2025数据'!$AE$3:$AE$181,$E1292))</f>
        <v>1</v>
      </c>
      <c r="Q1292" s="207">
        <f ca="1">IF($S$1&lt;DATE(2025,12,1)," ",COUNTIFS('2025数据'!$T$3:$T$181,"&gt;="&amp;DATE(2025,12,1),'2025数据'!$T$3:$T$181,"&lt;="&amp;DATE(2025,12,31),'2025数据'!$AE$3:$AE$181,$E1292))</f>
        <v>1</v>
      </c>
    </row>
    <row r="1293" ht="24" customHeight="1" spans="1:17">
      <c r="A1293" s="99" t="s">
        <v>348</v>
      </c>
      <c r="B1293" s="99" t="s">
        <v>299</v>
      </c>
      <c r="C1293" s="99" t="s">
        <v>291</v>
      </c>
      <c r="D1293" s="48" t="s">
        <v>31</v>
      </c>
      <c r="E1293" s="48" t="s">
        <v>97</v>
      </c>
      <c r="F1293" s="205">
        <f ca="1">IF($S$1&lt;DATE(2025,1,1)," ",COUNTIFS('2025数据'!$T$3:$T$181,"&gt;="&amp;DATE(2024,1,1),'2025数据'!$T$3:$T$181,"&lt;="&amp;DATE(2025,1,31),'2025数据'!$AE$3:$AE$181,$E1293))</f>
        <v>0</v>
      </c>
      <c r="G1293" s="205">
        <f ca="1">IF($S$1&lt;DATE(2025,2,1)," ",COUNTIFS('2025数据'!$T$3:$T$181,"&gt;="&amp;DATE(2025,2,1),'2025数据'!$T$3:$T$181,"&lt;="&amp;DATE(2025,2,28),'2025数据'!$AE$3:$AE$181,$E1293))</f>
        <v>0</v>
      </c>
      <c r="H1293" s="205">
        <f ca="1">IF($S$1&lt;DATE(2025,3,1)," ",COUNTIFS('2025数据'!$T$3:$T$181,"&gt;="&amp;DATE(2025,3,1),'2025数据'!$T$3:$T$181,"&lt;="&amp;DATE(2025,3,31),'2025数据'!$AE$3:$AE$181,$E1293))</f>
        <v>0</v>
      </c>
      <c r="I1293" s="205">
        <f ca="1">IF($S$1&lt;DATE(2025,4,1)," ",COUNTIFS('2025数据'!$T$3:$T$181,"&gt;="&amp;DATE(2025,4,1),'2025数据'!$T$3:$T$181,"&lt;="&amp;DATE(2025,4,30),'2025数据'!$AE$3:$AE$181,$E1293))</f>
        <v>2</v>
      </c>
      <c r="J1293" s="205">
        <f ca="1">IF($S$1&lt;DATE(2025,5,1)," ",COUNTIFS('2025数据'!$T$3:$T$181,"&gt;="&amp;DATE(2025,5,1),'2025数据'!$T$3:$T$181,"&lt;="&amp;DATE(2025,5,31),'2025数据'!$AE$3:$AE$181,$E1293))</f>
        <v>1</v>
      </c>
      <c r="K1293" s="205">
        <f ca="1">IF($S$1&lt;DATE(2025,6,1)," ",COUNTIFS('2025数据'!$T$3:$T$181,"&gt;="&amp;DATE(2025,6,1),'2025数据'!$T$3:$T$181,"&lt;="&amp;DATE(2025,6,30),'2025数据'!$AE$3:$AE$181,$E1293))</f>
        <v>1</v>
      </c>
      <c r="L1293" s="205">
        <f ca="1">IF($S$1&lt;DATE(2025,7,1)," ",COUNTIFS('2025数据'!$T$3:$T$181,"&gt;="&amp;DATE(2025,7,1),'2025数据'!$T$3:$T$181,"&lt;="&amp;DATE(2025,7,31),'2025数据'!$AE$3:$AE$181,$E1293))</f>
        <v>0</v>
      </c>
      <c r="M1293" s="205">
        <f ca="1">IF($S$1&lt;DATE(2025,8,1)," ",COUNTIFS('2025数据'!$T$3:$T$181,"&gt;="&amp;DATE(2025,8,1),'2025数据'!$T$3:$T$181,"&lt;="&amp;DATE(2025,8,31),'2025数据'!$AE$3:$AE$181,$E1293))</f>
        <v>0</v>
      </c>
      <c r="N1293" s="205">
        <f ca="1">IF($S$1&lt;DATE(2025,9,1)," ",COUNTIFS('2025数据'!$T$3:$T$181,"&gt;="&amp;DATE(2025,9,1),'2025数据'!$T$3:$T$181,"&lt;="&amp;DATE(2025,9,30),'2025数据'!$AE$3:$AE$181,$E1293))</f>
        <v>1</v>
      </c>
      <c r="O1293" s="205">
        <f ca="1">IF($S$1&lt;DATE(2025,10,1)," ",COUNTIFS('2025数据'!$T$3:$T$181,"&gt;="&amp;DATE(2025,10,1),'2025数据'!$T$3:$T$181,"&lt;="&amp;DATE(2025,10,31),'2025数据'!$AE$3:$AE$181,$E1293))</f>
        <v>0</v>
      </c>
      <c r="P1293" s="207">
        <f ca="1">IF($S$1&lt;DATE(2025,11,1)," ",COUNTIFS('2025数据'!$T$3:$T$181,"&gt;="&amp;DATE(2025,11,1),'2025数据'!$T$3:$T$181,"&lt;="&amp;DATE(2025,11,30),'2025数据'!$AE$3:$AE$181,$E1293))</f>
        <v>0</v>
      </c>
      <c r="Q1293" s="207">
        <f ca="1">IF($S$1&lt;DATE(2025,12,1)," ",COUNTIFS('2025数据'!$T$3:$T$181,"&gt;="&amp;DATE(2025,12,1),'2025数据'!$T$3:$T$181,"&lt;="&amp;DATE(2025,12,31),'2025数据'!$AE$3:$AE$181,$E1293))</f>
        <v>1</v>
      </c>
    </row>
    <row r="1294" ht="24" customHeight="1" spans="1:17">
      <c r="A1294" s="99" t="s">
        <v>348</v>
      </c>
      <c r="B1294" s="99" t="s">
        <v>299</v>
      </c>
      <c r="C1294" s="99" t="s">
        <v>291</v>
      </c>
      <c r="D1294" s="48" t="s">
        <v>31</v>
      </c>
      <c r="E1294" s="48" t="s">
        <v>87</v>
      </c>
      <c r="F1294" s="205">
        <f ca="1">IF($S$1&lt;DATE(2025,1,1)," ",COUNTIFS('2025数据'!$T$3:$T$181,"&gt;="&amp;DATE(2024,1,1),'2025数据'!$T$3:$T$181,"&lt;="&amp;DATE(2025,1,31),'2025数据'!$AE$3:$AE$181,$E1294))</f>
        <v>0</v>
      </c>
      <c r="G1294" s="205">
        <f ca="1">IF($S$1&lt;DATE(2025,2,1)," ",COUNTIFS('2025数据'!$T$3:$T$181,"&gt;="&amp;DATE(2025,2,1),'2025数据'!$T$3:$T$181,"&lt;="&amp;DATE(2025,2,28),'2025数据'!$AE$3:$AE$181,$E1294))</f>
        <v>0</v>
      </c>
      <c r="H1294" s="205">
        <f ca="1">IF($S$1&lt;DATE(2025,3,1)," ",COUNTIFS('2025数据'!$T$3:$T$181,"&gt;="&amp;DATE(2025,3,1),'2025数据'!$T$3:$T$181,"&lt;="&amp;DATE(2025,3,31),'2025数据'!$AE$3:$AE$181,$E1294))</f>
        <v>0</v>
      </c>
      <c r="I1294" s="205">
        <f ca="1">IF($S$1&lt;DATE(2025,4,1)," ",COUNTIFS('2025数据'!$T$3:$T$181,"&gt;="&amp;DATE(2025,4,1),'2025数据'!$T$3:$T$181,"&lt;="&amp;DATE(2025,4,30),'2025数据'!$AE$3:$AE$181,$E1294))</f>
        <v>0</v>
      </c>
      <c r="J1294" s="205">
        <f ca="1">IF($S$1&lt;DATE(2025,5,1)," ",COUNTIFS('2025数据'!$T$3:$T$181,"&gt;="&amp;DATE(2025,5,1),'2025数据'!$T$3:$T$181,"&lt;="&amp;DATE(2025,5,31),'2025数据'!$AE$3:$AE$181,$E1294))</f>
        <v>0</v>
      </c>
      <c r="K1294" s="205">
        <f ca="1">IF($S$1&lt;DATE(2025,6,1)," ",COUNTIFS('2025数据'!$T$3:$T$181,"&gt;="&amp;DATE(2025,6,1),'2025数据'!$T$3:$T$181,"&lt;="&amp;DATE(2025,6,30),'2025数据'!$AE$3:$AE$181,$E1294))</f>
        <v>0</v>
      </c>
      <c r="L1294" s="205">
        <f ca="1">IF($S$1&lt;DATE(2025,7,1)," ",COUNTIFS('2025数据'!$T$3:$T$181,"&gt;="&amp;DATE(2025,7,1),'2025数据'!$T$3:$T$181,"&lt;="&amp;DATE(2025,7,31),'2025数据'!$AE$3:$AE$181,$E1294))</f>
        <v>1</v>
      </c>
      <c r="M1294" s="205">
        <f ca="1">IF($S$1&lt;DATE(2025,8,1)," ",COUNTIFS('2025数据'!$T$3:$T$181,"&gt;="&amp;DATE(2025,8,1),'2025数据'!$T$3:$T$181,"&lt;="&amp;DATE(2025,8,31),'2025数据'!$AE$3:$AE$181,$E1294))</f>
        <v>0</v>
      </c>
      <c r="N1294" s="205">
        <f ca="1">IF($S$1&lt;DATE(2025,9,1)," ",COUNTIFS('2025数据'!$T$3:$T$181,"&gt;="&amp;DATE(2025,9,1),'2025数据'!$T$3:$T$181,"&lt;="&amp;DATE(2025,9,30),'2025数据'!$AE$3:$AE$181,$E1294))</f>
        <v>0</v>
      </c>
      <c r="O1294" s="205">
        <f ca="1">IF($S$1&lt;DATE(2025,10,1)," ",COUNTIFS('2025数据'!$T$3:$T$181,"&gt;="&amp;DATE(2025,10,1),'2025数据'!$T$3:$T$181,"&lt;="&amp;DATE(2025,10,31),'2025数据'!$AE$3:$AE$181,$E1294))</f>
        <v>0</v>
      </c>
      <c r="P1294" s="207">
        <f ca="1">IF($S$1&lt;DATE(2025,11,1)," ",COUNTIFS('2025数据'!$T$3:$T$181,"&gt;="&amp;DATE(2025,11,1),'2025数据'!$T$3:$T$181,"&lt;="&amp;DATE(2025,11,30),'2025数据'!$AE$3:$AE$181,$E1294))</f>
        <v>0</v>
      </c>
      <c r="Q1294" s="207">
        <f ca="1">IF($S$1&lt;DATE(2025,12,1)," ",COUNTIFS('2025数据'!$T$3:$T$181,"&gt;="&amp;DATE(2025,12,1),'2025数据'!$T$3:$T$181,"&lt;="&amp;DATE(2025,12,31),'2025数据'!$AE$3:$AE$181,$E1294))</f>
        <v>0</v>
      </c>
    </row>
    <row r="1295" ht="24" customHeight="1" spans="1:17">
      <c r="A1295" s="99" t="s">
        <v>348</v>
      </c>
      <c r="B1295" s="99" t="s">
        <v>299</v>
      </c>
      <c r="C1295" s="99" t="s">
        <v>291</v>
      </c>
      <c r="D1295" s="48" t="s">
        <v>31</v>
      </c>
      <c r="E1295" s="48" t="s">
        <v>149</v>
      </c>
      <c r="F1295" s="205">
        <f ca="1">IF($S$1&lt;DATE(2025,1,1)," ",COUNTIFS('2025数据'!$T$3:$T$181,"&gt;="&amp;DATE(2024,1,1),'2025数据'!$T$3:$T$181,"&lt;="&amp;DATE(2025,1,31),'2025数据'!$AE$3:$AE$181,$E1295))</f>
        <v>0</v>
      </c>
      <c r="G1295" s="205">
        <f ca="1">IF($S$1&lt;DATE(2025,2,1)," ",COUNTIFS('2025数据'!$T$3:$T$181,"&gt;="&amp;DATE(2025,2,1),'2025数据'!$T$3:$T$181,"&lt;="&amp;DATE(2025,2,28),'2025数据'!$AE$3:$AE$181,$E1295))</f>
        <v>0</v>
      </c>
      <c r="H1295" s="205">
        <f ca="1">IF($S$1&lt;DATE(2025,3,1)," ",COUNTIFS('2025数据'!$T$3:$T$181,"&gt;="&amp;DATE(2025,3,1),'2025数据'!$T$3:$T$181,"&lt;="&amp;DATE(2025,3,31),'2025数据'!$AE$3:$AE$181,$E1295))</f>
        <v>0</v>
      </c>
      <c r="I1295" s="205">
        <f ca="1">IF($S$1&lt;DATE(2025,4,1)," ",COUNTIFS('2025数据'!$T$3:$T$181,"&gt;="&amp;DATE(2025,4,1),'2025数据'!$T$3:$T$181,"&lt;="&amp;DATE(2025,4,30),'2025数据'!$AE$3:$AE$181,$E1295))</f>
        <v>0</v>
      </c>
      <c r="J1295" s="205">
        <f ca="1">IF($S$1&lt;DATE(2025,5,1)," ",COUNTIFS('2025数据'!$T$3:$T$181,"&gt;="&amp;DATE(2025,5,1),'2025数据'!$T$3:$T$181,"&lt;="&amp;DATE(2025,5,31),'2025数据'!$AE$3:$AE$181,$E1295))</f>
        <v>0</v>
      </c>
      <c r="K1295" s="205">
        <f ca="1">IF($S$1&lt;DATE(2025,6,1)," ",COUNTIFS('2025数据'!$T$3:$T$181,"&gt;="&amp;DATE(2025,6,1),'2025数据'!$T$3:$T$181,"&lt;="&amp;DATE(2025,6,30),'2025数据'!$AE$3:$AE$181,$E1295))</f>
        <v>0</v>
      </c>
      <c r="L1295" s="205">
        <f ca="1">IF($S$1&lt;DATE(2025,7,1)," ",COUNTIFS('2025数据'!$T$3:$T$181,"&gt;="&amp;DATE(2025,7,1),'2025数据'!$T$3:$T$181,"&lt;="&amp;DATE(2025,7,31),'2025数据'!$AE$3:$AE$181,$E1295))</f>
        <v>0</v>
      </c>
      <c r="M1295" s="205">
        <f ca="1">IF($S$1&lt;DATE(2025,8,1)," ",COUNTIFS('2025数据'!$T$3:$T$181,"&gt;="&amp;DATE(2025,8,1),'2025数据'!$T$3:$T$181,"&lt;="&amp;DATE(2025,8,31),'2025数据'!$AE$3:$AE$181,$E1295))</f>
        <v>0</v>
      </c>
      <c r="N1295" s="205">
        <f ca="1">IF($S$1&lt;DATE(2025,9,1)," ",COUNTIFS('2025数据'!$T$3:$T$181,"&gt;="&amp;DATE(2025,9,1),'2025数据'!$T$3:$T$181,"&lt;="&amp;DATE(2025,9,30),'2025数据'!$AE$3:$AE$181,$E1295))</f>
        <v>0</v>
      </c>
      <c r="O1295" s="205">
        <f ca="1">IF($S$1&lt;DATE(2025,10,1)," ",COUNTIFS('2025数据'!$T$3:$T$181,"&gt;="&amp;DATE(2025,10,1),'2025数据'!$T$3:$T$181,"&lt;="&amp;DATE(2025,10,31),'2025数据'!$AE$3:$AE$181,$E1295))</f>
        <v>0</v>
      </c>
      <c r="P1295" s="207">
        <f ca="1">IF($S$1&lt;DATE(2025,11,1)," ",COUNTIFS('2025数据'!$T$3:$T$181,"&gt;="&amp;DATE(2025,11,1),'2025数据'!$T$3:$T$181,"&lt;="&amp;DATE(2025,11,30),'2025数据'!$AE$3:$AE$181,$E1295))</f>
        <v>0</v>
      </c>
      <c r="Q1295" s="207">
        <f ca="1">IF($S$1&lt;DATE(2025,12,1)," ",COUNTIFS('2025数据'!$T$3:$T$181,"&gt;="&amp;DATE(2025,12,1),'2025数据'!$T$3:$T$181,"&lt;="&amp;DATE(2025,12,31),'2025数据'!$AE$3:$AE$181,$E1295))</f>
        <v>0</v>
      </c>
    </row>
    <row r="1296" ht="24" customHeight="1" spans="1:17">
      <c r="A1296" s="99" t="s">
        <v>348</v>
      </c>
      <c r="B1296" s="99" t="s">
        <v>299</v>
      </c>
      <c r="C1296" s="99" t="s">
        <v>291</v>
      </c>
      <c r="D1296" s="48" t="s">
        <v>31</v>
      </c>
      <c r="E1296" s="48" t="s">
        <v>83</v>
      </c>
      <c r="F1296" s="205">
        <f ca="1">IF($S$1&lt;DATE(2025,1,1)," ",COUNTIFS('2025数据'!$T$3:$T$181,"&gt;="&amp;DATE(2024,1,1),'2025数据'!$T$3:$T$181,"&lt;="&amp;DATE(2025,1,31),'2025数据'!$AE$3:$AE$181,$E1296))</f>
        <v>0</v>
      </c>
      <c r="G1296" s="205">
        <f ca="1">IF($S$1&lt;DATE(2025,2,1)," ",COUNTIFS('2025数据'!$T$3:$T$181,"&gt;="&amp;DATE(2025,2,1),'2025数据'!$T$3:$T$181,"&lt;="&amp;DATE(2025,2,28),'2025数据'!$AE$3:$AE$181,$E1296))</f>
        <v>0</v>
      </c>
      <c r="H1296" s="205">
        <f ca="1">IF($S$1&lt;DATE(2025,3,1)," ",COUNTIFS('2025数据'!$T$3:$T$181,"&gt;="&amp;DATE(2025,3,1),'2025数据'!$T$3:$T$181,"&lt;="&amp;DATE(2025,3,31),'2025数据'!$AE$3:$AE$181,$E1296))</f>
        <v>0</v>
      </c>
      <c r="I1296" s="205">
        <f ca="1">IF($S$1&lt;DATE(2025,4,1)," ",COUNTIFS('2025数据'!$T$3:$T$181,"&gt;="&amp;DATE(2025,4,1),'2025数据'!$T$3:$T$181,"&lt;="&amp;DATE(2025,4,30),'2025数据'!$AE$3:$AE$181,$E1296))</f>
        <v>0</v>
      </c>
      <c r="J1296" s="205">
        <f ca="1">IF($S$1&lt;DATE(2025,5,1)," ",COUNTIFS('2025数据'!$T$3:$T$181,"&gt;="&amp;DATE(2025,5,1),'2025数据'!$T$3:$T$181,"&lt;="&amp;DATE(2025,5,31),'2025数据'!$AE$3:$AE$181,$E1296))</f>
        <v>0</v>
      </c>
      <c r="K1296" s="205">
        <f ca="1">IF($S$1&lt;DATE(2025,6,1)," ",COUNTIFS('2025数据'!$T$3:$T$181,"&gt;="&amp;DATE(2025,6,1),'2025数据'!$T$3:$T$181,"&lt;="&amp;DATE(2025,6,30),'2025数据'!$AE$3:$AE$181,$E1296))</f>
        <v>0</v>
      </c>
      <c r="L1296" s="205">
        <f ca="1">IF($S$1&lt;DATE(2025,7,1)," ",COUNTIFS('2025数据'!$T$3:$T$181,"&gt;="&amp;DATE(2025,7,1),'2025数据'!$T$3:$T$181,"&lt;="&amp;DATE(2025,7,31),'2025数据'!$AE$3:$AE$181,$E1296))</f>
        <v>0</v>
      </c>
      <c r="M1296" s="205">
        <f ca="1">IF($S$1&lt;DATE(2025,8,1)," ",COUNTIFS('2025数据'!$T$3:$T$181,"&gt;="&amp;DATE(2025,8,1),'2025数据'!$T$3:$T$181,"&lt;="&amp;DATE(2025,8,31),'2025数据'!$AE$3:$AE$181,$E1296))</f>
        <v>2</v>
      </c>
      <c r="N1296" s="205">
        <f ca="1">IF($S$1&lt;DATE(2025,9,1)," ",COUNTIFS('2025数据'!$T$3:$T$181,"&gt;="&amp;DATE(2025,9,1),'2025数据'!$T$3:$T$181,"&lt;="&amp;DATE(2025,9,30),'2025数据'!$AE$3:$AE$181,$E1296))</f>
        <v>0</v>
      </c>
      <c r="O1296" s="205">
        <f ca="1">IF($S$1&lt;DATE(2025,10,1)," ",COUNTIFS('2025数据'!$T$3:$T$181,"&gt;="&amp;DATE(2025,10,1),'2025数据'!$T$3:$T$181,"&lt;="&amp;DATE(2025,10,31),'2025数据'!$AE$3:$AE$181,$E1296))</f>
        <v>0</v>
      </c>
      <c r="P1296" s="207">
        <f ca="1">IF($S$1&lt;DATE(2025,11,1)," ",COUNTIFS('2025数据'!$T$3:$T$181,"&gt;="&amp;DATE(2025,11,1),'2025数据'!$T$3:$T$181,"&lt;="&amp;DATE(2025,11,30),'2025数据'!$AE$3:$AE$181,$E1296))</f>
        <v>0</v>
      </c>
      <c r="Q1296" s="207">
        <f ca="1">IF($S$1&lt;DATE(2025,12,1)," ",COUNTIFS('2025数据'!$T$3:$T$181,"&gt;="&amp;DATE(2025,12,1),'2025数据'!$T$3:$T$181,"&lt;="&amp;DATE(2025,12,31),'2025数据'!$AE$3:$AE$181,$E1296))</f>
        <v>0</v>
      </c>
    </row>
    <row r="1297" ht="24" customHeight="1" spans="1:17">
      <c r="A1297" s="99" t="s">
        <v>348</v>
      </c>
      <c r="B1297" s="99" t="s">
        <v>299</v>
      </c>
      <c r="C1297" s="99" t="s">
        <v>291</v>
      </c>
      <c r="D1297" s="47" t="s">
        <v>294</v>
      </c>
      <c r="E1297" s="47" t="s">
        <v>93</v>
      </c>
      <c r="F1297" s="206">
        <f ca="1">IF($S$1&lt;DATE(2025,1,1)," ",COUNTIFS('2025数据'!$T$3:$T$181,"&gt;="&amp;DATE(2024,1,1),'2025数据'!$T$3:$T$181,"&lt;="&amp;DATE(2025,1,31),'2025数据'!$B$3:$B$181,$E1297))</f>
        <v>0</v>
      </c>
      <c r="G1297" s="206">
        <f ca="1">IF($S$1&lt;DATE(2025,2,1)," ",COUNTIFS('2025数据'!$T$3:$T$181,"&gt;="&amp;DATE(2025,2,1),'2025数据'!$T$3:$T$181,"&lt;="&amp;DATE(2025,2,28),'2025数据'!$B$3:$B$181,$E1297))</f>
        <v>2</v>
      </c>
      <c r="H1297" s="206">
        <f ca="1">IF($S$1&lt;DATE(2025,3,1)," ",COUNTIFS('2025数据'!$T$3:$T$181,"&gt;="&amp;DATE(2025,3,1),'2025数据'!$T$3:$T$181,"&lt;="&amp;DATE(2025,3,31),'2025数据'!$B$3:$B$181,$E1297))</f>
        <v>2</v>
      </c>
      <c r="I1297" s="206">
        <f ca="1">IF($S$1&lt;DATE(2025,4,1)," ",COUNTIFS('2025数据'!$T$3:$T$181,"&gt;="&amp;DATE(2025,4,1),'2025数据'!$T$3:$T$181,"&lt;="&amp;DATE(2025,4,30),'2025数据'!$B$3:$B$181,$E1297))</f>
        <v>1</v>
      </c>
      <c r="J1297" s="206">
        <f ca="1">IF($S$1&lt;DATE(2025,5,1)," ",COUNTIFS('2025数据'!$T$3:$T$181,"&gt;="&amp;DATE(2025,5,1),'2025数据'!$T$3:$T$181,"&lt;="&amp;DATE(2025,5,31),'2025数据'!$B$3:$B$181,$E1297))</f>
        <v>4</v>
      </c>
      <c r="K1297" s="206">
        <f ca="1">IF($S$1&lt;DATE(2025,6,1)," ",COUNTIFS('2025数据'!$T$3:$T$181,"&gt;="&amp;DATE(2025,6,1),'2025数据'!$T$3:$T$181,"&lt;="&amp;DATE(2025,6,30),'2025数据'!$B$3:$B$181,$E1297))</f>
        <v>3</v>
      </c>
      <c r="L1297" s="206">
        <f ca="1">IF($S$1&lt;DATE(2025,7,1)," ",COUNTIFS('2025数据'!$T$3:$T$181,"&gt;="&amp;DATE(2025,7,1),'2025数据'!$T$3:$T$181,"&lt;="&amp;DATE(2025,7,31),'2025数据'!$B$3:$B$181,$E1297))</f>
        <v>1</v>
      </c>
      <c r="M1297" s="206">
        <f ca="1">IF($S$1&lt;DATE(2025,8,1)," ",COUNTIFS('2025数据'!$T$3:$T$181,"&gt;="&amp;DATE(2025,8,1),'2025数据'!$T$3:$T$181,"&lt;="&amp;DATE(2025,8,31),'2025数据'!$B$3:$B$181,$E1297))</f>
        <v>3</v>
      </c>
      <c r="N1297" s="206">
        <f ca="1">IF($S$1&lt;DATE(2025,9,1)," ",COUNTIFS('2025数据'!$T$3:$T$181,"&gt;="&amp;DATE(2025,9,1),'2025数据'!$T$3:$T$181,"&lt;="&amp;DATE(2025,9,30),'2025数据'!$B$3:$B$181,$E1297))</f>
        <v>2</v>
      </c>
      <c r="O1297" s="206">
        <f ca="1">IF($S$1&lt;DATE(2025,10,1)," ",COUNTIFS('2025数据'!$T$3:$T$181,"&gt;="&amp;DATE(2025,10,1),'2025数据'!$T$3:$T$181,"&lt;="&amp;DATE(2025,10,31),'2025数据'!$B$3:$B$181,$E1297))</f>
        <v>1</v>
      </c>
      <c r="P1297" s="208">
        <f ca="1">IF($S$1&lt;DATE(2025,11,1)," ",COUNTIFS('2025数据'!$T$3:$T$181,"&gt;="&amp;DATE(2025,11,1),'2025数据'!$T$3:$T$181,"&lt;="&amp;DATE(2025,11,30),'2025数据'!$B$3:$B$181,$E1297))</f>
        <v>0</v>
      </c>
      <c r="Q1297" s="208">
        <f ca="1">IF($S$1&lt;DATE(2025,12,1)," ",COUNTIFS('2025数据'!$T$3:$T$181,"&gt;="&amp;DATE(2025,12,1),'2025数据'!$T$3:$T$181,"&lt;="&amp;DATE(2025,12,31),'2025数据'!$B$3:$B$181,$E1297))</f>
        <v>2</v>
      </c>
    </row>
    <row r="1298" ht="24" customHeight="1" spans="1:17">
      <c r="A1298" s="99" t="s">
        <v>348</v>
      </c>
      <c r="B1298" s="99" t="s">
        <v>299</v>
      </c>
      <c r="C1298" s="99" t="s">
        <v>291</v>
      </c>
      <c r="D1298" s="47" t="s">
        <v>294</v>
      </c>
      <c r="E1298" s="47" t="s">
        <v>85</v>
      </c>
      <c r="F1298" s="206">
        <f ca="1">IF($S$1&lt;DATE(2025,1,1)," ",COUNTIFS('2025数据'!$T$3:$T$181,"&gt;="&amp;DATE(2024,1,1),'2025数据'!$T$3:$T$181,"&lt;="&amp;DATE(2025,1,31),'2025数据'!$B$3:$B$181,$E1298))</f>
        <v>2</v>
      </c>
      <c r="G1298" s="206">
        <f ca="1">IF($S$1&lt;DATE(2025,2,1)," ",COUNTIFS('2025数据'!$T$3:$T$181,"&gt;="&amp;DATE(2025,2,1),'2025数据'!$T$3:$T$181,"&lt;="&amp;DATE(2025,2,28),'2025数据'!$B$3:$B$181,$E1298))</f>
        <v>0</v>
      </c>
      <c r="H1298" s="206">
        <f ca="1">IF($S$1&lt;DATE(2025,3,1)," ",COUNTIFS('2025数据'!$T$3:$T$181,"&gt;="&amp;DATE(2025,3,1),'2025数据'!$T$3:$T$181,"&lt;="&amp;DATE(2025,3,31),'2025数据'!$B$3:$B$181,$E1298))</f>
        <v>0</v>
      </c>
      <c r="I1298" s="206">
        <f ca="1">IF($S$1&lt;DATE(2025,4,1)," ",COUNTIFS('2025数据'!$T$3:$T$181,"&gt;="&amp;DATE(2025,4,1),'2025数据'!$T$3:$T$181,"&lt;="&amp;DATE(2025,4,30),'2025数据'!$B$3:$B$181,$E1298))</f>
        <v>0</v>
      </c>
      <c r="J1298" s="206">
        <f ca="1">IF($S$1&lt;DATE(2025,5,1)," ",COUNTIFS('2025数据'!$T$3:$T$181,"&gt;="&amp;DATE(2025,5,1),'2025数据'!$T$3:$T$181,"&lt;="&amp;DATE(2025,5,31),'2025数据'!$B$3:$B$181,$E1298))</f>
        <v>1</v>
      </c>
      <c r="K1298" s="206">
        <f ca="1">IF($S$1&lt;DATE(2025,6,1)," ",COUNTIFS('2025数据'!$T$3:$T$181,"&gt;="&amp;DATE(2025,6,1),'2025数据'!$T$3:$T$181,"&lt;="&amp;DATE(2025,6,30),'2025数据'!$B$3:$B$181,$E1298))</f>
        <v>1</v>
      </c>
      <c r="L1298" s="206">
        <f ca="1">IF($S$1&lt;DATE(2025,7,1)," ",COUNTIFS('2025数据'!$T$3:$T$181,"&gt;="&amp;DATE(2025,7,1),'2025数据'!$T$3:$T$181,"&lt;="&amp;DATE(2025,7,31),'2025数据'!$B$3:$B$181,$E1298))</f>
        <v>0</v>
      </c>
      <c r="M1298" s="206">
        <f ca="1">IF($S$1&lt;DATE(2025,8,1)," ",COUNTIFS('2025数据'!$T$3:$T$181,"&gt;="&amp;DATE(2025,8,1),'2025数据'!$T$3:$T$181,"&lt;="&amp;DATE(2025,8,31),'2025数据'!$B$3:$B$181,$E1298))</f>
        <v>2</v>
      </c>
      <c r="N1298" s="206">
        <f ca="1">IF($S$1&lt;DATE(2025,9,1)," ",COUNTIFS('2025数据'!$T$3:$T$181,"&gt;="&amp;DATE(2025,9,1),'2025数据'!$T$3:$T$181,"&lt;="&amp;DATE(2025,9,30),'2025数据'!$B$3:$B$181,$E1298))</f>
        <v>1</v>
      </c>
      <c r="O1298" s="206">
        <f ca="1">IF($S$1&lt;DATE(2025,10,1)," ",COUNTIFS('2025数据'!$T$3:$T$181,"&gt;="&amp;DATE(2025,10,1),'2025数据'!$T$3:$T$181,"&lt;="&amp;DATE(2025,10,31),'2025数据'!$B$3:$B$181,$E1298))</f>
        <v>3</v>
      </c>
      <c r="P1298" s="208">
        <f ca="1">IF($S$1&lt;DATE(2025,11,1)," ",COUNTIFS('2025数据'!$T$3:$T$181,"&gt;="&amp;DATE(2025,11,1),'2025数据'!$T$3:$T$181,"&lt;="&amp;DATE(2025,11,30),'2025数据'!$B$3:$B$181,$E1298))</f>
        <v>1</v>
      </c>
      <c r="Q1298" s="208">
        <f ca="1">IF($S$1&lt;DATE(2025,12,1)," ",COUNTIFS('2025数据'!$T$3:$T$181,"&gt;="&amp;DATE(2025,12,1),'2025数据'!$T$3:$T$181,"&lt;="&amp;DATE(2025,12,31),'2025数据'!$B$3:$B$181,$E1298))</f>
        <v>3</v>
      </c>
    </row>
    <row r="1299" ht="24" customHeight="1" spans="1:17">
      <c r="A1299" s="99" t="s">
        <v>348</v>
      </c>
      <c r="B1299" s="99" t="s">
        <v>299</v>
      </c>
      <c r="C1299" s="99" t="s">
        <v>291</v>
      </c>
      <c r="D1299" s="47" t="s">
        <v>294</v>
      </c>
      <c r="E1299" s="47" t="s">
        <v>81</v>
      </c>
      <c r="F1299" s="206">
        <f ca="1">IF($S$1&lt;DATE(2025,1,1)," ",COUNTIFS('2025数据'!$T$3:$T$181,"&gt;="&amp;DATE(2024,1,1),'2025数据'!$T$3:$T$181,"&lt;="&amp;DATE(2025,1,31),'2025数据'!$B$3:$B$181,$E1299))</f>
        <v>2</v>
      </c>
      <c r="G1299" s="206">
        <f ca="1">IF($S$1&lt;DATE(2025,2,1)," ",COUNTIFS('2025数据'!$T$3:$T$181,"&gt;="&amp;DATE(2025,2,1),'2025数据'!$T$3:$T$181,"&lt;="&amp;DATE(2025,2,28),'2025数据'!$B$3:$B$181,$E1299))</f>
        <v>0</v>
      </c>
      <c r="H1299" s="206">
        <f ca="1">IF($S$1&lt;DATE(2025,3,1)," ",COUNTIFS('2025数据'!$T$3:$T$181,"&gt;="&amp;DATE(2025,3,1),'2025数据'!$T$3:$T$181,"&lt;="&amp;DATE(2025,3,31),'2025数据'!$B$3:$B$181,$E1299))</f>
        <v>0</v>
      </c>
      <c r="I1299" s="206">
        <f ca="1">IF($S$1&lt;DATE(2025,4,1)," ",COUNTIFS('2025数据'!$T$3:$T$181,"&gt;="&amp;DATE(2025,4,1),'2025数据'!$T$3:$T$181,"&lt;="&amp;DATE(2025,4,30),'2025数据'!$B$3:$B$181,$E1299))</f>
        <v>0</v>
      </c>
      <c r="J1299" s="206">
        <f ca="1">IF($S$1&lt;DATE(2025,5,1)," ",COUNTIFS('2025数据'!$T$3:$T$181,"&gt;="&amp;DATE(2025,5,1),'2025数据'!$T$3:$T$181,"&lt;="&amp;DATE(2025,5,31),'2025数据'!$B$3:$B$181,$E1299))</f>
        <v>0</v>
      </c>
      <c r="K1299" s="206">
        <f ca="1">IF($S$1&lt;DATE(2025,6,1)," ",COUNTIFS('2025数据'!$T$3:$T$181,"&gt;="&amp;DATE(2025,6,1),'2025数据'!$T$3:$T$181,"&lt;="&amp;DATE(2025,6,30),'2025数据'!$B$3:$B$181,$E1299))</f>
        <v>1</v>
      </c>
      <c r="L1299" s="206">
        <f ca="1">IF($S$1&lt;DATE(2025,7,1)," ",COUNTIFS('2025数据'!$T$3:$T$181,"&gt;="&amp;DATE(2025,7,1),'2025数据'!$T$3:$T$181,"&lt;="&amp;DATE(2025,7,31),'2025数据'!$B$3:$B$181,$E1299))</f>
        <v>1</v>
      </c>
      <c r="M1299" s="206">
        <f ca="1">IF($S$1&lt;DATE(2025,8,1)," ",COUNTIFS('2025数据'!$T$3:$T$181,"&gt;="&amp;DATE(2025,8,1),'2025数据'!$T$3:$T$181,"&lt;="&amp;DATE(2025,8,31),'2025数据'!$B$3:$B$181,$E1299))</f>
        <v>2</v>
      </c>
      <c r="N1299" s="206">
        <f ca="1">IF($S$1&lt;DATE(2025,9,1)," ",COUNTIFS('2025数据'!$T$3:$T$181,"&gt;="&amp;DATE(2025,9,1),'2025数据'!$T$3:$T$181,"&lt;="&amp;DATE(2025,9,30),'2025数据'!$B$3:$B$181,$E1299))</f>
        <v>2</v>
      </c>
      <c r="O1299" s="206">
        <f ca="1">IF($S$1&lt;DATE(2025,10,1)," ",COUNTIFS('2025数据'!$T$3:$T$181,"&gt;="&amp;DATE(2025,10,1),'2025数据'!$T$3:$T$181,"&lt;="&amp;DATE(2025,10,31),'2025数据'!$B$3:$B$181,$E1299))</f>
        <v>1</v>
      </c>
      <c r="P1299" s="208">
        <f ca="1">IF($S$1&lt;DATE(2025,11,1)," ",COUNTIFS('2025数据'!$T$3:$T$181,"&gt;="&amp;DATE(2025,11,1),'2025数据'!$T$3:$T$181,"&lt;="&amp;DATE(2025,11,30),'2025数据'!$B$3:$B$181,$E1299))</f>
        <v>0</v>
      </c>
      <c r="Q1299" s="208">
        <f ca="1">IF($S$1&lt;DATE(2025,12,1)," ",COUNTIFS('2025数据'!$T$3:$T$181,"&gt;="&amp;DATE(2025,12,1),'2025数据'!$T$3:$T$181,"&lt;="&amp;DATE(2025,12,31),'2025数据'!$B$3:$B$181,$E1299))</f>
        <v>0</v>
      </c>
    </row>
    <row r="1300" ht="24" customHeight="1" spans="1:17">
      <c r="A1300" s="99" t="s">
        <v>348</v>
      </c>
      <c r="B1300" s="99" t="s">
        <v>299</v>
      </c>
      <c r="C1300" s="99" t="s">
        <v>291</v>
      </c>
      <c r="D1300" s="47" t="s">
        <v>294</v>
      </c>
      <c r="E1300" s="47" t="s">
        <v>96</v>
      </c>
      <c r="F1300" s="206">
        <f ca="1">IF($S$1&lt;DATE(2025,1,1)," ",COUNTIFS('2025数据'!$T$3:$T$181,"&gt;="&amp;DATE(2024,1,1),'2025数据'!$T$3:$T$181,"&lt;="&amp;DATE(2025,1,31),'2025数据'!$B$3:$B$181,$E1300))</f>
        <v>1</v>
      </c>
      <c r="G1300" s="206">
        <f ca="1">IF($S$1&lt;DATE(2025,2,1)," ",COUNTIFS('2025数据'!$T$3:$T$181,"&gt;="&amp;DATE(2025,2,1),'2025数据'!$T$3:$T$181,"&lt;="&amp;DATE(2025,2,28),'2025数据'!$B$3:$B$181,$E1300))</f>
        <v>0</v>
      </c>
      <c r="H1300" s="206">
        <f ca="1">IF($S$1&lt;DATE(2025,3,1)," ",COUNTIFS('2025数据'!$T$3:$T$181,"&gt;="&amp;DATE(2025,3,1),'2025数据'!$T$3:$T$181,"&lt;="&amp;DATE(2025,3,31),'2025数据'!$B$3:$B$181,$E1300))</f>
        <v>0</v>
      </c>
      <c r="I1300" s="206">
        <f ca="1">IF($S$1&lt;DATE(2025,4,1)," ",COUNTIFS('2025数据'!$T$3:$T$181,"&gt;="&amp;DATE(2025,4,1),'2025数据'!$T$3:$T$181,"&lt;="&amp;DATE(2025,4,30),'2025数据'!$B$3:$B$181,$E1300))</f>
        <v>1</v>
      </c>
      <c r="J1300" s="206">
        <f ca="1">IF($S$1&lt;DATE(2025,5,1)," ",COUNTIFS('2025数据'!$T$3:$T$181,"&gt;="&amp;DATE(2025,5,1),'2025数据'!$T$3:$T$181,"&lt;="&amp;DATE(2025,5,31),'2025数据'!$B$3:$B$181,$E1300))</f>
        <v>0</v>
      </c>
      <c r="K1300" s="206">
        <f ca="1">IF($S$1&lt;DATE(2025,6,1)," ",COUNTIFS('2025数据'!$T$3:$T$181,"&gt;="&amp;DATE(2025,6,1),'2025数据'!$T$3:$T$181,"&lt;="&amp;DATE(2025,6,30),'2025数据'!$B$3:$B$181,$E1300))</f>
        <v>0</v>
      </c>
      <c r="L1300" s="206">
        <f ca="1">IF($S$1&lt;DATE(2025,7,1)," ",COUNTIFS('2025数据'!$T$3:$T$181,"&gt;="&amp;DATE(2025,7,1),'2025数据'!$T$3:$T$181,"&lt;="&amp;DATE(2025,7,31),'2025数据'!$B$3:$B$181,$E1300))</f>
        <v>1</v>
      </c>
      <c r="M1300" s="206">
        <f ca="1">IF($S$1&lt;DATE(2025,8,1)," ",COUNTIFS('2025数据'!$T$3:$T$181,"&gt;="&amp;DATE(2025,8,1),'2025数据'!$T$3:$T$181,"&lt;="&amp;DATE(2025,8,31),'2025数据'!$B$3:$B$181,$E1300))</f>
        <v>0</v>
      </c>
      <c r="N1300" s="206">
        <f ca="1">IF($S$1&lt;DATE(2025,9,1)," ",COUNTIFS('2025数据'!$T$3:$T$181,"&gt;="&amp;DATE(2025,9,1),'2025数据'!$T$3:$T$181,"&lt;="&amp;DATE(2025,9,30),'2025数据'!$B$3:$B$181,$E1300))</f>
        <v>0</v>
      </c>
      <c r="O1300" s="206">
        <f ca="1">IF($S$1&lt;DATE(2025,10,1)," ",COUNTIFS('2025数据'!$T$3:$T$181,"&gt;="&amp;DATE(2025,10,1),'2025数据'!$T$3:$T$181,"&lt;="&amp;DATE(2025,10,31),'2025数据'!$B$3:$B$181,$E1300))</f>
        <v>0</v>
      </c>
      <c r="P1300" s="208">
        <f ca="1">IF($S$1&lt;DATE(2025,11,1)," ",COUNTIFS('2025数据'!$T$3:$T$181,"&gt;="&amp;DATE(2025,11,1),'2025数据'!$T$3:$T$181,"&lt;="&amp;DATE(2025,11,30),'2025数据'!$B$3:$B$181,$E1300))</f>
        <v>0</v>
      </c>
      <c r="Q1300" s="208">
        <f ca="1">IF($S$1&lt;DATE(2025,12,1)," ",COUNTIFS('2025数据'!$T$3:$T$181,"&gt;="&amp;DATE(2025,12,1),'2025数据'!$T$3:$T$181,"&lt;="&amp;DATE(2025,12,31),'2025数据'!$B$3:$B$181,$E1300))</f>
        <v>0</v>
      </c>
    </row>
    <row r="1301" ht="24" customHeight="1" spans="1:17">
      <c r="A1301" s="99" t="s">
        <v>348</v>
      </c>
      <c r="B1301" s="99" t="s">
        <v>299</v>
      </c>
      <c r="C1301" s="99" t="s">
        <v>291</v>
      </c>
      <c r="D1301" s="47" t="s">
        <v>294</v>
      </c>
      <c r="E1301" s="47" t="s">
        <v>160</v>
      </c>
      <c r="F1301" s="206">
        <f ca="1">IF($S$1&lt;DATE(2025,1,1)," ",COUNTIFS('2025数据'!$T$3:$T$181,"&gt;="&amp;DATE(2024,1,1),'2025数据'!$T$3:$T$181,"&lt;="&amp;DATE(2025,1,31),'2025数据'!$B$3:$B$181,$E1301))</f>
        <v>0</v>
      </c>
      <c r="G1301" s="206">
        <f ca="1">IF($S$1&lt;DATE(2025,2,1)," ",COUNTIFS('2025数据'!$T$3:$T$181,"&gt;="&amp;DATE(2025,2,1),'2025数据'!$T$3:$T$181,"&lt;="&amp;DATE(2025,2,28),'2025数据'!$B$3:$B$181,$E1301))</f>
        <v>0</v>
      </c>
      <c r="H1301" s="206">
        <f ca="1">IF($S$1&lt;DATE(2025,3,1)," ",COUNTIFS('2025数据'!$T$3:$T$181,"&gt;="&amp;DATE(2025,3,1),'2025数据'!$T$3:$T$181,"&lt;="&amp;DATE(2025,3,31),'2025数据'!$B$3:$B$181,$E1301))</f>
        <v>0</v>
      </c>
      <c r="I1301" s="206">
        <f ca="1">IF($S$1&lt;DATE(2025,4,1)," ",COUNTIFS('2025数据'!$T$3:$T$181,"&gt;="&amp;DATE(2025,4,1),'2025数据'!$T$3:$T$181,"&lt;="&amp;DATE(2025,4,30),'2025数据'!$B$3:$B$181,$E1301))</f>
        <v>0</v>
      </c>
      <c r="J1301" s="206">
        <f ca="1">IF($S$1&lt;DATE(2025,5,1)," ",COUNTIFS('2025数据'!$T$3:$T$181,"&gt;="&amp;DATE(2025,5,1),'2025数据'!$T$3:$T$181,"&lt;="&amp;DATE(2025,5,31),'2025数据'!$B$3:$B$181,$E1301))</f>
        <v>0</v>
      </c>
      <c r="K1301" s="206">
        <f ca="1">IF($S$1&lt;DATE(2025,6,1)," ",COUNTIFS('2025数据'!$T$3:$T$181,"&gt;="&amp;DATE(2025,6,1),'2025数据'!$T$3:$T$181,"&lt;="&amp;DATE(2025,6,30),'2025数据'!$B$3:$B$181,$E1301))</f>
        <v>0</v>
      </c>
      <c r="L1301" s="206">
        <f ca="1">IF($S$1&lt;DATE(2025,7,1)," ",COUNTIFS('2025数据'!$T$3:$T$181,"&gt;="&amp;DATE(2025,7,1),'2025数据'!$T$3:$T$181,"&lt;="&amp;DATE(2025,7,31),'2025数据'!$B$3:$B$181,$E1301))</f>
        <v>0</v>
      </c>
      <c r="M1301" s="206">
        <f ca="1">IF($S$1&lt;DATE(2025,8,1)," ",COUNTIFS('2025数据'!$T$3:$T$181,"&gt;="&amp;DATE(2025,8,1),'2025数据'!$T$3:$T$181,"&lt;="&amp;DATE(2025,8,31),'2025数据'!$B$3:$B$181,$E1301))</f>
        <v>1</v>
      </c>
      <c r="N1301" s="206">
        <f ca="1">IF($S$1&lt;DATE(2025,9,1)," ",COUNTIFS('2025数据'!$T$3:$T$181,"&gt;="&amp;DATE(2025,9,1),'2025数据'!$T$3:$T$181,"&lt;="&amp;DATE(2025,9,30),'2025数据'!$B$3:$B$181,$E1301))</f>
        <v>0</v>
      </c>
      <c r="O1301" s="206">
        <f ca="1">IF($S$1&lt;DATE(2025,10,1)," ",COUNTIFS('2025数据'!$T$3:$T$181,"&gt;="&amp;DATE(2025,10,1),'2025数据'!$T$3:$T$181,"&lt;="&amp;DATE(2025,10,31),'2025数据'!$B$3:$B$181,$E1301))</f>
        <v>0</v>
      </c>
      <c r="P1301" s="208">
        <f ca="1">IF($S$1&lt;DATE(2025,11,1)," ",COUNTIFS('2025数据'!$T$3:$T$181,"&gt;="&amp;DATE(2025,11,1),'2025数据'!$T$3:$T$181,"&lt;="&amp;DATE(2025,11,30),'2025数据'!$B$3:$B$181,$E1301))</f>
        <v>0</v>
      </c>
      <c r="Q1301" s="208">
        <f ca="1">IF($S$1&lt;DATE(2025,12,1)," ",COUNTIFS('2025数据'!$T$3:$T$181,"&gt;="&amp;DATE(2025,12,1),'2025数据'!$T$3:$T$181,"&lt;="&amp;DATE(2025,12,31),'2025数据'!$B$3:$B$181,$E1301))</f>
        <v>0</v>
      </c>
    </row>
    <row r="1302" ht="24" customHeight="1" spans="1:17">
      <c r="A1302" s="99" t="s">
        <v>348</v>
      </c>
      <c r="B1302" s="99" t="s">
        <v>299</v>
      </c>
      <c r="C1302" s="99" t="s">
        <v>291</v>
      </c>
      <c r="D1302" s="100" t="s">
        <v>292</v>
      </c>
      <c r="E1302" s="110" t="s">
        <v>301</v>
      </c>
      <c r="F1302" s="210">
        <f ca="1">IF($S$1&lt;DATE(2025,1,1)," ",COUNTIFS('2025数据'!$T$3:$T$181,"&gt;="&amp;DATE(2025,1,1),'2025数据'!$T$3:$T$181,"&lt;="&amp;DATE(2025,1,31),'2025数据'!$BL$3:$BL$181,$E1302))</f>
        <v>4</v>
      </c>
      <c r="G1302" s="210">
        <f ca="1">IF($S$1&lt;DATE(2025,2,1)," ",COUNTIFS('2025数据'!$T$3:$T$181,"&gt;="&amp;DATE(2025,2,1),'2025数据'!$T$3:$T$181,"&lt;="&amp;DATE(2025,2,28),'2025数据'!$BL$3:$BL$181,$E1302))</f>
        <v>1</v>
      </c>
      <c r="H1302" s="210">
        <f ca="1">IF($S$1&lt;DATE(2025,3,1)," ",COUNTIFS('2025数据'!$T$3:$T$181,"&gt;="&amp;DATE(2025,3,1),'2025数据'!$T$3:$T$181,"&lt;="&amp;DATE(2025,3,31),'2025数据'!$BL$3:$BL$181,$E1302))</f>
        <v>0</v>
      </c>
      <c r="I1302" s="210">
        <f ca="1">IF($S$1&lt;DATE(2025,4,1)," ",COUNTIFS('2025数据'!$T$3:$T$181,"&gt;="&amp;DATE(2025,4,1),'2025数据'!$T$3:$T$181,"&lt;="&amp;DATE(2025,4,30),'2025数据'!$BL$3:$BL$181,$E1302))</f>
        <v>0</v>
      </c>
      <c r="J1302" s="210">
        <f ca="1">IF($S$1&lt;DATE(2025,5,1)," ",COUNTIFS('2025数据'!$T$3:$T$181,"&gt;="&amp;DATE(2025,5,1),'2025数据'!$T$3:$T$181,"&lt;="&amp;DATE(2025,5,31),'2025数据'!$BL$3:$BL$181,$E1302))</f>
        <v>2</v>
      </c>
      <c r="K1302" s="210">
        <f ca="1">IF($S$1&lt;DATE(2025,6,1)," ",COUNTIFS('2025数据'!$T$3:$T$181,"&gt;="&amp;DATE(2025,6,1),'2025数据'!$T$3:$T$181,"&lt;="&amp;DATE(2025,6,30),'2025数据'!$BL$3:$BL$181,$E1302))</f>
        <v>1</v>
      </c>
      <c r="L1302" s="210">
        <f ca="1">IF($S$1&lt;DATE(2025,7,1)," ",COUNTIFS('2025数据'!$T$3:$T$181,"&gt;="&amp;DATE(2025,7,1),'2025数据'!$T$3:$T$181,"&lt;="&amp;DATE(2025,7,31),'2025数据'!$BL$3:$BL$181,$E1302))</f>
        <v>1</v>
      </c>
      <c r="M1302" s="210">
        <f ca="1">IF($S$1&lt;DATE(2025,8,1)," ",COUNTIFS('2025数据'!$T$3:$T$181,"&gt;="&amp;DATE(2025,8,1),'2025数据'!$T$3:$T$181,"&lt;="&amp;DATE(2025,8,31),'2025数据'!$BL$3:$BL$181,$E1302))</f>
        <v>5</v>
      </c>
      <c r="N1302" s="210">
        <f ca="1">IF($S$1&lt;DATE(2025,9,1)," ",COUNTIFS('2025数据'!$T$3:$T$181,"&gt;="&amp;DATE(2025,9,1),'2025数据'!$T$3:$T$181,"&lt;="&amp;DATE(2025,9,30),'2025数据'!$BL$3:$BL$181,$E1302))</f>
        <v>1</v>
      </c>
      <c r="O1302" s="210">
        <f ca="1">IF($S$1&lt;DATE(2025,10,1)," ",COUNTIFS('2025数据'!$T$3:$T$181,"&gt;="&amp;DATE(2025,10,1),'2025数据'!$T$3:$T$181,"&lt;="&amp;DATE(2025,10,31),'2025数据'!$BL$3:$BL$181,$E1302))</f>
        <v>2</v>
      </c>
      <c r="P1302" s="212">
        <f ca="1">IF($S$1&lt;DATE(2025,11,1)," ",COUNTIFS('2025数据'!$T$3:$T$181,"&gt;="&amp;DATE(2025,11,1),'2025数据'!$T$3:$T$181,"&lt;="&amp;DATE(2025,11,30),'2025数据'!$BL$3:$BL$181,$E1302))</f>
        <v>1</v>
      </c>
      <c r="Q1302" s="212">
        <f ca="1">IF($S$1&lt;DATE(2025,12,1)," ",COUNTIFS('2025数据'!$T$3:$T$181,"&gt;="&amp;DATE(2025,12,1),'2025数据'!$T$3:$T$181,"&lt;="&amp;DATE(2025,12,31),'2025数据'!$BL$3:$BL$181,$E1302))</f>
        <v>3</v>
      </c>
    </row>
    <row r="1303" ht="24" customHeight="1" spans="1:17">
      <c r="A1303" s="99" t="s">
        <v>348</v>
      </c>
      <c r="B1303" s="99" t="s">
        <v>299</v>
      </c>
      <c r="C1303" s="99" t="s">
        <v>291</v>
      </c>
      <c r="D1303" s="100" t="s">
        <v>292</v>
      </c>
      <c r="E1303" s="110" t="s">
        <v>302</v>
      </c>
      <c r="F1303" s="210">
        <f ca="1">IF($S$1&lt;DATE(2025,1,1)," ",COUNTIFS('2025数据'!$T$3:$T$181,"&gt;="&amp;DATE(2025,1,1),'2025数据'!$T$3:$T$181,"&lt;="&amp;DATE(2025,1,31),'2025数据'!$BL$3:$BL$181,$E1303))</f>
        <v>1</v>
      </c>
      <c r="G1303" s="210">
        <f ca="1">IF($S$1&lt;DATE(2025,2,1)," ",COUNTIFS('2025数据'!$T$3:$T$181,"&gt;="&amp;DATE(2025,2,1),'2025数据'!$T$3:$T$181,"&lt;="&amp;DATE(2025,2,28),'2025数据'!$BL$3:$BL$181,$E1303))</f>
        <v>1</v>
      </c>
      <c r="H1303" s="210">
        <f ca="1">IF($S$1&lt;DATE(2025,3,1)," ",COUNTIFS('2025数据'!$T$3:$T$181,"&gt;="&amp;DATE(2025,3,1),'2025数据'!$T$3:$T$181,"&lt;="&amp;DATE(2025,3,31),'2025数据'!$BL$3:$BL$181,$E1303))</f>
        <v>2</v>
      </c>
      <c r="I1303" s="210">
        <f ca="1">IF($S$1&lt;DATE(2025,4,1)," ",COUNTIFS('2025数据'!$T$3:$T$181,"&gt;="&amp;DATE(2025,4,1),'2025数据'!$T$3:$T$181,"&lt;="&amp;DATE(2025,4,30),'2025数据'!$BL$3:$BL$181,$E1303))</f>
        <v>1</v>
      </c>
      <c r="J1303" s="210">
        <f ca="1">IF($S$1&lt;DATE(2025,5,1)," ",COUNTIFS('2025数据'!$T$3:$T$181,"&gt;="&amp;DATE(2025,5,1),'2025数据'!$T$3:$T$181,"&lt;="&amp;DATE(2025,5,31),'2025数据'!$BL$3:$BL$181,$E1303))</f>
        <v>3</v>
      </c>
      <c r="K1303" s="210">
        <f ca="1">IF($S$1&lt;DATE(2025,6,1)," ",COUNTIFS('2025数据'!$T$3:$T$181,"&gt;="&amp;DATE(2025,6,1),'2025数据'!$T$3:$T$181,"&lt;="&amp;DATE(2025,6,30),'2025数据'!$BL$3:$BL$181,$E1303))</f>
        <v>4</v>
      </c>
      <c r="L1303" s="210">
        <f ca="1">IF($S$1&lt;DATE(2025,7,1)," ",COUNTIFS('2025数据'!$T$3:$T$181,"&gt;="&amp;DATE(2025,7,1),'2025数据'!$T$3:$T$181,"&lt;="&amp;DATE(2025,7,31),'2025数据'!$BL$3:$BL$181,$E1303))</f>
        <v>1</v>
      </c>
      <c r="M1303" s="210">
        <f ca="1">IF($S$1&lt;DATE(2025,8,1)," ",COUNTIFS('2025数据'!$T$3:$T$181,"&gt;="&amp;DATE(2025,8,1),'2025数据'!$T$3:$T$181,"&lt;="&amp;DATE(2025,8,31),'2025数据'!$BL$3:$BL$181,$E1303))</f>
        <v>3</v>
      </c>
      <c r="N1303" s="210">
        <f ca="1">IF($S$1&lt;DATE(2025,9,1)," ",COUNTIFS('2025数据'!$T$3:$T$181,"&gt;="&amp;DATE(2025,9,1),'2025数据'!$T$3:$T$181,"&lt;="&amp;DATE(2025,9,30),'2025数据'!$BL$3:$BL$181,$E1303))</f>
        <v>4</v>
      </c>
      <c r="O1303" s="210">
        <f ca="1">IF($S$1&lt;DATE(2025,10,1)," ",COUNTIFS('2025数据'!$T$3:$T$181,"&gt;="&amp;DATE(2025,10,1),'2025数据'!$T$3:$T$181,"&lt;="&amp;DATE(2025,10,31),'2025数据'!$BL$3:$BL$181,$E1303))</f>
        <v>3</v>
      </c>
      <c r="P1303" s="212">
        <f ca="1">IF($S$1&lt;DATE(2025,11,1)," ",COUNTIFS('2025数据'!$T$3:$T$181,"&gt;="&amp;DATE(2025,11,1),'2025数据'!$T$3:$T$181,"&lt;="&amp;DATE(2025,11,30),'2025数据'!$BL$3:$BL$181,$E1303))</f>
        <v>0</v>
      </c>
      <c r="Q1303" s="212">
        <f ca="1">IF($S$1&lt;DATE(2025,12,1)," ",COUNTIFS('2025数据'!$T$3:$T$181,"&gt;="&amp;DATE(2025,12,1),'2025数据'!$T$3:$T$181,"&lt;="&amp;DATE(2025,12,31),'2025数据'!$BL$3:$BL$181,$E1303))</f>
        <v>2</v>
      </c>
    </row>
    <row r="1304" ht="24" customHeight="1" spans="1:17">
      <c r="A1304" s="99" t="s">
        <v>348</v>
      </c>
      <c r="B1304" s="99" t="s">
        <v>299</v>
      </c>
      <c r="C1304" s="99" t="s">
        <v>291</v>
      </c>
      <c r="D1304" s="100" t="s">
        <v>292</v>
      </c>
      <c r="E1304" s="110" t="s">
        <v>150</v>
      </c>
      <c r="F1304" s="210">
        <f ca="1">IF($S$1&lt;DATE(2025,1,1)," ",COUNTIFS('2025数据'!$T$3:$T$181,"&gt;="&amp;DATE(2025,1,1),'2025数据'!$T$3:$T$181,"&lt;="&amp;DATE(2025,1,31),'2025数据'!$BL$3:$BL$181,$E1304))</f>
        <v>0</v>
      </c>
      <c r="G1304" s="210">
        <f ca="1">IF($S$1&lt;DATE(2025,2,1)," ",COUNTIFS('2025数据'!$T$3:$T$181,"&gt;="&amp;DATE(2025,2,1),'2025数据'!$T$3:$T$181,"&lt;="&amp;DATE(2025,2,28),'2025数据'!$BL$3:$BL$181,$E1304))</f>
        <v>0</v>
      </c>
      <c r="H1304" s="210">
        <f ca="1">IF($S$1&lt;DATE(2025,3,1)," ",COUNTIFS('2025数据'!$T$3:$T$181,"&gt;="&amp;DATE(2025,3,1),'2025数据'!$T$3:$T$181,"&lt;="&amp;DATE(2025,3,31),'2025数据'!$BL$3:$BL$181,$E1304))</f>
        <v>0</v>
      </c>
      <c r="I1304" s="210">
        <f ca="1">IF($S$1&lt;DATE(2025,4,1)," ",COUNTIFS('2025数据'!$T$3:$T$181,"&gt;="&amp;DATE(2025,4,1),'2025数据'!$T$3:$T$181,"&lt;="&amp;DATE(2025,4,30),'2025数据'!$BL$3:$BL$181,$E1304))</f>
        <v>1</v>
      </c>
      <c r="J1304" s="210">
        <f ca="1">IF($S$1&lt;DATE(2025,5,1)," ",COUNTIFS('2025数据'!$T$3:$T$181,"&gt;="&amp;DATE(2025,5,1),'2025数据'!$T$3:$T$181,"&lt;="&amp;DATE(2025,5,31),'2025数据'!$BL$3:$BL$181,$E1304))</f>
        <v>0</v>
      </c>
      <c r="K1304" s="210">
        <f ca="1">IF($S$1&lt;DATE(2025,6,1)," ",COUNTIFS('2025数据'!$T$3:$T$181,"&gt;="&amp;DATE(2025,6,1),'2025数据'!$T$3:$T$181,"&lt;="&amp;DATE(2025,6,30),'2025数据'!$BL$3:$BL$181,$E1304))</f>
        <v>0</v>
      </c>
      <c r="L1304" s="210">
        <f ca="1">IF($S$1&lt;DATE(2025,7,1)," ",COUNTIFS('2025数据'!$T$3:$T$181,"&gt;="&amp;DATE(2025,7,1),'2025数据'!$T$3:$T$181,"&lt;="&amp;DATE(2025,7,31),'2025数据'!$BL$3:$BL$181,$E1304))</f>
        <v>1</v>
      </c>
      <c r="M1304" s="210">
        <f ca="1">IF($S$1&lt;DATE(2025,8,1)," ",COUNTIFS('2025数据'!$T$3:$T$181,"&gt;="&amp;DATE(2025,8,1),'2025数据'!$T$3:$T$181,"&lt;="&amp;DATE(2025,8,31),'2025数据'!$BL$3:$BL$181,$E1304))</f>
        <v>0</v>
      </c>
      <c r="N1304" s="210">
        <f ca="1">IF($S$1&lt;DATE(2025,9,1)," ",COUNTIFS('2025数据'!$T$3:$T$181,"&gt;="&amp;DATE(2025,9,1),'2025数据'!$T$3:$T$181,"&lt;="&amp;DATE(2025,9,30),'2025数据'!$BL$3:$BL$181,$E1304))</f>
        <v>0</v>
      </c>
      <c r="O1304" s="210">
        <f ca="1">IF($S$1&lt;DATE(2025,10,1)," ",COUNTIFS('2025数据'!$T$3:$T$181,"&gt;="&amp;DATE(2025,10,1),'2025数据'!$T$3:$T$181,"&lt;="&amp;DATE(2025,10,31),'2025数据'!$BL$3:$BL$181,$E1304))</f>
        <v>0</v>
      </c>
      <c r="P1304" s="212">
        <f ca="1">IF($S$1&lt;DATE(2025,11,1)," ",COUNTIFS('2025数据'!$T$3:$T$181,"&gt;="&amp;DATE(2025,11,1),'2025数据'!$T$3:$T$181,"&lt;="&amp;DATE(2025,11,30),'2025数据'!$BL$3:$BL$181,$E1304))</f>
        <v>0</v>
      </c>
      <c r="Q1304" s="212">
        <f ca="1">IF($S$1&lt;DATE(2025,12,1)," ",COUNTIFS('2025数据'!$T$3:$T$181,"&gt;="&amp;DATE(2025,12,1),'2025数据'!$T$3:$T$181,"&lt;="&amp;DATE(2025,12,31),'2025数据'!$BL$3:$BL$181,$E1304))</f>
        <v>0</v>
      </c>
    </row>
    <row r="1305" ht="24" customHeight="1" spans="1:17">
      <c r="A1305" s="99" t="s">
        <v>348</v>
      </c>
      <c r="B1305" s="99" t="s">
        <v>299</v>
      </c>
      <c r="C1305" s="99" t="s">
        <v>291</v>
      </c>
      <c r="D1305" s="53" t="s">
        <v>303</v>
      </c>
      <c r="E1305" s="53" t="s">
        <v>93</v>
      </c>
      <c r="F1305" s="210">
        <f ca="1">IF($S$1&lt;DATE(2025,1,1)," ",COUNTIFS('2025数据'!$T$3:$T$181,"&gt;="&amp;DATE(2025,1,1),'2025数据'!$T$3:$T$181,"&lt;="&amp;DATE(2025,1,31),'2025数据'!$BL$3:$BL$181,$E$37,'2025数据'!$B$3:$B$181,$E1305))</f>
        <v>0</v>
      </c>
      <c r="G1305" s="210">
        <f ca="1">IF($S$1&lt;DATE(2025,2,1)," ",COUNTIFS('2025数据'!$T$3:$T$181,"&gt;="&amp;DATE(2025,2,1),'2025数据'!$T$3:$T$181,"&lt;="&amp;DATE(2025,2,28),'2025数据'!$BL$3:$BL$181,$E$37,'2025数据'!$B$3:$B$181,$E1305))</f>
        <v>1</v>
      </c>
      <c r="H1305" s="210">
        <f ca="1">IF($S$1&lt;DATE(2025,3,1)," ",COUNTIFS('2025数据'!$T$3:$T$181,"&gt;="&amp;DATE(2025,3,1),'2025数据'!$T$3:$T$181,"&lt;="&amp;DATE(2025,3,31),'2025数据'!$BL$3:$BL$181,$E$37,'2025数据'!$B$3:$B$181,$E1305))</f>
        <v>0</v>
      </c>
      <c r="I1305" s="210">
        <f ca="1">IF($S$1&lt;DATE(2025,4,1)," ",COUNTIFS('2025数据'!$T$3:$T$181,"&gt;="&amp;DATE(2025,4,1),'2025数据'!$T$3:$T$181,"&lt;="&amp;DATE(2025,4,30),'2025数据'!$BL$3:$BL$181,$E$37,'2025数据'!$B$3:$B$181,$E1305))</f>
        <v>0</v>
      </c>
      <c r="J1305" s="210">
        <f ca="1">IF($S$1&lt;DATE(2025,5,1)," ",COUNTIFS('2025数据'!$T$3:$T$181,"&gt;="&amp;DATE(2025,5,1),'2025数据'!$T$3:$T$181,"&lt;="&amp;DATE(2025,5,31),'2025数据'!$BL$3:$BL$181,$E$37,'2025数据'!$B$3:$B$181,$E1305))</f>
        <v>1</v>
      </c>
      <c r="K1305" s="210">
        <f ca="1">IF($S$1&lt;DATE(2025,6,1)," ",COUNTIFS('2025数据'!$T$3:$T$181,"&gt;="&amp;DATE(2025,6,1),'2025数据'!$T$3:$T$181,"&lt;="&amp;DATE(2025,6,30),'2025数据'!$BL$3:$BL$181,$E$37,'2025数据'!$B$3:$B$181,$E1305))</f>
        <v>1</v>
      </c>
      <c r="L1305" s="210">
        <f ca="1">IF($S$1&lt;DATE(2025,7,1)," ",COUNTIFS('2025数据'!$T$3:$T$181,"&gt;="&amp;DATE(2025,7,1),'2025数据'!$T$3:$T$181,"&lt;="&amp;DATE(2025,7,31),'2025数据'!$BL$3:$BL$181,$E$37,'2025数据'!$B$3:$B$181,$E1305))</f>
        <v>0</v>
      </c>
      <c r="M1305" s="210">
        <f ca="1">IF($S$1&lt;DATE(2025,8,1)," ",COUNTIFS('2025数据'!$T$3:$T$181,"&gt;="&amp;DATE(2025,8,1),'2025数据'!$T$3:$T$181,"&lt;="&amp;DATE(2025,8,31),'2025数据'!$BL$3:$BL$181,$E$37,'2025数据'!$B$3:$B$181,$E1305))</f>
        <v>2</v>
      </c>
      <c r="N1305" s="210">
        <f ca="1">IF($S$1&lt;DATE(2025,9,1)," ",COUNTIFS('2025数据'!$T$3:$T$181,"&gt;="&amp;DATE(2025,9,1),'2025数据'!$T$3:$T$181,"&lt;="&amp;DATE(2025,9,30),'2025数据'!$BL$3:$BL$181,$E$37,'2025数据'!$B$3:$B$181,$E1305))</f>
        <v>1</v>
      </c>
      <c r="O1305" s="210">
        <f ca="1">IF($S$1&lt;DATE(2025,10,1)," ",COUNTIFS('2025数据'!$T$3:$T$181,"&gt;="&amp;DATE(2025,10,1),'2025数据'!$T$3:$T$181,"&lt;="&amp;DATE(2025,10,31),'2025数据'!$BL$3:$BL$181,$E$37,'2025数据'!$B$3:$B$181,$E1305))</f>
        <v>0</v>
      </c>
      <c r="P1305" s="212">
        <f ca="1">IF($S$1&lt;DATE(2025,11,1)," ",COUNTIFS('2025数据'!$T$3:$T$181,"&gt;="&amp;DATE(2025,11,1),'2025数据'!$T$3:$T$181,"&lt;="&amp;DATE(2025,11,30),'2025数据'!$BL$3:$BL$181,$E$37,'2025数据'!$B$3:$B$181,$E1305))</f>
        <v>0</v>
      </c>
      <c r="Q1305" s="212">
        <f ca="1">IF($S$1&lt;DATE(2025,12,1)," ",COUNTIFS('2025数据'!$T$3:$T$181,"&gt;="&amp;DATE(2025,12,1),'2025数据'!$T$3:$T$181,"&lt;="&amp;DATE(2025,12,31),'2025数据'!$BL$3:$BL$181,$E$37,'2025数据'!$B$3:$B$181,$E1305))</f>
        <v>0</v>
      </c>
    </row>
    <row r="1306" ht="24" customHeight="1" spans="1:17">
      <c r="A1306" s="99" t="s">
        <v>348</v>
      </c>
      <c r="B1306" s="99" t="s">
        <v>299</v>
      </c>
      <c r="C1306" s="99" t="s">
        <v>291</v>
      </c>
      <c r="D1306" s="53" t="s">
        <v>303</v>
      </c>
      <c r="E1306" s="53" t="s">
        <v>85</v>
      </c>
      <c r="F1306" s="210">
        <f ca="1">IF($S$1&lt;DATE(2025,1,1)," ",COUNTIFS('2025数据'!$T$3:$T$181,"&gt;="&amp;DATE(2025,1,1),'2025数据'!$T$3:$T$181,"&lt;="&amp;DATE(2025,1,31),'2025数据'!$BL$3:$BL$181,$E$37,'2025数据'!$B$3:$B$181,$E1306))</f>
        <v>2</v>
      </c>
      <c r="G1306" s="210">
        <f ca="1">IF($S$1&lt;DATE(2025,2,1)," ",COUNTIFS('2025数据'!$T$3:$T$181,"&gt;="&amp;DATE(2025,2,1),'2025数据'!$T$3:$T$181,"&lt;="&amp;DATE(2025,2,28),'2025数据'!$BL$3:$BL$181,$E$37,'2025数据'!$B$3:$B$181,$E1306))</f>
        <v>0</v>
      </c>
      <c r="H1306" s="210">
        <f ca="1">IF($S$1&lt;DATE(2025,3,1)," ",COUNTIFS('2025数据'!$T$3:$T$181,"&gt;="&amp;DATE(2025,3,1),'2025数据'!$T$3:$T$181,"&lt;="&amp;DATE(2025,3,31),'2025数据'!$BL$3:$BL$181,$E$37,'2025数据'!$B$3:$B$181,$E1306))</f>
        <v>0</v>
      </c>
      <c r="I1306" s="210">
        <f ca="1">IF($S$1&lt;DATE(2025,4,1)," ",COUNTIFS('2025数据'!$T$3:$T$181,"&gt;="&amp;DATE(2025,4,1),'2025数据'!$T$3:$T$181,"&lt;="&amp;DATE(2025,4,30),'2025数据'!$BL$3:$BL$181,$E$37,'2025数据'!$B$3:$B$181,$E1306))</f>
        <v>0</v>
      </c>
      <c r="J1306" s="210">
        <f ca="1">IF($S$1&lt;DATE(2025,5,1)," ",COUNTIFS('2025数据'!$T$3:$T$181,"&gt;="&amp;DATE(2025,5,1),'2025数据'!$T$3:$T$181,"&lt;="&amp;DATE(2025,5,31),'2025数据'!$BL$3:$BL$181,$E$37,'2025数据'!$B$3:$B$181,$E1306))</f>
        <v>1</v>
      </c>
      <c r="K1306" s="210">
        <f ca="1">IF($S$1&lt;DATE(2025,6,1)," ",COUNTIFS('2025数据'!$T$3:$T$181,"&gt;="&amp;DATE(2025,6,1),'2025数据'!$T$3:$T$181,"&lt;="&amp;DATE(2025,6,30),'2025数据'!$BL$3:$BL$181,$E$37,'2025数据'!$B$3:$B$181,$E1306))</f>
        <v>0</v>
      </c>
      <c r="L1306" s="210">
        <f ca="1">IF($S$1&lt;DATE(2025,7,1)," ",COUNTIFS('2025数据'!$T$3:$T$181,"&gt;="&amp;DATE(2025,7,1),'2025数据'!$T$3:$T$181,"&lt;="&amp;DATE(2025,7,31),'2025数据'!$BL$3:$BL$181,$E$37,'2025数据'!$B$3:$B$181,$E1306))</f>
        <v>0</v>
      </c>
      <c r="M1306" s="210">
        <f ca="1">IF($S$1&lt;DATE(2025,8,1)," ",COUNTIFS('2025数据'!$T$3:$T$181,"&gt;="&amp;DATE(2025,8,1),'2025数据'!$T$3:$T$181,"&lt;="&amp;DATE(2025,8,31),'2025数据'!$BL$3:$BL$181,$E$37,'2025数据'!$B$3:$B$181,$E1306))</f>
        <v>1</v>
      </c>
      <c r="N1306" s="210">
        <f ca="1">IF($S$1&lt;DATE(2025,9,1)," ",COUNTIFS('2025数据'!$T$3:$T$181,"&gt;="&amp;DATE(2025,9,1),'2025数据'!$T$3:$T$181,"&lt;="&amp;DATE(2025,9,30),'2025数据'!$BL$3:$BL$181,$E$37,'2025数据'!$B$3:$B$181,$E1306))</f>
        <v>0</v>
      </c>
      <c r="O1306" s="210">
        <f ca="1">IF($S$1&lt;DATE(2025,10,1)," ",COUNTIFS('2025数据'!$T$3:$T$181,"&gt;="&amp;DATE(2025,10,1),'2025数据'!$T$3:$T$181,"&lt;="&amp;DATE(2025,10,31),'2025数据'!$BL$3:$BL$181,$E$37,'2025数据'!$B$3:$B$181,$E1306))</f>
        <v>1</v>
      </c>
      <c r="P1306" s="212">
        <f ca="1">IF($S$1&lt;DATE(2025,11,1)," ",COUNTIFS('2025数据'!$T$3:$T$181,"&gt;="&amp;DATE(2025,11,1),'2025数据'!$T$3:$T$181,"&lt;="&amp;DATE(2025,11,30),'2025数据'!$BL$3:$BL$181,$E$37,'2025数据'!$B$3:$B$181,$E1306))</f>
        <v>1</v>
      </c>
      <c r="Q1306" s="212">
        <f ca="1">IF($S$1&lt;DATE(2025,12,1)," ",COUNTIFS('2025数据'!$T$3:$T$181,"&gt;="&amp;DATE(2025,12,1),'2025数据'!$T$3:$T$181,"&lt;="&amp;DATE(2025,12,31),'2025数据'!$BL$3:$BL$181,$E$37,'2025数据'!$B$3:$B$181,$E1306))</f>
        <v>3</v>
      </c>
    </row>
    <row r="1307" ht="24" customHeight="1" spans="1:17">
      <c r="A1307" s="99" t="s">
        <v>348</v>
      </c>
      <c r="B1307" s="99" t="s">
        <v>299</v>
      </c>
      <c r="C1307" s="99" t="s">
        <v>291</v>
      </c>
      <c r="D1307" s="53" t="s">
        <v>303</v>
      </c>
      <c r="E1307" s="53" t="s">
        <v>81</v>
      </c>
      <c r="F1307" s="210">
        <f ca="1">IF($S$1&lt;DATE(2025,1,1)," ",COUNTIFS('2025数据'!$T$3:$T$181,"&gt;="&amp;DATE(2025,1,1),'2025数据'!$T$3:$T$181,"&lt;="&amp;DATE(2025,1,31),'2025数据'!$BL$3:$BL$181,$E$37,'2025数据'!$B$3:$B$181,$E1307))</f>
        <v>2</v>
      </c>
      <c r="G1307" s="210">
        <f ca="1">IF($S$1&lt;DATE(2025,2,1)," ",COUNTIFS('2025数据'!$T$3:$T$181,"&gt;="&amp;DATE(2025,2,1),'2025数据'!$T$3:$T$181,"&lt;="&amp;DATE(2025,2,28),'2025数据'!$BL$3:$BL$181,$E$37,'2025数据'!$B$3:$B$181,$E1307))</f>
        <v>0</v>
      </c>
      <c r="H1307" s="210">
        <f ca="1">IF($S$1&lt;DATE(2025,3,1)," ",COUNTIFS('2025数据'!$T$3:$T$181,"&gt;="&amp;DATE(2025,3,1),'2025数据'!$T$3:$T$181,"&lt;="&amp;DATE(2025,3,31),'2025数据'!$BL$3:$BL$181,$E$37,'2025数据'!$B$3:$B$181,$E1307))</f>
        <v>0</v>
      </c>
      <c r="I1307" s="210">
        <f ca="1">IF($S$1&lt;DATE(2025,4,1)," ",COUNTIFS('2025数据'!$T$3:$T$181,"&gt;="&amp;DATE(2025,4,1),'2025数据'!$T$3:$T$181,"&lt;="&amp;DATE(2025,4,30),'2025数据'!$BL$3:$BL$181,$E$37,'2025数据'!$B$3:$B$181,$E1307))</f>
        <v>0</v>
      </c>
      <c r="J1307" s="210">
        <f ca="1">IF($S$1&lt;DATE(2025,5,1)," ",COUNTIFS('2025数据'!$T$3:$T$181,"&gt;="&amp;DATE(2025,5,1),'2025数据'!$T$3:$T$181,"&lt;="&amp;DATE(2025,5,31),'2025数据'!$BL$3:$BL$181,$E$37,'2025数据'!$B$3:$B$181,$E1307))</f>
        <v>0</v>
      </c>
      <c r="K1307" s="210">
        <f ca="1">IF($S$1&lt;DATE(2025,6,1)," ",COUNTIFS('2025数据'!$T$3:$T$181,"&gt;="&amp;DATE(2025,6,1),'2025数据'!$T$3:$T$181,"&lt;="&amp;DATE(2025,6,30),'2025数据'!$BL$3:$BL$181,$E$37,'2025数据'!$B$3:$B$181,$E1307))</f>
        <v>0</v>
      </c>
      <c r="L1307" s="210">
        <f ca="1">IF($S$1&lt;DATE(2025,7,1)," ",COUNTIFS('2025数据'!$T$3:$T$181,"&gt;="&amp;DATE(2025,7,1),'2025数据'!$T$3:$T$181,"&lt;="&amp;DATE(2025,7,31),'2025数据'!$BL$3:$BL$181,$E$37,'2025数据'!$B$3:$B$181,$E1307))</f>
        <v>1</v>
      </c>
      <c r="M1307" s="210">
        <f ca="1">IF($S$1&lt;DATE(2025,8,1)," ",COUNTIFS('2025数据'!$T$3:$T$181,"&gt;="&amp;DATE(2025,8,1),'2025数据'!$T$3:$T$181,"&lt;="&amp;DATE(2025,8,31),'2025数据'!$BL$3:$BL$181,$E$37,'2025数据'!$B$3:$B$181,$E1307))</f>
        <v>1</v>
      </c>
      <c r="N1307" s="210">
        <f ca="1">IF($S$1&lt;DATE(2025,9,1)," ",COUNTIFS('2025数据'!$T$3:$T$181,"&gt;="&amp;DATE(2025,9,1),'2025数据'!$T$3:$T$181,"&lt;="&amp;DATE(2025,9,30),'2025数据'!$BL$3:$BL$181,$E$37,'2025数据'!$B$3:$B$181,$E1307))</f>
        <v>0</v>
      </c>
      <c r="O1307" s="210">
        <f ca="1">IF($S$1&lt;DATE(2025,10,1)," ",COUNTIFS('2025数据'!$T$3:$T$181,"&gt;="&amp;DATE(2025,10,1),'2025数据'!$T$3:$T$181,"&lt;="&amp;DATE(2025,10,31),'2025数据'!$BL$3:$BL$181,$E$37,'2025数据'!$B$3:$B$181,$E1307))</f>
        <v>1</v>
      </c>
      <c r="P1307" s="212">
        <f ca="1">IF($S$1&lt;DATE(2025,11,1)," ",COUNTIFS('2025数据'!$T$3:$T$181,"&gt;="&amp;DATE(2025,11,1),'2025数据'!$T$3:$T$181,"&lt;="&amp;DATE(2025,11,30),'2025数据'!$BL$3:$BL$181,$E$37,'2025数据'!$B$3:$B$181,$E1307))</f>
        <v>0</v>
      </c>
      <c r="Q1307" s="212">
        <f ca="1">IF($S$1&lt;DATE(2025,12,1)," ",COUNTIFS('2025数据'!$T$3:$T$181,"&gt;="&amp;DATE(2025,12,1),'2025数据'!$T$3:$T$181,"&lt;="&amp;DATE(2025,12,31),'2025数据'!$BL$3:$BL$181,$E$37,'2025数据'!$B$3:$B$181,$E1307))</f>
        <v>0</v>
      </c>
    </row>
    <row r="1308" ht="24" customHeight="1" spans="1:17">
      <c r="A1308" s="99" t="s">
        <v>348</v>
      </c>
      <c r="B1308" s="99" t="s">
        <v>299</v>
      </c>
      <c r="C1308" s="99" t="s">
        <v>291</v>
      </c>
      <c r="D1308" s="53" t="s">
        <v>303</v>
      </c>
      <c r="E1308" s="53" t="s">
        <v>96</v>
      </c>
      <c r="F1308" s="210">
        <f ca="1">IF($S$1&lt;DATE(2025,1,1)," ",COUNTIFS('2025数据'!$T$3:$T$181,"&gt;="&amp;DATE(2025,1,1),'2025数据'!$T$3:$T$181,"&lt;="&amp;DATE(2025,1,31),'2025数据'!$BL$3:$BL$181,$E$37,'2025数据'!$B$3:$B$181,$E1308))</f>
        <v>0</v>
      </c>
      <c r="G1308" s="210">
        <f ca="1">IF($S$1&lt;DATE(2025,2,1)," ",COUNTIFS('2025数据'!$T$3:$T$181,"&gt;="&amp;DATE(2025,2,1),'2025数据'!$T$3:$T$181,"&lt;="&amp;DATE(2025,2,28),'2025数据'!$BL$3:$BL$181,$E$37,'2025数据'!$B$3:$B$181,$E1308))</f>
        <v>0</v>
      </c>
      <c r="H1308" s="210">
        <f ca="1">IF($S$1&lt;DATE(2025,3,1)," ",COUNTIFS('2025数据'!$T$3:$T$181,"&gt;="&amp;DATE(2025,3,1),'2025数据'!$T$3:$T$181,"&lt;="&amp;DATE(2025,3,31),'2025数据'!$BL$3:$BL$181,$E$37,'2025数据'!$B$3:$B$181,$E1308))</f>
        <v>0</v>
      </c>
      <c r="I1308" s="210">
        <f ca="1">IF($S$1&lt;DATE(2025,4,1)," ",COUNTIFS('2025数据'!$T$3:$T$181,"&gt;="&amp;DATE(2025,4,1),'2025数据'!$T$3:$T$181,"&lt;="&amp;DATE(2025,4,30),'2025数据'!$BL$3:$BL$181,$E$37,'2025数据'!$B$3:$B$181,$E1308))</f>
        <v>0</v>
      </c>
      <c r="J1308" s="210">
        <f ca="1">IF($S$1&lt;DATE(2025,5,1)," ",COUNTIFS('2025数据'!$T$3:$T$181,"&gt;="&amp;DATE(2025,5,1),'2025数据'!$T$3:$T$181,"&lt;="&amp;DATE(2025,5,31),'2025数据'!$BL$3:$BL$181,$E$37,'2025数据'!$B$3:$B$181,$E1308))</f>
        <v>0</v>
      </c>
      <c r="K1308" s="210">
        <f ca="1">IF($S$1&lt;DATE(2025,6,1)," ",COUNTIFS('2025数据'!$T$3:$T$181,"&gt;="&amp;DATE(2025,6,1),'2025数据'!$T$3:$T$181,"&lt;="&amp;DATE(2025,6,30),'2025数据'!$BL$3:$BL$181,$E$37,'2025数据'!$B$3:$B$181,$E1308))</f>
        <v>0</v>
      </c>
      <c r="L1308" s="210">
        <f ca="1">IF($S$1&lt;DATE(2025,7,1)," ",COUNTIFS('2025数据'!$T$3:$T$181,"&gt;="&amp;DATE(2025,7,1),'2025数据'!$T$3:$T$181,"&lt;="&amp;DATE(2025,7,31),'2025数据'!$BL$3:$BL$181,$E$37,'2025数据'!$B$3:$B$181,$E1308))</f>
        <v>0</v>
      </c>
      <c r="M1308" s="210">
        <f ca="1">IF($S$1&lt;DATE(2025,8,1)," ",COUNTIFS('2025数据'!$T$3:$T$181,"&gt;="&amp;DATE(2025,8,1),'2025数据'!$T$3:$T$181,"&lt;="&amp;DATE(2025,8,31),'2025数据'!$BL$3:$BL$181,$E$37,'2025数据'!$B$3:$B$181,$E1308))</f>
        <v>0</v>
      </c>
      <c r="N1308" s="210">
        <f ca="1">IF($S$1&lt;DATE(2025,9,1)," ",COUNTIFS('2025数据'!$T$3:$T$181,"&gt;="&amp;DATE(2025,9,1),'2025数据'!$T$3:$T$181,"&lt;="&amp;DATE(2025,9,30),'2025数据'!$BL$3:$BL$181,$E$37,'2025数据'!$B$3:$B$181,$E1308))</f>
        <v>0</v>
      </c>
      <c r="O1308" s="210">
        <f ca="1">IF($S$1&lt;DATE(2025,10,1)," ",COUNTIFS('2025数据'!$T$3:$T$181,"&gt;="&amp;DATE(2025,10,1),'2025数据'!$T$3:$T$181,"&lt;="&amp;DATE(2025,10,31),'2025数据'!$BL$3:$BL$181,$E$37,'2025数据'!$B$3:$B$181,$E1308))</f>
        <v>0</v>
      </c>
      <c r="P1308" s="212">
        <f ca="1">IF($S$1&lt;DATE(2025,11,1)," ",COUNTIFS('2025数据'!$T$3:$T$181,"&gt;="&amp;DATE(2025,11,1),'2025数据'!$T$3:$T$181,"&lt;="&amp;DATE(2025,11,30),'2025数据'!$BL$3:$BL$181,$E$37,'2025数据'!$B$3:$B$181,$E1308))</f>
        <v>0</v>
      </c>
      <c r="Q1308" s="212">
        <f ca="1">IF($S$1&lt;DATE(2025,12,1)," ",COUNTIFS('2025数据'!$T$3:$T$181,"&gt;="&amp;DATE(2025,12,1),'2025数据'!$T$3:$T$181,"&lt;="&amp;DATE(2025,12,31),'2025数据'!$BL$3:$BL$181,$E$37,'2025数据'!$B$3:$B$181,$E1308))</f>
        <v>0</v>
      </c>
    </row>
    <row r="1309" ht="24" customHeight="1" spans="1:17">
      <c r="A1309" s="99" t="s">
        <v>348</v>
      </c>
      <c r="B1309" s="99" t="s">
        <v>299</v>
      </c>
      <c r="C1309" s="99" t="s">
        <v>291</v>
      </c>
      <c r="D1309" s="53" t="s">
        <v>303</v>
      </c>
      <c r="E1309" s="53" t="s">
        <v>160</v>
      </c>
      <c r="F1309" s="210">
        <f ca="1">IF($S$1&lt;DATE(2025,1,1)," ",COUNTIFS('2025数据'!$T$3:$T$181,"&gt;="&amp;DATE(2025,1,1),'2025数据'!$T$3:$T$181,"&lt;="&amp;DATE(2025,1,31),'2025数据'!$BL$3:$BL$181,$E$37,'2025数据'!$B$3:$B$181,$E1309))</f>
        <v>0</v>
      </c>
      <c r="G1309" s="210">
        <f ca="1">IF($S$1&lt;DATE(2025,2,1)," ",COUNTIFS('2025数据'!$T$3:$T$181,"&gt;="&amp;DATE(2025,2,1),'2025数据'!$T$3:$T$181,"&lt;="&amp;DATE(2025,2,28),'2025数据'!$BL$3:$BL$181,$E$37,'2025数据'!$B$3:$B$181,$E1309))</f>
        <v>0</v>
      </c>
      <c r="H1309" s="210">
        <f ca="1">IF($S$1&lt;DATE(2025,3,1)," ",COUNTIFS('2025数据'!$T$3:$T$181,"&gt;="&amp;DATE(2025,3,1),'2025数据'!$T$3:$T$181,"&lt;="&amp;DATE(2025,3,31),'2025数据'!$BL$3:$BL$181,$E$37,'2025数据'!$B$3:$B$181,$E1309))</f>
        <v>0</v>
      </c>
      <c r="I1309" s="210">
        <f ca="1">IF($S$1&lt;DATE(2025,4,1)," ",COUNTIFS('2025数据'!$T$3:$T$181,"&gt;="&amp;DATE(2025,4,1),'2025数据'!$T$3:$T$181,"&lt;="&amp;DATE(2025,4,30),'2025数据'!$BL$3:$BL$181,$E$37,'2025数据'!$B$3:$B$181,$E1309))</f>
        <v>0</v>
      </c>
      <c r="J1309" s="210">
        <f ca="1">IF($S$1&lt;DATE(2025,5,1)," ",COUNTIFS('2025数据'!$T$3:$T$181,"&gt;="&amp;DATE(2025,5,1),'2025数据'!$T$3:$T$181,"&lt;="&amp;DATE(2025,5,31),'2025数据'!$BL$3:$BL$181,$E$37,'2025数据'!$B$3:$B$181,$E1309))</f>
        <v>0</v>
      </c>
      <c r="K1309" s="210">
        <f ca="1">IF($S$1&lt;DATE(2025,6,1)," ",COUNTIFS('2025数据'!$T$3:$T$181,"&gt;="&amp;DATE(2025,6,1),'2025数据'!$T$3:$T$181,"&lt;="&amp;DATE(2025,6,30),'2025数据'!$BL$3:$BL$181,$E$37,'2025数据'!$B$3:$B$181,$E1309))</f>
        <v>0</v>
      </c>
      <c r="L1309" s="210">
        <f ca="1">IF($S$1&lt;DATE(2025,7,1)," ",COUNTIFS('2025数据'!$T$3:$T$181,"&gt;="&amp;DATE(2025,7,1),'2025数据'!$T$3:$T$181,"&lt;="&amp;DATE(2025,7,31),'2025数据'!$BL$3:$BL$181,$E$37,'2025数据'!$B$3:$B$181,$E1309))</f>
        <v>0</v>
      </c>
      <c r="M1309" s="210">
        <f ca="1">IF($S$1&lt;DATE(2025,8,1)," ",COUNTIFS('2025数据'!$T$3:$T$181,"&gt;="&amp;DATE(2025,8,1),'2025数据'!$T$3:$T$181,"&lt;="&amp;DATE(2025,8,31),'2025数据'!$BL$3:$BL$181,$E$37,'2025数据'!$B$3:$B$181,$E1309))</f>
        <v>1</v>
      </c>
      <c r="N1309" s="210">
        <f ca="1">IF($S$1&lt;DATE(2025,9,1)," ",COUNTIFS('2025数据'!$T$3:$T$181,"&gt;="&amp;DATE(2025,9,1),'2025数据'!$T$3:$T$181,"&lt;="&amp;DATE(2025,9,30),'2025数据'!$BL$3:$BL$181,$E$37,'2025数据'!$B$3:$B$181,$E1309))</f>
        <v>0</v>
      </c>
      <c r="O1309" s="210">
        <f ca="1">IF($S$1&lt;DATE(2025,10,1)," ",COUNTIFS('2025数据'!$T$3:$T$181,"&gt;="&amp;DATE(2025,10,1),'2025数据'!$T$3:$T$181,"&lt;="&amp;DATE(2025,10,31),'2025数据'!$BL$3:$BL$181,$E$37,'2025数据'!$B$3:$B$181,$E1309))</f>
        <v>0</v>
      </c>
      <c r="P1309" s="212">
        <f ca="1">IF($S$1&lt;DATE(2025,11,1)," ",COUNTIFS('2025数据'!$T$3:$T$181,"&gt;="&amp;DATE(2025,11,1),'2025数据'!$T$3:$T$181,"&lt;="&amp;DATE(2025,11,30),'2025数据'!$BL$3:$BL$181,$E$37,'2025数据'!$B$3:$B$181,$E1309))</f>
        <v>0</v>
      </c>
      <c r="Q1309" s="212">
        <f ca="1">IF($S$1&lt;DATE(2025,12,1)," ",COUNTIFS('2025数据'!$T$3:$T$181,"&gt;="&amp;DATE(2025,12,1),'2025数据'!$T$3:$T$181,"&lt;="&amp;DATE(2025,12,31),'2025数据'!$BL$3:$BL$181,$E$37,'2025数据'!$B$3:$B$181,$E1309))</f>
        <v>0</v>
      </c>
    </row>
    <row r="1310" ht="24" customHeight="1" spans="1:17">
      <c r="A1310" s="99" t="s">
        <v>348</v>
      </c>
      <c r="B1310" s="99" t="s">
        <v>299</v>
      </c>
      <c r="C1310" s="99" t="s">
        <v>291</v>
      </c>
      <c r="D1310" s="53" t="s">
        <v>304</v>
      </c>
      <c r="E1310" s="53" t="s">
        <v>93</v>
      </c>
      <c r="F1310" s="210">
        <f ca="1">IF($S$1&lt;DATE(2025,1,1)," ",COUNTIFS('2025数据'!$T$3:$T$181,"&gt;="&amp;DATE(2025,1,1),'2025数据'!$T$3:$T$181,"&lt;="&amp;DATE(2025,1,31),'2025数据'!$BL$3:$BL$181,$E$38,'2025数据'!$B$3:$B$181,$E1310))</f>
        <v>0</v>
      </c>
      <c r="G1310" s="210">
        <f ca="1">IF($S$1&lt;DATE(2025,2,1)," ",COUNTIFS('2025数据'!$T$3:$T$181,"&gt;="&amp;DATE(2025,2,1),'2025数据'!$T$3:$T$181,"&lt;="&amp;DATE(2025,2,28),'2025数据'!$BL$3:$BL$181,$E$38,'2025数据'!$B$3:$B$181,$E1310))</f>
        <v>1</v>
      </c>
      <c r="H1310" s="210">
        <f ca="1">IF($S$1&lt;DATE(2025,3,1)," ",COUNTIFS('2025数据'!$T$3:$T$181,"&gt;="&amp;DATE(2025,3,1),'2025数据'!$T$3:$T$181,"&lt;="&amp;DATE(2025,3,31),'2025数据'!$BL$3:$BL$181,$E$38,'2025数据'!$B$3:$B$181,$E1310))</f>
        <v>2</v>
      </c>
      <c r="I1310" s="210">
        <f ca="1">IF($S$1&lt;DATE(2025,4,1)," ",COUNTIFS('2025数据'!$T$3:$T$181,"&gt;="&amp;DATE(2025,4,1),'2025数据'!$T$3:$T$181,"&lt;="&amp;DATE(2025,4,30),'2025数据'!$BL$3:$BL$181,$E$38,'2025数据'!$B$3:$B$181,$E1310))</f>
        <v>1</v>
      </c>
      <c r="J1310" s="210">
        <f ca="1">IF($S$1&lt;DATE(2025,5,1)," ",COUNTIFS('2025数据'!$T$3:$T$181,"&gt;="&amp;DATE(2025,5,1),'2025数据'!$T$3:$T$181,"&lt;="&amp;DATE(2025,5,31),'2025数据'!$BL$3:$BL$181,$E$38,'2025数据'!$B$3:$B$181,$E1310))</f>
        <v>3</v>
      </c>
      <c r="K1310" s="210">
        <f ca="1">IF($S$1&lt;DATE(2025,6,1)," ",COUNTIFS('2025数据'!$T$3:$T$181,"&gt;="&amp;DATE(2025,6,1),'2025数据'!$T$3:$T$181,"&lt;="&amp;DATE(2025,6,30),'2025数据'!$BL$3:$BL$181,$E$38,'2025数据'!$B$3:$B$181,$E1310))</f>
        <v>2</v>
      </c>
      <c r="L1310" s="210">
        <f ca="1">IF($S$1&lt;DATE(2025,7,1)," ",COUNTIFS('2025数据'!$T$3:$T$181,"&gt;="&amp;DATE(2025,7,1),'2025数据'!$T$3:$T$181,"&lt;="&amp;DATE(2025,7,31),'2025数据'!$BL$3:$BL$181,$E$38,'2025数据'!$B$3:$B$181,$E1310))</f>
        <v>1</v>
      </c>
      <c r="M1310" s="210">
        <f ca="1">IF($S$1&lt;DATE(2025,8,1)," ",COUNTIFS('2025数据'!$T$3:$T$181,"&gt;="&amp;DATE(2025,8,1),'2025数据'!$T$3:$T$181,"&lt;="&amp;DATE(2025,8,31),'2025数据'!$BL$3:$BL$181,$E$38,'2025数据'!$B$3:$B$181,$E1310))</f>
        <v>1</v>
      </c>
      <c r="N1310" s="210">
        <f ca="1">IF($S$1&lt;DATE(2025,9,1)," ",COUNTIFS('2025数据'!$T$3:$T$181,"&gt;="&amp;DATE(2025,9,1),'2025数据'!$T$3:$T$181,"&lt;="&amp;DATE(2025,9,30),'2025数据'!$BL$3:$BL$181,$E$38,'2025数据'!$B$3:$B$181,$E1310))</f>
        <v>1</v>
      </c>
      <c r="O1310" s="210">
        <f ca="1">IF($S$1&lt;DATE(2025,10,1)," ",COUNTIFS('2025数据'!$T$3:$T$181,"&gt;="&amp;DATE(2025,10,1),'2025数据'!$T$3:$T$181,"&lt;="&amp;DATE(2025,10,31),'2025数据'!$BL$3:$BL$181,$E$38,'2025数据'!$B$3:$B$181,$E1310))</f>
        <v>1</v>
      </c>
      <c r="P1310" s="212">
        <f ca="1">IF($S$1&lt;DATE(2025,11,1)," ",COUNTIFS('2025数据'!$T$3:$T$181,"&gt;="&amp;DATE(2025,11,1),'2025数据'!$T$3:$T$181,"&lt;="&amp;DATE(2025,11,30),'2025数据'!$BL$3:$BL$181,$E$38,'2025数据'!$B$3:$B$181,$E1310))</f>
        <v>0</v>
      </c>
      <c r="Q1310" s="212">
        <f ca="1">IF($S$1&lt;DATE(2025,12,1)," ",COUNTIFS('2025数据'!$T$3:$T$181,"&gt;="&amp;DATE(2025,12,1),'2025数据'!$T$3:$T$181,"&lt;="&amp;DATE(2025,12,31),'2025数据'!$BL$3:$BL$181,$E$38,'2025数据'!$B$3:$B$181,$E1310))</f>
        <v>2</v>
      </c>
    </row>
    <row r="1311" ht="24" customHeight="1" spans="1:17">
      <c r="A1311" s="99" t="s">
        <v>348</v>
      </c>
      <c r="B1311" s="99" t="s">
        <v>299</v>
      </c>
      <c r="C1311" s="99" t="s">
        <v>291</v>
      </c>
      <c r="D1311" s="53" t="s">
        <v>304</v>
      </c>
      <c r="E1311" s="53" t="s">
        <v>85</v>
      </c>
      <c r="F1311" s="210">
        <f ca="1">IF($S$1&lt;DATE(2025,1,1)," ",COUNTIFS('2025数据'!$T$3:$T$181,"&gt;="&amp;DATE(2025,1,1),'2025数据'!$T$3:$T$181,"&lt;="&amp;DATE(2025,1,31),'2025数据'!$BL$3:$BL$181,$E$38,'2025数据'!$B$3:$B$181,$E1311))</f>
        <v>0</v>
      </c>
      <c r="G1311" s="210">
        <f ca="1">IF($S$1&lt;DATE(2025,2,1)," ",COUNTIFS('2025数据'!$T$3:$T$181,"&gt;="&amp;DATE(2025,2,1),'2025数据'!$T$3:$T$181,"&lt;="&amp;DATE(2025,2,28),'2025数据'!$BL$3:$BL$181,$E$38,'2025数据'!$B$3:$B$181,$E1311))</f>
        <v>0</v>
      </c>
      <c r="H1311" s="210">
        <f ca="1">IF($S$1&lt;DATE(2025,3,1)," ",COUNTIFS('2025数据'!$T$3:$T$181,"&gt;="&amp;DATE(2025,3,1),'2025数据'!$T$3:$T$181,"&lt;="&amp;DATE(2025,3,31),'2025数据'!$BL$3:$BL$181,$E$38,'2025数据'!$B$3:$B$181,$E1311))</f>
        <v>0</v>
      </c>
      <c r="I1311" s="210">
        <f ca="1">IF($S$1&lt;DATE(2025,4,1)," ",COUNTIFS('2025数据'!$T$3:$T$181,"&gt;="&amp;DATE(2025,4,1),'2025数据'!$T$3:$T$181,"&lt;="&amp;DATE(2025,4,30),'2025数据'!$BL$3:$BL$181,$E$38,'2025数据'!$B$3:$B$181,$E1311))</f>
        <v>0</v>
      </c>
      <c r="J1311" s="210">
        <f ca="1">IF($S$1&lt;DATE(2025,5,1)," ",COUNTIFS('2025数据'!$T$3:$T$181,"&gt;="&amp;DATE(2025,5,1),'2025数据'!$T$3:$T$181,"&lt;="&amp;DATE(2025,5,31),'2025数据'!$BL$3:$BL$181,$E$38,'2025数据'!$B$3:$B$181,$E1311))</f>
        <v>0</v>
      </c>
      <c r="K1311" s="210">
        <f ca="1">IF($S$1&lt;DATE(2025,6,1)," ",COUNTIFS('2025数据'!$T$3:$T$181,"&gt;="&amp;DATE(2025,6,1),'2025数据'!$T$3:$T$181,"&lt;="&amp;DATE(2025,6,30),'2025数据'!$BL$3:$BL$181,$E$38,'2025数据'!$B$3:$B$181,$E1311))</f>
        <v>1</v>
      </c>
      <c r="L1311" s="210">
        <f ca="1">IF($S$1&lt;DATE(2025,7,1)," ",COUNTIFS('2025数据'!$T$3:$T$181,"&gt;="&amp;DATE(2025,7,1),'2025数据'!$T$3:$T$181,"&lt;="&amp;DATE(2025,7,31),'2025数据'!$BL$3:$BL$181,$E$38,'2025数据'!$B$3:$B$181,$E1311))</f>
        <v>0</v>
      </c>
      <c r="M1311" s="210">
        <f ca="1">IF($S$1&lt;DATE(2025,8,1)," ",COUNTIFS('2025数据'!$T$3:$T$181,"&gt;="&amp;DATE(2025,8,1),'2025数据'!$T$3:$T$181,"&lt;="&amp;DATE(2025,8,31),'2025数据'!$BL$3:$BL$181,$E$38,'2025数据'!$B$3:$B$181,$E1311))</f>
        <v>1</v>
      </c>
      <c r="N1311" s="210">
        <f ca="1">IF($S$1&lt;DATE(2025,9,1)," ",COUNTIFS('2025数据'!$T$3:$T$181,"&gt;="&amp;DATE(2025,9,1),'2025数据'!$T$3:$T$181,"&lt;="&amp;DATE(2025,9,30),'2025数据'!$BL$3:$BL$181,$E$38,'2025数据'!$B$3:$B$181,$E1311))</f>
        <v>1</v>
      </c>
      <c r="O1311" s="210">
        <f ca="1">IF($S$1&lt;DATE(2025,10,1)," ",COUNTIFS('2025数据'!$T$3:$T$181,"&gt;="&amp;DATE(2025,10,1),'2025数据'!$T$3:$T$181,"&lt;="&amp;DATE(2025,10,31),'2025数据'!$BL$3:$BL$181,$E$38,'2025数据'!$B$3:$B$181,$E1311))</f>
        <v>2</v>
      </c>
      <c r="P1311" s="212">
        <f ca="1">IF($S$1&lt;DATE(2025,11,1)," ",COUNTIFS('2025数据'!$T$3:$T$181,"&gt;="&amp;DATE(2025,11,1),'2025数据'!$T$3:$T$181,"&lt;="&amp;DATE(2025,11,30),'2025数据'!$BL$3:$BL$181,$E$38,'2025数据'!$B$3:$B$181,$E1311))</f>
        <v>0</v>
      </c>
      <c r="Q1311" s="212">
        <f ca="1">IF($S$1&lt;DATE(2025,12,1)," ",COUNTIFS('2025数据'!$T$3:$T$181,"&gt;="&amp;DATE(2025,12,1),'2025数据'!$T$3:$T$181,"&lt;="&amp;DATE(2025,12,31),'2025数据'!$BL$3:$BL$181,$E$38,'2025数据'!$B$3:$B$181,$E1311))</f>
        <v>0</v>
      </c>
    </row>
    <row r="1312" ht="24" customHeight="1" spans="1:17">
      <c r="A1312" s="99" t="s">
        <v>348</v>
      </c>
      <c r="B1312" s="99" t="s">
        <v>299</v>
      </c>
      <c r="C1312" s="99" t="s">
        <v>291</v>
      </c>
      <c r="D1312" s="53" t="s">
        <v>304</v>
      </c>
      <c r="E1312" s="53" t="s">
        <v>81</v>
      </c>
      <c r="F1312" s="210">
        <f ca="1">IF($S$1&lt;DATE(2025,1,1)," ",COUNTIFS('2025数据'!$T$3:$T$181,"&gt;="&amp;DATE(2025,1,1),'2025数据'!$T$3:$T$181,"&lt;="&amp;DATE(2025,1,31),'2025数据'!$BL$3:$BL$181,$E$38,'2025数据'!$B$3:$B$181,$E1312))</f>
        <v>0</v>
      </c>
      <c r="G1312" s="210">
        <f ca="1">IF($S$1&lt;DATE(2025,2,1)," ",COUNTIFS('2025数据'!$T$3:$T$181,"&gt;="&amp;DATE(2025,2,1),'2025数据'!$T$3:$T$181,"&lt;="&amp;DATE(2025,2,28),'2025数据'!$BL$3:$BL$181,$E$38,'2025数据'!$B$3:$B$181,$E1312))</f>
        <v>0</v>
      </c>
      <c r="H1312" s="210">
        <f ca="1">IF($S$1&lt;DATE(2025,3,1)," ",COUNTIFS('2025数据'!$T$3:$T$181,"&gt;="&amp;DATE(2025,3,1),'2025数据'!$T$3:$T$181,"&lt;="&amp;DATE(2025,3,31),'2025数据'!$BL$3:$BL$181,$E$38,'2025数据'!$B$3:$B$181,$E1312))</f>
        <v>0</v>
      </c>
      <c r="I1312" s="210">
        <f ca="1">IF($S$1&lt;DATE(2025,4,1)," ",COUNTIFS('2025数据'!$T$3:$T$181,"&gt;="&amp;DATE(2025,4,1),'2025数据'!$T$3:$T$181,"&lt;="&amp;DATE(2025,4,30),'2025数据'!$BL$3:$BL$181,$E$38,'2025数据'!$B$3:$B$181,$E1312))</f>
        <v>0</v>
      </c>
      <c r="J1312" s="210">
        <f ca="1">IF($S$1&lt;DATE(2025,5,1)," ",COUNTIFS('2025数据'!$T$3:$T$181,"&gt;="&amp;DATE(2025,5,1),'2025数据'!$T$3:$T$181,"&lt;="&amp;DATE(2025,5,31),'2025数据'!$BL$3:$BL$181,$E$38,'2025数据'!$B$3:$B$181,$E1312))</f>
        <v>0</v>
      </c>
      <c r="K1312" s="210">
        <f ca="1">IF($S$1&lt;DATE(2025,6,1)," ",COUNTIFS('2025数据'!$T$3:$T$181,"&gt;="&amp;DATE(2025,6,1),'2025数据'!$T$3:$T$181,"&lt;="&amp;DATE(2025,6,30),'2025数据'!$BL$3:$BL$181,$E$38,'2025数据'!$B$3:$B$181,$E1312))</f>
        <v>1</v>
      </c>
      <c r="L1312" s="210">
        <f ca="1">IF($S$1&lt;DATE(2025,7,1)," ",COUNTIFS('2025数据'!$T$3:$T$181,"&gt;="&amp;DATE(2025,7,1),'2025数据'!$T$3:$T$181,"&lt;="&amp;DATE(2025,7,31),'2025数据'!$BL$3:$BL$181,$E$38,'2025数据'!$B$3:$B$181,$E1312))</f>
        <v>0</v>
      </c>
      <c r="M1312" s="210">
        <f ca="1">IF($S$1&lt;DATE(2025,8,1)," ",COUNTIFS('2025数据'!$T$3:$T$181,"&gt;="&amp;DATE(2025,8,1),'2025数据'!$T$3:$T$181,"&lt;="&amp;DATE(2025,8,31),'2025数据'!$BL$3:$BL$181,$E$38,'2025数据'!$B$3:$B$181,$E1312))</f>
        <v>1</v>
      </c>
      <c r="N1312" s="210">
        <f ca="1">IF($S$1&lt;DATE(2025,9,1)," ",COUNTIFS('2025数据'!$T$3:$T$181,"&gt;="&amp;DATE(2025,9,1),'2025数据'!$T$3:$T$181,"&lt;="&amp;DATE(2025,9,30),'2025数据'!$BL$3:$BL$181,$E$38,'2025数据'!$B$3:$B$181,$E1312))</f>
        <v>2</v>
      </c>
      <c r="O1312" s="210">
        <f ca="1">IF($S$1&lt;DATE(2025,10,1)," ",COUNTIFS('2025数据'!$T$3:$T$181,"&gt;="&amp;DATE(2025,10,1),'2025数据'!$T$3:$T$181,"&lt;="&amp;DATE(2025,10,31),'2025数据'!$BL$3:$BL$181,$E$38,'2025数据'!$B$3:$B$181,$E1312))</f>
        <v>0</v>
      </c>
      <c r="P1312" s="212">
        <f ca="1">IF($S$1&lt;DATE(2025,11,1)," ",COUNTIFS('2025数据'!$T$3:$T$181,"&gt;="&amp;DATE(2025,11,1),'2025数据'!$T$3:$T$181,"&lt;="&amp;DATE(2025,11,30),'2025数据'!$BL$3:$BL$181,$E$38,'2025数据'!$B$3:$B$181,$E1312))</f>
        <v>0</v>
      </c>
      <c r="Q1312" s="212">
        <f ca="1">IF($S$1&lt;DATE(2025,12,1)," ",COUNTIFS('2025数据'!$T$3:$T$181,"&gt;="&amp;DATE(2025,12,1),'2025数据'!$T$3:$T$181,"&lt;="&amp;DATE(2025,12,31),'2025数据'!$BL$3:$BL$181,$E$38,'2025数据'!$B$3:$B$181,$E1312))</f>
        <v>0</v>
      </c>
    </row>
    <row r="1313" ht="24" customHeight="1" spans="1:17">
      <c r="A1313" s="99" t="s">
        <v>348</v>
      </c>
      <c r="B1313" s="99" t="s">
        <v>299</v>
      </c>
      <c r="C1313" s="99" t="s">
        <v>291</v>
      </c>
      <c r="D1313" s="53" t="s">
        <v>304</v>
      </c>
      <c r="E1313" s="53" t="s">
        <v>96</v>
      </c>
      <c r="F1313" s="210">
        <f ca="1">IF($S$1&lt;DATE(2025,1,1)," ",COUNTIFS('2025数据'!$T$3:$T$181,"&gt;="&amp;DATE(2025,1,1),'2025数据'!$T$3:$T$181,"&lt;="&amp;DATE(2025,1,31),'2025数据'!$BL$3:$BL$181,$E$38,'2025数据'!$B$3:$B$181,$E1313))</f>
        <v>1</v>
      </c>
      <c r="G1313" s="210">
        <f ca="1">IF($S$1&lt;DATE(2025,2,1)," ",COUNTIFS('2025数据'!$T$3:$T$181,"&gt;="&amp;DATE(2025,2,1),'2025数据'!$T$3:$T$181,"&lt;="&amp;DATE(2025,2,28),'2025数据'!$BL$3:$BL$181,$E$38,'2025数据'!$B$3:$B$181,$E1313))</f>
        <v>0</v>
      </c>
      <c r="H1313" s="210">
        <f ca="1">IF($S$1&lt;DATE(2025,3,1)," ",COUNTIFS('2025数据'!$T$3:$T$181,"&gt;="&amp;DATE(2025,3,1),'2025数据'!$T$3:$T$181,"&lt;="&amp;DATE(2025,3,31),'2025数据'!$BL$3:$BL$181,$E$38,'2025数据'!$B$3:$B$181,$E1313))</f>
        <v>0</v>
      </c>
      <c r="I1313" s="210">
        <f ca="1">IF($S$1&lt;DATE(2025,4,1)," ",COUNTIFS('2025数据'!$T$3:$T$181,"&gt;="&amp;DATE(2025,4,1),'2025数据'!$T$3:$T$181,"&lt;="&amp;DATE(2025,4,30),'2025数据'!$BL$3:$BL$181,$E$38,'2025数据'!$B$3:$B$181,$E1313))</f>
        <v>0</v>
      </c>
      <c r="J1313" s="210">
        <f ca="1">IF($S$1&lt;DATE(2025,5,1)," ",COUNTIFS('2025数据'!$T$3:$T$181,"&gt;="&amp;DATE(2025,5,1),'2025数据'!$T$3:$T$181,"&lt;="&amp;DATE(2025,5,31),'2025数据'!$BL$3:$BL$181,$E$38,'2025数据'!$B$3:$B$181,$E1313))</f>
        <v>0</v>
      </c>
      <c r="K1313" s="210">
        <f ca="1">IF($S$1&lt;DATE(2025,6,1)," ",COUNTIFS('2025数据'!$T$3:$T$181,"&gt;="&amp;DATE(2025,6,1),'2025数据'!$T$3:$T$181,"&lt;="&amp;DATE(2025,6,30),'2025数据'!$BL$3:$BL$181,$E$38,'2025数据'!$B$3:$B$181,$E1313))</f>
        <v>0</v>
      </c>
      <c r="L1313" s="210">
        <f ca="1">IF($S$1&lt;DATE(2025,7,1)," ",COUNTIFS('2025数据'!$T$3:$T$181,"&gt;="&amp;DATE(2025,7,1),'2025数据'!$T$3:$T$181,"&lt;="&amp;DATE(2025,7,31),'2025数据'!$BL$3:$BL$181,$E$38,'2025数据'!$B$3:$B$181,$E1313))</f>
        <v>0</v>
      </c>
      <c r="M1313" s="210">
        <f ca="1">IF($S$1&lt;DATE(2025,8,1)," ",COUNTIFS('2025数据'!$T$3:$T$181,"&gt;="&amp;DATE(2025,8,1),'2025数据'!$T$3:$T$181,"&lt;="&amp;DATE(2025,8,31),'2025数据'!$BL$3:$BL$181,$E$38,'2025数据'!$B$3:$B$181,$E1313))</f>
        <v>0</v>
      </c>
      <c r="N1313" s="210">
        <f ca="1">IF($S$1&lt;DATE(2025,9,1)," ",COUNTIFS('2025数据'!$T$3:$T$181,"&gt;="&amp;DATE(2025,9,1),'2025数据'!$T$3:$T$181,"&lt;="&amp;DATE(2025,9,30),'2025数据'!$BL$3:$BL$181,$E$38,'2025数据'!$B$3:$B$181,$E1313))</f>
        <v>0</v>
      </c>
      <c r="O1313" s="210">
        <f ca="1">IF($S$1&lt;DATE(2025,10,1)," ",COUNTIFS('2025数据'!$T$3:$T$181,"&gt;="&amp;DATE(2025,10,1),'2025数据'!$T$3:$T$181,"&lt;="&amp;DATE(2025,10,31),'2025数据'!$BL$3:$BL$181,$E$38,'2025数据'!$B$3:$B$181,$E1313))</f>
        <v>0</v>
      </c>
      <c r="P1313" s="212">
        <f ca="1">IF($S$1&lt;DATE(2025,11,1)," ",COUNTIFS('2025数据'!$T$3:$T$181,"&gt;="&amp;DATE(2025,11,1),'2025数据'!$T$3:$T$181,"&lt;="&amp;DATE(2025,11,30),'2025数据'!$BL$3:$BL$181,$E$38,'2025数据'!$B$3:$B$181,$E1313))</f>
        <v>0</v>
      </c>
      <c r="Q1313" s="212">
        <f ca="1">IF($S$1&lt;DATE(2025,12,1)," ",COUNTIFS('2025数据'!$T$3:$T$181,"&gt;="&amp;DATE(2025,12,1),'2025数据'!$T$3:$T$181,"&lt;="&amp;DATE(2025,12,31),'2025数据'!$BL$3:$BL$181,$E$38,'2025数据'!$B$3:$B$181,$E1313))</f>
        <v>0</v>
      </c>
    </row>
    <row r="1314" ht="24" customHeight="1" spans="1:17">
      <c r="A1314" s="99" t="s">
        <v>348</v>
      </c>
      <c r="B1314" s="99" t="s">
        <v>299</v>
      </c>
      <c r="C1314" s="99" t="s">
        <v>291</v>
      </c>
      <c r="D1314" s="53" t="s">
        <v>304</v>
      </c>
      <c r="E1314" s="53" t="s">
        <v>160</v>
      </c>
      <c r="F1314" s="210">
        <f ca="1">IF($S$1&lt;DATE(2025,1,1)," ",COUNTIFS('2025数据'!$T$3:$T$181,"&gt;="&amp;DATE(2025,1,1),'2025数据'!$T$3:$T$181,"&lt;="&amp;DATE(2025,1,31),'2025数据'!$BL$3:$BL$181,$E$38,'2025数据'!$B$3:$B$181,$E1314))</f>
        <v>0</v>
      </c>
      <c r="G1314" s="210">
        <f ca="1">IF($S$1&lt;DATE(2025,2,1)," ",COUNTIFS('2025数据'!$T$3:$T$181,"&gt;="&amp;DATE(2025,2,1),'2025数据'!$T$3:$T$181,"&lt;="&amp;DATE(2025,2,28),'2025数据'!$BL$3:$BL$181,$E$38,'2025数据'!$B$3:$B$181,$E1314))</f>
        <v>0</v>
      </c>
      <c r="H1314" s="210">
        <f ca="1">IF($S$1&lt;DATE(2025,3,1)," ",COUNTIFS('2025数据'!$T$3:$T$181,"&gt;="&amp;DATE(2025,3,1),'2025数据'!$T$3:$T$181,"&lt;="&amp;DATE(2025,3,31),'2025数据'!$BL$3:$BL$181,$E$38,'2025数据'!$B$3:$B$181,$E1314))</f>
        <v>0</v>
      </c>
      <c r="I1314" s="210">
        <f ca="1">IF($S$1&lt;DATE(2025,4,1)," ",COUNTIFS('2025数据'!$T$3:$T$181,"&gt;="&amp;DATE(2025,4,1),'2025数据'!$T$3:$T$181,"&lt;="&amp;DATE(2025,4,30),'2025数据'!$BL$3:$BL$181,$E$38,'2025数据'!$B$3:$B$181,$E1314))</f>
        <v>0</v>
      </c>
      <c r="J1314" s="210">
        <f ca="1">IF($S$1&lt;DATE(2025,5,1)," ",COUNTIFS('2025数据'!$T$3:$T$181,"&gt;="&amp;DATE(2025,5,1),'2025数据'!$T$3:$T$181,"&lt;="&amp;DATE(2025,5,31),'2025数据'!$BL$3:$BL$181,$E$38,'2025数据'!$B$3:$B$181,$E1314))</f>
        <v>0</v>
      </c>
      <c r="K1314" s="210">
        <f ca="1">IF($S$1&lt;DATE(2025,6,1)," ",COUNTIFS('2025数据'!$T$3:$T$181,"&gt;="&amp;DATE(2025,6,1),'2025数据'!$T$3:$T$181,"&lt;="&amp;DATE(2025,6,30),'2025数据'!$BL$3:$BL$181,$E$38,'2025数据'!$B$3:$B$181,$E1314))</f>
        <v>0</v>
      </c>
      <c r="L1314" s="210">
        <f ca="1">IF($S$1&lt;DATE(2025,7,1)," ",COUNTIFS('2025数据'!$T$3:$T$181,"&gt;="&amp;DATE(2025,7,1),'2025数据'!$T$3:$T$181,"&lt;="&amp;DATE(2025,7,31),'2025数据'!$BL$3:$BL$181,$E$38,'2025数据'!$B$3:$B$181,$E1314))</f>
        <v>0</v>
      </c>
      <c r="M1314" s="210">
        <f ca="1">IF($S$1&lt;DATE(2025,8,1)," ",COUNTIFS('2025数据'!$T$3:$T$181,"&gt;="&amp;DATE(2025,8,1),'2025数据'!$T$3:$T$181,"&lt;="&amp;DATE(2025,8,31),'2025数据'!$BL$3:$BL$181,$E$38,'2025数据'!$B$3:$B$181,$E1314))</f>
        <v>0</v>
      </c>
      <c r="N1314" s="210">
        <f ca="1">IF($S$1&lt;DATE(2025,9,1)," ",COUNTIFS('2025数据'!$T$3:$T$181,"&gt;="&amp;DATE(2025,9,1),'2025数据'!$T$3:$T$181,"&lt;="&amp;DATE(2025,9,30),'2025数据'!$BL$3:$BL$181,$E$38,'2025数据'!$B$3:$B$181,$E1314))</f>
        <v>0</v>
      </c>
      <c r="O1314" s="210">
        <f ca="1">IF($S$1&lt;DATE(2025,10,1)," ",COUNTIFS('2025数据'!$T$3:$T$181,"&gt;="&amp;DATE(2025,10,1),'2025数据'!$T$3:$T$181,"&lt;="&amp;DATE(2025,10,31),'2025数据'!$BL$3:$BL$181,$E$38,'2025数据'!$B$3:$B$181,$E1314))</f>
        <v>0</v>
      </c>
      <c r="P1314" s="212">
        <f ca="1">IF($S$1&lt;DATE(2025,11,1)," ",COUNTIFS('2025数据'!$T$3:$T$181,"&gt;="&amp;DATE(2025,11,1),'2025数据'!$T$3:$T$181,"&lt;="&amp;DATE(2025,11,30),'2025数据'!$BL$3:$BL$181,$E$38,'2025数据'!$B$3:$B$181,$E1314))</f>
        <v>0</v>
      </c>
      <c r="Q1314" s="212">
        <f ca="1">IF($S$1&lt;DATE(2025,12,1)," ",COUNTIFS('2025数据'!$T$3:$T$181,"&gt;="&amp;DATE(2025,12,1),'2025数据'!$T$3:$T$181,"&lt;="&amp;DATE(2025,12,31),'2025数据'!$BL$3:$BL$181,$E$38,'2025数据'!$B$3:$B$181,$E1314))</f>
        <v>0</v>
      </c>
    </row>
    <row r="1315" ht="24" customHeight="1" spans="1:17">
      <c r="A1315" s="99" t="s">
        <v>348</v>
      </c>
      <c r="B1315" s="99" t="s">
        <v>299</v>
      </c>
      <c r="C1315" s="99" t="s">
        <v>291</v>
      </c>
      <c r="D1315" s="53" t="s">
        <v>305</v>
      </c>
      <c r="E1315" s="53" t="s">
        <v>93</v>
      </c>
      <c r="F1315" s="210">
        <f ca="1">IF($S$1&lt;DATE(2025,1,1)," ",COUNTIFS('2025数据'!$T$3:$T$181,"&gt;="&amp;DATE(2025,1,1),'2025数据'!$T$3:$T$181,"&lt;="&amp;DATE(2025,1,31),'2025数据'!$BL$3:$BL$181,$E$39,'2025数据'!$B$3:$B$181,$E1315))</f>
        <v>0</v>
      </c>
      <c r="G1315" s="210">
        <f ca="1">IF($S$1&lt;DATE(2025,2,1)," ",COUNTIFS('2025数据'!$T$3:$T$181,"&gt;="&amp;DATE(2025,2,1),'2025数据'!$T$3:$T$181,"&lt;="&amp;DATE(2025,2,28),'2025数据'!$BL$3:$BL$181,$E$39,'2025数据'!$B$3:$B$181,$E1315))</f>
        <v>0</v>
      </c>
      <c r="H1315" s="210">
        <f ca="1">IF($S$1&lt;DATE(2025,3,1)," ",COUNTIFS('2025数据'!$T$3:$T$181,"&gt;="&amp;DATE(2025,3,1),'2025数据'!$T$3:$T$181,"&lt;="&amp;DATE(2025,3,31),'2025数据'!$BL$3:$BL$181,$E$39,'2025数据'!$B$3:$B$181,$E1315))</f>
        <v>0</v>
      </c>
      <c r="I1315" s="210">
        <f ca="1">IF($S$1&lt;DATE(2025,4,1)," ",COUNTIFS('2025数据'!$T$3:$T$181,"&gt;="&amp;DATE(2025,4,1),'2025数据'!$T$3:$T$181,"&lt;="&amp;DATE(2025,4,30),'2025数据'!$BL$3:$BL$181,$E$39,'2025数据'!$B$3:$B$181,$E1315))</f>
        <v>0</v>
      </c>
      <c r="J1315" s="210">
        <f ca="1">IF($S$1&lt;DATE(2025,5,1)," ",COUNTIFS('2025数据'!$T$3:$T$181,"&gt;="&amp;DATE(2025,5,1),'2025数据'!$T$3:$T$181,"&lt;="&amp;DATE(2025,5,31),'2025数据'!$BL$3:$BL$181,$E$39,'2025数据'!$B$3:$B$181,$E1315))</f>
        <v>0</v>
      </c>
      <c r="K1315" s="210">
        <f ca="1">IF($S$1&lt;DATE(2025,6,1)," ",COUNTIFS('2025数据'!$T$3:$T$181,"&gt;="&amp;DATE(2025,6,1),'2025数据'!$T$3:$T$181,"&lt;="&amp;DATE(2025,6,30),'2025数据'!$BL$3:$BL$181,$E$39,'2025数据'!$B$3:$B$181,$E1315))</f>
        <v>0</v>
      </c>
      <c r="L1315" s="210">
        <f ca="1">IF($S$1&lt;DATE(2025,7,1)," ",COUNTIFS('2025数据'!$T$3:$T$181,"&gt;="&amp;DATE(2025,7,1),'2025数据'!$T$3:$T$181,"&lt;="&amp;DATE(2025,7,31),'2025数据'!$BL$3:$BL$181,$E$39,'2025数据'!$B$3:$B$181,$E1315))</f>
        <v>0</v>
      </c>
      <c r="M1315" s="210">
        <f ca="1">IF($S$1&lt;DATE(2025,8,1)," ",COUNTIFS('2025数据'!$T$3:$T$181,"&gt;="&amp;DATE(2025,8,1),'2025数据'!$T$3:$T$181,"&lt;="&amp;DATE(2025,8,31),'2025数据'!$BL$3:$BL$181,$E$39,'2025数据'!$B$3:$B$181,$E1315))</f>
        <v>0</v>
      </c>
      <c r="N1315" s="210">
        <f ca="1">IF($S$1&lt;DATE(2025,9,1)," ",COUNTIFS('2025数据'!$T$3:$T$181,"&gt;="&amp;DATE(2025,9,1),'2025数据'!$T$3:$T$181,"&lt;="&amp;DATE(2025,9,30),'2025数据'!$BL$3:$BL$181,$E$39,'2025数据'!$B$3:$B$181,$E1315))</f>
        <v>0</v>
      </c>
      <c r="O1315" s="210">
        <f ca="1">IF($S$1&lt;DATE(2025,10,1)," ",COUNTIFS('2025数据'!$T$3:$T$181,"&gt;="&amp;DATE(2025,10,1),'2025数据'!$T$3:$T$181,"&lt;="&amp;DATE(2025,10,31),'2025数据'!$BL$3:$BL$181,$E$39,'2025数据'!$B$3:$B$181,$E1315))</f>
        <v>0</v>
      </c>
      <c r="P1315" s="212">
        <f ca="1">IF($S$1&lt;DATE(2025,11,1)," ",COUNTIFS('2025数据'!$T$3:$T$181,"&gt;="&amp;DATE(2025,11,1),'2025数据'!$T$3:$T$181,"&lt;="&amp;DATE(2025,11,30),'2025数据'!$BL$3:$BL$181,$E$39,'2025数据'!$B$3:$B$181,$E1315))</f>
        <v>0</v>
      </c>
      <c r="Q1315" s="212">
        <f ca="1">IF($S$1&lt;DATE(2025,12,1)," ",COUNTIFS('2025数据'!$T$3:$T$181,"&gt;="&amp;DATE(2025,12,1),'2025数据'!$T$3:$T$181,"&lt;="&amp;DATE(2025,12,31),'2025数据'!$BL$3:$BL$181,$E$39,'2025数据'!$B$3:$B$181,$E1315))</f>
        <v>0</v>
      </c>
    </row>
    <row r="1316" ht="24" customHeight="1" spans="1:17">
      <c r="A1316" s="99" t="s">
        <v>348</v>
      </c>
      <c r="B1316" s="99" t="s">
        <v>299</v>
      </c>
      <c r="C1316" s="99" t="s">
        <v>291</v>
      </c>
      <c r="D1316" s="53" t="s">
        <v>305</v>
      </c>
      <c r="E1316" s="53" t="s">
        <v>85</v>
      </c>
      <c r="F1316" s="210">
        <f ca="1">IF($S$1&lt;DATE(2025,1,1)," ",COUNTIFS('2025数据'!$T$3:$T$181,"&gt;="&amp;DATE(2025,1,1),'2025数据'!$T$3:$T$181,"&lt;="&amp;DATE(2025,1,31),'2025数据'!$BL$3:$BL$181,$E$39,'2025数据'!$B$3:$B$181,$E1316))</f>
        <v>0</v>
      </c>
      <c r="G1316" s="210">
        <f ca="1">IF($S$1&lt;DATE(2025,2,1)," ",COUNTIFS('2025数据'!$T$3:$T$181,"&gt;="&amp;DATE(2025,2,1),'2025数据'!$T$3:$T$181,"&lt;="&amp;DATE(2025,2,28),'2025数据'!$BL$3:$BL$181,$E$39,'2025数据'!$B$3:$B$181,$E1316))</f>
        <v>0</v>
      </c>
      <c r="H1316" s="210">
        <f ca="1">IF($S$1&lt;DATE(2025,3,1)," ",COUNTIFS('2025数据'!$T$3:$T$181,"&gt;="&amp;DATE(2025,3,1),'2025数据'!$T$3:$T$181,"&lt;="&amp;DATE(2025,3,31),'2025数据'!$BL$3:$BL$181,$E$39,'2025数据'!$B$3:$B$181,$E1316))</f>
        <v>0</v>
      </c>
      <c r="I1316" s="210">
        <f ca="1">IF($S$1&lt;DATE(2025,4,1)," ",COUNTIFS('2025数据'!$T$3:$T$181,"&gt;="&amp;DATE(2025,4,1),'2025数据'!$T$3:$T$181,"&lt;="&amp;DATE(2025,4,30),'2025数据'!$BL$3:$BL$181,$E$39,'2025数据'!$B$3:$B$181,$E1316))</f>
        <v>0</v>
      </c>
      <c r="J1316" s="210">
        <f ca="1">IF($S$1&lt;DATE(2025,5,1)," ",COUNTIFS('2025数据'!$T$3:$T$181,"&gt;="&amp;DATE(2025,5,1),'2025数据'!$T$3:$T$181,"&lt;="&amp;DATE(2025,5,31),'2025数据'!$BL$3:$BL$181,$E$39,'2025数据'!$B$3:$B$181,$E1316))</f>
        <v>0</v>
      </c>
      <c r="K1316" s="210">
        <f ca="1">IF($S$1&lt;DATE(2025,6,1)," ",COUNTIFS('2025数据'!$T$3:$T$181,"&gt;="&amp;DATE(2025,6,1),'2025数据'!$T$3:$T$181,"&lt;="&amp;DATE(2025,6,30),'2025数据'!$BL$3:$BL$181,$E$39,'2025数据'!$B$3:$B$181,$E1316))</f>
        <v>0</v>
      </c>
      <c r="L1316" s="210">
        <f ca="1">IF($S$1&lt;DATE(2025,7,1)," ",COUNTIFS('2025数据'!$T$3:$T$181,"&gt;="&amp;DATE(2025,7,1),'2025数据'!$T$3:$T$181,"&lt;="&amp;DATE(2025,7,31),'2025数据'!$BL$3:$BL$181,$E$39,'2025数据'!$B$3:$B$181,$E1316))</f>
        <v>0</v>
      </c>
      <c r="M1316" s="210">
        <f ca="1">IF($S$1&lt;DATE(2025,8,1)," ",COUNTIFS('2025数据'!$T$3:$T$181,"&gt;="&amp;DATE(2025,8,1),'2025数据'!$T$3:$T$181,"&lt;="&amp;DATE(2025,8,31),'2025数据'!$BL$3:$BL$181,$E$39,'2025数据'!$B$3:$B$181,$E1316))</f>
        <v>0</v>
      </c>
      <c r="N1316" s="210">
        <f ca="1">IF($S$1&lt;DATE(2025,9,1)," ",COUNTIFS('2025数据'!$T$3:$T$181,"&gt;="&amp;DATE(2025,9,1),'2025数据'!$T$3:$T$181,"&lt;="&amp;DATE(2025,9,30),'2025数据'!$BL$3:$BL$181,$E$39,'2025数据'!$B$3:$B$181,$E1316))</f>
        <v>0</v>
      </c>
      <c r="O1316" s="210">
        <f ca="1">IF($S$1&lt;DATE(2025,10,1)," ",COUNTIFS('2025数据'!$T$3:$T$181,"&gt;="&amp;DATE(2025,10,1),'2025数据'!$T$3:$T$181,"&lt;="&amp;DATE(2025,10,31),'2025数据'!$BL$3:$BL$181,$E$39,'2025数据'!$B$3:$B$181,$E1316))</f>
        <v>0</v>
      </c>
      <c r="P1316" s="212">
        <f ca="1">IF($S$1&lt;DATE(2025,11,1)," ",COUNTIFS('2025数据'!$T$3:$T$181,"&gt;="&amp;DATE(2025,11,1),'2025数据'!$T$3:$T$181,"&lt;="&amp;DATE(2025,11,30),'2025数据'!$BL$3:$BL$181,$E$39,'2025数据'!$B$3:$B$181,$E1316))</f>
        <v>0</v>
      </c>
      <c r="Q1316" s="212">
        <f ca="1">IF($S$1&lt;DATE(2025,12,1)," ",COUNTIFS('2025数据'!$T$3:$T$181,"&gt;="&amp;DATE(2025,12,1),'2025数据'!$T$3:$T$181,"&lt;="&amp;DATE(2025,12,31),'2025数据'!$BL$3:$BL$181,$E$39,'2025数据'!$B$3:$B$181,$E1316))</f>
        <v>0</v>
      </c>
    </row>
    <row r="1317" ht="24" customHeight="1" spans="1:17">
      <c r="A1317" s="99" t="s">
        <v>348</v>
      </c>
      <c r="B1317" s="99" t="s">
        <v>299</v>
      </c>
      <c r="C1317" s="99" t="s">
        <v>291</v>
      </c>
      <c r="D1317" s="53" t="s">
        <v>305</v>
      </c>
      <c r="E1317" s="53" t="s">
        <v>81</v>
      </c>
      <c r="F1317" s="210">
        <f ca="1">IF($S$1&lt;DATE(2025,1,1)," ",COUNTIFS('2025数据'!$T$3:$T$181,"&gt;="&amp;DATE(2025,1,1),'2025数据'!$T$3:$T$181,"&lt;="&amp;DATE(2025,1,31),'2025数据'!$BL$3:$BL$181,$E$39,'2025数据'!$B$3:$B$181,$E1317))</f>
        <v>0</v>
      </c>
      <c r="G1317" s="210">
        <f ca="1">IF($S$1&lt;DATE(2025,2,1)," ",COUNTIFS('2025数据'!$T$3:$T$181,"&gt;="&amp;DATE(2025,2,1),'2025数据'!$T$3:$T$181,"&lt;="&amp;DATE(2025,2,28),'2025数据'!$BL$3:$BL$181,$E$39,'2025数据'!$B$3:$B$181,$E1317))</f>
        <v>0</v>
      </c>
      <c r="H1317" s="210">
        <f ca="1">IF($S$1&lt;DATE(2025,3,1)," ",COUNTIFS('2025数据'!$T$3:$T$181,"&gt;="&amp;DATE(2025,3,1),'2025数据'!$T$3:$T$181,"&lt;="&amp;DATE(2025,3,31),'2025数据'!$BL$3:$BL$181,$E$39,'2025数据'!$B$3:$B$181,$E1317))</f>
        <v>0</v>
      </c>
      <c r="I1317" s="210">
        <f ca="1">IF($S$1&lt;DATE(2025,4,1)," ",COUNTIFS('2025数据'!$T$3:$T$181,"&gt;="&amp;DATE(2025,4,1),'2025数据'!$T$3:$T$181,"&lt;="&amp;DATE(2025,4,30),'2025数据'!$BL$3:$BL$181,$E$39,'2025数据'!$B$3:$B$181,$E1317))</f>
        <v>0</v>
      </c>
      <c r="J1317" s="210">
        <f ca="1">IF($S$1&lt;DATE(2025,5,1)," ",COUNTIFS('2025数据'!$T$3:$T$181,"&gt;="&amp;DATE(2025,5,1),'2025数据'!$T$3:$T$181,"&lt;="&amp;DATE(2025,5,31),'2025数据'!$BL$3:$BL$181,$E$39,'2025数据'!$B$3:$B$181,$E1317))</f>
        <v>0</v>
      </c>
      <c r="K1317" s="210">
        <f ca="1">IF($S$1&lt;DATE(2025,6,1)," ",COUNTIFS('2025数据'!$T$3:$T$181,"&gt;="&amp;DATE(2025,6,1),'2025数据'!$T$3:$T$181,"&lt;="&amp;DATE(2025,6,30),'2025数据'!$BL$3:$BL$181,$E$39,'2025数据'!$B$3:$B$181,$E1317))</f>
        <v>0</v>
      </c>
      <c r="L1317" s="210">
        <f ca="1">IF($S$1&lt;DATE(2025,7,1)," ",COUNTIFS('2025数据'!$T$3:$T$181,"&gt;="&amp;DATE(2025,7,1),'2025数据'!$T$3:$T$181,"&lt;="&amp;DATE(2025,7,31),'2025数据'!$BL$3:$BL$181,$E$39,'2025数据'!$B$3:$B$181,$E1317))</f>
        <v>0</v>
      </c>
      <c r="M1317" s="210">
        <f ca="1">IF($S$1&lt;DATE(2025,8,1)," ",COUNTIFS('2025数据'!$T$3:$T$181,"&gt;="&amp;DATE(2025,8,1),'2025数据'!$T$3:$T$181,"&lt;="&amp;DATE(2025,8,31),'2025数据'!$BL$3:$BL$181,$E$39,'2025数据'!$B$3:$B$181,$E1317))</f>
        <v>0</v>
      </c>
      <c r="N1317" s="210">
        <f ca="1">IF($S$1&lt;DATE(2025,9,1)," ",COUNTIFS('2025数据'!$T$3:$T$181,"&gt;="&amp;DATE(2025,9,1),'2025数据'!$T$3:$T$181,"&lt;="&amp;DATE(2025,9,30),'2025数据'!$BL$3:$BL$181,$E$39,'2025数据'!$B$3:$B$181,$E1317))</f>
        <v>0</v>
      </c>
      <c r="O1317" s="210">
        <f ca="1">IF($S$1&lt;DATE(2025,10,1)," ",COUNTIFS('2025数据'!$T$3:$T$181,"&gt;="&amp;DATE(2025,10,1),'2025数据'!$T$3:$T$181,"&lt;="&amp;DATE(2025,10,31),'2025数据'!$BL$3:$BL$181,$E$39,'2025数据'!$B$3:$B$181,$E1317))</f>
        <v>0</v>
      </c>
      <c r="P1317" s="212">
        <f ca="1">IF($S$1&lt;DATE(2025,11,1)," ",COUNTIFS('2025数据'!$T$3:$T$181,"&gt;="&amp;DATE(2025,11,1),'2025数据'!$T$3:$T$181,"&lt;="&amp;DATE(2025,11,30),'2025数据'!$BL$3:$BL$181,$E$39,'2025数据'!$B$3:$B$181,$E1317))</f>
        <v>0</v>
      </c>
      <c r="Q1317" s="212">
        <f ca="1">IF($S$1&lt;DATE(2025,12,1)," ",COUNTIFS('2025数据'!$T$3:$T$181,"&gt;="&amp;DATE(2025,12,1),'2025数据'!$T$3:$T$181,"&lt;="&amp;DATE(2025,12,31),'2025数据'!$BL$3:$BL$181,$E$39,'2025数据'!$B$3:$B$181,$E1317))</f>
        <v>0</v>
      </c>
    </row>
    <row r="1318" ht="24" customHeight="1" spans="1:17">
      <c r="A1318" s="99" t="s">
        <v>348</v>
      </c>
      <c r="B1318" s="99" t="s">
        <v>299</v>
      </c>
      <c r="C1318" s="99" t="s">
        <v>291</v>
      </c>
      <c r="D1318" s="53" t="s">
        <v>305</v>
      </c>
      <c r="E1318" s="53" t="s">
        <v>96</v>
      </c>
      <c r="F1318" s="210">
        <f ca="1">IF($S$1&lt;DATE(2025,1,1)," ",COUNTIFS('2025数据'!$T$3:$T$181,"&gt;="&amp;DATE(2025,1,1),'2025数据'!$T$3:$T$181,"&lt;="&amp;DATE(2025,1,31),'2025数据'!$BL$3:$BL$181,$E$39,'2025数据'!$B$3:$B$181,$E1318))</f>
        <v>0</v>
      </c>
      <c r="G1318" s="210">
        <f ca="1">IF($S$1&lt;DATE(2025,2,1)," ",COUNTIFS('2025数据'!$T$3:$T$181,"&gt;="&amp;DATE(2025,2,1),'2025数据'!$T$3:$T$181,"&lt;="&amp;DATE(2025,2,28),'2025数据'!$BL$3:$BL$181,$E$39,'2025数据'!$B$3:$B$181,$E1318))</f>
        <v>0</v>
      </c>
      <c r="H1318" s="210">
        <f ca="1">IF($S$1&lt;DATE(2025,3,1)," ",COUNTIFS('2025数据'!$T$3:$T$181,"&gt;="&amp;DATE(2025,3,1),'2025数据'!$T$3:$T$181,"&lt;="&amp;DATE(2025,3,31),'2025数据'!$BL$3:$BL$181,$E$39,'2025数据'!$B$3:$B$181,$E1318))</f>
        <v>0</v>
      </c>
      <c r="I1318" s="210">
        <f ca="1">IF($S$1&lt;DATE(2025,4,1)," ",COUNTIFS('2025数据'!$T$3:$T$181,"&gt;="&amp;DATE(2025,4,1),'2025数据'!$T$3:$T$181,"&lt;="&amp;DATE(2025,4,30),'2025数据'!$BL$3:$BL$181,$E$39,'2025数据'!$B$3:$B$181,$E1318))</f>
        <v>1</v>
      </c>
      <c r="J1318" s="210">
        <f ca="1">IF($S$1&lt;DATE(2025,5,1)," ",COUNTIFS('2025数据'!$T$3:$T$181,"&gt;="&amp;DATE(2025,5,1),'2025数据'!$T$3:$T$181,"&lt;="&amp;DATE(2025,5,31),'2025数据'!$BL$3:$BL$181,$E$39,'2025数据'!$B$3:$B$181,$E1318))</f>
        <v>0</v>
      </c>
      <c r="K1318" s="210">
        <f ca="1">IF($S$1&lt;DATE(2025,6,1)," ",COUNTIFS('2025数据'!$T$3:$T$181,"&gt;="&amp;DATE(2025,6,1),'2025数据'!$T$3:$T$181,"&lt;="&amp;DATE(2025,6,30),'2025数据'!$BL$3:$BL$181,$E$39,'2025数据'!$B$3:$B$181,$E1318))</f>
        <v>0</v>
      </c>
      <c r="L1318" s="210">
        <f ca="1">IF($S$1&lt;DATE(2025,7,1)," ",COUNTIFS('2025数据'!$T$3:$T$181,"&gt;="&amp;DATE(2025,7,1),'2025数据'!$T$3:$T$181,"&lt;="&amp;DATE(2025,7,31),'2025数据'!$BL$3:$BL$181,$E$39,'2025数据'!$B$3:$B$181,$E1318))</f>
        <v>1</v>
      </c>
      <c r="M1318" s="210">
        <f ca="1">IF($S$1&lt;DATE(2025,8,1)," ",COUNTIFS('2025数据'!$T$3:$T$181,"&gt;="&amp;DATE(2025,8,1),'2025数据'!$T$3:$T$181,"&lt;="&amp;DATE(2025,8,31),'2025数据'!$BL$3:$BL$181,$E$39,'2025数据'!$B$3:$B$181,$E1318))</f>
        <v>0</v>
      </c>
      <c r="N1318" s="210">
        <f ca="1">IF($S$1&lt;DATE(2025,9,1)," ",COUNTIFS('2025数据'!$T$3:$T$181,"&gt;="&amp;DATE(2025,9,1),'2025数据'!$T$3:$T$181,"&lt;="&amp;DATE(2025,9,30),'2025数据'!$BL$3:$BL$181,$E$39,'2025数据'!$B$3:$B$181,$E1318))</f>
        <v>0</v>
      </c>
      <c r="O1318" s="210">
        <f ca="1">IF($S$1&lt;DATE(2025,10,1)," ",COUNTIFS('2025数据'!$T$3:$T$181,"&gt;="&amp;DATE(2025,10,1),'2025数据'!$T$3:$T$181,"&lt;="&amp;DATE(2025,10,31),'2025数据'!$BL$3:$BL$181,$E$39,'2025数据'!$B$3:$B$181,$E1318))</f>
        <v>0</v>
      </c>
      <c r="P1318" s="212">
        <f ca="1">IF($S$1&lt;DATE(2025,11,1)," ",COUNTIFS('2025数据'!$T$3:$T$181,"&gt;="&amp;DATE(2025,11,1),'2025数据'!$T$3:$T$181,"&lt;="&amp;DATE(2025,11,30),'2025数据'!$BL$3:$BL$181,$E$39,'2025数据'!$B$3:$B$181,$E1318))</f>
        <v>0</v>
      </c>
      <c r="Q1318" s="212">
        <f ca="1">IF($S$1&lt;DATE(2025,12,1)," ",COUNTIFS('2025数据'!$T$3:$T$181,"&gt;="&amp;DATE(2025,12,1),'2025数据'!$T$3:$T$181,"&lt;="&amp;DATE(2025,12,31),'2025数据'!$BL$3:$BL$181,$E$39,'2025数据'!$B$3:$B$181,$E1318))</f>
        <v>0</v>
      </c>
    </row>
    <row r="1319" ht="24" customHeight="1" spans="1:17">
      <c r="A1319" s="99" t="s">
        <v>348</v>
      </c>
      <c r="B1319" s="99" t="s">
        <v>299</v>
      </c>
      <c r="C1319" s="99" t="s">
        <v>291</v>
      </c>
      <c r="D1319" s="53" t="s">
        <v>305</v>
      </c>
      <c r="E1319" s="53" t="s">
        <v>160</v>
      </c>
      <c r="F1319" s="210">
        <f ca="1">IF($S$1&lt;DATE(2025,1,1)," ",COUNTIFS('2025数据'!$T$3:$T$181,"&gt;="&amp;DATE(2025,1,1),'2025数据'!$T$3:$T$181,"&lt;="&amp;DATE(2025,1,31),'2025数据'!$BL$3:$BL$181,$E$39,'2025数据'!$B$3:$B$181,$E1319))</f>
        <v>0</v>
      </c>
      <c r="G1319" s="210">
        <f ca="1">IF($S$1&lt;DATE(2025,2,1)," ",COUNTIFS('2025数据'!$T$3:$T$181,"&gt;="&amp;DATE(2025,2,1),'2025数据'!$T$3:$T$181,"&lt;="&amp;DATE(2025,2,28),'2025数据'!$BL$3:$BL$181,$E$39,'2025数据'!$B$3:$B$181,$E1319))</f>
        <v>0</v>
      </c>
      <c r="H1319" s="210">
        <f ca="1">IF($S$1&lt;DATE(2025,3,1)," ",COUNTIFS('2025数据'!$T$3:$T$181,"&gt;="&amp;DATE(2025,3,1),'2025数据'!$T$3:$T$181,"&lt;="&amp;DATE(2025,3,31),'2025数据'!$BL$3:$BL$181,$E$39,'2025数据'!$B$3:$B$181,$E1319))</f>
        <v>0</v>
      </c>
      <c r="I1319" s="210">
        <f ca="1">IF($S$1&lt;DATE(2025,4,1)," ",COUNTIFS('2025数据'!$T$3:$T$181,"&gt;="&amp;DATE(2025,4,1),'2025数据'!$T$3:$T$181,"&lt;="&amp;DATE(2025,4,30),'2025数据'!$BL$3:$BL$181,$E$39,'2025数据'!$B$3:$B$181,$E1319))</f>
        <v>0</v>
      </c>
      <c r="J1319" s="210">
        <f ca="1">IF($S$1&lt;DATE(2025,5,1)," ",COUNTIFS('2025数据'!$T$3:$T$181,"&gt;="&amp;DATE(2025,5,1),'2025数据'!$T$3:$T$181,"&lt;="&amp;DATE(2025,5,31),'2025数据'!$BL$3:$BL$181,$E$39,'2025数据'!$B$3:$B$181,$E1319))</f>
        <v>0</v>
      </c>
      <c r="K1319" s="210">
        <f ca="1">IF($S$1&lt;DATE(2025,6,1)," ",COUNTIFS('2025数据'!$T$3:$T$181,"&gt;="&amp;DATE(2025,6,1),'2025数据'!$T$3:$T$181,"&lt;="&amp;DATE(2025,6,30),'2025数据'!$BL$3:$BL$181,$E$39,'2025数据'!$B$3:$B$181,$E1319))</f>
        <v>0</v>
      </c>
      <c r="L1319" s="210">
        <f ca="1">IF($S$1&lt;DATE(2025,7,1)," ",COUNTIFS('2025数据'!$T$3:$T$181,"&gt;="&amp;DATE(2025,7,1),'2025数据'!$T$3:$T$181,"&lt;="&amp;DATE(2025,7,31),'2025数据'!$BL$3:$BL$181,$E$39,'2025数据'!$B$3:$B$181,$E1319))</f>
        <v>0</v>
      </c>
      <c r="M1319" s="210">
        <f ca="1">IF($S$1&lt;DATE(2025,8,1)," ",COUNTIFS('2025数据'!$T$3:$T$181,"&gt;="&amp;DATE(2025,8,1),'2025数据'!$T$3:$T$181,"&lt;="&amp;DATE(2025,8,31),'2025数据'!$BL$3:$BL$181,$E$39,'2025数据'!$B$3:$B$181,$E1319))</f>
        <v>0</v>
      </c>
      <c r="N1319" s="210">
        <f ca="1">IF($S$1&lt;DATE(2025,9,1)," ",COUNTIFS('2025数据'!$T$3:$T$181,"&gt;="&amp;DATE(2025,9,1),'2025数据'!$T$3:$T$181,"&lt;="&amp;DATE(2025,9,30),'2025数据'!$BL$3:$BL$181,$E$39,'2025数据'!$B$3:$B$181,$E1319))</f>
        <v>0</v>
      </c>
      <c r="O1319" s="210">
        <f ca="1">IF($S$1&lt;DATE(2025,10,1)," ",COUNTIFS('2025数据'!$T$3:$T$181,"&gt;="&amp;DATE(2025,10,1),'2025数据'!$T$3:$T$181,"&lt;="&amp;DATE(2025,10,31),'2025数据'!$BL$3:$BL$181,$E$39,'2025数据'!$B$3:$B$181,$E1319))</f>
        <v>0</v>
      </c>
      <c r="P1319" s="212">
        <f ca="1">IF($S$1&lt;DATE(2025,11,1)," ",COUNTIFS('2025数据'!$T$3:$T$181,"&gt;="&amp;DATE(2025,11,1),'2025数据'!$T$3:$T$181,"&lt;="&amp;DATE(2025,11,30),'2025数据'!$BL$3:$BL$181,$E$39,'2025数据'!$B$3:$B$181,$E1319))</f>
        <v>0</v>
      </c>
      <c r="Q1319" s="212">
        <f ca="1">IF($S$1&lt;DATE(2025,12,1)," ",COUNTIFS('2025数据'!$T$3:$T$181,"&gt;="&amp;DATE(2025,12,1),'2025数据'!$T$3:$T$181,"&lt;="&amp;DATE(2025,12,31),'2025数据'!$BL$3:$BL$181,$E$39,'2025数据'!$B$3:$B$181,$E1319))</f>
        <v>0</v>
      </c>
    </row>
    <row r="1320" ht="24" customHeight="1" spans="1:17">
      <c r="A1320" s="99" t="s">
        <v>348</v>
      </c>
      <c r="B1320" s="99" t="s">
        <v>299</v>
      </c>
      <c r="C1320" s="99" t="s">
        <v>291</v>
      </c>
      <c r="D1320" s="100" t="s">
        <v>292</v>
      </c>
      <c r="E1320" s="100" t="s">
        <v>306</v>
      </c>
      <c r="F1320" s="204">
        <f ca="1">IF($S$1&lt;DATE(2025,1,1)," ",SUM(F1321:F1323))</f>
        <v>5</v>
      </c>
      <c r="G1320" s="204">
        <f ca="1">IF($S$1&lt;DATE(2025,2,1)," ",SUM(G1321:G1323))</f>
        <v>2</v>
      </c>
      <c r="H1320" s="204">
        <f ca="1">IF($S$1&lt;DATE(2025,3,1)," ",SUM(H1321:H1323))</f>
        <v>2</v>
      </c>
      <c r="I1320" s="204">
        <f ca="1">IF($S$1&lt;DATE(2025,4,1)," ",SUM(I1321:I1323))</f>
        <v>1</v>
      </c>
      <c r="J1320" s="204">
        <f ca="1">IF($S$1&lt;DATE(2025,5,1)," ",SUM(J1321:J1323))</f>
        <v>5</v>
      </c>
      <c r="K1320" s="204">
        <f ca="1">IF($S$1&lt;DATE(2025,6,1)," ",SUM(K1321:K1323))</f>
        <v>5</v>
      </c>
      <c r="L1320" s="204">
        <f ca="1">IF($S$1&lt;DATE(2025,7,1)," ",SUM(L1321:L1323))</f>
        <v>2</v>
      </c>
      <c r="M1320" s="204">
        <f ca="1">IF($S$1&lt;DATE(2025,8,1)," ",SUM(M1321:M1323))</f>
        <v>7</v>
      </c>
      <c r="N1320" s="204">
        <f ca="1">IF($S$1&lt;DATE(2025,9,1)," ",SUM(N1321:N1323))</f>
        <v>5</v>
      </c>
      <c r="O1320" s="204">
        <f ca="1">IF($S$1&lt;DATE(2025,10,1)," ",SUM(O1321:O1323))</f>
        <v>5</v>
      </c>
      <c r="P1320" s="204">
        <f ca="1">IF($S$1&lt;DATE(2025,11,1)," ",SUM(P1321:P1323))</f>
        <v>1</v>
      </c>
      <c r="Q1320" s="204">
        <f ca="1">IF($S$1&lt;DATE(2025,12,1)," ",SUM(Q1321:Q1323))</f>
        <v>5</v>
      </c>
    </row>
    <row r="1321" ht="24" customHeight="1" spans="1:17">
      <c r="A1321" s="99" t="s">
        <v>348</v>
      </c>
      <c r="B1321" s="99" t="s">
        <v>299</v>
      </c>
      <c r="C1321" s="99" t="s">
        <v>291</v>
      </c>
      <c r="D1321" s="48" t="s">
        <v>296</v>
      </c>
      <c r="E1321" s="48" t="s">
        <v>90</v>
      </c>
      <c r="F1321" s="205">
        <f ca="1">IF($S$1&lt;DATE(2025,1,1)," ",COUNTIFS('2025数据'!$T$3:$T$181,"&gt;="&amp;DATE(2024,1,1),'2025数据'!$T$3:$T$181,"&lt;="&amp;DATE(2025,1,31),'2025数据'!$AF$3:$AF$181,$E1321))</f>
        <v>1</v>
      </c>
      <c r="G1321" s="205">
        <f ca="1">IF($S$1&lt;DATE(2025,2,1)," ",COUNTIFS('2025数据'!$T$3:$T$181,"&gt;="&amp;DATE(2025,2,1),'2025数据'!$T$3:$T$181,"&lt;="&amp;DATE(2025,2,28),'2025数据'!$AF$3:$AF$181,$E1321))</f>
        <v>1</v>
      </c>
      <c r="H1321" s="205">
        <f ca="1">IF($S$1&lt;DATE(2025,3,1)," ",COUNTIFS('2025数据'!$T$3:$T$181,"&gt;="&amp;DATE(2025,3,1),'2025数据'!$T$3:$T$181,"&lt;="&amp;DATE(2025,3,31),'2025数据'!$AF$3:$AF$181,$E1321))</f>
        <v>1</v>
      </c>
      <c r="I1321" s="205">
        <f ca="1">IF($S$1&lt;DATE(2025,4,1)," ",COUNTIFS('2025数据'!$T$3:$T$181,"&gt;="&amp;DATE(2025,4,1),'2025数据'!$T$3:$T$181,"&lt;="&amp;DATE(2025,4,30),'2025数据'!$AF$3:$AF$181,$E1321))</f>
        <v>0</v>
      </c>
      <c r="J1321" s="205">
        <f ca="1">IF($S$1&lt;DATE(2025,5,1)," ",COUNTIFS('2025数据'!$T$3:$T$181,"&gt;="&amp;DATE(2025,5,1),'2025数据'!$T$3:$T$181,"&lt;="&amp;DATE(2025,5,31),'2025数据'!$AF$3:$AF$181,$E1321))</f>
        <v>0</v>
      </c>
      <c r="K1321" s="205">
        <f ca="1">IF($S$1&lt;DATE(2025,6,1)," ",COUNTIFS('2025数据'!$T$3:$T$181,"&gt;="&amp;DATE(2025,6,1),'2025数据'!$T$3:$T$181,"&lt;="&amp;DATE(2025,6,30),'2025数据'!$AF$3:$AF$181,$E1321))</f>
        <v>2</v>
      </c>
      <c r="L1321" s="205">
        <f ca="1">IF($S$1&lt;DATE(2025,7,1)," ",COUNTIFS('2025数据'!$T$3:$T$181,"&gt;="&amp;DATE(2025,7,1),'2025数据'!$T$3:$T$181,"&lt;="&amp;DATE(2025,7,31),'2025数据'!$AF$3:$AF$181,$E1321))</f>
        <v>1</v>
      </c>
      <c r="M1321" s="205">
        <f ca="1">IF($S$1&lt;DATE(2025,8,1)," ",COUNTIFS('2025数据'!$T$3:$T$181,"&gt;="&amp;DATE(2025,8,1),'2025数据'!$T$3:$T$181,"&lt;="&amp;DATE(2025,8,31),'2025数据'!$AF$3:$AF$181,$E1321))</f>
        <v>1</v>
      </c>
      <c r="N1321" s="205">
        <f ca="1">IF($S$1&lt;DATE(2025,9,1)," ",COUNTIFS('2025数据'!$T$3:$T$181,"&gt;="&amp;DATE(2025,9,1),'2025数据'!$T$3:$T$181,"&lt;="&amp;DATE(2025,9,30),'2025数据'!$AF$3:$AF$181,$E1321))</f>
        <v>1</v>
      </c>
      <c r="O1321" s="205">
        <f ca="1">IF($S$1&lt;DATE(2025,10,1)," ",COUNTIFS('2025数据'!$T$3:$T$181,"&gt;="&amp;DATE(2025,10,1),'2025数据'!$T$3:$T$181,"&lt;="&amp;DATE(2025,10,31),'2025数据'!$AF$3:$AF$181,$E1321))</f>
        <v>3</v>
      </c>
      <c r="P1321" s="207">
        <f ca="1">IF($S$1&lt;DATE(2025,11,1)," ",COUNTIFS('2025数据'!$T$3:$T$181,"&gt;="&amp;DATE(2025,11,1),'2025数据'!$T$3:$T$181,"&lt;="&amp;DATE(2025,11,30),'2025数据'!$AF$3:$AF$181,$E1321))</f>
        <v>0</v>
      </c>
      <c r="Q1321" s="207">
        <f ca="1">IF($S$1&lt;DATE(2025,12,1)," ",COUNTIFS('2025数据'!$T$3:$T$181,"&gt;="&amp;DATE(2025,12,1),'2025数据'!$T$3:$T$181,"&lt;="&amp;DATE(2025,12,31),'2025数据'!$AF$3:$AF$181,$E1321))</f>
        <v>2</v>
      </c>
    </row>
    <row r="1322" ht="24" customHeight="1" spans="1:17">
      <c r="A1322" s="99" t="s">
        <v>348</v>
      </c>
      <c r="B1322" s="99" t="s">
        <v>299</v>
      </c>
      <c r="C1322" s="99" t="s">
        <v>291</v>
      </c>
      <c r="D1322" s="48" t="s">
        <v>296</v>
      </c>
      <c r="E1322" s="48" t="s">
        <v>82</v>
      </c>
      <c r="F1322" s="205">
        <f ca="1">IF($S$1&lt;DATE(2025,1,1)," ",COUNTIFS('2025数据'!$T$3:$T$181,"&gt;="&amp;DATE(2024,1,1),'2025数据'!$T$3:$T$181,"&lt;="&amp;DATE(2025,1,31),'2025数据'!$AF$3:$AF$181,$E1322))</f>
        <v>0</v>
      </c>
      <c r="G1322" s="205">
        <f ca="1">IF($S$1&lt;DATE(2025,2,1)," ",COUNTIFS('2025数据'!$T$3:$T$181,"&gt;="&amp;DATE(2025,2,1),'2025数据'!$T$3:$T$181,"&lt;="&amp;DATE(2025,2,28),'2025数据'!$AF$3:$AF$181,$E1322))</f>
        <v>0</v>
      </c>
      <c r="H1322" s="205">
        <f ca="1">IF($S$1&lt;DATE(2025,3,1)," ",COUNTIFS('2025数据'!$T$3:$T$181,"&gt;="&amp;DATE(2025,3,1),'2025数据'!$T$3:$T$181,"&lt;="&amp;DATE(2025,3,31),'2025数据'!$AF$3:$AF$181,$E1322))</f>
        <v>1</v>
      </c>
      <c r="I1322" s="205">
        <f ca="1">IF($S$1&lt;DATE(2025,4,1)," ",COUNTIFS('2025数据'!$T$3:$T$181,"&gt;="&amp;DATE(2025,4,1),'2025数据'!$T$3:$T$181,"&lt;="&amp;DATE(2025,4,30),'2025数据'!$AF$3:$AF$181,$E1322))</f>
        <v>1</v>
      </c>
      <c r="J1322" s="205">
        <f ca="1">IF($S$1&lt;DATE(2025,5,1)," ",COUNTIFS('2025数据'!$T$3:$T$181,"&gt;="&amp;DATE(2025,5,1),'2025数据'!$T$3:$T$181,"&lt;="&amp;DATE(2025,5,31),'2025数据'!$AF$3:$AF$181,$E1322))</f>
        <v>2</v>
      </c>
      <c r="K1322" s="205">
        <f ca="1">IF($S$1&lt;DATE(2025,6,1)," ",COUNTIFS('2025数据'!$T$3:$T$181,"&gt;="&amp;DATE(2025,6,1),'2025数据'!$T$3:$T$181,"&lt;="&amp;DATE(2025,6,30),'2025数据'!$AF$3:$AF$181,$E1322))</f>
        <v>1</v>
      </c>
      <c r="L1322" s="205">
        <f ca="1">IF($S$1&lt;DATE(2025,7,1)," ",COUNTIFS('2025数据'!$T$3:$T$181,"&gt;="&amp;DATE(2025,7,1),'2025数据'!$T$3:$T$181,"&lt;="&amp;DATE(2025,7,31),'2025数据'!$AF$3:$AF$181,$E1322))</f>
        <v>1</v>
      </c>
      <c r="M1322" s="205">
        <f ca="1">IF($S$1&lt;DATE(2025,8,1)," ",COUNTIFS('2025数据'!$T$3:$T$181,"&gt;="&amp;DATE(2025,8,1),'2025数据'!$T$3:$T$181,"&lt;="&amp;DATE(2025,8,31),'2025数据'!$AF$3:$AF$181,$E1322))</f>
        <v>3</v>
      </c>
      <c r="N1322" s="205">
        <f ca="1">IF($S$1&lt;DATE(2025,9,1)," ",COUNTIFS('2025数据'!$T$3:$T$181,"&gt;="&amp;DATE(2025,9,1),'2025数据'!$T$3:$T$181,"&lt;="&amp;DATE(2025,9,30),'2025数据'!$AF$3:$AF$181,$E1322))</f>
        <v>1</v>
      </c>
      <c r="O1322" s="205">
        <f ca="1">IF($S$1&lt;DATE(2025,10,1)," ",COUNTIFS('2025数据'!$T$3:$T$181,"&gt;="&amp;DATE(2025,10,1),'2025数据'!$T$3:$T$181,"&lt;="&amp;DATE(2025,10,31),'2025数据'!$AF$3:$AF$181,$E1322))</f>
        <v>2</v>
      </c>
      <c r="P1322" s="207">
        <f ca="1">IF($S$1&lt;DATE(2025,11,1)," ",COUNTIFS('2025数据'!$T$3:$T$181,"&gt;="&amp;DATE(2025,11,1),'2025数据'!$T$3:$T$181,"&lt;="&amp;DATE(2025,11,30),'2025数据'!$AF$3:$AF$181,$E1322))</f>
        <v>0</v>
      </c>
      <c r="Q1322" s="207">
        <f ca="1">IF($S$1&lt;DATE(2025,12,1)," ",COUNTIFS('2025数据'!$T$3:$T$181,"&gt;="&amp;DATE(2025,12,1),'2025数据'!$T$3:$T$181,"&lt;="&amp;DATE(2025,12,31),'2025数据'!$AF$3:$AF$181,$E1322))</f>
        <v>2</v>
      </c>
    </row>
    <row r="1323" ht="24" customHeight="1" spans="1:17">
      <c r="A1323" s="99" t="s">
        <v>348</v>
      </c>
      <c r="B1323" s="99" t="s">
        <v>299</v>
      </c>
      <c r="C1323" s="99" t="s">
        <v>291</v>
      </c>
      <c r="D1323" s="48" t="s">
        <v>296</v>
      </c>
      <c r="E1323" s="48" t="s">
        <v>86</v>
      </c>
      <c r="F1323" s="205">
        <f ca="1">IF($S$1&lt;DATE(2025,1,1)," ",COUNTIFS('2025数据'!$T$3:$T$181,"&gt;="&amp;DATE(2024,1,1),'2025数据'!$T$3:$T$181,"&lt;="&amp;DATE(2025,1,31),'2025数据'!$AF$3:$AF$181,$E1323))</f>
        <v>4</v>
      </c>
      <c r="G1323" s="205">
        <f ca="1">IF($S$1&lt;DATE(2025,2,1)," ",COUNTIFS('2025数据'!$T$3:$T$181,"&gt;="&amp;DATE(2025,2,1),'2025数据'!$T$3:$T$181,"&lt;="&amp;DATE(2025,2,28),'2025数据'!$AF$3:$AF$181,$E1323))</f>
        <v>1</v>
      </c>
      <c r="H1323" s="205">
        <f ca="1">IF($S$1&lt;DATE(2025,3,1)," ",COUNTIFS('2025数据'!$T$3:$T$181,"&gt;="&amp;DATE(2025,3,1),'2025数据'!$T$3:$T$181,"&lt;="&amp;DATE(2025,3,31),'2025数据'!$AF$3:$AF$181,$E1323))</f>
        <v>0</v>
      </c>
      <c r="I1323" s="205">
        <f ca="1">IF($S$1&lt;DATE(2025,4,1)," ",COUNTIFS('2025数据'!$T$3:$T$181,"&gt;="&amp;DATE(2025,4,1),'2025数据'!$T$3:$T$181,"&lt;="&amp;DATE(2025,4,30),'2025数据'!$AF$3:$AF$181,$E1323))</f>
        <v>0</v>
      </c>
      <c r="J1323" s="205">
        <f ca="1">IF($S$1&lt;DATE(2025,5,1)," ",COUNTIFS('2025数据'!$T$3:$T$181,"&gt;="&amp;DATE(2025,5,1),'2025数据'!$T$3:$T$181,"&lt;="&amp;DATE(2025,5,31),'2025数据'!$AF$3:$AF$181,$E1323))</f>
        <v>3</v>
      </c>
      <c r="K1323" s="205">
        <f ca="1">IF($S$1&lt;DATE(2025,6,1)," ",COUNTIFS('2025数据'!$T$3:$T$181,"&gt;="&amp;DATE(2025,6,1),'2025数据'!$T$3:$T$181,"&lt;="&amp;DATE(2025,6,30),'2025数据'!$AF$3:$AF$181,$E1323))</f>
        <v>2</v>
      </c>
      <c r="L1323" s="205">
        <f ca="1">IF($S$1&lt;DATE(2025,7,1)," ",COUNTIFS('2025数据'!$T$3:$T$181,"&gt;="&amp;DATE(2025,7,1),'2025数据'!$T$3:$T$181,"&lt;="&amp;DATE(2025,7,31),'2025数据'!$AF$3:$AF$181,$E1323))</f>
        <v>0</v>
      </c>
      <c r="M1323" s="205">
        <f ca="1">IF($S$1&lt;DATE(2025,8,1)," ",COUNTIFS('2025数据'!$T$3:$T$181,"&gt;="&amp;DATE(2025,8,1),'2025数据'!$T$3:$T$181,"&lt;="&amp;DATE(2025,8,31),'2025数据'!$AF$3:$AF$181,$E1323))</f>
        <v>3</v>
      </c>
      <c r="N1323" s="205">
        <f ca="1">IF($S$1&lt;DATE(2025,9,1)," ",COUNTIFS('2025数据'!$T$3:$T$181,"&gt;="&amp;DATE(2025,9,1),'2025数据'!$T$3:$T$181,"&lt;="&amp;DATE(2025,9,30),'2025数据'!$AF$3:$AF$181,$E1323))</f>
        <v>3</v>
      </c>
      <c r="O1323" s="205">
        <f ca="1">IF($S$1&lt;DATE(2025,10,1)," ",COUNTIFS('2025数据'!$T$3:$T$181,"&gt;="&amp;DATE(2025,10,1),'2025数据'!$T$3:$T$181,"&lt;="&amp;DATE(2025,10,31),'2025数据'!$AF$3:$AF$181,$E1323))</f>
        <v>0</v>
      </c>
      <c r="P1323" s="207">
        <f ca="1">IF($S$1&lt;DATE(2025,11,1)," ",COUNTIFS('2025数据'!$T$3:$T$181,"&gt;="&amp;DATE(2025,11,1),'2025数据'!$T$3:$T$181,"&lt;="&amp;DATE(2025,11,30),'2025数据'!$AF$3:$AF$181,$E1323))</f>
        <v>1</v>
      </c>
      <c r="Q1323" s="207">
        <f ca="1">IF($S$1&lt;DATE(2025,12,1)," ",COUNTIFS('2025数据'!$T$3:$T$181,"&gt;="&amp;DATE(2025,12,1),'2025数据'!$T$3:$T$181,"&lt;="&amp;DATE(2025,12,31),'2025数据'!$AF$3:$AF$181,$E1323))</f>
        <v>1</v>
      </c>
    </row>
    <row r="1324" ht="24" customHeight="1" spans="1:17">
      <c r="A1324" s="99" t="s">
        <v>348</v>
      </c>
      <c r="B1324" s="99" t="s">
        <v>299</v>
      </c>
      <c r="C1324" s="99" t="s">
        <v>291</v>
      </c>
      <c r="D1324" s="100" t="s">
        <v>292</v>
      </c>
      <c r="E1324" s="100" t="s">
        <v>307</v>
      </c>
      <c r="F1324" s="204">
        <f ca="1">IF($S$1&lt;DATE(2025,1,1)," ",SUM(F1325:F1328))</f>
        <v>1</v>
      </c>
      <c r="G1324" s="204">
        <f ca="1">IF($S$1&lt;DATE(2025,2,1)," ",SUM(G1325:G1328))</f>
        <v>2</v>
      </c>
      <c r="H1324" s="204">
        <f ca="1">IF($S$1&lt;DATE(2025,3,1)," ",SUM(H1325:H1328))</f>
        <v>1</v>
      </c>
      <c r="I1324" s="204">
        <f ca="1">IF($S$1&lt;DATE(2025,4,1)," ",SUM(I1325:I1328))</f>
        <v>2</v>
      </c>
      <c r="J1324" s="204">
        <f ca="1">IF($S$1&lt;DATE(2025,5,1)," ",SUM(J1325:J1328))</f>
        <v>4</v>
      </c>
      <c r="K1324" s="204">
        <f ca="1">IF($S$1&lt;DATE(2025,6,1)," ",SUM(K1325:K1328))</f>
        <v>3</v>
      </c>
      <c r="L1324" s="204">
        <f ca="1">IF($S$1&lt;DATE(2025,7,1)," ",SUM(L1325:L1328))</f>
        <v>2</v>
      </c>
      <c r="M1324" s="204">
        <f ca="1">IF($S$1&lt;DATE(2025,8,1)," ",SUM(M1325:M1328))</f>
        <v>8</v>
      </c>
      <c r="N1324" s="204">
        <f ca="1">IF($S$1&lt;DATE(2025,9,1)," ",SUM(N1325:N1328))</f>
        <v>5</v>
      </c>
      <c r="O1324" s="204">
        <f ca="1">IF($S$1&lt;DATE(2025,10,1)," ",SUM(O1325:O1328))</f>
        <v>3</v>
      </c>
      <c r="P1324" s="204">
        <f ca="1">IF($S$1&lt;DATE(2025,11,1)," ",SUM(P1325:P1328))</f>
        <v>1</v>
      </c>
      <c r="Q1324" s="204">
        <f ca="1">IF($S$1&lt;DATE(2025,12,1)," ",SUM(Q1325:Q1328))</f>
        <v>2</v>
      </c>
    </row>
    <row r="1325" ht="24" customHeight="1" spans="1:17">
      <c r="A1325" s="99" t="s">
        <v>348</v>
      </c>
      <c r="B1325" s="99" t="s">
        <v>299</v>
      </c>
      <c r="C1325" s="99" t="s">
        <v>291</v>
      </c>
      <c r="D1325" s="48" t="s">
        <v>298</v>
      </c>
      <c r="E1325" s="48" t="s">
        <v>97</v>
      </c>
      <c r="F1325" s="205">
        <f ca="1">IF($S$1&lt;DATE(2025,1,1)," ",COUNTIFS('2025数据'!$T$3:$T$181,"&gt;="&amp;DATE(2024,1,1),'2025数据'!$T$3:$T$181,"&lt;="&amp;DATE(2025,1,31),'2025数据'!$AG$3:$AG$181,$E1325))</f>
        <v>1</v>
      </c>
      <c r="G1325" s="205">
        <f ca="1">IF($S$1&lt;DATE(2025,2,1)," ",COUNTIFS('2025数据'!$T$3:$T$181,"&gt;="&amp;DATE(2025,2,1),'2025数据'!$T$3:$T$181,"&lt;="&amp;DATE(2025,2,28),'2025数据'!$AG$3:$AG$181,$E1325))</f>
        <v>2</v>
      </c>
      <c r="H1325" s="205">
        <f ca="1">IF($S$1&lt;DATE(2025,3,1)," ",COUNTIFS('2025数据'!$T$3:$T$181,"&gt;="&amp;DATE(2025,3,1),'2025数据'!$T$3:$T$181,"&lt;="&amp;DATE(2025,3,31),'2025数据'!$AG$3:$AG$181,$E1325))</f>
        <v>1</v>
      </c>
      <c r="I1325" s="205">
        <f ca="1">IF($S$1&lt;DATE(2025,4,1)," ",COUNTIFS('2025数据'!$T$3:$T$181,"&gt;="&amp;DATE(2025,4,1),'2025数据'!$T$3:$T$181,"&lt;="&amp;DATE(2025,4,30),'2025数据'!$AG$3:$AG$181,$E1325))</f>
        <v>2</v>
      </c>
      <c r="J1325" s="205">
        <f ca="1">IF($S$1&lt;DATE(2025,5,1)," ",COUNTIFS('2025数据'!$T$3:$T$181,"&gt;="&amp;DATE(2025,5,1),'2025数据'!$T$3:$T$181,"&lt;="&amp;DATE(2025,5,31),'2025数据'!$AG$3:$AG$181,$E1325))</f>
        <v>3</v>
      </c>
      <c r="K1325" s="205">
        <f ca="1">IF($S$1&lt;DATE(2025,6,1)," ",COUNTIFS('2025数据'!$T$3:$T$181,"&gt;="&amp;DATE(2025,6,1),'2025数据'!$T$3:$T$181,"&lt;="&amp;DATE(2025,6,30),'2025数据'!$AG$3:$AG$181,$E1325))</f>
        <v>2</v>
      </c>
      <c r="L1325" s="205">
        <f ca="1">IF($S$1&lt;DATE(2025,7,1)," ",COUNTIFS('2025数据'!$T$3:$T$181,"&gt;="&amp;DATE(2025,7,1),'2025数据'!$T$3:$T$181,"&lt;="&amp;DATE(2025,7,31),'2025数据'!$AG$3:$AG$181,$E1325))</f>
        <v>1</v>
      </c>
      <c r="M1325" s="205">
        <f ca="1">IF($S$1&lt;DATE(2025,8,1)," ",COUNTIFS('2025数据'!$T$3:$T$181,"&gt;="&amp;DATE(2025,8,1),'2025数据'!$T$3:$T$181,"&lt;="&amp;DATE(2025,8,31),'2025数据'!$AG$3:$AG$181,$E1325))</f>
        <v>3</v>
      </c>
      <c r="N1325" s="205">
        <f ca="1">IF($S$1&lt;DATE(2025,9,1)," ",COUNTIFS('2025数据'!$T$3:$T$181,"&gt;="&amp;DATE(2025,9,1),'2025数据'!$T$3:$T$181,"&lt;="&amp;DATE(2025,9,30),'2025数据'!$AG$3:$AG$181,$E1325))</f>
        <v>3</v>
      </c>
      <c r="O1325" s="205">
        <f ca="1">IF($S$1&lt;DATE(2025,10,1)," ",COUNTIFS('2025数据'!$T$3:$T$181,"&gt;="&amp;DATE(2025,10,1),'2025数据'!$T$3:$T$181,"&lt;="&amp;DATE(2025,10,31),'2025数据'!$AG$3:$AG$181,$E1325))</f>
        <v>0</v>
      </c>
      <c r="P1325" s="207">
        <f ca="1">IF($S$1&lt;DATE(2025,11,1)," ",COUNTIFS('2025数据'!$T$3:$T$181,"&gt;="&amp;DATE(2025,11,1),'2025数据'!$T$3:$T$181,"&lt;="&amp;DATE(2025,11,30),'2025数据'!$AG$3:$AG$181,$E1325))</f>
        <v>0</v>
      </c>
      <c r="Q1325" s="207">
        <f ca="1">IF($S$1&lt;DATE(2025,12,1)," ",COUNTIFS('2025数据'!$T$3:$T$181,"&gt;="&amp;DATE(2025,12,1),'2025数据'!$T$3:$T$181,"&lt;="&amp;DATE(2025,12,31),'2025数据'!$AG$3:$AG$181,$E1325))</f>
        <v>2</v>
      </c>
    </row>
    <row r="1326" ht="24" customHeight="1" spans="1:17">
      <c r="A1326" s="99" t="s">
        <v>348</v>
      </c>
      <c r="B1326" s="99" t="s">
        <v>299</v>
      </c>
      <c r="C1326" s="99" t="s">
        <v>291</v>
      </c>
      <c r="D1326" s="48" t="s">
        <v>298</v>
      </c>
      <c r="E1326" s="48" t="s">
        <v>87</v>
      </c>
      <c r="F1326" s="205">
        <f ca="1">IF($S$1&lt;DATE(2025,1,1)," ",COUNTIFS('2025数据'!$T$3:$T$181,"&gt;="&amp;DATE(2024,1,1),'2025数据'!$T$3:$T$181,"&lt;="&amp;DATE(2025,1,31),'2025数据'!$AG$3:$AG$181,$E1326))</f>
        <v>0</v>
      </c>
      <c r="G1326" s="205">
        <f ca="1">IF($S$1&lt;DATE(2025,2,1)," ",COUNTIFS('2025数据'!$T$3:$T$181,"&gt;="&amp;DATE(2025,2,1),'2025数据'!$T$3:$T$181,"&lt;="&amp;DATE(2025,2,28),'2025数据'!$AG$3:$AG$181,$E1326))</f>
        <v>0</v>
      </c>
      <c r="H1326" s="205">
        <f ca="1">IF($S$1&lt;DATE(2025,3,1)," ",COUNTIFS('2025数据'!$T$3:$T$181,"&gt;="&amp;DATE(2025,3,1),'2025数据'!$T$3:$T$181,"&lt;="&amp;DATE(2025,3,31),'2025数据'!$AG$3:$AG$181,$E1326))</f>
        <v>0</v>
      </c>
      <c r="I1326" s="205">
        <f ca="1">IF($S$1&lt;DATE(2025,4,1)," ",COUNTIFS('2025数据'!$T$3:$T$181,"&gt;="&amp;DATE(2025,4,1),'2025数据'!$T$3:$T$181,"&lt;="&amp;DATE(2025,4,30),'2025数据'!$AG$3:$AG$181,$E1326))</f>
        <v>0</v>
      </c>
      <c r="J1326" s="205">
        <f ca="1">IF($S$1&lt;DATE(2025,5,1)," ",COUNTIFS('2025数据'!$T$3:$T$181,"&gt;="&amp;DATE(2025,5,1),'2025数据'!$T$3:$T$181,"&lt;="&amp;DATE(2025,5,31),'2025数据'!$AG$3:$AG$181,$E1326))</f>
        <v>1</v>
      </c>
      <c r="K1326" s="205">
        <f ca="1">IF($S$1&lt;DATE(2025,6,1)," ",COUNTIFS('2025数据'!$T$3:$T$181,"&gt;="&amp;DATE(2025,6,1),'2025数据'!$T$3:$T$181,"&lt;="&amp;DATE(2025,6,30),'2025数据'!$AG$3:$AG$181,$E1326))</f>
        <v>0</v>
      </c>
      <c r="L1326" s="205">
        <f ca="1">IF($S$1&lt;DATE(2025,7,1)," ",COUNTIFS('2025数据'!$T$3:$T$181,"&gt;="&amp;DATE(2025,7,1),'2025数据'!$T$3:$T$181,"&lt;="&amp;DATE(2025,7,31),'2025数据'!$AG$3:$AG$181,$E1326))</f>
        <v>1</v>
      </c>
      <c r="M1326" s="205">
        <f ca="1">IF($S$1&lt;DATE(2025,8,1)," ",COUNTIFS('2025数据'!$T$3:$T$181,"&gt;="&amp;DATE(2025,8,1),'2025数据'!$T$3:$T$181,"&lt;="&amp;DATE(2025,8,31),'2025数据'!$AG$3:$AG$181,$E1326))</f>
        <v>2</v>
      </c>
      <c r="N1326" s="205">
        <f ca="1">IF($S$1&lt;DATE(2025,9,1)," ",COUNTIFS('2025数据'!$T$3:$T$181,"&gt;="&amp;DATE(2025,9,1),'2025数据'!$T$3:$T$181,"&lt;="&amp;DATE(2025,9,30),'2025数据'!$AG$3:$AG$181,$E1326))</f>
        <v>1</v>
      </c>
      <c r="O1326" s="205">
        <f ca="1">IF($S$1&lt;DATE(2025,10,1)," ",COUNTIFS('2025数据'!$T$3:$T$181,"&gt;="&amp;DATE(2025,10,1),'2025数据'!$T$3:$T$181,"&lt;="&amp;DATE(2025,10,31),'2025数据'!$AG$3:$AG$181,$E1326))</f>
        <v>3</v>
      </c>
      <c r="P1326" s="207">
        <f ca="1">IF($S$1&lt;DATE(2025,11,1)," ",COUNTIFS('2025数据'!$T$3:$T$181,"&gt;="&amp;DATE(2025,11,1),'2025数据'!$T$3:$T$181,"&lt;="&amp;DATE(2025,11,30),'2025数据'!$AG$3:$AG$181,$E1326))</f>
        <v>1</v>
      </c>
      <c r="Q1326" s="207">
        <f ca="1">IF($S$1&lt;DATE(2025,12,1)," ",COUNTIFS('2025数据'!$T$3:$T$181,"&gt;="&amp;DATE(2025,12,1),'2025数据'!$T$3:$T$181,"&lt;="&amp;DATE(2025,12,31),'2025数据'!$AG$3:$AG$181,$E1326))</f>
        <v>0</v>
      </c>
    </row>
    <row r="1327" ht="24" customHeight="1" spans="1:17">
      <c r="A1327" s="99" t="s">
        <v>348</v>
      </c>
      <c r="B1327" s="99" t="s">
        <v>299</v>
      </c>
      <c r="C1327" s="99" t="s">
        <v>291</v>
      </c>
      <c r="D1327" s="48" t="s">
        <v>298</v>
      </c>
      <c r="E1327" s="48" t="s">
        <v>149</v>
      </c>
      <c r="F1327" s="205">
        <f ca="1">IF($S$1&lt;DATE(2025,1,1)," ",COUNTIFS('2025数据'!$T$3:$T$181,"&gt;="&amp;DATE(2024,1,1),'2025数据'!$T$3:$T$181,"&lt;="&amp;DATE(2025,1,31),'2025数据'!$AG$3:$AG$181,$E1327))</f>
        <v>0</v>
      </c>
      <c r="G1327" s="205">
        <f ca="1">IF($S$1&lt;DATE(2025,2,1)," ",COUNTIFS('2025数据'!$T$3:$T$181,"&gt;="&amp;DATE(2025,2,1),'2025数据'!$T$3:$T$181,"&lt;="&amp;DATE(2025,2,28),'2025数据'!$AG$3:$AG$181,$E1327))</f>
        <v>0</v>
      </c>
      <c r="H1327" s="205">
        <f ca="1">IF($S$1&lt;DATE(2025,3,1)," ",COUNTIFS('2025数据'!$T$3:$T$181,"&gt;="&amp;DATE(2025,3,1),'2025数据'!$T$3:$T$181,"&lt;="&amp;DATE(2025,3,31),'2025数据'!$AG$3:$AG$181,$E1327))</f>
        <v>0</v>
      </c>
      <c r="I1327" s="205">
        <f ca="1">IF($S$1&lt;DATE(2025,4,1)," ",COUNTIFS('2025数据'!$T$3:$T$181,"&gt;="&amp;DATE(2025,4,1),'2025数据'!$T$3:$T$181,"&lt;="&amp;DATE(2025,4,30),'2025数据'!$AG$3:$AG$181,$E1327))</f>
        <v>0</v>
      </c>
      <c r="J1327" s="205">
        <f ca="1">IF($S$1&lt;DATE(2025,5,1)," ",COUNTIFS('2025数据'!$T$3:$T$181,"&gt;="&amp;DATE(2025,5,1),'2025数据'!$T$3:$T$181,"&lt;="&amp;DATE(2025,5,31),'2025数据'!$AG$3:$AG$181,$E1327))</f>
        <v>0</v>
      </c>
      <c r="K1327" s="205">
        <f ca="1">IF($S$1&lt;DATE(2025,6,1)," ",COUNTIFS('2025数据'!$T$3:$T$181,"&gt;="&amp;DATE(2025,6,1),'2025数据'!$T$3:$T$181,"&lt;="&amp;DATE(2025,6,30),'2025数据'!$AG$3:$AG$181,$E1327))</f>
        <v>0</v>
      </c>
      <c r="L1327" s="205">
        <f ca="1">IF($S$1&lt;DATE(2025,7,1)," ",COUNTIFS('2025数据'!$T$3:$T$181,"&gt;="&amp;DATE(2025,7,1),'2025数据'!$T$3:$T$181,"&lt;="&amp;DATE(2025,7,31),'2025数据'!$AG$3:$AG$181,$E1327))</f>
        <v>0</v>
      </c>
      <c r="M1327" s="205">
        <f ca="1">IF($S$1&lt;DATE(2025,8,1)," ",COUNTIFS('2025数据'!$T$3:$T$181,"&gt;="&amp;DATE(2025,8,1),'2025数据'!$T$3:$T$181,"&lt;="&amp;DATE(2025,8,31),'2025数据'!$AG$3:$AG$181,$E1327))</f>
        <v>0</v>
      </c>
      <c r="N1327" s="205">
        <f ca="1">IF($S$1&lt;DATE(2025,9,1)," ",COUNTIFS('2025数据'!$T$3:$T$181,"&gt;="&amp;DATE(2025,9,1),'2025数据'!$T$3:$T$181,"&lt;="&amp;DATE(2025,9,30),'2025数据'!$AG$3:$AG$181,$E1327))</f>
        <v>0</v>
      </c>
      <c r="O1327" s="205">
        <f ca="1">IF($S$1&lt;DATE(2025,10,1)," ",COUNTIFS('2025数据'!$T$3:$T$181,"&gt;="&amp;DATE(2025,10,1),'2025数据'!$T$3:$T$181,"&lt;="&amp;DATE(2025,10,31),'2025数据'!$AG$3:$AG$181,$E1327))</f>
        <v>0</v>
      </c>
      <c r="P1327" s="207">
        <f ca="1">IF($S$1&lt;DATE(2025,11,1)," ",COUNTIFS('2025数据'!$T$3:$T$181,"&gt;="&amp;DATE(2025,11,1),'2025数据'!$T$3:$T$181,"&lt;="&amp;DATE(2025,11,30),'2025数据'!$AG$3:$AG$181,$E1327))</f>
        <v>0</v>
      </c>
      <c r="Q1327" s="207">
        <f ca="1">IF($S$1&lt;DATE(2025,12,1)," ",COUNTIFS('2025数据'!$T$3:$T$181,"&gt;="&amp;DATE(2025,12,1),'2025数据'!$T$3:$T$181,"&lt;="&amp;DATE(2025,12,31),'2025数据'!$AG$3:$AG$181,$E1327))</f>
        <v>0</v>
      </c>
    </row>
    <row r="1328" ht="24" customHeight="1" spans="1:17">
      <c r="A1328" s="99" t="s">
        <v>348</v>
      </c>
      <c r="B1328" s="99" t="s">
        <v>299</v>
      </c>
      <c r="C1328" s="99" t="s">
        <v>291</v>
      </c>
      <c r="D1328" s="48" t="s">
        <v>298</v>
      </c>
      <c r="E1328" s="48" t="s">
        <v>83</v>
      </c>
      <c r="F1328" s="205">
        <f ca="1">IF($S$1&lt;DATE(2025,1,1)," ",COUNTIFS('2025数据'!$T$3:$T$181,"&gt;="&amp;DATE(2024,1,1),'2025数据'!$T$3:$T$181,"&lt;="&amp;DATE(2025,1,31),'2025数据'!$AG$3:$AG$181,$E1328))</f>
        <v>0</v>
      </c>
      <c r="G1328" s="205">
        <f ca="1">IF($S$1&lt;DATE(2025,2,1)," ",COUNTIFS('2025数据'!$T$3:$T$181,"&gt;="&amp;DATE(2025,2,1),'2025数据'!$T$3:$T$181,"&lt;="&amp;DATE(2025,2,28),'2025数据'!$AG$3:$AG$181,$E1328))</f>
        <v>0</v>
      </c>
      <c r="H1328" s="205">
        <f ca="1">IF($S$1&lt;DATE(2025,3,1)," ",COUNTIFS('2025数据'!$T$3:$T$181,"&gt;="&amp;DATE(2025,3,1),'2025数据'!$T$3:$T$181,"&lt;="&amp;DATE(2025,3,31),'2025数据'!$AG$3:$AG$181,$E1328))</f>
        <v>0</v>
      </c>
      <c r="I1328" s="205">
        <f ca="1">IF($S$1&lt;DATE(2025,4,1)," ",COUNTIFS('2025数据'!$T$3:$T$181,"&gt;="&amp;DATE(2025,4,1),'2025数据'!$T$3:$T$181,"&lt;="&amp;DATE(2025,4,30),'2025数据'!$AG$3:$AG$181,$E1328))</f>
        <v>0</v>
      </c>
      <c r="J1328" s="205">
        <f ca="1">IF($S$1&lt;DATE(2025,5,1)," ",COUNTIFS('2025数据'!$T$3:$T$181,"&gt;="&amp;DATE(2025,5,1),'2025数据'!$T$3:$T$181,"&lt;="&amp;DATE(2025,5,31),'2025数据'!$AG$3:$AG$181,$E1328))</f>
        <v>0</v>
      </c>
      <c r="K1328" s="205">
        <f ca="1">IF($S$1&lt;DATE(2025,6,1)," ",COUNTIFS('2025数据'!$T$3:$T$181,"&gt;="&amp;DATE(2025,6,1),'2025数据'!$T$3:$T$181,"&lt;="&amp;DATE(2025,6,30),'2025数据'!$AG$3:$AG$181,$E1328))</f>
        <v>1</v>
      </c>
      <c r="L1328" s="205">
        <f ca="1">IF($S$1&lt;DATE(2025,7,1)," ",COUNTIFS('2025数据'!$T$3:$T$181,"&gt;="&amp;DATE(2025,7,1),'2025数据'!$T$3:$T$181,"&lt;="&amp;DATE(2025,7,31),'2025数据'!$AG$3:$AG$181,$E1328))</f>
        <v>0</v>
      </c>
      <c r="M1328" s="205">
        <f ca="1">IF($S$1&lt;DATE(2025,8,1)," ",COUNTIFS('2025数据'!$T$3:$T$181,"&gt;="&amp;DATE(2025,8,1),'2025数据'!$T$3:$T$181,"&lt;="&amp;DATE(2025,8,31),'2025数据'!$AG$3:$AG$181,$E1328))</f>
        <v>3</v>
      </c>
      <c r="N1328" s="205">
        <f ca="1">IF($S$1&lt;DATE(2025,9,1)," ",COUNTIFS('2025数据'!$T$3:$T$181,"&gt;="&amp;DATE(2025,9,1),'2025数据'!$T$3:$T$181,"&lt;="&amp;DATE(2025,9,30),'2025数据'!$AG$3:$AG$181,$E1328))</f>
        <v>1</v>
      </c>
      <c r="O1328" s="205">
        <f ca="1">IF($S$1&lt;DATE(2025,10,1)," ",COUNTIFS('2025数据'!$T$3:$T$181,"&gt;="&amp;DATE(2025,10,1),'2025数据'!$T$3:$T$181,"&lt;="&amp;DATE(2025,10,31),'2025数据'!$AG$3:$AG$181,$E1328))</f>
        <v>0</v>
      </c>
      <c r="P1328" s="207">
        <f ca="1">IF($S$1&lt;DATE(2025,11,1)," ",COUNTIFS('2025数据'!$T$3:$T$181,"&gt;="&amp;DATE(2025,11,1),'2025数据'!$T$3:$T$181,"&lt;="&amp;DATE(2025,11,30),'2025数据'!$AG$3:$AG$181,$E1328))</f>
        <v>0</v>
      </c>
      <c r="Q1328" s="207">
        <f ca="1">IF($S$1&lt;DATE(2025,12,1)," ",COUNTIFS('2025数据'!$T$3:$T$181,"&gt;="&amp;DATE(2025,12,1),'2025数据'!$T$3:$T$181,"&lt;="&amp;DATE(2025,12,31),'2025数据'!$AG$3:$AG$181,$E1328))</f>
        <v>0</v>
      </c>
    </row>
    <row r="1329" ht="24" customHeight="1" spans="1:17">
      <c r="A1329" s="99" t="s">
        <v>348</v>
      </c>
      <c r="B1329" s="99" t="s">
        <v>308</v>
      </c>
      <c r="C1329" s="99" t="s">
        <v>309</v>
      </c>
      <c r="D1329" s="100" t="s">
        <v>292</v>
      </c>
      <c r="E1329" s="211" t="s">
        <v>310</v>
      </c>
      <c r="F1329" s="204">
        <f ca="1">IF($S$1&lt;DATE(2025,1,1)," ",SUM(F1330:F1336))</f>
        <v>0</v>
      </c>
      <c r="G1329" s="204">
        <f ca="1">IF($S$1&lt;DATE(2025,2,1)," ",SUM(G1330:G1336))</f>
        <v>1</v>
      </c>
      <c r="H1329" s="204">
        <f ca="1">IF($S$1&lt;DATE(2025,3,1)," ",SUM(H1330:H1336))</f>
        <v>1</v>
      </c>
      <c r="I1329" s="204">
        <f ca="1">IF($S$1&lt;DATE(2025,4,1)," ",SUM(I1330:I1336))</f>
        <v>3</v>
      </c>
      <c r="J1329" s="204">
        <f ca="1">IF($S$1&lt;DATE(2025,5,1)," ",SUM(J1330:J1336))</f>
        <v>3</v>
      </c>
      <c r="K1329" s="204">
        <f ca="1">IF($S$1&lt;DATE(2025,6,1)," ",SUM(K1330:K1336))</f>
        <v>3</v>
      </c>
      <c r="L1329" s="204">
        <f ca="1">IF($S$1&lt;DATE(2025,7,1)," ",SUM(L1330:L1336))</f>
        <v>5</v>
      </c>
      <c r="M1329" s="204">
        <f ca="1">IF($S$1&lt;DATE(2025,8,1)," ",SUM(M1330:M1336))</f>
        <v>2</v>
      </c>
      <c r="N1329" s="204">
        <f ca="1">IF($S$1&lt;DATE(2025,9,1)," ",SUM(N1330:N1336))</f>
        <v>4</v>
      </c>
      <c r="O1329" s="204">
        <f ca="1">IF($S$1&lt;DATE(2025,10,1)," ",SUM(O1330:O1336))</f>
        <v>2</v>
      </c>
      <c r="P1329" s="204">
        <f ca="1">IF($S$1&lt;DATE(2025,11,1)," ",SUM(P1330:P1336))</f>
        <v>5</v>
      </c>
      <c r="Q1329" s="204">
        <f ca="1">IF($S$1&lt;DATE(2025,12,1)," ",SUM(Q1330:Q1336))</f>
        <v>6</v>
      </c>
    </row>
    <row r="1330" ht="24" customHeight="1" spans="1:17">
      <c r="A1330" s="99" t="s">
        <v>348</v>
      </c>
      <c r="B1330" s="99" t="s">
        <v>308</v>
      </c>
      <c r="C1330" s="99" t="s">
        <v>309</v>
      </c>
      <c r="D1330" s="48" t="s">
        <v>31</v>
      </c>
      <c r="E1330" s="48" t="s">
        <v>90</v>
      </c>
      <c r="F1330" s="205">
        <f ca="1" t="shared" ref="F1330:F1336" si="1191">IF($S$1&lt;DATE(2025,1,1)," ",F1366-F1388)</f>
        <v>0</v>
      </c>
      <c r="G1330" s="205">
        <f ca="1" t="shared" ref="G1330:G1336" si="1192">IF($S$1&lt;DATE(2025,2,1)," ",G1366-G1388)</f>
        <v>1</v>
      </c>
      <c r="H1330" s="205">
        <f ca="1" t="shared" ref="H1330:H1336" si="1193">IF($S$1&lt;DATE(2025,3,1)," ",H1366-H1388)</f>
        <v>0</v>
      </c>
      <c r="I1330" s="205">
        <f ca="1" t="shared" ref="I1330:I1336" si="1194">IF($S$1&lt;DATE(2025,4,1)," ",I1366-I1388)</f>
        <v>0</v>
      </c>
      <c r="J1330" s="205">
        <f ca="1" t="shared" ref="J1330:J1336" si="1195">IF($S$1&lt;DATE(2025,5,1)," ",J1366-J1388)</f>
        <v>0</v>
      </c>
      <c r="K1330" s="205">
        <f ca="1" t="shared" ref="K1330:K1336" si="1196">IF($S$1&lt;DATE(2025,6,1)," ",K1366-K1388)</f>
        <v>0</v>
      </c>
      <c r="L1330" s="205">
        <f ca="1" t="shared" ref="L1330:L1336" si="1197">IF($S$1&lt;DATE(2025,7,1)," ",L1366-L1388)</f>
        <v>0</v>
      </c>
      <c r="M1330" s="205">
        <f ca="1" t="shared" ref="M1330:M1336" si="1198">IF($S$1&lt;DATE(2025,8,1)," ",M1366-M1388)</f>
        <v>1</v>
      </c>
      <c r="N1330" s="205">
        <f ca="1" t="shared" ref="N1330:N1336" si="1199">IF($S$1&lt;DATE(2025,9,1)," ",N1366-N1388)</f>
        <v>2</v>
      </c>
      <c r="O1330" s="205">
        <f ca="1" t="shared" ref="O1330:O1336" si="1200">IF($S$1&lt;DATE(2025,10,1)," ",O1366-O1388)</f>
        <v>0</v>
      </c>
      <c r="P1330" s="205">
        <f ca="1" t="shared" ref="P1330:P1336" si="1201">IF($S$1&lt;DATE(2025,11,1)," ",P1366-P1388)</f>
        <v>1</v>
      </c>
      <c r="Q1330" s="205">
        <f ca="1" t="shared" ref="Q1330:Q1336" si="1202">IF($S$1&lt;DATE(2025,12,1)," ",Q1366-Q1388)</f>
        <v>1</v>
      </c>
    </row>
    <row r="1331" ht="24" customHeight="1" spans="1:17">
      <c r="A1331" s="99" t="s">
        <v>348</v>
      </c>
      <c r="B1331" s="99" t="s">
        <v>308</v>
      </c>
      <c r="C1331" s="99" t="s">
        <v>309</v>
      </c>
      <c r="D1331" s="48" t="s">
        <v>31</v>
      </c>
      <c r="E1331" s="48" t="s">
        <v>82</v>
      </c>
      <c r="F1331" s="205">
        <f ca="1" t="shared" si="1191"/>
        <v>0</v>
      </c>
      <c r="G1331" s="205">
        <f ca="1" t="shared" si="1192"/>
        <v>0</v>
      </c>
      <c r="H1331" s="205">
        <f ca="1" t="shared" si="1193"/>
        <v>0</v>
      </c>
      <c r="I1331" s="205">
        <f ca="1" t="shared" si="1194"/>
        <v>1</v>
      </c>
      <c r="J1331" s="205">
        <f ca="1" t="shared" si="1195"/>
        <v>1</v>
      </c>
      <c r="K1331" s="205">
        <f ca="1" t="shared" si="1196"/>
        <v>2</v>
      </c>
      <c r="L1331" s="205">
        <f ca="1" t="shared" si="1197"/>
        <v>2</v>
      </c>
      <c r="M1331" s="205">
        <f ca="1" t="shared" si="1198"/>
        <v>0</v>
      </c>
      <c r="N1331" s="205">
        <f ca="1" t="shared" si="1199"/>
        <v>2</v>
      </c>
      <c r="O1331" s="205">
        <f ca="1" t="shared" si="1200"/>
        <v>0</v>
      </c>
      <c r="P1331" s="205">
        <f ca="1" t="shared" si="1201"/>
        <v>2</v>
      </c>
      <c r="Q1331" s="205">
        <f ca="1" t="shared" si="1202"/>
        <v>2</v>
      </c>
    </row>
    <row r="1332" ht="24" customHeight="1" spans="1:17">
      <c r="A1332" s="99" t="s">
        <v>348</v>
      </c>
      <c r="B1332" s="99" t="s">
        <v>308</v>
      </c>
      <c r="C1332" s="99" t="s">
        <v>309</v>
      </c>
      <c r="D1332" s="48" t="s">
        <v>31</v>
      </c>
      <c r="E1332" s="48" t="s">
        <v>86</v>
      </c>
      <c r="F1332" s="205">
        <f ca="1" t="shared" si="1191"/>
        <v>0</v>
      </c>
      <c r="G1332" s="205">
        <f ca="1" t="shared" si="1192"/>
        <v>0</v>
      </c>
      <c r="H1332" s="205">
        <f ca="1" t="shared" si="1193"/>
        <v>0</v>
      </c>
      <c r="I1332" s="205">
        <f ca="1" t="shared" si="1194"/>
        <v>1</v>
      </c>
      <c r="J1332" s="205">
        <f ca="1" t="shared" si="1195"/>
        <v>1</v>
      </c>
      <c r="K1332" s="205">
        <f ca="1" t="shared" si="1196"/>
        <v>0</v>
      </c>
      <c r="L1332" s="205">
        <f ca="1" t="shared" si="1197"/>
        <v>1</v>
      </c>
      <c r="M1332" s="205">
        <f ca="1" t="shared" si="1198"/>
        <v>0</v>
      </c>
      <c r="N1332" s="205">
        <f ca="1" t="shared" si="1199"/>
        <v>0</v>
      </c>
      <c r="O1332" s="205">
        <f ca="1" t="shared" si="1200"/>
        <v>1</v>
      </c>
      <c r="P1332" s="205">
        <f ca="1" t="shared" si="1201"/>
        <v>1</v>
      </c>
      <c r="Q1332" s="205">
        <f ca="1" t="shared" si="1202"/>
        <v>0</v>
      </c>
    </row>
    <row r="1333" ht="24" customHeight="1" spans="1:17">
      <c r="A1333" s="99" t="s">
        <v>348</v>
      </c>
      <c r="B1333" s="99" t="s">
        <v>308</v>
      </c>
      <c r="C1333" s="99" t="s">
        <v>309</v>
      </c>
      <c r="D1333" s="48" t="s">
        <v>31</v>
      </c>
      <c r="E1333" s="48" t="s">
        <v>97</v>
      </c>
      <c r="F1333" s="205">
        <f ca="1" t="shared" si="1191"/>
        <v>0</v>
      </c>
      <c r="G1333" s="205">
        <f ca="1" t="shared" si="1192"/>
        <v>0</v>
      </c>
      <c r="H1333" s="205">
        <f ca="1" t="shared" si="1193"/>
        <v>1</v>
      </c>
      <c r="I1333" s="205">
        <f ca="1" t="shared" si="1194"/>
        <v>1</v>
      </c>
      <c r="J1333" s="205">
        <f ca="1" t="shared" si="1195"/>
        <v>1</v>
      </c>
      <c r="K1333" s="205">
        <f ca="1" t="shared" si="1196"/>
        <v>0</v>
      </c>
      <c r="L1333" s="205">
        <f ca="1" t="shared" si="1197"/>
        <v>0</v>
      </c>
      <c r="M1333" s="205">
        <f ca="1" t="shared" si="1198"/>
        <v>1</v>
      </c>
      <c r="N1333" s="205">
        <f ca="1" t="shared" si="1199"/>
        <v>0</v>
      </c>
      <c r="O1333" s="205">
        <f ca="1" t="shared" si="1200"/>
        <v>1</v>
      </c>
      <c r="P1333" s="205">
        <f ca="1" t="shared" si="1201"/>
        <v>1</v>
      </c>
      <c r="Q1333" s="205">
        <f ca="1" t="shared" si="1202"/>
        <v>1</v>
      </c>
    </row>
    <row r="1334" ht="24" customHeight="1" spans="1:17">
      <c r="A1334" s="99" t="s">
        <v>348</v>
      </c>
      <c r="B1334" s="99" t="s">
        <v>308</v>
      </c>
      <c r="C1334" s="99" t="s">
        <v>309</v>
      </c>
      <c r="D1334" s="48" t="s">
        <v>31</v>
      </c>
      <c r="E1334" s="48" t="s">
        <v>87</v>
      </c>
      <c r="F1334" s="205">
        <f ca="1" t="shared" si="1191"/>
        <v>0</v>
      </c>
      <c r="G1334" s="205">
        <f ca="1" t="shared" si="1192"/>
        <v>0</v>
      </c>
      <c r="H1334" s="205">
        <f ca="1" t="shared" si="1193"/>
        <v>0</v>
      </c>
      <c r="I1334" s="205">
        <f ca="1" t="shared" si="1194"/>
        <v>0</v>
      </c>
      <c r="J1334" s="205">
        <f ca="1" t="shared" si="1195"/>
        <v>0</v>
      </c>
      <c r="K1334" s="205">
        <f ca="1" t="shared" si="1196"/>
        <v>1</v>
      </c>
      <c r="L1334" s="205">
        <f ca="1" t="shared" si="1197"/>
        <v>0</v>
      </c>
      <c r="M1334" s="205">
        <f ca="1" t="shared" si="1198"/>
        <v>0</v>
      </c>
      <c r="N1334" s="205">
        <f ca="1" t="shared" si="1199"/>
        <v>0</v>
      </c>
      <c r="O1334" s="205">
        <f ca="1" t="shared" si="1200"/>
        <v>0</v>
      </c>
      <c r="P1334" s="205">
        <f ca="1" t="shared" si="1201"/>
        <v>0</v>
      </c>
      <c r="Q1334" s="205">
        <f ca="1" t="shared" si="1202"/>
        <v>1</v>
      </c>
    </row>
    <row r="1335" ht="24" customHeight="1" spans="1:17">
      <c r="A1335" s="99" t="s">
        <v>348</v>
      </c>
      <c r="B1335" s="99" t="s">
        <v>308</v>
      </c>
      <c r="C1335" s="99" t="s">
        <v>309</v>
      </c>
      <c r="D1335" s="48" t="s">
        <v>31</v>
      </c>
      <c r="E1335" s="48" t="s">
        <v>149</v>
      </c>
      <c r="F1335" s="205">
        <f ca="1" t="shared" si="1191"/>
        <v>0</v>
      </c>
      <c r="G1335" s="205">
        <f ca="1" t="shared" si="1192"/>
        <v>0</v>
      </c>
      <c r="H1335" s="205">
        <f ca="1" t="shared" si="1193"/>
        <v>0</v>
      </c>
      <c r="I1335" s="205">
        <f ca="1" t="shared" si="1194"/>
        <v>0</v>
      </c>
      <c r="J1335" s="205">
        <f ca="1" t="shared" si="1195"/>
        <v>0</v>
      </c>
      <c r="K1335" s="205">
        <f ca="1" t="shared" si="1196"/>
        <v>0</v>
      </c>
      <c r="L1335" s="205">
        <f ca="1" t="shared" si="1197"/>
        <v>0</v>
      </c>
      <c r="M1335" s="205">
        <f ca="1" t="shared" si="1198"/>
        <v>0</v>
      </c>
      <c r="N1335" s="205">
        <f ca="1" t="shared" si="1199"/>
        <v>0</v>
      </c>
      <c r="O1335" s="205">
        <f ca="1" t="shared" si="1200"/>
        <v>0</v>
      </c>
      <c r="P1335" s="205">
        <f ca="1" t="shared" si="1201"/>
        <v>0</v>
      </c>
      <c r="Q1335" s="205">
        <f ca="1" t="shared" si="1202"/>
        <v>0</v>
      </c>
    </row>
    <row r="1336" ht="24" customHeight="1" spans="1:17">
      <c r="A1336" s="99" t="s">
        <v>348</v>
      </c>
      <c r="B1336" s="99" t="s">
        <v>308</v>
      </c>
      <c r="C1336" s="99" t="s">
        <v>309</v>
      </c>
      <c r="D1336" s="48" t="s">
        <v>31</v>
      </c>
      <c r="E1336" s="48" t="s">
        <v>83</v>
      </c>
      <c r="F1336" s="205">
        <f ca="1" t="shared" si="1191"/>
        <v>0</v>
      </c>
      <c r="G1336" s="205">
        <f ca="1" t="shared" si="1192"/>
        <v>0</v>
      </c>
      <c r="H1336" s="205">
        <f ca="1" t="shared" si="1193"/>
        <v>0</v>
      </c>
      <c r="I1336" s="205">
        <f ca="1" t="shared" si="1194"/>
        <v>0</v>
      </c>
      <c r="J1336" s="205">
        <f ca="1" t="shared" si="1195"/>
        <v>0</v>
      </c>
      <c r="K1336" s="205">
        <f ca="1" t="shared" si="1196"/>
        <v>0</v>
      </c>
      <c r="L1336" s="205">
        <f ca="1" t="shared" si="1197"/>
        <v>2</v>
      </c>
      <c r="M1336" s="205">
        <f ca="1" t="shared" si="1198"/>
        <v>0</v>
      </c>
      <c r="N1336" s="205">
        <f ca="1" t="shared" si="1199"/>
        <v>0</v>
      </c>
      <c r="O1336" s="205">
        <f ca="1" t="shared" si="1200"/>
        <v>0</v>
      </c>
      <c r="P1336" s="205">
        <f ca="1" t="shared" si="1201"/>
        <v>0</v>
      </c>
      <c r="Q1336" s="205">
        <f ca="1" t="shared" si="1202"/>
        <v>1</v>
      </c>
    </row>
    <row r="1337" ht="24" customHeight="1" spans="1:17">
      <c r="A1337" s="99" t="s">
        <v>348</v>
      </c>
      <c r="B1337" s="99" t="s">
        <v>308</v>
      </c>
      <c r="C1337" s="99" t="s">
        <v>309</v>
      </c>
      <c r="D1337" s="48" t="s">
        <v>311</v>
      </c>
      <c r="E1337" s="48" t="s">
        <v>90</v>
      </c>
      <c r="F1337" s="112" t="str">
        <f ca="1" t="shared" ref="F1337:Q1337" si="1203">IFERROR(F1330/F1329," ")</f>
        <v> </v>
      </c>
      <c r="G1337" s="112">
        <f ca="1" t="shared" si="1203"/>
        <v>1</v>
      </c>
      <c r="H1337" s="112">
        <f ca="1" t="shared" si="1203"/>
        <v>0</v>
      </c>
      <c r="I1337" s="112">
        <f ca="1" t="shared" si="1203"/>
        <v>0</v>
      </c>
      <c r="J1337" s="112">
        <f ca="1" t="shared" si="1203"/>
        <v>0</v>
      </c>
      <c r="K1337" s="112">
        <f ca="1" t="shared" si="1203"/>
        <v>0</v>
      </c>
      <c r="L1337" s="112">
        <f ca="1" t="shared" si="1203"/>
        <v>0</v>
      </c>
      <c r="M1337" s="112">
        <f ca="1" t="shared" si="1203"/>
        <v>0.5</v>
      </c>
      <c r="N1337" s="112">
        <f ca="1" t="shared" si="1203"/>
        <v>0.5</v>
      </c>
      <c r="O1337" s="112">
        <f ca="1" t="shared" si="1203"/>
        <v>0</v>
      </c>
      <c r="P1337" s="112">
        <f ca="1" t="shared" si="1203"/>
        <v>0.2</v>
      </c>
      <c r="Q1337" s="112">
        <f ca="1" t="shared" si="1203"/>
        <v>0.166666666666667</v>
      </c>
    </row>
    <row r="1338" ht="24" customHeight="1" spans="1:17">
      <c r="A1338" s="99" t="s">
        <v>348</v>
      </c>
      <c r="B1338" s="99" t="s">
        <v>308</v>
      </c>
      <c r="C1338" s="99" t="s">
        <v>309</v>
      </c>
      <c r="D1338" s="48" t="s">
        <v>311</v>
      </c>
      <c r="E1338" s="48" t="s">
        <v>82</v>
      </c>
      <c r="F1338" s="112" t="str">
        <f ca="1" t="shared" ref="F1338:Q1338" si="1204">IFERROR(F1331/F1329," ")</f>
        <v> </v>
      </c>
      <c r="G1338" s="112">
        <f ca="1" t="shared" si="1204"/>
        <v>0</v>
      </c>
      <c r="H1338" s="112">
        <f ca="1" t="shared" si="1204"/>
        <v>0</v>
      </c>
      <c r="I1338" s="112">
        <f ca="1" t="shared" si="1204"/>
        <v>0.333333333333333</v>
      </c>
      <c r="J1338" s="112">
        <f ca="1" t="shared" si="1204"/>
        <v>0.333333333333333</v>
      </c>
      <c r="K1338" s="112">
        <f ca="1" t="shared" si="1204"/>
        <v>0.666666666666667</v>
      </c>
      <c r="L1338" s="112">
        <f ca="1" t="shared" si="1204"/>
        <v>0.4</v>
      </c>
      <c r="M1338" s="112">
        <f ca="1" t="shared" si="1204"/>
        <v>0</v>
      </c>
      <c r="N1338" s="112">
        <f ca="1" t="shared" si="1204"/>
        <v>0.5</v>
      </c>
      <c r="O1338" s="112">
        <f ca="1" t="shared" si="1204"/>
        <v>0</v>
      </c>
      <c r="P1338" s="112">
        <f ca="1" t="shared" si="1204"/>
        <v>0.4</v>
      </c>
      <c r="Q1338" s="112">
        <f ca="1" t="shared" si="1204"/>
        <v>0.333333333333333</v>
      </c>
    </row>
    <row r="1339" ht="24" customHeight="1" spans="1:17">
      <c r="A1339" s="99" t="s">
        <v>348</v>
      </c>
      <c r="B1339" s="99" t="s">
        <v>308</v>
      </c>
      <c r="C1339" s="99" t="s">
        <v>309</v>
      </c>
      <c r="D1339" s="48" t="s">
        <v>311</v>
      </c>
      <c r="E1339" s="48" t="s">
        <v>86</v>
      </c>
      <c r="F1339" s="112" t="str">
        <f ca="1" t="shared" ref="F1339:Q1339" si="1205">IFERROR(F1332/F1329," ")</f>
        <v> </v>
      </c>
      <c r="G1339" s="112">
        <f ca="1" t="shared" si="1205"/>
        <v>0</v>
      </c>
      <c r="H1339" s="112">
        <f ca="1" t="shared" si="1205"/>
        <v>0</v>
      </c>
      <c r="I1339" s="112">
        <f ca="1" t="shared" si="1205"/>
        <v>0.333333333333333</v>
      </c>
      <c r="J1339" s="112">
        <f ca="1" t="shared" si="1205"/>
        <v>0.333333333333333</v>
      </c>
      <c r="K1339" s="112">
        <f ca="1" t="shared" si="1205"/>
        <v>0</v>
      </c>
      <c r="L1339" s="112">
        <f ca="1" t="shared" si="1205"/>
        <v>0.2</v>
      </c>
      <c r="M1339" s="112">
        <f ca="1" t="shared" si="1205"/>
        <v>0</v>
      </c>
      <c r="N1339" s="112">
        <f ca="1" t="shared" si="1205"/>
        <v>0</v>
      </c>
      <c r="O1339" s="112">
        <f ca="1" t="shared" si="1205"/>
        <v>0.5</v>
      </c>
      <c r="P1339" s="112">
        <f ca="1" t="shared" si="1205"/>
        <v>0.2</v>
      </c>
      <c r="Q1339" s="112">
        <f ca="1" t="shared" si="1205"/>
        <v>0</v>
      </c>
    </row>
    <row r="1340" ht="24" customHeight="1" spans="1:17">
      <c r="A1340" s="99" t="s">
        <v>348</v>
      </c>
      <c r="B1340" s="99" t="s">
        <v>308</v>
      </c>
      <c r="C1340" s="99" t="s">
        <v>309</v>
      </c>
      <c r="D1340" s="48" t="s">
        <v>311</v>
      </c>
      <c r="E1340" s="48" t="s">
        <v>97</v>
      </c>
      <c r="F1340" s="112" t="str">
        <f ca="1" t="shared" ref="F1340:Q1340" si="1206">IFERROR(F1333/F1329," ")</f>
        <v> </v>
      </c>
      <c r="G1340" s="112">
        <f ca="1" t="shared" si="1206"/>
        <v>0</v>
      </c>
      <c r="H1340" s="112">
        <f ca="1" t="shared" si="1206"/>
        <v>1</v>
      </c>
      <c r="I1340" s="112">
        <f ca="1" t="shared" si="1206"/>
        <v>0.333333333333333</v>
      </c>
      <c r="J1340" s="112">
        <f ca="1" t="shared" si="1206"/>
        <v>0.333333333333333</v>
      </c>
      <c r="K1340" s="112">
        <f ca="1" t="shared" si="1206"/>
        <v>0</v>
      </c>
      <c r="L1340" s="112">
        <f ca="1" t="shared" si="1206"/>
        <v>0</v>
      </c>
      <c r="M1340" s="112">
        <f ca="1" t="shared" si="1206"/>
        <v>0.5</v>
      </c>
      <c r="N1340" s="112">
        <f ca="1" t="shared" si="1206"/>
        <v>0</v>
      </c>
      <c r="O1340" s="112">
        <f ca="1" t="shared" si="1206"/>
        <v>0.5</v>
      </c>
      <c r="P1340" s="112">
        <f ca="1" t="shared" si="1206"/>
        <v>0.2</v>
      </c>
      <c r="Q1340" s="112">
        <f ca="1" t="shared" si="1206"/>
        <v>0.166666666666667</v>
      </c>
    </row>
    <row r="1341" ht="24" customHeight="1" spans="1:17">
      <c r="A1341" s="99" t="s">
        <v>348</v>
      </c>
      <c r="B1341" s="99" t="s">
        <v>308</v>
      </c>
      <c r="C1341" s="99" t="s">
        <v>309</v>
      </c>
      <c r="D1341" s="48" t="s">
        <v>311</v>
      </c>
      <c r="E1341" s="48" t="s">
        <v>87</v>
      </c>
      <c r="F1341" s="112" t="str">
        <f ca="1" t="shared" ref="F1341:Q1341" si="1207">IFERROR(F1334/F1329," ")</f>
        <v> </v>
      </c>
      <c r="G1341" s="112">
        <f ca="1" t="shared" si="1207"/>
        <v>0</v>
      </c>
      <c r="H1341" s="112">
        <f ca="1" t="shared" si="1207"/>
        <v>0</v>
      </c>
      <c r="I1341" s="112">
        <f ca="1" t="shared" si="1207"/>
        <v>0</v>
      </c>
      <c r="J1341" s="112">
        <f ca="1" t="shared" si="1207"/>
        <v>0</v>
      </c>
      <c r="K1341" s="112">
        <f ca="1" t="shared" si="1207"/>
        <v>0.333333333333333</v>
      </c>
      <c r="L1341" s="112">
        <f ca="1" t="shared" si="1207"/>
        <v>0</v>
      </c>
      <c r="M1341" s="112">
        <f ca="1" t="shared" si="1207"/>
        <v>0</v>
      </c>
      <c r="N1341" s="112">
        <f ca="1" t="shared" si="1207"/>
        <v>0</v>
      </c>
      <c r="O1341" s="112">
        <f ca="1" t="shared" si="1207"/>
        <v>0</v>
      </c>
      <c r="P1341" s="112">
        <f ca="1" t="shared" si="1207"/>
        <v>0</v>
      </c>
      <c r="Q1341" s="112">
        <f ca="1" t="shared" si="1207"/>
        <v>0.166666666666667</v>
      </c>
    </row>
    <row r="1342" ht="24" customHeight="1" spans="1:17">
      <c r="A1342" s="99" t="s">
        <v>348</v>
      </c>
      <c r="B1342" s="99" t="s">
        <v>308</v>
      </c>
      <c r="C1342" s="99" t="s">
        <v>309</v>
      </c>
      <c r="D1342" s="48" t="s">
        <v>311</v>
      </c>
      <c r="E1342" s="48" t="s">
        <v>149</v>
      </c>
      <c r="F1342" s="112" t="str">
        <f ca="1" t="shared" ref="F1342:Q1342" si="1208">IFERROR(F1335/F1329," ")</f>
        <v> </v>
      </c>
      <c r="G1342" s="112">
        <f ca="1" t="shared" si="1208"/>
        <v>0</v>
      </c>
      <c r="H1342" s="112">
        <f ca="1" t="shared" si="1208"/>
        <v>0</v>
      </c>
      <c r="I1342" s="112">
        <f ca="1" t="shared" si="1208"/>
        <v>0</v>
      </c>
      <c r="J1342" s="112">
        <f ca="1" t="shared" si="1208"/>
        <v>0</v>
      </c>
      <c r="K1342" s="112">
        <f ca="1" t="shared" si="1208"/>
        <v>0</v>
      </c>
      <c r="L1342" s="112">
        <f ca="1" t="shared" si="1208"/>
        <v>0</v>
      </c>
      <c r="M1342" s="112">
        <f ca="1" t="shared" si="1208"/>
        <v>0</v>
      </c>
      <c r="N1342" s="112">
        <f ca="1" t="shared" si="1208"/>
        <v>0</v>
      </c>
      <c r="O1342" s="112">
        <f ca="1" t="shared" si="1208"/>
        <v>0</v>
      </c>
      <c r="P1342" s="112">
        <f ca="1" t="shared" si="1208"/>
        <v>0</v>
      </c>
      <c r="Q1342" s="112">
        <f ca="1" t="shared" si="1208"/>
        <v>0</v>
      </c>
    </row>
    <row r="1343" ht="24" customHeight="1" spans="1:17">
      <c r="A1343" s="99" t="s">
        <v>348</v>
      </c>
      <c r="B1343" s="99" t="s">
        <v>308</v>
      </c>
      <c r="C1343" s="99" t="s">
        <v>309</v>
      </c>
      <c r="D1343" s="48" t="s">
        <v>311</v>
      </c>
      <c r="E1343" s="48" t="s">
        <v>83</v>
      </c>
      <c r="F1343" s="112" t="str">
        <f ca="1" t="shared" ref="F1343:Q1343" si="1209">IFERROR(F1336/F1329," ")</f>
        <v> </v>
      </c>
      <c r="G1343" s="112">
        <f ca="1" t="shared" si="1209"/>
        <v>0</v>
      </c>
      <c r="H1343" s="112">
        <f ca="1" t="shared" si="1209"/>
        <v>0</v>
      </c>
      <c r="I1343" s="112">
        <f ca="1" t="shared" si="1209"/>
        <v>0</v>
      </c>
      <c r="J1343" s="112">
        <f ca="1" t="shared" si="1209"/>
        <v>0</v>
      </c>
      <c r="K1343" s="112">
        <f ca="1" t="shared" si="1209"/>
        <v>0</v>
      </c>
      <c r="L1343" s="112">
        <f ca="1" t="shared" si="1209"/>
        <v>0.4</v>
      </c>
      <c r="M1343" s="112">
        <f ca="1" t="shared" si="1209"/>
        <v>0</v>
      </c>
      <c r="N1343" s="112">
        <f ca="1" t="shared" si="1209"/>
        <v>0</v>
      </c>
      <c r="O1343" s="112">
        <f ca="1" t="shared" si="1209"/>
        <v>0</v>
      </c>
      <c r="P1343" s="112">
        <f ca="1" t="shared" si="1209"/>
        <v>0</v>
      </c>
      <c r="Q1343" s="112">
        <f ca="1" t="shared" si="1209"/>
        <v>0.166666666666667</v>
      </c>
    </row>
    <row r="1344" ht="24" customHeight="1" spans="1:17">
      <c r="A1344" s="99" t="s">
        <v>348</v>
      </c>
      <c r="B1344" s="99" t="s">
        <v>308</v>
      </c>
      <c r="C1344" s="99" t="s">
        <v>309</v>
      </c>
      <c r="D1344" s="47" t="s">
        <v>294</v>
      </c>
      <c r="E1344" s="47" t="s">
        <v>93</v>
      </c>
      <c r="F1344" s="206">
        <f ca="1" t="shared" ref="F1344:F1348" si="1210">IF($S$1&lt;DATE(2025,1,1)," ",F1373-F1402)</f>
        <v>0</v>
      </c>
      <c r="G1344" s="206">
        <f ca="1" t="shared" ref="G1344:G1348" si="1211">IF($S$1&lt;DATE(2025,2,1)," ",G1373-G1402)</f>
        <v>2</v>
      </c>
      <c r="H1344" s="206">
        <f ca="1" t="shared" ref="H1344:H1348" si="1212">IF($S$1&lt;DATE(2025,3,1)," ",H1373-H1402)</f>
        <v>4</v>
      </c>
      <c r="I1344" s="206">
        <f ca="1" t="shared" ref="I1344:I1348" si="1213">IF($S$1&lt;DATE(2025,4,1)," ",I1373-I1402)</f>
        <v>7</v>
      </c>
      <c r="J1344" s="206">
        <f ca="1" t="shared" ref="J1344:J1348" si="1214">IF($S$1&lt;DATE(2025,5,1)," ",J1373-J1402)</f>
        <v>10</v>
      </c>
      <c r="K1344" s="206">
        <f ca="1" t="shared" ref="K1344:K1348" si="1215">IF($S$1&lt;DATE(2025,6,1)," ",K1373-K1402)</f>
        <v>12</v>
      </c>
      <c r="L1344" s="206">
        <f ca="1" t="shared" ref="L1344:L1348" si="1216">IF($S$1&lt;DATE(2025,7,1)," ",L1373-L1402)</f>
        <v>15</v>
      </c>
      <c r="M1344" s="206">
        <f ca="1" t="shared" ref="M1344:M1348" si="1217">IF($S$1&lt;DATE(2025,8,1)," ",M1373-M1402)</f>
        <v>15</v>
      </c>
      <c r="N1344" s="206">
        <f ca="1" t="shared" ref="N1344:N1348" si="1218">IF($S$1&lt;DATE(2025,9,1)," ",N1373-N1402)</f>
        <v>18</v>
      </c>
      <c r="O1344" s="206">
        <f ca="1" t="shared" ref="O1344:O1348" si="1219">IF($S$1&lt;DATE(2025,10,1)," ",O1373-O1402)</f>
        <v>19</v>
      </c>
      <c r="P1344" s="206">
        <f ca="1" t="shared" ref="P1344:P1348" si="1220">IF($S$1&lt;DATE(2025,11,1)," ",P1373-P1402)</f>
        <v>20</v>
      </c>
      <c r="Q1344" s="206">
        <f ca="1" t="shared" ref="Q1344:Q1348" si="1221">IF($S$1&lt;DATE(2025,12,1)," ",Q1373-Q1402)</f>
        <v>25</v>
      </c>
    </row>
    <row r="1345" ht="24" customHeight="1" spans="1:17">
      <c r="A1345" s="99" t="s">
        <v>348</v>
      </c>
      <c r="B1345" s="99" t="s">
        <v>308</v>
      </c>
      <c r="C1345" s="99" t="s">
        <v>309</v>
      </c>
      <c r="D1345" s="47" t="s">
        <v>294</v>
      </c>
      <c r="E1345" s="47" t="s">
        <v>85</v>
      </c>
      <c r="F1345" s="206">
        <f ca="1" t="shared" si="1210"/>
        <v>0</v>
      </c>
      <c r="G1345" s="206">
        <f ca="1" t="shared" si="1211"/>
        <v>2</v>
      </c>
      <c r="H1345" s="206">
        <f ca="1" t="shared" si="1212"/>
        <v>2</v>
      </c>
      <c r="I1345" s="206">
        <f ca="1" t="shared" si="1213"/>
        <v>3</v>
      </c>
      <c r="J1345" s="206">
        <f ca="1" t="shared" si="1214"/>
        <v>3</v>
      </c>
      <c r="K1345" s="206">
        <f ca="1" t="shared" si="1215"/>
        <v>5</v>
      </c>
      <c r="L1345" s="206">
        <f ca="1" t="shared" si="1216"/>
        <v>6</v>
      </c>
      <c r="M1345" s="206">
        <f ca="1" t="shared" si="1217"/>
        <v>6</v>
      </c>
      <c r="N1345" s="206">
        <f ca="1" t="shared" si="1218"/>
        <v>9</v>
      </c>
      <c r="O1345" s="206">
        <f ca="1" t="shared" si="1219"/>
        <v>10</v>
      </c>
      <c r="P1345" s="206">
        <f ca="1" t="shared" si="1220"/>
        <v>13</v>
      </c>
      <c r="Q1345" s="206">
        <f ca="1" t="shared" si="1221"/>
        <v>12</v>
      </c>
    </row>
    <row r="1346" ht="24" customHeight="1" spans="1:17">
      <c r="A1346" s="99" t="s">
        <v>348</v>
      </c>
      <c r="B1346" s="99" t="s">
        <v>308</v>
      </c>
      <c r="C1346" s="99" t="s">
        <v>309</v>
      </c>
      <c r="D1346" s="47" t="s">
        <v>294</v>
      </c>
      <c r="E1346" s="47" t="s">
        <v>81</v>
      </c>
      <c r="F1346" s="206">
        <f ca="1" t="shared" si="1210"/>
        <v>0</v>
      </c>
      <c r="G1346" s="206">
        <f ca="1" t="shared" si="1211"/>
        <v>2</v>
      </c>
      <c r="H1346" s="206">
        <f ca="1" t="shared" si="1212"/>
        <v>2</v>
      </c>
      <c r="I1346" s="206">
        <f ca="1" t="shared" si="1213"/>
        <v>2</v>
      </c>
      <c r="J1346" s="206">
        <f ca="1" t="shared" si="1214"/>
        <v>2</v>
      </c>
      <c r="K1346" s="206">
        <f ca="1" t="shared" si="1215"/>
        <v>4</v>
      </c>
      <c r="L1346" s="206">
        <f ca="1" t="shared" si="1216"/>
        <v>3</v>
      </c>
      <c r="M1346" s="206">
        <f ca="1" t="shared" si="1217"/>
        <v>5</v>
      </c>
      <c r="N1346" s="206">
        <f ca="1" t="shared" si="1218"/>
        <v>9</v>
      </c>
      <c r="O1346" s="206">
        <f ca="1" t="shared" si="1219"/>
        <v>8</v>
      </c>
      <c r="P1346" s="206">
        <f ca="1" t="shared" si="1220"/>
        <v>9</v>
      </c>
      <c r="Q1346" s="206">
        <f ca="1" t="shared" si="1221"/>
        <v>9</v>
      </c>
    </row>
    <row r="1347" ht="24" customHeight="1" spans="1:17">
      <c r="A1347" s="99" t="s">
        <v>348</v>
      </c>
      <c r="B1347" s="99" t="s">
        <v>308</v>
      </c>
      <c r="C1347" s="99" t="s">
        <v>309</v>
      </c>
      <c r="D1347" s="47" t="s">
        <v>294</v>
      </c>
      <c r="E1347" s="47" t="s">
        <v>96</v>
      </c>
      <c r="F1347" s="206">
        <f ca="1" t="shared" si="1210"/>
        <v>1</v>
      </c>
      <c r="G1347" s="206">
        <f ca="1" t="shared" si="1211"/>
        <v>1</v>
      </c>
      <c r="H1347" s="206">
        <f ca="1" t="shared" si="1212"/>
        <v>2</v>
      </c>
      <c r="I1347" s="206">
        <f ca="1" t="shared" si="1213"/>
        <v>2</v>
      </c>
      <c r="J1347" s="206">
        <f ca="1" t="shared" si="1214"/>
        <v>2</v>
      </c>
      <c r="K1347" s="206">
        <f ca="1" t="shared" si="1215"/>
        <v>2</v>
      </c>
      <c r="L1347" s="206">
        <f ca="1" t="shared" si="1216"/>
        <v>3</v>
      </c>
      <c r="M1347" s="206">
        <f ca="1" t="shared" si="1217"/>
        <v>3</v>
      </c>
      <c r="N1347" s="206">
        <f ca="1" t="shared" si="1218"/>
        <v>3</v>
      </c>
      <c r="O1347" s="206">
        <f ca="1" t="shared" si="1219"/>
        <v>4</v>
      </c>
      <c r="P1347" s="206">
        <f ca="1" t="shared" si="1220"/>
        <v>4</v>
      </c>
      <c r="Q1347" s="206">
        <f ca="1" t="shared" si="1221"/>
        <v>4</v>
      </c>
    </row>
    <row r="1348" ht="24" customHeight="1" spans="1:17">
      <c r="A1348" s="99" t="s">
        <v>348</v>
      </c>
      <c r="B1348" s="99" t="s">
        <v>308</v>
      </c>
      <c r="C1348" s="99" t="s">
        <v>309</v>
      </c>
      <c r="D1348" s="47" t="s">
        <v>294</v>
      </c>
      <c r="E1348" s="47" t="s">
        <v>160</v>
      </c>
      <c r="F1348" s="206">
        <f ca="1" t="shared" si="1210"/>
        <v>0</v>
      </c>
      <c r="G1348" s="206">
        <f ca="1" t="shared" si="1211"/>
        <v>0</v>
      </c>
      <c r="H1348" s="206">
        <f ca="1" t="shared" si="1212"/>
        <v>0</v>
      </c>
      <c r="I1348" s="206">
        <f ca="1" t="shared" si="1213"/>
        <v>0</v>
      </c>
      <c r="J1348" s="206">
        <f ca="1" t="shared" si="1214"/>
        <v>0</v>
      </c>
      <c r="K1348" s="206">
        <f ca="1" t="shared" si="1215"/>
        <v>0</v>
      </c>
      <c r="L1348" s="206">
        <f ca="1" t="shared" si="1216"/>
        <v>1</v>
      </c>
      <c r="M1348" s="206">
        <f ca="1" t="shared" si="1217"/>
        <v>0</v>
      </c>
      <c r="N1348" s="206">
        <f ca="1" t="shared" si="1218"/>
        <v>1</v>
      </c>
      <c r="O1348" s="206">
        <f ca="1" t="shared" si="1219"/>
        <v>1</v>
      </c>
      <c r="P1348" s="206">
        <f ca="1" t="shared" si="1220"/>
        <v>1</v>
      </c>
      <c r="Q1348" s="206">
        <f ca="1" t="shared" si="1221"/>
        <v>1</v>
      </c>
    </row>
    <row r="1349" ht="24" customHeight="1" spans="1:17">
      <c r="A1349" s="99" t="s">
        <v>348</v>
      </c>
      <c r="B1349" s="99" t="s">
        <v>308</v>
      </c>
      <c r="C1349" s="99" t="s">
        <v>309</v>
      </c>
      <c r="D1349" s="100" t="s">
        <v>292</v>
      </c>
      <c r="E1349" s="100" t="s">
        <v>312</v>
      </c>
      <c r="F1349" s="204">
        <f ca="1">IF($S$1&lt;DATE(2025,1,1)," ",SUM(F1350:F1352))</f>
        <v>0</v>
      </c>
      <c r="G1349" s="204">
        <f ca="1">IF($S$1&lt;DATE(2025,2,1)," ",SUM(G1350:G1352))</f>
        <v>1</v>
      </c>
      <c r="H1349" s="204">
        <f ca="1">IF($S$1&lt;DATE(2025,3,1)," ",SUM(H1350:H1352))</f>
        <v>0</v>
      </c>
      <c r="I1349" s="204">
        <f ca="1">IF($S$1&lt;DATE(2025,4,1)," ",SUM(I1350:I1352))</f>
        <v>3</v>
      </c>
      <c r="J1349" s="204">
        <f ca="1">IF($S$1&lt;DATE(2025,5,1)," ",SUM(J1350:J1352))</f>
        <v>3</v>
      </c>
      <c r="K1349" s="204">
        <f ca="1">IF($S$1&lt;DATE(2025,6,1)," ",SUM(K1350:K1352))</f>
        <v>2</v>
      </c>
      <c r="L1349" s="204">
        <f ca="1">IF($S$1&lt;DATE(2025,7,1)," ",SUM(L1350:L1352))</f>
        <v>4</v>
      </c>
      <c r="M1349" s="204">
        <f ca="1">IF($S$1&lt;DATE(2025,8,1)," ",SUM(M1350:M1352))</f>
        <v>2</v>
      </c>
      <c r="N1349" s="204">
        <f ca="1">IF($S$1&lt;DATE(2025,9,1)," ",SUM(N1350:N1352))</f>
        <v>4</v>
      </c>
      <c r="O1349" s="204">
        <f ca="1">IF($S$1&lt;DATE(2025,10,1)," ",SUM(O1350:O1352))</f>
        <v>2</v>
      </c>
      <c r="P1349" s="204">
        <f ca="1">IF($S$1&lt;DATE(2025,11,1)," ",SUM(P1350:P1352))</f>
        <v>5</v>
      </c>
      <c r="Q1349" s="204">
        <f ca="1">IF($S$1&lt;DATE(2025,12,1)," ",SUM(Q1350:Q1352))</f>
        <v>6</v>
      </c>
    </row>
    <row r="1350" ht="24" customHeight="1" spans="1:17">
      <c r="A1350" s="99" t="s">
        <v>348</v>
      </c>
      <c r="B1350" s="99" t="s">
        <v>308</v>
      </c>
      <c r="C1350" s="99" t="s">
        <v>309</v>
      </c>
      <c r="D1350" s="48" t="s">
        <v>296</v>
      </c>
      <c r="E1350" s="48" t="s">
        <v>90</v>
      </c>
      <c r="F1350" s="205">
        <f ca="1" t="shared" ref="F1350:F1352" si="1222">IF($S$1&lt;DATE(2025,1,1)," ",F1379-F1408)</f>
        <v>0</v>
      </c>
      <c r="G1350" s="205">
        <f ca="1" t="shared" ref="G1350:G1352" si="1223">IF($S$1&lt;DATE(2025,2,1)," ",G1379-G1408)</f>
        <v>1</v>
      </c>
      <c r="H1350" s="205">
        <f ca="1" t="shared" ref="H1350:H1352" si="1224">IF($S$1&lt;DATE(2025,3,1)," ",H1379-H1408)</f>
        <v>0</v>
      </c>
      <c r="I1350" s="205">
        <f ca="1" t="shared" ref="I1350:I1352" si="1225">IF($S$1&lt;DATE(2025,4,1)," ",I1379-I1408)</f>
        <v>0</v>
      </c>
      <c r="J1350" s="205">
        <f ca="1" t="shared" ref="J1350:J1352" si="1226">IF($S$1&lt;DATE(2025,5,1)," ",J1379-J1408)</f>
        <v>1</v>
      </c>
      <c r="K1350" s="205">
        <f ca="1" t="shared" ref="K1350:K1352" si="1227">IF($S$1&lt;DATE(2025,6,1)," ",K1379-K1408)</f>
        <v>0</v>
      </c>
      <c r="L1350" s="205">
        <f ca="1" t="shared" ref="L1350:L1352" si="1228">IF($S$1&lt;DATE(2025,7,1)," ",L1379-L1408)</f>
        <v>0</v>
      </c>
      <c r="M1350" s="205">
        <f ca="1" t="shared" ref="M1350:M1352" si="1229">IF($S$1&lt;DATE(2025,8,1)," ",M1379-M1408)</f>
        <v>1</v>
      </c>
      <c r="N1350" s="205">
        <f ca="1" t="shared" ref="N1350:N1352" si="1230">IF($S$1&lt;DATE(2025,9,1)," ",N1379-N1408)</f>
        <v>2</v>
      </c>
      <c r="O1350" s="205">
        <f ca="1" t="shared" ref="O1350:O1352" si="1231">IF($S$1&lt;DATE(2025,10,1)," ",O1379-O1408)</f>
        <v>1</v>
      </c>
      <c r="P1350" s="205">
        <f ca="1" t="shared" ref="P1350:P1352" si="1232">IF($S$1&lt;DATE(2025,11,1)," ",P1379-P1408)</f>
        <v>2</v>
      </c>
      <c r="Q1350" s="205">
        <f ca="1" t="shared" ref="Q1350:Q1352" si="1233">IF($S$1&lt;DATE(2025,12,1)," ",Q1379-Q1408)</f>
        <v>3</v>
      </c>
    </row>
    <row r="1351" ht="24" customHeight="1" spans="1:17">
      <c r="A1351" s="99" t="s">
        <v>348</v>
      </c>
      <c r="B1351" s="99" t="s">
        <v>308</v>
      </c>
      <c r="C1351" s="99" t="s">
        <v>309</v>
      </c>
      <c r="D1351" s="48" t="s">
        <v>296</v>
      </c>
      <c r="E1351" s="48" t="s">
        <v>82</v>
      </c>
      <c r="F1351" s="205">
        <f ca="1" t="shared" si="1222"/>
        <v>0</v>
      </c>
      <c r="G1351" s="205">
        <f ca="1" t="shared" si="1223"/>
        <v>0</v>
      </c>
      <c r="H1351" s="205">
        <f ca="1" t="shared" si="1224"/>
        <v>0</v>
      </c>
      <c r="I1351" s="205">
        <f ca="1" t="shared" si="1225"/>
        <v>2</v>
      </c>
      <c r="J1351" s="205">
        <f ca="1" t="shared" si="1226"/>
        <v>1</v>
      </c>
      <c r="K1351" s="205">
        <f ca="1" t="shared" si="1227"/>
        <v>2</v>
      </c>
      <c r="L1351" s="205">
        <f ca="1" t="shared" si="1228"/>
        <v>3</v>
      </c>
      <c r="M1351" s="205">
        <f ca="1" t="shared" si="1229"/>
        <v>0</v>
      </c>
      <c r="N1351" s="205">
        <f ca="1" t="shared" si="1230"/>
        <v>2</v>
      </c>
      <c r="O1351" s="205">
        <f ca="1" t="shared" si="1231"/>
        <v>0</v>
      </c>
      <c r="P1351" s="205">
        <f ca="1" t="shared" si="1232"/>
        <v>2</v>
      </c>
      <c r="Q1351" s="205">
        <f ca="1" t="shared" si="1233"/>
        <v>2</v>
      </c>
    </row>
    <row r="1352" ht="24" customHeight="1" spans="1:17">
      <c r="A1352" s="99" t="s">
        <v>348</v>
      </c>
      <c r="B1352" s="99" t="s">
        <v>308</v>
      </c>
      <c r="C1352" s="99" t="s">
        <v>309</v>
      </c>
      <c r="D1352" s="48" t="s">
        <v>296</v>
      </c>
      <c r="E1352" s="48" t="s">
        <v>86</v>
      </c>
      <c r="F1352" s="205">
        <f ca="1" t="shared" si="1222"/>
        <v>0</v>
      </c>
      <c r="G1352" s="205">
        <f ca="1" t="shared" si="1223"/>
        <v>0</v>
      </c>
      <c r="H1352" s="205">
        <f ca="1" t="shared" si="1224"/>
        <v>0</v>
      </c>
      <c r="I1352" s="205">
        <f ca="1" t="shared" si="1225"/>
        <v>1</v>
      </c>
      <c r="J1352" s="205">
        <f ca="1" t="shared" si="1226"/>
        <v>1</v>
      </c>
      <c r="K1352" s="205">
        <f ca="1" t="shared" si="1227"/>
        <v>0</v>
      </c>
      <c r="L1352" s="205">
        <f ca="1" t="shared" si="1228"/>
        <v>1</v>
      </c>
      <c r="M1352" s="205">
        <f ca="1" t="shared" si="1229"/>
        <v>1</v>
      </c>
      <c r="N1352" s="205">
        <f ca="1" t="shared" si="1230"/>
        <v>0</v>
      </c>
      <c r="O1352" s="205">
        <f ca="1" t="shared" si="1231"/>
        <v>1</v>
      </c>
      <c r="P1352" s="205">
        <f ca="1" t="shared" si="1232"/>
        <v>1</v>
      </c>
      <c r="Q1352" s="205">
        <f ca="1" t="shared" si="1233"/>
        <v>1</v>
      </c>
    </row>
    <row r="1353" ht="24" customHeight="1" spans="1:17">
      <c r="A1353" s="99" t="s">
        <v>348</v>
      </c>
      <c r="B1353" s="99" t="s">
        <v>308</v>
      </c>
      <c r="C1353" s="99" t="s">
        <v>309</v>
      </c>
      <c r="D1353" s="48" t="s">
        <v>313</v>
      </c>
      <c r="E1353" s="48" t="s">
        <v>90</v>
      </c>
      <c r="F1353" s="112" t="str">
        <f ca="1" t="shared" ref="F1353:Q1353" si="1234">IFERROR(F1350/F1349," ")</f>
        <v> </v>
      </c>
      <c r="G1353" s="112">
        <f ca="1" t="shared" si="1234"/>
        <v>1</v>
      </c>
      <c r="H1353" s="112" t="str">
        <f ca="1" t="shared" si="1234"/>
        <v> </v>
      </c>
      <c r="I1353" s="112">
        <f ca="1" t="shared" si="1234"/>
        <v>0</v>
      </c>
      <c r="J1353" s="112">
        <f ca="1" t="shared" si="1234"/>
        <v>0.333333333333333</v>
      </c>
      <c r="K1353" s="112">
        <f ca="1" t="shared" si="1234"/>
        <v>0</v>
      </c>
      <c r="L1353" s="112">
        <f ca="1" t="shared" si="1234"/>
        <v>0</v>
      </c>
      <c r="M1353" s="112">
        <f ca="1" t="shared" si="1234"/>
        <v>0.5</v>
      </c>
      <c r="N1353" s="112">
        <f ca="1" t="shared" si="1234"/>
        <v>0.5</v>
      </c>
      <c r="O1353" s="112">
        <f ca="1" t="shared" si="1234"/>
        <v>0.5</v>
      </c>
      <c r="P1353" s="112">
        <f ca="1" t="shared" si="1234"/>
        <v>0.4</v>
      </c>
      <c r="Q1353" s="112">
        <f ca="1" t="shared" si="1234"/>
        <v>0.5</v>
      </c>
    </row>
    <row r="1354" ht="24" customHeight="1" spans="1:17">
      <c r="A1354" s="99" t="s">
        <v>348</v>
      </c>
      <c r="B1354" s="99" t="s">
        <v>308</v>
      </c>
      <c r="C1354" s="99" t="s">
        <v>309</v>
      </c>
      <c r="D1354" s="48" t="s">
        <v>313</v>
      </c>
      <c r="E1354" s="48" t="s">
        <v>82</v>
      </c>
      <c r="F1354" s="112" t="str">
        <f ca="1" t="shared" ref="F1354:Q1354" si="1235">IFERROR(F1351/F1349," ")</f>
        <v> </v>
      </c>
      <c r="G1354" s="112">
        <f ca="1" t="shared" si="1235"/>
        <v>0</v>
      </c>
      <c r="H1354" s="112" t="str">
        <f ca="1" t="shared" si="1235"/>
        <v> </v>
      </c>
      <c r="I1354" s="112">
        <f ca="1" t="shared" si="1235"/>
        <v>0.666666666666667</v>
      </c>
      <c r="J1354" s="112">
        <f ca="1" t="shared" si="1235"/>
        <v>0.333333333333333</v>
      </c>
      <c r="K1354" s="112">
        <f ca="1" t="shared" si="1235"/>
        <v>1</v>
      </c>
      <c r="L1354" s="112">
        <f ca="1" t="shared" si="1235"/>
        <v>0.75</v>
      </c>
      <c r="M1354" s="112">
        <f ca="1" t="shared" si="1235"/>
        <v>0</v>
      </c>
      <c r="N1354" s="112">
        <f ca="1" t="shared" si="1235"/>
        <v>0.5</v>
      </c>
      <c r="O1354" s="112">
        <f ca="1" t="shared" si="1235"/>
        <v>0</v>
      </c>
      <c r="P1354" s="112">
        <f ca="1" t="shared" si="1235"/>
        <v>0.4</v>
      </c>
      <c r="Q1354" s="112">
        <f ca="1" t="shared" si="1235"/>
        <v>0.333333333333333</v>
      </c>
    </row>
    <row r="1355" ht="24" customHeight="1" spans="1:17">
      <c r="A1355" s="99" t="s">
        <v>348</v>
      </c>
      <c r="B1355" s="99" t="s">
        <v>308</v>
      </c>
      <c r="C1355" s="99" t="s">
        <v>309</v>
      </c>
      <c r="D1355" s="48" t="s">
        <v>313</v>
      </c>
      <c r="E1355" s="48" t="s">
        <v>86</v>
      </c>
      <c r="F1355" s="112" t="str">
        <f ca="1" t="shared" ref="F1355:Q1355" si="1236">IFERROR(F1352/F1349," ")</f>
        <v> </v>
      </c>
      <c r="G1355" s="112">
        <f ca="1" t="shared" si="1236"/>
        <v>0</v>
      </c>
      <c r="H1355" s="112" t="str">
        <f ca="1" t="shared" si="1236"/>
        <v> </v>
      </c>
      <c r="I1355" s="112">
        <f ca="1" t="shared" si="1236"/>
        <v>0.333333333333333</v>
      </c>
      <c r="J1355" s="112">
        <f ca="1" t="shared" si="1236"/>
        <v>0.333333333333333</v>
      </c>
      <c r="K1355" s="112">
        <f ca="1" t="shared" si="1236"/>
        <v>0</v>
      </c>
      <c r="L1355" s="112">
        <f ca="1" t="shared" si="1236"/>
        <v>0.25</v>
      </c>
      <c r="M1355" s="112">
        <f ca="1" t="shared" si="1236"/>
        <v>0.5</v>
      </c>
      <c r="N1355" s="112">
        <f ca="1" t="shared" si="1236"/>
        <v>0</v>
      </c>
      <c r="O1355" s="112">
        <f ca="1" t="shared" si="1236"/>
        <v>0.5</v>
      </c>
      <c r="P1355" s="112">
        <f ca="1" t="shared" si="1236"/>
        <v>0.2</v>
      </c>
      <c r="Q1355" s="112">
        <f ca="1" t="shared" si="1236"/>
        <v>0.166666666666667</v>
      </c>
    </row>
    <row r="1356" ht="24" customHeight="1" spans="1:17">
      <c r="A1356" s="99" t="s">
        <v>348</v>
      </c>
      <c r="B1356" s="99" t="s">
        <v>308</v>
      </c>
      <c r="C1356" s="99" t="s">
        <v>309</v>
      </c>
      <c r="D1356" s="100" t="s">
        <v>292</v>
      </c>
      <c r="E1356" s="100" t="s">
        <v>314</v>
      </c>
      <c r="F1356" s="204">
        <f ca="1">IF($S$1&lt;DATE(2025,1,1)," ",SUM(F1357:F1360))</f>
        <v>0</v>
      </c>
      <c r="G1356" s="204">
        <f ca="1">IF($S$1&lt;DATE(2025,2,1)," ",SUM(G1357:G1360))</f>
        <v>1</v>
      </c>
      <c r="H1356" s="204">
        <f ca="1">IF($S$1&lt;DATE(2025,3,1)," ",SUM(H1357:H1360))</f>
        <v>1</v>
      </c>
      <c r="I1356" s="204">
        <f ca="1">IF($S$1&lt;DATE(2025,4,1)," ",SUM(I1357:I1360))</f>
        <v>3</v>
      </c>
      <c r="J1356" s="204">
        <f ca="1">IF($S$1&lt;DATE(2025,5,1)," ",SUM(J1357:J1360))</f>
        <v>1</v>
      </c>
      <c r="K1356" s="204">
        <f ca="1">IF($S$1&lt;DATE(2025,6,1)," ",SUM(K1357:K1360))</f>
        <v>3</v>
      </c>
      <c r="L1356" s="204">
        <f ca="1">IF($S$1&lt;DATE(2025,7,1)," ",SUM(L1357:L1360))</f>
        <v>5</v>
      </c>
      <c r="M1356" s="204">
        <f ca="1">IF($S$1&lt;DATE(2025,8,1)," ",SUM(M1357:M1360))</f>
        <v>2</v>
      </c>
      <c r="N1356" s="204">
        <f ca="1">IF($S$1&lt;DATE(2025,9,1)," ",SUM(N1357:N1360))</f>
        <v>2</v>
      </c>
      <c r="O1356" s="204">
        <f ca="1">IF($S$1&lt;DATE(2025,10,1)," ",SUM(O1357:O1360))</f>
        <v>2</v>
      </c>
      <c r="P1356" s="204">
        <f ca="1">IF($S$1&lt;DATE(2025,11,1)," ",SUM(P1357:P1360))</f>
        <v>3</v>
      </c>
      <c r="Q1356" s="204">
        <f ca="1">IF($S$1&lt;DATE(2025,12,1)," ",SUM(Q1357:Q1360))</f>
        <v>5</v>
      </c>
    </row>
    <row r="1357" ht="24" customHeight="1" spans="1:17">
      <c r="A1357" s="99" t="s">
        <v>348</v>
      </c>
      <c r="B1357" s="99" t="s">
        <v>308</v>
      </c>
      <c r="C1357" s="99" t="s">
        <v>309</v>
      </c>
      <c r="D1357" s="48" t="s">
        <v>298</v>
      </c>
      <c r="E1357" s="48" t="s">
        <v>97</v>
      </c>
      <c r="F1357" s="205">
        <f ca="1" t="shared" ref="F1357:F1360" si="1237">IF($S$1&lt;DATE(2025,1,1)," ",F1383-F1415)</f>
        <v>0</v>
      </c>
      <c r="G1357" s="205">
        <f ca="1" t="shared" ref="G1357:G1360" si="1238">IF($S$1&lt;DATE(2025,2,1)," ",G1383-G1415)</f>
        <v>1</v>
      </c>
      <c r="H1357" s="205">
        <f ca="1" t="shared" ref="H1357:H1360" si="1239">IF($S$1&lt;DATE(2025,3,1)," ",H1383-H1415)</f>
        <v>1</v>
      </c>
      <c r="I1357" s="205">
        <f ca="1" t="shared" ref="I1357:I1360" si="1240">IF($S$1&lt;DATE(2025,4,1)," ",I1383-I1415)</f>
        <v>2</v>
      </c>
      <c r="J1357" s="205">
        <f ca="1" t="shared" ref="J1357:J1360" si="1241">IF($S$1&lt;DATE(2025,5,1)," ",J1383-J1415)</f>
        <v>1</v>
      </c>
      <c r="K1357" s="205">
        <f ca="1" t="shared" ref="K1357:K1360" si="1242">IF($S$1&lt;DATE(2025,6,1)," ",K1383-K1415)</f>
        <v>2</v>
      </c>
      <c r="L1357" s="205">
        <f ca="1" t="shared" ref="L1357:L1360" si="1243">IF($S$1&lt;DATE(2025,7,1)," ",L1383-L1415)</f>
        <v>2</v>
      </c>
      <c r="M1357" s="205">
        <f ca="1" t="shared" ref="M1357:M1360" si="1244">IF($S$1&lt;DATE(2025,8,1)," ",M1383-M1415)</f>
        <v>2</v>
      </c>
      <c r="N1357" s="205">
        <f ca="1" t="shared" ref="N1357:N1360" si="1245">IF($S$1&lt;DATE(2025,9,1)," ",N1383-N1415)</f>
        <v>0</v>
      </c>
      <c r="O1357" s="205">
        <f ca="1" t="shared" ref="O1357:O1360" si="1246">IF($S$1&lt;DATE(2025,10,1)," ",O1383-O1415)</f>
        <v>1</v>
      </c>
      <c r="P1357" s="205">
        <f ca="1" t="shared" ref="P1357:P1360" si="1247">IF($S$1&lt;DATE(2025,11,1)," ",P1383-P1415)</f>
        <v>3</v>
      </c>
      <c r="Q1357" s="205">
        <f ca="1" t="shared" ref="Q1357:Q1360" si="1248">IF($S$1&lt;DATE(2025,12,1)," ",Q1383-Q1415)</f>
        <v>2</v>
      </c>
    </row>
    <row r="1358" ht="24" customHeight="1" spans="1:17">
      <c r="A1358" s="99" t="s">
        <v>348</v>
      </c>
      <c r="B1358" s="99" t="s">
        <v>308</v>
      </c>
      <c r="C1358" s="99" t="s">
        <v>309</v>
      </c>
      <c r="D1358" s="48" t="s">
        <v>298</v>
      </c>
      <c r="E1358" s="48" t="s">
        <v>87</v>
      </c>
      <c r="F1358" s="205">
        <f ca="1" t="shared" si="1237"/>
        <v>0</v>
      </c>
      <c r="G1358" s="205">
        <f ca="1" t="shared" si="1238"/>
        <v>0</v>
      </c>
      <c r="H1358" s="205">
        <f ca="1" t="shared" si="1239"/>
        <v>0</v>
      </c>
      <c r="I1358" s="205">
        <f ca="1" t="shared" si="1240"/>
        <v>1</v>
      </c>
      <c r="J1358" s="205">
        <f ca="1" t="shared" si="1241"/>
        <v>0</v>
      </c>
      <c r="K1358" s="205">
        <f ca="1" t="shared" si="1242"/>
        <v>1</v>
      </c>
      <c r="L1358" s="205">
        <f ca="1" t="shared" si="1243"/>
        <v>1</v>
      </c>
      <c r="M1358" s="205">
        <f ca="1" t="shared" si="1244"/>
        <v>0</v>
      </c>
      <c r="N1358" s="205">
        <f ca="1" t="shared" si="1245"/>
        <v>2</v>
      </c>
      <c r="O1358" s="205">
        <f ca="1" t="shared" si="1246"/>
        <v>1</v>
      </c>
      <c r="P1358" s="205">
        <f ca="1" t="shared" si="1247"/>
        <v>0</v>
      </c>
      <c r="Q1358" s="205">
        <f ca="1" t="shared" si="1248"/>
        <v>2</v>
      </c>
    </row>
    <row r="1359" ht="24" customHeight="1" spans="1:17">
      <c r="A1359" s="99" t="s">
        <v>348</v>
      </c>
      <c r="B1359" s="99" t="s">
        <v>308</v>
      </c>
      <c r="C1359" s="99" t="s">
        <v>309</v>
      </c>
      <c r="D1359" s="48" t="s">
        <v>298</v>
      </c>
      <c r="E1359" s="48" t="s">
        <v>149</v>
      </c>
      <c r="F1359" s="205">
        <f ca="1" t="shared" si="1237"/>
        <v>0</v>
      </c>
      <c r="G1359" s="205">
        <f ca="1" t="shared" si="1238"/>
        <v>0</v>
      </c>
      <c r="H1359" s="205">
        <f ca="1" t="shared" si="1239"/>
        <v>0</v>
      </c>
      <c r="I1359" s="205">
        <f ca="1" t="shared" si="1240"/>
        <v>0</v>
      </c>
      <c r="J1359" s="205">
        <f ca="1" t="shared" si="1241"/>
        <v>0</v>
      </c>
      <c r="K1359" s="205">
        <f ca="1" t="shared" si="1242"/>
        <v>0</v>
      </c>
      <c r="L1359" s="205">
        <f ca="1" t="shared" si="1243"/>
        <v>0</v>
      </c>
      <c r="M1359" s="205">
        <f ca="1" t="shared" si="1244"/>
        <v>0</v>
      </c>
      <c r="N1359" s="205">
        <f ca="1" t="shared" si="1245"/>
        <v>0</v>
      </c>
      <c r="O1359" s="205">
        <f ca="1" t="shared" si="1246"/>
        <v>0</v>
      </c>
      <c r="P1359" s="205">
        <f ca="1" t="shared" si="1247"/>
        <v>0</v>
      </c>
      <c r="Q1359" s="205">
        <f ca="1" t="shared" si="1248"/>
        <v>0</v>
      </c>
    </row>
    <row r="1360" ht="24" customHeight="1" spans="1:17">
      <c r="A1360" s="99" t="s">
        <v>348</v>
      </c>
      <c r="B1360" s="99" t="s">
        <v>308</v>
      </c>
      <c r="C1360" s="99" t="s">
        <v>309</v>
      </c>
      <c r="D1360" s="48" t="s">
        <v>298</v>
      </c>
      <c r="E1360" s="48" t="s">
        <v>83</v>
      </c>
      <c r="F1360" s="205">
        <f ca="1" t="shared" si="1237"/>
        <v>0</v>
      </c>
      <c r="G1360" s="205">
        <f ca="1" t="shared" si="1238"/>
        <v>0</v>
      </c>
      <c r="H1360" s="205">
        <f ca="1" t="shared" si="1239"/>
        <v>0</v>
      </c>
      <c r="I1360" s="205">
        <f ca="1" t="shared" si="1240"/>
        <v>0</v>
      </c>
      <c r="J1360" s="205">
        <f ca="1" t="shared" si="1241"/>
        <v>0</v>
      </c>
      <c r="K1360" s="205">
        <f ca="1" t="shared" si="1242"/>
        <v>0</v>
      </c>
      <c r="L1360" s="205">
        <f ca="1" t="shared" si="1243"/>
        <v>2</v>
      </c>
      <c r="M1360" s="205">
        <f ca="1" t="shared" si="1244"/>
        <v>0</v>
      </c>
      <c r="N1360" s="205">
        <f ca="1" t="shared" si="1245"/>
        <v>0</v>
      </c>
      <c r="O1360" s="205">
        <f ca="1" t="shared" si="1246"/>
        <v>0</v>
      </c>
      <c r="P1360" s="205">
        <f ca="1" t="shared" si="1247"/>
        <v>0</v>
      </c>
      <c r="Q1360" s="205">
        <f ca="1" t="shared" si="1248"/>
        <v>1</v>
      </c>
    </row>
    <row r="1361" ht="24" customHeight="1" spans="1:17">
      <c r="A1361" s="99" t="s">
        <v>348</v>
      </c>
      <c r="B1361" s="99" t="s">
        <v>308</v>
      </c>
      <c r="C1361" s="99" t="s">
        <v>309</v>
      </c>
      <c r="D1361" s="48" t="s">
        <v>315</v>
      </c>
      <c r="E1361" s="48" t="s">
        <v>97</v>
      </c>
      <c r="F1361" s="112" t="str">
        <f ca="1" t="shared" ref="F1361:F1364" si="1249">IFERROR(IF($S$1&lt;DATE(2025,1,1)," ",F1357/F$1356),"")</f>
        <v/>
      </c>
      <c r="G1361" s="112">
        <f ca="1">IF($S$1&lt;DATE(2025,2,1)," ",G1357/G1356)</f>
        <v>1</v>
      </c>
      <c r="H1361" s="112">
        <f ca="1">IF($S$1&lt;DATE(2025,3,1)," ",H1357/H1356)</f>
        <v>1</v>
      </c>
      <c r="I1361" s="112">
        <f ca="1">IF($S$1&lt;DATE(2025,4,1)," ",I1357/I1356)</f>
        <v>0.666666666666667</v>
      </c>
      <c r="J1361" s="112">
        <f ca="1">IF($S$1&lt;DATE(2025,5,1)," ",J1357/J1356)</f>
        <v>1</v>
      </c>
      <c r="K1361" s="112">
        <f ca="1">IF($S$1&lt;DATE(2025,6,1)," ",K1357/K1356)</f>
        <v>0.666666666666667</v>
      </c>
      <c r="L1361" s="112">
        <f ca="1">IF($S$1&lt;DATE(2025,7,1)," ",L1357/L1356)</f>
        <v>0.4</v>
      </c>
      <c r="M1361" s="112">
        <f ca="1">IF($S$1&lt;DATE(2025,8,1)," ",M1357/M1356)</f>
        <v>1</v>
      </c>
      <c r="N1361" s="112">
        <f ca="1">IF($S$1&lt;DATE(2025,9,1)," ",N1357/N1356)</f>
        <v>0</v>
      </c>
      <c r="O1361" s="112">
        <f ca="1">IF($S$1&lt;DATE(2025,10,1)," ",O1357/O1356)</f>
        <v>0.5</v>
      </c>
      <c r="P1361" s="112">
        <f ca="1">IF($S$1&lt;DATE(2025,11,1)," ",P1357/P1356)</f>
        <v>1</v>
      </c>
      <c r="Q1361" s="112">
        <f ca="1">IF($S$1&lt;DATE(2025,12,1)," ",Q1357/Q1356)</f>
        <v>0.4</v>
      </c>
    </row>
    <row r="1362" ht="24" customHeight="1" spans="1:17">
      <c r="A1362" s="99" t="s">
        <v>348</v>
      </c>
      <c r="B1362" s="99" t="s">
        <v>308</v>
      </c>
      <c r="C1362" s="99" t="s">
        <v>309</v>
      </c>
      <c r="D1362" s="48" t="s">
        <v>315</v>
      </c>
      <c r="E1362" s="48" t="s">
        <v>87</v>
      </c>
      <c r="F1362" s="112" t="str">
        <f ca="1" t="shared" si="1249"/>
        <v/>
      </c>
      <c r="G1362" s="112">
        <f ca="1">IF($S$1&lt;DATE(2025,2,1)," ",G1358/G1356)</f>
        <v>0</v>
      </c>
      <c r="H1362" s="112">
        <f ca="1">IF($S$1&lt;DATE(2025,3,1)," ",H1358/H1356)</f>
        <v>0</v>
      </c>
      <c r="I1362" s="112">
        <f ca="1">IF($S$1&lt;DATE(2025,4,1)," ",I1358/I1356)</f>
        <v>0.333333333333333</v>
      </c>
      <c r="J1362" s="112">
        <f ca="1">IF($S$1&lt;DATE(2025,5,1)," ",J1358/J1356)</f>
        <v>0</v>
      </c>
      <c r="K1362" s="112">
        <f ca="1">IF($S$1&lt;DATE(2025,6,1)," ",K1358/K1356)</f>
        <v>0.333333333333333</v>
      </c>
      <c r="L1362" s="112">
        <f ca="1">IF($S$1&lt;DATE(2025,7,1)," ",L1358/L1356)</f>
        <v>0.2</v>
      </c>
      <c r="M1362" s="112">
        <f ca="1">IF($S$1&lt;DATE(2025,8,1)," ",M1358/M1356)</f>
        <v>0</v>
      </c>
      <c r="N1362" s="112">
        <f ca="1">IF($S$1&lt;DATE(2025,9,1)," ",N1358/N1356)</f>
        <v>1</v>
      </c>
      <c r="O1362" s="112">
        <f ca="1">IF($S$1&lt;DATE(2025,10,1)," ",O1358/O1356)</f>
        <v>0.5</v>
      </c>
      <c r="P1362" s="112">
        <f ca="1">IF($S$1&lt;DATE(2025,11,1)," ",P1358/P1356)</f>
        <v>0</v>
      </c>
      <c r="Q1362" s="112">
        <f ca="1">IF($S$1&lt;DATE(2025,12,1)," ",Q1358/Q1356)</f>
        <v>0.4</v>
      </c>
    </row>
    <row r="1363" ht="24" customHeight="1" spans="1:17">
      <c r="A1363" s="99" t="s">
        <v>348</v>
      </c>
      <c r="B1363" s="99" t="s">
        <v>308</v>
      </c>
      <c r="C1363" s="99" t="s">
        <v>309</v>
      </c>
      <c r="D1363" s="48" t="s">
        <v>315</v>
      </c>
      <c r="E1363" s="48" t="s">
        <v>149</v>
      </c>
      <c r="F1363" s="112" t="str">
        <f ca="1" t="shared" si="1249"/>
        <v/>
      </c>
      <c r="G1363" s="112" t="str">
        <f ca="1">IFERROR(IF($S$1&lt;DATE(2025,2,1)," ",G1359/G1355),"")</f>
        <v/>
      </c>
      <c r="H1363" s="112">
        <f ca="1">IF($S$1&lt;DATE(2025,3,1)," ",H1359/H1356)</f>
        <v>0</v>
      </c>
      <c r="I1363" s="112">
        <f ca="1">IF($S$1&lt;DATE(2025,4,1)," ",I1359/I1356)</f>
        <v>0</v>
      </c>
      <c r="J1363" s="112">
        <f ca="1">IF($S$1&lt;DATE(2025,5,1)," ",J1359/J1356)</f>
        <v>0</v>
      </c>
      <c r="K1363" s="112">
        <f ca="1">IF($S$1&lt;DATE(2025,6,1)," ",K1359/K1356)</f>
        <v>0</v>
      </c>
      <c r="L1363" s="112">
        <f ca="1">IF($S$1&lt;DATE(2025,7,1)," ",L1359/L1356)</f>
        <v>0</v>
      </c>
      <c r="M1363" s="112">
        <f ca="1">IF($S$1&lt;DATE(2025,8,1)," ",M1359/M1356)</f>
        <v>0</v>
      </c>
      <c r="N1363" s="112">
        <f ca="1">IF($S$1&lt;DATE(2025,9,1)," ",N1359/N1356)</f>
        <v>0</v>
      </c>
      <c r="O1363" s="112">
        <f ca="1">IF($S$1&lt;DATE(2025,10,1)," ",O1359/O1356)</f>
        <v>0</v>
      </c>
      <c r="P1363" s="112">
        <f ca="1">IF($S$1&lt;DATE(2025,11,1)," ",P1359/P1356)</f>
        <v>0</v>
      </c>
      <c r="Q1363" s="112">
        <f ca="1">IF($S$1&lt;DATE(2025,12,1)," ",Q1359/Q1356)</f>
        <v>0</v>
      </c>
    </row>
    <row r="1364" ht="24" customHeight="1" spans="1:17">
      <c r="A1364" s="99" t="s">
        <v>348</v>
      </c>
      <c r="B1364" s="99" t="s">
        <v>308</v>
      </c>
      <c r="C1364" s="99" t="s">
        <v>309</v>
      </c>
      <c r="D1364" s="48" t="s">
        <v>315</v>
      </c>
      <c r="E1364" s="48" t="s">
        <v>83</v>
      </c>
      <c r="F1364" s="112" t="str">
        <f ca="1" t="shared" si="1249"/>
        <v/>
      </c>
      <c r="G1364" s="112">
        <f ca="1">IF($S$1&lt;DATE(2025,2,1)," ",G1360/G1356)</f>
        <v>0</v>
      </c>
      <c r="H1364" s="112">
        <f ca="1">IF($S$1&lt;DATE(2025,3,1)," ",H1360/H1356)</f>
        <v>0</v>
      </c>
      <c r="I1364" s="112">
        <f ca="1">IF($S$1&lt;DATE(2025,4,1)," ",I1360/I1356)</f>
        <v>0</v>
      </c>
      <c r="J1364" s="112">
        <f ca="1">IF($S$1&lt;DATE(2025,5,1)," ",J1360/J1356)</f>
        <v>0</v>
      </c>
      <c r="K1364" s="112">
        <f ca="1">IF($S$1&lt;DATE(2025,6,1)," ",K1360/K1356)</f>
        <v>0</v>
      </c>
      <c r="L1364" s="112">
        <f ca="1">IF($S$1&lt;DATE(2025,7,1)," ",L1360/L1356)</f>
        <v>0.4</v>
      </c>
      <c r="M1364" s="112">
        <f ca="1">IF($S$1&lt;DATE(2025,8,1)," ",M1360/M1356)</f>
        <v>0</v>
      </c>
      <c r="N1364" s="112">
        <f ca="1">IF($S$1&lt;DATE(2025,9,1)," ",N1360/N1356)</f>
        <v>0</v>
      </c>
      <c r="O1364" s="112">
        <f ca="1">IF($S$1&lt;DATE(2025,10,1)," ",O1360/O1356)</f>
        <v>0</v>
      </c>
      <c r="P1364" s="112">
        <f ca="1">IF($S$1&lt;DATE(2025,11,1)," ",P1360/P1356)</f>
        <v>0</v>
      </c>
      <c r="Q1364" s="112">
        <f ca="1">IF($S$1&lt;DATE(2025,12,1)," ",Q1360/Q1356)</f>
        <v>0.2</v>
      </c>
    </row>
    <row r="1365" ht="24" customHeight="1" spans="1:17">
      <c r="A1365" s="99" t="s">
        <v>348</v>
      </c>
      <c r="B1365" s="99" t="s">
        <v>290</v>
      </c>
      <c r="C1365" s="99" t="s">
        <v>316</v>
      </c>
      <c r="D1365" s="100" t="s">
        <v>292</v>
      </c>
      <c r="E1365" s="100" t="s">
        <v>317</v>
      </c>
      <c r="F1365" s="204">
        <f ca="1">IF($S$1&lt;DATE(2025,1,1)," ",IF((SUM(F1366:F1372)-MAX(F1378,F1382))&lt;0,"ERR",SUM(F1366:F1372)))</f>
        <v>5</v>
      </c>
      <c r="G1365" s="204">
        <f ca="1">IF($S$1&lt;DATE(2025,2,1)," ",IF((SUM(G1366:G1372)-MAX(G1378,G1382))&lt;0,"ERR",SUM(G1366:G1372)))</f>
        <v>8</v>
      </c>
      <c r="H1365" s="204">
        <f ca="1">IF($S$1&lt;DATE(2025,3,1)," ",IF((SUM(H1366:H1372)-MAX(H1378,H1382))&lt;0,"ERR",SUM(H1366:H1372)))</f>
        <v>10</v>
      </c>
      <c r="I1365" s="204">
        <f ca="1">IF($S$1&lt;DATE(2025,4,1)," ",IF((SUM(I1366:I1372)-MAX(I1378,I1382))&lt;0,"ERR",SUM(I1366:I1372)))</f>
        <v>14</v>
      </c>
      <c r="J1365" s="204">
        <f ca="1">IF($S$1&lt;DATE(2025,5,1)," ",IF((SUM(J1366:J1372)-MAX(J1378,J1382))&lt;0,"ERR",SUM(J1366:J1372)))</f>
        <v>19</v>
      </c>
      <c r="K1365" s="204">
        <f ca="1">IF($S$1&lt;DATE(2025,6,1)," ",IF((SUM(K1366:K1372)-MAX(K1378,K1382))&lt;0,"ERR",SUM(K1366:K1372)))</f>
        <v>24</v>
      </c>
      <c r="L1365" s="204">
        <f ca="1">IF($S$1&lt;DATE(2025,7,1)," ",IF((SUM(L1366:L1372)-MAX(L1378,L1382))&lt;0,"ERR",SUM(L1366:L1372)))</f>
        <v>29</v>
      </c>
      <c r="M1365" s="204">
        <f ca="1">IF($S$1&lt;DATE(2025,8,1)," ",IF((SUM(M1366:M1372)-MAX(M1378,M1382))&lt;0,"ERR",SUM(M1366:M1372)))</f>
        <v>34</v>
      </c>
      <c r="N1365" s="204">
        <f ca="1">IF($S$1&lt;DATE(2025,9,1)," ",IF((SUM(N1366:N1372)-MAX(N1378,N1382))&lt;0,"ERR",SUM(N1366:N1372)))</f>
        <v>41</v>
      </c>
      <c r="O1365" s="204">
        <f ca="1">IF($S$1&lt;DATE(2025,10,1)," ",IF((SUM(O1366:O1372)-MAX(O1378,O1382))&lt;0,"ERR",SUM(O1366:O1372)))</f>
        <v>44</v>
      </c>
      <c r="P1365" s="204">
        <f ca="1">IF($S$1&lt;DATE(2025,11,1)," ",IF((SUM(P1366:P1372)-MAX(P1378,P1382))&lt;0,"ERR",SUM(P1366:P1372)))</f>
        <v>48</v>
      </c>
      <c r="Q1365" s="204">
        <f ca="1">IF($S$1&lt;DATE(2025,12,1)," ",IF((SUM(Q1366:Q1372)-MAX(Q1378,Q1382))&lt;0,"ERR",SUM(Q1366:Q1372)))</f>
        <v>54</v>
      </c>
    </row>
    <row r="1366" ht="24" customHeight="1" spans="1:17">
      <c r="A1366" s="99" t="s">
        <v>348</v>
      </c>
      <c r="B1366" s="99" t="s">
        <v>290</v>
      </c>
      <c r="C1366" s="99" t="s">
        <v>316</v>
      </c>
      <c r="D1366" s="48" t="s">
        <v>31</v>
      </c>
      <c r="E1366" s="48" t="s">
        <v>90</v>
      </c>
      <c r="F1366" s="205">
        <f ca="1" t="shared" ref="F1366:F1377" si="1250">IF($S$1&lt;DATE(2025,1,1)," ",F1268)</f>
        <v>1</v>
      </c>
      <c r="G1366" s="205">
        <f ca="1" t="shared" ref="G1366:G1377" si="1251">IF($S$1&lt;DATE(2025,2,1)," ",G1268+F1366)</f>
        <v>3</v>
      </c>
      <c r="H1366" s="205">
        <f ca="1" t="shared" ref="H1366:H1377" si="1252">IF($S$1&lt;DATE(2025,3,1)," ",H1268+G1366)</f>
        <v>3</v>
      </c>
      <c r="I1366" s="205">
        <f ca="1" t="shared" ref="I1366:I1377" si="1253">IF($S$1&lt;DATE(2025,4,1)," ",I1268+H1366)</f>
        <v>3</v>
      </c>
      <c r="J1366" s="205">
        <f ca="1" t="shared" ref="J1366:J1377" si="1254">IF($S$1&lt;DATE(2025,5,1)," ",J1268+I1366)</f>
        <v>3</v>
      </c>
      <c r="K1366" s="205">
        <f ca="1" t="shared" ref="K1366:K1377" si="1255">IF($S$1&lt;DATE(2025,6,1)," ",K1268+J1366)</f>
        <v>4</v>
      </c>
      <c r="L1366" s="205">
        <f ca="1" t="shared" ref="L1366:L1377" si="1256">IF($S$1&lt;DATE(2025,7,1)," ",L1268+K1366)</f>
        <v>5</v>
      </c>
      <c r="M1366" s="205">
        <f ca="1" t="shared" ref="M1366:M1377" si="1257">IF($S$1&lt;DATE(2025,8,1)," ",M1268+L1366)</f>
        <v>7</v>
      </c>
      <c r="N1366" s="205">
        <f ca="1" t="shared" ref="N1366:N1377" si="1258">IF($S$1&lt;DATE(2025,9,1)," ",N1268+M1366)</f>
        <v>9</v>
      </c>
      <c r="O1366" s="205">
        <f ca="1" t="shared" ref="O1366:O1377" si="1259">IF($S$1&lt;DATE(2025,10,1)," ",O1268+N1366)</f>
        <v>10</v>
      </c>
      <c r="P1366" s="205">
        <f ca="1" t="shared" ref="P1366:P1377" si="1260">IF($S$1&lt;DATE(2025,11,1)," ",P1268+O1366)</f>
        <v>11</v>
      </c>
      <c r="Q1366" s="205">
        <f ca="1" t="shared" ref="Q1366:Q1377" si="1261">IF($S$1&lt;DATE(2025,12,1)," ",Q1268+P1366)</f>
        <v>13</v>
      </c>
    </row>
    <row r="1367" ht="24" customHeight="1" spans="1:17">
      <c r="A1367" s="99" t="s">
        <v>348</v>
      </c>
      <c r="B1367" s="99" t="s">
        <v>290</v>
      </c>
      <c r="C1367" s="99" t="s">
        <v>316</v>
      </c>
      <c r="D1367" s="48" t="s">
        <v>31</v>
      </c>
      <c r="E1367" s="48" t="s">
        <v>82</v>
      </c>
      <c r="F1367" s="205">
        <f ca="1" t="shared" si="1250"/>
        <v>0</v>
      </c>
      <c r="G1367" s="205">
        <f ca="1" t="shared" si="1251"/>
        <v>0</v>
      </c>
      <c r="H1367" s="205">
        <f ca="1" t="shared" si="1252"/>
        <v>1</v>
      </c>
      <c r="I1367" s="205">
        <f ca="1" t="shared" si="1253"/>
        <v>2</v>
      </c>
      <c r="J1367" s="205">
        <f ca="1" t="shared" si="1254"/>
        <v>3</v>
      </c>
      <c r="K1367" s="205">
        <f ca="1" t="shared" si="1255"/>
        <v>5</v>
      </c>
      <c r="L1367" s="205">
        <f ca="1" t="shared" si="1256"/>
        <v>6</v>
      </c>
      <c r="M1367" s="205">
        <f ca="1" t="shared" si="1257"/>
        <v>6</v>
      </c>
      <c r="N1367" s="205">
        <f ca="1" t="shared" si="1258"/>
        <v>9</v>
      </c>
      <c r="O1367" s="205">
        <f ca="1" t="shared" si="1259"/>
        <v>9</v>
      </c>
      <c r="P1367" s="205">
        <f ca="1" t="shared" si="1260"/>
        <v>11</v>
      </c>
      <c r="Q1367" s="205">
        <f ca="1" t="shared" si="1261"/>
        <v>12</v>
      </c>
    </row>
    <row r="1368" ht="24" customHeight="1" spans="1:17">
      <c r="A1368" s="99" t="s">
        <v>348</v>
      </c>
      <c r="B1368" s="99" t="s">
        <v>290</v>
      </c>
      <c r="C1368" s="99" t="s">
        <v>316</v>
      </c>
      <c r="D1368" s="48" t="s">
        <v>31</v>
      </c>
      <c r="E1368" s="48" t="s">
        <v>86</v>
      </c>
      <c r="F1368" s="205">
        <f ca="1" t="shared" si="1250"/>
        <v>4</v>
      </c>
      <c r="G1368" s="205">
        <f ca="1" t="shared" si="1251"/>
        <v>5</v>
      </c>
      <c r="H1368" s="205">
        <f ca="1" t="shared" si="1252"/>
        <v>5</v>
      </c>
      <c r="I1368" s="205">
        <f ca="1" t="shared" si="1253"/>
        <v>6</v>
      </c>
      <c r="J1368" s="205">
        <f ca="1" t="shared" si="1254"/>
        <v>9</v>
      </c>
      <c r="K1368" s="205">
        <f ca="1" t="shared" si="1255"/>
        <v>10</v>
      </c>
      <c r="L1368" s="205">
        <f ca="1" t="shared" si="1256"/>
        <v>11</v>
      </c>
      <c r="M1368" s="205">
        <f ca="1" t="shared" si="1257"/>
        <v>13</v>
      </c>
      <c r="N1368" s="205">
        <f ca="1" t="shared" si="1258"/>
        <v>15</v>
      </c>
      <c r="O1368" s="205">
        <f ca="1" t="shared" si="1259"/>
        <v>16</v>
      </c>
      <c r="P1368" s="205">
        <f ca="1" t="shared" si="1260"/>
        <v>17</v>
      </c>
      <c r="Q1368" s="205">
        <f ca="1" t="shared" si="1261"/>
        <v>17</v>
      </c>
    </row>
    <row r="1369" ht="24" customHeight="1" spans="1:17">
      <c r="A1369" s="99" t="s">
        <v>348</v>
      </c>
      <c r="B1369" s="99" t="s">
        <v>290</v>
      </c>
      <c r="C1369" s="99" t="s">
        <v>316</v>
      </c>
      <c r="D1369" s="48" t="s">
        <v>31</v>
      </c>
      <c r="E1369" s="48" t="s">
        <v>97</v>
      </c>
      <c r="F1369" s="205">
        <f ca="1" t="shared" si="1250"/>
        <v>0</v>
      </c>
      <c r="G1369" s="205">
        <f ca="1" t="shared" si="1251"/>
        <v>0</v>
      </c>
      <c r="H1369" s="205">
        <f ca="1" t="shared" si="1252"/>
        <v>1</v>
      </c>
      <c r="I1369" s="205">
        <f ca="1" t="shared" si="1253"/>
        <v>3</v>
      </c>
      <c r="J1369" s="205">
        <f ca="1" t="shared" si="1254"/>
        <v>4</v>
      </c>
      <c r="K1369" s="205">
        <f ca="1" t="shared" si="1255"/>
        <v>4</v>
      </c>
      <c r="L1369" s="205">
        <f ca="1" t="shared" si="1256"/>
        <v>4</v>
      </c>
      <c r="M1369" s="205">
        <f ca="1" t="shared" si="1257"/>
        <v>5</v>
      </c>
      <c r="N1369" s="205">
        <f ca="1" t="shared" si="1258"/>
        <v>5</v>
      </c>
      <c r="O1369" s="205">
        <f ca="1" t="shared" si="1259"/>
        <v>6</v>
      </c>
      <c r="P1369" s="205">
        <f ca="1" t="shared" si="1260"/>
        <v>6</v>
      </c>
      <c r="Q1369" s="205">
        <f ca="1" t="shared" si="1261"/>
        <v>7</v>
      </c>
    </row>
    <row r="1370" ht="24" customHeight="1" spans="1:17">
      <c r="A1370" s="99" t="s">
        <v>348</v>
      </c>
      <c r="B1370" s="99" t="s">
        <v>290</v>
      </c>
      <c r="C1370" s="99" t="s">
        <v>316</v>
      </c>
      <c r="D1370" s="48" t="s">
        <v>31</v>
      </c>
      <c r="E1370" s="48" t="s">
        <v>87</v>
      </c>
      <c r="F1370" s="205">
        <f ca="1" t="shared" si="1250"/>
        <v>0</v>
      </c>
      <c r="G1370" s="205">
        <f ca="1" t="shared" si="1251"/>
        <v>0</v>
      </c>
      <c r="H1370" s="205">
        <f ca="1" t="shared" si="1252"/>
        <v>0</v>
      </c>
      <c r="I1370" s="205">
        <f ca="1" t="shared" si="1253"/>
        <v>0</v>
      </c>
      <c r="J1370" s="205">
        <f ca="1" t="shared" si="1254"/>
        <v>0</v>
      </c>
      <c r="K1370" s="205">
        <f ca="1" t="shared" si="1255"/>
        <v>1</v>
      </c>
      <c r="L1370" s="205">
        <f ca="1" t="shared" si="1256"/>
        <v>1</v>
      </c>
      <c r="M1370" s="205">
        <f ca="1" t="shared" si="1257"/>
        <v>1</v>
      </c>
      <c r="N1370" s="205">
        <f ca="1" t="shared" si="1258"/>
        <v>1</v>
      </c>
      <c r="O1370" s="205">
        <f ca="1" t="shared" si="1259"/>
        <v>1</v>
      </c>
      <c r="P1370" s="205">
        <f ca="1" t="shared" si="1260"/>
        <v>1</v>
      </c>
      <c r="Q1370" s="205">
        <f ca="1" t="shared" si="1261"/>
        <v>2</v>
      </c>
    </row>
    <row r="1371" ht="24" customHeight="1" spans="1:17">
      <c r="A1371" s="99" t="s">
        <v>348</v>
      </c>
      <c r="B1371" s="99" t="s">
        <v>290</v>
      </c>
      <c r="C1371" s="99" t="s">
        <v>316</v>
      </c>
      <c r="D1371" s="48" t="s">
        <v>31</v>
      </c>
      <c r="E1371" s="48" t="s">
        <v>149</v>
      </c>
      <c r="F1371" s="205">
        <f ca="1" t="shared" si="1250"/>
        <v>0</v>
      </c>
      <c r="G1371" s="205">
        <f ca="1" t="shared" si="1251"/>
        <v>0</v>
      </c>
      <c r="H1371" s="205">
        <f ca="1" t="shared" si="1252"/>
        <v>0</v>
      </c>
      <c r="I1371" s="205">
        <f ca="1" t="shared" si="1253"/>
        <v>0</v>
      </c>
      <c r="J1371" s="205">
        <f ca="1" t="shared" si="1254"/>
        <v>0</v>
      </c>
      <c r="K1371" s="205">
        <f ca="1" t="shared" si="1255"/>
        <v>0</v>
      </c>
      <c r="L1371" s="205">
        <f ca="1" t="shared" si="1256"/>
        <v>0</v>
      </c>
      <c r="M1371" s="205">
        <f ca="1" t="shared" si="1257"/>
        <v>0</v>
      </c>
      <c r="N1371" s="205">
        <f ca="1" t="shared" si="1258"/>
        <v>0</v>
      </c>
      <c r="O1371" s="205">
        <f ca="1" t="shared" si="1259"/>
        <v>0</v>
      </c>
      <c r="P1371" s="205">
        <f ca="1" t="shared" si="1260"/>
        <v>0</v>
      </c>
      <c r="Q1371" s="205">
        <f ca="1" t="shared" si="1261"/>
        <v>0</v>
      </c>
    </row>
    <row r="1372" ht="24" customHeight="1" spans="1:17">
      <c r="A1372" s="99" t="s">
        <v>348</v>
      </c>
      <c r="B1372" s="99" t="s">
        <v>290</v>
      </c>
      <c r="C1372" s="99" t="s">
        <v>316</v>
      </c>
      <c r="D1372" s="48" t="s">
        <v>31</v>
      </c>
      <c r="E1372" s="48" t="s">
        <v>83</v>
      </c>
      <c r="F1372" s="205">
        <f ca="1" t="shared" si="1250"/>
        <v>0</v>
      </c>
      <c r="G1372" s="205">
        <f ca="1" t="shared" si="1251"/>
        <v>0</v>
      </c>
      <c r="H1372" s="205">
        <f ca="1" t="shared" si="1252"/>
        <v>0</v>
      </c>
      <c r="I1372" s="205">
        <f ca="1" t="shared" si="1253"/>
        <v>0</v>
      </c>
      <c r="J1372" s="205">
        <f ca="1" t="shared" si="1254"/>
        <v>0</v>
      </c>
      <c r="K1372" s="205">
        <f ca="1" t="shared" si="1255"/>
        <v>0</v>
      </c>
      <c r="L1372" s="205">
        <f ca="1" t="shared" si="1256"/>
        <v>2</v>
      </c>
      <c r="M1372" s="205">
        <f ca="1" t="shared" si="1257"/>
        <v>2</v>
      </c>
      <c r="N1372" s="205">
        <f ca="1" t="shared" si="1258"/>
        <v>2</v>
      </c>
      <c r="O1372" s="205">
        <f ca="1" t="shared" si="1259"/>
        <v>2</v>
      </c>
      <c r="P1372" s="205">
        <f ca="1" t="shared" si="1260"/>
        <v>2</v>
      </c>
      <c r="Q1372" s="205">
        <f ca="1" t="shared" si="1261"/>
        <v>3</v>
      </c>
    </row>
    <row r="1373" ht="24" customHeight="1" spans="1:17">
      <c r="A1373" s="99" t="s">
        <v>348</v>
      </c>
      <c r="B1373" s="99" t="s">
        <v>290</v>
      </c>
      <c r="C1373" s="99" t="s">
        <v>316</v>
      </c>
      <c r="D1373" s="47" t="s">
        <v>294</v>
      </c>
      <c r="E1373" s="47" t="s">
        <v>93</v>
      </c>
      <c r="F1373" s="206">
        <f ca="1" t="shared" si="1250"/>
        <v>0</v>
      </c>
      <c r="G1373" s="206">
        <f ca="1" t="shared" si="1251"/>
        <v>3</v>
      </c>
      <c r="H1373" s="206">
        <f ca="1" t="shared" si="1252"/>
        <v>4</v>
      </c>
      <c r="I1373" s="206">
        <f ca="1" t="shared" si="1253"/>
        <v>7</v>
      </c>
      <c r="J1373" s="206">
        <f ca="1" t="shared" si="1254"/>
        <v>11</v>
      </c>
      <c r="K1373" s="206">
        <f ca="1" t="shared" si="1255"/>
        <v>13</v>
      </c>
      <c r="L1373" s="206">
        <f ca="1" t="shared" si="1256"/>
        <v>15</v>
      </c>
      <c r="M1373" s="206">
        <f ca="1" t="shared" si="1257"/>
        <v>17</v>
      </c>
      <c r="N1373" s="206">
        <f ca="1" t="shared" si="1258"/>
        <v>19</v>
      </c>
      <c r="O1373" s="206">
        <f ca="1" t="shared" si="1259"/>
        <v>19</v>
      </c>
      <c r="P1373" s="206">
        <f ca="1" t="shared" si="1260"/>
        <v>20</v>
      </c>
      <c r="Q1373" s="206">
        <f ca="1" t="shared" si="1261"/>
        <v>25</v>
      </c>
    </row>
    <row r="1374" ht="24" customHeight="1" spans="1:17">
      <c r="A1374" s="99" t="s">
        <v>348</v>
      </c>
      <c r="B1374" s="99" t="s">
        <v>290</v>
      </c>
      <c r="C1374" s="99" t="s">
        <v>316</v>
      </c>
      <c r="D1374" s="47" t="s">
        <v>294</v>
      </c>
      <c r="E1374" s="47" t="s">
        <v>85</v>
      </c>
      <c r="F1374" s="206">
        <f ca="1" t="shared" si="1250"/>
        <v>2</v>
      </c>
      <c r="G1374" s="206">
        <f ca="1" t="shared" si="1251"/>
        <v>2</v>
      </c>
      <c r="H1374" s="206">
        <f ca="1" t="shared" si="1252"/>
        <v>2</v>
      </c>
      <c r="I1374" s="206">
        <f ca="1" t="shared" si="1253"/>
        <v>3</v>
      </c>
      <c r="J1374" s="206">
        <f ca="1" t="shared" si="1254"/>
        <v>4</v>
      </c>
      <c r="K1374" s="206">
        <f ca="1" t="shared" si="1255"/>
        <v>5</v>
      </c>
      <c r="L1374" s="206">
        <f ca="1" t="shared" si="1256"/>
        <v>6</v>
      </c>
      <c r="M1374" s="206">
        <f ca="1" t="shared" si="1257"/>
        <v>7</v>
      </c>
      <c r="N1374" s="206">
        <f ca="1" t="shared" si="1258"/>
        <v>9</v>
      </c>
      <c r="O1374" s="206">
        <f ca="1" t="shared" si="1259"/>
        <v>11</v>
      </c>
      <c r="P1374" s="206">
        <f ca="1" t="shared" si="1260"/>
        <v>14</v>
      </c>
      <c r="Q1374" s="206">
        <f ca="1" t="shared" si="1261"/>
        <v>15</v>
      </c>
    </row>
    <row r="1375" ht="24" customHeight="1" spans="1:17">
      <c r="A1375" s="99" t="s">
        <v>348</v>
      </c>
      <c r="B1375" s="99" t="s">
        <v>290</v>
      </c>
      <c r="C1375" s="99" t="s">
        <v>316</v>
      </c>
      <c r="D1375" s="47" t="s">
        <v>294</v>
      </c>
      <c r="E1375" s="47" t="s">
        <v>81</v>
      </c>
      <c r="F1375" s="206">
        <f ca="1" t="shared" si="1250"/>
        <v>2</v>
      </c>
      <c r="G1375" s="206">
        <f ca="1" t="shared" si="1251"/>
        <v>2</v>
      </c>
      <c r="H1375" s="206">
        <f ca="1" t="shared" si="1252"/>
        <v>2</v>
      </c>
      <c r="I1375" s="206">
        <f ca="1" t="shared" si="1253"/>
        <v>2</v>
      </c>
      <c r="J1375" s="206">
        <f ca="1" t="shared" si="1254"/>
        <v>2</v>
      </c>
      <c r="K1375" s="206">
        <f ca="1" t="shared" si="1255"/>
        <v>4</v>
      </c>
      <c r="L1375" s="206">
        <f ca="1" t="shared" si="1256"/>
        <v>4</v>
      </c>
      <c r="M1375" s="206">
        <f ca="1" t="shared" si="1257"/>
        <v>6</v>
      </c>
      <c r="N1375" s="206">
        <f ca="1" t="shared" si="1258"/>
        <v>9</v>
      </c>
      <c r="O1375" s="206">
        <f ca="1" t="shared" si="1259"/>
        <v>9</v>
      </c>
      <c r="P1375" s="206">
        <f ca="1" t="shared" si="1260"/>
        <v>9</v>
      </c>
      <c r="Q1375" s="206">
        <f ca="1" t="shared" si="1261"/>
        <v>9</v>
      </c>
    </row>
    <row r="1376" ht="24" customHeight="1" spans="1:17">
      <c r="A1376" s="99" t="s">
        <v>348</v>
      </c>
      <c r="B1376" s="99" t="s">
        <v>290</v>
      </c>
      <c r="C1376" s="99" t="s">
        <v>316</v>
      </c>
      <c r="D1376" s="47" t="s">
        <v>294</v>
      </c>
      <c r="E1376" s="47" t="s">
        <v>96</v>
      </c>
      <c r="F1376" s="206">
        <f ca="1" t="shared" si="1250"/>
        <v>1</v>
      </c>
      <c r="G1376" s="206">
        <f ca="1" t="shared" si="1251"/>
        <v>1</v>
      </c>
      <c r="H1376" s="206">
        <f ca="1" t="shared" si="1252"/>
        <v>2</v>
      </c>
      <c r="I1376" s="206">
        <f ca="1" t="shared" si="1253"/>
        <v>2</v>
      </c>
      <c r="J1376" s="206">
        <f ca="1" t="shared" si="1254"/>
        <v>2</v>
      </c>
      <c r="K1376" s="206">
        <f ca="1" t="shared" si="1255"/>
        <v>2</v>
      </c>
      <c r="L1376" s="206">
        <f ca="1" t="shared" si="1256"/>
        <v>3</v>
      </c>
      <c r="M1376" s="206">
        <f ca="1" t="shared" si="1257"/>
        <v>3</v>
      </c>
      <c r="N1376" s="206">
        <f ca="1" t="shared" si="1258"/>
        <v>3</v>
      </c>
      <c r="O1376" s="206">
        <f ca="1" t="shared" si="1259"/>
        <v>4</v>
      </c>
      <c r="P1376" s="206">
        <f ca="1" t="shared" si="1260"/>
        <v>4</v>
      </c>
      <c r="Q1376" s="206">
        <f ca="1" t="shared" si="1261"/>
        <v>4</v>
      </c>
    </row>
    <row r="1377" ht="24" customHeight="1" spans="1:17">
      <c r="A1377" s="99" t="s">
        <v>348</v>
      </c>
      <c r="B1377" s="99" t="s">
        <v>290</v>
      </c>
      <c r="C1377" s="99" t="s">
        <v>316</v>
      </c>
      <c r="D1377" s="47" t="s">
        <v>294</v>
      </c>
      <c r="E1377" s="47" t="s">
        <v>160</v>
      </c>
      <c r="F1377" s="206">
        <f ca="1" t="shared" si="1250"/>
        <v>0</v>
      </c>
      <c r="G1377" s="206">
        <f ca="1" t="shared" si="1251"/>
        <v>0</v>
      </c>
      <c r="H1377" s="206">
        <f ca="1" t="shared" si="1252"/>
        <v>0</v>
      </c>
      <c r="I1377" s="206">
        <f ca="1" t="shared" si="1253"/>
        <v>0</v>
      </c>
      <c r="J1377" s="206">
        <f ca="1" t="shared" si="1254"/>
        <v>0</v>
      </c>
      <c r="K1377" s="206">
        <f ca="1" t="shared" si="1255"/>
        <v>0</v>
      </c>
      <c r="L1377" s="206">
        <f ca="1" t="shared" si="1256"/>
        <v>1</v>
      </c>
      <c r="M1377" s="206">
        <f ca="1" t="shared" si="1257"/>
        <v>1</v>
      </c>
      <c r="N1377" s="206">
        <f ca="1" t="shared" si="1258"/>
        <v>1</v>
      </c>
      <c r="O1377" s="206">
        <f ca="1" t="shared" si="1259"/>
        <v>1</v>
      </c>
      <c r="P1377" s="206">
        <f ca="1" t="shared" si="1260"/>
        <v>1</v>
      </c>
      <c r="Q1377" s="206">
        <f ca="1" t="shared" si="1261"/>
        <v>1</v>
      </c>
    </row>
    <row r="1378" ht="24" customHeight="1" spans="1:17">
      <c r="A1378" s="99" t="s">
        <v>348</v>
      </c>
      <c r="B1378" s="99" t="s">
        <v>290</v>
      </c>
      <c r="C1378" s="99" t="s">
        <v>316</v>
      </c>
      <c r="D1378" s="100" t="s">
        <v>292</v>
      </c>
      <c r="E1378" s="100" t="s">
        <v>318</v>
      </c>
      <c r="F1378" s="204">
        <f ca="1">IF($S$1&lt;DATE(2025,1,1)," ",SUM(F1379:F1381))</f>
        <v>5</v>
      </c>
      <c r="G1378" s="204">
        <f ca="1">IF($S$1&lt;DATE(2025,2,1)," ",SUM(G1379:G1381))</f>
        <v>8</v>
      </c>
      <c r="H1378" s="204">
        <f ca="1">IF($S$1&lt;DATE(2025,3,1)," ",SUM(H1379:H1381))</f>
        <v>9</v>
      </c>
      <c r="I1378" s="204">
        <f ca="1">IF($S$1&lt;DATE(2025,4,1)," ",SUM(I1379:I1381))</f>
        <v>13</v>
      </c>
      <c r="J1378" s="204">
        <f ca="1">IF($S$1&lt;DATE(2025,5,1)," ",SUM(J1379:J1381))</f>
        <v>18</v>
      </c>
      <c r="K1378" s="204">
        <f ca="1">IF($S$1&lt;DATE(2025,6,1)," ",SUM(K1379:K1381))</f>
        <v>22</v>
      </c>
      <c r="L1378" s="204">
        <f ca="1">IF($S$1&lt;DATE(2025,7,1)," ",SUM(L1379:L1381))</f>
        <v>26</v>
      </c>
      <c r="M1378" s="204">
        <f ca="1">IF($S$1&lt;DATE(2025,8,1)," ",SUM(M1379:M1381))</f>
        <v>31</v>
      </c>
      <c r="N1378" s="204">
        <f ca="1">IF($S$1&lt;DATE(2025,9,1)," ",SUM(N1379:N1381))</f>
        <v>38</v>
      </c>
      <c r="O1378" s="204">
        <f ca="1">IF($S$1&lt;DATE(2025,10,1)," ",SUM(O1379:O1381))</f>
        <v>41</v>
      </c>
      <c r="P1378" s="204">
        <f ca="1">IF($S$1&lt;DATE(2025,11,1)," ",SUM(P1379:P1381))</f>
        <v>45</v>
      </c>
      <c r="Q1378" s="204">
        <f ca="1">IF($S$1&lt;DATE(2025,12,1)," ",SUM(Q1379:Q1381))</f>
        <v>51</v>
      </c>
    </row>
    <row r="1379" ht="24" customHeight="1" spans="1:17">
      <c r="A1379" s="99" t="s">
        <v>348</v>
      </c>
      <c r="B1379" s="99" t="s">
        <v>290</v>
      </c>
      <c r="C1379" s="99" t="s">
        <v>316</v>
      </c>
      <c r="D1379" s="48" t="s">
        <v>296</v>
      </c>
      <c r="E1379" s="48" t="s">
        <v>90</v>
      </c>
      <c r="F1379" s="205">
        <f ca="1" t="shared" ref="F1379:F1381" si="1262">IF($S$1&lt;DATE(2025,1,1)," ",F1281)</f>
        <v>1</v>
      </c>
      <c r="G1379" s="205">
        <f ca="1" t="shared" ref="G1379:G1381" si="1263">IF($S$1&lt;DATE(2025,2,1)," ",G1281+F1379)</f>
        <v>3</v>
      </c>
      <c r="H1379" s="205">
        <f ca="1" t="shared" ref="H1379:H1381" si="1264">IF($S$1&lt;DATE(2025,3,1)," ",H1281+G1379)</f>
        <v>3</v>
      </c>
      <c r="I1379" s="205">
        <f ca="1" t="shared" ref="I1379:I1381" si="1265">IF($S$1&lt;DATE(2025,4,1)," ",I1281+H1379)</f>
        <v>3</v>
      </c>
      <c r="J1379" s="205">
        <f ca="1" t="shared" ref="J1379:J1381" si="1266">IF($S$1&lt;DATE(2025,5,1)," ",J1281+I1379)</f>
        <v>4</v>
      </c>
      <c r="K1379" s="205">
        <f ca="1" t="shared" ref="K1379:K1381" si="1267">IF($S$1&lt;DATE(2025,6,1)," ",K1281+J1379)</f>
        <v>5</v>
      </c>
      <c r="L1379" s="205">
        <f ca="1" t="shared" ref="L1379:L1381" si="1268">IF($S$1&lt;DATE(2025,7,1)," ",L1281+K1379)</f>
        <v>6</v>
      </c>
      <c r="M1379" s="205">
        <f ca="1" t="shared" ref="M1379:M1381" si="1269">IF($S$1&lt;DATE(2025,8,1)," ",M1281+L1379)</f>
        <v>8</v>
      </c>
      <c r="N1379" s="205">
        <f ca="1" t="shared" ref="N1379:N1381" si="1270">IF($S$1&lt;DATE(2025,9,1)," ",N1281+M1379)</f>
        <v>10</v>
      </c>
      <c r="O1379" s="205">
        <f ca="1" t="shared" ref="O1379:O1381" si="1271">IF($S$1&lt;DATE(2025,10,1)," ",O1281+N1379)</f>
        <v>12</v>
      </c>
      <c r="P1379" s="205">
        <f ca="1" t="shared" ref="P1379:P1381" si="1272">IF($S$1&lt;DATE(2025,11,1)," ",P1281+O1379)</f>
        <v>13</v>
      </c>
      <c r="Q1379" s="205">
        <f ca="1" t="shared" ref="Q1379:Q1381" si="1273">IF($S$1&lt;DATE(2025,12,1)," ",Q1281+P1379)</f>
        <v>16</v>
      </c>
    </row>
    <row r="1380" ht="24" customHeight="1" spans="1:17">
      <c r="A1380" s="99" t="s">
        <v>348</v>
      </c>
      <c r="B1380" s="99" t="s">
        <v>290</v>
      </c>
      <c r="C1380" s="99" t="s">
        <v>316</v>
      </c>
      <c r="D1380" s="48" t="s">
        <v>296</v>
      </c>
      <c r="E1380" s="48" t="s">
        <v>82</v>
      </c>
      <c r="F1380" s="205">
        <f ca="1" t="shared" si="1262"/>
        <v>0</v>
      </c>
      <c r="G1380" s="205">
        <f ca="1" t="shared" si="1263"/>
        <v>0</v>
      </c>
      <c r="H1380" s="205">
        <f ca="1" t="shared" si="1264"/>
        <v>1</v>
      </c>
      <c r="I1380" s="205">
        <f ca="1" t="shared" si="1265"/>
        <v>4</v>
      </c>
      <c r="J1380" s="205">
        <f ca="1" t="shared" si="1266"/>
        <v>5</v>
      </c>
      <c r="K1380" s="205">
        <f ca="1" t="shared" si="1267"/>
        <v>7</v>
      </c>
      <c r="L1380" s="205">
        <f ca="1" t="shared" si="1268"/>
        <v>9</v>
      </c>
      <c r="M1380" s="205">
        <f ca="1" t="shared" si="1269"/>
        <v>9</v>
      </c>
      <c r="N1380" s="205">
        <f ca="1" t="shared" si="1270"/>
        <v>12</v>
      </c>
      <c r="O1380" s="205">
        <f ca="1" t="shared" si="1271"/>
        <v>12</v>
      </c>
      <c r="P1380" s="205">
        <f ca="1" t="shared" si="1272"/>
        <v>14</v>
      </c>
      <c r="Q1380" s="205">
        <f ca="1" t="shared" si="1273"/>
        <v>16</v>
      </c>
    </row>
    <row r="1381" ht="24" customHeight="1" spans="1:17">
      <c r="A1381" s="99" t="s">
        <v>348</v>
      </c>
      <c r="B1381" s="99" t="s">
        <v>290</v>
      </c>
      <c r="C1381" s="99" t="s">
        <v>316</v>
      </c>
      <c r="D1381" s="48" t="s">
        <v>296</v>
      </c>
      <c r="E1381" s="48" t="s">
        <v>86</v>
      </c>
      <c r="F1381" s="205">
        <f ca="1" t="shared" si="1262"/>
        <v>4</v>
      </c>
      <c r="G1381" s="205">
        <f ca="1" t="shared" si="1263"/>
        <v>5</v>
      </c>
      <c r="H1381" s="205">
        <f ca="1" t="shared" si="1264"/>
        <v>5</v>
      </c>
      <c r="I1381" s="205">
        <f ca="1" t="shared" si="1265"/>
        <v>6</v>
      </c>
      <c r="J1381" s="205">
        <f ca="1" t="shared" si="1266"/>
        <v>9</v>
      </c>
      <c r="K1381" s="205">
        <f ca="1" t="shared" si="1267"/>
        <v>10</v>
      </c>
      <c r="L1381" s="205">
        <f ca="1" t="shared" si="1268"/>
        <v>11</v>
      </c>
      <c r="M1381" s="205">
        <f ca="1" t="shared" si="1269"/>
        <v>14</v>
      </c>
      <c r="N1381" s="205">
        <f ca="1" t="shared" si="1270"/>
        <v>16</v>
      </c>
      <c r="O1381" s="205">
        <f ca="1" t="shared" si="1271"/>
        <v>17</v>
      </c>
      <c r="P1381" s="205">
        <f ca="1" t="shared" si="1272"/>
        <v>18</v>
      </c>
      <c r="Q1381" s="205">
        <f ca="1" t="shared" si="1273"/>
        <v>19</v>
      </c>
    </row>
    <row r="1382" ht="24" customHeight="1" spans="1:17">
      <c r="A1382" s="99" t="s">
        <v>348</v>
      </c>
      <c r="B1382" s="99" t="s">
        <v>290</v>
      </c>
      <c r="C1382" s="99" t="s">
        <v>316</v>
      </c>
      <c r="D1382" s="100" t="s">
        <v>292</v>
      </c>
      <c r="E1382" s="100" t="s">
        <v>319</v>
      </c>
      <c r="F1382" s="204">
        <f ca="1">IF($S$1&lt;DATE(2025,1,1)," ",SUM(F1383:F1386))</f>
        <v>1</v>
      </c>
      <c r="G1382" s="204">
        <f ca="1">IF($S$1&lt;DATE(2025,2,1)," ",SUM(G1383:G1386))</f>
        <v>4</v>
      </c>
      <c r="H1382" s="204">
        <f ca="1">IF($S$1&lt;DATE(2025,3,1)," ",SUM(H1383:H1386))</f>
        <v>5</v>
      </c>
      <c r="I1382" s="204">
        <f ca="1">IF($S$1&lt;DATE(2025,4,1)," ",SUM(I1383:I1386))</f>
        <v>9</v>
      </c>
      <c r="J1382" s="204">
        <f ca="1">IF($S$1&lt;DATE(2025,5,1)," ",SUM(J1383:J1386))</f>
        <v>11</v>
      </c>
      <c r="K1382" s="204">
        <f ca="1">IF($S$1&lt;DATE(2025,6,1)," ",SUM(K1383:K1386))</f>
        <v>16</v>
      </c>
      <c r="L1382" s="204">
        <f ca="1">IF($S$1&lt;DATE(2025,7,1)," ",SUM(L1383:L1386))</f>
        <v>20</v>
      </c>
      <c r="M1382" s="204">
        <f ca="1">IF($S$1&lt;DATE(2025,8,1)," ",SUM(M1383:M1386))</f>
        <v>25</v>
      </c>
      <c r="N1382" s="204">
        <f ca="1">IF($S$1&lt;DATE(2025,9,1)," ",SUM(N1383:N1386))</f>
        <v>30</v>
      </c>
      <c r="O1382" s="204">
        <f ca="1">IF($S$1&lt;DATE(2025,10,1)," ",SUM(O1383:O1386))</f>
        <v>33</v>
      </c>
      <c r="P1382" s="204">
        <f ca="1">IF($S$1&lt;DATE(2025,11,1)," ",SUM(P1383:P1386))</f>
        <v>35</v>
      </c>
      <c r="Q1382" s="204">
        <f ca="1">IF($S$1&lt;DATE(2025,12,1)," ",SUM(Q1383:Q1386))</f>
        <v>39</v>
      </c>
    </row>
    <row r="1383" ht="24" customHeight="1" spans="1:17">
      <c r="A1383" s="99" t="s">
        <v>348</v>
      </c>
      <c r="B1383" s="99" t="s">
        <v>290</v>
      </c>
      <c r="C1383" s="99" t="s">
        <v>316</v>
      </c>
      <c r="D1383" s="48" t="s">
        <v>298</v>
      </c>
      <c r="E1383" s="48" t="s">
        <v>97</v>
      </c>
      <c r="F1383" s="205">
        <f ca="1" t="shared" ref="F1383:F1386" si="1274">IF($S$1&lt;DATE(2025,1,1)," ",F1285)</f>
        <v>1</v>
      </c>
      <c r="G1383" s="205">
        <f ca="1" t="shared" ref="G1383:G1386" si="1275">IF($S$1&lt;DATE(2025,2,1)," ",G1285+F1383)</f>
        <v>4</v>
      </c>
      <c r="H1383" s="205">
        <f ca="1" t="shared" ref="H1383:H1386" si="1276">IF($S$1&lt;DATE(2025,3,1)," ",H1285+G1383)</f>
        <v>5</v>
      </c>
      <c r="I1383" s="205">
        <f ca="1" t="shared" ref="I1383:I1386" si="1277">IF($S$1&lt;DATE(2025,4,1)," ",I1285+H1383)</f>
        <v>8</v>
      </c>
      <c r="J1383" s="205">
        <f ca="1" t="shared" ref="J1383:J1386" si="1278">IF($S$1&lt;DATE(2025,5,1)," ",J1285+I1383)</f>
        <v>10</v>
      </c>
      <c r="K1383" s="205">
        <f ca="1" t="shared" ref="K1383:K1386" si="1279">IF($S$1&lt;DATE(2025,6,1)," ",K1285+J1383)</f>
        <v>13</v>
      </c>
      <c r="L1383" s="205">
        <f ca="1" t="shared" ref="L1383:L1386" si="1280">IF($S$1&lt;DATE(2025,7,1)," ",L1285+K1383)</f>
        <v>14</v>
      </c>
      <c r="M1383" s="205">
        <f ca="1" t="shared" ref="M1383:M1386" si="1281">IF($S$1&lt;DATE(2025,8,1)," ",M1285+L1383)</f>
        <v>17</v>
      </c>
      <c r="N1383" s="205">
        <f ca="1" t="shared" ref="N1383:N1386" si="1282">IF($S$1&lt;DATE(2025,9,1)," ",N1285+M1383)</f>
        <v>18</v>
      </c>
      <c r="O1383" s="205">
        <f ca="1" t="shared" ref="O1383:O1386" si="1283">IF($S$1&lt;DATE(2025,10,1)," ",O1285+N1383)</f>
        <v>19</v>
      </c>
      <c r="P1383" s="205">
        <f ca="1" t="shared" ref="P1383:P1386" si="1284">IF($S$1&lt;DATE(2025,11,1)," ",P1285+O1383)</f>
        <v>21</v>
      </c>
      <c r="Q1383" s="205">
        <f ca="1" t="shared" ref="Q1383:Q1386" si="1285">IF($S$1&lt;DATE(2025,12,1)," ",Q1285+P1383)</f>
        <v>22</v>
      </c>
    </row>
    <row r="1384" ht="24" customHeight="1" spans="1:17">
      <c r="A1384" s="99" t="s">
        <v>348</v>
      </c>
      <c r="B1384" s="99" t="s">
        <v>290</v>
      </c>
      <c r="C1384" s="99" t="s">
        <v>316</v>
      </c>
      <c r="D1384" s="48" t="s">
        <v>298</v>
      </c>
      <c r="E1384" s="48" t="s">
        <v>87</v>
      </c>
      <c r="F1384" s="205">
        <f ca="1" t="shared" si="1274"/>
        <v>0</v>
      </c>
      <c r="G1384" s="205">
        <f ca="1" t="shared" si="1275"/>
        <v>0</v>
      </c>
      <c r="H1384" s="205">
        <f ca="1" t="shared" si="1276"/>
        <v>0</v>
      </c>
      <c r="I1384" s="205">
        <f ca="1" t="shared" si="1277"/>
        <v>1</v>
      </c>
      <c r="J1384" s="205">
        <f ca="1" t="shared" si="1278"/>
        <v>1</v>
      </c>
      <c r="K1384" s="205">
        <f ca="1" t="shared" si="1279"/>
        <v>2</v>
      </c>
      <c r="L1384" s="205">
        <f ca="1" t="shared" si="1280"/>
        <v>3</v>
      </c>
      <c r="M1384" s="205">
        <f ca="1" t="shared" si="1281"/>
        <v>4</v>
      </c>
      <c r="N1384" s="205">
        <f ca="1" t="shared" si="1282"/>
        <v>7</v>
      </c>
      <c r="O1384" s="205">
        <f ca="1" t="shared" si="1283"/>
        <v>9</v>
      </c>
      <c r="P1384" s="205">
        <f ca="1" t="shared" si="1284"/>
        <v>9</v>
      </c>
      <c r="Q1384" s="205">
        <f ca="1" t="shared" si="1285"/>
        <v>11</v>
      </c>
    </row>
    <row r="1385" ht="24" customHeight="1" spans="1:17">
      <c r="A1385" s="99" t="s">
        <v>348</v>
      </c>
      <c r="B1385" s="99" t="s">
        <v>290</v>
      </c>
      <c r="C1385" s="99" t="s">
        <v>316</v>
      </c>
      <c r="D1385" s="48" t="s">
        <v>298</v>
      </c>
      <c r="E1385" s="48" t="s">
        <v>149</v>
      </c>
      <c r="F1385" s="205">
        <f ca="1" t="shared" si="1274"/>
        <v>0</v>
      </c>
      <c r="G1385" s="205">
        <f ca="1" t="shared" si="1275"/>
        <v>0</v>
      </c>
      <c r="H1385" s="205">
        <f ca="1" t="shared" si="1276"/>
        <v>0</v>
      </c>
      <c r="I1385" s="205">
        <f ca="1" t="shared" si="1277"/>
        <v>0</v>
      </c>
      <c r="J1385" s="205">
        <f ca="1" t="shared" si="1278"/>
        <v>0</v>
      </c>
      <c r="K1385" s="205">
        <f ca="1" t="shared" si="1279"/>
        <v>0</v>
      </c>
      <c r="L1385" s="205">
        <f ca="1" t="shared" si="1280"/>
        <v>0</v>
      </c>
      <c r="M1385" s="205">
        <f ca="1" t="shared" si="1281"/>
        <v>0</v>
      </c>
      <c r="N1385" s="205">
        <f ca="1" t="shared" si="1282"/>
        <v>0</v>
      </c>
      <c r="O1385" s="205">
        <f ca="1" t="shared" si="1283"/>
        <v>0</v>
      </c>
      <c r="P1385" s="205">
        <f ca="1" t="shared" si="1284"/>
        <v>0</v>
      </c>
      <c r="Q1385" s="205">
        <f ca="1" t="shared" si="1285"/>
        <v>0</v>
      </c>
    </row>
    <row r="1386" ht="24" customHeight="1" spans="1:17">
      <c r="A1386" s="99" t="s">
        <v>348</v>
      </c>
      <c r="B1386" s="99" t="s">
        <v>290</v>
      </c>
      <c r="C1386" s="99" t="s">
        <v>316</v>
      </c>
      <c r="D1386" s="48" t="s">
        <v>298</v>
      </c>
      <c r="E1386" s="48" t="s">
        <v>83</v>
      </c>
      <c r="F1386" s="205">
        <f ca="1" t="shared" si="1274"/>
        <v>0</v>
      </c>
      <c r="G1386" s="205">
        <f ca="1" t="shared" si="1275"/>
        <v>0</v>
      </c>
      <c r="H1386" s="205">
        <f ca="1" t="shared" si="1276"/>
        <v>0</v>
      </c>
      <c r="I1386" s="205">
        <f ca="1" t="shared" si="1277"/>
        <v>0</v>
      </c>
      <c r="J1386" s="205">
        <f ca="1" t="shared" si="1278"/>
        <v>0</v>
      </c>
      <c r="K1386" s="205">
        <f ca="1" t="shared" si="1279"/>
        <v>1</v>
      </c>
      <c r="L1386" s="205">
        <f ca="1" t="shared" si="1280"/>
        <v>3</v>
      </c>
      <c r="M1386" s="205">
        <f ca="1" t="shared" si="1281"/>
        <v>4</v>
      </c>
      <c r="N1386" s="205">
        <f ca="1" t="shared" si="1282"/>
        <v>5</v>
      </c>
      <c r="O1386" s="205">
        <f ca="1" t="shared" si="1283"/>
        <v>5</v>
      </c>
      <c r="P1386" s="205">
        <f ca="1" t="shared" si="1284"/>
        <v>5</v>
      </c>
      <c r="Q1386" s="205">
        <f ca="1" t="shared" si="1285"/>
        <v>6</v>
      </c>
    </row>
    <row r="1387" ht="24" customHeight="1" spans="1:17">
      <c r="A1387" s="99" t="s">
        <v>348</v>
      </c>
      <c r="B1387" s="99" t="s">
        <v>299</v>
      </c>
      <c r="C1387" s="99" t="s">
        <v>316</v>
      </c>
      <c r="D1387" s="100" t="s">
        <v>292</v>
      </c>
      <c r="E1387" s="100" t="s">
        <v>320</v>
      </c>
      <c r="F1387" s="204">
        <f ca="1">IF($S$1&lt;DATE(2025,1,1)," ",IF((SUM(F1388:F1394)-MAX(F1407,F1414))&lt;0,"ERR",SUM(F1388:F1394)))</f>
        <v>5</v>
      </c>
      <c r="G1387" s="204">
        <f ca="1">IF($S$1&lt;DATE(2025,2,1)," ",IF((SUM(G1388:G1394)-MAX(G1407,G1414))&lt;0,"ERR",SUM(G1388:G1394)))</f>
        <v>7</v>
      </c>
      <c r="H1387" s="204">
        <f ca="1">IF($S$1&lt;DATE(2025,3,1)," ",IF((SUM(H1388:H1394)-MAX(H1407,H1414))&lt;0,"ERR",SUM(H1388:H1394)))</f>
        <v>9</v>
      </c>
      <c r="I1387" s="204">
        <f ca="1">IF($S$1&lt;DATE(2025,4,1)," ",IF((SUM(I1388:I1394)-MAX(I1407,I1414))&lt;0,"ERR",SUM(I1388:I1394)))</f>
        <v>11</v>
      </c>
      <c r="J1387" s="204">
        <f ca="1">IF($S$1&lt;DATE(2025,5,1)," ",IF((SUM(J1388:J1394)-MAX(J1407,J1414))&lt;0,"ERR",SUM(J1388:J1394)))</f>
        <v>16</v>
      </c>
      <c r="K1387" s="204">
        <f ca="1">IF($S$1&lt;DATE(2025,6,1)," ",IF((SUM(K1388:K1394)-MAX(K1407,K1414))&lt;0,"ERR",SUM(K1388:K1394)))</f>
        <v>21</v>
      </c>
      <c r="L1387" s="204">
        <f ca="1">IF($S$1&lt;DATE(2025,7,1)," ",IF((SUM(L1388:L1394)-MAX(L1407,L1414))&lt;0,"ERR",SUM(L1388:L1394)))</f>
        <v>24</v>
      </c>
      <c r="M1387" s="204">
        <f ca="1">IF($S$1&lt;DATE(2025,8,1)," ",IF((SUM(M1388:M1394)-MAX(M1407,M1414))&lt;0,"ERR",SUM(M1388:M1394)))</f>
        <v>32</v>
      </c>
      <c r="N1387" s="204">
        <f ca="1">IF($S$1&lt;DATE(2025,9,1)," ",IF((SUM(N1388:N1394)-MAX(N1407,N1414))&lt;0,"ERR",SUM(N1388:N1394)))</f>
        <v>37</v>
      </c>
      <c r="O1387" s="204">
        <f ca="1">IF($S$1&lt;DATE(2025,10,1)," ",IF((SUM(O1388:O1394)-MAX(O1407,O1414))&lt;0,"ERR",SUM(O1388:O1394)))</f>
        <v>42</v>
      </c>
      <c r="P1387" s="204">
        <f ca="1">IF($S$1&lt;DATE(2025,11,1)," ",IF((SUM(P1388:P1394)-MAX(P1407,P1414))&lt;0,"ERR",SUM(P1388:P1394)))</f>
        <v>43</v>
      </c>
      <c r="Q1387" s="204">
        <f ca="1">IF($S$1&lt;DATE(2025,12,1)," ",IF((SUM(Q1388:Q1394)-MAX(Q1407,Q1414))&lt;0,"ERR",SUM(Q1388:Q1394)))</f>
        <v>48</v>
      </c>
    </row>
    <row r="1388" ht="24" customHeight="1" spans="1:17">
      <c r="A1388" s="99" t="s">
        <v>348</v>
      </c>
      <c r="B1388" s="99" t="s">
        <v>299</v>
      </c>
      <c r="C1388" s="99" t="s">
        <v>316</v>
      </c>
      <c r="D1388" s="48" t="s">
        <v>31</v>
      </c>
      <c r="E1388" s="48" t="s">
        <v>90</v>
      </c>
      <c r="F1388" s="205">
        <f ca="1" t="shared" ref="F1388:F1394" si="1286">IF($S$1&lt;DATE(2025,1,1)," ",F1290)</f>
        <v>1</v>
      </c>
      <c r="G1388" s="205">
        <f ca="1" t="shared" ref="G1388:G1394" si="1287">IF($S$1&lt;DATE(2025,2,1)," ",G1290+F1388)</f>
        <v>2</v>
      </c>
      <c r="H1388" s="205">
        <f ca="1" t="shared" ref="H1388:H1394" si="1288">IF($S$1&lt;DATE(2025,3,1)," ",H1290+G1388)</f>
        <v>3</v>
      </c>
      <c r="I1388" s="205">
        <f ca="1" t="shared" ref="I1388:I1394" si="1289">IF($S$1&lt;DATE(2025,4,1)," ",I1290+H1388)</f>
        <v>3</v>
      </c>
      <c r="J1388" s="205">
        <f ca="1" t="shared" ref="J1388:J1394" si="1290">IF($S$1&lt;DATE(2025,5,1)," ",J1290+I1388)</f>
        <v>3</v>
      </c>
      <c r="K1388" s="205">
        <f ca="1" t="shared" ref="K1388:K1394" si="1291">IF($S$1&lt;DATE(2025,6,1)," ",K1290+J1388)</f>
        <v>4</v>
      </c>
      <c r="L1388" s="205">
        <f ca="1" t="shared" ref="L1388:L1394" si="1292">IF($S$1&lt;DATE(2025,7,1)," ",L1290+K1388)</f>
        <v>5</v>
      </c>
      <c r="M1388" s="205">
        <f ca="1" t="shared" ref="M1388:M1394" si="1293">IF($S$1&lt;DATE(2025,8,1)," ",M1290+L1388)</f>
        <v>6</v>
      </c>
      <c r="N1388" s="205">
        <f ca="1" t="shared" ref="N1388:N1394" si="1294">IF($S$1&lt;DATE(2025,9,1)," ",N1290+M1388)</f>
        <v>7</v>
      </c>
      <c r="O1388" s="205">
        <f ca="1" t="shared" ref="O1388:O1394" si="1295">IF($S$1&lt;DATE(2025,10,1)," ",O1290+N1388)</f>
        <v>10</v>
      </c>
      <c r="P1388" s="205">
        <f ca="1" t="shared" ref="P1388:P1394" si="1296">IF($S$1&lt;DATE(2025,11,1)," ",P1290+O1388)</f>
        <v>10</v>
      </c>
      <c r="Q1388" s="205">
        <f ca="1" t="shared" ref="Q1388:Q1394" si="1297">IF($S$1&lt;DATE(2025,12,1)," ",Q1290+P1388)</f>
        <v>12</v>
      </c>
    </row>
    <row r="1389" ht="24" customHeight="1" spans="1:17">
      <c r="A1389" s="99" t="s">
        <v>348</v>
      </c>
      <c r="B1389" s="99" t="s">
        <v>299</v>
      </c>
      <c r="C1389" s="99" t="s">
        <v>316</v>
      </c>
      <c r="D1389" s="48" t="s">
        <v>31</v>
      </c>
      <c r="E1389" s="48" t="s">
        <v>82</v>
      </c>
      <c r="F1389" s="205">
        <f ca="1" t="shared" si="1286"/>
        <v>0</v>
      </c>
      <c r="G1389" s="205">
        <f ca="1" t="shared" si="1287"/>
        <v>0</v>
      </c>
      <c r="H1389" s="205">
        <f ca="1" t="shared" si="1288"/>
        <v>1</v>
      </c>
      <c r="I1389" s="205">
        <f ca="1" t="shared" si="1289"/>
        <v>1</v>
      </c>
      <c r="J1389" s="205">
        <f ca="1" t="shared" si="1290"/>
        <v>2</v>
      </c>
      <c r="K1389" s="205">
        <f ca="1" t="shared" si="1291"/>
        <v>3</v>
      </c>
      <c r="L1389" s="205">
        <f ca="1" t="shared" si="1292"/>
        <v>4</v>
      </c>
      <c r="M1389" s="205">
        <f ca="1" t="shared" si="1293"/>
        <v>6</v>
      </c>
      <c r="N1389" s="205">
        <f ca="1" t="shared" si="1294"/>
        <v>7</v>
      </c>
      <c r="O1389" s="205">
        <f ca="1" t="shared" si="1295"/>
        <v>9</v>
      </c>
      <c r="P1389" s="205">
        <f ca="1" t="shared" si="1296"/>
        <v>9</v>
      </c>
      <c r="Q1389" s="205">
        <f ca="1" t="shared" si="1297"/>
        <v>10</v>
      </c>
    </row>
    <row r="1390" ht="24" customHeight="1" spans="1:17">
      <c r="A1390" s="99" t="s">
        <v>348</v>
      </c>
      <c r="B1390" s="99" t="s">
        <v>299</v>
      </c>
      <c r="C1390" s="99" t="s">
        <v>316</v>
      </c>
      <c r="D1390" s="48" t="s">
        <v>31</v>
      </c>
      <c r="E1390" s="48" t="s">
        <v>86</v>
      </c>
      <c r="F1390" s="205">
        <f ca="1" t="shared" si="1286"/>
        <v>4</v>
      </c>
      <c r="G1390" s="205">
        <f ca="1" t="shared" si="1287"/>
        <v>5</v>
      </c>
      <c r="H1390" s="205">
        <f ca="1" t="shared" si="1288"/>
        <v>5</v>
      </c>
      <c r="I1390" s="205">
        <f ca="1" t="shared" si="1289"/>
        <v>5</v>
      </c>
      <c r="J1390" s="205">
        <f ca="1" t="shared" si="1290"/>
        <v>8</v>
      </c>
      <c r="K1390" s="205">
        <f ca="1" t="shared" si="1291"/>
        <v>10</v>
      </c>
      <c r="L1390" s="205">
        <f ca="1" t="shared" si="1292"/>
        <v>10</v>
      </c>
      <c r="M1390" s="205">
        <f ca="1" t="shared" si="1293"/>
        <v>13</v>
      </c>
      <c r="N1390" s="205">
        <f ca="1" t="shared" si="1294"/>
        <v>15</v>
      </c>
      <c r="O1390" s="205">
        <f ca="1" t="shared" si="1295"/>
        <v>15</v>
      </c>
      <c r="P1390" s="205">
        <f ca="1" t="shared" si="1296"/>
        <v>16</v>
      </c>
      <c r="Q1390" s="205">
        <f ca="1" t="shared" si="1297"/>
        <v>17</v>
      </c>
    </row>
    <row r="1391" ht="24" customHeight="1" spans="1:17">
      <c r="A1391" s="99" t="s">
        <v>348</v>
      </c>
      <c r="B1391" s="99" t="s">
        <v>299</v>
      </c>
      <c r="C1391" s="99" t="s">
        <v>316</v>
      </c>
      <c r="D1391" s="48" t="s">
        <v>31</v>
      </c>
      <c r="E1391" s="48" t="s">
        <v>97</v>
      </c>
      <c r="F1391" s="205">
        <f ca="1" t="shared" si="1286"/>
        <v>0</v>
      </c>
      <c r="G1391" s="205">
        <f ca="1" t="shared" si="1287"/>
        <v>0</v>
      </c>
      <c r="H1391" s="205">
        <f ca="1" t="shared" si="1288"/>
        <v>0</v>
      </c>
      <c r="I1391" s="205">
        <f ca="1" t="shared" si="1289"/>
        <v>2</v>
      </c>
      <c r="J1391" s="205">
        <f ca="1" t="shared" si="1290"/>
        <v>3</v>
      </c>
      <c r="K1391" s="205">
        <f ca="1" t="shared" si="1291"/>
        <v>4</v>
      </c>
      <c r="L1391" s="205">
        <f ca="1" t="shared" si="1292"/>
        <v>4</v>
      </c>
      <c r="M1391" s="205">
        <f ca="1" t="shared" si="1293"/>
        <v>4</v>
      </c>
      <c r="N1391" s="205">
        <f ca="1" t="shared" si="1294"/>
        <v>5</v>
      </c>
      <c r="O1391" s="205">
        <f ca="1" t="shared" si="1295"/>
        <v>5</v>
      </c>
      <c r="P1391" s="205">
        <f ca="1" t="shared" si="1296"/>
        <v>5</v>
      </c>
      <c r="Q1391" s="205">
        <f ca="1" t="shared" si="1297"/>
        <v>6</v>
      </c>
    </row>
    <row r="1392" ht="24" customHeight="1" spans="1:17">
      <c r="A1392" s="99" t="s">
        <v>348</v>
      </c>
      <c r="B1392" s="99" t="s">
        <v>299</v>
      </c>
      <c r="C1392" s="99" t="s">
        <v>316</v>
      </c>
      <c r="D1392" s="48" t="s">
        <v>31</v>
      </c>
      <c r="E1392" s="48" t="s">
        <v>87</v>
      </c>
      <c r="F1392" s="205">
        <f ca="1" t="shared" si="1286"/>
        <v>0</v>
      </c>
      <c r="G1392" s="205">
        <f ca="1" t="shared" si="1287"/>
        <v>0</v>
      </c>
      <c r="H1392" s="205">
        <f ca="1" t="shared" si="1288"/>
        <v>0</v>
      </c>
      <c r="I1392" s="205">
        <f ca="1" t="shared" si="1289"/>
        <v>0</v>
      </c>
      <c r="J1392" s="205">
        <f ca="1" t="shared" si="1290"/>
        <v>0</v>
      </c>
      <c r="K1392" s="205">
        <f ca="1" t="shared" si="1291"/>
        <v>0</v>
      </c>
      <c r="L1392" s="205">
        <f ca="1" t="shared" si="1292"/>
        <v>1</v>
      </c>
      <c r="M1392" s="205">
        <f ca="1" t="shared" si="1293"/>
        <v>1</v>
      </c>
      <c r="N1392" s="205">
        <f ca="1" t="shared" si="1294"/>
        <v>1</v>
      </c>
      <c r="O1392" s="205">
        <f ca="1" t="shared" si="1295"/>
        <v>1</v>
      </c>
      <c r="P1392" s="205">
        <f ca="1" t="shared" si="1296"/>
        <v>1</v>
      </c>
      <c r="Q1392" s="205">
        <f ca="1" t="shared" si="1297"/>
        <v>1</v>
      </c>
    </row>
    <row r="1393" ht="24" customHeight="1" spans="1:17">
      <c r="A1393" s="99" t="s">
        <v>348</v>
      </c>
      <c r="B1393" s="99" t="s">
        <v>299</v>
      </c>
      <c r="C1393" s="99" t="s">
        <v>316</v>
      </c>
      <c r="D1393" s="48" t="s">
        <v>31</v>
      </c>
      <c r="E1393" s="48" t="s">
        <v>149</v>
      </c>
      <c r="F1393" s="205">
        <f ca="1" t="shared" si="1286"/>
        <v>0</v>
      </c>
      <c r="G1393" s="205">
        <f ca="1" t="shared" si="1287"/>
        <v>0</v>
      </c>
      <c r="H1393" s="205">
        <f ca="1" t="shared" si="1288"/>
        <v>0</v>
      </c>
      <c r="I1393" s="205">
        <f ca="1" t="shared" si="1289"/>
        <v>0</v>
      </c>
      <c r="J1393" s="205">
        <f ca="1" t="shared" si="1290"/>
        <v>0</v>
      </c>
      <c r="K1393" s="205">
        <f ca="1" t="shared" si="1291"/>
        <v>0</v>
      </c>
      <c r="L1393" s="205">
        <f ca="1" t="shared" si="1292"/>
        <v>0</v>
      </c>
      <c r="M1393" s="205">
        <f ca="1" t="shared" si="1293"/>
        <v>0</v>
      </c>
      <c r="N1393" s="205">
        <f ca="1" t="shared" si="1294"/>
        <v>0</v>
      </c>
      <c r="O1393" s="205">
        <f ca="1" t="shared" si="1295"/>
        <v>0</v>
      </c>
      <c r="P1393" s="205">
        <f ca="1" t="shared" si="1296"/>
        <v>0</v>
      </c>
      <c r="Q1393" s="205">
        <f ca="1" t="shared" si="1297"/>
        <v>0</v>
      </c>
    </row>
    <row r="1394" ht="24" customHeight="1" spans="1:17">
      <c r="A1394" s="99" t="s">
        <v>348</v>
      </c>
      <c r="B1394" s="99" t="s">
        <v>299</v>
      </c>
      <c r="C1394" s="99" t="s">
        <v>316</v>
      </c>
      <c r="D1394" s="48" t="s">
        <v>31</v>
      </c>
      <c r="E1394" s="48" t="s">
        <v>83</v>
      </c>
      <c r="F1394" s="205">
        <f ca="1" t="shared" si="1286"/>
        <v>0</v>
      </c>
      <c r="G1394" s="205">
        <f ca="1" t="shared" si="1287"/>
        <v>0</v>
      </c>
      <c r="H1394" s="205">
        <f ca="1" t="shared" si="1288"/>
        <v>0</v>
      </c>
      <c r="I1394" s="205">
        <f ca="1" t="shared" si="1289"/>
        <v>0</v>
      </c>
      <c r="J1394" s="205">
        <f ca="1" t="shared" si="1290"/>
        <v>0</v>
      </c>
      <c r="K1394" s="205">
        <f ca="1" t="shared" si="1291"/>
        <v>0</v>
      </c>
      <c r="L1394" s="205">
        <f ca="1" t="shared" si="1292"/>
        <v>0</v>
      </c>
      <c r="M1394" s="205">
        <f ca="1" t="shared" si="1293"/>
        <v>2</v>
      </c>
      <c r="N1394" s="205">
        <f ca="1" t="shared" si="1294"/>
        <v>2</v>
      </c>
      <c r="O1394" s="205">
        <f ca="1" t="shared" si="1295"/>
        <v>2</v>
      </c>
      <c r="P1394" s="205">
        <f ca="1" t="shared" si="1296"/>
        <v>2</v>
      </c>
      <c r="Q1394" s="205">
        <f ca="1" t="shared" si="1297"/>
        <v>2</v>
      </c>
    </row>
    <row r="1395" ht="24" customHeight="1" spans="1:17">
      <c r="A1395" s="99" t="s">
        <v>348</v>
      </c>
      <c r="B1395" s="99" t="s">
        <v>299</v>
      </c>
      <c r="C1395" s="99" t="s">
        <v>316</v>
      </c>
      <c r="D1395" s="48" t="s">
        <v>321</v>
      </c>
      <c r="E1395" s="48" t="s">
        <v>90</v>
      </c>
      <c r="F1395" s="112">
        <f ca="1" t="shared" ref="F1395:Q1395" si="1298">IFERROR(F1388/F1387," ")</f>
        <v>0.2</v>
      </c>
      <c r="G1395" s="112">
        <f ca="1" t="shared" si="1298"/>
        <v>0.285714285714286</v>
      </c>
      <c r="H1395" s="112">
        <f ca="1" t="shared" si="1298"/>
        <v>0.333333333333333</v>
      </c>
      <c r="I1395" s="112">
        <f ca="1" t="shared" si="1298"/>
        <v>0.272727272727273</v>
      </c>
      <c r="J1395" s="112">
        <f ca="1" t="shared" si="1298"/>
        <v>0.1875</v>
      </c>
      <c r="K1395" s="112">
        <f ca="1" t="shared" si="1298"/>
        <v>0.19047619047619</v>
      </c>
      <c r="L1395" s="112">
        <f ca="1" t="shared" si="1298"/>
        <v>0.208333333333333</v>
      </c>
      <c r="M1395" s="112">
        <f ca="1" t="shared" si="1298"/>
        <v>0.1875</v>
      </c>
      <c r="N1395" s="112">
        <f ca="1" t="shared" si="1298"/>
        <v>0.189189189189189</v>
      </c>
      <c r="O1395" s="112">
        <f ca="1" t="shared" si="1298"/>
        <v>0.238095238095238</v>
      </c>
      <c r="P1395" s="112">
        <f ca="1" t="shared" si="1298"/>
        <v>0.232558139534884</v>
      </c>
      <c r="Q1395" s="112">
        <f ca="1" t="shared" si="1298"/>
        <v>0.25</v>
      </c>
    </row>
    <row r="1396" ht="24" customHeight="1" spans="1:17">
      <c r="A1396" s="99" t="s">
        <v>348</v>
      </c>
      <c r="B1396" s="99" t="s">
        <v>299</v>
      </c>
      <c r="C1396" s="99" t="s">
        <v>316</v>
      </c>
      <c r="D1396" s="48" t="s">
        <v>321</v>
      </c>
      <c r="E1396" s="48" t="s">
        <v>82</v>
      </c>
      <c r="F1396" s="112">
        <f ca="1" t="shared" ref="F1396:Q1396" si="1299">IFERROR(F1389/F1387," ")</f>
        <v>0</v>
      </c>
      <c r="G1396" s="112">
        <f ca="1" t="shared" si="1299"/>
        <v>0</v>
      </c>
      <c r="H1396" s="112">
        <f ca="1" t="shared" si="1299"/>
        <v>0.111111111111111</v>
      </c>
      <c r="I1396" s="112">
        <f ca="1" t="shared" si="1299"/>
        <v>0.0909090909090909</v>
      </c>
      <c r="J1396" s="112">
        <f ca="1" t="shared" si="1299"/>
        <v>0.125</v>
      </c>
      <c r="K1396" s="112">
        <f ca="1" t="shared" si="1299"/>
        <v>0.142857142857143</v>
      </c>
      <c r="L1396" s="112">
        <f ca="1" t="shared" si="1299"/>
        <v>0.166666666666667</v>
      </c>
      <c r="M1396" s="112">
        <f ca="1" t="shared" si="1299"/>
        <v>0.1875</v>
      </c>
      <c r="N1396" s="112">
        <f ca="1" t="shared" si="1299"/>
        <v>0.189189189189189</v>
      </c>
      <c r="O1396" s="112">
        <f ca="1" t="shared" si="1299"/>
        <v>0.214285714285714</v>
      </c>
      <c r="P1396" s="112">
        <f ca="1" t="shared" si="1299"/>
        <v>0.209302325581395</v>
      </c>
      <c r="Q1396" s="112">
        <f ca="1" t="shared" si="1299"/>
        <v>0.208333333333333</v>
      </c>
    </row>
    <row r="1397" ht="24" customHeight="1" spans="1:17">
      <c r="A1397" s="99" t="s">
        <v>348</v>
      </c>
      <c r="B1397" s="99" t="s">
        <v>299</v>
      </c>
      <c r="C1397" s="99" t="s">
        <v>316</v>
      </c>
      <c r="D1397" s="48" t="s">
        <v>321</v>
      </c>
      <c r="E1397" s="48" t="s">
        <v>86</v>
      </c>
      <c r="F1397" s="112">
        <f ca="1" t="shared" ref="F1397:Q1397" si="1300">IFERROR(F1390/F1387," ")</f>
        <v>0.8</v>
      </c>
      <c r="G1397" s="112">
        <f ca="1" t="shared" si="1300"/>
        <v>0.714285714285714</v>
      </c>
      <c r="H1397" s="112">
        <f ca="1" t="shared" si="1300"/>
        <v>0.555555555555556</v>
      </c>
      <c r="I1397" s="112">
        <f ca="1" t="shared" si="1300"/>
        <v>0.454545454545455</v>
      </c>
      <c r="J1397" s="112">
        <f ca="1" t="shared" si="1300"/>
        <v>0.5</v>
      </c>
      <c r="K1397" s="112">
        <f ca="1" t="shared" si="1300"/>
        <v>0.476190476190476</v>
      </c>
      <c r="L1397" s="112">
        <f ca="1" t="shared" si="1300"/>
        <v>0.416666666666667</v>
      </c>
      <c r="M1397" s="112">
        <f ca="1" t="shared" si="1300"/>
        <v>0.40625</v>
      </c>
      <c r="N1397" s="112">
        <f ca="1" t="shared" si="1300"/>
        <v>0.405405405405405</v>
      </c>
      <c r="O1397" s="112">
        <f ca="1" t="shared" si="1300"/>
        <v>0.357142857142857</v>
      </c>
      <c r="P1397" s="112">
        <f ca="1" t="shared" si="1300"/>
        <v>0.372093023255814</v>
      </c>
      <c r="Q1397" s="112">
        <f ca="1" t="shared" si="1300"/>
        <v>0.354166666666667</v>
      </c>
    </row>
    <row r="1398" ht="24" customHeight="1" spans="1:17">
      <c r="A1398" s="99" t="s">
        <v>348</v>
      </c>
      <c r="B1398" s="99" t="s">
        <v>299</v>
      </c>
      <c r="C1398" s="99" t="s">
        <v>316</v>
      </c>
      <c r="D1398" s="48" t="s">
        <v>321</v>
      </c>
      <c r="E1398" s="48" t="s">
        <v>97</v>
      </c>
      <c r="F1398" s="112">
        <f ca="1" t="shared" ref="F1398:Q1398" si="1301">IFERROR(F1391/F1387," ")</f>
        <v>0</v>
      </c>
      <c r="G1398" s="112">
        <f ca="1" t="shared" si="1301"/>
        <v>0</v>
      </c>
      <c r="H1398" s="112">
        <f ca="1" t="shared" si="1301"/>
        <v>0</v>
      </c>
      <c r="I1398" s="112">
        <f ca="1" t="shared" si="1301"/>
        <v>0.181818181818182</v>
      </c>
      <c r="J1398" s="112">
        <f ca="1" t="shared" si="1301"/>
        <v>0.1875</v>
      </c>
      <c r="K1398" s="112">
        <f ca="1" t="shared" si="1301"/>
        <v>0.19047619047619</v>
      </c>
      <c r="L1398" s="112">
        <f ca="1" t="shared" si="1301"/>
        <v>0.166666666666667</v>
      </c>
      <c r="M1398" s="112">
        <f ca="1" t="shared" si="1301"/>
        <v>0.125</v>
      </c>
      <c r="N1398" s="112">
        <f ca="1" t="shared" si="1301"/>
        <v>0.135135135135135</v>
      </c>
      <c r="O1398" s="112">
        <f ca="1" t="shared" si="1301"/>
        <v>0.119047619047619</v>
      </c>
      <c r="P1398" s="112">
        <f ca="1" t="shared" si="1301"/>
        <v>0.116279069767442</v>
      </c>
      <c r="Q1398" s="112">
        <f ca="1" t="shared" si="1301"/>
        <v>0.125</v>
      </c>
    </row>
    <row r="1399" ht="24" customHeight="1" spans="1:17">
      <c r="A1399" s="99" t="s">
        <v>348</v>
      </c>
      <c r="B1399" s="99" t="s">
        <v>299</v>
      </c>
      <c r="C1399" s="99" t="s">
        <v>316</v>
      </c>
      <c r="D1399" s="48" t="s">
        <v>321</v>
      </c>
      <c r="E1399" s="48" t="s">
        <v>87</v>
      </c>
      <c r="F1399" s="112">
        <f ca="1" t="shared" ref="F1399:Q1399" si="1302">IFERROR(F1392/F1387," ")</f>
        <v>0</v>
      </c>
      <c r="G1399" s="112">
        <f ca="1" t="shared" si="1302"/>
        <v>0</v>
      </c>
      <c r="H1399" s="112">
        <f ca="1" t="shared" si="1302"/>
        <v>0</v>
      </c>
      <c r="I1399" s="112">
        <f ca="1" t="shared" si="1302"/>
        <v>0</v>
      </c>
      <c r="J1399" s="112">
        <f ca="1" t="shared" si="1302"/>
        <v>0</v>
      </c>
      <c r="K1399" s="112">
        <f ca="1" t="shared" si="1302"/>
        <v>0</v>
      </c>
      <c r="L1399" s="112">
        <f ca="1" t="shared" si="1302"/>
        <v>0.0416666666666667</v>
      </c>
      <c r="M1399" s="112">
        <f ca="1" t="shared" si="1302"/>
        <v>0.03125</v>
      </c>
      <c r="N1399" s="112">
        <f ca="1" t="shared" si="1302"/>
        <v>0.027027027027027</v>
      </c>
      <c r="O1399" s="112">
        <f ca="1" t="shared" si="1302"/>
        <v>0.0238095238095238</v>
      </c>
      <c r="P1399" s="112">
        <f ca="1" t="shared" si="1302"/>
        <v>0.0232558139534884</v>
      </c>
      <c r="Q1399" s="112">
        <f ca="1" t="shared" si="1302"/>
        <v>0.0208333333333333</v>
      </c>
    </row>
    <row r="1400" ht="24" customHeight="1" spans="1:17">
      <c r="A1400" s="99" t="s">
        <v>348</v>
      </c>
      <c r="B1400" s="99" t="s">
        <v>299</v>
      </c>
      <c r="C1400" s="99" t="s">
        <v>316</v>
      </c>
      <c r="D1400" s="48" t="s">
        <v>321</v>
      </c>
      <c r="E1400" s="48" t="s">
        <v>149</v>
      </c>
      <c r="F1400" s="112">
        <f ca="1" t="shared" ref="F1400:Q1400" si="1303">IFERROR(F1393/F1387," ")</f>
        <v>0</v>
      </c>
      <c r="G1400" s="112">
        <f ca="1" t="shared" si="1303"/>
        <v>0</v>
      </c>
      <c r="H1400" s="112">
        <f ca="1" t="shared" si="1303"/>
        <v>0</v>
      </c>
      <c r="I1400" s="112">
        <f ca="1" t="shared" si="1303"/>
        <v>0</v>
      </c>
      <c r="J1400" s="112">
        <f ca="1" t="shared" si="1303"/>
        <v>0</v>
      </c>
      <c r="K1400" s="112">
        <f ca="1" t="shared" si="1303"/>
        <v>0</v>
      </c>
      <c r="L1400" s="112">
        <f ca="1" t="shared" si="1303"/>
        <v>0</v>
      </c>
      <c r="M1400" s="112">
        <f ca="1" t="shared" si="1303"/>
        <v>0</v>
      </c>
      <c r="N1400" s="112">
        <f ca="1" t="shared" si="1303"/>
        <v>0</v>
      </c>
      <c r="O1400" s="112">
        <f ca="1" t="shared" si="1303"/>
        <v>0</v>
      </c>
      <c r="P1400" s="112">
        <f ca="1" t="shared" si="1303"/>
        <v>0</v>
      </c>
      <c r="Q1400" s="112">
        <f ca="1" t="shared" si="1303"/>
        <v>0</v>
      </c>
    </row>
    <row r="1401" ht="24" customHeight="1" spans="1:17">
      <c r="A1401" s="99" t="s">
        <v>348</v>
      </c>
      <c r="B1401" s="99" t="s">
        <v>299</v>
      </c>
      <c r="C1401" s="99" t="s">
        <v>316</v>
      </c>
      <c r="D1401" s="48" t="s">
        <v>321</v>
      </c>
      <c r="E1401" s="48" t="s">
        <v>83</v>
      </c>
      <c r="F1401" s="112">
        <f ca="1" t="shared" ref="F1401:Q1401" si="1304">IFERROR(F1394/F1387," ")</f>
        <v>0</v>
      </c>
      <c r="G1401" s="112">
        <f ca="1" t="shared" si="1304"/>
        <v>0</v>
      </c>
      <c r="H1401" s="112">
        <f ca="1" t="shared" si="1304"/>
        <v>0</v>
      </c>
      <c r="I1401" s="112">
        <f ca="1" t="shared" si="1304"/>
        <v>0</v>
      </c>
      <c r="J1401" s="112">
        <f ca="1" t="shared" si="1304"/>
        <v>0</v>
      </c>
      <c r="K1401" s="112">
        <f ca="1" t="shared" si="1304"/>
        <v>0</v>
      </c>
      <c r="L1401" s="112">
        <f ca="1" t="shared" si="1304"/>
        <v>0</v>
      </c>
      <c r="M1401" s="112">
        <f ca="1" t="shared" si="1304"/>
        <v>0.0625</v>
      </c>
      <c r="N1401" s="112">
        <f ca="1" t="shared" si="1304"/>
        <v>0.0540540540540541</v>
      </c>
      <c r="O1401" s="112">
        <f ca="1" t="shared" si="1304"/>
        <v>0.0476190476190476</v>
      </c>
      <c r="P1401" s="112">
        <f ca="1" t="shared" si="1304"/>
        <v>0.0465116279069767</v>
      </c>
      <c r="Q1401" s="112">
        <f ca="1" t="shared" si="1304"/>
        <v>0.0416666666666667</v>
      </c>
    </row>
    <row r="1402" ht="24" customHeight="1" spans="1:17">
      <c r="A1402" s="99" t="s">
        <v>348</v>
      </c>
      <c r="B1402" s="99" t="s">
        <v>299</v>
      </c>
      <c r="C1402" s="99" t="s">
        <v>316</v>
      </c>
      <c r="D1402" s="47" t="s">
        <v>294</v>
      </c>
      <c r="E1402" s="47" t="s">
        <v>93</v>
      </c>
      <c r="F1402" s="206">
        <f ca="1" t="shared" ref="F1402:Q1402" si="1305">IF($S$1&lt;DATE(2025,1,1)," ",F1305)</f>
        <v>0</v>
      </c>
      <c r="G1402" s="206">
        <f ca="1" t="shared" si="1305"/>
        <v>1</v>
      </c>
      <c r="H1402" s="206">
        <f ca="1" t="shared" si="1305"/>
        <v>0</v>
      </c>
      <c r="I1402" s="206">
        <f ca="1" t="shared" si="1305"/>
        <v>0</v>
      </c>
      <c r="J1402" s="206">
        <f ca="1" t="shared" si="1305"/>
        <v>1</v>
      </c>
      <c r="K1402" s="206">
        <f ca="1" t="shared" si="1305"/>
        <v>1</v>
      </c>
      <c r="L1402" s="206">
        <f ca="1" t="shared" si="1305"/>
        <v>0</v>
      </c>
      <c r="M1402" s="206">
        <f ca="1" t="shared" si="1305"/>
        <v>2</v>
      </c>
      <c r="N1402" s="206">
        <f ca="1" t="shared" si="1305"/>
        <v>1</v>
      </c>
      <c r="O1402" s="206">
        <f ca="1" t="shared" si="1305"/>
        <v>0</v>
      </c>
      <c r="P1402" s="206">
        <f ca="1" t="shared" si="1305"/>
        <v>0</v>
      </c>
      <c r="Q1402" s="206">
        <f ca="1" t="shared" si="1305"/>
        <v>0</v>
      </c>
    </row>
    <row r="1403" ht="24" customHeight="1" spans="1:17">
      <c r="A1403" s="99" t="s">
        <v>348</v>
      </c>
      <c r="B1403" s="99" t="s">
        <v>299</v>
      </c>
      <c r="C1403" s="99" t="s">
        <v>316</v>
      </c>
      <c r="D1403" s="47" t="s">
        <v>294</v>
      </c>
      <c r="E1403" s="47" t="s">
        <v>85</v>
      </c>
      <c r="F1403" s="206">
        <f ca="1" t="shared" ref="F1403:Q1403" si="1306">IF($S$1&lt;DATE(2025,1,1)," ",F1306)</f>
        <v>2</v>
      </c>
      <c r="G1403" s="206">
        <f ca="1" t="shared" si="1306"/>
        <v>0</v>
      </c>
      <c r="H1403" s="206">
        <f ca="1" t="shared" si="1306"/>
        <v>0</v>
      </c>
      <c r="I1403" s="206">
        <f ca="1" t="shared" si="1306"/>
        <v>0</v>
      </c>
      <c r="J1403" s="206">
        <f ca="1" t="shared" si="1306"/>
        <v>1</v>
      </c>
      <c r="K1403" s="206">
        <f ca="1" t="shared" si="1306"/>
        <v>0</v>
      </c>
      <c r="L1403" s="206">
        <f ca="1" t="shared" si="1306"/>
        <v>0</v>
      </c>
      <c r="M1403" s="206">
        <f ca="1" t="shared" si="1306"/>
        <v>1</v>
      </c>
      <c r="N1403" s="206">
        <f ca="1" t="shared" si="1306"/>
        <v>0</v>
      </c>
      <c r="O1403" s="206">
        <f ca="1" t="shared" si="1306"/>
        <v>1</v>
      </c>
      <c r="P1403" s="206">
        <f ca="1" t="shared" si="1306"/>
        <v>1</v>
      </c>
      <c r="Q1403" s="206">
        <f ca="1" t="shared" si="1306"/>
        <v>3</v>
      </c>
    </row>
    <row r="1404" ht="24" customHeight="1" spans="1:17">
      <c r="A1404" s="99" t="s">
        <v>348</v>
      </c>
      <c r="B1404" s="99" t="s">
        <v>299</v>
      </c>
      <c r="C1404" s="99" t="s">
        <v>316</v>
      </c>
      <c r="D1404" s="47" t="s">
        <v>294</v>
      </c>
      <c r="E1404" s="47" t="s">
        <v>81</v>
      </c>
      <c r="F1404" s="206">
        <f ca="1" t="shared" ref="F1404:Q1404" si="1307">IF($S$1&lt;DATE(2025,1,1)," ",F1307)</f>
        <v>2</v>
      </c>
      <c r="G1404" s="206">
        <f ca="1" t="shared" si="1307"/>
        <v>0</v>
      </c>
      <c r="H1404" s="206">
        <f ca="1" t="shared" si="1307"/>
        <v>0</v>
      </c>
      <c r="I1404" s="206">
        <f ca="1" t="shared" si="1307"/>
        <v>0</v>
      </c>
      <c r="J1404" s="206">
        <f ca="1" t="shared" si="1307"/>
        <v>0</v>
      </c>
      <c r="K1404" s="206">
        <f ca="1" t="shared" si="1307"/>
        <v>0</v>
      </c>
      <c r="L1404" s="206">
        <f ca="1" t="shared" si="1307"/>
        <v>1</v>
      </c>
      <c r="M1404" s="206">
        <f ca="1" t="shared" si="1307"/>
        <v>1</v>
      </c>
      <c r="N1404" s="206">
        <f ca="1" t="shared" si="1307"/>
        <v>0</v>
      </c>
      <c r="O1404" s="206">
        <f ca="1" t="shared" si="1307"/>
        <v>1</v>
      </c>
      <c r="P1404" s="206">
        <f ca="1" t="shared" si="1307"/>
        <v>0</v>
      </c>
      <c r="Q1404" s="206">
        <f ca="1" t="shared" si="1307"/>
        <v>0</v>
      </c>
    </row>
    <row r="1405" ht="24" customHeight="1" spans="1:17">
      <c r="A1405" s="99" t="s">
        <v>348</v>
      </c>
      <c r="B1405" s="99" t="s">
        <v>299</v>
      </c>
      <c r="C1405" s="99" t="s">
        <v>316</v>
      </c>
      <c r="D1405" s="47" t="s">
        <v>294</v>
      </c>
      <c r="E1405" s="47" t="s">
        <v>96</v>
      </c>
      <c r="F1405" s="206">
        <f ca="1" t="shared" ref="F1405:Q1405" si="1308">IF($S$1&lt;DATE(2025,1,1)," ",F1308)</f>
        <v>0</v>
      </c>
      <c r="G1405" s="206">
        <f ca="1" t="shared" si="1308"/>
        <v>0</v>
      </c>
      <c r="H1405" s="206">
        <f ca="1" t="shared" si="1308"/>
        <v>0</v>
      </c>
      <c r="I1405" s="206">
        <f ca="1" t="shared" si="1308"/>
        <v>0</v>
      </c>
      <c r="J1405" s="206">
        <f ca="1" t="shared" si="1308"/>
        <v>0</v>
      </c>
      <c r="K1405" s="206">
        <f ca="1" t="shared" si="1308"/>
        <v>0</v>
      </c>
      <c r="L1405" s="206">
        <f ca="1" t="shared" si="1308"/>
        <v>0</v>
      </c>
      <c r="M1405" s="206">
        <f ca="1" t="shared" si="1308"/>
        <v>0</v>
      </c>
      <c r="N1405" s="206">
        <f ca="1" t="shared" si="1308"/>
        <v>0</v>
      </c>
      <c r="O1405" s="206">
        <f ca="1" t="shared" si="1308"/>
        <v>0</v>
      </c>
      <c r="P1405" s="206">
        <f ca="1" t="shared" si="1308"/>
        <v>0</v>
      </c>
      <c r="Q1405" s="206">
        <f ca="1" t="shared" si="1308"/>
        <v>0</v>
      </c>
    </row>
    <row r="1406" ht="24" customHeight="1" spans="1:17">
      <c r="A1406" s="99" t="s">
        <v>348</v>
      </c>
      <c r="B1406" s="99" t="s">
        <v>299</v>
      </c>
      <c r="C1406" s="99" t="s">
        <v>316</v>
      </c>
      <c r="D1406" s="47" t="s">
        <v>294</v>
      </c>
      <c r="E1406" s="47" t="s">
        <v>160</v>
      </c>
      <c r="F1406" s="206">
        <f ca="1" t="shared" ref="F1406:Q1406" si="1309">IF($S$1&lt;DATE(2025,1,1)," ",F1309)</f>
        <v>0</v>
      </c>
      <c r="G1406" s="206">
        <f ca="1" t="shared" si="1309"/>
        <v>0</v>
      </c>
      <c r="H1406" s="206">
        <f ca="1" t="shared" si="1309"/>
        <v>0</v>
      </c>
      <c r="I1406" s="206">
        <f ca="1" t="shared" si="1309"/>
        <v>0</v>
      </c>
      <c r="J1406" s="206">
        <f ca="1" t="shared" si="1309"/>
        <v>0</v>
      </c>
      <c r="K1406" s="206">
        <f ca="1" t="shared" si="1309"/>
        <v>0</v>
      </c>
      <c r="L1406" s="206">
        <f ca="1" t="shared" si="1309"/>
        <v>0</v>
      </c>
      <c r="M1406" s="206">
        <f ca="1" t="shared" si="1309"/>
        <v>1</v>
      </c>
      <c r="N1406" s="206">
        <f ca="1" t="shared" si="1309"/>
        <v>0</v>
      </c>
      <c r="O1406" s="206">
        <f ca="1" t="shared" si="1309"/>
        <v>0</v>
      </c>
      <c r="P1406" s="206">
        <f ca="1" t="shared" si="1309"/>
        <v>0</v>
      </c>
      <c r="Q1406" s="206">
        <f ca="1" t="shared" si="1309"/>
        <v>0</v>
      </c>
    </row>
    <row r="1407" ht="24" customHeight="1" spans="1:17">
      <c r="A1407" s="99" t="s">
        <v>348</v>
      </c>
      <c r="B1407" s="99" t="s">
        <v>299</v>
      </c>
      <c r="C1407" s="99" t="s">
        <v>316</v>
      </c>
      <c r="D1407" s="100" t="s">
        <v>292</v>
      </c>
      <c r="E1407" s="100" t="s">
        <v>322</v>
      </c>
      <c r="F1407" s="204">
        <f ca="1">IF($S$1&lt;DATE(2025,1,1)," ",SUM(F1408:F1410))</f>
        <v>5</v>
      </c>
      <c r="G1407" s="204">
        <f ca="1">IF($S$1&lt;DATE(2025,2,1)," ",SUM(G1408:G1410))</f>
        <v>7</v>
      </c>
      <c r="H1407" s="204">
        <f ca="1">IF($S$1&lt;DATE(2025,3,1)," ",SUM(H1408:H1410))</f>
        <v>9</v>
      </c>
      <c r="I1407" s="204">
        <f ca="1">IF($S$1&lt;DATE(2025,4,1)," ",SUM(I1408:I1410))</f>
        <v>10</v>
      </c>
      <c r="J1407" s="204">
        <f ca="1">IF($S$1&lt;DATE(2025,5,1)," ",SUM(J1408:J1410))</f>
        <v>15</v>
      </c>
      <c r="K1407" s="204">
        <f ca="1">IF($S$1&lt;DATE(2025,6,1)," ",SUM(K1408:K1410))</f>
        <v>20</v>
      </c>
      <c r="L1407" s="204">
        <f ca="1">IF($S$1&lt;DATE(2025,7,1)," ",SUM(L1408:L1410))</f>
        <v>22</v>
      </c>
      <c r="M1407" s="204">
        <f ca="1">IF($S$1&lt;DATE(2025,8,1)," ",SUM(M1408:M1410))</f>
        <v>29</v>
      </c>
      <c r="N1407" s="204">
        <f ca="1">IF($S$1&lt;DATE(2025,9,1)," ",SUM(N1408:N1410))</f>
        <v>34</v>
      </c>
      <c r="O1407" s="204">
        <f ca="1">IF($S$1&lt;DATE(2025,10,1)," ",SUM(O1408:O1410))</f>
        <v>39</v>
      </c>
      <c r="P1407" s="204">
        <f ca="1">IF($S$1&lt;DATE(2025,11,1)," ",SUM(P1408:P1410))</f>
        <v>40</v>
      </c>
      <c r="Q1407" s="204">
        <f ca="1">IF($S$1&lt;DATE(2025,12,1)," ",SUM(Q1408:Q1410))</f>
        <v>45</v>
      </c>
    </row>
    <row r="1408" ht="24" customHeight="1" spans="1:17">
      <c r="A1408" s="99" t="s">
        <v>348</v>
      </c>
      <c r="B1408" s="99" t="s">
        <v>299</v>
      </c>
      <c r="C1408" s="99" t="s">
        <v>316</v>
      </c>
      <c r="D1408" s="48" t="s">
        <v>296</v>
      </c>
      <c r="E1408" s="48" t="s">
        <v>90</v>
      </c>
      <c r="F1408" s="205">
        <f ca="1" t="shared" ref="F1408:F1410" si="1310">IF($S$1&lt;DATE(2025,1,1)," ",F1321)</f>
        <v>1</v>
      </c>
      <c r="G1408" s="205">
        <f ca="1" t="shared" ref="G1408:G1410" si="1311">IF($S$1&lt;DATE(2025,2,1)," ",G1321+F1408)</f>
        <v>2</v>
      </c>
      <c r="H1408" s="205">
        <f ca="1" t="shared" ref="H1408:H1410" si="1312">IF($S$1&lt;DATE(2025,3,1)," ",H1321+G1408)</f>
        <v>3</v>
      </c>
      <c r="I1408" s="205">
        <f ca="1" t="shared" ref="I1408:I1410" si="1313">IF($S$1&lt;DATE(2025,4,1)," ",I1321+H1408)</f>
        <v>3</v>
      </c>
      <c r="J1408" s="205">
        <f ca="1" t="shared" ref="J1408:J1410" si="1314">IF($S$1&lt;DATE(2025,5,1)," ",J1321+I1408)</f>
        <v>3</v>
      </c>
      <c r="K1408" s="205">
        <f ca="1" t="shared" ref="K1408:K1410" si="1315">IF($S$1&lt;DATE(2025,6,1)," ",K1321+J1408)</f>
        <v>5</v>
      </c>
      <c r="L1408" s="205">
        <f ca="1" t="shared" ref="L1408:L1410" si="1316">IF($S$1&lt;DATE(2025,7,1)," ",L1321+K1408)</f>
        <v>6</v>
      </c>
      <c r="M1408" s="205">
        <f ca="1" t="shared" ref="M1408:M1410" si="1317">IF($S$1&lt;DATE(2025,8,1)," ",M1321+L1408)</f>
        <v>7</v>
      </c>
      <c r="N1408" s="205">
        <f ca="1" t="shared" ref="N1408:N1410" si="1318">IF($S$1&lt;DATE(2025,9,1)," ",N1321+M1408)</f>
        <v>8</v>
      </c>
      <c r="O1408" s="205">
        <f ca="1" t="shared" ref="O1408:O1410" si="1319">IF($S$1&lt;DATE(2025,10,1)," ",O1321+N1408)</f>
        <v>11</v>
      </c>
      <c r="P1408" s="205">
        <f ca="1" t="shared" ref="P1408:P1410" si="1320">IF($S$1&lt;DATE(2025,11,1)," ",P1321+O1408)</f>
        <v>11</v>
      </c>
      <c r="Q1408" s="205">
        <f ca="1" t="shared" ref="Q1408:Q1410" si="1321">IF($S$1&lt;DATE(2025,12,1)," ",Q1321+P1408)</f>
        <v>13</v>
      </c>
    </row>
    <row r="1409" ht="24" customHeight="1" spans="1:17">
      <c r="A1409" s="99" t="s">
        <v>348</v>
      </c>
      <c r="B1409" s="99" t="s">
        <v>299</v>
      </c>
      <c r="C1409" s="99" t="s">
        <v>316</v>
      </c>
      <c r="D1409" s="48" t="s">
        <v>296</v>
      </c>
      <c r="E1409" s="48" t="s">
        <v>82</v>
      </c>
      <c r="F1409" s="205">
        <f ca="1" t="shared" si="1310"/>
        <v>0</v>
      </c>
      <c r="G1409" s="205">
        <f ca="1" t="shared" si="1311"/>
        <v>0</v>
      </c>
      <c r="H1409" s="205">
        <f ca="1" t="shared" si="1312"/>
        <v>1</v>
      </c>
      <c r="I1409" s="205">
        <f ca="1" t="shared" si="1313"/>
        <v>2</v>
      </c>
      <c r="J1409" s="205">
        <f ca="1" t="shared" si="1314"/>
        <v>4</v>
      </c>
      <c r="K1409" s="205">
        <f ca="1" t="shared" si="1315"/>
        <v>5</v>
      </c>
      <c r="L1409" s="205">
        <f ca="1" t="shared" si="1316"/>
        <v>6</v>
      </c>
      <c r="M1409" s="205">
        <f ca="1" t="shared" si="1317"/>
        <v>9</v>
      </c>
      <c r="N1409" s="205">
        <f ca="1" t="shared" si="1318"/>
        <v>10</v>
      </c>
      <c r="O1409" s="205">
        <f ca="1" t="shared" si="1319"/>
        <v>12</v>
      </c>
      <c r="P1409" s="205">
        <f ca="1" t="shared" si="1320"/>
        <v>12</v>
      </c>
      <c r="Q1409" s="205">
        <f ca="1" t="shared" si="1321"/>
        <v>14</v>
      </c>
    </row>
    <row r="1410" ht="24" customHeight="1" spans="1:17">
      <c r="A1410" s="99" t="s">
        <v>348</v>
      </c>
      <c r="B1410" s="99" t="s">
        <v>299</v>
      </c>
      <c r="C1410" s="99" t="s">
        <v>316</v>
      </c>
      <c r="D1410" s="48" t="s">
        <v>296</v>
      </c>
      <c r="E1410" s="48" t="s">
        <v>86</v>
      </c>
      <c r="F1410" s="205">
        <f ca="1" t="shared" si="1310"/>
        <v>4</v>
      </c>
      <c r="G1410" s="205">
        <f ca="1" t="shared" si="1311"/>
        <v>5</v>
      </c>
      <c r="H1410" s="205">
        <f ca="1" t="shared" si="1312"/>
        <v>5</v>
      </c>
      <c r="I1410" s="205">
        <f ca="1" t="shared" si="1313"/>
        <v>5</v>
      </c>
      <c r="J1410" s="205">
        <f ca="1" t="shared" si="1314"/>
        <v>8</v>
      </c>
      <c r="K1410" s="205">
        <f ca="1" t="shared" si="1315"/>
        <v>10</v>
      </c>
      <c r="L1410" s="205">
        <f ca="1" t="shared" si="1316"/>
        <v>10</v>
      </c>
      <c r="M1410" s="205">
        <f ca="1" t="shared" si="1317"/>
        <v>13</v>
      </c>
      <c r="N1410" s="205">
        <f ca="1" t="shared" si="1318"/>
        <v>16</v>
      </c>
      <c r="O1410" s="205">
        <f ca="1" t="shared" si="1319"/>
        <v>16</v>
      </c>
      <c r="P1410" s="205">
        <f ca="1" t="shared" si="1320"/>
        <v>17</v>
      </c>
      <c r="Q1410" s="205">
        <f ca="1" t="shared" si="1321"/>
        <v>18</v>
      </c>
    </row>
    <row r="1411" ht="24" customHeight="1" spans="1:17">
      <c r="A1411" s="99" t="s">
        <v>348</v>
      </c>
      <c r="B1411" s="99" t="s">
        <v>299</v>
      </c>
      <c r="C1411" s="99" t="s">
        <v>316</v>
      </c>
      <c r="D1411" s="48" t="s">
        <v>323</v>
      </c>
      <c r="E1411" s="48" t="s">
        <v>90</v>
      </c>
      <c r="F1411" s="112">
        <f ca="1" t="shared" ref="F1411:Q1411" si="1322">IFERROR(F1408/F1407," ")</f>
        <v>0.2</v>
      </c>
      <c r="G1411" s="112">
        <f ca="1" t="shared" si="1322"/>
        <v>0.285714285714286</v>
      </c>
      <c r="H1411" s="112">
        <f ca="1" t="shared" si="1322"/>
        <v>0.333333333333333</v>
      </c>
      <c r="I1411" s="112">
        <f ca="1" t="shared" si="1322"/>
        <v>0.3</v>
      </c>
      <c r="J1411" s="112">
        <f ca="1" t="shared" si="1322"/>
        <v>0.2</v>
      </c>
      <c r="K1411" s="112">
        <f ca="1" t="shared" si="1322"/>
        <v>0.25</v>
      </c>
      <c r="L1411" s="112">
        <f ca="1" t="shared" si="1322"/>
        <v>0.272727272727273</v>
      </c>
      <c r="M1411" s="112">
        <f ca="1" t="shared" si="1322"/>
        <v>0.241379310344828</v>
      </c>
      <c r="N1411" s="112">
        <f ca="1" t="shared" si="1322"/>
        <v>0.235294117647059</v>
      </c>
      <c r="O1411" s="112">
        <f ca="1" t="shared" si="1322"/>
        <v>0.282051282051282</v>
      </c>
      <c r="P1411" s="112">
        <f ca="1" t="shared" si="1322"/>
        <v>0.275</v>
      </c>
      <c r="Q1411" s="112">
        <f ca="1" t="shared" si="1322"/>
        <v>0.288888888888889</v>
      </c>
    </row>
    <row r="1412" ht="24" customHeight="1" spans="1:17">
      <c r="A1412" s="99" t="s">
        <v>348</v>
      </c>
      <c r="B1412" s="99" t="s">
        <v>299</v>
      </c>
      <c r="C1412" s="99" t="s">
        <v>316</v>
      </c>
      <c r="D1412" s="48" t="s">
        <v>323</v>
      </c>
      <c r="E1412" s="48" t="s">
        <v>82</v>
      </c>
      <c r="F1412" s="112">
        <f ca="1" t="shared" ref="F1412:Q1412" si="1323">IFERROR(F1409/F1407," ")</f>
        <v>0</v>
      </c>
      <c r="G1412" s="112">
        <f ca="1" t="shared" si="1323"/>
        <v>0</v>
      </c>
      <c r="H1412" s="112">
        <f ca="1" t="shared" si="1323"/>
        <v>0.111111111111111</v>
      </c>
      <c r="I1412" s="112">
        <f ca="1" t="shared" si="1323"/>
        <v>0.2</v>
      </c>
      <c r="J1412" s="112">
        <f ca="1" t="shared" si="1323"/>
        <v>0.266666666666667</v>
      </c>
      <c r="K1412" s="112">
        <f ca="1" t="shared" si="1323"/>
        <v>0.25</v>
      </c>
      <c r="L1412" s="112">
        <f ca="1" t="shared" si="1323"/>
        <v>0.272727272727273</v>
      </c>
      <c r="M1412" s="112">
        <f ca="1" t="shared" si="1323"/>
        <v>0.310344827586207</v>
      </c>
      <c r="N1412" s="112">
        <f ca="1" t="shared" si="1323"/>
        <v>0.294117647058824</v>
      </c>
      <c r="O1412" s="112">
        <f ca="1" t="shared" si="1323"/>
        <v>0.307692307692308</v>
      </c>
      <c r="P1412" s="112">
        <f ca="1" t="shared" si="1323"/>
        <v>0.3</v>
      </c>
      <c r="Q1412" s="112">
        <f ca="1" t="shared" si="1323"/>
        <v>0.311111111111111</v>
      </c>
    </row>
    <row r="1413" ht="24" customHeight="1" spans="1:17">
      <c r="A1413" s="99" t="s">
        <v>348</v>
      </c>
      <c r="B1413" s="99" t="s">
        <v>299</v>
      </c>
      <c r="C1413" s="99" t="s">
        <v>316</v>
      </c>
      <c r="D1413" s="48" t="s">
        <v>323</v>
      </c>
      <c r="E1413" s="48" t="s">
        <v>86</v>
      </c>
      <c r="F1413" s="112">
        <f ca="1" t="shared" ref="F1413:Q1413" si="1324">IFERROR(F1410/F1407," ")</f>
        <v>0.8</v>
      </c>
      <c r="G1413" s="112">
        <f ca="1" t="shared" si="1324"/>
        <v>0.714285714285714</v>
      </c>
      <c r="H1413" s="112">
        <f ca="1" t="shared" si="1324"/>
        <v>0.555555555555556</v>
      </c>
      <c r="I1413" s="112">
        <f ca="1" t="shared" si="1324"/>
        <v>0.5</v>
      </c>
      <c r="J1413" s="112">
        <f ca="1" t="shared" si="1324"/>
        <v>0.533333333333333</v>
      </c>
      <c r="K1413" s="112">
        <f ca="1" t="shared" si="1324"/>
        <v>0.5</v>
      </c>
      <c r="L1413" s="112">
        <f ca="1" t="shared" si="1324"/>
        <v>0.454545454545455</v>
      </c>
      <c r="M1413" s="112">
        <f ca="1" t="shared" si="1324"/>
        <v>0.448275862068966</v>
      </c>
      <c r="N1413" s="112">
        <f ca="1" t="shared" si="1324"/>
        <v>0.470588235294118</v>
      </c>
      <c r="O1413" s="112">
        <f ca="1" t="shared" si="1324"/>
        <v>0.41025641025641</v>
      </c>
      <c r="P1413" s="112">
        <f ca="1" t="shared" si="1324"/>
        <v>0.425</v>
      </c>
      <c r="Q1413" s="112">
        <f ca="1" t="shared" si="1324"/>
        <v>0.4</v>
      </c>
    </row>
    <row r="1414" ht="24" customHeight="1" spans="1:17">
      <c r="A1414" s="99" t="s">
        <v>348</v>
      </c>
      <c r="B1414" s="99" t="s">
        <v>299</v>
      </c>
      <c r="C1414" s="99" t="s">
        <v>316</v>
      </c>
      <c r="D1414" s="100" t="s">
        <v>292</v>
      </c>
      <c r="E1414" s="100" t="s">
        <v>324</v>
      </c>
      <c r="F1414" s="204">
        <f ca="1">IF($S$1&lt;DATE(2025,1,1)," ",SUM(F1415:F1418))</f>
        <v>1</v>
      </c>
      <c r="G1414" s="204">
        <f ca="1">IF($S$1&lt;DATE(2025,2,1)," ",SUM(G1415:G1418))</f>
        <v>3</v>
      </c>
      <c r="H1414" s="204">
        <f ca="1">IF($S$1&lt;DATE(2025,3,1)," ",SUM(H1415:H1418))</f>
        <v>4</v>
      </c>
      <c r="I1414" s="204">
        <f ca="1">IF($S$1&lt;DATE(2025,4,1)," ",SUM(I1415:I1418))</f>
        <v>6</v>
      </c>
      <c r="J1414" s="204">
        <f ca="1">IF($S$1&lt;DATE(2025,5,1)," ",SUM(J1415:J1418))</f>
        <v>10</v>
      </c>
      <c r="K1414" s="204">
        <f ca="1">IF($S$1&lt;DATE(2025,6,1)," ",SUM(K1415:K1418))</f>
        <v>13</v>
      </c>
      <c r="L1414" s="204">
        <f ca="1">IF($S$1&lt;DATE(2025,7,1)," ",SUM(L1415:L1418))</f>
        <v>15</v>
      </c>
      <c r="M1414" s="204">
        <f ca="1">IF($S$1&lt;DATE(2025,8,1)," ",SUM(M1415:M1418))</f>
        <v>23</v>
      </c>
      <c r="N1414" s="204">
        <f ca="1">IF($S$1&lt;DATE(2025,9,1)," ",SUM(N1415:N1418))</f>
        <v>28</v>
      </c>
      <c r="O1414" s="204">
        <f ca="1">IF($S$1&lt;DATE(2025,10,1)," ",SUM(O1415:O1418))</f>
        <v>31</v>
      </c>
      <c r="P1414" s="204">
        <f ca="1">IF($S$1&lt;DATE(2025,11,1)," ",SUM(P1415:P1418))</f>
        <v>32</v>
      </c>
      <c r="Q1414" s="204">
        <f ca="1">IF($S$1&lt;DATE(2025,12,1)," ",SUM(Q1415:Q1418))</f>
        <v>34</v>
      </c>
    </row>
    <row r="1415" ht="24" customHeight="1" spans="1:17">
      <c r="A1415" s="99" t="s">
        <v>348</v>
      </c>
      <c r="B1415" s="99" t="s">
        <v>299</v>
      </c>
      <c r="C1415" s="99" t="s">
        <v>316</v>
      </c>
      <c r="D1415" s="48" t="s">
        <v>298</v>
      </c>
      <c r="E1415" s="48" t="s">
        <v>97</v>
      </c>
      <c r="F1415" s="205">
        <f ca="1" t="shared" ref="F1415:F1418" si="1325">IF($S$1&lt;DATE(2025,1,1)," ",F1325)</f>
        <v>1</v>
      </c>
      <c r="G1415" s="205">
        <f ca="1" t="shared" ref="G1415:G1418" si="1326">IF($S$1&lt;DATE(2025,2,1)," ",G1325+F1415)</f>
        <v>3</v>
      </c>
      <c r="H1415" s="205">
        <f ca="1" t="shared" ref="H1415:H1418" si="1327">IF($S$1&lt;DATE(2025,3,1)," ",H1325+G1415)</f>
        <v>4</v>
      </c>
      <c r="I1415" s="205">
        <f ca="1" t="shared" ref="I1415:I1418" si="1328">IF($S$1&lt;DATE(2025,4,1)," ",I1325+H1415)</f>
        <v>6</v>
      </c>
      <c r="J1415" s="205">
        <f ca="1" t="shared" ref="J1415:J1418" si="1329">IF($S$1&lt;DATE(2025,5,1)," ",J1325+I1415)</f>
        <v>9</v>
      </c>
      <c r="K1415" s="205">
        <f ca="1" t="shared" ref="K1415:K1418" si="1330">IF($S$1&lt;DATE(2025,6,1)," ",K1325+J1415)</f>
        <v>11</v>
      </c>
      <c r="L1415" s="205">
        <f ca="1" t="shared" ref="L1415:L1418" si="1331">IF($S$1&lt;DATE(2025,7,1)," ",L1325+K1415)</f>
        <v>12</v>
      </c>
      <c r="M1415" s="205">
        <f ca="1" t="shared" ref="M1415:M1418" si="1332">IF($S$1&lt;DATE(2025,8,1)," ",M1325+L1415)</f>
        <v>15</v>
      </c>
      <c r="N1415" s="205">
        <f ca="1" t="shared" ref="N1415:N1418" si="1333">IF($S$1&lt;DATE(2025,9,1)," ",N1325+M1415)</f>
        <v>18</v>
      </c>
      <c r="O1415" s="205">
        <f ca="1" t="shared" ref="O1415:O1418" si="1334">IF($S$1&lt;DATE(2025,10,1)," ",O1325+N1415)</f>
        <v>18</v>
      </c>
      <c r="P1415" s="205">
        <f ca="1" t="shared" ref="P1415:P1418" si="1335">IF($S$1&lt;DATE(2025,11,1)," ",P1325+O1415)</f>
        <v>18</v>
      </c>
      <c r="Q1415" s="205">
        <f ca="1" t="shared" ref="Q1415:Q1418" si="1336">IF($S$1&lt;DATE(2025,12,1)," ",Q1325+P1415)</f>
        <v>20</v>
      </c>
    </row>
    <row r="1416" ht="24" customHeight="1" spans="1:17">
      <c r="A1416" s="99" t="s">
        <v>348</v>
      </c>
      <c r="B1416" s="99" t="s">
        <v>299</v>
      </c>
      <c r="C1416" s="99" t="s">
        <v>316</v>
      </c>
      <c r="D1416" s="48" t="s">
        <v>298</v>
      </c>
      <c r="E1416" s="48" t="s">
        <v>87</v>
      </c>
      <c r="F1416" s="205">
        <f ca="1" t="shared" si="1325"/>
        <v>0</v>
      </c>
      <c r="G1416" s="205">
        <f ca="1" t="shared" si="1326"/>
        <v>0</v>
      </c>
      <c r="H1416" s="205">
        <f ca="1" t="shared" si="1327"/>
        <v>0</v>
      </c>
      <c r="I1416" s="205">
        <f ca="1" t="shared" si="1328"/>
        <v>0</v>
      </c>
      <c r="J1416" s="205">
        <f ca="1" t="shared" si="1329"/>
        <v>1</v>
      </c>
      <c r="K1416" s="205">
        <f ca="1" t="shared" si="1330"/>
        <v>1</v>
      </c>
      <c r="L1416" s="205">
        <f ca="1" t="shared" si="1331"/>
        <v>2</v>
      </c>
      <c r="M1416" s="205">
        <f ca="1" t="shared" si="1332"/>
        <v>4</v>
      </c>
      <c r="N1416" s="205">
        <f ca="1" t="shared" si="1333"/>
        <v>5</v>
      </c>
      <c r="O1416" s="205">
        <f ca="1" t="shared" si="1334"/>
        <v>8</v>
      </c>
      <c r="P1416" s="205">
        <f ca="1" t="shared" si="1335"/>
        <v>9</v>
      </c>
      <c r="Q1416" s="205">
        <f ca="1" t="shared" si="1336"/>
        <v>9</v>
      </c>
    </row>
    <row r="1417" ht="24" customHeight="1" spans="1:17">
      <c r="A1417" s="99" t="s">
        <v>348</v>
      </c>
      <c r="B1417" s="99" t="s">
        <v>299</v>
      </c>
      <c r="C1417" s="99" t="s">
        <v>316</v>
      </c>
      <c r="D1417" s="48" t="s">
        <v>298</v>
      </c>
      <c r="E1417" s="48" t="s">
        <v>149</v>
      </c>
      <c r="F1417" s="205">
        <f ca="1" t="shared" si="1325"/>
        <v>0</v>
      </c>
      <c r="G1417" s="205">
        <f ca="1" t="shared" si="1326"/>
        <v>0</v>
      </c>
      <c r="H1417" s="205">
        <f ca="1" t="shared" si="1327"/>
        <v>0</v>
      </c>
      <c r="I1417" s="205">
        <f ca="1" t="shared" si="1328"/>
        <v>0</v>
      </c>
      <c r="J1417" s="205">
        <f ca="1" t="shared" si="1329"/>
        <v>0</v>
      </c>
      <c r="K1417" s="205">
        <f ca="1" t="shared" si="1330"/>
        <v>0</v>
      </c>
      <c r="L1417" s="205">
        <f ca="1" t="shared" si="1331"/>
        <v>0</v>
      </c>
      <c r="M1417" s="205">
        <f ca="1" t="shared" si="1332"/>
        <v>0</v>
      </c>
      <c r="N1417" s="205">
        <f ca="1" t="shared" si="1333"/>
        <v>0</v>
      </c>
      <c r="O1417" s="205">
        <f ca="1" t="shared" si="1334"/>
        <v>0</v>
      </c>
      <c r="P1417" s="205">
        <f ca="1" t="shared" si="1335"/>
        <v>0</v>
      </c>
      <c r="Q1417" s="205">
        <f ca="1" t="shared" si="1336"/>
        <v>0</v>
      </c>
    </row>
    <row r="1418" ht="24" customHeight="1" spans="1:17">
      <c r="A1418" s="99" t="s">
        <v>348</v>
      </c>
      <c r="B1418" s="99" t="s">
        <v>299</v>
      </c>
      <c r="C1418" s="99" t="s">
        <v>316</v>
      </c>
      <c r="D1418" s="48" t="s">
        <v>298</v>
      </c>
      <c r="E1418" s="48" t="s">
        <v>83</v>
      </c>
      <c r="F1418" s="205">
        <f ca="1" t="shared" si="1325"/>
        <v>0</v>
      </c>
      <c r="G1418" s="205">
        <f ca="1" t="shared" si="1326"/>
        <v>0</v>
      </c>
      <c r="H1418" s="205">
        <f ca="1" t="shared" si="1327"/>
        <v>0</v>
      </c>
      <c r="I1418" s="205">
        <f ca="1" t="shared" si="1328"/>
        <v>0</v>
      </c>
      <c r="J1418" s="205">
        <f ca="1" t="shared" si="1329"/>
        <v>0</v>
      </c>
      <c r="K1418" s="205">
        <f ca="1" t="shared" si="1330"/>
        <v>1</v>
      </c>
      <c r="L1418" s="205">
        <f ca="1" t="shared" si="1331"/>
        <v>1</v>
      </c>
      <c r="M1418" s="205">
        <f ca="1" t="shared" si="1332"/>
        <v>4</v>
      </c>
      <c r="N1418" s="205">
        <f ca="1" t="shared" si="1333"/>
        <v>5</v>
      </c>
      <c r="O1418" s="205">
        <f ca="1" t="shared" si="1334"/>
        <v>5</v>
      </c>
      <c r="P1418" s="205">
        <f ca="1" t="shared" si="1335"/>
        <v>5</v>
      </c>
      <c r="Q1418" s="205">
        <f ca="1" t="shared" si="1336"/>
        <v>5</v>
      </c>
    </row>
    <row r="1419" ht="24" customHeight="1" spans="1:17">
      <c r="A1419" s="99" t="s">
        <v>348</v>
      </c>
      <c r="B1419" s="99" t="s">
        <v>299</v>
      </c>
      <c r="C1419" s="99" t="s">
        <v>316</v>
      </c>
      <c r="D1419" s="48" t="s">
        <v>325</v>
      </c>
      <c r="E1419" s="48" t="s">
        <v>97</v>
      </c>
      <c r="F1419" s="112">
        <f ca="1" t="shared" ref="F1419:Q1419" si="1337">IFERROR(F1415/F1414," ")</f>
        <v>1</v>
      </c>
      <c r="G1419" s="112">
        <f ca="1" t="shared" si="1337"/>
        <v>1</v>
      </c>
      <c r="H1419" s="112">
        <f ca="1" t="shared" si="1337"/>
        <v>1</v>
      </c>
      <c r="I1419" s="112">
        <f ca="1" t="shared" si="1337"/>
        <v>1</v>
      </c>
      <c r="J1419" s="112">
        <f ca="1" t="shared" si="1337"/>
        <v>0.9</v>
      </c>
      <c r="K1419" s="112">
        <f ca="1" t="shared" si="1337"/>
        <v>0.846153846153846</v>
      </c>
      <c r="L1419" s="112">
        <f ca="1" t="shared" si="1337"/>
        <v>0.8</v>
      </c>
      <c r="M1419" s="112">
        <f ca="1" t="shared" si="1337"/>
        <v>0.652173913043478</v>
      </c>
      <c r="N1419" s="112">
        <f ca="1" t="shared" si="1337"/>
        <v>0.642857142857143</v>
      </c>
      <c r="O1419" s="112">
        <f ca="1" t="shared" si="1337"/>
        <v>0.580645161290323</v>
      </c>
      <c r="P1419" s="112">
        <f ca="1" t="shared" si="1337"/>
        <v>0.5625</v>
      </c>
      <c r="Q1419" s="112">
        <f ca="1" t="shared" si="1337"/>
        <v>0.588235294117647</v>
      </c>
    </row>
    <row r="1420" ht="24" customHeight="1" spans="1:17">
      <c r="A1420" s="99" t="s">
        <v>348</v>
      </c>
      <c r="B1420" s="99" t="s">
        <v>299</v>
      </c>
      <c r="C1420" s="99" t="s">
        <v>316</v>
      </c>
      <c r="D1420" s="48" t="s">
        <v>325</v>
      </c>
      <c r="E1420" s="48" t="s">
        <v>87</v>
      </c>
      <c r="F1420" s="112">
        <f ca="1" t="shared" ref="F1420:Q1420" si="1338">IFERROR(F1416/F1414," ")</f>
        <v>0</v>
      </c>
      <c r="G1420" s="112">
        <f ca="1" t="shared" si="1338"/>
        <v>0</v>
      </c>
      <c r="H1420" s="112">
        <f ca="1" t="shared" si="1338"/>
        <v>0</v>
      </c>
      <c r="I1420" s="112">
        <f ca="1" t="shared" si="1338"/>
        <v>0</v>
      </c>
      <c r="J1420" s="112">
        <f ca="1" t="shared" si="1338"/>
        <v>0.1</v>
      </c>
      <c r="K1420" s="112">
        <f ca="1" t="shared" si="1338"/>
        <v>0.0769230769230769</v>
      </c>
      <c r="L1420" s="112">
        <f ca="1" t="shared" si="1338"/>
        <v>0.133333333333333</v>
      </c>
      <c r="M1420" s="112">
        <f ca="1" t="shared" si="1338"/>
        <v>0.173913043478261</v>
      </c>
      <c r="N1420" s="112">
        <f ca="1" t="shared" si="1338"/>
        <v>0.178571428571429</v>
      </c>
      <c r="O1420" s="112">
        <f ca="1" t="shared" si="1338"/>
        <v>0.258064516129032</v>
      </c>
      <c r="P1420" s="112">
        <f ca="1" t="shared" si="1338"/>
        <v>0.28125</v>
      </c>
      <c r="Q1420" s="112">
        <f ca="1" t="shared" si="1338"/>
        <v>0.264705882352941</v>
      </c>
    </row>
    <row r="1421" ht="24" customHeight="1" spans="1:17">
      <c r="A1421" s="99" t="s">
        <v>348</v>
      </c>
      <c r="B1421" s="99" t="s">
        <v>299</v>
      </c>
      <c r="C1421" s="99" t="s">
        <v>316</v>
      </c>
      <c r="D1421" s="48" t="s">
        <v>325</v>
      </c>
      <c r="E1421" s="48" t="s">
        <v>149</v>
      </c>
      <c r="F1421" s="112">
        <f ca="1" t="shared" ref="F1421:Q1421" si="1339">IFERROR(F1417/F1414," ")</f>
        <v>0</v>
      </c>
      <c r="G1421" s="112">
        <f ca="1" t="shared" si="1339"/>
        <v>0</v>
      </c>
      <c r="H1421" s="112">
        <f ca="1" t="shared" si="1339"/>
        <v>0</v>
      </c>
      <c r="I1421" s="112">
        <f ca="1" t="shared" si="1339"/>
        <v>0</v>
      </c>
      <c r="J1421" s="112">
        <f ca="1" t="shared" si="1339"/>
        <v>0</v>
      </c>
      <c r="K1421" s="112">
        <f ca="1" t="shared" si="1339"/>
        <v>0</v>
      </c>
      <c r="L1421" s="112">
        <f ca="1" t="shared" si="1339"/>
        <v>0</v>
      </c>
      <c r="M1421" s="112">
        <f ca="1" t="shared" si="1339"/>
        <v>0</v>
      </c>
      <c r="N1421" s="112">
        <f ca="1" t="shared" si="1339"/>
        <v>0</v>
      </c>
      <c r="O1421" s="112">
        <f ca="1" t="shared" si="1339"/>
        <v>0</v>
      </c>
      <c r="P1421" s="112">
        <f ca="1" t="shared" si="1339"/>
        <v>0</v>
      </c>
      <c r="Q1421" s="112">
        <f ca="1" t="shared" si="1339"/>
        <v>0</v>
      </c>
    </row>
    <row r="1422" ht="24" customHeight="1" spans="1:17">
      <c r="A1422" s="99" t="s">
        <v>348</v>
      </c>
      <c r="B1422" s="99" t="s">
        <v>299</v>
      </c>
      <c r="C1422" s="99" t="s">
        <v>316</v>
      </c>
      <c r="D1422" s="48" t="s">
        <v>325</v>
      </c>
      <c r="E1422" s="48" t="s">
        <v>83</v>
      </c>
      <c r="F1422" s="112">
        <f ca="1" t="shared" ref="F1422:Q1422" si="1340">IFERROR(F1418/F1414," ")</f>
        <v>0</v>
      </c>
      <c r="G1422" s="112">
        <f ca="1" t="shared" si="1340"/>
        <v>0</v>
      </c>
      <c r="H1422" s="112">
        <f ca="1" t="shared" si="1340"/>
        <v>0</v>
      </c>
      <c r="I1422" s="112">
        <f ca="1" t="shared" si="1340"/>
        <v>0</v>
      </c>
      <c r="J1422" s="112">
        <f ca="1" t="shared" si="1340"/>
        <v>0</v>
      </c>
      <c r="K1422" s="112">
        <f ca="1" t="shared" si="1340"/>
        <v>0.0769230769230769</v>
      </c>
      <c r="L1422" s="112">
        <f ca="1" t="shared" si="1340"/>
        <v>0.0666666666666667</v>
      </c>
      <c r="M1422" s="112">
        <f ca="1" t="shared" si="1340"/>
        <v>0.173913043478261</v>
      </c>
      <c r="N1422" s="112">
        <f ca="1" t="shared" si="1340"/>
        <v>0.178571428571429</v>
      </c>
      <c r="O1422" s="112">
        <f ca="1" t="shared" si="1340"/>
        <v>0.161290322580645</v>
      </c>
      <c r="P1422" s="112">
        <f ca="1" t="shared" si="1340"/>
        <v>0.15625</v>
      </c>
      <c r="Q1422" s="112">
        <f ca="1" t="shared" si="1340"/>
        <v>0.147058823529412</v>
      </c>
    </row>
    <row r="1423" ht="24" customHeight="1" spans="1:17">
      <c r="A1423" s="99" t="s">
        <v>348</v>
      </c>
      <c r="B1423" s="99" t="s">
        <v>299</v>
      </c>
      <c r="C1423" s="99" t="s">
        <v>316</v>
      </c>
      <c r="D1423" s="100" t="s">
        <v>292</v>
      </c>
      <c r="E1423" s="53" t="s">
        <v>326</v>
      </c>
      <c r="F1423" s="210">
        <f ca="1">IF($S$1&lt;DATE(2025,1,1)," ",IF((F1302-F1426-F1427-F1428-F1429-F1430)&lt;&gt;0,"ERR",F1302))</f>
        <v>4</v>
      </c>
      <c r="G1423" s="210">
        <f ca="1">IF($S$1&lt;DATE(2025,2,1)," ",IF((G1302+F1423-G1426-G1427-G1428-G1429-G1430)&lt;&gt;0,"ERR",G1302+F1423))</f>
        <v>5</v>
      </c>
      <c r="H1423" s="210">
        <f ca="1">IF($S$1&lt;DATE(2025,3,1)," ",IF((H1302+G1423-H1426-H1427-H1428-H1429-H1430)&lt;&gt;0,"ERR",H1302+G1423))</f>
        <v>5</v>
      </c>
      <c r="I1423" s="210">
        <f ca="1">IF($S$1&lt;DATE(2025,4,1)," ",IF((I1302+H1423-I1426-I1427-I1428-I1429-I1430)&lt;&gt;0,"ERR",I1302+H1423))</f>
        <v>5</v>
      </c>
      <c r="J1423" s="210">
        <f ca="1">IF($S$1&lt;DATE(2025,5,1)," ",IF((J1302+I1423-J1426-J1427-J1428-J1429-J1430)&lt;&gt;0,"ERR",J1302+I1423))</f>
        <v>7</v>
      </c>
      <c r="K1423" s="210">
        <f ca="1">IF($S$1&lt;DATE(2025,6,1)," ",IF((K1302+J1423-K1426-K1427-K1428-K1429-K1430)&lt;&gt;0,"ERR",K1302+J1423))</f>
        <v>8</v>
      </c>
      <c r="L1423" s="210">
        <f ca="1">IF($S$1&lt;DATE(2025,7,1)," ",IF((L1302+K1423-L1426-L1427-L1428-L1429-L1430)&lt;&gt;0,"ERR",L1302+K1423))</f>
        <v>9</v>
      </c>
      <c r="M1423" s="210">
        <f ca="1">IF($S$1&lt;DATE(2025,8,1)," ",IF((M1302+L1423-M1426-M1427-M1428-M1429-M1430)&lt;&gt;0,"ERR",M1302+L1423))</f>
        <v>14</v>
      </c>
      <c r="N1423" s="210">
        <f ca="1">IF($S$1&lt;DATE(2025,9,1)," ",IF((N1302+M1423-N1426-N1427-N1428-N1429-N1430)&lt;&gt;0,"ERR",N1302+M1423))</f>
        <v>15</v>
      </c>
      <c r="O1423" s="210">
        <f ca="1">IF($S$1&lt;DATE(2025,10,1)," ",IF((O1302+N1423-O1426-O1427-O1428-O1429-O1430)&lt;&gt;0,"ERR",O1302+N1423))</f>
        <v>17</v>
      </c>
      <c r="P1423" s="210">
        <f ca="1">IF($S$1&lt;DATE(2025,11,1)," ",IF((P1302+O1423-P1426-P1427-P1428-P1429-P1430)&lt;&gt;0,"ERR",P1302+O1423))</f>
        <v>18</v>
      </c>
      <c r="Q1423" s="210">
        <f ca="1">IF($S$1&lt;DATE(2025,12,1)," ",IF((Q1302+P1423-Q1426-Q1427-Q1428-Q1429-Q1430)&lt;&gt;0,"ERR",Q1302+P1423))</f>
        <v>21</v>
      </c>
    </row>
    <row r="1424" ht="24" customHeight="1" spans="1:17">
      <c r="A1424" s="99" t="s">
        <v>348</v>
      </c>
      <c r="B1424" s="99" t="s">
        <v>299</v>
      </c>
      <c r="C1424" s="99" t="s">
        <v>316</v>
      </c>
      <c r="D1424" s="100" t="s">
        <v>292</v>
      </c>
      <c r="E1424" s="53" t="s">
        <v>327</v>
      </c>
      <c r="F1424" s="210">
        <f ca="1">IF($S$1&lt;DATE(2025,1,1)," ",IF((F1303-F1431-F1432-F1433-F1434-F1435)&lt;&gt;0,"ERR",F1303))</f>
        <v>1</v>
      </c>
      <c r="G1424" s="210">
        <f ca="1">IF($S$1&lt;DATE(2025,2,1)," ",IF((G1303+F1424-G1431-G1432-G1433-G1434-G1435)&lt;&gt;0,"ERR",G1303+F1424))</f>
        <v>2</v>
      </c>
      <c r="H1424" s="210">
        <f ca="1">IF($S$1&lt;DATE(2025,3,1)," ",IF((H1303+G1424-H1431-H1432-H1433-H1434-H1435)&lt;&gt;0,"ERR",H1303+G1424))</f>
        <v>4</v>
      </c>
      <c r="I1424" s="210">
        <f ca="1">IF($S$1&lt;DATE(2025,4,1)," ",IF((I1303+H1424-I1431-I1432-I1433-I1434-I1435)&lt;&gt;0,"ERR",I1303+H1424))</f>
        <v>5</v>
      </c>
      <c r="J1424" s="210">
        <f ca="1">IF($S$1&lt;DATE(2025,5,1)," ",IF((J1303+I1424-J1431-J1432-J1433-J1434-J1435)&lt;&gt;0,"ERR",J1303+I1424))</f>
        <v>8</v>
      </c>
      <c r="K1424" s="210">
        <f ca="1">IF($S$1&lt;DATE(2025,6,1)," ",IF((K1303+J1424-K1431-K1432-K1433-K1434-K1435)&lt;&gt;0,"ERR",K1303+J1424))</f>
        <v>12</v>
      </c>
      <c r="L1424" s="210">
        <f ca="1">IF($S$1&lt;DATE(2025,7,1)," ",IF((L1303+K1424-L1431-L1432-L1433-L1434-L1435)&lt;&gt;0,"ERR",L1303+K1424))</f>
        <v>13</v>
      </c>
      <c r="M1424" s="210">
        <f ca="1">IF($S$1&lt;DATE(2025,8,1)," ",IF((M1303+L1424-M1431-M1432-M1433-M1434-M1435)&lt;&gt;0,"ERR",M1303+L1424))</f>
        <v>16</v>
      </c>
      <c r="N1424" s="210">
        <f ca="1">IF($S$1&lt;DATE(2025,9,1)," ",IF((N1303+M1424-N1431-N1432-N1433-N1434-N1435)&lt;&gt;0,"ERR",N1303+M1424))</f>
        <v>20</v>
      </c>
      <c r="O1424" s="210">
        <f ca="1">IF($S$1&lt;DATE(2025,10,1)," ",IF((O1303+N1424-O1431-O1432-O1433-O1434-O1435)&lt;&gt;0,"ERR",O1303+N1424))</f>
        <v>23</v>
      </c>
      <c r="P1424" s="210">
        <f ca="1">IF($S$1&lt;DATE(2025,11,1)," ",IF((P1303+O1424-P1431-P1432-P1433-P1434-P1435)&lt;&gt;0,"ERR",P1303+O1424))</f>
        <v>23</v>
      </c>
      <c r="Q1424" s="210">
        <f ca="1">IF($S$1&lt;DATE(2025,12,1)," ",IF((Q1303+P1424-Q1431-Q1432-Q1433-Q1434-Q1435)&lt;&gt;0,"ERR",Q1303+P1424))</f>
        <v>25</v>
      </c>
    </row>
    <row r="1425" ht="24" customHeight="1" spans="1:17">
      <c r="A1425" s="99" t="s">
        <v>348</v>
      </c>
      <c r="B1425" s="99" t="s">
        <v>299</v>
      </c>
      <c r="C1425" s="99" t="s">
        <v>316</v>
      </c>
      <c r="D1425" s="100" t="s">
        <v>292</v>
      </c>
      <c r="E1425" s="53" t="s">
        <v>328</v>
      </c>
      <c r="F1425" s="210">
        <f ca="1">IF($S$1&lt;DATE(2025,1,1)," ",IF((F1304-F1436-F1437-F1438-F1439-F1440)&lt;&gt;0,"ERR",F1304))</f>
        <v>0</v>
      </c>
      <c r="G1425" s="210">
        <f ca="1">IF($S$1&lt;DATE(2025,2,1)," ",IF((G1304+F1425-G1436-G1437-G1438-G1439-G1440)&lt;&gt;0,"ERR",G1304+F1425))</f>
        <v>0</v>
      </c>
      <c r="H1425" s="210">
        <f ca="1">IF($S$1&lt;DATE(2025,3,1)," ",IF((H1304+G1425-H1436-H1437-H1438-H1439-H1440)&lt;&gt;0,"ERR",H1304+G1425))</f>
        <v>0</v>
      </c>
      <c r="I1425" s="210">
        <f ca="1">IF($S$1&lt;DATE(2025,4,1)," ",IF((I1304+H1425-I1436-I1437-I1438-I1439-I1440)&lt;&gt;0,"ERR",I1304+H1425))</f>
        <v>1</v>
      </c>
      <c r="J1425" s="210">
        <f ca="1">IF($S$1&lt;DATE(2025,5,1)," ",IF((J1304+I1425-J1436-J1437-J1438-J1439-J1440)&lt;&gt;0,"ERR",J1304+I1425))</f>
        <v>1</v>
      </c>
      <c r="K1425" s="210">
        <f ca="1">IF($S$1&lt;DATE(2025,6,1)," ",IF((K1304+J1425-K1436-K1437-K1438-K1439-K1440)&lt;&gt;0,"ERR",K1304+J1425))</f>
        <v>1</v>
      </c>
      <c r="L1425" s="210">
        <f ca="1">IF($S$1&lt;DATE(2025,7,1)," ",IF((L1304+K1425-L1436-L1437-L1438-L1439-L1440)&lt;&gt;0,"ERR",L1304+K1425))</f>
        <v>2</v>
      </c>
      <c r="M1425" s="210">
        <f ca="1">IF($S$1&lt;DATE(2025,8,1)," ",IF((M1304+L1425-M1436-M1437-M1438-M1439-M1440)&lt;&gt;0,"ERR",M1304+L1425))</f>
        <v>2</v>
      </c>
      <c r="N1425" s="210">
        <f ca="1">IF($S$1&lt;DATE(2025,9,1)," ",IF((N1304+M1425-N1436-N1437-N1438-N1439-N1440)&lt;&gt;0,"ERR",N1304+M1425))</f>
        <v>2</v>
      </c>
      <c r="O1425" s="210">
        <f ca="1">IF($S$1&lt;DATE(2025,10,1)," ",IF((O1304+N1425-O1436-O1437-O1438-O1439-O1440)&lt;&gt;0,"ERR",O1304+N1425))</f>
        <v>2</v>
      </c>
      <c r="P1425" s="210">
        <f ca="1">IF($S$1&lt;DATE(2025,11,1)," ",IF((P1304+O1425-P1436-P1437-P1438-P1439-P1440)&lt;&gt;0,"ERR",P1304+O1425))</f>
        <v>2</v>
      </c>
      <c r="Q1425" s="210">
        <f ca="1">IF($S$1&lt;DATE(2025,12,1)," ",IF((Q1304+P1425-Q1436-Q1437-Q1438-Q1439-Q1440)&lt;&gt;0,"ERR",Q1304+P1425))</f>
        <v>2</v>
      </c>
    </row>
    <row r="1426" ht="24" customHeight="1" spans="1:17">
      <c r="A1426" s="99" t="s">
        <v>348</v>
      </c>
      <c r="B1426" s="99" t="s">
        <v>299</v>
      </c>
      <c r="C1426" s="99" t="s">
        <v>316</v>
      </c>
      <c r="D1426" s="53" t="s">
        <v>326</v>
      </c>
      <c r="E1426" s="53" t="s">
        <v>93</v>
      </c>
      <c r="F1426" s="210">
        <f ca="1" t="shared" ref="F1426:F1440" si="1341">IF($S$1&lt;DATE(2025,1,1)," ",F1305)</f>
        <v>0</v>
      </c>
      <c r="G1426" s="210">
        <f ca="1" t="shared" ref="G1426:G1440" si="1342">IF($S$1&lt;DATE(2025,2,1)," ",G1305+F1426)</f>
        <v>1</v>
      </c>
      <c r="H1426" s="210">
        <f ca="1" t="shared" ref="H1426:H1440" si="1343">IF($S$1&lt;DATE(2025,3,1)," ",H1305+G1426)</f>
        <v>1</v>
      </c>
      <c r="I1426" s="210">
        <f ca="1" t="shared" ref="I1426:I1440" si="1344">IF($S$1&lt;DATE(2025,4,1)," ",I1305+H1426)</f>
        <v>1</v>
      </c>
      <c r="J1426" s="210">
        <f ca="1" t="shared" ref="J1426:J1440" si="1345">IF($S$1&lt;DATE(2025,5,1)," ",J1305+I1426)</f>
        <v>2</v>
      </c>
      <c r="K1426" s="210">
        <f ca="1" t="shared" ref="K1426:K1440" si="1346">IF($S$1&lt;DATE(2025,6,1)," ",K1305+J1426)</f>
        <v>3</v>
      </c>
      <c r="L1426" s="210">
        <f ca="1" t="shared" ref="L1426:L1440" si="1347">IF($S$1&lt;DATE(2025,7,1)," ",L1305+K1426)</f>
        <v>3</v>
      </c>
      <c r="M1426" s="210">
        <f ca="1" t="shared" ref="M1426:M1440" si="1348">IF($S$1&lt;DATE(2025,8,1)," ",M1305+L1426)</f>
        <v>5</v>
      </c>
      <c r="N1426" s="210">
        <f ca="1" t="shared" ref="N1426:N1440" si="1349">IF($S$1&lt;DATE(2025,9,1)," ",N1305+M1426)</f>
        <v>6</v>
      </c>
      <c r="O1426" s="210">
        <f ca="1" t="shared" ref="O1426:O1440" si="1350">IF($S$1&lt;DATE(2025,10,1)," ",O1305+N1426)</f>
        <v>6</v>
      </c>
      <c r="P1426" s="210">
        <f ca="1" t="shared" ref="P1426:P1440" si="1351">IF($S$1&lt;DATE(2025,11,1)," ",P1305+O1426)</f>
        <v>6</v>
      </c>
      <c r="Q1426" s="210">
        <f ca="1" t="shared" ref="Q1426:Q1440" si="1352">IF($S$1&lt;DATE(2025,12,1)," ",Q1305+P1426)</f>
        <v>6</v>
      </c>
    </row>
    <row r="1427" ht="24" customHeight="1" spans="1:17">
      <c r="A1427" s="99" t="s">
        <v>348</v>
      </c>
      <c r="B1427" s="99" t="s">
        <v>299</v>
      </c>
      <c r="C1427" s="99" t="s">
        <v>316</v>
      </c>
      <c r="D1427" s="53" t="s">
        <v>326</v>
      </c>
      <c r="E1427" s="53" t="s">
        <v>85</v>
      </c>
      <c r="F1427" s="210">
        <f ca="1" t="shared" si="1341"/>
        <v>2</v>
      </c>
      <c r="G1427" s="210">
        <f ca="1" t="shared" si="1342"/>
        <v>2</v>
      </c>
      <c r="H1427" s="210">
        <f ca="1" t="shared" si="1343"/>
        <v>2</v>
      </c>
      <c r="I1427" s="210">
        <f ca="1" t="shared" si="1344"/>
        <v>2</v>
      </c>
      <c r="J1427" s="210">
        <f ca="1" t="shared" si="1345"/>
        <v>3</v>
      </c>
      <c r="K1427" s="210">
        <f ca="1" t="shared" si="1346"/>
        <v>3</v>
      </c>
      <c r="L1427" s="210">
        <f ca="1" t="shared" si="1347"/>
        <v>3</v>
      </c>
      <c r="M1427" s="210">
        <f ca="1" t="shared" si="1348"/>
        <v>4</v>
      </c>
      <c r="N1427" s="210">
        <f ca="1" t="shared" si="1349"/>
        <v>4</v>
      </c>
      <c r="O1427" s="210">
        <f ca="1" t="shared" si="1350"/>
        <v>5</v>
      </c>
      <c r="P1427" s="210">
        <f ca="1" t="shared" si="1351"/>
        <v>6</v>
      </c>
      <c r="Q1427" s="210">
        <f ca="1" t="shared" si="1352"/>
        <v>9</v>
      </c>
    </row>
    <row r="1428" ht="24" customHeight="1" spans="1:17">
      <c r="A1428" s="99" t="s">
        <v>348</v>
      </c>
      <c r="B1428" s="99" t="s">
        <v>299</v>
      </c>
      <c r="C1428" s="99" t="s">
        <v>316</v>
      </c>
      <c r="D1428" s="53" t="s">
        <v>326</v>
      </c>
      <c r="E1428" s="53" t="s">
        <v>81</v>
      </c>
      <c r="F1428" s="210">
        <f ca="1" t="shared" si="1341"/>
        <v>2</v>
      </c>
      <c r="G1428" s="210">
        <f ca="1" t="shared" si="1342"/>
        <v>2</v>
      </c>
      <c r="H1428" s="210">
        <f ca="1" t="shared" si="1343"/>
        <v>2</v>
      </c>
      <c r="I1428" s="210">
        <f ca="1" t="shared" si="1344"/>
        <v>2</v>
      </c>
      <c r="J1428" s="210">
        <f ca="1" t="shared" si="1345"/>
        <v>2</v>
      </c>
      <c r="K1428" s="210">
        <f ca="1" t="shared" si="1346"/>
        <v>2</v>
      </c>
      <c r="L1428" s="210">
        <f ca="1" t="shared" si="1347"/>
        <v>3</v>
      </c>
      <c r="M1428" s="210">
        <f ca="1" t="shared" si="1348"/>
        <v>4</v>
      </c>
      <c r="N1428" s="210">
        <f ca="1" t="shared" si="1349"/>
        <v>4</v>
      </c>
      <c r="O1428" s="210">
        <f ca="1" t="shared" si="1350"/>
        <v>5</v>
      </c>
      <c r="P1428" s="210">
        <f ca="1" t="shared" si="1351"/>
        <v>5</v>
      </c>
      <c r="Q1428" s="210">
        <f ca="1" t="shared" si="1352"/>
        <v>5</v>
      </c>
    </row>
    <row r="1429" ht="24" customHeight="1" spans="1:17">
      <c r="A1429" s="99" t="s">
        <v>348</v>
      </c>
      <c r="B1429" s="99" t="s">
        <v>299</v>
      </c>
      <c r="C1429" s="99" t="s">
        <v>316</v>
      </c>
      <c r="D1429" s="53" t="s">
        <v>326</v>
      </c>
      <c r="E1429" s="53" t="s">
        <v>96</v>
      </c>
      <c r="F1429" s="210">
        <f ca="1" t="shared" si="1341"/>
        <v>0</v>
      </c>
      <c r="G1429" s="210">
        <f ca="1" t="shared" si="1342"/>
        <v>0</v>
      </c>
      <c r="H1429" s="210">
        <f ca="1" t="shared" si="1343"/>
        <v>0</v>
      </c>
      <c r="I1429" s="210">
        <f ca="1" t="shared" si="1344"/>
        <v>0</v>
      </c>
      <c r="J1429" s="210">
        <f ca="1" t="shared" si="1345"/>
        <v>0</v>
      </c>
      <c r="K1429" s="210">
        <f ca="1" t="shared" si="1346"/>
        <v>0</v>
      </c>
      <c r="L1429" s="210">
        <f ca="1" t="shared" si="1347"/>
        <v>0</v>
      </c>
      <c r="M1429" s="210">
        <f ca="1" t="shared" si="1348"/>
        <v>0</v>
      </c>
      <c r="N1429" s="210">
        <f ca="1" t="shared" si="1349"/>
        <v>0</v>
      </c>
      <c r="O1429" s="210">
        <f ca="1" t="shared" si="1350"/>
        <v>0</v>
      </c>
      <c r="P1429" s="210">
        <f ca="1" t="shared" si="1351"/>
        <v>0</v>
      </c>
      <c r="Q1429" s="210">
        <f ca="1" t="shared" si="1352"/>
        <v>0</v>
      </c>
    </row>
    <row r="1430" ht="24" customHeight="1" spans="1:17">
      <c r="A1430" s="99" t="s">
        <v>348</v>
      </c>
      <c r="B1430" s="99" t="s">
        <v>299</v>
      </c>
      <c r="C1430" s="99" t="s">
        <v>316</v>
      </c>
      <c r="D1430" s="53" t="s">
        <v>326</v>
      </c>
      <c r="E1430" s="53" t="s">
        <v>160</v>
      </c>
      <c r="F1430" s="210">
        <f ca="1" t="shared" si="1341"/>
        <v>0</v>
      </c>
      <c r="G1430" s="210">
        <f ca="1" t="shared" si="1342"/>
        <v>0</v>
      </c>
      <c r="H1430" s="210">
        <f ca="1" t="shared" si="1343"/>
        <v>0</v>
      </c>
      <c r="I1430" s="210">
        <f ca="1" t="shared" si="1344"/>
        <v>0</v>
      </c>
      <c r="J1430" s="210">
        <f ca="1" t="shared" si="1345"/>
        <v>0</v>
      </c>
      <c r="K1430" s="210">
        <f ca="1" t="shared" si="1346"/>
        <v>0</v>
      </c>
      <c r="L1430" s="210">
        <f ca="1" t="shared" si="1347"/>
        <v>0</v>
      </c>
      <c r="M1430" s="210">
        <f ca="1" t="shared" si="1348"/>
        <v>1</v>
      </c>
      <c r="N1430" s="210">
        <f ca="1" t="shared" si="1349"/>
        <v>1</v>
      </c>
      <c r="O1430" s="210">
        <f ca="1" t="shared" si="1350"/>
        <v>1</v>
      </c>
      <c r="P1430" s="210">
        <f ca="1" t="shared" si="1351"/>
        <v>1</v>
      </c>
      <c r="Q1430" s="210">
        <f ca="1" t="shared" si="1352"/>
        <v>1</v>
      </c>
    </row>
    <row r="1431" ht="24" customHeight="1" spans="1:17">
      <c r="A1431" s="99" t="s">
        <v>348</v>
      </c>
      <c r="B1431" s="99" t="s">
        <v>299</v>
      </c>
      <c r="C1431" s="99" t="s">
        <v>316</v>
      </c>
      <c r="D1431" s="53" t="s">
        <v>327</v>
      </c>
      <c r="E1431" s="53" t="s">
        <v>93</v>
      </c>
      <c r="F1431" s="210">
        <f ca="1" t="shared" si="1341"/>
        <v>0</v>
      </c>
      <c r="G1431" s="210">
        <f ca="1" t="shared" si="1342"/>
        <v>1</v>
      </c>
      <c r="H1431" s="210">
        <f ca="1" t="shared" si="1343"/>
        <v>3</v>
      </c>
      <c r="I1431" s="210">
        <f ca="1" t="shared" si="1344"/>
        <v>4</v>
      </c>
      <c r="J1431" s="210">
        <f ca="1" t="shared" si="1345"/>
        <v>7</v>
      </c>
      <c r="K1431" s="210">
        <f ca="1" t="shared" si="1346"/>
        <v>9</v>
      </c>
      <c r="L1431" s="210">
        <f ca="1" t="shared" si="1347"/>
        <v>10</v>
      </c>
      <c r="M1431" s="210">
        <f ca="1" t="shared" si="1348"/>
        <v>11</v>
      </c>
      <c r="N1431" s="210">
        <f ca="1" t="shared" si="1349"/>
        <v>12</v>
      </c>
      <c r="O1431" s="210">
        <f ca="1" t="shared" si="1350"/>
        <v>13</v>
      </c>
      <c r="P1431" s="210">
        <f ca="1" t="shared" si="1351"/>
        <v>13</v>
      </c>
      <c r="Q1431" s="210">
        <f ca="1" t="shared" si="1352"/>
        <v>15</v>
      </c>
    </row>
    <row r="1432" ht="24" customHeight="1" spans="1:17">
      <c r="A1432" s="99" t="s">
        <v>348</v>
      </c>
      <c r="B1432" s="99" t="s">
        <v>299</v>
      </c>
      <c r="C1432" s="99" t="s">
        <v>316</v>
      </c>
      <c r="D1432" s="53" t="s">
        <v>327</v>
      </c>
      <c r="E1432" s="53" t="s">
        <v>85</v>
      </c>
      <c r="F1432" s="210">
        <f ca="1" t="shared" si="1341"/>
        <v>0</v>
      </c>
      <c r="G1432" s="210">
        <f ca="1" t="shared" si="1342"/>
        <v>0</v>
      </c>
      <c r="H1432" s="210">
        <f ca="1" t="shared" si="1343"/>
        <v>0</v>
      </c>
      <c r="I1432" s="210">
        <f ca="1" t="shared" si="1344"/>
        <v>0</v>
      </c>
      <c r="J1432" s="210">
        <f ca="1" t="shared" si="1345"/>
        <v>0</v>
      </c>
      <c r="K1432" s="210">
        <f ca="1" t="shared" si="1346"/>
        <v>1</v>
      </c>
      <c r="L1432" s="210">
        <f ca="1" t="shared" si="1347"/>
        <v>1</v>
      </c>
      <c r="M1432" s="210">
        <f ca="1" t="shared" si="1348"/>
        <v>2</v>
      </c>
      <c r="N1432" s="210">
        <f ca="1" t="shared" si="1349"/>
        <v>3</v>
      </c>
      <c r="O1432" s="210">
        <f ca="1" t="shared" si="1350"/>
        <v>5</v>
      </c>
      <c r="P1432" s="210">
        <f ca="1" t="shared" si="1351"/>
        <v>5</v>
      </c>
      <c r="Q1432" s="210">
        <f ca="1" t="shared" si="1352"/>
        <v>5</v>
      </c>
    </row>
    <row r="1433" ht="24" customHeight="1" spans="1:17">
      <c r="A1433" s="99" t="s">
        <v>348</v>
      </c>
      <c r="B1433" s="99" t="s">
        <v>299</v>
      </c>
      <c r="C1433" s="99" t="s">
        <v>316</v>
      </c>
      <c r="D1433" s="53" t="s">
        <v>327</v>
      </c>
      <c r="E1433" s="53" t="s">
        <v>81</v>
      </c>
      <c r="F1433" s="210">
        <f ca="1" t="shared" si="1341"/>
        <v>0</v>
      </c>
      <c r="G1433" s="210">
        <f ca="1" t="shared" si="1342"/>
        <v>0</v>
      </c>
      <c r="H1433" s="210">
        <f ca="1" t="shared" si="1343"/>
        <v>0</v>
      </c>
      <c r="I1433" s="210">
        <f ca="1" t="shared" si="1344"/>
        <v>0</v>
      </c>
      <c r="J1433" s="210">
        <f ca="1" t="shared" si="1345"/>
        <v>0</v>
      </c>
      <c r="K1433" s="210">
        <f ca="1" t="shared" si="1346"/>
        <v>1</v>
      </c>
      <c r="L1433" s="210">
        <f ca="1" t="shared" si="1347"/>
        <v>1</v>
      </c>
      <c r="M1433" s="210">
        <f ca="1" t="shared" si="1348"/>
        <v>2</v>
      </c>
      <c r="N1433" s="210">
        <f ca="1" t="shared" si="1349"/>
        <v>4</v>
      </c>
      <c r="O1433" s="210">
        <f ca="1" t="shared" si="1350"/>
        <v>4</v>
      </c>
      <c r="P1433" s="210">
        <f ca="1" t="shared" si="1351"/>
        <v>4</v>
      </c>
      <c r="Q1433" s="210">
        <f ca="1" t="shared" si="1352"/>
        <v>4</v>
      </c>
    </row>
    <row r="1434" ht="24" customHeight="1" spans="1:17">
      <c r="A1434" s="99" t="s">
        <v>348</v>
      </c>
      <c r="B1434" s="99" t="s">
        <v>299</v>
      </c>
      <c r="C1434" s="99" t="s">
        <v>316</v>
      </c>
      <c r="D1434" s="53" t="s">
        <v>327</v>
      </c>
      <c r="E1434" s="53" t="s">
        <v>96</v>
      </c>
      <c r="F1434" s="210">
        <f ca="1" t="shared" si="1341"/>
        <v>1</v>
      </c>
      <c r="G1434" s="210">
        <f ca="1" t="shared" si="1342"/>
        <v>1</v>
      </c>
      <c r="H1434" s="210">
        <f ca="1" t="shared" si="1343"/>
        <v>1</v>
      </c>
      <c r="I1434" s="210">
        <f ca="1" t="shared" si="1344"/>
        <v>1</v>
      </c>
      <c r="J1434" s="210">
        <f ca="1" t="shared" si="1345"/>
        <v>1</v>
      </c>
      <c r="K1434" s="210">
        <f ca="1" t="shared" si="1346"/>
        <v>1</v>
      </c>
      <c r="L1434" s="210">
        <f ca="1" t="shared" si="1347"/>
        <v>1</v>
      </c>
      <c r="M1434" s="210">
        <f ca="1" t="shared" si="1348"/>
        <v>1</v>
      </c>
      <c r="N1434" s="210">
        <f ca="1" t="shared" si="1349"/>
        <v>1</v>
      </c>
      <c r="O1434" s="210">
        <f ca="1" t="shared" si="1350"/>
        <v>1</v>
      </c>
      <c r="P1434" s="210">
        <f ca="1" t="shared" si="1351"/>
        <v>1</v>
      </c>
      <c r="Q1434" s="210">
        <f ca="1" t="shared" si="1352"/>
        <v>1</v>
      </c>
    </row>
    <row r="1435" ht="24" customHeight="1" spans="1:17">
      <c r="A1435" s="99" t="s">
        <v>348</v>
      </c>
      <c r="B1435" s="99" t="s">
        <v>299</v>
      </c>
      <c r="C1435" s="99" t="s">
        <v>316</v>
      </c>
      <c r="D1435" s="53" t="s">
        <v>327</v>
      </c>
      <c r="E1435" s="53" t="s">
        <v>160</v>
      </c>
      <c r="F1435" s="210">
        <f ca="1" t="shared" si="1341"/>
        <v>0</v>
      </c>
      <c r="G1435" s="210">
        <f ca="1" t="shared" si="1342"/>
        <v>0</v>
      </c>
      <c r="H1435" s="210">
        <f ca="1" t="shared" si="1343"/>
        <v>0</v>
      </c>
      <c r="I1435" s="210">
        <f ca="1" t="shared" si="1344"/>
        <v>0</v>
      </c>
      <c r="J1435" s="210">
        <f ca="1" t="shared" si="1345"/>
        <v>0</v>
      </c>
      <c r="K1435" s="210">
        <f ca="1" t="shared" si="1346"/>
        <v>0</v>
      </c>
      <c r="L1435" s="210">
        <f ca="1" t="shared" si="1347"/>
        <v>0</v>
      </c>
      <c r="M1435" s="210">
        <f ca="1" t="shared" si="1348"/>
        <v>0</v>
      </c>
      <c r="N1435" s="210">
        <f ca="1" t="shared" si="1349"/>
        <v>0</v>
      </c>
      <c r="O1435" s="210">
        <f ca="1" t="shared" si="1350"/>
        <v>0</v>
      </c>
      <c r="P1435" s="210">
        <f ca="1" t="shared" si="1351"/>
        <v>0</v>
      </c>
      <c r="Q1435" s="210">
        <f ca="1" t="shared" si="1352"/>
        <v>0</v>
      </c>
    </row>
    <row r="1436" ht="24" customHeight="1" spans="1:17">
      <c r="A1436" s="99" t="s">
        <v>348</v>
      </c>
      <c r="B1436" s="99" t="s">
        <v>299</v>
      </c>
      <c r="C1436" s="99" t="s">
        <v>316</v>
      </c>
      <c r="D1436" s="53" t="s">
        <v>328</v>
      </c>
      <c r="E1436" s="53" t="s">
        <v>93</v>
      </c>
      <c r="F1436" s="210">
        <f ca="1" t="shared" si="1341"/>
        <v>0</v>
      </c>
      <c r="G1436" s="210">
        <f ca="1" t="shared" si="1342"/>
        <v>0</v>
      </c>
      <c r="H1436" s="210">
        <f ca="1" t="shared" si="1343"/>
        <v>0</v>
      </c>
      <c r="I1436" s="210">
        <f ca="1" t="shared" si="1344"/>
        <v>0</v>
      </c>
      <c r="J1436" s="210">
        <f ca="1" t="shared" si="1345"/>
        <v>0</v>
      </c>
      <c r="K1436" s="210">
        <f ca="1" t="shared" si="1346"/>
        <v>0</v>
      </c>
      <c r="L1436" s="210">
        <f ca="1" t="shared" si="1347"/>
        <v>0</v>
      </c>
      <c r="M1436" s="210">
        <f ca="1" t="shared" si="1348"/>
        <v>0</v>
      </c>
      <c r="N1436" s="210">
        <f ca="1" t="shared" si="1349"/>
        <v>0</v>
      </c>
      <c r="O1436" s="210">
        <f ca="1" t="shared" si="1350"/>
        <v>0</v>
      </c>
      <c r="P1436" s="210">
        <f ca="1" t="shared" si="1351"/>
        <v>0</v>
      </c>
      <c r="Q1436" s="210">
        <f ca="1" t="shared" si="1352"/>
        <v>0</v>
      </c>
    </row>
    <row r="1437" ht="24" customHeight="1" spans="1:17">
      <c r="A1437" s="99" t="s">
        <v>348</v>
      </c>
      <c r="B1437" s="99" t="s">
        <v>299</v>
      </c>
      <c r="C1437" s="99" t="s">
        <v>316</v>
      </c>
      <c r="D1437" s="53" t="s">
        <v>328</v>
      </c>
      <c r="E1437" s="53" t="s">
        <v>85</v>
      </c>
      <c r="F1437" s="210">
        <f ca="1" t="shared" si="1341"/>
        <v>0</v>
      </c>
      <c r="G1437" s="210">
        <f ca="1" t="shared" si="1342"/>
        <v>0</v>
      </c>
      <c r="H1437" s="210">
        <f ca="1" t="shared" si="1343"/>
        <v>0</v>
      </c>
      <c r="I1437" s="210">
        <f ca="1" t="shared" si="1344"/>
        <v>0</v>
      </c>
      <c r="J1437" s="210">
        <f ca="1" t="shared" si="1345"/>
        <v>0</v>
      </c>
      <c r="K1437" s="210">
        <f ca="1" t="shared" si="1346"/>
        <v>0</v>
      </c>
      <c r="L1437" s="210">
        <f ca="1" t="shared" si="1347"/>
        <v>0</v>
      </c>
      <c r="M1437" s="210">
        <f ca="1" t="shared" si="1348"/>
        <v>0</v>
      </c>
      <c r="N1437" s="210">
        <f ca="1" t="shared" si="1349"/>
        <v>0</v>
      </c>
      <c r="O1437" s="210">
        <f ca="1" t="shared" si="1350"/>
        <v>0</v>
      </c>
      <c r="P1437" s="210">
        <f ca="1" t="shared" si="1351"/>
        <v>0</v>
      </c>
      <c r="Q1437" s="210">
        <f ca="1" t="shared" si="1352"/>
        <v>0</v>
      </c>
    </row>
    <row r="1438" ht="24" customHeight="1" spans="1:17">
      <c r="A1438" s="99" t="s">
        <v>348</v>
      </c>
      <c r="B1438" s="99" t="s">
        <v>299</v>
      </c>
      <c r="C1438" s="99" t="s">
        <v>316</v>
      </c>
      <c r="D1438" s="53" t="s">
        <v>328</v>
      </c>
      <c r="E1438" s="53" t="s">
        <v>81</v>
      </c>
      <c r="F1438" s="210">
        <f ca="1" t="shared" si="1341"/>
        <v>0</v>
      </c>
      <c r="G1438" s="210">
        <f ca="1" t="shared" si="1342"/>
        <v>0</v>
      </c>
      <c r="H1438" s="210">
        <f ca="1" t="shared" si="1343"/>
        <v>0</v>
      </c>
      <c r="I1438" s="210">
        <f ca="1" t="shared" si="1344"/>
        <v>0</v>
      </c>
      <c r="J1438" s="210">
        <f ca="1" t="shared" si="1345"/>
        <v>0</v>
      </c>
      <c r="K1438" s="210">
        <f ca="1" t="shared" si="1346"/>
        <v>0</v>
      </c>
      <c r="L1438" s="210">
        <f ca="1" t="shared" si="1347"/>
        <v>0</v>
      </c>
      <c r="M1438" s="210">
        <f ca="1" t="shared" si="1348"/>
        <v>0</v>
      </c>
      <c r="N1438" s="210">
        <f ca="1" t="shared" si="1349"/>
        <v>0</v>
      </c>
      <c r="O1438" s="210">
        <f ca="1" t="shared" si="1350"/>
        <v>0</v>
      </c>
      <c r="P1438" s="210">
        <f ca="1" t="shared" si="1351"/>
        <v>0</v>
      </c>
      <c r="Q1438" s="210">
        <f ca="1" t="shared" si="1352"/>
        <v>0</v>
      </c>
    </row>
    <row r="1439" ht="24" customHeight="1" spans="1:17">
      <c r="A1439" s="99" t="s">
        <v>348</v>
      </c>
      <c r="B1439" s="99" t="s">
        <v>299</v>
      </c>
      <c r="C1439" s="99" t="s">
        <v>316</v>
      </c>
      <c r="D1439" s="53" t="s">
        <v>328</v>
      </c>
      <c r="E1439" s="53" t="s">
        <v>96</v>
      </c>
      <c r="F1439" s="210">
        <f ca="1" t="shared" si="1341"/>
        <v>0</v>
      </c>
      <c r="G1439" s="210">
        <f ca="1" t="shared" si="1342"/>
        <v>0</v>
      </c>
      <c r="H1439" s="210">
        <f ca="1" t="shared" si="1343"/>
        <v>0</v>
      </c>
      <c r="I1439" s="210">
        <f ca="1" t="shared" si="1344"/>
        <v>1</v>
      </c>
      <c r="J1439" s="210">
        <f ca="1" t="shared" si="1345"/>
        <v>1</v>
      </c>
      <c r="K1439" s="210">
        <f ca="1" t="shared" si="1346"/>
        <v>1</v>
      </c>
      <c r="L1439" s="210">
        <f ca="1" t="shared" si="1347"/>
        <v>2</v>
      </c>
      <c r="M1439" s="210">
        <f ca="1" t="shared" si="1348"/>
        <v>2</v>
      </c>
      <c r="N1439" s="210">
        <f ca="1" t="shared" si="1349"/>
        <v>2</v>
      </c>
      <c r="O1439" s="210">
        <f ca="1" t="shared" si="1350"/>
        <v>2</v>
      </c>
      <c r="P1439" s="210">
        <f ca="1" t="shared" si="1351"/>
        <v>2</v>
      </c>
      <c r="Q1439" s="210">
        <f ca="1" t="shared" si="1352"/>
        <v>2</v>
      </c>
    </row>
    <row r="1440" ht="24" customHeight="1" spans="1:17">
      <c r="A1440" s="99" t="s">
        <v>348</v>
      </c>
      <c r="B1440" s="99" t="s">
        <v>299</v>
      </c>
      <c r="C1440" s="99" t="s">
        <v>316</v>
      </c>
      <c r="D1440" s="53" t="s">
        <v>328</v>
      </c>
      <c r="E1440" s="53" t="s">
        <v>160</v>
      </c>
      <c r="F1440" s="210">
        <f ca="1" t="shared" si="1341"/>
        <v>0</v>
      </c>
      <c r="G1440" s="210">
        <f ca="1" t="shared" si="1342"/>
        <v>0</v>
      </c>
      <c r="H1440" s="210">
        <f ca="1" t="shared" si="1343"/>
        <v>0</v>
      </c>
      <c r="I1440" s="210">
        <f ca="1" t="shared" si="1344"/>
        <v>0</v>
      </c>
      <c r="J1440" s="210">
        <f ca="1" t="shared" si="1345"/>
        <v>0</v>
      </c>
      <c r="K1440" s="210">
        <f ca="1" t="shared" si="1346"/>
        <v>0</v>
      </c>
      <c r="L1440" s="210">
        <f ca="1" t="shared" si="1347"/>
        <v>0</v>
      </c>
      <c r="M1440" s="210">
        <f ca="1" t="shared" si="1348"/>
        <v>0</v>
      </c>
      <c r="N1440" s="210">
        <f ca="1" t="shared" si="1349"/>
        <v>0</v>
      </c>
      <c r="O1440" s="210">
        <f ca="1" t="shared" si="1350"/>
        <v>0</v>
      </c>
      <c r="P1440" s="210">
        <f ca="1" t="shared" si="1351"/>
        <v>0</v>
      </c>
      <c r="Q1440" s="210">
        <f ca="1" t="shared" si="1352"/>
        <v>0</v>
      </c>
    </row>
    <row r="1441" ht="24" customHeight="1" spans="1:17">
      <c r="A1441" s="99" t="s">
        <v>348</v>
      </c>
      <c r="B1441" s="99" t="s">
        <v>299</v>
      </c>
      <c r="C1441" s="99" t="s">
        <v>329</v>
      </c>
      <c r="D1441" s="113" t="s">
        <v>292</v>
      </c>
      <c r="E1441" s="113" t="s">
        <v>330</v>
      </c>
      <c r="F1441" s="115">
        <f ca="1" t="shared" ref="F1441:Q1441" si="1353">IFERROR(IF(F1365=" "," ",F1387/F1365)," ")</f>
        <v>1</v>
      </c>
      <c r="G1441" s="115">
        <f ca="1" t="shared" si="1353"/>
        <v>0.875</v>
      </c>
      <c r="H1441" s="115">
        <f ca="1" t="shared" si="1353"/>
        <v>0.9</v>
      </c>
      <c r="I1441" s="115">
        <f ca="1" t="shared" si="1353"/>
        <v>0.785714285714286</v>
      </c>
      <c r="J1441" s="115">
        <f ca="1" t="shared" si="1353"/>
        <v>0.842105263157895</v>
      </c>
      <c r="K1441" s="115">
        <f ca="1" t="shared" si="1353"/>
        <v>0.875</v>
      </c>
      <c r="L1441" s="115">
        <f ca="1" t="shared" si="1353"/>
        <v>0.827586206896552</v>
      </c>
      <c r="M1441" s="115">
        <f ca="1" t="shared" si="1353"/>
        <v>0.941176470588235</v>
      </c>
      <c r="N1441" s="115">
        <f ca="1" t="shared" si="1353"/>
        <v>0.902439024390244</v>
      </c>
      <c r="O1441" s="115">
        <f ca="1" t="shared" si="1353"/>
        <v>0.954545454545455</v>
      </c>
      <c r="P1441" s="115">
        <f ca="1" t="shared" si="1353"/>
        <v>0.895833333333333</v>
      </c>
      <c r="Q1441" s="115">
        <f ca="1" t="shared" si="1353"/>
        <v>0.888888888888889</v>
      </c>
    </row>
    <row r="1442" ht="24" customHeight="1" spans="1:17">
      <c r="A1442" s="99" t="s">
        <v>348</v>
      </c>
      <c r="B1442" s="99" t="s">
        <v>299</v>
      </c>
      <c r="C1442" s="99" t="s">
        <v>329</v>
      </c>
      <c r="D1442" s="48" t="s">
        <v>296</v>
      </c>
      <c r="E1442" s="116" t="s">
        <v>90</v>
      </c>
      <c r="F1442" s="117">
        <f ca="1" t="shared" ref="F1442:F1448" si="1354">IFERROR(IF(F1366=" "," ",F1388/F1366)," ")</f>
        <v>1</v>
      </c>
      <c r="G1442" s="117">
        <f ca="1" t="shared" ref="G1442:Q1442" si="1355">IF(G1366=" "," ",G1388/G1366)</f>
        <v>0.666666666666667</v>
      </c>
      <c r="H1442" s="117">
        <f ca="1" t="shared" si="1355"/>
        <v>1</v>
      </c>
      <c r="I1442" s="117">
        <f ca="1" t="shared" si="1355"/>
        <v>1</v>
      </c>
      <c r="J1442" s="117">
        <f ca="1" t="shared" si="1355"/>
        <v>1</v>
      </c>
      <c r="K1442" s="117">
        <f ca="1" t="shared" si="1355"/>
        <v>1</v>
      </c>
      <c r="L1442" s="117">
        <f ca="1" t="shared" si="1355"/>
        <v>1</v>
      </c>
      <c r="M1442" s="117">
        <f ca="1" t="shared" si="1355"/>
        <v>0.857142857142857</v>
      </c>
      <c r="N1442" s="117">
        <f ca="1" t="shared" si="1355"/>
        <v>0.777777777777778</v>
      </c>
      <c r="O1442" s="117">
        <f ca="1" t="shared" si="1355"/>
        <v>1</v>
      </c>
      <c r="P1442" s="117">
        <f ca="1" t="shared" si="1355"/>
        <v>0.909090909090909</v>
      </c>
      <c r="Q1442" s="117">
        <f ca="1" t="shared" si="1355"/>
        <v>0.923076923076923</v>
      </c>
    </row>
    <row r="1443" ht="24" customHeight="1" spans="1:17">
      <c r="A1443" s="99" t="s">
        <v>348</v>
      </c>
      <c r="B1443" s="99" t="s">
        <v>299</v>
      </c>
      <c r="C1443" s="99" t="s">
        <v>329</v>
      </c>
      <c r="D1443" s="48" t="s">
        <v>296</v>
      </c>
      <c r="E1443" s="116" t="s">
        <v>82</v>
      </c>
      <c r="F1443" s="117" t="str">
        <f ca="1" t="shared" si="1354"/>
        <v> </v>
      </c>
      <c r="G1443" s="117" t="str">
        <f ca="1">IFERROR(IF(G1367=" "," ",G1389/G1367)," ")</f>
        <v> </v>
      </c>
      <c r="H1443" s="117">
        <f ca="1" t="shared" ref="H1443:Q1443" si="1356">IF(H1367=" "," ",H1389/H1367)</f>
        <v>1</v>
      </c>
      <c r="I1443" s="117">
        <f ca="1" t="shared" si="1356"/>
        <v>0.5</v>
      </c>
      <c r="J1443" s="117">
        <f ca="1" t="shared" si="1356"/>
        <v>0.666666666666667</v>
      </c>
      <c r="K1443" s="117">
        <f ca="1" t="shared" si="1356"/>
        <v>0.6</v>
      </c>
      <c r="L1443" s="117">
        <f ca="1" t="shared" si="1356"/>
        <v>0.666666666666667</v>
      </c>
      <c r="M1443" s="117">
        <f ca="1" t="shared" si="1356"/>
        <v>1</v>
      </c>
      <c r="N1443" s="117">
        <f ca="1" t="shared" si="1356"/>
        <v>0.777777777777778</v>
      </c>
      <c r="O1443" s="117">
        <f ca="1" t="shared" si="1356"/>
        <v>1</v>
      </c>
      <c r="P1443" s="117">
        <f ca="1" t="shared" si="1356"/>
        <v>0.818181818181818</v>
      </c>
      <c r="Q1443" s="117">
        <f ca="1" t="shared" si="1356"/>
        <v>0.833333333333333</v>
      </c>
    </row>
    <row r="1444" ht="24" customHeight="1" spans="1:17">
      <c r="A1444" s="99" t="s">
        <v>348</v>
      </c>
      <c r="B1444" s="99" t="s">
        <v>299</v>
      </c>
      <c r="C1444" s="99" t="s">
        <v>329</v>
      </c>
      <c r="D1444" s="48" t="s">
        <v>296</v>
      </c>
      <c r="E1444" s="116" t="s">
        <v>86</v>
      </c>
      <c r="F1444" s="117">
        <f ca="1" t="shared" si="1354"/>
        <v>1</v>
      </c>
      <c r="G1444" s="117">
        <f ca="1" t="shared" ref="G1444:Q1444" si="1357">IF(G1368=" "," ",G1390/G1368)</f>
        <v>1</v>
      </c>
      <c r="H1444" s="117">
        <f ca="1" t="shared" si="1357"/>
        <v>1</v>
      </c>
      <c r="I1444" s="117">
        <f ca="1" t="shared" si="1357"/>
        <v>0.833333333333333</v>
      </c>
      <c r="J1444" s="117">
        <f ca="1" t="shared" si="1357"/>
        <v>0.888888888888889</v>
      </c>
      <c r="K1444" s="117">
        <f ca="1" t="shared" si="1357"/>
        <v>1</v>
      </c>
      <c r="L1444" s="117">
        <f ca="1" t="shared" si="1357"/>
        <v>0.909090909090909</v>
      </c>
      <c r="M1444" s="117">
        <f ca="1" t="shared" si="1357"/>
        <v>1</v>
      </c>
      <c r="N1444" s="117">
        <f ca="1" t="shared" si="1357"/>
        <v>1</v>
      </c>
      <c r="O1444" s="117">
        <f ca="1" t="shared" si="1357"/>
        <v>0.9375</v>
      </c>
      <c r="P1444" s="117">
        <f ca="1" t="shared" si="1357"/>
        <v>0.941176470588235</v>
      </c>
      <c r="Q1444" s="117">
        <f ca="1" t="shared" si="1357"/>
        <v>1</v>
      </c>
    </row>
    <row r="1445" ht="24" customHeight="1" spans="1:17">
      <c r="A1445" s="99" t="s">
        <v>348</v>
      </c>
      <c r="B1445" s="99" t="s">
        <v>299</v>
      </c>
      <c r="C1445" s="99" t="s">
        <v>329</v>
      </c>
      <c r="D1445" s="48" t="s">
        <v>298</v>
      </c>
      <c r="E1445" s="116" t="s">
        <v>97</v>
      </c>
      <c r="F1445" s="117" t="str">
        <f ca="1" t="shared" si="1354"/>
        <v> </v>
      </c>
      <c r="G1445" s="117" t="str">
        <f ca="1" t="shared" ref="G1445:G1448" si="1358">IFERROR(IF(G1369=" "," ",G1391/G1369)," ")</f>
        <v> </v>
      </c>
      <c r="H1445" s="117">
        <f ca="1" t="shared" ref="H1445:Q1445" si="1359">IF(H1369=" "," ",H1391/H1369)</f>
        <v>0</v>
      </c>
      <c r="I1445" s="117">
        <f ca="1" t="shared" si="1359"/>
        <v>0.666666666666667</v>
      </c>
      <c r="J1445" s="117">
        <f ca="1" t="shared" si="1359"/>
        <v>0.75</v>
      </c>
      <c r="K1445" s="117">
        <f ca="1" t="shared" si="1359"/>
        <v>1</v>
      </c>
      <c r="L1445" s="117">
        <f ca="1" t="shared" si="1359"/>
        <v>1</v>
      </c>
      <c r="M1445" s="117">
        <f ca="1" t="shared" si="1359"/>
        <v>0.8</v>
      </c>
      <c r="N1445" s="117">
        <f ca="1" t="shared" si="1359"/>
        <v>1</v>
      </c>
      <c r="O1445" s="117">
        <f ca="1" t="shared" si="1359"/>
        <v>0.833333333333333</v>
      </c>
      <c r="P1445" s="117">
        <f ca="1" t="shared" si="1359"/>
        <v>0.833333333333333</v>
      </c>
      <c r="Q1445" s="117">
        <f ca="1" t="shared" si="1359"/>
        <v>0.857142857142857</v>
      </c>
    </row>
    <row r="1446" ht="24" customHeight="1" spans="1:17">
      <c r="A1446" s="99" t="s">
        <v>348</v>
      </c>
      <c r="B1446" s="99" t="s">
        <v>299</v>
      </c>
      <c r="C1446" s="99" t="s">
        <v>329</v>
      </c>
      <c r="D1446" s="48" t="s">
        <v>298</v>
      </c>
      <c r="E1446" s="116" t="s">
        <v>87</v>
      </c>
      <c r="F1446" s="117" t="str">
        <f ca="1" t="shared" si="1354"/>
        <v> </v>
      </c>
      <c r="G1446" s="117" t="str">
        <f ca="1" t="shared" si="1358"/>
        <v> </v>
      </c>
      <c r="H1446" s="117" t="str">
        <f ca="1" t="shared" ref="H1446:J1446" si="1360">IFERROR(IF(H1370=" "," ",H1392/H1370)," ")</f>
        <v> </v>
      </c>
      <c r="I1446" s="117" t="str">
        <f ca="1" t="shared" si="1360"/>
        <v> </v>
      </c>
      <c r="J1446" s="117" t="str">
        <f ca="1" t="shared" si="1360"/>
        <v> </v>
      </c>
      <c r="K1446" s="117">
        <f ca="1" t="shared" ref="K1446:Q1446" si="1361">IF(K1370=" "," ",K1392/K1370)</f>
        <v>0</v>
      </c>
      <c r="L1446" s="117">
        <f ca="1" t="shared" si="1361"/>
        <v>1</v>
      </c>
      <c r="M1446" s="117">
        <f ca="1" t="shared" si="1361"/>
        <v>1</v>
      </c>
      <c r="N1446" s="117">
        <f ca="1" t="shared" si="1361"/>
        <v>1</v>
      </c>
      <c r="O1446" s="117">
        <f ca="1" t="shared" si="1361"/>
        <v>1</v>
      </c>
      <c r="P1446" s="117">
        <f ca="1" t="shared" si="1361"/>
        <v>1</v>
      </c>
      <c r="Q1446" s="117">
        <f ca="1" t="shared" si="1361"/>
        <v>0.5</v>
      </c>
    </row>
    <row r="1447" ht="24" customHeight="1" spans="1:17">
      <c r="A1447" s="99" t="s">
        <v>348</v>
      </c>
      <c r="B1447" s="99" t="s">
        <v>299</v>
      </c>
      <c r="C1447" s="99" t="s">
        <v>329</v>
      </c>
      <c r="D1447" s="48" t="s">
        <v>298</v>
      </c>
      <c r="E1447" s="116" t="s">
        <v>149</v>
      </c>
      <c r="F1447" s="117" t="str">
        <f ca="1" t="shared" si="1354"/>
        <v> </v>
      </c>
      <c r="G1447" s="117" t="str">
        <f ca="1" t="shared" si="1358"/>
        <v> </v>
      </c>
      <c r="H1447" s="117" t="str">
        <f ca="1" t="shared" ref="H1447:Q1447" si="1362">IFERROR(IF(H1371=" "," ",H1393/H1371)," ")</f>
        <v> </v>
      </c>
      <c r="I1447" s="117" t="str">
        <f ca="1" t="shared" si="1362"/>
        <v> </v>
      </c>
      <c r="J1447" s="117" t="str">
        <f ca="1" t="shared" si="1362"/>
        <v> </v>
      </c>
      <c r="K1447" s="117" t="str">
        <f ca="1" t="shared" si="1362"/>
        <v> </v>
      </c>
      <c r="L1447" s="117" t="str">
        <f ca="1" t="shared" si="1362"/>
        <v> </v>
      </c>
      <c r="M1447" s="117" t="str">
        <f ca="1" t="shared" si="1362"/>
        <v> </v>
      </c>
      <c r="N1447" s="117" t="str">
        <f ca="1" t="shared" si="1362"/>
        <v> </v>
      </c>
      <c r="O1447" s="117" t="str">
        <f ca="1" t="shared" si="1362"/>
        <v> </v>
      </c>
      <c r="P1447" s="117" t="str">
        <f ca="1" t="shared" si="1362"/>
        <v> </v>
      </c>
      <c r="Q1447" s="117" t="str">
        <f ca="1" t="shared" si="1362"/>
        <v> </v>
      </c>
    </row>
    <row r="1448" ht="24" customHeight="1" spans="1:17">
      <c r="A1448" s="99" t="s">
        <v>348</v>
      </c>
      <c r="B1448" s="99" t="s">
        <v>299</v>
      </c>
      <c r="C1448" s="99" t="s">
        <v>329</v>
      </c>
      <c r="D1448" s="48" t="s">
        <v>298</v>
      </c>
      <c r="E1448" s="116" t="s">
        <v>83</v>
      </c>
      <c r="F1448" s="117" t="str">
        <f ca="1" t="shared" si="1354"/>
        <v> </v>
      </c>
      <c r="G1448" s="117" t="str">
        <f ca="1" t="shared" si="1358"/>
        <v> </v>
      </c>
      <c r="H1448" s="117" t="str">
        <f ca="1" t="shared" ref="H1448:K1448" si="1363">IFERROR(IF(H1372=" "," ",H1394/H1372)," ")</f>
        <v> </v>
      </c>
      <c r="I1448" s="117" t="str">
        <f ca="1" t="shared" si="1363"/>
        <v> </v>
      </c>
      <c r="J1448" s="117" t="str">
        <f ca="1" t="shared" si="1363"/>
        <v> </v>
      </c>
      <c r="K1448" s="117" t="str">
        <f ca="1" t="shared" si="1363"/>
        <v> </v>
      </c>
      <c r="L1448" s="117">
        <f ca="1" t="shared" ref="L1448:Q1448" si="1364">IF(L1372=" "," ",L1394/L1372)</f>
        <v>0</v>
      </c>
      <c r="M1448" s="117">
        <f ca="1" t="shared" si="1364"/>
        <v>1</v>
      </c>
      <c r="N1448" s="117">
        <f ca="1" t="shared" si="1364"/>
        <v>1</v>
      </c>
      <c r="O1448" s="117">
        <f ca="1" t="shared" si="1364"/>
        <v>1</v>
      </c>
      <c r="P1448" s="117">
        <f ca="1" t="shared" si="1364"/>
        <v>1</v>
      </c>
      <c r="Q1448" s="117">
        <f ca="1" t="shared" si="1364"/>
        <v>0.666666666666667</v>
      </c>
    </row>
    <row r="1449" ht="24" customHeight="1" spans="1:17">
      <c r="A1449" s="99" t="s">
        <v>348</v>
      </c>
      <c r="B1449" s="99" t="s">
        <v>299</v>
      </c>
      <c r="C1449" s="99" t="s">
        <v>329</v>
      </c>
      <c r="D1449" s="47" t="s">
        <v>294</v>
      </c>
      <c r="E1449" s="118" t="s">
        <v>93</v>
      </c>
      <c r="F1449" s="119" t="str">
        <f ca="1">IFERROR(IF(F1373=" "," ",F1402/F1373),"")</f>
        <v/>
      </c>
      <c r="G1449" s="119">
        <f ca="1" t="shared" ref="G1449:Q1449" si="1365">IF(G1373=" "," ",G1402/G1373)</f>
        <v>0.333333333333333</v>
      </c>
      <c r="H1449" s="119">
        <f ca="1" t="shared" si="1365"/>
        <v>0</v>
      </c>
      <c r="I1449" s="119">
        <f ca="1" t="shared" si="1365"/>
        <v>0</v>
      </c>
      <c r="J1449" s="119">
        <f ca="1" t="shared" si="1365"/>
        <v>0.0909090909090909</v>
      </c>
      <c r="K1449" s="119">
        <f ca="1" t="shared" si="1365"/>
        <v>0.0769230769230769</v>
      </c>
      <c r="L1449" s="119">
        <f ca="1" t="shared" si="1365"/>
        <v>0</v>
      </c>
      <c r="M1449" s="119">
        <f ca="1" t="shared" si="1365"/>
        <v>0.117647058823529</v>
      </c>
      <c r="N1449" s="119">
        <f ca="1" t="shared" si="1365"/>
        <v>0.0526315789473684</v>
      </c>
      <c r="O1449" s="119">
        <f ca="1" t="shared" si="1365"/>
        <v>0</v>
      </c>
      <c r="P1449" s="119">
        <f ca="1" t="shared" si="1365"/>
        <v>0</v>
      </c>
      <c r="Q1449" s="119">
        <f ca="1" t="shared" si="1365"/>
        <v>0</v>
      </c>
    </row>
    <row r="1450" ht="24" customHeight="1" spans="1:17">
      <c r="A1450" s="99" t="s">
        <v>348</v>
      </c>
      <c r="B1450" s="99" t="s">
        <v>299</v>
      </c>
      <c r="C1450" s="99" t="s">
        <v>329</v>
      </c>
      <c r="D1450" s="47" t="s">
        <v>294</v>
      </c>
      <c r="E1450" s="118" t="s">
        <v>85</v>
      </c>
      <c r="F1450" s="119">
        <f ca="1" t="shared" ref="F1450:F1457" si="1366">IFERROR(IF(F1374=" "," ",F1403/F1374)," ")</f>
        <v>1</v>
      </c>
      <c r="G1450" s="119">
        <f ca="1" t="shared" ref="G1450:Q1450" si="1367">IF(G1374=" "," ",G1403/G1374)</f>
        <v>0</v>
      </c>
      <c r="H1450" s="119">
        <f ca="1" t="shared" si="1367"/>
        <v>0</v>
      </c>
      <c r="I1450" s="119">
        <f ca="1" t="shared" si="1367"/>
        <v>0</v>
      </c>
      <c r="J1450" s="119">
        <f ca="1" t="shared" si="1367"/>
        <v>0.25</v>
      </c>
      <c r="K1450" s="119">
        <f ca="1" t="shared" si="1367"/>
        <v>0</v>
      </c>
      <c r="L1450" s="119">
        <f ca="1" t="shared" si="1367"/>
        <v>0</v>
      </c>
      <c r="M1450" s="119">
        <f ca="1" t="shared" si="1367"/>
        <v>0.142857142857143</v>
      </c>
      <c r="N1450" s="119">
        <f ca="1" t="shared" si="1367"/>
        <v>0</v>
      </c>
      <c r="O1450" s="119">
        <f ca="1" t="shared" si="1367"/>
        <v>0.0909090909090909</v>
      </c>
      <c r="P1450" s="119">
        <f ca="1" t="shared" si="1367"/>
        <v>0.0714285714285714</v>
      </c>
      <c r="Q1450" s="119">
        <f ca="1" t="shared" si="1367"/>
        <v>0.2</v>
      </c>
    </row>
    <row r="1451" ht="24" customHeight="1" spans="1:17">
      <c r="A1451" s="99" t="s">
        <v>348</v>
      </c>
      <c r="B1451" s="99" t="s">
        <v>299</v>
      </c>
      <c r="C1451" s="99" t="s">
        <v>329</v>
      </c>
      <c r="D1451" s="47" t="s">
        <v>294</v>
      </c>
      <c r="E1451" s="118" t="s">
        <v>81</v>
      </c>
      <c r="F1451" s="119">
        <f ca="1" t="shared" si="1366"/>
        <v>1</v>
      </c>
      <c r="G1451" s="119">
        <f ca="1" t="shared" ref="G1451:Q1451" si="1368">IF(G1375=" "," ",G1404/G1375)</f>
        <v>0</v>
      </c>
      <c r="H1451" s="119">
        <f ca="1" t="shared" si="1368"/>
        <v>0</v>
      </c>
      <c r="I1451" s="119">
        <f ca="1" t="shared" si="1368"/>
        <v>0</v>
      </c>
      <c r="J1451" s="119">
        <f ca="1" t="shared" si="1368"/>
        <v>0</v>
      </c>
      <c r="K1451" s="119">
        <f ca="1" t="shared" si="1368"/>
        <v>0</v>
      </c>
      <c r="L1451" s="119">
        <f ca="1" t="shared" si="1368"/>
        <v>0.25</v>
      </c>
      <c r="M1451" s="119">
        <f ca="1" t="shared" si="1368"/>
        <v>0.166666666666667</v>
      </c>
      <c r="N1451" s="119">
        <f ca="1" t="shared" si="1368"/>
        <v>0</v>
      </c>
      <c r="O1451" s="119">
        <f ca="1" t="shared" si="1368"/>
        <v>0.111111111111111</v>
      </c>
      <c r="P1451" s="119">
        <f ca="1" t="shared" si="1368"/>
        <v>0</v>
      </c>
      <c r="Q1451" s="119">
        <f ca="1" t="shared" si="1368"/>
        <v>0</v>
      </c>
    </row>
    <row r="1452" ht="24" customHeight="1" spans="1:17">
      <c r="A1452" s="99" t="s">
        <v>348</v>
      </c>
      <c r="B1452" s="99" t="s">
        <v>299</v>
      </c>
      <c r="C1452" s="99" t="s">
        <v>329</v>
      </c>
      <c r="D1452" s="47" t="s">
        <v>294</v>
      </c>
      <c r="E1452" s="118" t="s">
        <v>96</v>
      </c>
      <c r="F1452" s="119">
        <f ca="1" t="shared" si="1366"/>
        <v>0</v>
      </c>
      <c r="G1452" s="119">
        <f ca="1" t="shared" ref="G1452:Q1452" si="1369">IF(G1376=" "," ",G1405/G1376)</f>
        <v>0</v>
      </c>
      <c r="H1452" s="119">
        <f ca="1" t="shared" si="1369"/>
        <v>0</v>
      </c>
      <c r="I1452" s="119">
        <f ca="1" t="shared" si="1369"/>
        <v>0</v>
      </c>
      <c r="J1452" s="119">
        <f ca="1" t="shared" si="1369"/>
        <v>0</v>
      </c>
      <c r="K1452" s="119">
        <f ca="1" t="shared" si="1369"/>
        <v>0</v>
      </c>
      <c r="L1452" s="119">
        <f ca="1" t="shared" si="1369"/>
        <v>0</v>
      </c>
      <c r="M1452" s="119">
        <f ca="1" t="shared" si="1369"/>
        <v>0</v>
      </c>
      <c r="N1452" s="119">
        <f ca="1" t="shared" si="1369"/>
        <v>0</v>
      </c>
      <c r="O1452" s="119">
        <f ca="1" t="shared" si="1369"/>
        <v>0</v>
      </c>
      <c r="P1452" s="119">
        <f ca="1" t="shared" si="1369"/>
        <v>0</v>
      </c>
      <c r="Q1452" s="119">
        <f ca="1" t="shared" si="1369"/>
        <v>0</v>
      </c>
    </row>
    <row r="1453" ht="24" customHeight="1" spans="1:17">
      <c r="A1453" s="99" t="s">
        <v>348</v>
      </c>
      <c r="B1453" s="99" t="s">
        <v>299</v>
      </c>
      <c r="C1453" s="99" t="s">
        <v>329</v>
      </c>
      <c r="D1453" s="47" t="s">
        <v>294</v>
      </c>
      <c r="E1453" s="118" t="s">
        <v>160</v>
      </c>
      <c r="F1453" s="119" t="str">
        <f ca="1" t="shared" si="1366"/>
        <v> </v>
      </c>
      <c r="G1453" s="119" t="str">
        <f ca="1" t="shared" ref="G1453:Q1453" si="1370">IFERROR(IF(G1377=" "," ",G1406/G1377)," ")</f>
        <v> </v>
      </c>
      <c r="H1453" s="119" t="str">
        <f ca="1" t="shared" si="1370"/>
        <v> </v>
      </c>
      <c r="I1453" s="119" t="str">
        <f ca="1" t="shared" si="1370"/>
        <v> </v>
      </c>
      <c r="J1453" s="119" t="str">
        <f ca="1" t="shared" si="1370"/>
        <v> </v>
      </c>
      <c r="K1453" s="119" t="str">
        <f ca="1" t="shared" si="1370"/>
        <v> </v>
      </c>
      <c r="L1453" s="119">
        <f ca="1" t="shared" si="1370"/>
        <v>0</v>
      </c>
      <c r="M1453" s="119">
        <f ca="1" t="shared" si="1370"/>
        <v>1</v>
      </c>
      <c r="N1453" s="119">
        <f ca="1" t="shared" si="1370"/>
        <v>0</v>
      </c>
      <c r="O1453" s="119">
        <f ca="1" t="shared" si="1370"/>
        <v>0</v>
      </c>
      <c r="P1453" s="119">
        <f ca="1" t="shared" si="1370"/>
        <v>0</v>
      </c>
      <c r="Q1453" s="119">
        <f ca="1" t="shared" si="1370"/>
        <v>0</v>
      </c>
    </row>
    <row r="1454" ht="24" customHeight="1" spans="1:17">
      <c r="A1454" s="99" t="s">
        <v>348</v>
      </c>
      <c r="B1454" s="99" t="s">
        <v>299</v>
      </c>
      <c r="C1454" s="99" t="s">
        <v>329</v>
      </c>
      <c r="D1454" s="113" t="s">
        <v>292</v>
      </c>
      <c r="E1454" s="113" t="s">
        <v>331</v>
      </c>
      <c r="F1454" s="115">
        <f ca="1" t="shared" si="1366"/>
        <v>1</v>
      </c>
      <c r="G1454" s="115">
        <f ca="1" t="shared" ref="G1454:Q1454" si="1371">IFERROR(IF(G1378=" "," ",G1407/G1378)," ")</f>
        <v>0.875</v>
      </c>
      <c r="H1454" s="115">
        <f ca="1" t="shared" si="1371"/>
        <v>1</v>
      </c>
      <c r="I1454" s="115">
        <f ca="1" t="shared" si="1371"/>
        <v>0.769230769230769</v>
      </c>
      <c r="J1454" s="115">
        <f ca="1" t="shared" si="1371"/>
        <v>0.833333333333333</v>
      </c>
      <c r="K1454" s="115">
        <f ca="1" t="shared" si="1371"/>
        <v>0.909090909090909</v>
      </c>
      <c r="L1454" s="115">
        <f ca="1" t="shared" si="1371"/>
        <v>0.846153846153846</v>
      </c>
      <c r="M1454" s="115">
        <f ca="1" t="shared" si="1371"/>
        <v>0.935483870967742</v>
      </c>
      <c r="N1454" s="115">
        <f ca="1" t="shared" si="1371"/>
        <v>0.894736842105263</v>
      </c>
      <c r="O1454" s="115">
        <f ca="1" t="shared" si="1371"/>
        <v>0.951219512195122</v>
      </c>
      <c r="P1454" s="115">
        <f ca="1" t="shared" si="1371"/>
        <v>0.888888888888889</v>
      </c>
      <c r="Q1454" s="115">
        <f ca="1" t="shared" si="1371"/>
        <v>0.882352941176471</v>
      </c>
    </row>
    <row r="1455" ht="24" customHeight="1" spans="1:17">
      <c r="A1455" s="99" t="s">
        <v>348</v>
      </c>
      <c r="B1455" s="99" t="s">
        <v>299</v>
      </c>
      <c r="C1455" s="99" t="s">
        <v>329</v>
      </c>
      <c r="D1455" s="48" t="s">
        <v>296</v>
      </c>
      <c r="E1455" s="116" t="s">
        <v>90</v>
      </c>
      <c r="F1455" s="117">
        <f ca="1" t="shared" si="1366"/>
        <v>1</v>
      </c>
      <c r="G1455" s="117">
        <f ca="1" t="shared" ref="G1455:Q1455" si="1372">IF(G1379=" "," ",G1408/G1379)</f>
        <v>0.666666666666667</v>
      </c>
      <c r="H1455" s="117">
        <f ca="1" t="shared" si="1372"/>
        <v>1</v>
      </c>
      <c r="I1455" s="117">
        <f ca="1" t="shared" si="1372"/>
        <v>1</v>
      </c>
      <c r="J1455" s="117">
        <f ca="1" t="shared" si="1372"/>
        <v>0.75</v>
      </c>
      <c r="K1455" s="117">
        <f ca="1" t="shared" si="1372"/>
        <v>1</v>
      </c>
      <c r="L1455" s="117">
        <f ca="1" t="shared" si="1372"/>
        <v>1</v>
      </c>
      <c r="M1455" s="117">
        <f ca="1" t="shared" si="1372"/>
        <v>0.875</v>
      </c>
      <c r="N1455" s="117">
        <f ca="1" t="shared" si="1372"/>
        <v>0.8</v>
      </c>
      <c r="O1455" s="117">
        <f ca="1" t="shared" si="1372"/>
        <v>0.916666666666667</v>
      </c>
      <c r="P1455" s="117">
        <f ca="1" t="shared" si="1372"/>
        <v>0.846153846153846</v>
      </c>
      <c r="Q1455" s="117">
        <f ca="1" t="shared" si="1372"/>
        <v>0.8125</v>
      </c>
    </row>
    <row r="1456" ht="24" customHeight="1" spans="1:17">
      <c r="A1456" s="99" t="s">
        <v>348</v>
      </c>
      <c r="B1456" s="99" t="s">
        <v>299</v>
      </c>
      <c r="C1456" s="99" t="s">
        <v>329</v>
      </c>
      <c r="D1456" s="48" t="s">
        <v>296</v>
      </c>
      <c r="E1456" s="116" t="s">
        <v>82</v>
      </c>
      <c r="F1456" s="117" t="str">
        <f ca="1" t="shared" si="1366"/>
        <v> </v>
      </c>
      <c r="G1456" s="117" t="str">
        <f ca="1">IFERROR(IF(G1380=" "," ",G1409/G1380)," ")</f>
        <v> </v>
      </c>
      <c r="H1456" s="117">
        <f ca="1" t="shared" ref="H1456:Q1456" si="1373">IF(H1380=" "," ",H1409/H1380)</f>
        <v>1</v>
      </c>
      <c r="I1456" s="117">
        <f ca="1" t="shared" si="1373"/>
        <v>0.5</v>
      </c>
      <c r="J1456" s="117">
        <f ca="1" t="shared" si="1373"/>
        <v>0.8</v>
      </c>
      <c r="K1456" s="117">
        <f ca="1" t="shared" si="1373"/>
        <v>0.714285714285714</v>
      </c>
      <c r="L1456" s="117">
        <f ca="1" t="shared" si="1373"/>
        <v>0.666666666666667</v>
      </c>
      <c r="M1456" s="117">
        <f ca="1" t="shared" si="1373"/>
        <v>1</v>
      </c>
      <c r="N1456" s="117">
        <f ca="1" t="shared" si="1373"/>
        <v>0.833333333333333</v>
      </c>
      <c r="O1456" s="117">
        <f ca="1" t="shared" si="1373"/>
        <v>1</v>
      </c>
      <c r="P1456" s="117">
        <f ca="1" t="shared" si="1373"/>
        <v>0.857142857142857</v>
      </c>
      <c r="Q1456" s="117">
        <f ca="1" t="shared" si="1373"/>
        <v>0.875</v>
      </c>
    </row>
    <row r="1457" ht="24" customHeight="1" spans="1:17">
      <c r="A1457" s="99" t="s">
        <v>348</v>
      </c>
      <c r="B1457" s="99" t="s">
        <v>299</v>
      </c>
      <c r="C1457" s="99" t="s">
        <v>329</v>
      </c>
      <c r="D1457" s="48" t="s">
        <v>296</v>
      </c>
      <c r="E1457" s="116" t="s">
        <v>86</v>
      </c>
      <c r="F1457" s="117">
        <f ca="1" t="shared" si="1366"/>
        <v>1</v>
      </c>
      <c r="G1457" s="117">
        <f ca="1" t="shared" ref="G1457:Q1457" si="1374">IF(G1381=" "," ",G1410/G1381)</f>
        <v>1</v>
      </c>
      <c r="H1457" s="117">
        <f ca="1" t="shared" si="1374"/>
        <v>1</v>
      </c>
      <c r="I1457" s="117">
        <f ca="1" t="shared" si="1374"/>
        <v>0.833333333333333</v>
      </c>
      <c r="J1457" s="117">
        <f ca="1" t="shared" si="1374"/>
        <v>0.888888888888889</v>
      </c>
      <c r="K1457" s="117">
        <f ca="1" t="shared" si="1374"/>
        <v>1</v>
      </c>
      <c r="L1457" s="117">
        <f ca="1" t="shared" si="1374"/>
        <v>0.909090909090909</v>
      </c>
      <c r="M1457" s="117">
        <f ca="1" t="shared" si="1374"/>
        <v>0.928571428571429</v>
      </c>
      <c r="N1457" s="117">
        <f ca="1" t="shared" si="1374"/>
        <v>1</v>
      </c>
      <c r="O1457" s="117">
        <f ca="1" t="shared" si="1374"/>
        <v>0.941176470588235</v>
      </c>
      <c r="P1457" s="117">
        <f ca="1" t="shared" si="1374"/>
        <v>0.944444444444444</v>
      </c>
      <c r="Q1457" s="117">
        <f ca="1" t="shared" si="1374"/>
        <v>0.947368421052632</v>
      </c>
    </row>
    <row r="1458" ht="24" customHeight="1" spans="1:17">
      <c r="A1458" s="99" t="s">
        <v>348</v>
      </c>
      <c r="B1458" s="99" t="s">
        <v>299</v>
      </c>
      <c r="C1458" s="99" t="s">
        <v>329</v>
      </c>
      <c r="D1458" s="113" t="s">
        <v>292</v>
      </c>
      <c r="E1458" s="113" t="s">
        <v>332</v>
      </c>
      <c r="F1458" s="115">
        <f ca="1" t="shared" ref="F1458:Q1458" si="1375">IFERROR(IF(F1382=" "," ",F1414/F1382)," ")</f>
        <v>1</v>
      </c>
      <c r="G1458" s="115">
        <f ca="1" t="shared" si="1375"/>
        <v>0.75</v>
      </c>
      <c r="H1458" s="115">
        <f ca="1" t="shared" si="1375"/>
        <v>0.8</v>
      </c>
      <c r="I1458" s="115">
        <f ca="1" t="shared" si="1375"/>
        <v>0.666666666666667</v>
      </c>
      <c r="J1458" s="115">
        <f ca="1" t="shared" si="1375"/>
        <v>0.909090909090909</v>
      </c>
      <c r="K1458" s="115">
        <f ca="1" t="shared" si="1375"/>
        <v>0.8125</v>
      </c>
      <c r="L1458" s="115">
        <f ca="1" t="shared" si="1375"/>
        <v>0.75</v>
      </c>
      <c r="M1458" s="115">
        <f ca="1" t="shared" si="1375"/>
        <v>0.92</v>
      </c>
      <c r="N1458" s="115">
        <f ca="1" t="shared" si="1375"/>
        <v>0.933333333333333</v>
      </c>
      <c r="O1458" s="115">
        <f ca="1" t="shared" si="1375"/>
        <v>0.939393939393939</v>
      </c>
      <c r="P1458" s="115">
        <f ca="1" t="shared" si="1375"/>
        <v>0.914285714285714</v>
      </c>
      <c r="Q1458" s="115">
        <f ca="1" t="shared" si="1375"/>
        <v>0.871794871794872</v>
      </c>
    </row>
    <row r="1459" ht="24" customHeight="1" spans="1:17">
      <c r="A1459" s="99" t="s">
        <v>348</v>
      </c>
      <c r="B1459" s="99" t="s">
        <v>299</v>
      </c>
      <c r="C1459" s="99" t="s">
        <v>329</v>
      </c>
      <c r="D1459" s="48" t="s">
        <v>298</v>
      </c>
      <c r="E1459" s="116" t="s">
        <v>97</v>
      </c>
      <c r="F1459" s="117">
        <f ca="1" t="shared" ref="F1459:F1462" si="1376">IFERROR(IF(F1383=" "," ",F1415/F1383)," ")</f>
        <v>1</v>
      </c>
      <c r="G1459" s="117">
        <f ca="1" t="shared" ref="G1459:Q1459" si="1377">IF(G1383=" "," ",G1415/G1383)</f>
        <v>0.75</v>
      </c>
      <c r="H1459" s="117">
        <f ca="1" t="shared" si="1377"/>
        <v>0.8</v>
      </c>
      <c r="I1459" s="117">
        <f ca="1" t="shared" si="1377"/>
        <v>0.75</v>
      </c>
      <c r="J1459" s="117">
        <f ca="1" t="shared" si="1377"/>
        <v>0.9</v>
      </c>
      <c r="K1459" s="117">
        <f ca="1" t="shared" si="1377"/>
        <v>0.846153846153846</v>
      </c>
      <c r="L1459" s="117">
        <f ca="1" t="shared" si="1377"/>
        <v>0.857142857142857</v>
      </c>
      <c r="M1459" s="117">
        <f ca="1" t="shared" si="1377"/>
        <v>0.882352941176471</v>
      </c>
      <c r="N1459" s="117">
        <f ca="1" t="shared" si="1377"/>
        <v>1</v>
      </c>
      <c r="O1459" s="117">
        <f ca="1" t="shared" si="1377"/>
        <v>0.947368421052632</v>
      </c>
      <c r="P1459" s="117">
        <f ca="1" t="shared" si="1377"/>
        <v>0.857142857142857</v>
      </c>
      <c r="Q1459" s="117">
        <f ca="1" t="shared" si="1377"/>
        <v>0.909090909090909</v>
      </c>
    </row>
    <row r="1460" ht="24" customHeight="1" spans="1:17">
      <c r="A1460" s="99" t="s">
        <v>348</v>
      </c>
      <c r="B1460" s="99" t="s">
        <v>299</v>
      </c>
      <c r="C1460" s="99" t="s">
        <v>329</v>
      </c>
      <c r="D1460" s="48" t="s">
        <v>298</v>
      </c>
      <c r="E1460" s="116" t="s">
        <v>87</v>
      </c>
      <c r="F1460" s="117" t="str">
        <f ca="1" t="shared" si="1376"/>
        <v> </v>
      </c>
      <c r="G1460" s="117" t="str">
        <f ca="1" t="shared" ref="G1460:I1460" si="1378">IFERROR(IF(G1384=" "," ",G1416/G1384)," ")</f>
        <v> </v>
      </c>
      <c r="H1460" s="117" t="str">
        <f ca="1" t="shared" si="1378"/>
        <v> </v>
      </c>
      <c r="I1460" s="117">
        <f ca="1" t="shared" si="1378"/>
        <v>0</v>
      </c>
      <c r="J1460" s="117">
        <f ca="1" t="shared" ref="J1460:Q1460" si="1379">IF(J1384=" "," ",J1416/J1384)</f>
        <v>1</v>
      </c>
      <c r="K1460" s="117">
        <f ca="1" t="shared" si="1379"/>
        <v>0.5</v>
      </c>
      <c r="L1460" s="117">
        <f ca="1" t="shared" si="1379"/>
        <v>0.666666666666667</v>
      </c>
      <c r="M1460" s="117">
        <f ca="1" t="shared" si="1379"/>
        <v>1</v>
      </c>
      <c r="N1460" s="117">
        <f ca="1" t="shared" si="1379"/>
        <v>0.714285714285714</v>
      </c>
      <c r="O1460" s="117">
        <f ca="1" t="shared" si="1379"/>
        <v>0.888888888888889</v>
      </c>
      <c r="P1460" s="117">
        <f ca="1" t="shared" si="1379"/>
        <v>1</v>
      </c>
      <c r="Q1460" s="117">
        <f ca="1" t="shared" si="1379"/>
        <v>0.818181818181818</v>
      </c>
    </row>
    <row r="1461" ht="24" customHeight="1" spans="1:17">
      <c r="A1461" s="99" t="s">
        <v>348</v>
      </c>
      <c r="B1461" s="99" t="s">
        <v>299</v>
      </c>
      <c r="C1461" s="99" t="s">
        <v>329</v>
      </c>
      <c r="D1461" s="48" t="s">
        <v>298</v>
      </c>
      <c r="E1461" s="116" t="s">
        <v>83</v>
      </c>
      <c r="F1461" s="117" t="str">
        <f ca="1" t="shared" si="1376"/>
        <v> </v>
      </c>
      <c r="G1461" s="117" t="str">
        <f ca="1" t="shared" ref="G1461:Q1461" si="1380">IFERROR(IF(G1385=" "," ",G1417/G1385)," ")</f>
        <v> </v>
      </c>
      <c r="H1461" s="117" t="str">
        <f ca="1" t="shared" si="1380"/>
        <v> </v>
      </c>
      <c r="I1461" s="117" t="str">
        <f ca="1" t="shared" si="1380"/>
        <v> </v>
      </c>
      <c r="J1461" s="117" t="str">
        <f ca="1" t="shared" si="1380"/>
        <v> </v>
      </c>
      <c r="K1461" s="117" t="str">
        <f ca="1" t="shared" si="1380"/>
        <v> </v>
      </c>
      <c r="L1461" s="117" t="str">
        <f ca="1" t="shared" si="1380"/>
        <v> </v>
      </c>
      <c r="M1461" s="117" t="str">
        <f ca="1" t="shared" si="1380"/>
        <v> </v>
      </c>
      <c r="N1461" s="117" t="str">
        <f ca="1" t="shared" si="1380"/>
        <v> </v>
      </c>
      <c r="O1461" s="117" t="str">
        <f ca="1" t="shared" si="1380"/>
        <v> </v>
      </c>
      <c r="P1461" s="117" t="str">
        <f ca="1" t="shared" si="1380"/>
        <v> </v>
      </c>
      <c r="Q1461" s="117" t="str">
        <f ca="1" t="shared" si="1380"/>
        <v> </v>
      </c>
    </row>
    <row r="1462" ht="24" customHeight="1" spans="1:17">
      <c r="A1462" s="99" t="s">
        <v>348</v>
      </c>
      <c r="B1462" s="99" t="s">
        <v>299</v>
      </c>
      <c r="C1462" s="99" t="s">
        <v>329</v>
      </c>
      <c r="D1462" s="48" t="s">
        <v>298</v>
      </c>
      <c r="E1462" s="116" t="s">
        <v>83</v>
      </c>
      <c r="F1462" s="117" t="str">
        <f ca="1" t="shared" si="1376"/>
        <v> </v>
      </c>
      <c r="G1462" s="117" t="str">
        <f ca="1" t="shared" ref="G1462:J1462" si="1381">IFERROR(IF(G1386=" "," ",G1418/G1386)," ")</f>
        <v> </v>
      </c>
      <c r="H1462" s="117" t="str">
        <f ca="1" t="shared" si="1381"/>
        <v> </v>
      </c>
      <c r="I1462" s="117" t="str">
        <f ca="1" t="shared" si="1381"/>
        <v> </v>
      </c>
      <c r="J1462" s="117" t="str">
        <f ca="1" t="shared" si="1381"/>
        <v> </v>
      </c>
      <c r="K1462" s="117">
        <f ca="1" t="shared" ref="K1462:Q1462" si="1382">IF(K1386=" "," ",K1418/K1386)</f>
        <v>1</v>
      </c>
      <c r="L1462" s="117">
        <f ca="1" t="shared" si="1382"/>
        <v>0.333333333333333</v>
      </c>
      <c r="M1462" s="117">
        <f ca="1" t="shared" si="1382"/>
        <v>1</v>
      </c>
      <c r="N1462" s="117">
        <f ca="1" t="shared" si="1382"/>
        <v>1</v>
      </c>
      <c r="O1462" s="117">
        <f ca="1" t="shared" si="1382"/>
        <v>1</v>
      </c>
      <c r="P1462" s="117">
        <f ca="1" t="shared" si="1382"/>
        <v>1</v>
      </c>
      <c r="Q1462" s="117">
        <f ca="1" t="shared" si="1382"/>
        <v>0.833333333333333</v>
      </c>
    </row>
    <row r="1463" ht="24" customHeight="1" spans="1:17">
      <c r="A1463" s="99" t="s">
        <v>348</v>
      </c>
      <c r="B1463" s="99" t="s">
        <v>299</v>
      </c>
      <c r="C1463" s="99" t="s">
        <v>333</v>
      </c>
      <c r="D1463" s="114" t="s">
        <v>292</v>
      </c>
      <c r="E1463" s="114" t="s">
        <v>300</v>
      </c>
      <c r="F1463" s="215">
        <f ca="1">IF($S$1&lt;DATE(2025,1,1)," ",SUM(F1464:F1470))</f>
        <v>3.032527</v>
      </c>
      <c r="G1463" s="215">
        <f ca="1">IF($S$1&lt;DATE(2025,2,1)," ",SUM(G1464:G1470))</f>
        <v>3.166154</v>
      </c>
      <c r="H1463" s="215">
        <f ca="1">IF($S$1&lt;DATE(2025,3,1)," ",SUM(H1464:H1470))</f>
        <v>1.673401</v>
      </c>
      <c r="I1463" s="215">
        <f ca="1">IF($S$1&lt;DATE(2025,4,1)," ",SUM(I1464:I1470))</f>
        <v>2.018367</v>
      </c>
      <c r="J1463" s="215">
        <f ca="1">IF($S$1&lt;DATE(2025,5,1)," ",SUM(J1464:J1470))</f>
        <v>7.550773</v>
      </c>
      <c r="K1463" s="215">
        <f ca="1">IF($S$1&lt;DATE(2025,6,1)," ",SUM(K1464:K1470))</f>
        <v>6.443745</v>
      </c>
      <c r="L1463" s="215">
        <f ca="1">IF($S$1&lt;DATE(2025,7,1)," ",SUM(L1464:L1470))</f>
        <v>2.244395</v>
      </c>
      <c r="M1463" s="215">
        <f ca="1">IF($S$1&lt;DATE(2025,8,1)," ",SUM(M1464:M1470))</f>
        <v>6.403502</v>
      </c>
      <c r="N1463" s="215">
        <f ca="1">IF($S$1&lt;DATE(2025,9,1)," ",SUM(N1464:N1470))</f>
        <v>7.206821</v>
      </c>
      <c r="O1463" s="215">
        <f ca="1">IF($S$1&lt;DATE(2025,10,1)," ",SUM(O1464:O1470))</f>
        <v>2.405273</v>
      </c>
      <c r="P1463" s="215">
        <f ca="1">IF($S$1&lt;DATE(2025,11,1)," ",SUM(P1464:P1470))</f>
        <v>1.174226</v>
      </c>
      <c r="Q1463" s="215">
        <f ca="1">IF($S$1&lt;DATE(2025,12,1)," ",SUM(Q1464:Q1470))</f>
        <v>3.356054</v>
      </c>
    </row>
    <row r="1464" ht="24" customHeight="1" spans="1:17">
      <c r="A1464" s="99" t="s">
        <v>348</v>
      </c>
      <c r="B1464" s="99" t="s">
        <v>299</v>
      </c>
      <c r="C1464" s="99" t="s">
        <v>333</v>
      </c>
      <c r="D1464" s="48" t="s">
        <v>31</v>
      </c>
      <c r="E1464" s="48" t="s">
        <v>90</v>
      </c>
      <c r="F1464" s="51">
        <f ca="1">IF($S$1&lt;DATE(2025,1,1)," ",SUMIFS('2025数据'!$BK$3:$BK$181,'2025数据'!$T$3:$T$181,"&gt;="&amp;DATE(2025,1,1),'2025数据'!$T$3:$T$181,"&lt;="&amp;DATE(2025,1,31),'2025数据'!$AE$3:$AE$181,$E1464)/10000)</f>
        <v>1.397501</v>
      </c>
      <c r="G1464" s="51">
        <f ca="1">IF($S$1&lt;DATE(2025,2,1)," ",SUMIFS('2025数据'!$BK$3:$BK$181,'2025数据'!$T$3:$T$181,"&gt;="&amp;DATE(2025,2,1),'2025数据'!$T$3:$T$181,"&lt;="&amp;DATE(2025,2,28),'2025数据'!$AE$3:$AE$181,$E1464)/10000)</f>
        <v>2.761409</v>
      </c>
      <c r="H1464" s="51">
        <f ca="1">IF($S$1&lt;DATE(2025,3,1)," ",SUMIFS('2025数据'!$BK$3:$BK$181,'2025数据'!$T$3:$T$181,"&gt;="&amp;DATE(2025,3,1),'2025数据'!$T$3:$T$181,"&lt;="&amp;DATE(2025,3,31),'2025数据'!$AE$3:$AE$181,$E1464)/10000)</f>
        <v>1.615349</v>
      </c>
      <c r="I1464" s="51">
        <f ca="1">IF($S$1&lt;DATE(2025,4,1)," ",SUMIFS('2025数据'!$BK$3:$BK$181,'2025数据'!$T$3:$T$181,"&gt;="&amp;DATE(2025,4,1),'2025数据'!$T$3:$T$181,"&lt;="&amp;DATE(2025,4,30),'2025数据'!$AE$3:$AE$181,$E1464)/10000)</f>
        <v>0</v>
      </c>
      <c r="J1464" s="51">
        <f ca="1">IF($S$1&lt;DATE(2025,5,1)," ",SUMIFS('2025数据'!$BK$3:$BK$181,'2025数据'!$T$3:$T$181,"&gt;="&amp;DATE(2025,5,1),'2025数据'!$T$3:$T$181,"&lt;="&amp;DATE(2025,5,31),'2025数据'!$AE$3:$AE$181,$E1464)/10000)</f>
        <v>0</v>
      </c>
      <c r="K1464" s="51">
        <f ca="1">IF($S$1&lt;DATE(2025,6,1)," ",SUMIFS('2025数据'!$BK$3:$BK$181,'2025数据'!$T$3:$T$181,"&gt;="&amp;DATE(2025,6,1),'2025数据'!$T$3:$T$181,"&lt;="&amp;DATE(2025,6,30),'2025数据'!$AE$3:$AE$181,$E1464)/10000)</f>
        <v>1.565102</v>
      </c>
      <c r="L1464" s="51">
        <f ca="1">IF($S$1&lt;DATE(2025,7,1)," ",SUMIFS('2025数据'!$BK$3:$BK$181,'2025数据'!$T$3:$T$181,"&gt;="&amp;DATE(2025,7,1),'2025数据'!$T$3:$T$181,"&lt;="&amp;DATE(2025,7,31),'2025数据'!$AE$3:$AE$181,$E1464)/10000)</f>
        <v>0.845678</v>
      </c>
      <c r="M1464" s="51">
        <f ca="1">IF($S$1&lt;DATE(2025,8,1)," ",SUMIFS('2025数据'!$BK$3:$BK$181,'2025数据'!$T$3:$T$181,"&gt;="&amp;DATE(2025,8,1),'2025数据'!$T$3:$T$181,"&lt;="&amp;DATE(2025,8,31),'2025数据'!$AE$3:$AE$181,$E1464)/10000)</f>
        <v>0.276346</v>
      </c>
      <c r="N1464" s="51">
        <f ca="1">IF($S$1&lt;DATE(2025,9,1)," ",SUMIFS('2025数据'!$BK$3:$BK$181,'2025数据'!$T$3:$T$181,"&gt;="&amp;DATE(2025,9,1),'2025数据'!$T$3:$T$181,"&lt;="&amp;DATE(2025,9,30),'2025数据'!$AE$3:$AE$181,$E1464)/10000)</f>
        <v>0.945951</v>
      </c>
      <c r="O1464" s="51">
        <f ca="1">IF($S$1&lt;DATE(2025,10,1)," ",SUMIFS('2025数据'!$BK$3:$BK$181,'2025数据'!$T$3:$T$181,"&gt;="&amp;DATE(2025,10,1),'2025数据'!$T$3:$T$181,"&lt;="&amp;DATE(2025,10,31),'2025数据'!$AE$3:$AE$181,$E1464)/10000)</f>
        <v>1.599552</v>
      </c>
      <c r="P1464" s="217">
        <f ca="1">IF($S$1&lt;DATE(2025,11,1)," ",SUMIFS('2025数据'!$BK$3:$BK$181,'2025数据'!$T$3:$T$181,"&gt;="&amp;DATE(2025,11,1),'2025数据'!$T$3:$T$181,"&lt;="&amp;DATE(2025,11,30),'2025数据'!$AE$3:$AE$181,$E1464)/10000)</f>
        <v>0</v>
      </c>
      <c r="Q1464" s="217">
        <f ca="1">IF($S$1&lt;DATE(2025,12,1)," ",SUMIFS('2025数据'!$BK$3:$BK$181,'2025数据'!$T$3:$T$181,"&gt;="&amp;DATE(2025,12,1),'2025数据'!$T$3:$T$181,"&lt;="&amp;DATE(2025,12,31),'2025数据'!$AE$3:$AE$181,$E1464)/10000)</f>
        <v>1.981508</v>
      </c>
    </row>
    <row r="1465" ht="24" customHeight="1" spans="1:17">
      <c r="A1465" s="99" t="s">
        <v>348</v>
      </c>
      <c r="B1465" s="99" t="s">
        <v>299</v>
      </c>
      <c r="C1465" s="99" t="s">
        <v>333</v>
      </c>
      <c r="D1465" s="48" t="s">
        <v>31</v>
      </c>
      <c r="E1465" s="48" t="s">
        <v>82</v>
      </c>
      <c r="F1465" s="51">
        <f ca="1">IF($S$1&lt;DATE(2025,1,1)," ",SUMIFS('2025数据'!$BK$3:$BK$181,'2025数据'!$T$3:$T$181,"&gt;="&amp;DATE(2025,1,1),'2025数据'!$T$3:$T$181,"&lt;="&amp;DATE(2025,1,31),'2025数据'!$AE$3:$AE$181,$E1465)/10000)</f>
        <v>0</v>
      </c>
      <c r="G1465" s="51">
        <f ca="1">IF($S$1&lt;DATE(2025,2,1)," ",SUMIFS('2025数据'!$BK$3:$BK$181,'2025数据'!$T$3:$T$181,"&gt;="&amp;DATE(2025,2,1),'2025数据'!$T$3:$T$181,"&lt;="&amp;DATE(2025,2,28),'2025数据'!$AE$3:$AE$181,$E1465)/10000)</f>
        <v>0</v>
      </c>
      <c r="H1465" s="51">
        <f ca="1">IF($S$1&lt;DATE(2025,3,1)," ",SUMIFS('2025数据'!$BK$3:$BK$181,'2025数据'!$T$3:$T$181,"&gt;="&amp;DATE(2025,3,1),'2025数据'!$T$3:$T$181,"&lt;="&amp;DATE(2025,3,31),'2025数据'!$AE$3:$AE$181,$E1465)/10000)</f>
        <v>0.058052</v>
      </c>
      <c r="I1465" s="51">
        <f ca="1">IF($S$1&lt;DATE(2025,4,1)," ",SUMIFS('2025数据'!$BK$3:$BK$181,'2025数据'!$T$3:$T$181,"&gt;="&amp;DATE(2025,4,1),'2025数据'!$T$3:$T$181,"&lt;="&amp;DATE(2025,4,30),'2025数据'!$AE$3:$AE$181,$E1465)/10000)</f>
        <v>0</v>
      </c>
      <c r="J1465" s="51">
        <f ca="1">IF($S$1&lt;DATE(2025,5,1)," ",SUMIFS('2025数据'!$BK$3:$BK$181,'2025数据'!$T$3:$T$181,"&gt;="&amp;DATE(2025,5,1),'2025数据'!$T$3:$T$181,"&lt;="&amp;DATE(2025,5,31),'2025数据'!$AE$3:$AE$181,$E1465)/10000)</f>
        <v>2.377686</v>
      </c>
      <c r="K1465" s="51">
        <f ca="1">IF($S$1&lt;DATE(2025,6,1)," ",SUMIFS('2025数据'!$BK$3:$BK$181,'2025数据'!$T$3:$T$181,"&gt;="&amp;DATE(2025,6,1),'2025数据'!$T$3:$T$181,"&lt;="&amp;DATE(2025,6,30),'2025数据'!$AE$3:$AE$181,$E1465)/10000)</f>
        <v>0.298712</v>
      </c>
      <c r="L1465" s="51">
        <f ca="1">IF($S$1&lt;DATE(2025,7,1)," ",SUMIFS('2025数据'!$BK$3:$BK$181,'2025数据'!$T$3:$T$181,"&gt;="&amp;DATE(2025,7,1),'2025数据'!$T$3:$T$181,"&lt;="&amp;DATE(2025,7,31),'2025数据'!$AE$3:$AE$181,$E1465)/10000)</f>
        <v>0.976221</v>
      </c>
      <c r="M1465" s="51">
        <f ca="1">IF($S$1&lt;DATE(2025,8,1)," ",SUMIFS('2025数据'!$BK$3:$BK$181,'2025数据'!$T$3:$T$181,"&gt;="&amp;DATE(2025,8,1),'2025数据'!$T$3:$T$181,"&lt;="&amp;DATE(2025,8,31),'2025数据'!$AE$3:$AE$181,$E1465)/10000)</f>
        <v>2.954296</v>
      </c>
      <c r="N1465" s="51">
        <f ca="1">IF($S$1&lt;DATE(2025,9,1)," ",SUMIFS('2025数据'!$BK$3:$BK$181,'2025数据'!$T$3:$T$181,"&gt;="&amp;DATE(2025,9,1),'2025数据'!$T$3:$T$181,"&lt;="&amp;DATE(2025,9,30),'2025数据'!$AE$3:$AE$181,$E1465)/10000)</f>
        <v>0.497008</v>
      </c>
      <c r="O1465" s="51">
        <f ca="1">IF($S$1&lt;DATE(2025,10,1)," ",SUMIFS('2025数据'!$BK$3:$BK$181,'2025数据'!$T$3:$T$181,"&gt;="&amp;DATE(2025,10,1),'2025数据'!$T$3:$T$181,"&lt;="&amp;DATE(2025,10,31),'2025数据'!$AE$3:$AE$181,$E1465)/10000)</f>
        <v>0.805721</v>
      </c>
      <c r="P1465" s="217">
        <f ca="1">IF($S$1&lt;DATE(2025,11,1)," ",SUMIFS('2025数据'!$BK$3:$BK$181,'2025数据'!$T$3:$T$181,"&gt;="&amp;DATE(2025,11,1),'2025数据'!$T$3:$T$181,"&lt;="&amp;DATE(2025,11,30),'2025数据'!$AE$3:$AE$181,$E1465)/10000)</f>
        <v>0</v>
      </c>
      <c r="Q1465" s="217">
        <f ca="1">IF($S$1&lt;DATE(2025,12,1)," ",SUMIFS('2025数据'!$BK$3:$BK$181,'2025数据'!$T$3:$T$181,"&gt;="&amp;DATE(2025,12,1),'2025数据'!$T$3:$T$181,"&lt;="&amp;DATE(2025,12,31),'2025数据'!$AE$3:$AE$181,$E1465)/10000)</f>
        <v>0.424451</v>
      </c>
    </row>
    <row r="1466" ht="24" customHeight="1" spans="1:17">
      <c r="A1466" s="99" t="s">
        <v>348</v>
      </c>
      <c r="B1466" s="99" t="s">
        <v>299</v>
      </c>
      <c r="C1466" s="99" t="s">
        <v>333</v>
      </c>
      <c r="D1466" s="48" t="s">
        <v>31</v>
      </c>
      <c r="E1466" s="48" t="s">
        <v>86</v>
      </c>
      <c r="F1466" s="51">
        <f ca="1">IF($S$1&lt;DATE(2025,1,1)," ",SUMIFS('2025数据'!$BK$3:$BK$181,'2025数据'!$T$3:$T$181,"&gt;="&amp;DATE(2025,1,1),'2025数据'!$T$3:$T$181,"&lt;="&amp;DATE(2025,1,31),'2025数据'!$AE$3:$AE$181,$E1466)/10000)</f>
        <v>1.635026</v>
      </c>
      <c r="G1466" s="51">
        <f ca="1">IF($S$1&lt;DATE(2025,2,1)," ",SUMIFS('2025数据'!$BK$3:$BK$181,'2025数据'!$T$3:$T$181,"&gt;="&amp;DATE(2025,2,1),'2025数据'!$T$3:$T$181,"&lt;="&amp;DATE(2025,2,28),'2025数据'!$AE$3:$AE$181,$E1466)/10000)</f>
        <v>0.404745</v>
      </c>
      <c r="H1466" s="51">
        <f ca="1">IF($S$1&lt;DATE(2025,3,1)," ",SUMIFS('2025数据'!$BK$3:$BK$181,'2025数据'!$T$3:$T$181,"&gt;="&amp;DATE(2025,3,1),'2025数据'!$T$3:$T$181,"&lt;="&amp;DATE(2025,3,31),'2025数据'!$AE$3:$AE$181,$E1466)/10000)</f>
        <v>0</v>
      </c>
      <c r="I1466" s="51">
        <f ca="1">IF($S$1&lt;DATE(2025,4,1)," ",SUMIFS('2025数据'!$BK$3:$BK$181,'2025数据'!$T$3:$T$181,"&gt;="&amp;DATE(2025,4,1),'2025数据'!$T$3:$T$181,"&lt;="&amp;DATE(2025,4,30),'2025数据'!$AE$3:$AE$181,$E1466)/10000)</f>
        <v>0</v>
      </c>
      <c r="J1466" s="51">
        <f ca="1">IF($S$1&lt;DATE(2025,5,1)," ",SUMIFS('2025数据'!$BK$3:$BK$181,'2025数据'!$T$3:$T$181,"&gt;="&amp;DATE(2025,5,1),'2025数据'!$T$3:$T$181,"&lt;="&amp;DATE(2025,5,31),'2025数据'!$AE$3:$AE$181,$E1466)/10000)</f>
        <v>2.876615</v>
      </c>
      <c r="K1466" s="51">
        <f ca="1">IF($S$1&lt;DATE(2025,6,1)," ",SUMIFS('2025数据'!$BK$3:$BK$181,'2025数据'!$T$3:$T$181,"&gt;="&amp;DATE(2025,6,1),'2025数据'!$T$3:$T$181,"&lt;="&amp;DATE(2025,6,30),'2025数据'!$AE$3:$AE$181,$E1466)/10000)</f>
        <v>0.569286</v>
      </c>
      <c r="L1466" s="51">
        <f ca="1">IF($S$1&lt;DATE(2025,7,1)," ",SUMIFS('2025数据'!$BK$3:$BK$181,'2025数据'!$T$3:$T$181,"&gt;="&amp;DATE(2025,7,1),'2025数据'!$T$3:$T$181,"&lt;="&amp;DATE(2025,7,31),'2025数据'!$AE$3:$AE$181,$E1466)/10000)</f>
        <v>0</v>
      </c>
      <c r="M1466" s="51">
        <f ca="1">IF($S$1&lt;DATE(2025,8,1)," ",SUMIFS('2025数据'!$BK$3:$BK$181,'2025数据'!$T$3:$T$181,"&gt;="&amp;DATE(2025,8,1),'2025数据'!$T$3:$T$181,"&lt;="&amp;DATE(2025,8,31),'2025数据'!$AE$3:$AE$181,$E1466)/10000)</f>
        <v>2.495087</v>
      </c>
      <c r="N1466" s="51">
        <f ca="1">IF($S$1&lt;DATE(2025,9,1)," ",SUMIFS('2025数据'!$BK$3:$BK$181,'2025数据'!$T$3:$T$181,"&gt;="&amp;DATE(2025,9,1),'2025数据'!$T$3:$T$181,"&lt;="&amp;DATE(2025,9,30),'2025数据'!$AE$3:$AE$181,$E1466)/10000)</f>
        <v>1.343366</v>
      </c>
      <c r="O1466" s="51">
        <f ca="1">IF($S$1&lt;DATE(2025,10,1)," ",SUMIFS('2025数据'!$BK$3:$BK$181,'2025数据'!$T$3:$T$181,"&gt;="&amp;DATE(2025,10,1),'2025数据'!$T$3:$T$181,"&lt;="&amp;DATE(2025,10,31),'2025数据'!$AE$3:$AE$181,$E1466)/10000)</f>
        <v>0</v>
      </c>
      <c r="P1466" s="217">
        <f ca="1">IF($S$1&lt;DATE(2025,11,1)," ",SUMIFS('2025数据'!$BK$3:$BK$181,'2025数据'!$T$3:$T$181,"&gt;="&amp;DATE(2025,11,1),'2025数据'!$T$3:$T$181,"&lt;="&amp;DATE(2025,11,30),'2025数据'!$AE$3:$AE$181,$E1466)/10000)</f>
        <v>1.174226</v>
      </c>
      <c r="Q1466" s="217">
        <f ca="1">IF($S$1&lt;DATE(2025,12,1)," ",SUMIFS('2025数据'!$BK$3:$BK$181,'2025数据'!$T$3:$T$181,"&gt;="&amp;DATE(2025,12,1),'2025数据'!$T$3:$T$181,"&lt;="&amp;DATE(2025,12,31),'2025数据'!$AE$3:$AE$181,$E1466)/10000)</f>
        <v>0.405907</v>
      </c>
    </row>
    <row r="1467" ht="24" customHeight="1" spans="1:17">
      <c r="A1467" s="99" t="s">
        <v>348</v>
      </c>
      <c r="B1467" s="99" t="s">
        <v>299</v>
      </c>
      <c r="C1467" s="99" t="s">
        <v>333</v>
      </c>
      <c r="D1467" s="48" t="s">
        <v>31</v>
      </c>
      <c r="E1467" s="48" t="s">
        <v>97</v>
      </c>
      <c r="F1467" s="51">
        <f ca="1">IF($S$1&lt;DATE(2025,1,1)," ",SUMIFS('2025数据'!$BK$3:$BK$181,'2025数据'!$T$3:$T$181,"&gt;="&amp;DATE(2025,1,1),'2025数据'!$T$3:$T$181,"&lt;="&amp;DATE(2025,1,31),'2025数据'!$AE$3:$AE$181,$E1467)/10000)</f>
        <v>0</v>
      </c>
      <c r="G1467" s="51">
        <f ca="1">IF($S$1&lt;DATE(2025,2,1)," ",SUMIFS('2025数据'!$BK$3:$BK$181,'2025数据'!$T$3:$T$181,"&gt;="&amp;DATE(2025,2,1),'2025数据'!$T$3:$T$181,"&lt;="&amp;DATE(2025,2,28),'2025数据'!$AE$3:$AE$181,$E1467)/10000)</f>
        <v>0</v>
      </c>
      <c r="H1467" s="51">
        <f ca="1">IF($S$1&lt;DATE(2025,3,1)," ",SUMIFS('2025数据'!$BK$3:$BK$181,'2025数据'!$T$3:$T$181,"&gt;="&amp;DATE(2025,3,1),'2025数据'!$T$3:$T$181,"&lt;="&amp;DATE(2025,3,31),'2025数据'!$AE$3:$AE$181,$E1467)/10000)</f>
        <v>0</v>
      </c>
      <c r="I1467" s="51">
        <f ca="1">IF($S$1&lt;DATE(2025,4,1)," ",SUMIFS('2025数据'!$BK$3:$BK$181,'2025数据'!$T$3:$T$181,"&gt;="&amp;DATE(2025,4,1),'2025数据'!$T$3:$T$181,"&lt;="&amp;DATE(2025,4,30),'2025数据'!$AE$3:$AE$181,$E1467)/10000)</f>
        <v>2.018367</v>
      </c>
      <c r="J1467" s="51">
        <f ca="1">IF($S$1&lt;DATE(2025,5,1)," ",SUMIFS('2025数据'!$BK$3:$BK$181,'2025数据'!$T$3:$T$181,"&gt;="&amp;DATE(2025,5,1),'2025数据'!$T$3:$T$181,"&lt;="&amp;DATE(2025,5,31),'2025数据'!$AE$3:$AE$181,$E1467)/10000)</f>
        <v>2.296472</v>
      </c>
      <c r="K1467" s="51">
        <f ca="1">IF($S$1&lt;DATE(2025,6,1)," ",SUMIFS('2025数据'!$BK$3:$BK$181,'2025数据'!$T$3:$T$181,"&gt;="&amp;DATE(2025,6,1),'2025数据'!$T$3:$T$181,"&lt;="&amp;DATE(2025,6,30),'2025数据'!$AE$3:$AE$181,$E1467)/10000)</f>
        <v>4.010645</v>
      </c>
      <c r="L1467" s="51">
        <f ca="1">IF($S$1&lt;DATE(2025,7,1)," ",SUMIFS('2025数据'!$BK$3:$BK$181,'2025数据'!$T$3:$T$181,"&gt;="&amp;DATE(2025,7,1),'2025数据'!$T$3:$T$181,"&lt;="&amp;DATE(2025,7,31),'2025数据'!$AE$3:$AE$181,$E1467)/10000)</f>
        <v>0</v>
      </c>
      <c r="M1467" s="51">
        <f ca="1">IF($S$1&lt;DATE(2025,8,1)," ",SUMIFS('2025数据'!$BK$3:$BK$181,'2025数据'!$T$3:$T$181,"&gt;="&amp;DATE(2025,8,1),'2025数据'!$T$3:$T$181,"&lt;="&amp;DATE(2025,8,31),'2025数据'!$AE$3:$AE$181,$E1467)/10000)</f>
        <v>0</v>
      </c>
      <c r="N1467" s="51">
        <f ca="1">IF($S$1&lt;DATE(2025,9,1)," ",SUMIFS('2025数据'!$BK$3:$BK$181,'2025数据'!$T$3:$T$181,"&gt;="&amp;DATE(2025,9,1),'2025数据'!$T$3:$T$181,"&lt;="&amp;DATE(2025,9,30),'2025数据'!$AE$3:$AE$181,$E1467)/10000)</f>
        <v>4.420496</v>
      </c>
      <c r="O1467" s="51">
        <f ca="1">IF($S$1&lt;DATE(2025,10,1)," ",SUMIFS('2025数据'!$BK$3:$BK$181,'2025数据'!$T$3:$T$181,"&gt;="&amp;DATE(2025,10,1),'2025数据'!$T$3:$T$181,"&lt;="&amp;DATE(2025,10,31),'2025数据'!$AE$3:$AE$181,$E1467)/10000)</f>
        <v>0</v>
      </c>
      <c r="P1467" s="217">
        <f ca="1">IF($S$1&lt;DATE(2025,11,1)," ",SUMIFS('2025数据'!$BK$3:$BK$181,'2025数据'!$T$3:$T$181,"&gt;="&amp;DATE(2025,11,1),'2025数据'!$T$3:$T$181,"&lt;="&amp;DATE(2025,11,30),'2025数据'!$AE$3:$AE$181,$E1467)/10000)</f>
        <v>0</v>
      </c>
      <c r="Q1467" s="217">
        <f ca="1">IF($S$1&lt;DATE(2025,12,1)," ",SUMIFS('2025数据'!$BK$3:$BK$181,'2025数据'!$T$3:$T$181,"&gt;="&amp;DATE(2025,12,1),'2025数据'!$T$3:$T$181,"&lt;="&amp;DATE(2025,12,31),'2025数据'!$AE$3:$AE$181,$E1467)/10000)</f>
        <v>0.544188</v>
      </c>
    </row>
    <row r="1468" ht="24" customHeight="1" spans="1:17">
      <c r="A1468" s="99" t="s">
        <v>348</v>
      </c>
      <c r="B1468" s="99" t="s">
        <v>299</v>
      </c>
      <c r="C1468" s="99" t="s">
        <v>333</v>
      </c>
      <c r="D1468" s="48" t="s">
        <v>31</v>
      </c>
      <c r="E1468" s="48" t="s">
        <v>87</v>
      </c>
      <c r="F1468" s="51">
        <f ca="1">IF($S$1&lt;DATE(2025,1,1)," ",SUMIFS('2025数据'!$BK$3:$BK$181,'2025数据'!$T$3:$T$181,"&gt;="&amp;DATE(2025,1,1),'2025数据'!$T$3:$T$181,"&lt;="&amp;DATE(2025,1,31),'2025数据'!$AE$3:$AE$181,$E1468)/10000)</f>
        <v>0</v>
      </c>
      <c r="G1468" s="51">
        <f ca="1">IF($S$1&lt;DATE(2025,2,1)," ",SUMIFS('2025数据'!$BK$3:$BK$181,'2025数据'!$T$3:$T$181,"&gt;="&amp;DATE(2025,2,1),'2025数据'!$T$3:$T$181,"&lt;="&amp;DATE(2025,2,28),'2025数据'!$AE$3:$AE$181,$E1468)/10000)</f>
        <v>0</v>
      </c>
      <c r="H1468" s="51">
        <f ca="1">IF($S$1&lt;DATE(2025,3,1)," ",SUMIFS('2025数据'!$BK$3:$BK$181,'2025数据'!$T$3:$T$181,"&gt;="&amp;DATE(2025,3,1),'2025数据'!$T$3:$T$181,"&lt;="&amp;DATE(2025,3,31),'2025数据'!$AE$3:$AE$181,$E1468)/10000)</f>
        <v>0</v>
      </c>
      <c r="I1468" s="51">
        <f ca="1">IF($S$1&lt;DATE(2025,4,1)," ",SUMIFS('2025数据'!$BK$3:$BK$181,'2025数据'!$T$3:$T$181,"&gt;="&amp;DATE(2025,4,1),'2025数据'!$T$3:$T$181,"&lt;="&amp;DATE(2025,4,30),'2025数据'!$AE$3:$AE$181,$E1468)/10000)</f>
        <v>0</v>
      </c>
      <c r="J1468" s="51">
        <f ca="1">IF($S$1&lt;DATE(2025,5,1)," ",SUMIFS('2025数据'!$BK$3:$BK$181,'2025数据'!$T$3:$T$181,"&gt;="&amp;DATE(2025,5,1),'2025数据'!$T$3:$T$181,"&lt;="&amp;DATE(2025,5,31),'2025数据'!$AE$3:$AE$181,$E1468)/10000)</f>
        <v>0</v>
      </c>
      <c r="K1468" s="51">
        <f ca="1">IF($S$1&lt;DATE(2025,6,1)," ",SUMIFS('2025数据'!$BK$3:$BK$181,'2025数据'!$T$3:$T$181,"&gt;="&amp;DATE(2025,6,1),'2025数据'!$T$3:$T$181,"&lt;="&amp;DATE(2025,6,30),'2025数据'!$AE$3:$AE$181,$E1468)/10000)</f>
        <v>0</v>
      </c>
      <c r="L1468" s="51">
        <f ca="1">IF($S$1&lt;DATE(2025,7,1)," ",SUMIFS('2025数据'!$BK$3:$BK$181,'2025数据'!$T$3:$T$181,"&gt;="&amp;DATE(2025,7,1),'2025数据'!$T$3:$T$181,"&lt;="&amp;DATE(2025,7,31),'2025数据'!$AE$3:$AE$181,$E1468)/10000)</f>
        <v>0.422496</v>
      </c>
      <c r="M1468" s="51">
        <f ca="1">IF($S$1&lt;DATE(2025,8,1)," ",SUMIFS('2025数据'!$BK$3:$BK$181,'2025数据'!$T$3:$T$181,"&gt;="&amp;DATE(2025,8,1),'2025数据'!$T$3:$T$181,"&lt;="&amp;DATE(2025,8,31),'2025数据'!$AE$3:$AE$181,$E1468)/10000)</f>
        <v>0</v>
      </c>
      <c r="N1468" s="51">
        <f ca="1">IF($S$1&lt;DATE(2025,9,1)," ",SUMIFS('2025数据'!$BK$3:$BK$181,'2025数据'!$T$3:$T$181,"&gt;="&amp;DATE(2025,9,1),'2025数据'!$T$3:$T$181,"&lt;="&amp;DATE(2025,9,30),'2025数据'!$AE$3:$AE$181,$E1468)/10000)</f>
        <v>0</v>
      </c>
      <c r="O1468" s="51">
        <f ca="1">IF($S$1&lt;DATE(2025,10,1)," ",SUMIFS('2025数据'!$BK$3:$BK$181,'2025数据'!$T$3:$T$181,"&gt;="&amp;DATE(2025,10,1),'2025数据'!$T$3:$T$181,"&lt;="&amp;DATE(2025,10,31),'2025数据'!$AE$3:$AE$181,$E1468)/10000)</f>
        <v>0</v>
      </c>
      <c r="P1468" s="217">
        <f ca="1">IF($S$1&lt;DATE(2025,11,1)," ",SUMIFS('2025数据'!$BK$3:$BK$181,'2025数据'!$T$3:$T$181,"&gt;="&amp;DATE(2025,11,1),'2025数据'!$T$3:$T$181,"&lt;="&amp;DATE(2025,11,30),'2025数据'!$AE$3:$AE$181,$E1468)/10000)</f>
        <v>0</v>
      </c>
      <c r="Q1468" s="217">
        <f ca="1">IF($S$1&lt;DATE(2025,12,1)," ",SUMIFS('2025数据'!$BK$3:$BK$181,'2025数据'!$T$3:$T$181,"&gt;="&amp;DATE(2025,12,1),'2025数据'!$T$3:$T$181,"&lt;="&amp;DATE(2025,12,31),'2025数据'!$AE$3:$AE$181,$E1468)/10000)</f>
        <v>0</v>
      </c>
    </row>
    <row r="1469" ht="24" customHeight="1" spans="1:17">
      <c r="A1469" s="99" t="s">
        <v>348</v>
      </c>
      <c r="B1469" s="99" t="s">
        <v>299</v>
      </c>
      <c r="C1469" s="99" t="s">
        <v>333</v>
      </c>
      <c r="D1469" s="48" t="s">
        <v>31</v>
      </c>
      <c r="E1469" s="48" t="s">
        <v>149</v>
      </c>
      <c r="F1469" s="51">
        <f ca="1">IF($S$1&lt;DATE(2025,1,1)," ",SUMIFS('2025数据'!$BK$3:$BK$181,'2025数据'!$T$3:$T$181,"&gt;="&amp;DATE(2025,1,1),'2025数据'!$T$3:$T$181,"&lt;="&amp;DATE(2025,1,31),'2025数据'!$AE$3:$AE$181,$E1469)/10000)</f>
        <v>0</v>
      </c>
      <c r="G1469" s="51">
        <f ca="1">IF($S$1&lt;DATE(2025,2,1)," ",SUMIFS('2025数据'!$BK$3:$BK$181,'2025数据'!$T$3:$T$181,"&gt;="&amp;DATE(2025,2,1),'2025数据'!$T$3:$T$181,"&lt;="&amp;DATE(2025,2,28),'2025数据'!$AE$3:$AE$181,$E1469)/10000)</f>
        <v>0</v>
      </c>
      <c r="H1469" s="51">
        <f ca="1">IF($S$1&lt;DATE(2025,3,1)," ",SUMIFS('2025数据'!$BK$3:$BK$181,'2025数据'!$T$3:$T$181,"&gt;="&amp;DATE(2025,3,1),'2025数据'!$T$3:$T$181,"&lt;="&amp;DATE(2025,3,31),'2025数据'!$AE$3:$AE$181,$E1469)/10000)</f>
        <v>0</v>
      </c>
      <c r="I1469" s="51">
        <f ca="1">IF($S$1&lt;DATE(2025,4,1)," ",SUMIFS('2025数据'!$BK$3:$BK$181,'2025数据'!$T$3:$T$181,"&gt;="&amp;DATE(2025,4,1),'2025数据'!$T$3:$T$181,"&lt;="&amp;DATE(2025,4,30),'2025数据'!$AE$3:$AE$181,$E1469)/10000)</f>
        <v>0</v>
      </c>
      <c r="J1469" s="51">
        <f ca="1">IF($S$1&lt;DATE(2025,5,1)," ",SUMIFS('2025数据'!$BK$3:$BK$181,'2025数据'!$T$3:$T$181,"&gt;="&amp;DATE(2025,5,1),'2025数据'!$T$3:$T$181,"&lt;="&amp;DATE(2025,5,31),'2025数据'!$AE$3:$AE$181,$E1469)/10000)</f>
        <v>0</v>
      </c>
      <c r="K1469" s="51">
        <f ca="1">IF($S$1&lt;DATE(2025,6,1)," ",SUMIFS('2025数据'!$BK$3:$BK$181,'2025数据'!$T$3:$T$181,"&gt;="&amp;DATE(2025,6,1),'2025数据'!$T$3:$T$181,"&lt;="&amp;DATE(2025,6,30),'2025数据'!$AE$3:$AE$181,$E1469)/10000)</f>
        <v>0</v>
      </c>
      <c r="L1469" s="51">
        <f ca="1">IF($S$1&lt;DATE(2025,7,1)," ",SUMIFS('2025数据'!$BK$3:$BK$181,'2025数据'!$T$3:$T$181,"&gt;="&amp;DATE(2025,7,1),'2025数据'!$T$3:$T$181,"&lt;="&amp;DATE(2025,7,31),'2025数据'!$AE$3:$AE$181,$E1469)/10000)</f>
        <v>0</v>
      </c>
      <c r="M1469" s="51">
        <f ca="1">IF($S$1&lt;DATE(2025,8,1)," ",SUMIFS('2025数据'!$BK$3:$BK$181,'2025数据'!$T$3:$T$181,"&gt;="&amp;DATE(2025,8,1),'2025数据'!$T$3:$T$181,"&lt;="&amp;DATE(2025,8,31),'2025数据'!$AE$3:$AE$181,$E1469)/10000)</f>
        <v>0</v>
      </c>
      <c r="N1469" s="51">
        <f ca="1">IF($S$1&lt;DATE(2025,9,1)," ",SUMIFS('2025数据'!$BK$3:$BK$181,'2025数据'!$T$3:$T$181,"&gt;="&amp;DATE(2025,9,1),'2025数据'!$T$3:$T$181,"&lt;="&amp;DATE(2025,9,30),'2025数据'!$AE$3:$AE$181,$E1469)/10000)</f>
        <v>0</v>
      </c>
      <c r="O1469" s="51">
        <f ca="1">IF($S$1&lt;DATE(2025,10,1)," ",SUMIFS('2025数据'!$BK$3:$BK$181,'2025数据'!$T$3:$T$181,"&gt;="&amp;DATE(2025,10,1),'2025数据'!$T$3:$T$181,"&lt;="&amp;DATE(2025,10,31),'2025数据'!$AE$3:$AE$181,$E1469)/10000)</f>
        <v>0</v>
      </c>
      <c r="P1469" s="217">
        <f ca="1">IF($S$1&lt;DATE(2025,11,1)," ",SUMIFS('2025数据'!$BK$3:$BK$181,'2025数据'!$T$3:$T$181,"&gt;="&amp;DATE(2025,11,1),'2025数据'!$T$3:$T$181,"&lt;="&amp;DATE(2025,11,30),'2025数据'!$AE$3:$AE$181,$E1469)/10000)</f>
        <v>0</v>
      </c>
      <c r="Q1469" s="217">
        <f ca="1">IF($S$1&lt;DATE(2025,12,1)," ",SUMIFS('2025数据'!$BK$3:$BK$181,'2025数据'!$T$3:$T$181,"&gt;="&amp;DATE(2025,12,1),'2025数据'!$T$3:$T$181,"&lt;="&amp;DATE(2025,12,31),'2025数据'!$AE$3:$AE$181,$E1469)/10000)</f>
        <v>0</v>
      </c>
    </row>
    <row r="1470" ht="24" customHeight="1" spans="1:17">
      <c r="A1470" s="99" t="s">
        <v>348</v>
      </c>
      <c r="B1470" s="99" t="s">
        <v>299</v>
      </c>
      <c r="C1470" s="99" t="s">
        <v>333</v>
      </c>
      <c r="D1470" s="48" t="s">
        <v>31</v>
      </c>
      <c r="E1470" s="48" t="s">
        <v>83</v>
      </c>
      <c r="F1470" s="51">
        <f ca="1">IF($S$1&lt;DATE(2025,1,1)," ",SUMIFS('2025数据'!$BK$3:$BK$181,'2025数据'!$T$3:$T$181,"&gt;="&amp;DATE(2025,1,1),'2025数据'!$T$3:$T$181,"&lt;="&amp;DATE(2025,1,31),'2025数据'!$AE$3:$AE$181,$E1470)/10000)</f>
        <v>0</v>
      </c>
      <c r="G1470" s="51">
        <f ca="1">IF($S$1&lt;DATE(2025,2,1)," ",SUMIFS('2025数据'!$BK$3:$BK$181,'2025数据'!$T$3:$T$181,"&gt;="&amp;DATE(2025,2,1),'2025数据'!$T$3:$T$181,"&lt;="&amp;DATE(2025,2,28),'2025数据'!$AE$3:$AE$181,$E1470)/10000)</f>
        <v>0</v>
      </c>
      <c r="H1470" s="51">
        <f ca="1">IF($S$1&lt;DATE(2025,3,1)," ",SUMIFS('2025数据'!$BK$3:$BK$181,'2025数据'!$T$3:$T$181,"&gt;="&amp;DATE(2025,3,1),'2025数据'!$T$3:$T$181,"&lt;="&amp;DATE(2025,3,31),'2025数据'!$AE$3:$AE$181,$E1470)/10000)</f>
        <v>0</v>
      </c>
      <c r="I1470" s="51">
        <f ca="1">IF($S$1&lt;DATE(2025,4,1)," ",SUMIFS('2025数据'!$BK$3:$BK$181,'2025数据'!$T$3:$T$181,"&gt;="&amp;DATE(2025,4,1),'2025数据'!$T$3:$T$181,"&lt;="&amp;DATE(2025,4,30),'2025数据'!$AE$3:$AE$181,$E1470)/10000)</f>
        <v>0</v>
      </c>
      <c r="J1470" s="51">
        <f ca="1">IF($S$1&lt;DATE(2025,5,1)," ",SUMIFS('2025数据'!$BK$3:$BK$181,'2025数据'!$T$3:$T$181,"&gt;="&amp;DATE(2025,5,1),'2025数据'!$T$3:$T$181,"&lt;="&amp;DATE(2025,5,31),'2025数据'!$AE$3:$AE$181,$E1470)/10000)</f>
        <v>0</v>
      </c>
      <c r="K1470" s="51">
        <f ca="1">IF($S$1&lt;DATE(2025,6,1)," ",SUMIFS('2025数据'!$BK$3:$BK$181,'2025数据'!$T$3:$T$181,"&gt;="&amp;DATE(2025,6,1),'2025数据'!$T$3:$T$181,"&lt;="&amp;DATE(2025,6,30),'2025数据'!$AE$3:$AE$181,$E1470)/10000)</f>
        <v>0</v>
      </c>
      <c r="L1470" s="51">
        <f ca="1">IF($S$1&lt;DATE(2025,7,1)," ",SUMIFS('2025数据'!$BK$3:$BK$181,'2025数据'!$T$3:$T$181,"&gt;="&amp;DATE(2025,7,1),'2025数据'!$T$3:$T$181,"&lt;="&amp;DATE(2025,7,31),'2025数据'!$AE$3:$AE$181,$E1470)/10000)</f>
        <v>0</v>
      </c>
      <c r="M1470" s="51">
        <f ca="1">IF($S$1&lt;DATE(2025,8,1)," ",SUMIFS('2025数据'!$BK$3:$BK$181,'2025数据'!$T$3:$T$181,"&gt;="&amp;DATE(2025,8,1),'2025数据'!$T$3:$T$181,"&lt;="&amp;DATE(2025,8,31),'2025数据'!$AE$3:$AE$181,$E1470)/10000)</f>
        <v>0.677773</v>
      </c>
      <c r="N1470" s="51">
        <f ca="1">IF($S$1&lt;DATE(2025,9,1)," ",SUMIFS('2025数据'!$BK$3:$BK$181,'2025数据'!$T$3:$T$181,"&gt;="&amp;DATE(2025,9,1),'2025数据'!$T$3:$T$181,"&lt;="&amp;DATE(2025,9,30),'2025数据'!$AE$3:$AE$181,$E1470)/10000)</f>
        <v>0</v>
      </c>
      <c r="O1470" s="51">
        <f ca="1">IF($S$1&lt;DATE(2025,10,1)," ",SUMIFS('2025数据'!$BK$3:$BK$181,'2025数据'!$T$3:$T$181,"&gt;="&amp;DATE(2025,10,1),'2025数据'!$T$3:$T$181,"&lt;="&amp;DATE(2025,10,31),'2025数据'!$AE$3:$AE$181,$E1470)/10000)</f>
        <v>0</v>
      </c>
      <c r="P1470" s="217">
        <f ca="1">IF($S$1&lt;DATE(2025,11,1)," ",SUMIFS('2025数据'!$BK$3:$BK$181,'2025数据'!$T$3:$T$181,"&gt;="&amp;DATE(2025,11,1),'2025数据'!$T$3:$T$181,"&lt;="&amp;DATE(2025,11,30),'2025数据'!$AE$3:$AE$181,$E1470)/10000)</f>
        <v>0</v>
      </c>
      <c r="Q1470" s="217">
        <f ca="1">IF($S$1&lt;DATE(2025,12,1)," ",SUMIFS('2025数据'!$BK$3:$BK$181,'2025数据'!$T$3:$T$181,"&gt;="&amp;DATE(2025,12,1),'2025数据'!$T$3:$T$181,"&lt;="&amp;DATE(2025,12,31),'2025数据'!$AE$3:$AE$181,$E1470)/10000)</f>
        <v>0</v>
      </c>
    </row>
    <row r="1471" ht="24" customHeight="1" spans="1:17">
      <c r="A1471" s="99" t="s">
        <v>348</v>
      </c>
      <c r="B1471" s="99" t="s">
        <v>299</v>
      </c>
      <c r="C1471" s="99" t="s">
        <v>333</v>
      </c>
      <c r="D1471" s="47" t="s">
        <v>294</v>
      </c>
      <c r="E1471" s="47" t="s">
        <v>93</v>
      </c>
      <c r="F1471" s="51">
        <f ca="1">IF($S$1&lt;DATE(2025,1,1)," ",SUMIFS('2025数据'!$BK$3:$BK$181,'2025数据'!$T$3:$T$181,"&gt;="&amp;DATE(2025,1,1),'2025数据'!$T$3:$T$181,"&lt;="&amp;DATE(2025,1,31),'2025数据'!$B$3:$B$181,$E1471)/10000)</f>
        <v>0</v>
      </c>
      <c r="G1471" s="51">
        <f ca="1">IF($S$1&lt;DATE(2025,2,1)," ",SUMIFS('2025数据'!$BK$3:$BK$181,'2025数据'!$T$3:$T$181,"&gt;="&amp;DATE(2025,2,1),'2025数据'!$T$3:$T$181,"&lt;="&amp;DATE(2025,2,28),'2025数据'!$B$3:$B$181,$E1471)/10000)</f>
        <v>3.166154</v>
      </c>
      <c r="H1471" s="51">
        <f ca="1">IF($S$1&lt;DATE(2025,3,1)," ",SUMIFS('2025数据'!$BK$3:$BK$181,'2025数据'!$T$3:$T$181,"&gt;="&amp;DATE(2025,3,1),'2025数据'!$T$3:$T$181,"&lt;="&amp;DATE(2025,3,31),'2025数据'!$B$3:$B$181,$E1471)/10000)</f>
        <v>1.673401</v>
      </c>
      <c r="I1471" s="51">
        <f ca="1">IF($S$1&lt;DATE(2025,4,1)," ",SUMIFS('2025数据'!$BK$3:$BK$181,'2025数据'!$T$3:$T$181,"&gt;="&amp;DATE(2025,4,1),'2025数据'!$T$3:$T$181,"&lt;="&amp;DATE(2025,4,30),'2025数据'!$B$3:$B$181,$E1471)/10000)</f>
        <v>1.718387</v>
      </c>
      <c r="J1471" s="51">
        <f ca="1">IF($S$1&lt;DATE(2025,5,1)," ",SUMIFS('2025数据'!$BK$3:$BK$181,'2025数据'!$T$3:$T$181,"&gt;="&amp;DATE(2025,5,1),'2025数据'!$T$3:$T$181,"&lt;="&amp;DATE(2025,5,31),'2025数据'!$B$3:$B$181,$E1471)/10000)</f>
        <v>6.895212</v>
      </c>
      <c r="K1471" s="51">
        <f ca="1">IF($S$1&lt;DATE(2025,6,1)," ",SUMIFS('2025数据'!$BK$3:$BK$181,'2025数据'!$T$3:$T$181,"&gt;="&amp;DATE(2025,6,1),'2025数据'!$T$3:$T$181,"&lt;="&amp;DATE(2025,6,30),'2025数据'!$B$3:$B$181,$E1471)/10000)</f>
        <v>5.874459</v>
      </c>
      <c r="L1471" s="51">
        <f ca="1">IF($S$1&lt;DATE(2025,7,1)," ",SUMIFS('2025数据'!$BK$3:$BK$181,'2025数据'!$T$3:$T$181,"&gt;="&amp;DATE(2025,7,1),'2025数据'!$T$3:$T$181,"&lt;="&amp;DATE(2025,7,31),'2025数据'!$B$3:$B$181,$E1471)/10000)</f>
        <v>0.422496</v>
      </c>
      <c r="M1471" s="51">
        <f ca="1">IF($S$1&lt;DATE(2025,8,1)," ",SUMIFS('2025数据'!$BK$3:$BK$181,'2025数据'!$T$3:$T$181,"&gt;="&amp;DATE(2025,8,1),'2025数据'!$T$3:$T$181,"&lt;="&amp;DATE(2025,8,31),'2025数据'!$B$3:$B$181,$E1471)/10000)</f>
        <v>0.922871</v>
      </c>
      <c r="N1471" s="51">
        <f ca="1">IF($S$1&lt;DATE(2025,9,1)," ",SUMIFS('2025数据'!$BK$3:$BK$181,'2025数据'!$T$3:$T$181,"&gt;="&amp;DATE(2025,9,1),'2025数据'!$T$3:$T$181,"&lt;="&amp;DATE(2025,9,30),'2025数据'!$B$3:$B$181,$E1471)/10000)</f>
        <v>5.153893</v>
      </c>
      <c r="O1471" s="51">
        <f ca="1">IF($S$1&lt;DATE(2025,10,1)," ",SUMIFS('2025数据'!$BK$3:$BK$181,'2025数据'!$T$3:$T$181,"&gt;="&amp;DATE(2025,10,1),'2025数据'!$T$3:$T$181,"&lt;="&amp;DATE(2025,10,31),'2025数据'!$B$3:$B$181,$E1471)/10000)</f>
        <v>0.416508</v>
      </c>
      <c r="P1471" s="217">
        <f ca="1">IF($S$1&lt;DATE(2025,11,1)," ",SUMIFS('2025数据'!$BK$3:$BK$181,'2025数据'!$T$3:$T$181,"&gt;="&amp;DATE(2025,11,1),'2025数据'!$T$3:$T$181,"&lt;="&amp;DATE(2025,11,30),'2025数据'!$B$3:$B$181,$E1471)/10000)</f>
        <v>0</v>
      </c>
      <c r="Q1471" s="217">
        <f ca="1">IF($S$1&lt;DATE(2025,12,1)," ",SUMIFS('2025数据'!$BK$3:$BK$181,'2025数据'!$T$3:$T$181,"&gt;="&amp;DATE(2025,12,1),'2025数据'!$T$3:$T$181,"&lt;="&amp;DATE(2025,12,31),'2025数据'!$B$3:$B$181,$E1471)/10000)</f>
        <v>0.968639</v>
      </c>
    </row>
    <row r="1472" ht="24" customHeight="1" spans="1:17">
      <c r="A1472" s="99" t="s">
        <v>348</v>
      </c>
      <c r="B1472" s="99" t="s">
        <v>299</v>
      </c>
      <c r="C1472" s="99" t="s">
        <v>333</v>
      </c>
      <c r="D1472" s="47" t="s">
        <v>294</v>
      </c>
      <c r="E1472" s="47" t="s">
        <v>85</v>
      </c>
      <c r="F1472" s="51">
        <f ca="1">IF($S$1&lt;DATE(2025,1,1)," ",SUMIFS('2025数据'!$BK$3:$BK$181,'2025数据'!$T$3:$T$181,"&gt;="&amp;DATE(2025,1,1),'2025数据'!$T$3:$T$181,"&lt;="&amp;DATE(2025,1,31),'2025数据'!$B$3:$B$181,$E1472)/10000)</f>
        <v>1.098227</v>
      </c>
      <c r="G1472" s="51">
        <f ca="1">IF($S$1&lt;DATE(2025,2,1)," ",SUMIFS('2025数据'!$BK$3:$BK$181,'2025数据'!$T$3:$T$181,"&gt;="&amp;DATE(2025,2,1),'2025数据'!$T$3:$T$181,"&lt;="&amp;DATE(2025,2,28),'2025数据'!$B$3:$B$181,$E1472)/10000)</f>
        <v>0</v>
      </c>
      <c r="H1472" s="51">
        <f ca="1">IF($S$1&lt;DATE(2025,3,1)," ",SUMIFS('2025数据'!$BK$3:$BK$181,'2025数据'!$T$3:$T$181,"&gt;="&amp;DATE(2025,3,1),'2025数据'!$T$3:$T$181,"&lt;="&amp;DATE(2025,3,31),'2025数据'!$B$3:$B$181,$E1472)/10000)</f>
        <v>0</v>
      </c>
      <c r="I1472" s="51">
        <f ca="1">IF($S$1&lt;DATE(2025,4,1)," ",SUMIFS('2025数据'!$BK$3:$BK$181,'2025数据'!$T$3:$T$181,"&gt;="&amp;DATE(2025,4,1),'2025数据'!$T$3:$T$181,"&lt;="&amp;DATE(2025,4,30),'2025数据'!$B$3:$B$181,$E1472)/10000)</f>
        <v>0</v>
      </c>
      <c r="J1472" s="51">
        <f ca="1">IF($S$1&lt;DATE(2025,5,1)," ",SUMIFS('2025数据'!$BK$3:$BK$181,'2025数据'!$T$3:$T$181,"&gt;="&amp;DATE(2025,5,1),'2025数据'!$T$3:$T$181,"&lt;="&amp;DATE(2025,5,31),'2025数据'!$B$3:$B$181,$E1472)/10000)</f>
        <v>0.655561</v>
      </c>
      <c r="K1472" s="51">
        <f ca="1">IF($S$1&lt;DATE(2025,6,1)," ",SUMIFS('2025数据'!$BK$3:$BK$181,'2025数据'!$T$3:$T$181,"&gt;="&amp;DATE(2025,6,1),'2025数据'!$T$3:$T$181,"&lt;="&amp;DATE(2025,6,30),'2025数据'!$B$3:$B$181,$E1472)/10000)</f>
        <v>0.36841</v>
      </c>
      <c r="L1472" s="51">
        <f ca="1">IF($S$1&lt;DATE(2025,7,1)," ",SUMIFS('2025数据'!$BK$3:$BK$181,'2025数据'!$T$3:$T$181,"&gt;="&amp;DATE(2025,7,1),'2025数据'!$T$3:$T$181,"&lt;="&amp;DATE(2025,7,31),'2025数据'!$B$3:$B$181,$E1472)/10000)</f>
        <v>0</v>
      </c>
      <c r="M1472" s="51">
        <f ca="1">IF($S$1&lt;DATE(2025,8,1)," ",SUMIFS('2025数据'!$BK$3:$BK$181,'2025数据'!$T$3:$T$181,"&gt;="&amp;DATE(2025,8,1),'2025数据'!$T$3:$T$181,"&lt;="&amp;DATE(2025,8,31),'2025数据'!$B$3:$B$181,$E1472)/10000)</f>
        <v>2.954296</v>
      </c>
      <c r="N1472" s="51">
        <f ca="1">IF($S$1&lt;DATE(2025,9,1)," ",SUMIFS('2025数据'!$BK$3:$BK$181,'2025数据'!$T$3:$T$181,"&gt;="&amp;DATE(2025,9,1),'2025数据'!$T$3:$T$181,"&lt;="&amp;DATE(2025,9,30),'2025数据'!$B$3:$B$181,$E1472)/10000)</f>
        <v>0.945951</v>
      </c>
      <c r="O1472" s="51">
        <f ca="1">IF($S$1&lt;DATE(2025,10,1)," ",SUMIFS('2025数据'!$BK$3:$BK$181,'2025数据'!$T$3:$T$181,"&gt;="&amp;DATE(2025,10,1),'2025数据'!$T$3:$T$181,"&lt;="&amp;DATE(2025,10,31),'2025数据'!$B$3:$B$181,$E1472)/10000)</f>
        <v>1.599552</v>
      </c>
      <c r="P1472" s="217">
        <f ca="1">IF($S$1&lt;DATE(2025,11,1)," ",SUMIFS('2025数据'!$BK$3:$BK$181,'2025数据'!$T$3:$T$181,"&gt;="&amp;DATE(2025,11,1),'2025数据'!$T$3:$T$181,"&lt;="&amp;DATE(2025,11,30),'2025数据'!$B$3:$B$181,$E1472)/10000)</f>
        <v>1.174226</v>
      </c>
      <c r="Q1472" s="217">
        <f ca="1">IF($S$1&lt;DATE(2025,12,1)," ",SUMIFS('2025数据'!$BK$3:$BK$181,'2025数据'!$T$3:$T$181,"&gt;="&amp;DATE(2025,12,1),'2025数据'!$T$3:$T$181,"&lt;="&amp;DATE(2025,12,31),'2025数据'!$B$3:$B$181,$E1472)/10000)</f>
        <v>2.387415</v>
      </c>
    </row>
    <row r="1473" ht="24" customHeight="1" spans="1:17">
      <c r="A1473" s="99" t="s">
        <v>348</v>
      </c>
      <c r="B1473" s="99" t="s">
        <v>299</v>
      </c>
      <c r="C1473" s="99" t="s">
        <v>333</v>
      </c>
      <c r="D1473" s="47" t="s">
        <v>294</v>
      </c>
      <c r="E1473" s="47" t="s">
        <v>81</v>
      </c>
      <c r="F1473" s="51">
        <f ca="1">IF($S$1&lt;DATE(2025,1,1)," ",SUMIFS('2025数据'!$BK$3:$BK$181,'2025数据'!$T$3:$T$181,"&gt;="&amp;DATE(2025,1,1),'2025数据'!$T$3:$T$181,"&lt;="&amp;DATE(2025,1,31),'2025数据'!$B$3:$B$181,$E1473)/10000)</f>
        <v>1.8396</v>
      </c>
      <c r="G1473" s="51">
        <f ca="1">IF($S$1&lt;DATE(2025,2,1)," ",SUMIFS('2025数据'!$BK$3:$BK$181,'2025数据'!$T$3:$T$181,"&gt;="&amp;DATE(2025,2,1),'2025数据'!$T$3:$T$181,"&lt;="&amp;DATE(2025,2,28),'2025数据'!$B$3:$B$181,$E1473)/10000)</f>
        <v>0</v>
      </c>
      <c r="H1473" s="51">
        <f ca="1">IF($S$1&lt;DATE(2025,3,1)," ",SUMIFS('2025数据'!$BK$3:$BK$181,'2025数据'!$T$3:$T$181,"&gt;="&amp;DATE(2025,3,1),'2025数据'!$T$3:$T$181,"&lt;="&amp;DATE(2025,3,31),'2025数据'!$B$3:$B$181,$E1473)/10000)</f>
        <v>0</v>
      </c>
      <c r="I1473" s="51">
        <f ca="1">IF($S$1&lt;DATE(2025,4,1)," ",SUMIFS('2025数据'!$BK$3:$BK$181,'2025数据'!$T$3:$T$181,"&gt;="&amp;DATE(2025,4,1),'2025数据'!$T$3:$T$181,"&lt;="&amp;DATE(2025,4,30),'2025数据'!$B$3:$B$181,$E1473)/10000)</f>
        <v>0</v>
      </c>
      <c r="J1473" s="51">
        <f ca="1">IF($S$1&lt;DATE(2025,5,1)," ",SUMIFS('2025数据'!$BK$3:$BK$181,'2025数据'!$T$3:$T$181,"&gt;="&amp;DATE(2025,5,1),'2025数据'!$T$3:$T$181,"&lt;="&amp;DATE(2025,5,31),'2025数据'!$B$3:$B$181,$E1473)/10000)</f>
        <v>0</v>
      </c>
      <c r="K1473" s="51">
        <f ca="1">IF($S$1&lt;DATE(2025,6,1)," ",SUMIFS('2025数据'!$BK$3:$BK$181,'2025数据'!$T$3:$T$181,"&gt;="&amp;DATE(2025,6,1),'2025数据'!$T$3:$T$181,"&lt;="&amp;DATE(2025,6,30),'2025数据'!$B$3:$B$181,$E1473)/10000)</f>
        <v>0.200876</v>
      </c>
      <c r="L1473" s="51">
        <f ca="1">IF($S$1&lt;DATE(2025,7,1)," ",SUMIFS('2025数据'!$BK$3:$BK$181,'2025数据'!$T$3:$T$181,"&gt;="&amp;DATE(2025,7,1),'2025数据'!$T$3:$T$181,"&lt;="&amp;DATE(2025,7,31),'2025数据'!$B$3:$B$181,$E1473)/10000)</f>
        <v>0.976221</v>
      </c>
      <c r="M1473" s="51">
        <f ca="1">IF($S$1&lt;DATE(2025,8,1)," ",SUMIFS('2025数据'!$BK$3:$BK$181,'2025数据'!$T$3:$T$181,"&gt;="&amp;DATE(2025,8,1),'2025数据'!$T$3:$T$181,"&lt;="&amp;DATE(2025,8,31),'2025数据'!$B$3:$B$181,$E1473)/10000)</f>
        <v>1.959278</v>
      </c>
      <c r="N1473" s="51">
        <f ca="1">IF($S$1&lt;DATE(2025,9,1)," ",SUMIFS('2025数据'!$BK$3:$BK$181,'2025数据'!$T$3:$T$181,"&gt;="&amp;DATE(2025,9,1),'2025数据'!$T$3:$T$181,"&lt;="&amp;DATE(2025,9,30),'2025数据'!$B$3:$B$181,$E1473)/10000)</f>
        <v>1.106977</v>
      </c>
      <c r="O1473" s="51">
        <f ca="1">IF($S$1&lt;DATE(2025,10,1)," ",SUMIFS('2025数据'!$BK$3:$BK$181,'2025数据'!$T$3:$T$181,"&gt;="&amp;DATE(2025,10,1),'2025数据'!$T$3:$T$181,"&lt;="&amp;DATE(2025,10,31),'2025数据'!$B$3:$B$181,$E1473)/10000)</f>
        <v>0.389213</v>
      </c>
      <c r="P1473" s="217">
        <f ca="1">IF($S$1&lt;DATE(2025,11,1)," ",SUMIFS('2025数据'!$BK$3:$BK$181,'2025数据'!$T$3:$T$181,"&gt;="&amp;DATE(2025,11,1),'2025数据'!$T$3:$T$181,"&lt;="&amp;DATE(2025,11,30),'2025数据'!$B$3:$B$181,$E1473)/10000)</f>
        <v>0</v>
      </c>
      <c r="Q1473" s="217">
        <f ca="1">IF($S$1&lt;DATE(2025,12,1)," ",SUMIFS('2025数据'!$BK$3:$BK$181,'2025数据'!$T$3:$T$181,"&gt;="&amp;DATE(2025,12,1),'2025数据'!$T$3:$T$181,"&lt;="&amp;DATE(2025,12,31),'2025数据'!$B$3:$B$181,$E1473)/10000)</f>
        <v>0</v>
      </c>
    </row>
    <row r="1474" ht="24" customHeight="1" spans="1:17">
      <c r="A1474" s="99" t="s">
        <v>348</v>
      </c>
      <c r="B1474" s="99" t="s">
        <v>299</v>
      </c>
      <c r="C1474" s="99" t="s">
        <v>333</v>
      </c>
      <c r="D1474" s="47" t="s">
        <v>294</v>
      </c>
      <c r="E1474" s="47" t="s">
        <v>96</v>
      </c>
      <c r="F1474" s="51">
        <f ca="1">IF($S$1&lt;DATE(2025,1,1)," ",SUMIFS('2025数据'!$BK$3:$BK$181,'2025数据'!$T$3:$T$181,"&gt;="&amp;DATE(2025,1,1),'2025数据'!$T$3:$T$181,"&lt;="&amp;DATE(2025,1,31),'2025数据'!$B$3:$B$181,$E1474)/10000)</f>
        <v>0.0947</v>
      </c>
      <c r="G1474" s="51">
        <f ca="1">IF($S$1&lt;DATE(2025,2,1)," ",SUMIFS('2025数据'!$BK$3:$BK$181,'2025数据'!$T$3:$T$181,"&gt;="&amp;DATE(2025,2,1),'2025数据'!$T$3:$T$181,"&lt;="&amp;DATE(2025,2,28),'2025数据'!$B$3:$B$181,$E1474)/10000)</f>
        <v>0</v>
      </c>
      <c r="H1474" s="51">
        <f ca="1">IF($S$1&lt;DATE(2025,3,1)," ",SUMIFS('2025数据'!$BK$3:$BK$181,'2025数据'!$T$3:$T$181,"&gt;="&amp;DATE(2025,3,1),'2025数据'!$T$3:$T$181,"&lt;="&amp;DATE(2025,3,31),'2025数据'!$B$3:$B$181,$E1474)/10000)</f>
        <v>0</v>
      </c>
      <c r="I1474" s="51">
        <f ca="1">IF($S$1&lt;DATE(2025,4,1)," ",SUMIFS('2025数据'!$BK$3:$BK$181,'2025数据'!$T$3:$T$181,"&gt;="&amp;DATE(2025,4,1),'2025数据'!$T$3:$T$181,"&lt;="&amp;DATE(2025,4,30),'2025数据'!$B$3:$B$181,$E1474)/10000)</f>
        <v>0.29998</v>
      </c>
      <c r="J1474" s="51">
        <f ca="1">IF($S$1&lt;DATE(2025,5,1)," ",SUMIFS('2025数据'!$BK$3:$BK$181,'2025数据'!$T$3:$T$181,"&gt;="&amp;DATE(2025,5,1),'2025数据'!$T$3:$T$181,"&lt;="&amp;DATE(2025,5,31),'2025数据'!$B$3:$B$181,$E1474)/10000)</f>
        <v>0</v>
      </c>
      <c r="K1474" s="51">
        <f ca="1">IF($S$1&lt;DATE(2025,6,1)," ",SUMIFS('2025数据'!$BK$3:$BK$181,'2025数据'!$T$3:$T$181,"&gt;="&amp;DATE(2025,6,1),'2025数据'!$T$3:$T$181,"&lt;="&amp;DATE(2025,6,30),'2025数据'!$B$3:$B$181,$E1474)/10000)</f>
        <v>0</v>
      </c>
      <c r="L1474" s="51">
        <f ca="1">IF($S$1&lt;DATE(2025,7,1)," ",SUMIFS('2025数据'!$BK$3:$BK$181,'2025数据'!$T$3:$T$181,"&gt;="&amp;DATE(2025,7,1),'2025数据'!$T$3:$T$181,"&lt;="&amp;DATE(2025,7,31),'2025数据'!$B$3:$B$181,$E1474)/10000)</f>
        <v>0.845678</v>
      </c>
      <c r="M1474" s="51">
        <f ca="1">IF($S$1&lt;DATE(2025,8,1)," ",SUMIFS('2025数据'!$BK$3:$BK$181,'2025数据'!$T$3:$T$181,"&gt;="&amp;DATE(2025,8,1),'2025数据'!$T$3:$T$181,"&lt;="&amp;DATE(2025,8,31),'2025数据'!$B$3:$B$181,$E1474)/10000)</f>
        <v>0</v>
      </c>
      <c r="N1474" s="51">
        <f ca="1">IF($S$1&lt;DATE(2025,9,1)," ",SUMIFS('2025数据'!$BK$3:$BK$181,'2025数据'!$T$3:$T$181,"&gt;="&amp;DATE(2025,9,1),'2025数据'!$T$3:$T$181,"&lt;="&amp;DATE(2025,9,30),'2025数据'!$B$3:$B$181,$E1474)/10000)</f>
        <v>0</v>
      </c>
      <c r="O1474" s="51">
        <f ca="1">IF($S$1&lt;DATE(2025,10,1)," ",SUMIFS('2025数据'!$BK$3:$BK$181,'2025数据'!$T$3:$T$181,"&gt;="&amp;DATE(2025,10,1),'2025数据'!$T$3:$T$181,"&lt;="&amp;DATE(2025,10,31),'2025数据'!$B$3:$B$181,$E1474)/10000)</f>
        <v>0</v>
      </c>
      <c r="P1474" s="217">
        <f ca="1">IF($S$1&lt;DATE(2025,11,1)," ",SUMIFS('2025数据'!$BK$3:$BK$181,'2025数据'!$T$3:$T$181,"&gt;="&amp;DATE(2025,11,1),'2025数据'!$T$3:$T$181,"&lt;="&amp;DATE(2025,11,30),'2025数据'!$B$3:$B$181,$E1474)/10000)</f>
        <v>0</v>
      </c>
      <c r="Q1474" s="217">
        <f ca="1">IF($S$1&lt;DATE(2025,12,1)," ",SUMIFS('2025数据'!$BK$3:$BK$181,'2025数据'!$T$3:$T$181,"&gt;="&amp;DATE(2025,12,1),'2025数据'!$T$3:$T$181,"&lt;="&amp;DATE(2025,12,31),'2025数据'!$B$3:$B$181,$E1474)/10000)</f>
        <v>0</v>
      </c>
    </row>
    <row r="1475" ht="24" customHeight="1" spans="1:17">
      <c r="A1475" s="99" t="s">
        <v>348</v>
      </c>
      <c r="B1475" s="99" t="s">
        <v>299</v>
      </c>
      <c r="C1475" s="99" t="s">
        <v>333</v>
      </c>
      <c r="D1475" s="47" t="s">
        <v>294</v>
      </c>
      <c r="E1475" s="47" t="s">
        <v>160</v>
      </c>
      <c r="F1475" s="51">
        <f ca="1">IF($S$1&lt;DATE(2025,1,1)," ",SUMIFS('2025数据'!$BK$3:$BK$181,'2025数据'!$T$3:$T$181,"&gt;="&amp;DATE(2025,1,1),'2025数据'!$T$3:$T$181,"&lt;="&amp;DATE(2025,1,31),'2025数据'!$B$3:$B$181,$E1475)/10000)</f>
        <v>0</v>
      </c>
      <c r="G1475" s="51">
        <f ca="1">IF($S$1&lt;DATE(2025,2,1)," ",SUMIFS('2025数据'!$BK$3:$BK$181,'2025数据'!$T$3:$T$181,"&gt;="&amp;DATE(2025,2,1),'2025数据'!$T$3:$T$181,"&lt;="&amp;DATE(2025,2,28),'2025数据'!$B$3:$B$181,$E1475)/10000)</f>
        <v>0</v>
      </c>
      <c r="H1475" s="51">
        <f ca="1">IF($S$1&lt;DATE(2025,3,1)," ",SUMIFS('2025数据'!$BK$3:$BK$181,'2025数据'!$T$3:$T$181,"&gt;="&amp;DATE(2025,3,1),'2025数据'!$T$3:$T$181,"&lt;="&amp;DATE(2025,3,31),'2025数据'!$B$3:$B$181,$E1475)/10000)</f>
        <v>0</v>
      </c>
      <c r="I1475" s="51">
        <f ca="1">IF($S$1&lt;DATE(2025,4,1)," ",SUMIFS('2025数据'!$BK$3:$BK$181,'2025数据'!$T$3:$T$181,"&gt;="&amp;DATE(2025,4,1),'2025数据'!$T$3:$T$181,"&lt;="&amp;DATE(2025,4,30),'2025数据'!$B$3:$B$181,$E1475)/10000)</f>
        <v>0</v>
      </c>
      <c r="J1475" s="51">
        <f ca="1">IF($S$1&lt;DATE(2025,5,1)," ",SUMIFS('2025数据'!$BK$3:$BK$181,'2025数据'!$T$3:$T$181,"&gt;="&amp;DATE(2025,5,1),'2025数据'!$T$3:$T$181,"&lt;="&amp;DATE(2025,5,31),'2025数据'!$B$3:$B$181,$E1475)/10000)</f>
        <v>0</v>
      </c>
      <c r="K1475" s="51">
        <f ca="1">IF($S$1&lt;DATE(2025,6,1)," ",SUMIFS('2025数据'!$BK$3:$BK$181,'2025数据'!$T$3:$T$181,"&gt;="&amp;DATE(2025,6,1),'2025数据'!$T$3:$T$181,"&lt;="&amp;DATE(2025,6,30),'2025数据'!$B$3:$B$181,$E1475)/10000)</f>
        <v>0</v>
      </c>
      <c r="L1475" s="51">
        <f ca="1">IF($S$1&lt;DATE(2025,7,1)," ",SUMIFS('2025数据'!$BK$3:$BK$181,'2025数据'!$T$3:$T$181,"&gt;="&amp;DATE(2025,7,1),'2025数据'!$T$3:$T$181,"&lt;="&amp;DATE(2025,7,31),'2025数据'!$B$3:$B$181,$E1475)/10000)</f>
        <v>0</v>
      </c>
      <c r="M1475" s="51">
        <f ca="1">IF($S$1&lt;DATE(2025,8,1)," ",SUMIFS('2025数据'!$BK$3:$BK$181,'2025数据'!$T$3:$T$181,"&gt;="&amp;DATE(2025,8,1),'2025数据'!$T$3:$T$181,"&lt;="&amp;DATE(2025,8,31),'2025数据'!$B$3:$B$181,$E1475)/10000)</f>
        <v>0.567057</v>
      </c>
      <c r="N1475" s="51">
        <f ca="1">IF($S$1&lt;DATE(2025,9,1)," ",SUMIFS('2025数据'!$BK$3:$BK$181,'2025数据'!$T$3:$T$181,"&gt;="&amp;DATE(2025,9,1),'2025数据'!$T$3:$T$181,"&lt;="&amp;DATE(2025,9,30),'2025数据'!$B$3:$B$181,$E1475)/10000)</f>
        <v>0</v>
      </c>
      <c r="O1475" s="51">
        <f ca="1">IF($S$1&lt;DATE(2025,10,1)," ",SUMIFS('2025数据'!$BK$3:$BK$181,'2025数据'!$T$3:$T$181,"&gt;="&amp;DATE(2025,10,1),'2025数据'!$T$3:$T$181,"&lt;="&amp;DATE(2025,10,31),'2025数据'!$B$3:$B$181,$E1475)/10000)</f>
        <v>0</v>
      </c>
      <c r="P1475" s="217">
        <f ca="1">IF($S$1&lt;DATE(2025,11,1)," ",SUMIFS('2025数据'!$BK$3:$BK$181,'2025数据'!$T$3:$T$181,"&gt;="&amp;DATE(2025,11,1),'2025数据'!$T$3:$T$181,"&lt;="&amp;DATE(2025,11,30),'2025数据'!$B$3:$B$181,$E1475)/10000)</f>
        <v>0</v>
      </c>
      <c r="Q1475" s="217">
        <f ca="1">IF($S$1&lt;DATE(2025,12,1)," ",SUMIFS('2025数据'!$BK$3:$BK$181,'2025数据'!$T$3:$T$181,"&gt;="&amp;DATE(2025,12,1),'2025数据'!$T$3:$T$181,"&lt;="&amp;DATE(2025,12,31),'2025数据'!$B$3:$B$181,$E1475)/10000)</f>
        <v>0</v>
      </c>
    </row>
    <row r="1476" ht="24" customHeight="1" spans="1:17">
      <c r="A1476" s="99" t="s">
        <v>348</v>
      </c>
      <c r="B1476" s="99" t="s">
        <v>299</v>
      </c>
      <c r="C1476" s="99" t="s">
        <v>334</v>
      </c>
      <c r="D1476" s="213" t="s">
        <v>292</v>
      </c>
      <c r="E1476" s="213" t="s">
        <v>300</v>
      </c>
      <c r="F1476" s="216">
        <f ca="1">IF($S$1&lt;DATE(2025,1,1)," ",SUM(F1477:F1481))</f>
        <v>3.134496</v>
      </c>
      <c r="G1476" s="216">
        <f ca="1">IF($S$1&lt;DATE(2025,2,1)," ",SUM(G1477:G1481))</f>
        <v>3.217476</v>
      </c>
      <c r="H1476" s="216">
        <f ca="1">IF($S$1&lt;DATE(2025,3,1)," ",SUM(H1477:H1481))</f>
        <v>1.658748</v>
      </c>
      <c r="I1476" s="216">
        <f ca="1">IF($S$1&lt;DATE(2025,4,1)," ",SUM(I1477:I1481))</f>
        <v>2.003279</v>
      </c>
      <c r="J1476" s="216">
        <f ca="1">IF($S$1&lt;DATE(2025,5,1)," ",SUM(J1477:J1481))</f>
        <v>7.630383</v>
      </c>
      <c r="K1476" s="216">
        <f ca="1">IF($S$1&lt;DATE(2025,6,1)," ",SUM(K1477:K1481))</f>
        <v>6.640876</v>
      </c>
      <c r="L1476" s="216">
        <f ca="1">IF($S$1&lt;DATE(2025,7,1)," ",SUM(L1477:L1481))</f>
        <v>2.244322</v>
      </c>
      <c r="M1476" s="216">
        <f ca="1">IF($S$1&lt;DATE(2025,8,1)," ",SUM(M1477:M1481))</f>
        <v>6.523382</v>
      </c>
      <c r="N1476" s="216">
        <f ca="1">IF($S$1&lt;DATE(2025,9,1)," ",SUM(N1477:N1481))</f>
        <v>7.264339</v>
      </c>
      <c r="O1476" s="216">
        <f ca="1">IF($S$1&lt;DATE(2025,10,1)," ",SUM(O1477:O1481))</f>
        <v>2.374116</v>
      </c>
      <c r="P1476" s="216">
        <f ca="1">IF($S$1&lt;DATE(2025,11,1)," ",SUM(P1477:P1481))</f>
        <v>1.202695</v>
      </c>
      <c r="Q1476" s="216">
        <f ca="1">IF($S$1&lt;DATE(2025,12,1)," ",SUM(Q1477:Q1481))</f>
        <v>3.322713</v>
      </c>
    </row>
    <row r="1477" ht="24" customHeight="1" spans="1:17">
      <c r="A1477" s="99" t="s">
        <v>348</v>
      </c>
      <c r="B1477" s="99" t="s">
        <v>299</v>
      </c>
      <c r="C1477" s="99" t="s">
        <v>334</v>
      </c>
      <c r="D1477" s="214" t="s">
        <v>294</v>
      </c>
      <c r="E1477" s="214" t="s">
        <v>93</v>
      </c>
      <c r="F1477" s="51">
        <f ca="1">IF($S$1&lt;DATE(2025,1,1)," ",SUMIFS('2025数据'!$BJ$3:$BJ$181,'2025数据'!$T$3:$T$181,"&gt;="&amp;DATE(2025,1,1),'2025数据'!$T$3:$T$181,"&lt;="&amp;DATE(2025,1,31),'2025数据'!$B$3:$B$181,$E1477)/10000)</f>
        <v>0</v>
      </c>
      <c r="G1477" s="51">
        <f ca="1">IF($S$1&lt;DATE(2025,2,1)," ",SUMIFS('2025数据'!$BJ$3:$BJ$181,'2025数据'!$T$3:$T$181,"&gt;="&amp;DATE(2025,2,1),'2025数据'!$T$3:$T$181,"&lt;="&amp;DATE(2025,2,28),'2025数据'!$B$3:$B$181,$E1477)/10000)</f>
        <v>3.217476</v>
      </c>
      <c r="H1477" s="51">
        <f ca="1">IF($S$1&lt;DATE(2025,3,1)," ",SUMIFS('2025数据'!$BJ$3:$BJ$181,'2025数据'!$T$3:$T$181,"&gt;="&amp;DATE(2025,3,1),'2025数据'!$T$3:$T$181,"&lt;="&amp;DATE(2025,3,31),'2025数据'!$B$3:$B$181,$E1477)/10000)</f>
        <v>1.658748</v>
      </c>
      <c r="I1477" s="51">
        <f ca="1">IF($S$1&lt;DATE(2025,4,1)," ",SUMIFS('2025数据'!$BJ$3:$BJ$181,'2025数据'!$T$3:$T$181,"&gt;="&amp;DATE(2025,4,1),'2025数据'!$T$3:$T$181,"&lt;="&amp;DATE(2025,4,30),'2025数据'!$B$3:$B$181,$E1477)/10000)</f>
        <v>1.703299</v>
      </c>
      <c r="J1477" s="51">
        <f ca="1">IF($S$1&lt;DATE(2025,5,1)," ",SUMIFS('2025数据'!$BJ$3:$BJ$181,'2025数据'!$T$3:$T$181,"&gt;="&amp;DATE(2025,5,1),'2025数据'!$T$3:$T$181,"&lt;="&amp;DATE(2025,5,31),'2025数据'!$B$3:$B$181,$E1477)/10000)</f>
        <v>6.963715</v>
      </c>
      <c r="K1477" s="51">
        <f ca="1">IF($S$1&lt;DATE(2025,6,1)," ",SUMIFS('2025数据'!$BJ$3:$BJ$181,'2025数据'!$T$3:$T$181,"&gt;="&amp;DATE(2025,6,1),'2025数据'!$T$3:$T$181,"&lt;="&amp;DATE(2025,6,30),'2025数据'!$B$3:$B$181,$E1477)/10000)</f>
        <v>6.09218</v>
      </c>
      <c r="L1477" s="51">
        <f ca="1">IF($S$1&lt;DATE(2025,7,1)," ",SUMIFS('2025数据'!$BJ$3:$BJ$181,'2025数据'!$T$3:$T$181,"&gt;="&amp;DATE(2025,7,1),'2025数据'!$T$3:$T$181,"&lt;="&amp;DATE(2025,7,31),'2025数据'!$B$3:$B$181,$E1477)/10000)</f>
        <v>0.404576</v>
      </c>
      <c r="M1477" s="51">
        <f ca="1">IF($S$1&lt;DATE(2025,8,1)," ",SUMIFS('2025数据'!$BJ$3:$BJ$181,'2025数据'!$T$3:$T$181,"&gt;="&amp;DATE(2025,8,1),'2025数据'!$T$3:$T$181,"&lt;="&amp;DATE(2025,8,31),'2025数据'!$B$3:$B$181,$E1477)/10000)</f>
        <v>0.955755</v>
      </c>
      <c r="N1477" s="51">
        <f ca="1">IF($S$1&lt;DATE(2025,9,1)," ",SUMIFS('2025数据'!$BJ$3:$BJ$181,'2025数据'!$T$3:$T$181,"&gt;="&amp;DATE(2025,9,1),'2025数据'!$T$3:$T$181,"&lt;="&amp;DATE(2025,9,30),'2025数据'!$B$3:$B$181,$E1477)/10000)</f>
        <v>5.315115</v>
      </c>
      <c r="O1477" s="51">
        <f ca="1">IF($S$1&lt;DATE(2025,10,1)," ",SUMIFS('2025数据'!$BJ$3:$BJ$181,'2025数据'!$T$3:$T$181,"&gt;="&amp;DATE(2025,10,1),'2025数据'!$T$3:$T$181,"&lt;="&amp;DATE(2025,10,31),'2025数据'!$B$3:$B$181,$E1477)/10000)</f>
        <v>0.38732</v>
      </c>
      <c r="P1477" s="217">
        <f ca="1">IF($S$1&lt;DATE(2025,11,1)," ",SUMIFS('2025数据'!$BJ$3:$BJ$181,'2025数据'!$T$3:$T$181,"&gt;="&amp;DATE(2025,11,1),'2025数据'!$T$3:$T$181,"&lt;="&amp;DATE(2025,11,30),'2025数据'!$B$3:$B$181,$E1477)/10000)</f>
        <v>0</v>
      </c>
      <c r="Q1477" s="217">
        <f ca="1">IF($S$1&lt;DATE(2025,12,1)," ",SUMIFS('2025数据'!$BJ$3:$BJ$181,'2025数据'!$T$3:$T$181,"&gt;="&amp;DATE(2025,12,1),'2025数据'!$T$3:$T$181,"&lt;="&amp;DATE(2025,12,31),'2025数据'!$B$3:$B$181,$E1477)/10000)</f>
        <v>0.890975</v>
      </c>
    </row>
    <row r="1478" ht="24" customHeight="1" spans="1:17">
      <c r="A1478" s="99" t="s">
        <v>348</v>
      </c>
      <c r="B1478" s="99" t="s">
        <v>299</v>
      </c>
      <c r="C1478" s="99" t="s">
        <v>334</v>
      </c>
      <c r="D1478" s="214" t="s">
        <v>294</v>
      </c>
      <c r="E1478" s="214" t="s">
        <v>85</v>
      </c>
      <c r="F1478" s="51">
        <f ca="1">IF($S$1&lt;DATE(2025,1,1)," ",SUMIFS('2025数据'!$BJ$3:$BJ$181,'2025数据'!$T$3:$T$181,"&gt;="&amp;DATE(2025,1,1),'2025数据'!$T$3:$T$181,"&lt;="&amp;DATE(2025,1,31),'2025数据'!$B$3:$B$181,$E1478)/10000)</f>
        <v>1.120618</v>
      </c>
      <c r="G1478" s="51">
        <f ca="1">IF($S$1&lt;DATE(2025,2,1)," ",SUMIFS('2025数据'!$BJ$3:$BJ$181,'2025数据'!$T$3:$T$181,"&gt;="&amp;DATE(2025,2,1),'2025数据'!$T$3:$T$181,"&lt;="&amp;DATE(2025,2,28),'2025数据'!$B$3:$B$181,$E1478)/10000)</f>
        <v>0</v>
      </c>
      <c r="H1478" s="51">
        <f ca="1">IF($S$1&lt;DATE(2025,3,1)," ",SUMIFS('2025数据'!$BJ$3:$BJ$181,'2025数据'!$T$3:$T$181,"&gt;="&amp;DATE(2025,3,1),'2025数据'!$T$3:$T$181,"&lt;="&amp;DATE(2025,3,31),'2025数据'!$B$3:$B$181,$E1478)/10000)</f>
        <v>0</v>
      </c>
      <c r="I1478" s="51">
        <f ca="1">IF($S$1&lt;DATE(2025,4,1)," ",SUMIFS('2025数据'!$BJ$3:$BJ$181,'2025数据'!$T$3:$T$181,"&gt;="&amp;DATE(2025,4,1),'2025数据'!$T$3:$T$181,"&lt;="&amp;DATE(2025,4,30),'2025数据'!$B$3:$B$181,$E1478)/10000)</f>
        <v>0</v>
      </c>
      <c r="J1478" s="51">
        <f ca="1">IF($S$1&lt;DATE(2025,5,1)," ",SUMIFS('2025数据'!$BJ$3:$BJ$181,'2025数据'!$T$3:$T$181,"&gt;="&amp;DATE(2025,5,1),'2025数据'!$T$3:$T$181,"&lt;="&amp;DATE(2025,5,31),'2025数据'!$B$3:$B$181,$E1478)/10000)</f>
        <v>0.666668</v>
      </c>
      <c r="K1478" s="51">
        <f ca="1">IF($S$1&lt;DATE(2025,6,1)," ",SUMIFS('2025数据'!$BJ$3:$BJ$181,'2025数据'!$T$3:$T$181,"&gt;="&amp;DATE(2025,6,1),'2025数据'!$T$3:$T$181,"&lt;="&amp;DATE(2025,6,30),'2025数据'!$B$3:$B$181,$E1478)/10000)</f>
        <v>0.348303</v>
      </c>
      <c r="L1478" s="51">
        <f ca="1">IF($S$1&lt;DATE(2025,7,1)," ",SUMIFS('2025数据'!$BJ$3:$BJ$181,'2025数据'!$T$3:$T$181,"&gt;="&amp;DATE(2025,7,1),'2025数据'!$T$3:$T$181,"&lt;="&amp;DATE(2025,7,31),'2025数据'!$B$3:$B$181,$E1478)/10000)</f>
        <v>0</v>
      </c>
      <c r="M1478" s="51">
        <f ca="1">IF($S$1&lt;DATE(2025,8,1)," ",SUMIFS('2025数据'!$BJ$3:$BJ$181,'2025数据'!$T$3:$T$181,"&gt;="&amp;DATE(2025,8,1),'2025数据'!$T$3:$T$181,"&lt;="&amp;DATE(2025,8,31),'2025数据'!$B$3:$B$181,$E1478)/10000)</f>
        <v>3.010255</v>
      </c>
      <c r="N1478" s="51">
        <f ca="1">IF($S$1&lt;DATE(2025,9,1)," ",SUMIFS('2025数据'!$BJ$3:$BJ$181,'2025数据'!$T$3:$T$181,"&gt;="&amp;DATE(2025,9,1),'2025数据'!$T$3:$T$181,"&lt;="&amp;DATE(2025,9,30),'2025数据'!$B$3:$B$181,$E1478)/10000)</f>
        <v>0.913188</v>
      </c>
      <c r="O1478" s="51">
        <f ca="1">IF($S$1&lt;DATE(2025,10,1)," ",SUMIFS('2025数据'!$BJ$3:$BJ$181,'2025数据'!$T$3:$T$181,"&gt;="&amp;DATE(2025,10,1),'2025数据'!$T$3:$T$181,"&lt;="&amp;DATE(2025,10,31),'2025数据'!$B$3:$B$181,$E1478)/10000)</f>
        <v>1.593233</v>
      </c>
      <c r="P1478" s="217">
        <f ca="1">IF($S$1&lt;DATE(2025,11,1)," ",SUMIFS('2025数据'!$BJ$3:$BJ$181,'2025数据'!$T$3:$T$181,"&gt;="&amp;DATE(2025,11,1),'2025数据'!$T$3:$T$181,"&lt;="&amp;DATE(2025,11,30),'2025数据'!$B$3:$B$181,$E1478)/10000)</f>
        <v>1.202695</v>
      </c>
      <c r="Q1478" s="217">
        <f ca="1">IF($S$1&lt;DATE(2025,12,1)," ",SUMIFS('2025数据'!$BJ$3:$BJ$181,'2025数据'!$T$3:$T$181,"&gt;="&amp;DATE(2025,12,1),'2025数据'!$T$3:$T$181,"&lt;="&amp;DATE(2025,12,31),'2025数据'!$B$3:$B$181,$E1478)/10000)</f>
        <v>2.431738</v>
      </c>
    </row>
    <row r="1479" ht="24" customHeight="1" spans="1:17">
      <c r="A1479" s="99" t="s">
        <v>348</v>
      </c>
      <c r="B1479" s="99" t="s">
        <v>299</v>
      </c>
      <c r="C1479" s="99" t="s">
        <v>334</v>
      </c>
      <c r="D1479" s="214" t="s">
        <v>294</v>
      </c>
      <c r="E1479" s="214" t="s">
        <v>81</v>
      </c>
      <c r="F1479" s="51">
        <f ca="1">IF($S$1&lt;DATE(2025,1,1)," ",SUMIFS('2025数据'!$BJ$3:$BJ$181,'2025数据'!$T$3:$T$181,"&gt;="&amp;DATE(2025,1,1),'2025数据'!$T$3:$T$181,"&lt;="&amp;DATE(2025,1,31),'2025数据'!$B$3:$B$181,$E1479)/10000)</f>
        <v>1.919578</v>
      </c>
      <c r="G1479" s="51">
        <f ca="1">IF($S$1&lt;DATE(2025,2,1)," ",SUMIFS('2025数据'!$BJ$3:$BJ$181,'2025数据'!$T$3:$T$181,"&gt;="&amp;DATE(2025,2,1),'2025数据'!$T$3:$T$181,"&lt;="&amp;DATE(2025,2,28),'2025数据'!$B$3:$B$181,$E1479)/10000)</f>
        <v>0</v>
      </c>
      <c r="H1479" s="51">
        <f ca="1">IF($S$1&lt;DATE(2025,3,1)," ",SUMIFS('2025数据'!$BJ$3:$BJ$181,'2025数据'!$T$3:$T$181,"&gt;="&amp;DATE(2025,3,1),'2025数据'!$T$3:$T$181,"&lt;="&amp;DATE(2025,3,31),'2025数据'!$B$3:$B$181,$E1479)/10000)</f>
        <v>0</v>
      </c>
      <c r="I1479" s="51">
        <f ca="1">IF($S$1&lt;DATE(2025,4,1)," ",SUMIFS('2025数据'!$BJ$3:$BJ$181,'2025数据'!$T$3:$T$181,"&gt;="&amp;DATE(2025,4,1),'2025数据'!$T$3:$T$181,"&lt;="&amp;DATE(2025,4,30),'2025数据'!$B$3:$B$181,$E1479)/10000)</f>
        <v>0</v>
      </c>
      <c r="J1479" s="51">
        <f ca="1">IF($S$1&lt;DATE(2025,5,1)," ",SUMIFS('2025数据'!$BJ$3:$BJ$181,'2025数据'!$T$3:$T$181,"&gt;="&amp;DATE(2025,5,1),'2025数据'!$T$3:$T$181,"&lt;="&amp;DATE(2025,5,31),'2025数据'!$B$3:$B$181,$E1479)/10000)</f>
        <v>0</v>
      </c>
      <c r="K1479" s="51">
        <f ca="1">IF($S$1&lt;DATE(2025,6,1)," ",SUMIFS('2025数据'!$BJ$3:$BJ$181,'2025数据'!$T$3:$T$181,"&gt;="&amp;DATE(2025,6,1),'2025数据'!$T$3:$T$181,"&lt;="&amp;DATE(2025,6,30),'2025数据'!$B$3:$B$181,$E1479)/10000)</f>
        <v>0.200393</v>
      </c>
      <c r="L1479" s="51">
        <f ca="1">IF($S$1&lt;DATE(2025,7,1)," ",SUMIFS('2025数据'!$BJ$3:$BJ$181,'2025数据'!$T$3:$T$181,"&gt;="&amp;DATE(2025,7,1),'2025数据'!$T$3:$T$181,"&lt;="&amp;DATE(2025,7,31),'2025数据'!$B$3:$B$181,$E1479)/10000)</f>
        <v>0.994068</v>
      </c>
      <c r="M1479" s="51">
        <f ca="1">IF($S$1&lt;DATE(2025,8,1)," ",SUMIFS('2025数据'!$BJ$3:$BJ$181,'2025数据'!$T$3:$T$181,"&gt;="&amp;DATE(2025,8,1),'2025数据'!$T$3:$T$181,"&lt;="&amp;DATE(2025,8,31),'2025数据'!$B$3:$B$181,$E1479)/10000)</f>
        <v>1.957834</v>
      </c>
      <c r="N1479" s="51">
        <f ca="1">IF($S$1&lt;DATE(2025,9,1)," ",SUMIFS('2025数据'!$BJ$3:$BJ$181,'2025数据'!$T$3:$T$181,"&gt;="&amp;DATE(2025,9,1),'2025数据'!$T$3:$T$181,"&lt;="&amp;DATE(2025,9,30),'2025数据'!$B$3:$B$181,$E1479)/10000)</f>
        <v>1.036036</v>
      </c>
      <c r="O1479" s="51">
        <f ca="1">IF($S$1&lt;DATE(2025,10,1)," ",SUMIFS('2025数据'!$BJ$3:$BJ$181,'2025数据'!$T$3:$T$181,"&gt;="&amp;DATE(2025,10,1),'2025数据'!$T$3:$T$181,"&lt;="&amp;DATE(2025,10,31),'2025数据'!$B$3:$B$181,$E1479)/10000)</f>
        <v>0.393563</v>
      </c>
      <c r="P1479" s="217">
        <f ca="1">IF($S$1&lt;DATE(2025,11,1)," ",SUMIFS('2025数据'!$BJ$3:$BJ$181,'2025数据'!$T$3:$T$181,"&gt;="&amp;DATE(2025,11,1),'2025数据'!$T$3:$T$181,"&lt;="&amp;DATE(2025,11,30),'2025数据'!$B$3:$B$181,$E1479)/10000)</f>
        <v>0</v>
      </c>
      <c r="Q1479" s="217">
        <f ca="1">IF($S$1&lt;DATE(2025,12,1)," ",SUMIFS('2025数据'!$BJ$3:$BJ$181,'2025数据'!$T$3:$T$181,"&gt;="&amp;DATE(2025,12,1),'2025数据'!$T$3:$T$181,"&lt;="&amp;DATE(2025,12,31),'2025数据'!$B$3:$B$181,$E1479)/10000)</f>
        <v>0</v>
      </c>
    </row>
    <row r="1480" ht="24" customHeight="1" spans="1:17">
      <c r="A1480" s="99" t="s">
        <v>348</v>
      </c>
      <c r="B1480" s="99" t="s">
        <v>299</v>
      </c>
      <c r="C1480" s="99" t="s">
        <v>334</v>
      </c>
      <c r="D1480" s="214" t="s">
        <v>294</v>
      </c>
      <c r="E1480" s="214" t="s">
        <v>96</v>
      </c>
      <c r="F1480" s="51">
        <f ca="1">IF($S$1&lt;DATE(2025,1,1)," ",SUMIFS('2025数据'!$BJ$3:$BJ$181,'2025数据'!$T$3:$T$181,"&gt;="&amp;DATE(2025,1,1),'2025数据'!$T$3:$T$181,"&lt;="&amp;DATE(2025,1,31),'2025数据'!$B$3:$B$181,$E1480)/10000)</f>
        <v>0.0943</v>
      </c>
      <c r="G1480" s="51">
        <f ca="1">IF($S$1&lt;DATE(2025,2,1)," ",SUMIFS('2025数据'!$BJ$3:$BJ$181,'2025数据'!$T$3:$T$181,"&gt;="&amp;DATE(2025,2,1),'2025数据'!$T$3:$T$181,"&lt;="&amp;DATE(2025,2,28),'2025数据'!$B$3:$B$181,$E1480)/10000)</f>
        <v>0</v>
      </c>
      <c r="H1480" s="51">
        <f ca="1">IF($S$1&lt;DATE(2025,3,1)," ",SUMIFS('2025数据'!$BJ$3:$BJ$181,'2025数据'!$T$3:$T$181,"&gt;="&amp;DATE(2025,3,1),'2025数据'!$T$3:$T$181,"&lt;="&amp;DATE(2025,3,31),'2025数据'!$B$3:$B$181,$E1480)/10000)</f>
        <v>0</v>
      </c>
      <c r="I1480" s="51">
        <f ca="1">IF($S$1&lt;DATE(2025,4,1)," ",SUMIFS('2025数据'!$BJ$3:$BJ$181,'2025数据'!$T$3:$T$181,"&gt;="&amp;DATE(2025,4,1),'2025数据'!$T$3:$T$181,"&lt;="&amp;DATE(2025,4,30),'2025数据'!$B$3:$B$181,$E1480)/10000)</f>
        <v>0.29998</v>
      </c>
      <c r="J1480" s="51">
        <f ca="1">IF($S$1&lt;DATE(2025,5,1)," ",SUMIFS('2025数据'!$BJ$3:$BJ$181,'2025数据'!$T$3:$T$181,"&gt;="&amp;DATE(2025,5,1),'2025数据'!$T$3:$T$181,"&lt;="&amp;DATE(2025,5,31),'2025数据'!$B$3:$B$181,$E1480)/10000)</f>
        <v>0</v>
      </c>
      <c r="K1480" s="51">
        <f ca="1">IF($S$1&lt;DATE(2025,6,1)," ",SUMIFS('2025数据'!$BJ$3:$BJ$181,'2025数据'!$T$3:$T$181,"&gt;="&amp;DATE(2025,6,1),'2025数据'!$T$3:$T$181,"&lt;="&amp;DATE(2025,6,30),'2025数据'!$B$3:$B$181,$E1480)/10000)</f>
        <v>0</v>
      </c>
      <c r="L1480" s="51">
        <f ca="1">IF($S$1&lt;DATE(2025,7,1)," ",SUMIFS('2025数据'!$BJ$3:$BJ$181,'2025数据'!$T$3:$T$181,"&gt;="&amp;DATE(2025,7,1),'2025数据'!$T$3:$T$181,"&lt;="&amp;DATE(2025,7,31),'2025数据'!$B$3:$B$181,$E1480)/10000)</f>
        <v>0.845678</v>
      </c>
      <c r="M1480" s="51">
        <f ca="1">IF($S$1&lt;DATE(2025,8,1)," ",SUMIFS('2025数据'!$BJ$3:$BJ$181,'2025数据'!$T$3:$T$181,"&gt;="&amp;DATE(2025,8,1),'2025数据'!$T$3:$T$181,"&lt;="&amp;DATE(2025,8,31),'2025数据'!$B$3:$B$181,$E1480)/10000)</f>
        <v>0</v>
      </c>
      <c r="N1480" s="51">
        <f ca="1">IF($S$1&lt;DATE(2025,9,1)," ",SUMIFS('2025数据'!$BJ$3:$BJ$181,'2025数据'!$T$3:$T$181,"&gt;="&amp;DATE(2025,9,1),'2025数据'!$T$3:$T$181,"&lt;="&amp;DATE(2025,9,30),'2025数据'!$B$3:$B$181,$E1480)/10000)</f>
        <v>0</v>
      </c>
      <c r="O1480" s="51">
        <f ca="1">IF($S$1&lt;DATE(2025,10,1)," ",SUMIFS('2025数据'!$BJ$3:$BJ$181,'2025数据'!$T$3:$T$181,"&gt;="&amp;DATE(2025,10,1),'2025数据'!$T$3:$T$181,"&lt;="&amp;DATE(2025,10,31),'2025数据'!$B$3:$B$181,$E1480)/10000)</f>
        <v>0</v>
      </c>
      <c r="P1480" s="217">
        <f ca="1">IF($S$1&lt;DATE(2025,11,1)," ",SUMIFS('2025数据'!$BJ$3:$BJ$181,'2025数据'!$T$3:$T$181,"&gt;="&amp;DATE(2025,11,1),'2025数据'!$T$3:$T$181,"&lt;="&amp;DATE(2025,11,30),'2025数据'!$B$3:$B$181,$E1480)/10000)</f>
        <v>0</v>
      </c>
      <c r="Q1480" s="217">
        <f ca="1">IF($S$1&lt;DATE(2025,12,1)," ",SUMIFS('2025数据'!$BJ$3:$BJ$181,'2025数据'!$T$3:$T$181,"&gt;="&amp;DATE(2025,12,1),'2025数据'!$T$3:$T$181,"&lt;="&amp;DATE(2025,12,31),'2025数据'!$B$3:$B$181,$E1480)/10000)</f>
        <v>0</v>
      </c>
    </row>
    <row r="1481" ht="24" customHeight="1" spans="1:17">
      <c r="A1481" s="99" t="s">
        <v>348</v>
      </c>
      <c r="B1481" s="99" t="s">
        <v>299</v>
      </c>
      <c r="C1481" s="99" t="s">
        <v>334</v>
      </c>
      <c r="D1481" s="214" t="s">
        <v>294</v>
      </c>
      <c r="E1481" s="214" t="s">
        <v>160</v>
      </c>
      <c r="F1481" s="51">
        <f ca="1">IF($S$1&lt;DATE(2025,1,1)," ",SUMIFS('2025数据'!$BJ$3:$BJ$181,'2025数据'!$T$3:$T$181,"&gt;="&amp;DATE(2025,1,1),'2025数据'!$T$3:$T$181,"&lt;="&amp;DATE(2025,1,31),'2025数据'!$B$3:$B$181,$E1481)/10000)</f>
        <v>0</v>
      </c>
      <c r="G1481" s="51">
        <f ca="1">IF($S$1&lt;DATE(2025,2,1)," ",SUMIFS('2025数据'!$BJ$3:$BJ$181,'2025数据'!$T$3:$T$181,"&gt;="&amp;DATE(2025,2,1),'2025数据'!$T$3:$T$181,"&lt;="&amp;DATE(2025,2,28),'2025数据'!$B$3:$B$181,$E1481)/10000)</f>
        <v>0</v>
      </c>
      <c r="H1481" s="51">
        <f ca="1">IF($S$1&lt;DATE(2025,3,1)," ",SUMIFS('2025数据'!$BJ$3:$BJ$181,'2025数据'!$T$3:$T$181,"&gt;="&amp;DATE(2025,3,1),'2025数据'!$T$3:$T$181,"&lt;="&amp;DATE(2025,3,31),'2025数据'!$B$3:$B$181,$E1481)/10000)</f>
        <v>0</v>
      </c>
      <c r="I1481" s="51">
        <f ca="1">IF($S$1&lt;DATE(2025,4,1)," ",SUMIFS('2025数据'!$BJ$3:$BJ$181,'2025数据'!$T$3:$T$181,"&gt;="&amp;DATE(2025,4,1),'2025数据'!$T$3:$T$181,"&lt;="&amp;DATE(2025,4,30),'2025数据'!$B$3:$B$181,$E1481)/10000)</f>
        <v>0</v>
      </c>
      <c r="J1481" s="51">
        <f ca="1">IF($S$1&lt;DATE(2025,5,1)," ",SUMIFS('2025数据'!$BJ$3:$BJ$181,'2025数据'!$T$3:$T$181,"&gt;="&amp;DATE(2025,5,1),'2025数据'!$T$3:$T$181,"&lt;="&amp;DATE(2025,5,31),'2025数据'!$B$3:$B$181,$E1481)/10000)</f>
        <v>0</v>
      </c>
      <c r="K1481" s="51">
        <f ca="1">IF($S$1&lt;DATE(2025,6,1)," ",SUMIFS('2025数据'!$BJ$3:$BJ$181,'2025数据'!$T$3:$T$181,"&gt;="&amp;DATE(2025,6,1),'2025数据'!$T$3:$T$181,"&lt;="&amp;DATE(2025,6,30),'2025数据'!$B$3:$B$181,$E1481)/10000)</f>
        <v>0</v>
      </c>
      <c r="L1481" s="51">
        <f ca="1">IF($S$1&lt;DATE(2025,7,1)," ",SUMIFS('2025数据'!$BJ$3:$BJ$181,'2025数据'!$T$3:$T$181,"&gt;="&amp;DATE(2025,7,1),'2025数据'!$T$3:$T$181,"&lt;="&amp;DATE(2025,7,31),'2025数据'!$B$3:$B$181,$E1481)/10000)</f>
        <v>0</v>
      </c>
      <c r="M1481" s="51">
        <f ca="1">IF($S$1&lt;DATE(2025,8,1)," ",SUMIFS('2025数据'!$BJ$3:$BJ$181,'2025数据'!$T$3:$T$181,"&gt;="&amp;DATE(2025,8,1),'2025数据'!$T$3:$T$181,"&lt;="&amp;DATE(2025,8,31),'2025数据'!$B$3:$B$181,$E1481)/10000)</f>
        <v>0.599538</v>
      </c>
      <c r="N1481" s="51">
        <f ca="1">IF($S$1&lt;DATE(2025,9,1)," ",SUMIFS('2025数据'!$BJ$3:$BJ$181,'2025数据'!$T$3:$T$181,"&gt;="&amp;DATE(2025,9,1),'2025数据'!$T$3:$T$181,"&lt;="&amp;DATE(2025,9,30),'2025数据'!$B$3:$B$181,$E1481)/10000)</f>
        <v>0</v>
      </c>
      <c r="O1481" s="51">
        <f ca="1">IF($S$1&lt;DATE(2025,10,1)," ",SUMIFS('2025数据'!$BJ$3:$BJ$181,'2025数据'!$T$3:$T$181,"&gt;="&amp;DATE(2025,10,1),'2025数据'!$T$3:$T$181,"&lt;="&amp;DATE(2025,10,31),'2025数据'!$B$3:$B$181,$E1481)/10000)</f>
        <v>0</v>
      </c>
      <c r="P1481" s="217">
        <f ca="1">IF($S$1&lt;DATE(2025,11,1)," ",SUMIFS('2025数据'!$BJ$3:$BJ$181,'2025数据'!$T$3:$T$181,"&gt;="&amp;DATE(2025,11,1),'2025数据'!$T$3:$T$181,"&lt;="&amp;DATE(2025,11,30),'2025数据'!$B$3:$B$181,$E1481)/10000)</f>
        <v>0</v>
      </c>
      <c r="Q1481" s="217">
        <f ca="1">IF($S$1&lt;DATE(2025,12,1)," ",SUMIFS('2025数据'!$BJ$3:$BJ$181,'2025数据'!$T$3:$T$181,"&gt;="&amp;DATE(2025,12,1),'2025数据'!$T$3:$T$181,"&lt;="&amp;DATE(2025,12,31),'2025数据'!$B$3:$B$181,$E1481)/10000)</f>
        <v>0</v>
      </c>
    </row>
    <row r="1482" ht="24" customHeight="1" spans="1:17">
      <c r="A1482" s="99" t="s">
        <v>348</v>
      </c>
      <c r="B1482" s="99" t="s">
        <v>299</v>
      </c>
      <c r="C1482" s="99" t="s">
        <v>335</v>
      </c>
      <c r="D1482" s="213" t="s">
        <v>292</v>
      </c>
      <c r="E1482" s="213" t="s">
        <v>300</v>
      </c>
      <c r="F1482" s="216">
        <f ca="1">IF($S$1&lt;DATE(2025,1,1)," ",F1476)</f>
        <v>3.134496</v>
      </c>
      <c r="G1482" s="216">
        <f ca="1">IF($S$1&lt;DATE(2025,2,1)," ",F1482+G1476)</f>
        <v>6.351972</v>
      </c>
      <c r="H1482" s="216">
        <f ca="1">IF($S$1&lt;DATE(2025,3,1)," ",G1482+H1476)</f>
        <v>8.01072</v>
      </c>
      <c r="I1482" s="216">
        <f ca="1">IF($S$1&lt;DATE(2025,4,1)," ",H1482+I1476)</f>
        <v>10.013999</v>
      </c>
      <c r="J1482" s="216">
        <f ca="1">IF($S$1&lt;DATE(2025,5,1)," ",I1482+J1476)</f>
        <v>17.644382</v>
      </c>
      <c r="K1482" s="216">
        <f ca="1">IF($S$1&lt;DATE(2025,6,1)," ",J1482+K1476)</f>
        <v>24.285258</v>
      </c>
      <c r="L1482" s="216">
        <f ca="1">IF($S$1&lt;DATE(2025,7,1)," ",K1482+L1476)</f>
        <v>26.52958</v>
      </c>
      <c r="M1482" s="216">
        <f ca="1">IF($S$1&lt;DATE(2025,8,1)," ",L1482+M1476)</f>
        <v>33.052962</v>
      </c>
      <c r="N1482" s="216">
        <f ca="1">IF($S$1&lt;DATE(2025,9,1)," ",M1482+N1476)</f>
        <v>40.317301</v>
      </c>
      <c r="O1482" s="216">
        <f ca="1">IF($S$1&lt;DATE(2025,10,1)," ",N1482+O1476)</f>
        <v>42.691417</v>
      </c>
      <c r="P1482" s="216">
        <f ca="1">IF($S$1&lt;DATE(2025,11,1)," ",O1482+P1476)</f>
        <v>43.894112</v>
      </c>
      <c r="Q1482" s="216">
        <f ca="1">IF($S$1&lt;DATE(2025,12,1)," ",P1482+Q1476)</f>
        <v>47.216825</v>
      </c>
    </row>
    <row r="1483" ht="24" customHeight="1" spans="1:17">
      <c r="A1483" s="99" t="s">
        <v>348</v>
      </c>
      <c r="B1483" s="99" t="s">
        <v>299</v>
      </c>
      <c r="C1483" s="99" t="s">
        <v>336</v>
      </c>
      <c r="D1483" s="114" t="s">
        <v>292</v>
      </c>
      <c r="E1483" s="114" t="s">
        <v>300</v>
      </c>
      <c r="F1483" s="215">
        <f ca="1">IF($S$1&lt;DATE(2025,1,1)," ",SUM(F1484:F1490))</f>
        <v>3.080882</v>
      </c>
      <c r="G1483" s="215">
        <f ca="1">IF($S$1&lt;DATE(2025,2,1)," ",SUM(G1484:G1490))</f>
        <v>3.223175</v>
      </c>
      <c r="H1483" s="215">
        <f ca="1">IF($S$1&lt;DATE(2025,3,1)," ",SUM(H1484:H1490))</f>
        <v>1.698785</v>
      </c>
      <c r="I1483" s="215">
        <f ca="1">IF($S$1&lt;DATE(2025,4,1)," ",SUM(I1484:I1490))</f>
        <v>2.039669</v>
      </c>
      <c r="J1483" s="215">
        <f ca="1">IF($S$1&lt;DATE(2025,5,1)," ",SUM(J1484:J1490))</f>
        <v>7.670145</v>
      </c>
      <c r="K1483" s="215">
        <f ca="1">IF($S$1&lt;DATE(2025,6,1)," ",SUM(K1484:K1490))</f>
        <v>6.544025</v>
      </c>
      <c r="L1483" s="215">
        <f ca="1">IF($S$1&lt;DATE(2025,7,1)," ",SUM(L1484:L1490))</f>
        <v>2.266345</v>
      </c>
      <c r="M1483" s="215">
        <f ca="1">IF($S$1&lt;DATE(2025,8,1)," ",SUM(M1484:M1490))</f>
        <v>6.491925</v>
      </c>
      <c r="N1483" s="215">
        <f ca="1">IF($S$1&lt;DATE(2025,9,1)," ",SUM(N1484:N1490))</f>
        <v>7.302446</v>
      </c>
      <c r="O1483" s="215">
        <f ca="1">IF($S$1&lt;DATE(2025,10,1)," ",SUM(O1484:O1490))</f>
        <v>2.440078</v>
      </c>
      <c r="P1483" s="215">
        <f ca="1">IF($S$1&lt;DATE(2025,11,1)," ",SUM(P1484:P1490))</f>
        <v>1.192083</v>
      </c>
      <c r="Q1483" s="215">
        <f ca="1">IF($S$1&lt;DATE(2025,12,1)," ",SUM(Q1484:Q1490))</f>
        <v>3.405167</v>
      </c>
    </row>
    <row r="1484" ht="24" customHeight="1" spans="1:17">
      <c r="A1484" s="99" t="s">
        <v>348</v>
      </c>
      <c r="B1484" s="99" t="s">
        <v>299</v>
      </c>
      <c r="C1484" s="99" t="s">
        <v>336</v>
      </c>
      <c r="D1484" s="48" t="s">
        <v>31</v>
      </c>
      <c r="E1484" s="48" t="s">
        <v>90</v>
      </c>
      <c r="F1484" s="51">
        <f ca="1">IF($S$1&lt;DATE(2025,1,1)," ",SUMIFS('2025数据'!$BI$3:$BI$181,'2025数据'!$T$3:$T$181,"&gt;="&amp;DATE(2025,1,1),'2025数据'!$T$3:$T$181,"&lt;="&amp;DATE(2025,1,31),'2025数据'!$AE$3:$AE$181,$E1484)/10000)</f>
        <v>1.419454</v>
      </c>
      <c r="G1484" s="51">
        <f ca="1">IF($S$1&lt;DATE(2025,2,1)," ",SUMIFS('2025数据'!$BI$3:$BI$181,'2025数据'!$T$3:$T$181,"&gt;="&amp;DATE(2025,2,1),'2025数据'!$T$3:$T$181,"&lt;="&amp;DATE(2025,2,28),'2025数据'!$AE$3:$AE$181,$E1484)/10000)</f>
        <v>2.813043</v>
      </c>
      <c r="H1484" s="51">
        <f ca="1">IF($S$1&lt;DATE(2025,3,1)," ",SUMIFS('2025数据'!$BI$3:$BI$181,'2025数据'!$T$3:$T$181,"&gt;="&amp;DATE(2025,3,1),'2025数据'!$T$3:$T$181,"&lt;="&amp;DATE(2025,3,31),'2025数据'!$AE$3:$AE$181,$E1484)/10000)</f>
        <v>1.640733</v>
      </c>
      <c r="I1484" s="51">
        <f ca="1">IF($S$1&lt;DATE(2025,4,1)," ",SUMIFS('2025数据'!$BI$3:$BI$181,'2025数据'!$T$3:$T$181,"&gt;="&amp;DATE(2025,4,1),'2025数据'!$T$3:$T$181,"&lt;="&amp;DATE(2025,4,30),'2025数据'!$AE$3:$AE$181,$E1484)/10000)</f>
        <v>0</v>
      </c>
      <c r="J1484" s="51">
        <f ca="1">IF($S$1&lt;DATE(2025,5,1)," ",SUMIFS('2025数据'!$BI$3:$BI$181,'2025数据'!$T$3:$T$181,"&gt;="&amp;DATE(2025,5,1),'2025数据'!$T$3:$T$181,"&lt;="&amp;DATE(2025,5,31),'2025数据'!$AE$3:$AE$181,$E1484)/10000)</f>
        <v>0</v>
      </c>
      <c r="K1484" s="51">
        <f ca="1">IF($S$1&lt;DATE(2025,6,1)," ",SUMIFS('2025数据'!$BI$3:$BI$181,'2025数据'!$T$3:$T$181,"&gt;="&amp;DATE(2025,6,1),'2025数据'!$T$3:$T$181,"&lt;="&amp;DATE(2025,6,30),'2025数据'!$AE$3:$AE$181,$E1484)/10000)</f>
        <v>1.590616</v>
      </c>
      <c r="L1484" s="51">
        <f ca="1">IF($S$1&lt;DATE(2025,7,1)," ",SUMIFS('2025数据'!$BI$3:$BI$181,'2025数据'!$T$3:$T$181,"&gt;="&amp;DATE(2025,7,1),'2025数据'!$T$3:$T$181,"&lt;="&amp;DATE(2025,7,31),'2025数据'!$AE$3:$AE$181,$E1484)/10000)</f>
        <v>0.845678</v>
      </c>
      <c r="M1484" s="51">
        <f ca="1">IF($S$1&lt;DATE(2025,8,1)," ",SUMIFS('2025数据'!$BI$3:$BI$181,'2025数据'!$T$3:$T$181,"&gt;="&amp;DATE(2025,8,1),'2025数据'!$T$3:$T$181,"&lt;="&amp;DATE(2025,8,31),'2025数据'!$AE$3:$AE$181,$E1484)/10000)</f>
        <v>0.279657</v>
      </c>
      <c r="N1484" s="51">
        <f ca="1">IF($S$1&lt;DATE(2025,9,1)," ",SUMIFS('2025数据'!$BI$3:$BI$181,'2025数据'!$T$3:$T$181,"&gt;="&amp;DATE(2025,9,1),'2025数据'!$T$3:$T$181,"&lt;="&amp;DATE(2025,9,30),'2025数据'!$AE$3:$AE$181,$E1484)/10000)</f>
        <v>0.96082</v>
      </c>
      <c r="O1484" s="51">
        <f ca="1">IF($S$1&lt;DATE(2025,10,1)," ",SUMIFS('2025数据'!$BI$3:$BI$181,'2025数据'!$T$3:$T$181,"&gt;="&amp;DATE(2025,10,1),'2025数据'!$T$3:$T$181,"&lt;="&amp;DATE(2025,10,31),'2025数据'!$AE$3:$AE$181,$E1484)/10000)</f>
        <v>1.621692</v>
      </c>
      <c r="P1484" s="217">
        <f ca="1">IF($S$1&lt;DATE(2025,11,1)," ",SUMIFS('2025数据'!$BI$3:$BI$181,'2025数据'!$T$3:$T$181,"&gt;="&amp;DATE(2025,11,1),'2025数据'!$T$3:$T$181,"&lt;="&amp;DATE(2025,11,30),'2025数据'!$AE$3:$AE$181,$E1484)/10000)</f>
        <v>0</v>
      </c>
      <c r="Q1484" s="217">
        <f ca="1">IF($S$1&lt;DATE(2025,12,1)," ",SUMIFS('2025数据'!$BI$3:$BI$181,'2025数据'!$T$3:$T$181,"&gt;="&amp;DATE(2025,12,1),'2025数据'!$T$3:$T$181,"&lt;="&amp;DATE(2025,12,31),'2025数据'!$AE$3:$AE$181,$E1484)/10000)</f>
        <v>2.009851</v>
      </c>
    </row>
    <row r="1485" ht="24" customHeight="1" spans="1:17">
      <c r="A1485" s="99" t="s">
        <v>348</v>
      </c>
      <c r="B1485" s="99" t="s">
        <v>299</v>
      </c>
      <c r="C1485" s="99" t="s">
        <v>336</v>
      </c>
      <c r="D1485" s="48" t="s">
        <v>31</v>
      </c>
      <c r="E1485" s="48" t="s">
        <v>82</v>
      </c>
      <c r="F1485" s="51">
        <f ca="1">IF($S$1&lt;DATE(2025,1,1)," ",SUMIFS('2025数据'!$BI$3:$BI$181,'2025数据'!$T$3:$T$181,"&gt;="&amp;DATE(2025,1,1),'2025数据'!$T$3:$T$181,"&lt;="&amp;DATE(2025,1,31),'2025数据'!$AE$3:$AE$181,$E1485)/10000)</f>
        <v>0</v>
      </c>
      <c r="G1485" s="51">
        <f ca="1">IF($S$1&lt;DATE(2025,2,1)," ",SUMIFS('2025数据'!$BI$3:$BI$181,'2025数据'!$T$3:$T$181,"&gt;="&amp;DATE(2025,2,1),'2025数据'!$T$3:$T$181,"&lt;="&amp;DATE(2025,2,28),'2025数据'!$AE$3:$AE$181,$E1485)/10000)</f>
        <v>0</v>
      </c>
      <c r="H1485" s="51">
        <f ca="1">IF($S$1&lt;DATE(2025,3,1)," ",SUMIFS('2025数据'!$BI$3:$BI$181,'2025数据'!$T$3:$T$181,"&gt;="&amp;DATE(2025,3,1),'2025数据'!$T$3:$T$181,"&lt;="&amp;DATE(2025,3,31),'2025数据'!$AE$3:$AE$181,$E1485)/10000)</f>
        <v>0.058052</v>
      </c>
      <c r="I1485" s="51">
        <f ca="1">IF($S$1&lt;DATE(2025,4,1)," ",SUMIFS('2025数据'!$BI$3:$BI$181,'2025数据'!$T$3:$T$181,"&gt;="&amp;DATE(2025,4,1),'2025数据'!$T$3:$T$181,"&lt;="&amp;DATE(2025,4,30),'2025数据'!$AE$3:$AE$181,$E1485)/10000)</f>
        <v>0</v>
      </c>
      <c r="J1485" s="51">
        <f ca="1">IF($S$1&lt;DATE(2025,5,1)," ",SUMIFS('2025数据'!$BI$3:$BI$181,'2025数据'!$T$3:$T$181,"&gt;="&amp;DATE(2025,5,1),'2025数据'!$T$3:$T$181,"&lt;="&amp;DATE(2025,5,31),'2025数据'!$AE$3:$AE$181,$E1485)/10000)</f>
        <v>2.416544</v>
      </c>
      <c r="K1485" s="51">
        <f ca="1">IF($S$1&lt;DATE(2025,6,1)," ",SUMIFS('2025数据'!$BI$3:$BI$181,'2025数据'!$T$3:$T$181,"&gt;="&amp;DATE(2025,6,1),'2025数据'!$T$3:$T$181,"&lt;="&amp;DATE(2025,6,30),'2025数据'!$AE$3:$AE$181,$E1485)/10000)</f>
        <v>0.301227</v>
      </c>
      <c r="L1485" s="51">
        <f ca="1">IF($S$1&lt;DATE(2025,7,1)," ",SUMIFS('2025数据'!$BI$3:$BI$181,'2025数据'!$T$3:$T$181,"&gt;="&amp;DATE(2025,7,1),'2025数据'!$T$3:$T$181,"&lt;="&amp;DATE(2025,7,31),'2025数据'!$AE$3:$AE$181,$E1485)/10000)</f>
        <v>0.99153</v>
      </c>
      <c r="M1485" s="51">
        <f ca="1">IF($S$1&lt;DATE(2025,8,1)," ",SUMIFS('2025数据'!$BI$3:$BI$181,'2025数据'!$T$3:$T$181,"&gt;="&amp;DATE(2025,8,1),'2025数据'!$T$3:$T$181,"&lt;="&amp;DATE(2025,8,31),'2025数据'!$AE$3:$AE$181,$E1485)/10000)</f>
        <v>2.998507</v>
      </c>
      <c r="N1485" s="51">
        <f ca="1">IF($S$1&lt;DATE(2025,9,1)," ",SUMIFS('2025数据'!$BI$3:$BI$181,'2025数据'!$T$3:$T$181,"&gt;="&amp;DATE(2025,9,1),'2025数据'!$T$3:$T$181,"&lt;="&amp;DATE(2025,9,30),'2025数据'!$AE$3:$AE$181,$E1485)/10000)</f>
        <v>0.503693</v>
      </c>
      <c r="O1485" s="51">
        <f ca="1">IF($S$1&lt;DATE(2025,10,1)," ",SUMIFS('2025数据'!$BI$3:$BI$181,'2025数据'!$T$3:$T$181,"&gt;="&amp;DATE(2025,10,1),'2025数据'!$T$3:$T$181,"&lt;="&amp;DATE(2025,10,31),'2025数据'!$AE$3:$AE$181,$E1485)/10000)</f>
        <v>0.818386</v>
      </c>
      <c r="P1485" s="217">
        <f ca="1">IF($S$1&lt;DATE(2025,11,1)," ",SUMIFS('2025数据'!$BI$3:$BI$181,'2025数据'!$T$3:$T$181,"&gt;="&amp;DATE(2025,11,1),'2025数据'!$T$3:$T$181,"&lt;="&amp;DATE(2025,11,30),'2025数据'!$AE$3:$AE$181,$E1485)/10000)</f>
        <v>0</v>
      </c>
      <c r="Q1485" s="217">
        <f ca="1">IF($S$1&lt;DATE(2025,12,1)," ",SUMIFS('2025数据'!$BI$3:$BI$181,'2025数据'!$T$3:$T$181,"&gt;="&amp;DATE(2025,12,1),'2025数据'!$T$3:$T$181,"&lt;="&amp;DATE(2025,12,31),'2025数据'!$AE$3:$AE$181,$E1485)/10000)</f>
        <v>0.431123</v>
      </c>
    </row>
    <row r="1486" ht="24" customHeight="1" spans="1:17">
      <c r="A1486" s="99" t="s">
        <v>348</v>
      </c>
      <c r="B1486" s="99" t="s">
        <v>299</v>
      </c>
      <c r="C1486" s="99" t="s">
        <v>336</v>
      </c>
      <c r="D1486" s="48" t="s">
        <v>31</v>
      </c>
      <c r="E1486" s="48" t="s">
        <v>86</v>
      </c>
      <c r="F1486" s="51">
        <f ca="1">IF($S$1&lt;DATE(2025,1,1)," ",SUMIFS('2025数据'!$BI$3:$BI$181,'2025数据'!$T$3:$T$181,"&gt;="&amp;DATE(2025,1,1),'2025数据'!$T$3:$T$181,"&lt;="&amp;DATE(2025,1,31),'2025数据'!$AE$3:$AE$181,$E1486)/10000)</f>
        <v>1.661428</v>
      </c>
      <c r="G1486" s="51">
        <f ca="1">IF($S$1&lt;DATE(2025,2,1)," ",SUMIFS('2025数据'!$BI$3:$BI$181,'2025数据'!$T$3:$T$181,"&gt;="&amp;DATE(2025,2,1),'2025数据'!$T$3:$T$181,"&lt;="&amp;DATE(2025,2,28),'2025数据'!$AE$3:$AE$181,$E1486)/10000)</f>
        <v>0.410132</v>
      </c>
      <c r="H1486" s="51">
        <f ca="1">IF($S$1&lt;DATE(2025,3,1)," ",SUMIFS('2025数据'!$BI$3:$BI$181,'2025数据'!$T$3:$T$181,"&gt;="&amp;DATE(2025,3,1),'2025数据'!$T$3:$T$181,"&lt;="&amp;DATE(2025,3,31),'2025数据'!$AE$3:$AE$181,$E1486)/10000)</f>
        <v>0</v>
      </c>
      <c r="I1486" s="51">
        <f ca="1">IF($S$1&lt;DATE(2025,4,1)," ",SUMIFS('2025数据'!$BI$3:$BI$181,'2025数据'!$T$3:$T$181,"&gt;="&amp;DATE(2025,4,1),'2025数据'!$T$3:$T$181,"&lt;="&amp;DATE(2025,4,30),'2025数据'!$AE$3:$AE$181,$E1486)/10000)</f>
        <v>0</v>
      </c>
      <c r="J1486" s="51">
        <f ca="1">IF($S$1&lt;DATE(2025,5,1)," ",SUMIFS('2025数据'!$BI$3:$BI$181,'2025数据'!$T$3:$T$181,"&gt;="&amp;DATE(2025,5,1),'2025数据'!$T$3:$T$181,"&lt;="&amp;DATE(2025,5,31),'2025数据'!$AE$3:$AE$181,$E1486)/10000)</f>
        <v>2.921005</v>
      </c>
      <c r="K1486" s="51">
        <f ca="1">IF($S$1&lt;DATE(2025,6,1)," ",SUMIFS('2025数据'!$BI$3:$BI$181,'2025数据'!$T$3:$T$181,"&gt;="&amp;DATE(2025,6,1),'2025数据'!$T$3:$T$181,"&lt;="&amp;DATE(2025,6,30),'2025数据'!$AE$3:$AE$181,$E1486)/10000)</f>
        <v>0.57738</v>
      </c>
      <c r="L1486" s="51">
        <f ca="1">IF($S$1&lt;DATE(2025,7,1)," ",SUMIFS('2025数据'!$BI$3:$BI$181,'2025数据'!$T$3:$T$181,"&gt;="&amp;DATE(2025,7,1),'2025数据'!$T$3:$T$181,"&lt;="&amp;DATE(2025,7,31),'2025数据'!$AE$3:$AE$181,$E1486)/10000)</f>
        <v>0</v>
      </c>
      <c r="M1486" s="51">
        <f ca="1">IF($S$1&lt;DATE(2025,8,1)," ",SUMIFS('2025数据'!$BI$3:$BI$181,'2025数据'!$T$3:$T$181,"&gt;="&amp;DATE(2025,8,1),'2025数据'!$T$3:$T$181,"&lt;="&amp;DATE(2025,8,31),'2025数据'!$AE$3:$AE$181,$E1486)/10000)</f>
        <v>2.534248</v>
      </c>
      <c r="N1486" s="51">
        <f ca="1">IF($S$1&lt;DATE(2025,9,1)," ",SUMIFS('2025数据'!$BI$3:$BI$181,'2025数据'!$T$3:$T$181,"&gt;="&amp;DATE(2025,9,1),'2025数据'!$T$3:$T$181,"&lt;="&amp;DATE(2025,9,30),'2025数据'!$AE$3:$AE$181,$E1486)/10000)</f>
        <v>1.36453</v>
      </c>
      <c r="O1486" s="51">
        <f ca="1">IF($S$1&lt;DATE(2025,10,1)," ",SUMIFS('2025数据'!$BI$3:$BI$181,'2025数据'!$T$3:$T$181,"&gt;="&amp;DATE(2025,10,1),'2025数据'!$T$3:$T$181,"&lt;="&amp;DATE(2025,10,31),'2025数据'!$AE$3:$AE$181,$E1486)/10000)</f>
        <v>0</v>
      </c>
      <c r="P1486" s="217">
        <f ca="1">IF($S$1&lt;DATE(2025,11,1)," ",SUMIFS('2025数据'!$BI$3:$BI$181,'2025数据'!$T$3:$T$181,"&gt;="&amp;DATE(2025,11,1),'2025数据'!$T$3:$T$181,"&lt;="&amp;DATE(2025,11,30),'2025数据'!$AE$3:$AE$181,$E1486)/10000)</f>
        <v>1.192083</v>
      </c>
      <c r="Q1486" s="217">
        <f ca="1">IF($S$1&lt;DATE(2025,12,1)," ",SUMIFS('2025数据'!$BI$3:$BI$181,'2025数据'!$T$3:$T$181,"&gt;="&amp;DATE(2025,12,1),'2025数据'!$T$3:$T$181,"&lt;="&amp;DATE(2025,12,31),'2025数据'!$AE$3:$AE$181,$E1486)/10000)</f>
        <v>0.412287</v>
      </c>
    </row>
    <row r="1487" ht="24" customHeight="1" spans="1:17">
      <c r="A1487" s="99" t="s">
        <v>348</v>
      </c>
      <c r="B1487" s="99" t="s">
        <v>299</v>
      </c>
      <c r="C1487" s="99" t="s">
        <v>336</v>
      </c>
      <c r="D1487" s="48" t="s">
        <v>31</v>
      </c>
      <c r="E1487" s="48" t="s">
        <v>97</v>
      </c>
      <c r="F1487" s="51">
        <f ca="1">IF($S$1&lt;DATE(2025,1,1)," ",SUMIFS('2025数据'!$BI$3:$BI$181,'2025数据'!$T$3:$T$181,"&gt;="&amp;DATE(2025,1,1),'2025数据'!$T$3:$T$181,"&lt;="&amp;DATE(2025,1,31),'2025数据'!$AE$3:$AE$181,$E1487)/10000)</f>
        <v>0</v>
      </c>
      <c r="G1487" s="51">
        <f ca="1">IF($S$1&lt;DATE(2025,2,1)," ",SUMIFS('2025数据'!$BI$3:$BI$181,'2025数据'!$T$3:$T$181,"&gt;="&amp;DATE(2025,2,1),'2025数据'!$T$3:$T$181,"&lt;="&amp;DATE(2025,2,28),'2025数据'!$AE$3:$AE$181,$E1487)/10000)</f>
        <v>0</v>
      </c>
      <c r="H1487" s="51">
        <f ca="1">IF($S$1&lt;DATE(2025,3,1)," ",SUMIFS('2025数据'!$BI$3:$BI$181,'2025数据'!$T$3:$T$181,"&gt;="&amp;DATE(2025,3,1),'2025数据'!$T$3:$T$181,"&lt;="&amp;DATE(2025,3,31),'2025数据'!$AE$3:$AE$181,$E1487)/10000)</f>
        <v>0</v>
      </c>
      <c r="I1487" s="51">
        <f ca="1">IF($S$1&lt;DATE(2025,4,1)," ",SUMIFS('2025数据'!$BI$3:$BI$181,'2025数据'!$T$3:$T$181,"&gt;="&amp;DATE(2025,4,1),'2025数据'!$T$3:$T$181,"&lt;="&amp;DATE(2025,4,30),'2025数据'!$AE$3:$AE$181,$E1487)/10000)</f>
        <v>2.039669</v>
      </c>
      <c r="J1487" s="51">
        <f ca="1">IF($S$1&lt;DATE(2025,5,1)," ",SUMIFS('2025数据'!$BI$3:$BI$181,'2025数据'!$T$3:$T$181,"&gt;="&amp;DATE(2025,5,1),'2025数据'!$T$3:$T$181,"&lt;="&amp;DATE(2025,5,31),'2025数据'!$AE$3:$AE$181,$E1487)/10000)</f>
        <v>2.332596</v>
      </c>
      <c r="K1487" s="51">
        <f ca="1">IF($S$1&lt;DATE(2025,6,1)," ",SUMIFS('2025数据'!$BI$3:$BI$181,'2025数据'!$T$3:$T$181,"&gt;="&amp;DATE(2025,6,1),'2025数据'!$T$3:$T$181,"&lt;="&amp;DATE(2025,6,30),'2025数据'!$AE$3:$AE$181,$E1487)/10000)</f>
        <v>4.074802</v>
      </c>
      <c r="L1487" s="51">
        <f ca="1">IF($S$1&lt;DATE(2025,7,1)," ",SUMIFS('2025数据'!$BI$3:$BI$181,'2025数据'!$T$3:$T$181,"&gt;="&amp;DATE(2025,7,1),'2025数据'!$T$3:$T$181,"&lt;="&amp;DATE(2025,7,31),'2025数据'!$AE$3:$AE$181,$E1487)/10000)</f>
        <v>0</v>
      </c>
      <c r="M1487" s="51">
        <f ca="1">IF($S$1&lt;DATE(2025,8,1)," ",SUMIFS('2025数据'!$BI$3:$BI$181,'2025数据'!$T$3:$T$181,"&gt;="&amp;DATE(2025,8,1),'2025数据'!$T$3:$T$181,"&lt;="&amp;DATE(2025,8,31),'2025数据'!$AE$3:$AE$181,$E1487)/10000)</f>
        <v>0</v>
      </c>
      <c r="N1487" s="51">
        <f ca="1">IF($S$1&lt;DATE(2025,9,1)," ",SUMIFS('2025数据'!$BI$3:$BI$181,'2025数据'!$T$3:$T$181,"&gt;="&amp;DATE(2025,9,1),'2025数据'!$T$3:$T$181,"&lt;="&amp;DATE(2025,9,30),'2025数据'!$AE$3:$AE$181,$E1487)/10000)</f>
        <v>4.473403</v>
      </c>
      <c r="O1487" s="51">
        <f ca="1">IF($S$1&lt;DATE(2025,10,1)," ",SUMIFS('2025数据'!$BI$3:$BI$181,'2025数据'!$T$3:$T$181,"&gt;="&amp;DATE(2025,10,1),'2025数据'!$T$3:$T$181,"&lt;="&amp;DATE(2025,10,31),'2025数据'!$AE$3:$AE$181,$E1487)/10000)</f>
        <v>0</v>
      </c>
      <c r="P1487" s="217">
        <f ca="1">IF($S$1&lt;DATE(2025,11,1)," ",SUMIFS('2025数据'!$BI$3:$BI$181,'2025数据'!$T$3:$T$181,"&gt;="&amp;DATE(2025,11,1),'2025数据'!$T$3:$T$181,"&lt;="&amp;DATE(2025,11,30),'2025数据'!$AE$3:$AE$181,$E1487)/10000)</f>
        <v>0</v>
      </c>
      <c r="Q1487" s="217">
        <f ca="1">IF($S$1&lt;DATE(2025,12,1)," ",SUMIFS('2025数据'!$BI$3:$BI$181,'2025数据'!$T$3:$T$181,"&gt;="&amp;DATE(2025,12,1),'2025数据'!$T$3:$T$181,"&lt;="&amp;DATE(2025,12,31),'2025数据'!$AE$3:$AE$181,$E1487)/10000)</f>
        <v>0.551906</v>
      </c>
    </row>
    <row r="1488" ht="24" customHeight="1" spans="1:17">
      <c r="A1488" s="99" t="s">
        <v>348</v>
      </c>
      <c r="B1488" s="99" t="s">
        <v>299</v>
      </c>
      <c r="C1488" s="99" t="s">
        <v>336</v>
      </c>
      <c r="D1488" s="48" t="s">
        <v>31</v>
      </c>
      <c r="E1488" s="48" t="s">
        <v>87</v>
      </c>
      <c r="F1488" s="51">
        <f ca="1">IF($S$1&lt;DATE(2025,1,1)," ",SUMIFS('2025数据'!$BI$3:$BI$181,'2025数据'!$T$3:$T$181,"&gt;="&amp;DATE(2025,1,1),'2025数据'!$T$3:$T$181,"&lt;="&amp;DATE(2025,1,31),'2025数据'!$AE$3:$AE$181,$E1488)/10000)</f>
        <v>0</v>
      </c>
      <c r="G1488" s="51">
        <f ca="1">IF($S$1&lt;DATE(2025,2,1)," ",SUMIFS('2025数据'!$BI$3:$BI$181,'2025数据'!$T$3:$T$181,"&gt;="&amp;DATE(2025,2,1),'2025数据'!$T$3:$T$181,"&lt;="&amp;DATE(2025,2,28),'2025数据'!$AE$3:$AE$181,$E1488)/10000)</f>
        <v>0</v>
      </c>
      <c r="H1488" s="51">
        <f ca="1">IF($S$1&lt;DATE(2025,3,1)," ",SUMIFS('2025数据'!$BI$3:$BI$181,'2025数据'!$T$3:$T$181,"&gt;="&amp;DATE(2025,3,1),'2025数据'!$T$3:$T$181,"&lt;="&amp;DATE(2025,3,31),'2025数据'!$AE$3:$AE$181,$E1488)/10000)</f>
        <v>0</v>
      </c>
      <c r="I1488" s="51">
        <f ca="1">IF($S$1&lt;DATE(2025,4,1)," ",SUMIFS('2025数据'!$BI$3:$BI$181,'2025数据'!$T$3:$T$181,"&gt;="&amp;DATE(2025,4,1),'2025数据'!$T$3:$T$181,"&lt;="&amp;DATE(2025,4,30),'2025数据'!$AE$3:$AE$181,$E1488)/10000)</f>
        <v>0</v>
      </c>
      <c r="J1488" s="51">
        <f ca="1">IF($S$1&lt;DATE(2025,5,1)," ",SUMIFS('2025数据'!$BI$3:$BI$181,'2025数据'!$T$3:$T$181,"&gt;="&amp;DATE(2025,5,1),'2025数据'!$T$3:$T$181,"&lt;="&amp;DATE(2025,5,31),'2025数据'!$AE$3:$AE$181,$E1488)/10000)</f>
        <v>0</v>
      </c>
      <c r="K1488" s="51">
        <f ca="1">IF($S$1&lt;DATE(2025,6,1)," ",SUMIFS('2025数据'!$BI$3:$BI$181,'2025数据'!$T$3:$T$181,"&gt;="&amp;DATE(2025,6,1),'2025数据'!$T$3:$T$181,"&lt;="&amp;DATE(2025,6,30),'2025数据'!$AE$3:$AE$181,$E1488)/10000)</f>
        <v>0</v>
      </c>
      <c r="L1488" s="51">
        <f ca="1">IF($S$1&lt;DATE(2025,7,1)," ",SUMIFS('2025数据'!$BI$3:$BI$181,'2025数据'!$T$3:$T$181,"&gt;="&amp;DATE(2025,7,1),'2025数据'!$T$3:$T$181,"&lt;="&amp;DATE(2025,7,31),'2025数据'!$AE$3:$AE$181,$E1488)/10000)</f>
        <v>0.429137</v>
      </c>
      <c r="M1488" s="51">
        <f ca="1">IF($S$1&lt;DATE(2025,8,1)," ",SUMIFS('2025数据'!$BI$3:$BI$181,'2025数据'!$T$3:$T$181,"&gt;="&amp;DATE(2025,8,1),'2025数据'!$T$3:$T$181,"&lt;="&amp;DATE(2025,8,31),'2025数据'!$AE$3:$AE$181,$E1488)/10000)</f>
        <v>0</v>
      </c>
      <c r="N1488" s="51">
        <f ca="1">IF($S$1&lt;DATE(2025,9,1)," ",SUMIFS('2025数据'!$BI$3:$BI$181,'2025数据'!$T$3:$T$181,"&gt;="&amp;DATE(2025,9,1),'2025数据'!$T$3:$T$181,"&lt;="&amp;DATE(2025,9,30),'2025数据'!$AE$3:$AE$181,$E1488)/10000)</f>
        <v>0</v>
      </c>
      <c r="O1488" s="51">
        <f ca="1">IF($S$1&lt;DATE(2025,10,1)," ",SUMIFS('2025数据'!$BI$3:$BI$181,'2025数据'!$T$3:$T$181,"&gt;="&amp;DATE(2025,10,1),'2025数据'!$T$3:$T$181,"&lt;="&amp;DATE(2025,10,31),'2025数据'!$AE$3:$AE$181,$E1488)/10000)</f>
        <v>0</v>
      </c>
      <c r="P1488" s="217">
        <f ca="1">IF($S$1&lt;DATE(2025,11,1)," ",SUMIFS('2025数据'!$BI$3:$BI$181,'2025数据'!$T$3:$T$181,"&gt;="&amp;DATE(2025,11,1),'2025数据'!$T$3:$T$181,"&lt;="&amp;DATE(2025,11,30),'2025数据'!$AE$3:$AE$181,$E1488)/10000)</f>
        <v>0</v>
      </c>
      <c r="Q1488" s="217">
        <f ca="1">IF($S$1&lt;DATE(2025,12,1)," ",SUMIFS('2025数据'!$BI$3:$BI$181,'2025数据'!$T$3:$T$181,"&gt;="&amp;DATE(2025,12,1),'2025数据'!$T$3:$T$181,"&lt;="&amp;DATE(2025,12,31),'2025数据'!$AE$3:$AE$181,$E1488)/10000)</f>
        <v>0</v>
      </c>
    </row>
    <row r="1489" ht="24" customHeight="1" spans="1:17">
      <c r="A1489" s="99" t="s">
        <v>348</v>
      </c>
      <c r="B1489" s="99" t="s">
        <v>299</v>
      </c>
      <c r="C1489" s="99" t="s">
        <v>336</v>
      </c>
      <c r="D1489" s="48" t="s">
        <v>31</v>
      </c>
      <c r="E1489" s="48" t="s">
        <v>149</v>
      </c>
      <c r="F1489" s="51">
        <f ca="1">IF($S$1&lt;DATE(2025,1,1)," ",SUMIFS('2025数据'!$BI$3:$BI$181,'2025数据'!$T$3:$T$181,"&gt;="&amp;DATE(2025,1,1),'2025数据'!$T$3:$T$181,"&lt;="&amp;DATE(2025,1,31),'2025数据'!$AE$3:$AE$181,$E1489)/10000)</f>
        <v>0</v>
      </c>
      <c r="G1489" s="51">
        <f ca="1">IF($S$1&lt;DATE(2025,2,1)," ",SUMIFS('2025数据'!$BI$3:$BI$181,'2025数据'!$T$3:$T$181,"&gt;="&amp;DATE(2025,2,1),'2025数据'!$T$3:$T$181,"&lt;="&amp;DATE(2025,2,28),'2025数据'!$AE$3:$AE$181,$E1489)/10000)</f>
        <v>0</v>
      </c>
      <c r="H1489" s="51">
        <f ca="1">IF($S$1&lt;DATE(2025,3,1)," ",SUMIFS('2025数据'!$BI$3:$BI$181,'2025数据'!$T$3:$T$181,"&gt;="&amp;DATE(2025,3,1),'2025数据'!$T$3:$T$181,"&lt;="&amp;DATE(2025,3,31),'2025数据'!$AE$3:$AE$181,$E1489)/10000)</f>
        <v>0</v>
      </c>
      <c r="I1489" s="51">
        <f ca="1">IF($S$1&lt;DATE(2025,4,1)," ",SUMIFS('2025数据'!$BI$3:$BI$181,'2025数据'!$T$3:$T$181,"&gt;="&amp;DATE(2025,4,1),'2025数据'!$T$3:$T$181,"&lt;="&amp;DATE(2025,4,30),'2025数据'!$AE$3:$AE$181,$E1489)/10000)</f>
        <v>0</v>
      </c>
      <c r="J1489" s="51">
        <f ca="1">IF($S$1&lt;DATE(2025,5,1)," ",SUMIFS('2025数据'!$BI$3:$BI$181,'2025数据'!$T$3:$T$181,"&gt;="&amp;DATE(2025,5,1),'2025数据'!$T$3:$T$181,"&lt;="&amp;DATE(2025,5,31),'2025数据'!$AE$3:$AE$181,$E1489)/10000)</f>
        <v>0</v>
      </c>
      <c r="K1489" s="51">
        <f ca="1">IF($S$1&lt;DATE(2025,6,1)," ",SUMIFS('2025数据'!$BI$3:$BI$181,'2025数据'!$T$3:$T$181,"&gt;="&amp;DATE(2025,6,1),'2025数据'!$T$3:$T$181,"&lt;="&amp;DATE(2025,6,30),'2025数据'!$AE$3:$AE$181,$E1489)/10000)</f>
        <v>0</v>
      </c>
      <c r="L1489" s="51">
        <f ca="1">IF($S$1&lt;DATE(2025,7,1)," ",SUMIFS('2025数据'!$BI$3:$BI$181,'2025数据'!$T$3:$T$181,"&gt;="&amp;DATE(2025,7,1),'2025数据'!$T$3:$T$181,"&lt;="&amp;DATE(2025,7,31),'2025数据'!$AE$3:$AE$181,$E1489)/10000)</f>
        <v>0</v>
      </c>
      <c r="M1489" s="51">
        <f ca="1">IF($S$1&lt;DATE(2025,8,1)," ",SUMIFS('2025数据'!$BI$3:$BI$181,'2025数据'!$T$3:$T$181,"&gt;="&amp;DATE(2025,8,1),'2025数据'!$T$3:$T$181,"&lt;="&amp;DATE(2025,8,31),'2025数据'!$AE$3:$AE$181,$E1489)/10000)</f>
        <v>0</v>
      </c>
      <c r="N1489" s="51">
        <f ca="1">IF($S$1&lt;DATE(2025,9,1)," ",SUMIFS('2025数据'!$BI$3:$BI$181,'2025数据'!$T$3:$T$181,"&gt;="&amp;DATE(2025,9,1),'2025数据'!$T$3:$T$181,"&lt;="&amp;DATE(2025,9,30),'2025数据'!$AE$3:$AE$181,$E1489)/10000)</f>
        <v>0</v>
      </c>
      <c r="O1489" s="51">
        <f ca="1">IF($S$1&lt;DATE(2025,10,1)," ",SUMIFS('2025数据'!$BI$3:$BI$181,'2025数据'!$T$3:$T$181,"&gt;="&amp;DATE(2025,10,1),'2025数据'!$T$3:$T$181,"&lt;="&amp;DATE(2025,10,31),'2025数据'!$AE$3:$AE$181,$E1489)/10000)</f>
        <v>0</v>
      </c>
      <c r="P1489" s="217">
        <f ca="1">IF($S$1&lt;DATE(2025,11,1)," ",SUMIFS('2025数据'!$BI$3:$BI$181,'2025数据'!$T$3:$T$181,"&gt;="&amp;DATE(2025,11,1),'2025数据'!$T$3:$T$181,"&lt;="&amp;DATE(2025,11,30),'2025数据'!$AE$3:$AE$181,$E1489)/10000)</f>
        <v>0</v>
      </c>
      <c r="Q1489" s="217">
        <f ca="1">IF($S$1&lt;DATE(2025,12,1)," ",SUMIFS('2025数据'!$BI$3:$BI$181,'2025数据'!$T$3:$T$181,"&gt;="&amp;DATE(2025,12,1),'2025数据'!$T$3:$T$181,"&lt;="&amp;DATE(2025,12,31),'2025数据'!$AE$3:$AE$181,$E1489)/10000)</f>
        <v>0</v>
      </c>
    </row>
    <row r="1490" ht="24" customHeight="1" spans="1:17">
      <c r="A1490" s="99" t="s">
        <v>348</v>
      </c>
      <c r="B1490" s="99" t="s">
        <v>299</v>
      </c>
      <c r="C1490" s="99" t="s">
        <v>336</v>
      </c>
      <c r="D1490" s="48" t="s">
        <v>31</v>
      </c>
      <c r="E1490" s="48" t="s">
        <v>83</v>
      </c>
      <c r="F1490" s="51">
        <f ca="1">IF($S$1&lt;DATE(2025,1,1)," ",SUMIFS('2025数据'!$BI$3:$BI$181,'2025数据'!$T$3:$T$181,"&gt;="&amp;DATE(2025,1,1),'2025数据'!$T$3:$T$181,"&lt;="&amp;DATE(2025,1,31),'2025数据'!$AE$3:$AE$181,$E1490)/10000)</f>
        <v>0</v>
      </c>
      <c r="G1490" s="51">
        <f ca="1">IF($S$1&lt;DATE(2025,2,1)," ",SUMIFS('2025数据'!$BI$3:$BI$181,'2025数据'!$T$3:$T$181,"&gt;="&amp;DATE(2025,2,1),'2025数据'!$T$3:$T$181,"&lt;="&amp;DATE(2025,2,28),'2025数据'!$AE$3:$AE$181,$E1490)/10000)</f>
        <v>0</v>
      </c>
      <c r="H1490" s="51">
        <f ca="1">IF($S$1&lt;DATE(2025,3,1)," ",SUMIFS('2025数据'!$BI$3:$BI$181,'2025数据'!$T$3:$T$181,"&gt;="&amp;DATE(2025,3,1),'2025数据'!$T$3:$T$181,"&lt;="&amp;DATE(2025,3,31),'2025数据'!$AE$3:$AE$181,$E1490)/10000)</f>
        <v>0</v>
      </c>
      <c r="I1490" s="51">
        <f ca="1">IF($S$1&lt;DATE(2025,4,1)," ",SUMIFS('2025数据'!$BI$3:$BI$181,'2025数据'!$T$3:$T$181,"&gt;="&amp;DATE(2025,4,1),'2025数据'!$T$3:$T$181,"&lt;="&amp;DATE(2025,4,30),'2025数据'!$AE$3:$AE$181,$E1490)/10000)</f>
        <v>0</v>
      </c>
      <c r="J1490" s="51">
        <f ca="1">IF($S$1&lt;DATE(2025,5,1)," ",SUMIFS('2025数据'!$BI$3:$BI$181,'2025数据'!$T$3:$T$181,"&gt;="&amp;DATE(2025,5,1),'2025数据'!$T$3:$T$181,"&lt;="&amp;DATE(2025,5,31),'2025数据'!$AE$3:$AE$181,$E1490)/10000)</f>
        <v>0</v>
      </c>
      <c r="K1490" s="51">
        <f ca="1">IF($S$1&lt;DATE(2025,6,1)," ",SUMIFS('2025数据'!$BI$3:$BI$181,'2025数据'!$T$3:$T$181,"&gt;="&amp;DATE(2025,6,1),'2025数据'!$T$3:$T$181,"&lt;="&amp;DATE(2025,6,30),'2025数据'!$AE$3:$AE$181,$E1490)/10000)</f>
        <v>0</v>
      </c>
      <c r="L1490" s="51">
        <f ca="1">IF($S$1&lt;DATE(2025,7,1)," ",SUMIFS('2025数据'!$BI$3:$BI$181,'2025数据'!$T$3:$T$181,"&gt;="&amp;DATE(2025,7,1),'2025数据'!$T$3:$T$181,"&lt;="&amp;DATE(2025,7,31),'2025数据'!$AE$3:$AE$181,$E1490)/10000)</f>
        <v>0</v>
      </c>
      <c r="M1490" s="51">
        <f ca="1">IF($S$1&lt;DATE(2025,8,1)," ",SUMIFS('2025数据'!$BI$3:$BI$181,'2025数据'!$T$3:$T$181,"&gt;="&amp;DATE(2025,8,1),'2025数据'!$T$3:$T$181,"&lt;="&amp;DATE(2025,8,31),'2025数据'!$AE$3:$AE$181,$E1490)/10000)</f>
        <v>0.679513</v>
      </c>
      <c r="N1490" s="51">
        <f ca="1">IF($S$1&lt;DATE(2025,9,1)," ",SUMIFS('2025数据'!$BI$3:$BI$181,'2025数据'!$T$3:$T$181,"&gt;="&amp;DATE(2025,9,1),'2025数据'!$T$3:$T$181,"&lt;="&amp;DATE(2025,9,30),'2025数据'!$AE$3:$AE$181,$E1490)/10000)</f>
        <v>0</v>
      </c>
      <c r="O1490" s="51">
        <f ca="1">IF($S$1&lt;DATE(2025,10,1)," ",SUMIFS('2025数据'!$BI$3:$BI$181,'2025数据'!$T$3:$T$181,"&gt;="&amp;DATE(2025,10,1),'2025数据'!$T$3:$T$181,"&lt;="&amp;DATE(2025,10,31),'2025数据'!$AE$3:$AE$181,$E1490)/10000)</f>
        <v>0</v>
      </c>
      <c r="P1490" s="217">
        <f ca="1">IF($S$1&lt;DATE(2025,11,1)," ",SUMIFS('2025数据'!$BI$3:$BI$181,'2025数据'!$T$3:$T$181,"&gt;="&amp;DATE(2025,11,1),'2025数据'!$T$3:$T$181,"&lt;="&amp;DATE(2025,11,30),'2025数据'!$AE$3:$AE$181,$E1490)/10000)</f>
        <v>0</v>
      </c>
      <c r="Q1490" s="217">
        <f ca="1">IF($S$1&lt;DATE(2025,12,1)," ",SUMIFS('2025数据'!$BI$3:$BI$181,'2025数据'!$T$3:$T$181,"&gt;="&amp;DATE(2025,12,1),'2025数据'!$T$3:$T$181,"&lt;="&amp;DATE(2025,12,31),'2025数据'!$AE$3:$AE$181,$E1490)/10000)</f>
        <v>0</v>
      </c>
    </row>
    <row r="1491" ht="24" customHeight="1" spans="1:17">
      <c r="A1491" s="99" t="s">
        <v>348</v>
      </c>
      <c r="B1491" s="99" t="s">
        <v>299</v>
      </c>
      <c r="C1491" s="99" t="s">
        <v>336</v>
      </c>
      <c r="D1491" s="47" t="s">
        <v>294</v>
      </c>
      <c r="E1491" s="47" t="s">
        <v>93</v>
      </c>
      <c r="F1491" s="51">
        <f ca="1">IF($S$1&lt;DATE(2025,1,1)," ",SUMIFS('2025数据'!$BI$3:$BI$181,'2025数据'!$T$3:$T$181,"&gt;="&amp;DATE(2025,1,1),'2025数据'!$T$3:$T$181,"&lt;="&amp;DATE(2025,1,31),'2025数据'!$B$3:$B$181,$E1491)/10000)</f>
        <v>0</v>
      </c>
      <c r="G1491" s="51">
        <f ca="1">IF($S$1&lt;DATE(2025,2,1)," ",SUMIFS('2025数据'!$BI$3:$BI$181,'2025数据'!$T$3:$T$181,"&gt;="&amp;DATE(2025,2,1),'2025数据'!$T$3:$T$181,"&lt;="&amp;DATE(2025,2,28),'2025数据'!$B$3:$B$181,$E1491)/10000)</f>
        <v>3.223175</v>
      </c>
      <c r="H1491" s="51">
        <f ca="1">IF($S$1&lt;DATE(2025,3,1)," ",SUMIFS('2025数据'!$BI$3:$BI$181,'2025数据'!$T$3:$T$181,"&gt;="&amp;DATE(2025,3,1),'2025数据'!$T$3:$T$181,"&lt;="&amp;DATE(2025,3,31),'2025数据'!$B$3:$B$181,$E1491)/10000)</f>
        <v>1.698785</v>
      </c>
      <c r="I1491" s="51">
        <f ca="1">IF($S$1&lt;DATE(2025,4,1)," ",SUMIFS('2025数据'!$BI$3:$BI$181,'2025数据'!$T$3:$T$181,"&gt;="&amp;DATE(2025,4,1),'2025数据'!$T$3:$T$181,"&lt;="&amp;DATE(2025,4,30),'2025数据'!$B$3:$B$181,$E1491)/10000)</f>
        <v>1.739689</v>
      </c>
      <c r="J1491" s="51">
        <f ca="1">IF($S$1&lt;DATE(2025,5,1)," ",SUMIFS('2025数据'!$BI$3:$BI$181,'2025数据'!$T$3:$T$181,"&gt;="&amp;DATE(2025,5,1),'2025数据'!$T$3:$T$181,"&lt;="&amp;DATE(2025,5,31),'2025数据'!$B$3:$B$181,$E1491)/10000)</f>
        <v>7.004415</v>
      </c>
      <c r="K1491" s="51">
        <f ca="1">IF($S$1&lt;DATE(2025,6,1)," ",SUMIFS('2025数据'!$BI$3:$BI$181,'2025数据'!$T$3:$T$181,"&gt;="&amp;DATE(2025,6,1),'2025数据'!$T$3:$T$181,"&lt;="&amp;DATE(2025,6,30),'2025数据'!$B$3:$B$181,$E1491)/10000)</f>
        <v>5.966645</v>
      </c>
      <c r="L1491" s="51">
        <f ca="1">IF($S$1&lt;DATE(2025,7,1)," ",SUMIFS('2025数据'!$BI$3:$BI$181,'2025数据'!$T$3:$T$181,"&gt;="&amp;DATE(2025,7,1),'2025数据'!$T$3:$T$181,"&lt;="&amp;DATE(2025,7,31),'2025数据'!$B$3:$B$181,$E1491)/10000)</f>
        <v>0.429137</v>
      </c>
      <c r="M1491" s="51">
        <f ca="1">IF($S$1&lt;DATE(2025,8,1)," ",SUMIFS('2025数据'!$BI$3:$BI$181,'2025数据'!$T$3:$T$181,"&gt;="&amp;DATE(2025,8,1),'2025数据'!$T$3:$T$181,"&lt;="&amp;DATE(2025,8,31),'2025数据'!$B$3:$B$181,$E1491)/10000)</f>
        <v>0.936344</v>
      </c>
      <c r="N1491" s="51">
        <f ca="1">IF($S$1&lt;DATE(2025,9,1)," ",SUMIFS('2025数据'!$BI$3:$BI$181,'2025数据'!$T$3:$T$181,"&gt;="&amp;DATE(2025,9,1),'2025数据'!$T$3:$T$181,"&lt;="&amp;DATE(2025,9,30),'2025数据'!$B$3:$B$181,$E1491)/10000)</f>
        <v>5.21951</v>
      </c>
      <c r="O1491" s="51">
        <f ca="1">IF($S$1&lt;DATE(2025,10,1)," ",SUMIFS('2025数据'!$BI$3:$BI$181,'2025数据'!$T$3:$T$181,"&gt;="&amp;DATE(2025,10,1),'2025数据'!$T$3:$T$181,"&lt;="&amp;DATE(2025,10,31),'2025数据'!$B$3:$B$181,$E1491)/10000)</f>
        <v>0.423055</v>
      </c>
      <c r="P1491" s="217">
        <f ca="1">IF($S$1&lt;DATE(2025,11,1)," ",SUMIFS('2025数据'!$BI$3:$BI$181,'2025数据'!$T$3:$T$181,"&gt;="&amp;DATE(2025,11,1),'2025数据'!$T$3:$T$181,"&lt;="&amp;DATE(2025,11,30),'2025数据'!$B$3:$B$181,$E1491)/10000)</f>
        <v>0</v>
      </c>
      <c r="Q1491" s="217">
        <f ca="1">IF($S$1&lt;DATE(2025,12,1)," ",SUMIFS('2025数据'!$BI$3:$BI$181,'2025数据'!$T$3:$T$181,"&gt;="&amp;DATE(2025,12,1),'2025数据'!$T$3:$T$181,"&lt;="&amp;DATE(2025,12,31),'2025数据'!$B$3:$B$181,$E1491)/10000)</f>
        <v>0.983029</v>
      </c>
    </row>
    <row r="1492" ht="24" customHeight="1" spans="1:17">
      <c r="A1492" s="99" t="s">
        <v>348</v>
      </c>
      <c r="B1492" s="99" t="s">
        <v>299</v>
      </c>
      <c r="C1492" s="99" t="s">
        <v>336</v>
      </c>
      <c r="D1492" s="47" t="s">
        <v>294</v>
      </c>
      <c r="E1492" s="47" t="s">
        <v>85</v>
      </c>
      <c r="F1492" s="51">
        <f ca="1">IF($S$1&lt;DATE(2025,1,1)," ",SUMIFS('2025数据'!$BI$3:$BI$181,'2025数据'!$T$3:$T$181,"&gt;="&amp;DATE(2025,1,1),'2025数据'!$T$3:$T$181,"&lt;="&amp;DATE(2025,1,31),'2025数据'!$B$3:$B$181,$E1492)/10000)</f>
        <v>1.11628</v>
      </c>
      <c r="G1492" s="51">
        <f ca="1">IF($S$1&lt;DATE(2025,2,1)," ",SUMIFS('2025数据'!$BI$3:$BI$181,'2025数据'!$T$3:$T$181,"&gt;="&amp;DATE(2025,2,1),'2025数据'!$T$3:$T$181,"&lt;="&amp;DATE(2025,2,28),'2025数据'!$B$3:$B$181,$E1492)/10000)</f>
        <v>0</v>
      </c>
      <c r="H1492" s="51">
        <f ca="1">IF($S$1&lt;DATE(2025,3,1)," ",SUMIFS('2025数据'!$BI$3:$BI$181,'2025数据'!$T$3:$T$181,"&gt;="&amp;DATE(2025,3,1),'2025数据'!$T$3:$T$181,"&lt;="&amp;DATE(2025,3,31),'2025数据'!$B$3:$B$181,$E1492)/10000)</f>
        <v>0</v>
      </c>
      <c r="I1492" s="51">
        <f ca="1">IF($S$1&lt;DATE(2025,4,1)," ",SUMIFS('2025数据'!$BI$3:$BI$181,'2025数据'!$T$3:$T$181,"&gt;="&amp;DATE(2025,4,1),'2025数据'!$T$3:$T$181,"&lt;="&amp;DATE(2025,4,30),'2025数据'!$B$3:$B$181,$E1492)/10000)</f>
        <v>0</v>
      </c>
      <c r="J1492" s="51">
        <f ca="1">IF($S$1&lt;DATE(2025,5,1)," ",SUMIFS('2025数据'!$BI$3:$BI$181,'2025数据'!$T$3:$T$181,"&gt;="&amp;DATE(2025,5,1),'2025数据'!$T$3:$T$181,"&lt;="&amp;DATE(2025,5,31),'2025数据'!$B$3:$B$181,$E1492)/10000)</f>
        <v>0.66573</v>
      </c>
      <c r="K1492" s="51">
        <f ca="1">IF($S$1&lt;DATE(2025,6,1)," ",SUMIFS('2025数据'!$BI$3:$BI$181,'2025数据'!$T$3:$T$181,"&gt;="&amp;DATE(2025,6,1),'2025数据'!$T$3:$T$181,"&lt;="&amp;DATE(2025,6,30),'2025数据'!$B$3:$B$181,$E1492)/10000)</f>
        <v>0.374844</v>
      </c>
      <c r="L1492" s="51">
        <f ca="1">IF($S$1&lt;DATE(2025,7,1)," ",SUMIFS('2025数据'!$BI$3:$BI$181,'2025数据'!$T$3:$T$181,"&gt;="&amp;DATE(2025,7,1),'2025数据'!$T$3:$T$181,"&lt;="&amp;DATE(2025,7,31),'2025数据'!$B$3:$B$181,$E1492)/10000)</f>
        <v>0</v>
      </c>
      <c r="M1492" s="51">
        <f ca="1">IF($S$1&lt;DATE(2025,8,1)," ",SUMIFS('2025数据'!$BI$3:$BI$181,'2025数据'!$T$3:$T$181,"&gt;="&amp;DATE(2025,8,1),'2025数据'!$T$3:$T$181,"&lt;="&amp;DATE(2025,8,31),'2025数据'!$B$3:$B$181,$E1492)/10000)</f>
        <v>2.998507</v>
      </c>
      <c r="N1492" s="51">
        <f ca="1">IF($S$1&lt;DATE(2025,9,1)," ",SUMIFS('2025数据'!$BI$3:$BI$181,'2025数据'!$T$3:$T$181,"&gt;="&amp;DATE(2025,9,1),'2025数据'!$T$3:$T$181,"&lt;="&amp;DATE(2025,9,30),'2025数据'!$B$3:$B$181,$E1492)/10000)</f>
        <v>0.96082</v>
      </c>
      <c r="O1492" s="51">
        <f ca="1">IF($S$1&lt;DATE(2025,10,1)," ",SUMIFS('2025数据'!$BI$3:$BI$181,'2025数据'!$T$3:$T$181,"&gt;="&amp;DATE(2025,10,1),'2025数据'!$T$3:$T$181,"&lt;="&amp;DATE(2025,10,31),'2025数据'!$B$3:$B$181,$E1492)/10000)</f>
        <v>1.621692</v>
      </c>
      <c r="P1492" s="217">
        <f ca="1">IF($S$1&lt;DATE(2025,11,1)," ",SUMIFS('2025数据'!$BI$3:$BI$181,'2025数据'!$T$3:$T$181,"&gt;="&amp;DATE(2025,11,1),'2025数据'!$T$3:$T$181,"&lt;="&amp;DATE(2025,11,30),'2025数据'!$B$3:$B$181,$E1492)/10000)</f>
        <v>1.192083</v>
      </c>
      <c r="Q1492" s="217">
        <f ca="1">IF($S$1&lt;DATE(2025,12,1)," ",SUMIFS('2025数据'!$BI$3:$BI$181,'2025数据'!$T$3:$T$181,"&gt;="&amp;DATE(2025,12,1),'2025数据'!$T$3:$T$181,"&lt;="&amp;DATE(2025,12,31),'2025数据'!$B$3:$B$181,$E1492)/10000)</f>
        <v>2.422138</v>
      </c>
    </row>
    <row r="1493" ht="24" customHeight="1" spans="1:17">
      <c r="A1493" s="99" t="s">
        <v>348</v>
      </c>
      <c r="B1493" s="99" t="s">
        <v>299</v>
      </c>
      <c r="C1493" s="99" t="s">
        <v>336</v>
      </c>
      <c r="D1493" s="47" t="s">
        <v>294</v>
      </c>
      <c r="E1493" s="47" t="s">
        <v>81</v>
      </c>
      <c r="F1493" s="51">
        <f ca="1">IF($S$1&lt;DATE(2025,1,1)," ",SUMIFS('2025数据'!$BI$3:$BI$181,'2025数据'!$T$3:$T$181,"&gt;="&amp;DATE(2025,1,1),'2025数据'!$T$3:$T$181,"&lt;="&amp;DATE(2025,1,31),'2025数据'!$B$3:$B$181,$E1493)/10000)</f>
        <v>1.868502</v>
      </c>
      <c r="G1493" s="51">
        <f ca="1">IF($S$1&lt;DATE(2025,2,1)," ",SUMIFS('2025数据'!$BI$3:$BI$181,'2025数据'!$T$3:$T$181,"&gt;="&amp;DATE(2025,2,1),'2025数据'!$T$3:$T$181,"&lt;="&amp;DATE(2025,2,28),'2025数据'!$B$3:$B$181,$E1493)/10000)</f>
        <v>0</v>
      </c>
      <c r="H1493" s="51">
        <f ca="1">IF($S$1&lt;DATE(2025,3,1)," ",SUMIFS('2025数据'!$BI$3:$BI$181,'2025数据'!$T$3:$T$181,"&gt;="&amp;DATE(2025,3,1),'2025数据'!$T$3:$T$181,"&lt;="&amp;DATE(2025,3,31),'2025数据'!$B$3:$B$181,$E1493)/10000)</f>
        <v>0</v>
      </c>
      <c r="I1493" s="51">
        <f ca="1">IF($S$1&lt;DATE(2025,4,1)," ",SUMIFS('2025数据'!$BI$3:$BI$181,'2025数据'!$T$3:$T$181,"&gt;="&amp;DATE(2025,4,1),'2025数据'!$T$3:$T$181,"&lt;="&amp;DATE(2025,4,30),'2025数据'!$B$3:$B$181,$E1493)/10000)</f>
        <v>0</v>
      </c>
      <c r="J1493" s="51">
        <f ca="1">IF($S$1&lt;DATE(2025,5,1)," ",SUMIFS('2025数据'!$BI$3:$BI$181,'2025数据'!$T$3:$T$181,"&gt;="&amp;DATE(2025,5,1),'2025数据'!$T$3:$T$181,"&lt;="&amp;DATE(2025,5,31),'2025数据'!$B$3:$B$181,$E1493)/10000)</f>
        <v>0</v>
      </c>
      <c r="K1493" s="51">
        <f ca="1">IF($S$1&lt;DATE(2025,6,1)," ",SUMIFS('2025数据'!$BI$3:$BI$181,'2025数据'!$T$3:$T$181,"&gt;="&amp;DATE(2025,6,1),'2025数据'!$T$3:$T$181,"&lt;="&amp;DATE(2025,6,30),'2025数据'!$B$3:$B$181,$E1493)/10000)</f>
        <v>0.202536</v>
      </c>
      <c r="L1493" s="51">
        <f ca="1">IF($S$1&lt;DATE(2025,7,1)," ",SUMIFS('2025数据'!$BI$3:$BI$181,'2025数据'!$T$3:$T$181,"&gt;="&amp;DATE(2025,7,1),'2025数据'!$T$3:$T$181,"&lt;="&amp;DATE(2025,7,31),'2025数据'!$B$3:$B$181,$E1493)/10000)</f>
        <v>0.99153</v>
      </c>
      <c r="M1493" s="51">
        <f ca="1">IF($S$1&lt;DATE(2025,8,1)," ",SUMIFS('2025数据'!$BI$3:$BI$181,'2025数据'!$T$3:$T$181,"&gt;="&amp;DATE(2025,8,1),'2025数据'!$T$3:$T$181,"&lt;="&amp;DATE(2025,8,31),'2025数据'!$B$3:$B$181,$E1493)/10000)</f>
        <v>1.990017</v>
      </c>
      <c r="N1493" s="51">
        <f ca="1">IF($S$1&lt;DATE(2025,9,1)," ",SUMIFS('2025数据'!$BI$3:$BI$181,'2025数据'!$T$3:$T$181,"&gt;="&amp;DATE(2025,9,1),'2025数据'!$T$3:$T$181,"&lt;="&amp;DATE(2025,9,30),'2025数据'!$B$3:$B$181,$E1493)/10000)</f>
        <v>1.122116</v>
      </c>
      <c r="O1493" s="51">
        <f ca="1">IF($S$1&lt;DATE(2025,10,1)," ",SUMIFS('2025数据'!$BI$3:$BI$181,'2025数据'!$T$3:$T$181,"&gt;="&amp;DATE(2025,10,1),'2025数据'!$T$3:$T$181,"&lt;="&amp;DATE(2025,10,31),'2025数据'!$B$3:$B$181,$E1493)/10000)</f>
        <v>0.395331</v>
      </c>
      <c r="P1493" s="217">
        <f ca="1">IF($S$1&lt;DATE(2025,11,1)," ",SUMIFS('2025数据'!$BI$3:$BI$181,'2025数据'!$T$3:$T$181,"&gt;="&amp;DATE(2025,11,1),'2025数据'!$T$3:$T$181,"&lt;="&amp;DATE(2025,11,30),'2025数据'!$B$3:$B$181,$E1493)/10000)</f>
        <v>0</v>
      </c>
      <c r="Q1493" s="217">
        <f ca="1">IF($S$1&lt;DATE(2025,12,1)," ",SUMIFS('2025数据'!$BI$3:$BI$181,'2025数据'!$T$3:$T$181,"&gt;="&amp;DATE(2025,12,1),'2025数据'!$T$3:$T$181,"&lt;="&amp;DATE(2025,12,31),'2025数据'!$B$3:$B$181,$E1493)/10000)</f>
        <v>0</v>
      </c>
    </row>
    <row r="1494" ht="24" customHeight="1" spans="1:17">
      <c r="A1494" s="99" t="s">
        <v>348</v>
      </c>
      <c r="B1494" s="99" t="s">
        <v>299</v>
      </c>
      <c r="C1494" s="99" t="s">
        <v>336</v>
      </c>
      <c r="D1494" s="47" t="s">
        <v>294</v>
      </c>
      <c r="E1494" s="47" t="s">
        <v>96</v>
      </c>
      <c r="F1494" s="51">
        <f ca="1">IF($S$1&lt;DATE(2025,1,1)," ",SUMIFS('2025数据'!$BI$3:$BI$181,'2025数据'!$T$3:$T$181,"&gt;="&amp;DATE(2025,1,1),'2025数据'!$T$3:$T$181,"&lt;="&amp;DATE(2025,1,31),'2025数据'!$B$3:$B$181,$E1494)/10000)</f>
        <v>0.0961</v>
      </c>
      <c r="G1494" s="51">
        <f ca="1">IF($S$1&lt;DATE(2025,2,1)," ",SUMIFS('2025数据'!$BI$3:$BI$181,'2025数据'!$T$3:$T$181,"&gt;="&amp;DATE(2025,2,1),'2025数据'!$T$3:$T$181,"&lt;="&amp;DATE(2025,2,28),'2025数据'!$B$3:$B$181,$E1494)/10000)</f>
        <v>0</v>
      </c>
      <c r="H1494" s="51">
        <f ca="1">IF($S$1&lt;DATE(2025,3,1)," ",SUMIFS('2025数据'!$BI$3:$BI$181,'2025数据'!$T$3:$T$181,"&gt;="&amp;DATE(2025,3,1),'2025数据'!$T$3:$T$181,"&lt;="&amp;DATE(2025,3,31),'2025数据'!$B$3:$B$181,$E1494)/10000)</f>
        <v>0</v>
      </c>
      <c r="I1494" s="51">
        <f ca="1">IF($S$1&lt;DATE(2025,4,1)," ",SUMIFS('2025数据'!$BI$3:$BI$181,'2025数据'!$T$3:$T$181,"&gt;="&amp;DATE(2025,4,1),'2025数据'!$T$3:$T$181,"&lt;="&amp;DATE(2025,4,30),'2025数据'!$B$3:$B$181,$E1494)/10000)</f>
        <v>0.29998</v>
      </c>
      <c r="J1494" s="51">
        <f ca="1">IF($S$1&lt;DATE(2025,5,1)," ",SUMIFS('2025数据'!$BI$3:$BI$181,'2025数据'!$T$3:$T$181,"&gt;="&amp;DATE(2025,5,1),'2025数据'!$T$3:$T$181,"&lt;="&amp;DATE(2025,5,31),'2025数据'!$B$3:$B$181,$E1494)/10000)</f>
        <v>0</v>
      </c>
      <c r="K1494" s="51">
        <f ca="1">IF($S$1&lt;DATE(2025,6,1)," ",SUMIFS('2025数据'!$BI$3:$BI$181,'2025数据'!$T$3:$T$181,"&gt;="&amp;DATE(2025,6,1),'2025数据'!$T$3:$T$181,"&lt;="&amp;DATE(2025,6,30),'2025数据'!$B$3:$B$181,$E1494)/10000)</f>
        <v>0</v>
      </c>
      <c r="L1494" s="51">
        <f ca="1">IF($S$1&lt;DATE(2025,7,1)," ",SUMIFS('2025数据'!$BI$3:$BI$181,'2025数据'!$T$3:$T$181,"&gt;="&amp;DATE(2025,7,1),'2025数据'!$T$3:$T$181,"&lt;="&amp;DATE(2025,7,31),'2025数据'!$B$3:$B$181,$E1494)/10000)</f>
        <v>0.845678</v>
      </c>
      <c r="M1494" s="51">
        <f ca="1">IF($S$1&lt;DATE(2025,8,1)," ",SUMIFS('2025数据'!$BI$3:$BI$181,'2025数据'!$T$3:$T$181,"&gt;="&amp;DATE(2025,8,1),'2025数据'!$T$3:$T$181,"&lt;="&amp;DATE(2025,8,31),'2025数据'!$B$3:$B$181,$E1494)/10000)</f>
        <v>0</v>
      </c>
      <c r="N1494" s="51">
        <f ca="1">IF($S$1&lt;DATE(2025,9,1)," ",SUMIFS('2025数据'!$BI$3:$BI$181,'2025数据'!$T$3:$T$181,"&gt;="&amp;DATE(2025,9,1),'2025数据'!$T$3:$T$181,"&lt;="&amp;DATE(2025,9,30),'2025数据'!$B$3:$B$181,$E1494)/10000)</f>
        <v>0</v>
      </c>
      <c r="O1494" s="51">
        <f ca="1">IF($S$1&lt;DATE(2025,10,1)," ",SUMIFS('2025数据'!$BI$3:$BI$181,'2025数据'!$T$3:$T$181,"&gt;="&amp;DATE(2025,10,1),'2025数据'!$T$3:$T$181,"&lt;="&amp;DATE(2025,10,31),'2025数据'!$B$3:$B$181,$E1494)/10000)</f>
        <v>0</v>
      </c>
      <c r="P1494" s="217">
        <f ca="1">IF($S$1&lt;DATE(2025,11,1)," ",SUMIFS('2025数据'!$BI$3:$BI$181,'2025数据'!$T$3:$T$181,"&gt;="&amp;DATE(2025,11,1),'2025数据'!$T$3:$T$181,"&lt;="&amp;DATE(2025,11,30),'2025数据'!$B$3:$B$181,$E1494)/10000)</f>
        <v>0</v>
      </c>
      <c r="Q1494" s="217">
        <f ca="1">IF($S$1&lt;DATE(2025,12,1)," ",SUMIFS('2025数据'!$BI$3:$BI$181,'2025数据'!$T$3:$T$181,"&gt;="&amp;DATE(2025,12,1),'2025数据'!$T$3:$T$181,"&lt;="&amp;DATE(2025,12,31),'2025数据'!$B$3:$B$181,$E1494)/10000)</f>
        <v>0</v>
      </c>
    </row>
    <row r="1495" ht="24" customHeight="1" spans="1:17">
      <c r="A1495" s="99" t="s">
        <v>348</v>
      </c>
      <c r="B1495" s="99" t="s">
        <v>299</v>
      </c>
      <c r="C1495" s="99" t="s">
        <v>336</v>
      </c>
      <c r="D1495" s="47" t="s">
        <v>294</v>
      </c>
      <c r="E1495" s="47" t="s">
        <v>160</v>
      </c>
      <c r="F1495" s="51">
        <f ca="1">IF($S$1&lt;DATE(2025,1,1)," ",SUMIFS('2025数据'!$BI$3:$BI$181,'2025数据'!$T$3:$T$181,"&gt;="&amp;DATE(2025,1,1),'2025数据'!$T$3:$T$181,"&lt;="&amp;DATE(2025,1,31),'2025数据'!$B$3:$B$181,$E1495)/10000)</f>
        <v>0</v>
      </c>
      <c r="G1495" s="51">
        <f ca="1">IF($S$1&lt;DATE(2025,2,1)," ",SUMIFS('2025数据'!$BI$3:$BI$181,'2025数据'!$T$3:$T$181,"&gt;="&amp;DATE(2025,2,1),'2025数据'!$T$3:$T$181,"&lt;="&amp;DATE(2025,2,28),'2025数据'!$B$3:$B$181,$E1495)/10000)</f>
        <v>0</v>
      </c>
      <c r="H1495" s="51">
        <f ca="1">IF($S$1&lt;DATE(2025,3,1)," ",SUMIFS('2025数据'!$BI$3:$BI$181,'2025数据'!$T$3:$T$181,"&gt;="&amp;DATE(2025,3,1),'2025数据'!$T$3:$T$181,"&lt;="&amp;DATE(2025,3,31),'2025数据'!$B$3:$B$181,$E1495)/10000)</f>
        <v>0</v>
      </c>
      <c r="I1495" s="51">
        <f ca="1">IF($S$1&lt;DATE(2025,4,1)," ",SUMIFS('2025数据'!$BI$3:$BI$181,'2025数据'!$T$3:$T$181,"&gt;="&amp;DATE(2025,4,1),'2025数据'!$T$3:$T$181,"&lt;="&amp;DATE(2025,4,30),'2025数据'!$B$3:$B$181,$E1495)/10000)</f>
        <v>0</v>
      </c>
      <c r="J1495" s="51">
        <f ca="1">IF($S$1&lt;DATE(2025,5,1)," ",SUMIFS('2025数据'!$BI$3:$BI$181,'2025数据'!$T$3:$T$181,"&gt;="&amp;DATE(2025,5,1),'2025数据'!$T$3:$T$181,"&lt;="&amp;DATE(2025,5,31),'2025数据'!$B$3:$B$181,$E1495)/10000)</f>
        <v>0</v>
      </c>
      <c r="K1495" s="51">
        <f ca="1">IF($S$1&lt;DATE(2025,6,1)," ",SUMIFS('2025数据'!$BI$3:$BI$181,'2025数据'!$T$3:$T$181,"&gt;="&amp;DATE(2025,6,1),'2025数据'!$T$3:$T$181,"&lt;="&amp;DATE(2025,6,30),'2025数据'!$B$3:$B$181,$E1495)/10000)</f>
        <v>0</v>
      </c>
      <c r="L1495" s="51">
        <f ca="1">IF($S$1&lt;DATE(2025,7,1)," ",SUMIFS('2025数据'!$BI$3:$BI$181,'2025数据'!$T$3:$T$181,"&gt;="&amp;DATE(2025,7,1),'2025数据'!$T$3:$T$181,"&lt;="&amp;DATE(2025,7,31),'2025数据'!$B$3:$B$181,$E1495)/10000)</f>
        <v>0</v>
      </c>
      <c r="M1495" s="51">
        <f ca="1">IF($S$1&lt;DATE(2025,8,1)," ",SUMIFS('2025数据'!$BI$3:$BI$181,'2025数据'!$T$3:$T$181,"&gt;="&amp;DATE(2025,8,1),'2025数据'!$T$3:$T$181,"&lt;="&amp;DATE(2025,8,31),'2025数据'!$B$3:$B$181,$E1495)/10000)</f>
        <v>0.567057</v>
      </c>
      <c r="N1495" s="51">
        <f ca="1">IF($S$1&lt;DATE(2025,9,1)," ",SUMIFS('2025数据'!$BI$3:$BI$181,'2025数据'!$T$3:$T$181,"&gt;="&amp;DATE(2025,9,1),'2025数据'!$T$3:$T$181,"&lt;="&amp;DATE(2025,9,30),'2025数据'!$B$3:$B$181,$E1495)/10000)</f>
        <v>0</v>
      </c>
      <c r="O1495" s="51">
        <f ca="1">IF($S$1&lt;DATE(2025,10,1)," ",SUMIFS('2025数据'!$BI$3:$BI$181,'2025数据'!$T$3:$T$181,"&gt;="&amp;DATE(2025,10,1),'2025数据'!$T$3:$T$181,"&lt;="&amp;DATE(2025,10,31),'2025数据'!$B$3:$B$181,$E1495)/10000)</f>
        <v>0</v>
      </c>
      <c r="P1495" s="217">
        <f ca="1">IF($S$1&lt;DATE(2025,11,1)," ",SUMIFS('2025数据'!$BI$3:$BI$181,'2025数据'!$T$3:$T$181,"&gt;="&amp;DATE(2025,11,1),'2025数据'!$T$3:$T$181,"&lt;="&amp;DATE(2025,11,30),'2025数据'!$B$3:$B$181,$E1495)/10000)</f>
        <v>0</v>
      </c>
      <c r="Q1495" s="217">
        <f ca="1">IF($S$1&lt;DATE(2025,12,1)," ",SUMIFS('2025数据'!$BI$3:$BI$181,'2025数据'!$T$3:$T$181,"&gt;="&amp;DATE(2025,12,1),'2025数据'!$T$3:$T$181,"&lt;="&amp;DATE(2025,12,31),'2025数据'!$B$3:$B$181,$E1495)/10000)</f>
        <v>0</v>
      </c>
    </row>
    <row r="1496" ht="24" customHeight="1" spans="1:17">
      <c r="A1496" s="99" t="s">
        <v>348</v>
      </c>
      <c r="B1496" s="99" t="s">
        <v>299</v>
      </c>
      <c r="C1496" s="99" t="s">
        <v>333</v>
      </c>
      <c r="D1496" s="114" t="s">
        <v>292</v>
      </c>
      <c r="E1496" s="53" t="s">
        <v>337</v>
      </c>
      <c r="F1496" s="219">
        <f ca="1">IF($S$1&lt;DATE(2025,1,1)," ",SUMIFS('2025数据'!$BM$3:$BM$181,'2025数据'!$T$3:$T$181,"&gt;="&amp;DATE(2025,1,1),'2025数据'!$T$3:$T$181,"&lt;="&amp;DATE(2025,1,31),'2025数据'!$BL$3:$BL$181,$E37)/10000)</f>
        <v>0.102369</v>
      </c>
      <c r="G1496" s="219">
        <f ca="1">IF($S$1&lt;DATE(2025,2,1)," ",SUMIFS('2025数据'!$BM$3:$BM$181,'2025数据'!$T$3:$T$181,"&gt;="&amp;DATE(2025,2,1),'2025数据'!$T$3:$T$181,"&lt;="&amp;DATE(2025,2,28),'2025数据'!$BL$3:$BL$181,$E37)/10000)</f>
        <v>0.085059</v>
      </c>
      <c r="H1496" s="219">
        <f ca="1">IF($S$1&lt;DATE(2025,3,1)," ",SUMIFS('2025数据'!$BM$3:$BM$181,'2025数据'!$T$3:$T$181,"&gt;="&amp;DATE(2025,3,1),'2025数据'!$T$3:$T$181,"&lt;="&amp;DATE(2025,3,31),'2025数据'!$BL$3:$BL$181,$E37)/10000)</f>
        <v>0</v>
      </c>
      <c r="I1496" s="219">
        <f ca="1">IF($S$1&lt;DATE(2025,4,1)," ",SUMIFS('2025数据'!$BM$3:$BM$181,'2025数据'!$T$3:$T$181,"&gt;="&amp;DATE(2025,4,1),'2025数据'!$T$3:$T$181,"&lt;="&amp;DATE(2025,4,30),'2025数据'!$BL$3:$BL$181,$E37)/10000)</f>
        <v>0</v>
      </c>
      <c r="J1496" s="219">
        <f ca="1">IF($S$1&lt;DATE(2025,5,1)," ",SUMIFS('2025数据'!$BM$3:$BM$181,'2025数据'!$T$3:$T$181,"&gt;="&amp;DATE(2025,5,1),'2025数据'!$T$3:$T$181,"&lt;="&amp;DATE(2025,5,31),'2025数据'!$BL$3:$BL$181,$E37)/10000)</f>
        <v>0.10842</v>
      </c>
      <c r="K1496" s="219">
        <f ca="1">IF($S$1&lt;DATE(2025,6,1)," ",SUMIFS('2025数据'!$BM$3:$BM$181,'2025数据'!$T$3:$T$181,"&gt;="&amp;DATE(2025,6,1),'2025数据'!$T$3:$T$181,"&lt;="&amp;DATE(2025,6,30),'2025数据'!$BL$3:$BL$181,$E37)/10000)</f>
        <v>0.325424</v>
      </c>
      <c r="L1496" s="219">
        <f ca="1">IF($S$1&lt;DATE(2025,7,1)," ",SUMIFS('2025数据'!$BM$3:$BM$181,'2025数据'!$T$3:$T$181,"&gt;="&amp;DATE(2025,7,1),'2025数据'!$T$3:$T$181,"&lt;="&amp;DATE(2025,7,31),'2025数据'!$BL$3:$BL$181,$E37)/10000)</f>
        <v>0.0178470000000001</v>
      </c>
      <c r="M1496" s="219">
        <f ca="1">IF($S$1&lt;DATE(2025,8,1)," ",SUMIFS('2025数据'!$BM$3:$BM$181,'2025数据'!$T$3:$T$181,"&gt;="&amp;DATE(2025,8,1),'2025数据'!$T$3:$T$181,"&lt;="&amp;DATE(2025,8,31),'2025数据'!$BL$3:$BL$181,$E37)/10000)</f>
        <v>0.130188</v>
      </c>
      <c r="N1496" s="219">
        <f ca="1">IF($S$1&lt;DATE(2025,9,1)," ",SUMIFS('2025数据'!$BM$3:$BM$181,'2025数据'!$T$3:$T$181,"&gt;="&amp;DATE(2025,9,1),'2025数据'!$T$3:$T$181,"&lt;="&amp;DATE(2025,9,30),'2025数据'!$BL$3:$BL$181,$E37)/10000)</f>
        <v>0.161575</v>
      </c>
      <c r="O1496" s="219">
        <f ca="1">IF($S$1&lt;DATE(2025,10,1)," ",SUMIFS('2025数据'!$BM$3:$BM$181,'2025数据'!$T$3:$T$181,"&gt;="&amp;DATE(2025,10,1),'2025数据'!$T$3:$T$181,"&lt;="&amp;DATE(2025,10,31),'2025数据'!$BL$3:$BL$181,$E37)/10000)</f>
        <v>0.006678</v>
      </c>
      <c r="P1496" s="224">
        <f ca="1">IF($S$1&lt;DATE(2025,11,1)," ",SUMIFS('2025数据'!$BM$3:$BM$181,'2025数据'!$T$3:$T$181,"&gt;="&amp;DATE(2025,11,1),'2025数据'!$T$3:$T$181,"&lt;="&amp;DATE(2025,11,30),'2025数据'!$BL$3:$BL$181,$E37)/10000)</f>
        <v>0.0284690000000001</v>
      </c>
      <c r="Q1496" s="224">
        <f ca="1">IF($S$1&lt;DATE(2025,12,1)," ",SUMIFS('2025数据'!$BM$3:$BM$181,'2025数据'!$T$3:$T$181,"&gt;="&amp;DATE(2025,12,1),'2025数据'!$T$3:$T$181,"&lt;="&amp;DATE(2025,12,31),'2025数据'!$BL$3:$BL$181,$E37)/10000)</f>
        <v>0.0443229999999999</v>
      </c>
    </row>
    <row r="1497" ht="24" customHeight="1" spans="1:17">
      <c r="A1497" s="99" t="s">
        <v>348</v>
      </c>
      <c r="B1497" s="99" t="s">
        <v>299</v>
      </c>
      <c r="C1497" s="99" t="s">
        <v>333</v>
      </c>
      <c r="D1497" s="114" t="s">
        <v>292</v>
      </c>
      <c r="E1497" s="53" t="s">
        <v>338</v>
      </c>
      <c r="F1497" s="219">
        <f ca="1">IF($S$1&lt;DATE(2025,1,1)," ",SUMIFS('2025数据'!$BM$3:$BM$181,'2025数据'!$T$3:$T$181,"&gt;="&amp;DATE(2025,1,1),'2025数据'!$T$3:$T$181,"&lt;="&amp;DATE(2025,1,31),'2025数据'!$BL$3:$BL$181,$E38)/10000)</f>
        <v>0.0004</v>
      </c>
      <c r="G1497" s="219">
        <f ca="1">IF($S$1&lt;DATE(2025,2,1)," ",SUMIFS('2025数据'!$BM$3:$BM$181,'2025数据'!$T$3:$T$181,"&gt;="&amp;DATE(2025,2,1),'2025数据'!$T$3:$T$181,"&lt;="&amp;DATE(2025,2,28),'2025数据'!$BL$3:$BL$181,$E38)/10000)</f>
        <v>0.033737</v>
      </c>
      <c r="H1497" s="219">
        <f ca="1">IF($S$1&lt;DATE(2025,3,1)," ",SUMIFS('2025数据'!$BM$3:$BM$181,'2025数据'!$T$3:$T$181,"&gt;="&amp;DATE(2025,3,1),'2025数据'!$T$3:$T$181,"&lt;="&amp;DATE(2025,3,31),'2025数据'!$BL$3:$BL$181,$E38)/10000)</f>
        <v>0.0146529999999999</v>
      </c>
      <c r="I1497" s="219">
        <f ca="1">IF($S$1&lt;DATE(2025,4,1)," ",SUMIFS('2025数据'!$BM$3:$BM$181,'2025数据'!$T$3:$T$181,"&gt;="&amp;DATE(2025,4,1),'2025数据'!$T$3:$T$181,"&lt;="&amp;DATE(2025,4,30),'2025数据'!$BL$3:$BL$181,$E38)/10000)</f>
        <v>0.0150879999999997</v>
      </c>
      <c r="J1497" s="219">
        <f ca="1">IF($S$1&lt;DATE(2025,5,1)," ",SUMIFS('2025数据'!$BM$3:$BM$181,'2025数据'!$T$3:$T$181,"&gt;="&amp;DATE(2025,5,1),'2025数据'!$T$3:$T$181,"&lt;="&amp;DATE(2025,5,31),'2025数据'!$BL$3:$BL$181,$E38)/10000)</f>
        <v>0.02881</v>
      </c>
      <c r="K1497" s="219">
        <f ca="1">IF($S$1&lt;DATE(2025,6,1)," ",SUMIFS('2025数据'!$BM$3:$BM$181,'2025数据'!$T$3:$T$181,"&gt;="&amp;DATE(2025,6,1),'2025数据'!$T$3:$T$181,"&lt;="&amp;DATE(2025,6,30),'2025数据'!$BL$3:$BL$181,$E38)/10000)</f>
        <v>0.128292999999999</v>
      </c>
      <c r="L1497" s="219">
        <f ca="1">IF($S$1&lt;DATE(2025,7,1)," ",SUMIFS('2025数据'!$BM$3:$BM$181,'2025数据'!$T$3:$T$181,"&gt;="&amp;DATE(2025,7,1),'2025数据'!$T$3:$T$181,"&lt;="&amp;DATE(2025,7,31),'2025数据'!$BL$3:$BL$181,$E38)/10000)</f>
        <v>0.01792</v>
      </c>
      <c r="M1497" s="219">
        <f ca="1">IF($S$1&lt;DATE(2025,8,1)," ",SUMIFS('2025数据'!$BM$3:$BM$181,'2025数据'!$T$3:$T$181,"&gt;="&amp;DATE(2025,8,1),'2025数据'!$T$3:$T$181,"&lt;="&amp;DATE(2025,8,31),'2025数据'!$BL$3:$BL$181,$E38)/10000)</f>
        <v>0.0103080000000001</v>
      </c>
      <c r="N1497" s="219">
        <f ca="1">IF($S$1&lt;DATE(2025,9,1)," ",SUMIFS('2025数据'!$BM$3:$BM$181,'2025数据'!$T$3:$T$181,"&gt;="&amp;DATE(2025,9,1),'2025数据'!$T$3:$T$181,"&lt;="&amp;DATE(2025,9,30),'2025数据'!$BL$3:$BL$181,$E38)/10000)</f>
        <v>0.104057</v>
      </c>
      <c r="O1497" s="219">
        <f ca="1">IF($S$1&lt;DATE(2025,10,1)," ",SUMIFS('2025数据'!$BM$3:$BM$181,'2025数据'!$T$3:$T$181,"&gt;="&amp;DATE(2025,10,1),'2025数据'!$T$3:$T$181,"&lt;="&amp;DATE(2025,10,31),'2025数据'!$BL$3:$BL$181,$E38)/10000)</f>
        <v>0.037835</v>
      </c>
      <c r="P1497" s="224">
        <f ca="1">IF($S$1&lt;DATE(2025,11,1)," ",SUMIFS('2025数据'!$BM$3:$BM$181,'2025数据'!$T$3:$T$181,"&gt;="&amp;DATE(2025,11,1),'2025数据'!$T$3:$T$181,"&lt;="&amp;DATE(2025,11,30),'2025数据'!$BL$3:$BL$181,$E38)/10000)</f>
        <v>0</v>
      </c>
      <c r="Q1497" s="224">
        <f ca="1">IF($S$1&lt;DATE(2025,12,1)," ",SUMIFS('2025数据'!$BM$3:$BM$181,'2025数据'!$T$3:$T$181,"&gt;="&amp;DATE(2025,12,1),'2025数据'!$T$3:$T$181,"&lt;="&amp;DATE(2025,12,31),'2025数据'!$BL$3:$BL$181,$E38)/10000)</f>
        <v>0.077664</v>
      </c>
    </row>
    <row r="1498" ht="24" customHeight="1" spans="1:17">
      <c r="A1498" s="99" t="s">
        <v>348</v>
      </c>
      <c r="B1498" s="99" t="s">
        <v>299</v>
      </c>
      <c r="C1498" s="99" t="s">
        <v>333</v>
      </c>
      <c r="D1498" s="114" t="s">
        <v>292</v>
      </c>
      <c r="E1498" s="53" t="s">
        <v>339</v>
      </c>
      <c r="F1498" s="219">
        <f ca="1">IF($S$1&lt;DATE(2025,1,1)," ",SUMIFS('2025数据'!$BM$3:$BM$181,'2025数据'!$T$3:$T$181,"&gt;="&amp;DATE(2025,1,1),'2025数据'!$T$3:$T$181,"&lt;="&amp;DATE(2025,1,31),'2025数据'!$BL$3:$BL$181,$E39)/10000)</f>
        <v>0</v>
      </c>
      <c r="G1498" s="219">
        <f ca="1">IF($S$1&lt;DATE(2025,2,1)," ",SUMIFS('2025数据'!$BM$3:$BM$181,'2025数据'!$T$3:$T$181,"&gt;="&amp;DATE(2025,2,1),'2025数据'!$T$3:$T$181,"&lt;="&amp;DATE(2025,2,28),'2025数据'!$BL$3:$BL$181,$E39)/10000)</f>
        <v>0</v>
      </c>
      <c r="H1498" s="219">
        <f ca="1">IF($S$1&lt;DATE(2025,3,1)," ",SUMIFS('2025数据'!$BM$3:$BM$181,'2025数据'!$T$3:$T$181,"&gt;="&amp;DATE(2025,3,1),'2025数据'!$T$3:$T$181,"&lt;="&amp;DATE(2025,3,31),'2025数据'!$BL$3:$BL$181,$E39)/10000)</f>
        <v>0</v>
      </c>
      <c r="I1498" s="219">
        <f ca="1">IF($S$1&lt;DATE(2025,4,1)," ",SUMIFS('2025数据'!$BM$3:$BM$181,'2025数据'!$T$3:$T$181,"&gt;="&amp;DATE(2025,4,1),'2025数据'!$T$3:$T$181,"&lt;="&amp;DATE(2025,4,30),'2025数据'!$BL$3:$BL$181,$E39)/10000)</f>
        <v>0</v>
      </c>
      <c r="J1498" s="219">
        <f ca="1">IF($S$1&lt;DATE(2025,5,1)," ",SUMIFS('2025数据'!$BM$3:$BM$181,'2025数据'!$T$3:$T$181,"&gt;="&amp;DATE(2025,5,1),'2025数据'!$T$3:$T$181,"&lt;="&amp;DATE(2025,5,31),'2025数据'!$BL$3:$BL$181,$E39)/10000)</f>
        <v>0</v>
      </c>
      <c r="K1498" s="219">
        <f ca="1">IF($S$1&lt;DATE(2025,6,1)," ",SUMIFS('2025数据'!$BM$3:$BM$181,'2025数据'!$T$3:$T$181,"&gt;="&amp;DATE(2025,6,1),'2025数据'!$T$3:$T$181,"&lt;="&amp;DATE(2025,6,30),'2025数据'!$BL$3:$BL$181,$E39)/10000)</f>
        <v>0</v>
      </c>
      <c r="L1498" s="219">
        <f ca="1">IF($S$1&lt;DATE(2025,7,1)," ",SUMIFS('2025数据'!$BM$3:$BM$181,'2025数据'!$T$3:$T$181,"&gt;="&amp;DATE(2025,7,1),'2025数据'!$T$3:$T$181,"&lt;="&amp;DATE(2025,7,31),'2025数据'!$BL$3:$BL$181,$E39)/10000)</f>
        <v>0</v>
      </c>
      <c r="M1498" s="219">
        <f ca="1">IF($S$1&lt;DATE(2025,8,1)," ",SUMIFS('2025数据'!$BM$3:$BM$181,'2025数据'!$T$3:$T$181,"&gt;="&amp;DATE(2025,8,1),'2025数据'!$T$3:$T$181,"&lt;="&amp;DATE(2025,8,31),'2025数据'!$BL$3:$BL$181,$E39)/10000)</f>
        <v>0</v>
      </c>
      <c r="N1498" s="219">
        <f ca="1">IF($S$1&lt;DATE(2025,9,1)," ",SUMIFS('2025数据'!$BM$3:$BM$181,'2025数据'!$T$3:$T$181,"&gt;="&amp;DATE(2025,9,1),'2025数据'!$T$3:$T$181,"&lt;="&amp;DATE(2025,9,30),'2025数据'!$BL$3:$BL$181,$E39)/10000)</f>
        <v>0</v>
      </c>
      <c r="O1498" s="219">
        <f ca="1">IF($S$1&lt;DATE(2025,10,1)," ",SUMIFS('2025数据'!$BM$3:$BM$181,'2025数据'!$T$3:$T$181,"&gt;="&amp;DATE(2025,10,1),'2025数据'!$T$3:$T$181,"&lt;="&amp;DATE(2025,10,31),'2025数据'!$BL$3:$BL$181,$E39)/10000)</f>
        <v>0</v>
      </c>
      <c r="P1498" s="224">
        <f ca="1">IF($S$1&lt;DATE(2025,11,1)," ",SUMIFS('2025数据'!$BM$3:$BM$181,'2025数据'!$T$3:$T$181,"&gt;="&amp;DATE(2025,11,1),'2025数据'!$T$3:$T$181,"&lt;="&amp;DATE(2025,11,30),'2025数据'!$BL$3:$BL$181,$E39)/10000)</f>
        <v>0</v>
      </c>
      <c r="Q1498" s="224">
        <f ca="1">IF($S$1&lt;DATE(2025,12,1)," ",SUMIFS('2025数据'!$BM$3:$BM$181,'2025数据'!$T$3:$T$181,"&gt;="&amp;DATE(2025,12,1),'2025数据'!$T$3:$T$181,"&lt;="&amp;DATE(2025,12,31),'2025数据'!$BL$3:$BL$181,$E39)/10000)</f>
        <v>0</v>
      </c>
    </row>
    <row r="1499" ht="24" customHeight="1" spans="1:17">
      <c r="A1499" s="99" t="s">
        <v>348</v>
      </c>
      <c r="B1499" s="99" t="s">
        <v>299</v>
      </c>
      <c r="C1499" s="99" t="s">
        <v>333</v>
      </c>
      <c r="D1499" s="53" t="s">
        <v>303</v>
      </c>
      <c r="E1499" s="53" t="s">
        <v>93</v>
      </c>
      <c r="F1499" s="219">
        <f ca="1">IF($S$1&lt;DATE(2025,1,1)," ",SUMIFS('2025数据'!$BM$3:$BM$181,'2025数据'!$T$3:$T$181,"&gt;="&amp;DATE(2025,1,1),'2025数据'!$T$3:$T$181,"&lt;="&amp;DATE(2025,1,31),'2025数据'!$BL$3:$BL$181,$E$37,'2025数据'!$B$3:$B$181,E1499)/10000)</f>
        <v>0</v>
      </c>
      <c r="G1499" s="219">
        <f ca="1">IF($S$1&lt;DATE(2025,2,1)," ",SUMIFS('2025数据'!$BM$3:$BM$181,'2025数据'!$T$3:$T$181,"&gt;="&amp;DATE(2025,2,1),'2025数据'!$T$3:$T$181,"&lt;="&amp;DATE(2025,2,28),'2025数据'!$BL$3:$BL$181,$E$37,'2025数据'!$B$3:$B$181,E1499)/10000)</f>
        <v>0.085059</v>
      </c>
      <c r="H1499" s="219">
        <f ca="1">IF($S$1&lt;DATE(2025,3,1)," ",SUMIFS('2025数据'!$BM$3:$BM$181,'2025数据'!$T$3:$T$181,"&gt;="&amp;DATE(2025,3,1),'2025数据'!$T$3:$T$181,"&lt;="&amp;DATE(2025,3,31),'2025数据'!$BL$3:$BL$181,$E$37,'2025数据'!$B$3:$B$181,E1499)/10000)</f>
        <v>0</v>
      </c>
      <c r="I1499" s="219">
        <f ca="1">IF($S$1&lt;DATE(2025,4,1)," ",SUMIFS('2025数据'!$BM$3:$BM$181,'2025数据'!$T$3:$T$181,"&gt;="&amp;DATE(2025,4,1),'2025数据'!$T$3:$T$181,"&lt;="&amp;DATE(2025,4,30),'2025数据'!$BL$3:$BL$181,$E$37,'2025数据'!$B$3:$B$181,E1499)/10000)</f>
        <v>0</v>
      </c>
      <c r="J1499" s="219">
        <f ca="1">IF($S$1&lt;DATE(2025,5,1)," ",SUMIFS('2025数据'!$BM$3:$BM$181,'2025数据'!$T$3:$T$181,"&gt;="&amp;DATE(2025,5,1),'2025数据'!$T$3:$T$181,"&lt;="&amp;DATE(2025,5,31),'2025数据'!$BL$3:$BL$181,$E$37,'2025数据'!$B$3:$B$181,E1499)/10000)</f>
        <v>0.097313</v>
      </c>
      <c r="K1499" s="219">
        <f ca="1">IF($S$1&lt;DATE(2025,6,1)," ",SUMIFS('2025数据'!$BM$3:$BM$181,'2025数据'!$T$3:$T$181,"&gt;="&amp;DATE(2025,6,1),'2025数据'!$T$3:$T$181,"&lt;="&amp;DATE(2025,6,30),'2025数据'!$BL$3:$BL$181,$E$37,'2025数据'!$B$3:$B$181,E1499)/10000)</f>
        <v>0.325424</v>
      </c>
      <c r="L1499" s="219">
        <f ca="1">IF($S$1&lt;DATE(2025,7,1)," ",SUMIFS('2025数据'!$BM$3:$BM$181,'2025数据'!$T$3:$T$181,"&gt;="&amp;DATE(2025,7,1),'2025数据'!$T$3:$T$181,"&lt;="&amp;DATE(2025,7,31),'2025数据'!$BL$3:$BL$181,$E$37,'2025数据'!$B$3:$B$181,E1499)/10000)</f>
        <v>0</v>
      </c>
      <c r="M1499" s="219">
        <f ca="1">IF($S$1&lt;DATE(2025,8,1)," ",SUMIFS('2025数据'!$BM$3:$BM$181,'2025数据'!$T$3:$T$181,"&gt;="&amp;DATE(2025,8,1),'2025数据'!$T$3:$T$181,"&lt;="&amp;DATE(2025,8,31),'2025数据'!$BL$3:$BL$181,$E$37,'2025数据'!$B$3:$B$181,E1499)/10000)</f>
        <v>0.037267</v>
      </c>
      <c r="N1499" s="219">
        <f ca="1">IF($S$1&lt;DATE(2025,9,1)," ",SUMIFS('2025数据'!$BM$3:$BM$181,'2025数据'!$T$3:$T$181,"&gt;="&amp;DATE(2025,9,1),'2025数据'!$T$3:$T$181,"&lt;="&amp;DATE(2025,9,30),'2025数据'!$BL$3:$BL$181,$E$37,'2025数据'!$B$3:$B$181,E1499)/10000)</f>
        <v>0.161575</v>
      </c>
      <c r="O1499" s="219">
        <f ca="1">IF($S$1&lt;DATE(2025,10,1)," ",SUMIFS('2025数据'!$BM$3:$BM$181,'2025数据'!$T$3:$T$181,"&gt;="&amp;DATE(2025,10,1),'2025数据'!$T$3:$T$181,"&lt;="&amp;DATE(2025,10,31),'2025数据'!$BL$3:$BL$181,$E$37,'2025数据'!$B$3:$B$181,E1499)/10000)</f>
        <v>0</v>
      </c>
      <c r="P1499" s="224">
        <f ca="1">IF($S$1&lt;DATE(2025,11,1)," ",SUMIFS('2025数据'!$BM$3:$BM$181,'2025数据'!$T$3:$T$181,"&gt;="&amp;DATE(2025,11,1),'2025数据'!$T$3:$T$181,"&lt;="&amp;DATE(2025,11,30),'2025数据'!$BL$3:$BL$181,$E$37,'2025数据'!$B$3:$B$181,E1499)/10000)</f>
        <v>0</v>
      </c>
      <c r="Q1499" s="224">
        <f ca="1">IF($S$1&lt;DATE(2025,12,1)," ",SUMIFS('2025数据'!$BM$3:$BM$181,'2025数据'!$T$3:$T$181,"&gt;="&amp;DATE(2025,12,1),'2025数据'!$T$3:$T$181,"&lt;="&amp;DATE(2025,12,31),'2025数据'!$BL$3:$BL$181,$E$37,'2025数据'!$B$3:$B$181,E1499)/10000)</f>
        <v>0</v>
      </c>
    </row>
    <row r="1500" ht="24" customHeight="1" spans="1:17">
      <c r="A1500" s="99" t="s">
        <v>348</v>
      </c>
      <c r="B1500" s="99" t="s">
        <v>299</v>
      </c>
      <c r="C1500" s="99" t="s">
        <v>333</v>
      </c>
      <c r="D1500" s="53" t="s">
        <v>303</v>
      </c>
      <c r="E1500" s="53" t="s">
        <v>85</v>
      </c>
      <c r="F1500" s="219">
        <f ca="1">IF($S$1&lt;DATE(2025,1,1)," ",SUMIFS('2025数据'!$BM$3:$BM$181,'2025数据'!$T$3:$T$181,"&gt;="&amp;DATE(2025,1,1),'2025数据'!$T$3:$T$181,"&lt;="&amp;DATE(2025,1,31),'2025数据'!$BL$3:$BL$181,$E$37,'2025数据'!$B$3:$B$181,E1500)/10000)</f>
        <v>0.022391</v>
      </c>
      <c r="G1500" s="219">
        <f ca="1">IF($S$1&lt;DATE(2025,2,1)," ",SUMIFS('2025数据'!$BM$3:$BM$181,'2025数据'!$T$3:$T$181,"&gt;="&amp;DATE(2025,2,1),'2025数据'!$T$3:$T$181,"&lt;="&amp;DATE(2025,2,28),'2025数据'!$BL$3:$BL$181,$E$37,'2025数据'!$B$3:$B$181,E1500)/10000)</f>
        <v>0</v>
      </c>
      <c r="H1500" s="219">
        <f ca="1">IF($S$1&lt;DATE(2025,3,1)," ",SUMIFS('2025数据'!$BM$3:$BM$181,'2025数据'!$T$3:$T$181,"&gt;="&amp;DATE(2025,3,1),'2025数据'!$T$3:$T$181,"&lt;="&amp;DATE(2025,3,31),'2025数据'!$BL$3:$BL$181,$E$37,'2025数据'!$B$3:$B$181,E1500)/10000)</f>
        <v>0</v>
      </c>
      <c r="I1500" s="219">
        <f ca="1">IF($S$1&lt;DATE(2025,4,1)," ",SUMIFS('2025数据'!$BM$3:$BM$181,'2025数据'!$T$3:$T$181,"&gt;="&amp;DATE(2025,4,1),'2025数据'!$T$3:$T$181,"&lt;="&amp;DATE(2025,4,30),'2025数据'!$BL$3:$BL$181,$E$37,'2025数据'!$B$3:$B$181,E1500)/10000)</f>
        <v>0</v>
      </c>
      <c r="J1500" s="219">
        <f ca="1">IF($S$1&lt;DATE(2025,5,1)," ",SUMIFS('2025数据'!$BM$3:$BM$181,'2025数据'!$T$3:$T$181,"&gt;="&amp;DATE(2025,5,1),'2025数据'!$T$3:$T$181,"&lt;="&amp;DATE(2025,5,31),'2025数据'!$BL$3:$BL$181,$E$37,'2025数据'!$B$3:$B$181,E1500)/10000)</f>
        <v>0.0111070000000001</v>
      </c>
      <c r="K1500" s="219">
        <f ca="1">IF($S$1&lt;DATE(2025,6,1)," ",SUMIFS('2025数据'!$BM$3:$BM$181,'2025数据'!$T$3:$T$181,"&gt;="&amp;DATE(2025,6,1),'2025数据'!$T$3:$T$181,"&lt;="&amp;DATE(2025,6,30),'2025数据'!$BL$3:$BL$181,$E$37,'2025数据'!$B$3:$B$181,E1500)/10000)</f>
        <v>0</v>
      </c>
      <c r="L1500" s="219">
        <f ca="1">IF($S$1&lt;DATE(2025,7,1)," ",SUMIFS('2025数据'!$BM$3:$BM$181,'2025数据'!$T$3:$T$181,"&gt;="&amp;DATE(2025,7,1),'2025数据'!$T$3:$T$181,"&lt;="&amp;DATE(2025,7,31),'2025数据'!$BL$3:$BL$181,$E$37,'2025数据'!$B$3:$B$181,E1500)/10000)</f>
        <v>0</v>
      </c>
      <c r="M1500" s="219">
        <f ca="1">IF($S$1&lt;DATE(2025,8,1)," ",SUMIFS('2025数据'!$BM$3:$BM$181,'2025数据'!$T$3:$T$181,"&gt;="&amp;DATE(2025,8,1),'2025数据'!$T$3:$T$181,"&lt;="&amp;DATE(2025,8,31),'2025数据'!$BL$3:$BL$181,$E$37,'2025数据'!$B$3:$B$181,E1500)/10000)</f>
        <v>0.0595040000000001</v>
      </c>
      <c r="N1500" s="219">
        <f ca="1">IF($S$1&lt;DATE(2025,9,1)," ",SUMIFS('2025数据'!$BM$3:$BM$181,'2025数据'!$T$3:$T$181,"&gt;="&amp;DATE(2025,9,1),'2025数据'!$T$3:$T$181,"&lt;="&amp;DATE(2025,9,30),'2025数据'!$BL$3:$BL$181,$E$37,'2025数据'!$B$3:$B$181,E1500)/10000)</f>
        <v>0</v>
      </c>
      <c r="O1500" s="219">
        <f ca="1">IF($S$1&lt;DATE(2025,10,1)," ",SUMIFS('2025数据'!$BM$3:$BM$181,'2025数据'!$T$3:$T$181,"&gt;="&amp;DATE(2025,10,1),'2025数据'!$T$3:$T$181,"&lt;="&amp;DATE(2025,10,31),'2025数据'!$BL$3:$BL$181,$E$37,'2025数据'!$B$3:$B$181,E1500)/10000)</f>
        <v>0.002328</v>
      </c>
      <c r="P1500" s="224">
        <f ca="1">IF($S$1&lt;DATE(2025,11,1)," ",SUMIFS('2025数据'!$BM$3:$BM$181,'2025数据'!$T$3:$T$181,"&gt;="&amp;DATE(2025,11,1),'2025数据'!$T$3:$T$181,"&lt;="&amp;DATE(2025,11,30),'2025数据'!$BL$3:$BL$181,$E$37,'2025数据'!$B$3:$B$181,E1500)/10000)</f>
        <v>0.0284690000000001</v>
      </c>
      <c r="Q1500" s="224">
        <f ca="1">IF($S$1&lt;DATE(2025,12,1)," ",SUMIFS('2025数据'!$BM$3:$BM$181,'2025数据'!$T$3:$T$181,"&gt;="&amp;DATE(2025,12,1),'2025数据'!$T$3:$T$181,"&lt;="&amp;DATE(2025,12,31),'2025数据'!$BL$3:$BL$181,$E$37,'2025数据'!$B$3:$B$181,E1500)/10000)</f>
        <v>0.0443229999999999</v>
      </c>
    </row>
    <row r="1501" ht="24" customHeight="1" spans="1:17">
      <c r="A1501" s="99" t="s">
        <v>348</v>
      </c>
      <c r="B1501" s="99" t="s">
        <v>299</v>
      </c>
      <c r="C1501" s="99" t="s">
        <v>333</v>
      </c>
      <c r="D1501" s="53" t="s">
        <v>303</v>
      </c>
      <c r="E1501" s="53" t="s">
        <v>81</v>
      </c>
      <c r="F1501" s="219">
        <f ca="1">IF($S$1&lt;DATE(2025,1,1)," ",SUMIFS('2025数据'!$BM$3:$BM$181,'2025数据'!$T$3:$T$181,"&gt;="&amp;DATE(2025,1,1),'2025数据'!$T$3:$T$181,"&lt;="&amp;DATE(2025,1,31),'2025数据'!$BL$3:$BL$181,$E$37,'2025数据'!$B$3:$B$181,E1501)/10000)</f>
        <v>0.079978</v>
      </c>
      <c r="G1501" s="219">
        <f ca="1">IF($S$1&lt;DATE(2025,2,1)," ",SUMIFS('2025数据'!$BM$3:$BM$181,'2025数据'!$T$3:$T$181,"&gt;="&amp;DATE(2025,2,1),'2025数据'!$T$3:$T$181,"&lt;="&amp;DATE(2025,2,28),'2025数据'!$BL$3:$BL$181,$E$37,'2025数据'!$B$3:$B$181,E1501)/10000)</f>
        <v>0</v>
      </c>
      <c r="H1501" s="219">
        <f ca="1">IF($S$1&lt;DATE(2025,3,1)," ",SUMIFS('2025数据'!$BM$3:$BM$181,'2025数据'!$T$3:$T$181,"&gt;="&amp;DATE(2025,3,1),'2025数据'!$T$3:$T$181,"&lt;="&amp;DATE(2025,3,31),'2025数据'!$BL$3:$BL$181,$E$37,'2025数据'!$B$3:$B$181,E1501)/10000)</f>
        <v>0</v>
      </c>
      <c r="I1501" s="219">
        <f ca="1">IF($S$1&lt;DATE(2025,4,1)," ",SUMIFS('2025数据'!$BM$3:$BM$181,'2025数据'!$T$3:$T$181,"&gt;="&amp;DATE(2025,4,1),'2025数据'!$T$3:$T$181,"&lt;="&amp;DATE(2025,4,30),'2025数据'!$BL$3:$BL$181,$E$37,'2025数据'!$B$3:$B$181,E1501)/10000)</f>
        <v>0</v>
      </c>
      <c r="J1501" s="219">
        <f ca="1">IF($S$1&lt;DATE(2025,5,1)," ",SUMIFS('2025数据'!$BM$3:$BM$181,'2025数据'!$T$3:$T$181,"&gt;="&amp;DATE(2025,5,1),'2025数据'!$T$3:$T$181,"&lt;="&amp;DATE(2025,5,31),'2025数据'!$BL$3:$BL$181,$E$37,'2025数据'!$B$3:$B$181,E1501)/10000)</f>
        <v>0</v>
      </c>
      <c r="K1501" s="219">
        <f ca="1">IF($S$1&lt;DATE(2025,6,1)," ",SUMIFS('2025数据'!$BM$3:$BM$181,'2025数据'!$T$3:$T$181,"&gt;="&amp;DATE(2025,6,1),'2025数据'!$T$3:$T$181,"&lt;="&amp;DATE(2025,6,30),'2025数据'!$BL$3:$BL$181,$E$37,'2025数据'!$B$3:$B$181,E1501)/10000)</f>
        <v>0</v>
      </c>
      <c r="L1501" s="219">
        <f ca="1">IF($S$1&lt;DATE(2025,7,1)," ",SUMIFS('2025数据'!$BM$3:$BM$181,'2025数据'!$T$3:$T$181,"&gt;="&amp;DATE(2025,7,1),'2025数据'!$T$3:$T$181,"&lt;="&amp;DATE(2025,7,31),'2025数据'!$BL$3:$BL$181,$E$37,'2025数据'!$B$3:$B$181,E1501)/10000)</f>
        <v>0.0178470000000001</v>
      </c>
      <c r="M1501" s="219">
        <f ca="1">IF($S$1&lt;DATE(2025,8,1)," ",SUMIFS('2025数据'!$BM$3:$BM$181,'2025数据'!$T$3:$T$181,"&gt;="&amp;DATE(2025,8,1),'2025数据'!$T$3:$T$181,"&lt;="&amp;DATE(2025,8,31),'2025数据'!$BL$3:$BL$181,$E$37,'2025数据'!$B$3:$B$181,E1501)/10000)</f>
        <v>0.000936000000000058</v>
      </c>
      <c r="N1501" s="219">
        <f ca="1">IF($S$1&lt;DATE(2025,9,1)," ",SUMIFS('2025数据'!$BM$3:$BM$181,'2025数据'!$T$3:$T$181,"&gt;="&amp;DATE(2025,9,1),'2025数据'!$T$3:$T$181,"&lt;="&amp;DATE(2025,9,30),'2025数据'!$BL$3:$BL$181,$E$37,'2025数据'!$B$3:$B$181,E1501)/10000)</f>
        <v>0</v>
      </c>
      <c r="O1501" s="219">
        <f ca="1">IF($S$1&lt;DATE(2025,10,1)," ",SUMIFS('2025数据'!$BM$3:$BM$181,'2025数据'!$T$3:$T$181,"&gt;="&amp;DATE(2025,10,1),'2025数据'!$T$3:$T$181,"&lt;="&amp;DATE(2025,10,31),'2025数据'!$BL$3:$BL$181,$E$37,'2025数据'!$B$3:$B$181,E1501)/10000)</f>
        <v>0.00435</v>
      </c>
      <c r="P1501" s="224">
        <f ca="1">IF($S$1&lt;DATE(2025,11,1)," ",SUMIFS('2025数据'!$BM$3:$BM$181,'2025数据'!$T$3:$T$181,"&gt;="&amp;DATE(2025,11,1),'2025数据'!$T$3:$T$181,"&lt;="&amp;DATE(2025,11,30),'2025数据'!$BL$3:$BL$181,$E$37,'2025数据'!$B$3:$B$181,E1501)/10000)</f>
        <v>0</v>
      </c>
      <c r="Q1501" s="224">
        <f ca="1">IF($S$1&lt;DATE(2025,12,1)," ",SUMIFS('2025数据'!$BM$3:$BM$181,'2025数据'!$T$3:$T$181,"&gt;="&amp;DATE(2025,12,1),'2025数据'!$T$3:$T$181,"&lt;="&amp;DATE(2025,12,31),'2025数据'!$BL$3:$BL$181,$E$37,'2025数据'!$B$3:$B$181,E1501)/10000)</f>
        <v>0</v>
      </c>
    </row>
    <row r="1502" ht="24" customHeight="1" spans="1:17">
      <c r="A1502" s="99" t="s">
        <v>348</v>
      </c>
      <c r="B1502" s="99" t="s">
        <v>299</v>
      </c>
      <c r="C1502" s="99" t="s">
        <v>333</v>
      </c>
      <c r="D1502" s="53" t="s">
        <v>303</v>
      </c>
      <c r="E1502" s="53" t="s">
        <v>96</v>
      </c>
      <c r="F1502" s="219">
        <f ca="1">IF($S$1&lt;DATE(2025,1,1)," ",SUMIFS('2025数据'!$BM$3:$BM$181,'2025数据'!$T$3:$T$181,"&gt;="&amp;DATE(2025,1,1),'2025数据'!$T$3:$T$181,"&lt;="&amp;DATE(2025,1,31),'2025数据'!$BL$3:$BL$181,$E$37,'2025数据'!$B$3:$B$181,E1502)/10000)</f>
        <v>0</v>
      </c>
      <c r="G1502" s="219">
        <f ca="1">IF($S$1&lt;DATE(2025,2,1)," ",SUMIFS('2025数据'!$BM$3:$BM$181,'2025数据'!$T$3:$T$181,"&gt;="&amp;DATE(2025,2,1),'2025数据'!$T$3:$T$181,"&lt;="&amp;DATE(2025,2,28),'2025数据'!$BL$3:$BL$181,$E$37,'2025数据'!$B$3:$B$181,E1502)/10000)</f>
        <v>0</v>
      </c>
      <c r="H1502" s="219">
        <f ca="1">IF($S$1&lt;DATE(2025,3,1)," ",SUMIFS('2025数据'!$BM$3:$BM$181,'2025数据'!$T$3:$T$181,"&gt;="&amp;DATE(2025,3,1),'2025数据'!$T$3:$T$181,"&lt;="&amp;DATE(2025,3,31),'2025数据'!$BL$3:$BL$181,$E$37,'2025数据'!$B$3:$B$181,E1502)/10000)</f>
        <v>0</v>
      </c>
      <c r="I1502" s="219">
        <f ca="1">IF($S$1&lt;DATE(2025,4,1)," ",SUMIFS('2025数据'!$BM$3:$BM$181,'2025数据'!$T$3:$T$181,"&gt;="&amp;DATE(2025,4,1),'2025数据'!$T$3:$T$181,"&lt;="&amp;DATE(2025,4,30),'2025数据'!$BL$3:$BL$181,$E$37,'2025数据'!$B$3:$B$181,E1502)/10000)</f>
        <v>0</v>
      </c>
      <c r="J1502" s="219">
        <f ca="1">IF($S$1&lt;DATE(2025,5,1)," ",SUMIFS('2025数据'!$BM$3:$BM$181,'2025数据'!$T$3:$T$181,"&gt;="&amp;DATE(2025,5,1),'2025数据'!$T$3:$T$181,"&lt;="&amp;DATE(2025,5,31),'2025数据'!$BL$3:$BL$181,$E$37,'2025数据'!$B$3:$B$181,E1502)/10000)</f>
        <v>0</v>
      </c>
      <c r="K1502" s="219">
        <f ca="1">IF($S$1&lt;DATE(2025,6,1)," ",SUMIFS('2025数据'!$BM$3:$BM$181,'2025数据'!$T$3:$T$181,"&gt;="&amp;DATE(2025,6,1),'2025数据'!$T$3:$T$181,"&lt;="&amp;DATE(2025,6,30),'2025数据'!$BL$3:$BL$181,$E$37,'2025数据'!$B$3:$B$181,E1502)/10000)</f>
        <v>0</v>
      </c>
      <c r="L1502" s="219">
        <f ca="1">IF($S$1&lt;DATE(2025,7,1)," ",SUMIFS('2025数据'!$BM$3:$BM$181,'2025数据'!$T$3:$T$181,"&gt;="&amp;DATE(2025,7,1),'2025数据'!$T$3:$T$181,"&lt;="&amp;DATE(2025,7,31),'2025数据'!$BL$3:$BL$181,$E$37,'2025数据'!$B$3:$B$181,E1502)/10000)</f>
        <v>0</v>
      </c>
      <c r="M1502" s="219">
        <f ca="1">IF($S$1&lt;DATE(2025,8,1)," ",SUMIFS('2025数据'!$BM$3:$BM$181,'2025数据'!$T$3:$T$181,"&gt;="&amp;DATE(2025,8,1),'2025数据'!$T$3:$T$181,"&lt;="&amp;DATE(2025,8,31),'2025数据'!$BL$3:$BL$181,$E$37,'2025数据'!$B$3:$B$181,E1502)/10000)</f>
        <v>0</v>
      </c>
      <c r="N1502" s="219">
        <f ca="1">IF($S$1&lt;DATE(2025,9,1)," ",SUMIFS('2025数据'!$BM$3:$BM$181,'2025数据'!$T$3:$T$181,"&gt;="&amp;DATE(2025,9,1),'2025数据'!$T$3:$T$181,"&lt;="&amp;DATE(2025,9,30),'2025数据'!$BL$3:$BL$181,$E$37,'2025数据'!$B$3:$B$181,E1502)/10000)</f>
        <v>0</v>
      </c>
      <c r="O1502" s="219">
        <f ca="1">IF($S$1&lt;DATE(2025,10,1)," ",SUMIFS('2025数据'!$BM$3:$BM$181,'2025数据'!$T$3:$T$181,"&gt;="&amp;DATE(2025,10,1),'2025数据'!$T$3:$T$181,"&lt;="&amp;DATE(2025,10,31),'2025数据'!$BL$3:$BL$181,$E$37,'2025数据'!$B$3:$B$181,E1502)/10000)</f>
        <v>0</v>
      </c>
      <c r="P1502" s="224">
        <f ca="1">IF($S$1&lt;DATE(2025,11,1)," ",SUMIFS('2025数据'!$BM$3:$BM$181,'2025数据'!$T$3:$T$181,"&gt;="&amp;DATE(2025,11,1),'2025数据'!$T$3:$T$181,"&lt;="&amp;DATE(2025,11,30),'2025数据'!$BL$3:$BL$181,$E$37,'2025数据'!$B$3:$B$181,E1502)/10000)</f>
        <v>0</v>
      </c>
      <c r="Q1502" s="224">
        <f ca="1">IF($S$1&lt;DATE(2025,12,1)," ",SUMIFS('2025数据'!$BM$3:$BM$181,'2025数据'!$T$3:$T$181,"&gt;="&amp;DATE(2025,12,1),'2025数据'!$T$3:$T$181,"&lt;="&amp;DATE(2025,12,31),'2025数据'!$BL$3:$BL$181,$E$37,'2025数据'!$B$3:$B$181,E1502)/10000)</f>
        <v>0</v>
      </c>
    </row>
    <row r="1503" ht="24" customHeight="1" spans="1:17">
      <c r="A1503" s="99" t="s">
        <v>348</v>
      </c>
      <c r="B1503" s="99" t="s">
        <v>299</v>
      </c>
      <c r="C1503" s="99" t="s">
        <v>333</v>
      </c>
      <c r="D1503" s="53" t="s">
        <v>303</v>
      </c>
      <c r="E1503" s="53" t="s">
        <v>160</v>
      </c>
      <c r="F1503" s="219">
        <f ca="1">IF($S$1&lt;DATE(2025,1,1)," ",SUMIFS('2025数据'!$BM$3:$BM$181,'2025数据'!$T$3:$T$181,"&gt;="&amp;DATE(2025,1,1),'2025数据'!$T$3:$T$181,"&lt;="&amp;DATE(2025,1,31),'2025数据'!$BL$3:$BL$181,$E$37,'2025数据'!$B$3:$B$181,E1503)/10000)</f>
        <v>0</v>
      </c>
      <c r="G1503" s="219">
        <f ca="1">IF($S$1&lt;DATE(2025,2,1)," ",SUMIFS('2025数据'!$BM$3:$BM$181,'2025数据'!$T$3:$T$181,"&gt;="&amp;DATE(2025,2,1),'2025数据'!$T$3:$T$181,"&lt;="&amp;DATE(2025,2,28),'2025数据'!$BL$3:$BL$181,$E$37,'2025数据'!$B$3:$B$181,E1503)/10000)</f>
        <v>0</v>
      </c>
      <c r="H1503" s="219">
        <f ca="1">IF($S$1&lt;DATE(2025,3,1)," ",SUMIFS('2025数据'!$BM$3:$BM$181,'2025数据'!$T$3:$T$181,"&gt;="&amp;DATE(2025,3,1),'2025数据'!$T$3:$T$181,"&lt;="&amp;DATE(2025,3,31),'2025数据'!$BL$3:$BL$181,$E$37,'2025数据'!$B$3:$B$181,E1503)/10000)</f>
        <v>0</v>
      </c>
      <c r="I1503" s="219">
        <f ca="1">IF($S$1&lt;DATE(2025,4,1)," ",SUMIFS('2025数据'!$BM$3:$BM$181,'2025数据'!$T$3:$T$181,"&gt;="&amp;DATE(2025,4,1),'2025数据'!$T$3:$T$181,"&lt;="&amp;DATE(2025,4,30),'2025数据'!$BL$3:$BL$181,$E$37,'2025数据'!$B$3:$B$181,E1503)/10000)</f>
        <v>0</v>
      </c>
      <c r="J1503" s="219">
        <f ca="1">IF($S$1&lt;DATE(2025,5,1)," ",SUMIFS('2025数据'!$BM$3:$BM$181,'2025数据'!$T$3:$T$181,"&gt;="&amp;DATE(2025,5,1),'2025数据'!$T$3:$T$181,"&lt;="&amp;DATE(2025,5,31),'2025数据'!$BL$3:$BL$181,$E$37,'2025数据'!$B$3:$B$181,E1503)/10000)</f>
        <v>0</v>
      </c>
      <c r="K1503" s="219">
        <f ca="1">IF($S$1&lt;DATE(2025,6,1)," ",SUMIFS('2025数据'!$BM$3:$BM$181,'2025数据'!$T$3:$T$181,"&gt;="&amp;DATE(2025,6,1),'2025数据'!$T$3:$T$181,"&lt;="&amp;DATE(2025,6,30),'2025数据'!$BL$3:$BL$181,$E$37,'2025数据'!$B$3:$B$181,E1503)/10000)</f>
        <v>0</v>
      </c>
      <c r="L1503" s="219">
        <f ca="1">IF($S$1&lt;DATE(2025,7,1)," ",SUMIFS('2025数据'!$BM$3:$BM$181,'2025数据'!$T$3:$T$181,"&gt;="&amp;DATE(2025,7,1),'2025数据'!$T$3:$T$181,"&lt;="&amp;DATE(2025,7,31),'2025数据'!$BL$3:$BL$181,$E$37,'2025数据'!$B$3:$B$181,E1503)/10000)</f>
        <v>0</v>
      </c>
      <c r="M1503" s="219">
        <f ca="1">IF($S$1&lt;DATE(2025,8,1)," ",SUMIFS('2025数据'!$BM$3:$BM$181,'2025数据'!$T$3:$T$181,"&gt;="&amp;DATE(2025,8,1),'2025数据'!$T$3:$T$181,"&lt;="&amp;DATE(2025,8,31),'2025数据'!$BL$3:$BL$181,$E$37,'2025数据'!$B$3:$B$181,E1503)/10000)</f>
        <v>0.032481</v>
      </c>
      <c r="N1503" s="219">
        <f ca="1">IF($S$1&lt;DATE(2025,9,1)," ",SUMIFS('2025数据'!$BM$3:$BM$181,'2025数据'!$T$3:$T$181,"&gt;="&amp;DATE(2025,9,1),'2025数据'!$T$3:$T$181,"&lt;="&amp;DATE(2025,9,30),'2025数据'!$BL$3:$BL$181,$E$37,'2025数据'!$B$3:$B$181,E1503)/10000)</f>
        <v>0</v>
      </c>
      <c r="O1503" s="219">
        <f ca="1">IF($S$1&lt;DATE(2025,10,1)," ",SUMIFS('2025数据'!$BM$3:$BM$181,'2025数据'!$T$3:$T$181,"&gt;="&amp;DATE(2025,10,1),'2025数据'!$T$3:$T$181,"&lt;="&amp;DATE(2025,10,31),'2025数据'!$BL$3:$BL$181,$E$37,'2025数据'!$B$3:$B$181,E1503)/10000)</f>
        <v>0</v>
      </c>
      <c r="P1503" s="224">
        <f ca="1">IF($S$1&lt;DATE(2025,11,1)," ",SUMIFS('2025数据'!$BM$3:$BM$181,'2025数据'!$T$3:$T$181,"&gt;="&amp;DATE(2025,11,1),'2025数据'!$T$3:$T$181,"&lt;="&amp;DATE(2025,11,30),'2025数据'!$BL$3:$BL$181,$E$37,'2025数据'!$B$3:$B$181,E1503)/10000)</f>
        <v>0</v>
      </c>
      <c r="Q1503" s="224">
        <f ca="1">IF($S$1&lt;DATE(2025,12,1)," ",SUMIFS('2025数据'!$BM$3:$BM$181,'2025数据'!$T$3:$T$181,"&gt;="&amp;DATE(2025,12,1),'2025数据'!$T$3:$T$181,"&lt;="&amp;DATE(2025,12,31),'2025数据'!$BL$3:$BL$181,$E$37,'2025数据'!$B$3:$B$181,E1503)/10000)</f>
        <v>0</v>
      </c>
    </row>
    <row r="1504" ht="24" customHeight="1" spans="1:17">
      <c r="A1504" s="99" t="s">
        <v>348</v>
      </c>
      <c r="B1504" s="99" t="s">
        <v>299</v>
      </c>
      <c r="C1504" s="99" t="s">
        <v>333</v>
      </c>
      <c r="D1504" s="53" t="s">
        <v>304</v>
      </c>
      <c r="E1504" s="53" t="s">
        <v>93</v>
      </c>
      <c r="F1504" s="219">
        <f ca="1">IF($S$1&lt;DATE(2025,1,1)," ",SUMIFS('2025数据'!$BM$3:$BM$181,'2025数据'!$T$3:$T$181,"&gt;="&amp;DATE(2025,1,1),'2025数据'!$T$3:$T$181,"&lt;="&amp;DATE(2025,1,31),'2025数据'!$BL$3:$BL$181,$E$38,'2025数据'!$B$3:$B$181,E1504)/10000)</f>
        <v>0</v>
      </c>
      <c r="G1504" s="219">
        <f ca="1">IF($S$1&lt;DATE(2025,2,1)," ",SUMIFS('2025数据'!$BM$3:$BM$181,'2025数据'!$T$3:$T$181,"&gt;="&amp;DATE(2025,2,1),'2025数据'!$T$3:$T$181,"&lt;="&amp;DATE(2025,2,28),'2025数据'!$BL$3:$BL$181,$E$38,'2025数据'!$B$3:$B$181,E1504)/10000)</f>
        <v>0.033737</v>
      </c>
      <c r="H1504" s="219">
        <f ca="1">IF($S$1&lt;DATE(2025,3,1)," ",SUMIFS('2025数据'!$BM$3:$BM$181,'2025数据'!$T$3:$T$181,"&gt;="&amp;DATE(2025,3,1),'2025数据'!$T$3:$T$181,"&lt;="&amp;DATE(2025,3,31),'2025数据'!$BL$3:$BL$181,$E$38,'2025数据'!$B$3:$B$181,E1504)/10000)</f>
        <v>0.0146529999999999</v>
      </c>
      <c r="I1504" s="219">
        <f ca="1">IF($S$1&lt;DATE(2025,4,1)," ",SUMIFS('2025数据'!$BM$3:$BM$181,'2025数据'!$T$3:$T$181,"&gt;="&amp;DATE(2025,4,1),'2025数据'!$T$3:$T$181,"&lt;="&amp;DATE(2025,4,30),'2025数据'!$BL$3:$BL$181,$E$38,'2025数据'!$B$3:$B$181,E1504)/10000)</f>
        <v>0.0150879999999997</v>
      </c>
      <c r="J1504" s="219">
        <f ca="1">IF($S$1&lt;DATE(2025,5,1)," ",SUMIFS('2025数据'!$BM$3:$BM$181,'2025数据'!$T$3:$T$181,"&gt;="&amp;DATE(2025,5,1),'2025数据'!$T$3:$T$181,"&lt;="&amp;DATE(2025,5,31),'2025数据'!$BL$3:$BL$181,$E$38,'2025数据'!$B$3:$B$181,E1504)/10000)</f>
        <v>0.02881</v>
      </c>
      <c r="K1504" s="219">
        <f ca="1">IF($S$1&lt;DATE(2025,6,1)," ",SUMIFS('2025数据'!$BM$3:$BM$181,'2025数据'!$T$3:$T$181,"&gt;="&amp;DATE(2025,6,1),'2025数据'!$T$3:$T$181,"&lt;="&amp;DATE(2025,6,30),'2025数据'!$BL$3:$BL$181,$E$38,'2025数据'!$B$3:$B$181,E1504)/10000)</f>
        <v>0.107702999999999</v>
      </c>
      <c r="L1504" s="219">
        <f ca="1">IF($S$1&lt;DATE(2025,7,1)," ",SUMIFS('2025数据'!$BM$3:$BM$181,'2025数据'!$T$3:$T$181,"&gt;="&amp;DATE(2025,7,1),'2025数据'!$T$3:$T$181,"&lt;="&amp;DATE(2025,7,31),'2025数据'!$BL$3:$BL$181,$E$38,'2025数据'!$B$3:$B$181,E1504)/10000)</f>
        <v>0.01792</v>
      </c>
      <c r="M1504" s="219">
        <f ca="1">IF($S$1&lt;DATE(2025,8,1)," ",SUMIFS('2025数据'!$BM$3:$BM$181,'2025数据'!$T$3:$T$181,"&gt;="&amp;DATE(2025,8,1),'2025数据'!$T$3:$T$181,"&lt;="&amp;DATE(2025,8,31),'2025数据'!$BL$3:$BL$181,$E$38,'2025数据'!$B$3:$B$181,E1504)/10000)</f>
        <v>0.00438299999999999</v>
      </c>
      <c r="N1504" s="219">
        <f ca="1">IF($S$1&lt;DATE(2025,9,1)," ",SUMIFS('2025数据'!$BM$3:$BM$181,'2025数据'!$T$3:$T$181,"&gt;="&amp;DATE(2025,9,1),'2025数据'!$T$3:$T$181,"&lt;="&amp;DATE(2025,9,30),'2025数据'!$BL$3:$BL$181,$E$38,'2025数据'!$B$3:$B$181,E1504)/10000)</f>
        <v>0.000353000000000065</v>
      </c>
      <c r="O1504" s="219">
        <f ca="1">IF($S$1&lt;DATE(2025,10,1)," ",SUMIFS('2025数据'!$BM$3:$BM$181,'2025数据'!$T$3:$T$181,"&gt;="&amp;DATE(2025,10,1),'2025数据'!$T$3:$T$181,"&lt;="&amp;DATE(2025,10,31),'2025数据'!$BL$3:$BL$181,$E$38,'2025数据'!$B$3:$B$181,E1504)/10000)</f>
        <v>0.029188</v>
      </c>
      <c r="P1504" s="224">
        <f ca="1">IF($S$1&lt;DATE(2025,11,1)," ",SUMIFS('2025数据'!$BM$3:$BM$181,'2025数据'!$T$3:$T$181,"&gt;="&amp;DATE(2025,11,1),'2025数据'!$T$3:$T$181,"&lt;="&amp;DATE(2025,11,30),'2025数据'!$BL$3:$BL$181,$E$38,'2025数据'!$B$3:$B$181,E1504)/10000)</f>
        <v>0</v>
      </c>
      <c r="Q1504" s="224">
        <f ca="1">IF($S$1&lt;DATE(2025,12,1)," ",SUMIFS('2025数据'!$BM$3:$BM$181,'2025数据'!$T$3:$T$181,"&gt;="&amp;DATE(2025,12,1),'2025数据'!$T$3:$T$181,"&lt;="&amp;DATE(2025,12,31),'2025数据'!$BL$3:$BL$181,$E$38,'2025数据'!$B$3:$B$181,E1504)/10000)</f>
        <v>0.077664</v>
      </c>
    </row>
    <row r="1505" ht="24" customHeight="1" spans="1:17">
      <c r="A1505" s="99" t="s">
        <v>348</v>
      </c>
      <c r="B1505" s="99" t="s">
        <v>299</v>
      </c>
      <c r="C1505" s="99" t="s">
        <v>333</v>
      </c>
      <c r="D1505" s="53" t="s">
        <v>304</v>
      </c>
      <c r="E1505" s="53" t="s">
        <v>85</v>
      </c>
      <c r="F1505" s="219">
        <f ca="1">IF($S$1&lt;DATE(2025,1,1)," ",SUMIFS('2025数据'!$BM$3:$BM$181,'2025数据'!$T$3:$T$181,"&gt;="&amp;DATE(2025,1,1),'2025数据'!$T$3:$T$181,"&lt;="&amp;DATE(2025,1,31),'2025数据'!$BL$3:$BL$181,$E$38,'2025数据'!$B$3:$B$181,E1505)/10000)</f>
        <v>0</v>
      </c>
      <c r="G1505" s="219">
        <f ca="1">IF($S$1&lt;DATE(2025,2,1)," ",SUMIFS('2025数据'!$BM$3:$BM$181,'2025数据'!$T$3:$T$181,"&gt;="&amp;DATE(2025,2,1),'2025数据'!$T$3:$T$181,"&lt;="&amp;DATE(2025,2,28),'2025数据'!$BL$3:$BL$181,$E$38,'2025数据'!$B$3:$B$181,E1505)/10000)</f>
        <v>0</v>
      </c>
      <c r="H1505" s="219">
        <f ca="1">IF($S$1&lt;DATE(2025,3,1)," ",SUMIFS('2025数据'!$BM$3:$BM$181,'2025数据'!$T$3:$T$181,"&gt;="&amp;DATE(2025,3,1),'2025数据'!$T$3:$T$181,"&lt;="&amp;DATE(2025,3,31),'2025数据'!$BL$3:$BL$181,$E$38,'2025数据'!$B$3:$B$181,E1505)/10000)</f>
        <v>0</v>
      </c>
      <c r="I1505" s="219">
        <f ca="1">IF($S$1&lt;DATE(2025,4,1)," ",SUMIFS('2025数据'!$BM$3:$BM$181,'2025数据'!$T$3:$T$181,"&gt;="&amp;DATE(2025,4,1),'2025数据'!$T$3:$T$181,"&lt;="&amp;DATE(2025,4,30),'2025数据'!$BL$3:$BL$181,$E$38,'2025数据'!$B$3:$B$181,E1505)/10000)</f>
        <v>0</v>
      </c>
      <c r="J1505" s="219">
        <f ca="1">IF($S$1&lt;DATE(2025,5,1)," ",SUMIFS('2025数据'!$BM$3:$BM$181,'2025数据'!$T$3:$T$181,"&gt;="&amp;DATE(2025,5,1),'2025数据'!$T$3:$T$181,"&lt;="&amp;DATE(2025,5,31),'2025数据'!$BL$3:$BL$181,$E$38,'2025数据'!$B$3:$B$181,E1505)/10000)</f>
        <v>0</v>
      </c>
      <c r="K1505" s="219">
        <f ca="1">IF($S$1&lt;DATE(2025,6,1)," ",SUMIFS('2025数据'!$BM$3:$BM$181,'2025数据'!$T$3:$T$181,"&gt;="&amp;DATE(2025,6,1),'2025数据'!$T$3:$T$181,"&lt;="&amp;DATE(2025,6,30),'2025数据'!$BL$3:$BL$181,$E$38,'2025数据'!$B$3:$B$181,E1505)/10000)</f>
        <v>0.020107</v>
      </c>
      <c r="L1505" s="219">
        <f ca="1">IF($S$1&lt;DATE(2025,7,1)," ",SUMIFS('2025数据'!$BM$3:$BM$181,'2025数据'!$T$3:$T$181,"&gt;="&amp;DATE(2025,7,1),'2025数据'!$T$3:$T$181,"&lt;="&amp;DATE(2025,7,31),'2025数据'!$BL$3:$BL$181,$E$38,'2025数据'!$B$3:$B$181,E1505)/10000)</f>
        <v>0</v>
      </c>
      <c r="M1505" s="219">
        <f ca="1">IF($S$1&lt;DATE(2025,8,1)," ",SUMIFS('2025数据'!$BM$3:$BM$181,'2025数据'!$T$3:$T$181,"&gt;="&amp;DATE(2025,8,1),'2025数据'!$T$3:$T$181,"&lt;="&amp;DATE(2025,8,31),'2025数据'!$BL$3:$BL$181,$E$38,'2025数据'!$B$3:$B$181,E1505)/10000)</f>
        <v>0.00354500000000003</v>
      </c>
      <c r="N1505" s="219">
        <f ca="1">IF($S$1&lt;DATE(2025,9,1)," ",SUMIFS('2025数据'!$BM$3:$BM$181,'2025数据'!$T$3:$T$181,"&gt;="&amp;DATE(2025,9,1),'2025数据'!$T$3:$T$181,"&lt;="&amp;DATE(2025,9,30),'2025数据'!$BL$3:$BL$181,$E$38,'2025数据'!$B$3:$B$181,E1505)/10000)</f>
        <v>0.0327630000000001</v>
      </c>
      <c r="O1505" s="219">
        <f ca="1">IF($S$1&lt;DATE(2025,10,1)," ",SUMIFS('2025数据'!$BM$3:$BM$181,'2025数据'!$T$3:$T$181,"&gt;="&amp;DATE(2025,10,1),'2025数据'!$T$3:$T$181,"&lt;="&amp;DATE(2025,10,31),'2025数据'!$BL$3:$BL$181,$E$38,'2025数据'!$B$3:$B$181,E1505)/10000)</f>
        <v>0.00864700000000002</v>
      </c>
      <c r="P1505" s="224">
        <f ca="1">IF($S$1&lt;DATE(2025,11,1)," ",SUMIFS('2025数据'!$BM$3:$BM$181,'2025数据'!$T$3:$T$181,"&gt;="&amp;DATE(2025,11,1),'2025数据'!$T$3:$T$181,"&lt;="&amp;DATE(2025,11,30),'2025数据'!$BL$3:$BL$181,$E$38,'2025数据'!$B$3:$B$181,E1505)/10000)</f>
        <v>0</v>
      </c>
      <c r="Q1505" s="224">
        <f ca="1">IF($S$1&lt;DATE(2025,12,1)," ",SUMIFS('2025数据'!$BM$3:$BM$181,'2025数据'!$T$3:$T$181,"&gt;="&amp;DATE(2025,12,1),'2025数据'!$T$3:$T$181,"&lt;="&amp;DATE(2025,12,31),'2025数据'!$BL$3:$BL$181,$E$38,'2025数据'!$B$3:$B$181,E1505)/10000)</f>
        <v>0</v>
      </c>
    </row>
    <row r="1506" ht="24" customHeight="1" spans="1:17">
      <c r="A1506" s="99" t="s">
        <v>348</v>
      </c>
      <c r="B1506" s="99" t="s">
        <v>299</v>
      </c>
      <c r="C1506" s="99" t="s">
        <v>333</v>
      </c>
      <c r="D1506" s="53" t="s">
        <v>304</v>
      </c>
      <c r="E1506" s="53" t="s">
        <v>81</v>
      </c>
      <c r="F1506" s="219">
        <f ca="1">IF($S$1&lt;DATE(2025,1,1)," ",SUMIFS('2025数据'!$BM$3:$BM$181,'2025数据'!$T$3:$T$181,"&gt;="&amp;DATE(2025,1,1),'2025数据'!$T$3:$T$181,"&lt;="&amp;DATE(2025,1,31),'2025数据'!$BL$3:$BL$181,$E$38,'2025数据'!$B$3:$B$181,E1506)/10000)</f>
        <v>0</v>
      </c>
      <c r="G1506" s="219">
        <f ca="1">IF($S$1&lt;DATE(2025,2,1)," ",SUMIFS('2025数据'!$BM$3:$BM$181,'2025数据'!$T$3:$T$181,"&gt;="&amp;DATE(2025,2,1),'2025数据'!$T$3:$T$181,"&lt;="&amp;DATE(2025,2,28),'2025数据'!$BL$3:$BL$181,$E$38,'2025数据'!$B$3:$B$181,E1506)/10000)</f>
        <v>0</v>
      </c>
      <c r="H1506" s="219">
        <f ca="1">IF($S$1&lt;DATE(2025,3,1)," ",SUMIFS('2025数据'!$BM$3:$BM$181,'2025数据'!$T$3:$T$181,"&gt;="&amp;DATE(2025,3,1),'2025数据'!$T$3:$T$181,"&lt;="&amp;DATE(2025,3,31),'2025数据'!$BL$3:$BL$181,$E$38,'2025数据'!$B$3:$B$181,E1506)/10000)</f>
        <v>0</v>
      </c>
      <c r="I1506" s="219">
        <f ca="1">IF($S$1&lt;DATE(2025,4,1)," ",SUMIFS('2025数据'!$BM$3:$BM$181,'2025数据'!$T$3:$T$181,"&gt;="&amp;DATE(2025,4,1),'2025数据'!$T$3:$T$181,"&lt;="&amp;DATE(2025,4,30),'2025数据'!$BL$3:$BL$181,$E$38,'2025数据'!$B$3:$B$181,E1506)/10000)</f>
        <v>0</v>
      </c>
      <c r="J1506" s="219">
        <f ca="1">IF($S$1&lt;DATE(2025,5,1)," ",SUMIFS('2025数据'!$BM$3:$BM$181,'2025数据'!$T$3:$T$181,"&gt;="&amp;DATE(2025,5,1),'2025数据'!$T$3:$T$181,"&lt;="&amp;DATE(2025,5,31),'2025数据'!$BL$3:$BL$181,$E$38,'2025数据'!$B$3:$B$181,E1506)/10000)</f>
        <v>0</v>
      </c>
      <c r="K1506" s="219">
        <f ca="1">IF($S$1&lt;DATE(2025,6,1)," ",SUMIFS('2025数据'!$BM$3:$BM$181,'2025数据'!$T$3:$T$181,"&gt;="&amp;DATE(2025,6,1),'2025数据'!$T$3:$T$181,"&lt;="&amp;DATE(2025,6,30),'2025数据'!$BL$3:$BL$181,$E$38,'2025数据'!$B$3:$B$181,E1506)/10000)</f>
        <v>0.000482999999999993</v>
      </c>
      <c r="L1506" s="219">
        <f ca="1">IF($S$1&lt;DATE(2025,7,1)," ",SUMIFS('2025数据'!$BM$3:$BM$181,'2025数据'!$T$3:$T$181,"&gt;="&amp;DATE(2025,7,1),'2025数据'!$T$3:$T$181,"&lt;="&amp;DATE(2025,7,31),'2025数据'!$BL$3:$BL$181,$E$38,'2025数据'!$B$3:$B$181,E1506)/10000)</f>
        <v>0</v>
      </c>
      <c r="M1506" s="219">
        <f ca="1">IF($S$1&lt;DATE(2025,8,1)," ",SUMIFS('2025数据'!$BM$3:$BM$181,'2025数据'!$T$3:$T$181,"&gt;="&amp;DATE(2025,8,1),'2025数据'!$T$3:$T$181,"&lt;="&amp;DATE(2025,8,31),'2025数据'!$BL$3:$BL$181,$E$38,'2025数据'!$B$3:$B$181,E1506)/10000)</f>
        <v>0.00238000000000011</v>
      </c>
      <c r="N1506" s="219">
        <f ca="1">IF($S$1&lt;DATE(2025,9,1)," ",SUMIFS('2025数据'!$BM$3:$BM$181,'2025数据'!$T$3:$T$181,"&gt;="&amp;DATE(2025,9,1),'2025数据'!$T$3:$T$181,"&lt;="&amp;DATE(2025,9,30),'2025数据'!$BL$3:$BL$181,$E$38,'2025数据'!$B$3:$B$181,E1506)/10000)</f>
        <v>0.0709409999999999</v>
      </c>
      <c r="O1506" s="219">
        <f ca="1">IF($S$1&lt;DATE(2025,10,1)," ",SUMIFS('2025数据'!$BM$3:$BM$181,'2025数据'!$T$3:$T$181,"&gt;="&amp;DATE(2025,10,1),'2025数据'!$T$3:$T$181,"&lt;="&amp;DATE(2025,10,31),'2025数据'!$BL$3:$BL$181,$E$38,'2025数据'!$B$3:$B$181,E1506)/10000)</f>
        <v>0</v>
      </c>
      <c r="P1506" s="224">
        <f ca="1">IF($S$1&lt;DATE(2025,11,1)," ",SUMIFS('2025数据'!$BM$3:$BM$181,'2025数据'!$T$3:$T$181,"&gt;="&amp;DATE(2025,11,1),'2025数据'!$T$3:$T$181,"&lt;="&amp;DATE(2025,11,30),'2025数据'!$BL$3:$BL$181,$E$38,'2025数据'!$B$3:$B$181,E1506)/10000)</f>
        <v>0</v>
      </c>
      <c r="Q1506" s="224">
        <f ca="1">IF($S$1&lt;DATE(2025,12,1)," ",SUMIFS('2025数据'!$BM$3:$BM$181,'2025数据'!$T$3:$T$181,"&gt;="&amp;DATE(2025,12,1),'2025数据'!$T$3:$T$181,"&lt;="&amp;DATE(2025,12,31),'2025数据'!$BL$3:$BL$181,$E$38,'2025数据'!$B$3:$B$181,E1506)/10000)</f>
        <v>0</v>
      </c>
    </row>
    <row r="1507" ht="24" customHeight="1" spans="1:17">
      <c r="A1507" s="99" t="s">
        <v>348</v>
      </c>
      <c r="B1507" s="99" t="s">
        <v>299</v>
      </c>
      <c r="C1507" s="99" t="s">
        <v>333</v>
      </c>
      <c r="D1507" s="53" t="s">
        <v>304</v>
      </c>
      <c r="E1507" s="53" t="s">
        <v>96</v>
      </c>
      <c r="F1507" s="219">
        <f ca="1">IF($S$1&lt;DATE(2025,1,1)," ",SUMIFS('2025数据'!$BM$3:$BM$181,'2025数据'!$T$3:$T$181,"&gt;="&amp;DATE(2025,1,1),'2025数据'!$T$3:$T$181,"&lt;="&amp;DATE(2025,1,31),'2025数据'!$BL$3:$BL$181,$E$38,'2025数据'!$B$3:$B$181,E1507)/10000)</f>
        <v>0.0004</v>
      </c>
      <c r="G1507" s="219">
        <f ca="1">IF($S$1&lt;DATE(2025,2,1)," ",SUMIFS('2025数据'!$BM$3:$BM$181,'2025数据'!$T$3:$T$181,"&gt;="&amp;DATE(2025,2,1),'2025数据'!$T$3:$T$181,"&lt;="&amp;DATE(2025,2,28),'2025数据'!$BL$3:$BL$181,$E$38,'2025数据'!$B$3:$B$181,E1507)/10000)</f>
        <v>0</v>
      </c>
      <c r="H1507" s="219">
        <f ca="1">IF($S$1&lt;DATE(2025,3,1)," ",SUMIFS('2025数据'!$BM$3:$BM$181,'2025数据'!$T$3:$T$181,"&gt;="&amp;DATE(2025,3,1),'2025数据'!$T$3:$T$181,"&lt;="&amp;DATE(2025,3,31),'2025数据'!$BL$3:$BL$181,$E$38,'2025数据'!$B$3:$B$181,E1507)/10000)</f>
        <v>0</v>
      </c>
      <c r="I1507" s="219">
        <f ca="1">IF($S$1&lt;DATE(2025,4,1)," ",SUMIFS('2025数据'!$BM$3:$BM$181,'2025数据'!$T$3:$T$181,"&gt;="&amp;DATE(2025,4,1),'2025数据'!$T$3:$T$181,"&lt;="&amp;DATE(2025,4,30),'2025数据'!$BL$3:$BL$181,$E$38,'2025数据'!$B$3:$B$181,E1507)/10000)</f>
        <v>0</v>
      </c>
      <c r="J1507" s="219">
        <f ca="1">IF($S$1&lt;DATE(2025,5,1)," ",SUMIFS('2025数据'!$BM$3:$BM$181,'2025数据'!$T$3:$T$181,"&gt;="&amp;DATE(2025,5,1),'2025数据'!$T$3:$T$181,"&lt;="&amp;DATE(2025,5,31),'2025数据'!$BL$3:$BL$181,$E$38,'2025数据'!$B$3:$B$181,E1507)/10000)</f>
        <v>0</v>
      </c>
      <c r="K1507" s="219">
        <f ca="1">IF($S$1&lt;DATE(2025,6,1)," ",SUMIFS('2025数据'!$BM$3:$BM$181,'2025数据'!$T$3:$T$181,"&gt;="&amp;DATE(2025,6,1),'2025数据'!$T$3:$T$181,"&lt;="&amp;DATE(2025,6,30),'2025数据'!$BL$3:$BL$181,$E$38,'2025数据'!$B$3:$B$181,E1507)/10000)</f>
        <v>0</v>
      </c>
      <c r="L1507" s="219">
        <f ca="1">IF($S$1&lt;DATE(2025,7,1)," ",SUMIFS('2025数据'!$BM$3:$BM$181,'2025数据'!$T$3:$T$181,"&gt;="&amp;DATE(2025,7,1),'2025数据'!$T$3:$T$181,"&lt;="&amp;DATE(2025,7,31),'2025数据'!$BL$3:$BL$181,$E$38,'2025数据'!$B$3:$B$181,E1507)/10000)</f>
        <v>0</v>
      </c>
      <c r="M1507" s="219">
        <f ca="1">IF($S$1&lt;DATE(2025,8,1)," ",SUMIFS('2025数据'!$BM$3:$BM$181,'2025数据'!$T$3:$T$181,"&gt;="&amp;DATE(2025,8,1),'2025数据'!$T$3:$T$181,"&lt;="&amp;DATE(2025,8,31),'2025数据'!$BL$3:$BL$181,$E$38,'2025数据'!$B$3:$B$181,E1507)/10000)</f>
        <v>0</v>
      </c>
      <c r="N1507" s="219">
        <f ca="1">IF($S$1&lt;DATE(2025,9,1)," ",SUMIFS('2025数据'!$BM$3:$BM$181,'2025数据'!$T$3:$T$181,"&gt;="&amp;DATE(2025,9,1),'2025数据'!$T$3:$T$181,"&lt;="&amp;DATE(2025,9,30),'2025数据'!$BL$3:$BL$181,$E$38,'2025数据'!$B$3:$B$181,E1507)/10000)</f>
        <v>0</v>
      </c>
      <c r="O1507" s="219">
        <f ca="1">IF($S$1&lt;DATE(2025,10,1)," ",SUMIFS('2025数据'!$BM$3:$BM$181,'2025数据'!$T$3:$T$181,"&gt;="&amp;DATE(2025,10,1),'2025数据'!$T$3:$T$181,"&lt;="&amp;DATE(2025,10,31),'2025数据'!$BL$3:$BL$181,$E$38,'2025数据'!$B$3:$B$181,E1507)/10000)</f>
        <v>0</v>
      </c>
      <c r="P1507" s="224">
        <f ca="1">IF($S$1&lt;DATE(2025,11,1)," ",SUMIFS('2025数据'!$BM$3:$BM$181,'2025数据'!$T$3:$T$181,"&gt;="&amp;DATE(2025,11,1),'2025数据'!$T$3:$T$181,"&lt;="&amp;DATE(2025,11,30),'2025数据'!$BL$3:$BL$181,$E$38,'2025数据'!$B$3:$B$181,E1507)/10000)</f>
        <v>0</v>
      </c>
      <c r="Q1507" s="224">
        <f ca="1">IF($S$1&lt;DATE(2025,12,1)," ",SUMIFS('2025数据'!$BM$3:$BM$181,'2025数据'!$T$3:$T$181,"&gt;="&amp;DATE(2025,12,1),'2025数据'!$T$3:$T$181,"&lt;="&amp;DATE(2025,12,31),'2025数据'!$BL$3:$BL$181,$E$38,'2025数据'!$B$3:$B$181,E1507)/10000)</f>
        <v>0</v>
      </c>
    </row>
    <row r="1508" ht="24" customHeight="1" spans="1:17">
      <c r="A1508" s="99" t="s">
        <v>348</v>
      </c>
      <c r="B1508" s="99" t="s">
        <v>299</v>
      </c>
      <c r="C1508" s="99" t="s">
        <v>333</v>
      </c>
      <c r="D1508" s="53" t="s">
        <v>304</v>
      </c>
      <c r="E1508" s="53" t="s">
        <v>160</v>
      </c>
      <c r="F1508" s="219">
        <f ca="1">IF($S$1&lt;DATE(2025,1,1)," ",SUMIFS('2025数据'!$BM$3:$BM$181,'2025数据'!$T$3:$T$181,"&gt;="&amp;DATE(2025,1,1),'2025数据'!$T$3:$T$181,"&lt;="&amp;DATE(2025,1,31),'2025数据'!$BL$3:$BL$181,$E$38,'2025数据'!$B$3:$B$181,E1508)/10000)</f>
        <v>0</v>
      </c>
      <c r="G1508" s="219">
        <f ca="1">IF($S$1&lt;DATE(2025,2,1)," ",SUMIFS('2025数据'!$BM$3:$BM$181,'2025数据'!$T$3:$T$181,"&gt;="&amp;DATE(2025,2,1),'2025数据'!$T$3:$T$181,"&lt;="&amp;DATE(2025,2,28),'2025数据'!$BL$3:$BL$181,$E$38,'2025数据'!$B$3:$B$181,E1508)/10000)</f>
        <v>0</v>
      </c>
      <c r="H1508" s="219">
        <f ca="1">IF($S$1&lt;DATE(2025,3,1)," ",SUMIFS('2025数据'!$BM$3:$BM$181,'2025数据'!$T$3:$T$181,"&gt;="&amp;DATE(2025,3,1),'2025数据'!$T$3:$T$181,"&lt;="&amp;DATE(2025,3,31),'2025数据'!$BL$3:$BL$181,$E$38,'2025数据'!$B$3:$B$181,E1508)/10000)</f>
        <v>0</v>
      </c>
      <c r="I1508" s="219">
        <f ca="1">IF($S$1&lt;DATE(2025,4,1)," ",SUMIFS('2025数据'!$BM$3:$BM$181,'2025数据'!$T$3:$T$181,"&gt;="&amp;DATE(2025,4,1),'2025数据'!$T$3:$T$181,"&lt;="&amp;DATE(2025,4,30),'2025数据'!$BL$3:$BL$181,$E$38,'2025数据'!$B$3:$B$181,E1508)/10000)</f>
        <v>0</v>
      </c>
      <c r="J1508" s="219">
        <f ca="1">IF($S$1&lt;DATE(2025,5,1)," ",SUMIFS('2025数据'!$BM$3:$BM$181,'2025数据'!$T$3:$T$181,"&gt;="&amp;DATE(2025,5,1),'2025数据'!$T$3:$T$181,"&lt;="&amp;DATE(2025,5,31),'2025数据'!$BL$3:$BL$181,$E$38,'2025数据'!$B$3:$B$181,E1508)/10000)</f>
        <v>0</v>
      </c>
      <c r="K1508" s="219">
        <f ca="1">IF($S$1&lt;DATE(2025,6,1)," ",SUMIFS('2025数据'!$BM$3:$BM$181,'2025数据'!$T$3:$T$181,"&gt;="&amp;DATE(2025,6,1),'2025数据'!$T$3:$T$181,"&lt;="&amp;DATE(2025,6,30),'2025数据'!$BL$3:$BL$181,$E$38,'2025数据'!$B$3:$B$181,E1508)/10000)</f>
        <v>0</v>
      </c>
      <c r="L1508" s="219">
        <f ca="1">IF($S$1&lt;DATE(2025,7,1)," ",SUMIFS('2025数据'!$BM$3:$BM$181,'2025数据'!$T$3:$T$181,"&gt;="&amp;DATE(2025,7,1),'2025数据'!$T$3:$T$181,"&lt;="&amp;DATE(2025,7,31),'2025数据'!$BL$3:$BL$181,$E$38,'2025数据'!$B$3:$B$181,E1508)/10000)</f>
        <v>0</v>
      </c>
      <c r="M1508" s="219">
        <f ca="1">IF($S$1&lt;DATE(2025,8,1)," ",SUMIFS('2025数据'!$BM$3:$BM$181,'2025数据'!$T$3:$T$181,"&gt;="&amp;DATE(2025,8,1),'2025数据'!$T$3:$T$181,"&lt;="&amp;DATE(2025,8,31),'2025数据'!$BL$3:$BL$181,$E$38,'2025数据'!$B$3:$B$181,E1508)/10000)</f>
        <v>0</v>
      </c>
      <c r="N1508" s="219">
        <f ca="1">IF($S$1&lt;DATE(2025,9,1)," ",SUMIFS('2025数据'!$BM$3:$BM$181,'2025数据'!$T$3:$T$181,"&gt;="&amp;DATE(2025,9,1),'2025数据'!$T$3:$T$181,"&lt;="&amp;DATE(2025,9,30),'2025数据'!$BL$3:$BL$181,$E$38,'2025数据'!$B$3:$B$181,E1508)/10000)</f>
        <v>0</v>
      </c>
      <c r="O1508" s="219">
        <f ca="1">IF($S$1&lt;DATE(2025,10,1)," ",SUMIFS('2025数据'!$BM$3:$BM$181,'2025数据'!$T$3:$T$181,"&gt;="&amp;DATE(2025,10,1),'2025数据'!$T$3:$T$181,"&lt;="&amp;DATE(2025,10,31),'2025数据'!$BL$3:$BL$181,$E$38,'2025数据'!$B$3:$B$181,E1508)/10000)</f>
        <v>0</v>
      </c>
      <c r="P1508" s="224">
        <f ca="1">IF($S$1&lt;DATE(2025,11,1)," ",SUMIFS('2025数据'!$BM$3:$BM$181,'2025数据'!$T$3:$T$181,"&gt;="&amp;DATE(2025,11,1),'2025数据'!$T$3:$T$181,"&lt;="&amp;DATE(2025,11,30),'2025数据'!$BL$3:$BL$181,$E$38,'2025数据'!$B$3:$B$181,E1508)/10000)</f>
        <v>0</v>
      </c>
      <c r="Q1508" s="224">
        <f ca="1">IF($S$1&lt;DATE(2025,12,1)," ",SUMIFS('2025数据'!$BM$3:$BM$181,'2025数据'!$T$3:$T$181,"&gt;="&amp;DATE(2025,12,1),'2025数据'!$T$3:$T$181,"&lt;="&amp;DATE(2025,12,31),'2025数据'!$BL$3:$BL$181,$E$38,'2025数据'!$B$3:$B$181,E1508)/10000)</f>
        <v>0</v>
      </c>
    </row>
    <row r="1509" ht="24" customHeight="1" spans="1:17">
      <c r="A1509" s="99" t="s">
        <v>348</v>
      </c>
      <c r="B1509" s="99" t="s">
        <v>299</v>
      </c>
      <c r="C1509" s="99" t="s">
        <v>333</v>
      </c>
      <c r="D1509" s="218" t="s">
        <v>292</v>
      </c>
      <c r="E1509" s="220" t="s">
        <v>340</v>
      </c>
      <c r="F1509" s="221">
        <f ca="1">IF($S$1&lt;DATE(2025,1,1)," ",SUMIFS('2025数据'!$BJ$3:$BJ$181,'2025数据'!$T$3:$T$181,"&gt;="&amp;DATE(2025,1,1),'2025数据'!$T$3:$T$181,"&lt;="&amp;DATE(2025,1,31),'2025数据'!$BL$3:$BL$181,$E37)/10000)</f>
        <v>3.040196</v>
      </c>
      <c r="G1509" s="221">
        <f ca="1">IF($S$1&lt;DATE(2025,2,1)," ",SUMIFS('2025数据'!$BJ$3:$BJ$181,'2025数据'!$T$3:$T$181,"&gt;="&amp;DATE(2025,2,1),'2025数据'!$T$3:$T$181,"&lt;="&amp;DATE(2025,2,28),'2025数据'!$BL$3:$BL$181,$E37)/10000)</f>
        <v>2.846468</v>
      </c>
      <c r="H1509" s="221">
        <f ca="1">IF($S$1&lt;DATE(2025,3,1)," ",SUMIFS('2025数据'!$BJ$3:$BJ$181,'2025数据'!$T$3:$T$181,"&gt;="&amp;DATE(2025,3,1),'2025数据'!$T$3:$T$181,"&lt;="&amp;DATE(2025,3,31),'2025数据'!$BL$3:$BL$181,$E37)/10000)</f>
        <v>0</v>
      </c>
      <c r="I1509" s="221">
        <f ca="1">IF($S$1&lt;DATE(2025,4,1)," ",SUMIFS('2025数据'!$BJ$3:$BJ$181,'2025数据'!$T$3:$T$181,"&gt;="&amp;DATE(2025,4,1),'2025数据'!$T$3:$T$181,"&lt;="&amp;DATE(2025,4,30),'2025数据'!$BL$3:$BL$181,$E37)/10000)</f>
        <v>0</v>
      </c>
      <c r="J1509" s="221">
        <f ca="1">IF($S$1&lt;DATE(2025,5,1)," ",SUMIFS('2025数据'!$BJ$3:$BJ$181,'2025数据'!$T$3:$T$181,"&gt;="&amp;DATE(2025,5,1),'2025数据'!$T$3:$T$181,"&lt;="&amp;DATE(2025,5,31),'2025数据'!$BL$3:$BL$181,$E37)/10000)</f>
        <v>3.060453</v>
      </c>
      <c r="K1509" s="221">
        <f ca="1">IF($S$1&lt;DATE(2025,6,1)," ",SUMIFS('2025数据'!$BJ$3:$BJ$181,'2025数据'!$T$3:$T$181,"&gt;="&amp;DATE(2025,6,1),'2025数据'!$T$3:$T$181,"&lt;="&amp;DATE(2025,6,30),'2025数据'!$BL$3:$BL$181,$E37)/10000)</f>
        <v>1.890526</v>
      </c>
      <c r="L1509" s="221">
        <f ca="1">IF($S$1&lt;DATE(2025,7,1)," ",SUMIFS('2025数据'!$BJ$3:$BJ$181,'2025数据'!$T$3:$T$181,"&gt;="&amp;DATE(2025,7,1),'2025数据'!$T$3:$T$181,"&lt;="&amp;DATE(2025,7,31),'2025数据'!$BL$3:$BL$181,$E37)/10000)</f>
        <v>0.994068</v>
      </c>
      <c r="M1509" s="221">
        <f ca="1">IF($S$1&lt;DATE(2025,8,1)," ",SUMIFS('2025数据'!$BJ$3:$BJ$181,'2025数据'!$T$3:$T$181,"&gt;="&amp;DATE(2025,8,1),'2025数据'!$T$3:$T$181,"&lt;="&amp;DATE(2025,8,31),'2025数据'!$BL$3:$BL$181,$E37)/10000)</f>
        <v>4.866013</v>
      </c>
      <c r="N1509" s="221">
        <f ca="1">IF($S$1&lt;DATE(2025,9,1)," ",SUMIFS('2025数据'!$BJ$3:$BJ$181,'2025数据'!$T$3:$T$181,"&gt;="&amp;DATE(2025,9,1),'2025数据'!$T$3:$T$181,"&lt;="&amp;DATE(2025,9,30),'2025数据'!$BL$3:$BL$181,$E37)/10000)</f>
        <v>4.582071</v>
      </c>
      <c r="O1509" s="221">
        <f ca="1">IF($S$1&lt;DATE(2025,10,1)," ",SUMIFS('2025数据'!$BJ$3:$BJ$181,'2025数据'!$T$3:$T$181,"&gt;="&amp;DATE(2025,10,1),'2025数据'!$T$3:$T$181,"&lt;="&amp;DATE(2025,10,31),'2025数据'!$BL$3:$BL$181,$E37)/10000)</f>
        <v>0.595396</v>
      </c>
      <c r="P1509" s="225">
        <f ca="1">IF($S$1&lt;DATE(2025,11,1)," ",SUMIFS('2025数据'!$BJ$3:$BJ$181,'2025数据'!$T$3:$T$181,"&gt;="&amp;DATE(2025,11,1),'2025数据'!$T$3:$T$181,"&lt;="&amp;DATE(2025,11,30),'2025数据'!$BL$3:$BL$181,$E37)/10000)</f>
        <v>1.202695</v>
      </c>
      <c r="Q1509" s="225">
        <f ca="1">IF($S$1&lt;DATE(2025,12,1)," ",SUMIFS('2025数据'!$BJ$3:$BJ$181,'2025数据'!$T$3:$T$181,"&gt;="&amp;DATE(2025,12,1),'2025数据'!$T$3:$T$181,"&lt;="&amp;DATE(2025,12,31),'2025数据'!$BL$3:$BL$181,$E37)/10000)</f>
        <v>2.431738</v>
      </c>
    </row>
    <row r="1510" ht="24" customHeight="1" spans="1:17">
      <c r="A1510" s="99" t="s">
        <v>348</v>
      </c>
      <c r="B1510" s="99" t="s">
        <v>299</v>
      </c>
      <c r="C1510" s="99" t="s">
        <v>333</v>
      </c>
      <c r="D1510" s="218" t="s">
        <v>292</v>
      </c>
      <c r="E1510" s="220" t="s">
        <v>341</v>
      </c>
      <c r="F1510" s="221">
        <f ca="1">IF($S$1&lt;DATE(2025,1,1)," ",SUMIFS('2025数据'!$BJ$3:$BJ$181,'2025数据'!$T$3:$T$181,"&gt;="&amp;DATE(2025,1,1),'2025数据'!$T$3:$T$181,"&lt;="&amp;DATE(2025,1,31),'2025数据'!$BL$3:$BL$181,$E38)/10000)</f>
        <v>0.0943</v>
      </c>
      <c r="G1510" s="221">
        <f ca="1">IF($S$1&lt;DATE(2025,2,1)," ",SUMIFS('2025数据'!$BJ$3:$BJ$181,'2025数据'!$T$3:$T$181,"&gt;="&amp;DATE(2025,2,1),'2025数据'!$T$3:$T$181,"&lt;="&amp;DATE(2025,2,28),'2025数据'!$BL$3:$BL$181,$E38)/10000)</f>
        <v>0.371008</v>
      </c>
      <c r="H1510" s="221">
        <f ca="1">IF($S$1&lt;DATE(2025,3,1)," ",SUMIFS('2025数据'!$BJ$3:$BJ$181,'2025数据'!$T$3:$T$181,"&gt;="&amp;DATE(2025,3,1),'2025数据'!$T$3:$T$181,"&lt;="&amp;DATE(2025,3,31),'2025数据'!$BL$3:$BL$181,$E38)/10000)</f>
        <v>1.658748</v>
      </c>
      <c r="I1510" s="221">
        <f ca="1">IF($S$1&lt;DATE(2025,4,1)," ",SUMIFS('2025数据'!$BJ$3:$BJ$181,'2025数据'!$T$3:$T$181,"&gt;="&amp;DATE(2025,4,1),'2025数据'!$T$3:$T$181,"&lt;="&amp;DATE(2025,4,30),'2025数据'!$BL$3:$BL$181,$E38)/10000)</f>
        <v>1.703299</v>
      </c>
      <c r="J1510" s="221">
        <f ca="1">IF($S$1&lt;DATE(2025,5,1)," ",SUMIFS('2025数据'!$BJ$3:$BJ$181,'2025数据'!$T$3:$T$181,"&gt;="&amp;DATE(2025,5,1),'2025数据'!$T$3:$T$181,"&lt;="&amp;DATE(2025,5,31),'2025数据'!$BL$3:$BL$181,$E38)/10000)</f>
        <v>4.56993</v>
      </c>
      <c r="K1510" s="221">
        <f ca="1">IF($S$1&lt;DATE(2025,6,1)," ",SUMIFS('2025数据'!$BJ$3:$BJ$181,'2025数据'!$T$3:$T$181,"&gt;="&amp;DATE(2025,6,1),'2025数据'!$T$3:$T$181,"&lt;="&amp;DATE(2025,6,30),'2025数据'!$BL$3:$BL$181,$E38)/10000)</f>
        <v>4.75035</v>
      </c>
      <c r="L1510" s="221">
        <f ca="1">IF($S$1&lt;DATE(2025,7,1)," ",SUMIFS('2025数据'!$BJ$3:$BJ$181,'2025数据'!$T$3:$T$181,"&gt;="&amp;DATE(2025,7,1),'2025数据'!$T$3:$T$181,"&lt;="&amp;DATE(2025,7,31),'2025数据'!$BL$3:$BL$181,$E38)/10000)</f>
        <v>0.404576</v>
      </c>
      <c r="M1510" s="221">
        <f ca="1">IF($S$1&lt;DATE(2025,8,1)," ",SUMIFS('2025数据'!$BJ$3:$BJ$181,'2025数据'!$T$3:$T$181,"&gt;="&amp;DATE(2025,8,1),'2025数据'!$T$3:$T$181,"&lt;="&amp;DATE(2025,8,31),'2025数据'!$BL$3:$BL$181,$E38)/10000)</f>
        <v>1.657369</v>
      </c>
      <c r="N1510" s="221">
        <f ca="1">IF($S$1&lt;DATE(2025,9,1)," ",SUMIFS('2025数据'!$BJ$3:$BJ$181,'2025数据'!$T$3:$T$181,"&gt;="&amp;DATE(2025,9,1),'2025数据'!$T$3:$T$181,"&lt;="&amp;DATE(2025,9,30),'2025数据'!$BL$3:$BL$181,$E38)/10000)</f>
        <v>2.682268</v>
      </c>
      <c r="O1510" s="221">
        <f ca="1">IF($S$1&lt;DATE(2025,10,1)," ",SUMIFS('2025数据'!$BJ$3:$BJ$181,'2025数据'!$T$3:$T$181,"&gt;="&amp;DATE(2025,10,1),'2025数据'!$T$3:$T$181,"&lt;="&amp;DATE(2025,10,31),'2025数据'!$BL$3:$BL$181,$E38)/10000)</f>
        <v>1.77872</v>
      </c>
      <c r="P1510" s="225">
        <f ca="1">IF($S$1&lt;DATE(2025,11,1)," ",SUMIFS('2025数据'!$BJ$3:$BJ$181,'2025数据'!$T$3:$T$181,"&gt;="&amp;DATE(2025,11,1),'2025数据'!$T$3:$T$181,"&lt;="&amp;DATE(2025,11,30),'2025数据'!$BL$3:$BL$181,$E38)/10000)</f>
        <v>0</v>
      </c>
      <c r="Q1510" s="225">
        <f ca="1">IF($S$1&lt;DATE(2025,12,1)," ",SUMIFS('2025数据'!$BJ$3:$BJ$181,'2025数据'!$T$3:$T$181,"&gt;="&amp;DATE(2025,12,1),'2025数据'!$T$3:$T$181,"&lt;="&amp;DATE(2025,12,31),'2025数据'!$BL$3:$BL$181,$E38)/10000)</f>
        <v>0.890975</v>
      </c>
    </row>
    <row r="1511" ht="24" customHeight="1" spans="1:17">
      <c r="A1511" s="99" t="s">
        <v>348</v>
      </c>
      <c r="B1511" s="99" t="s">
        <v>299</v>
      </c>
      <c r="C1511" s="99" t="s">
        <v>333</v>
      </c>
      <c r="D1511" s="218" t="s">
        <v>292</v>
      </c>
      <c r="E1511" s="220" t="s">
        <v>342</v>
      </c>
      <c r="F1511" s="221">
        <f ca="1">IF($S$1&lt;DATE(2025,1,1)," ",SUMIFS('2025数据'!$BJ$3:$BJ$181,'2025数据'!$T$3:$T$181,"&gt;="&amp;DATE(2025,1,1),'2025数据'!$T$3:$T$181,"&lt;="&amp;DATE(2025,1,31),'2025数据'!$BL$3:$BL$181,$E39)/10000)</f>
        <v>0</v>
      </c>
      <c r="G1511" s="221">
        <f ca="1">IF($S$1&lt;DATE(2025,2,1)," ",SUMIFS('2025数据'!$BJ$3:$BJ$181,'2025数据'!$T$3:$T$181,"&gt;="&amp;DATE(2025,2,1),'2025数据'!$T$3:$T$181,"&lt;="&amp;DATE(2025,2,28),'2025数据'!$BL$3:$BL$181,$E39)/10000)</f>
        <v>0</v>
      </c>
      <c r="H1511" s="221">
        <f ca="1">IF($S$1&lt;DATE(2025,3,1)," ",SUMIFS('2025数据'!$BJ$3:$BJ$181,'2025数据'!$T$3:$T$181,"&gt;="&amp;DATE(2025,3,1),'2025数据'!$T$3:$T$181,"&lt;="&amp;DATE(2025,3,31),'2025数据'!$BL$3:$BL$181,$E39)/10000)</f>
        <v>0</v>
      </c>
      <c r="I1511" s="221">
        <f ca="1">IF($S$1&lt;DATE(2025,4,1)," ",SUMIFS('2025数据'!$BJ$3:$BJ$181,'2025数据'!$T$3:$T$181,"&gt;="&amp;DATE(2025,4,1),'2025数据'!$T$3:$T$181,"&lt;="&amp;DATE(2025,4,30),'2025数据'!$BL$3:$BL$181,$E39)/10000)</f>
        <v>0.29998</v>
      </c>
      <c r="J1511" s="221">
        <f ca="1">IF($S$1&lt;DATE(2025,5,1)," ",SUMIFS('2025数据'!$BJ$3:$BJ$181,'2025数据'!$T$3:$T$181,"&gt;="&amp;DATE(2025,5,1),'2025数据'!$T$3:$T$181,"&lt;="&amp;DATE(2025,5,31),'2025数据'!$BL$3:$BL$181,$E39)/10000)</f>
        <v>0</v>
      </c>
      <c r="K1511" s="221">
        <f ca="1">IF($S$1&lt;DATE(2025,6,1)," ",SUMIFS('2025数据'!$BJ$3:$BJ$181,'2025数据'!$T$3:$T$181,"&gt;="&amp;DATE(2025,6,1),'2025数据'!$T$3:$T$181,"&lt;="&amp;DATE(2025,6,30),'2025数据'!$BL$3:$BL$181,$E39)/10000)</f>
        <v>0</v>
      </c>
      <c r="L1511" s="221">
        <f ca="1">IF($S$1&lt;DATE(2025,7,1)," ",SUMIFS('2025数据'!$BJ$3:$BJ$181,'2025数据'!$T$3:$T$181,"&gt;="&amp;DATE(2025,7,1),'2025数据'!$T$3:$T$181,"&lt;="&amp;DATE(2025,7,31),'2025数据'!$BL$3:$BL$181,$E39)/10000)</f>
        <v>0.845678</v>
      </c>
      <c r="M1511" s="221">
        <f ca="1">IF($S$1&lt;DATE(2025,8,1)," ",SUMIFS('2025数据'!$BJ$3:$BJ$181,'2025数据'!$T$3:$T$181,"&gt;="&amp;DATE(2025,8,1),'2025数据'!$T$3:$T$181,"&lt;="&amp;DATE(2025,8,31),'2025数据'!$BL$3:$BL$181,$E39)/10000)</f>
        <v>0</v>
      </c>
      <c r="N1511" s="221">
        <f ca="1">IF($S$1&lt;DATE(2025,9,1)," ",SUMIFS('2025数据'!$BJ$3:$BJ$181,'2025数据'!$T$3:$T$181,"&gt;="&amp;DATE(2025,9,1),'2025数据'!$T$3:$T$181,"&lt;="&amp;DATE(2025,9,30),'2025数据'!$BL$3:$BL$181,$E39)/10000)</f>
        <v>0</v>
      </c>
      <c r="O1511" s="221">
        <f ca="1">IF($S$1&lt;DATE(2025,10,1)," ",SUMIFS('2025数据'!$BJ$3:$BJ$181,'2025数据'!$T$3:$T$181,"&gt;="&amp;DATE(2025,10,1),'2025数据'!$T$3:$T$181,"&lt;="&amp;DATE(2025,10,31),'2025数据'!$BL$3:$BL$181,$E39)/10000)</f>
        <v>0</v>
      </c>
      <c r="P1511" s="225">
        <f ca="1">IF($S$1&lt;DATE(2025,11,1)," ",SUMIFS('2025数据'!$BJ$3:$BJ$181,'2025数据'!$T$3:$T$181,"&gt;="&amp;DATE(2025,11,1),'2025数据'!$T$3:$T$181,"&lt;="&amp;DATE(2025,11,30),'2025数据'!$BL$3:$BL$181,$E39)/10000)</f>
        <v>0</v>
      </c>
      <c r="Q1511" s="225">
        <f ca="1">IF($S$1&lt;DATE(2025,12,1)," ",SUMIFS('2025数据'!$BJ$3:$BJ$181,'2025数据'!$T$3:$T$181,"&gt;="&amp;DATE(2025,12,1),'2025数据'!$T$3:$T$181,"&lt;="&amp;DATE(2025,12,31),'2025数据'!$BL$3:$BL$181,$E39)/10000)</f>
        <v>0</v>
      </c>
    </row>
    <row r="1512" ht="24" customHeight="1" spans="1:17">
      <c r="A1512" s="99" t="s">
        <v>348</v>
      </c>
      <c r="B1512" s="99" t="s">
        <v>299</v>
      </c>
      <c r="C1512" s="99" t="s">
        <v>343</v>
      </c>
      <c r="D1512" s="218" t="s">
        <v>292</v>
      </c>
      <c r="E1512" s="220" t="s">
        <v>340</v>
      </c>
      <c r="F1512" s="222">
        <f ca="1" t="shared" ref="F1512:F1514" si="1383">IF($S$1&lt;DATE(2025,1,1)," ",F1509)</f>
        <v>3.040196</v>
      </c>
      <c r="G1512" s="222">
        <f ca="1" t="shared" ref="G1512:G1514" si="1384">IF($S$1&lt;DATE(2025,2,1)," ",F1512+G1509)</f>
        <v>5.886664</v>
      </c>
      <c r="H1512" s="222">
        <f ca="1" t="shared" ref="H1512:H1514" si="1385">IF($S$1&lt;DATE(2025,3,1)," ",G1512+H1509)</f>
        <v>5.886664</v>
      </c>
      <c r="I1512" s="222">
        <f ca="1" t="shared" ref="I1512:I1514" si="1386">IF($S$1&lt;DATE(2025,4,1)," ",H1512+I1509)</f>
        <v>5.886664</v>
      </c>
      <c r="J1512" s="222">
        <f ca="1" t="shared" ref="J1512:J1514" si="1387">IF($S$1&lt;DATE(2025,5,1)," ",I1512+J1509)</f>
        <v>8.947117</v>
      </c>
      <c r="K1512" s="222">
        <f ca="1" t="shared" ref="K1512:K1514" si="1388">IF($S$1&lt;DATE(2025,6,1)," ",J1512+K1509)</f>
        <v>10.837643</v>
      </c>
      <c r="L1512" s="222">
        <f ca="1" t="shared" ref="L1512:L1514" si="1389">IF($S$1&lt;DATE(2025,7,1)," ",K1512+L1509)</f>
        <v>11.831711</v>
      </c>
      <c r="M1512" s="222">
        <f ca="1" t="shared" ref="M1512:M1514" si="1390">IF($S$1&lt;DATE(2025,8,1)," ",L1512+M1509)</f>
        <v>16.697724</v>
      </c>
      <c r="N1512" s="222">
        <f ca="1" t="shared" ref="N1512:N1514" si="1391">IF($S$1&lt;DATE(2025,9,1)," ",M1512+N1509)</f>
        <v>21.279795</v>
      </c>
      <c r="O1512" s="222">
        <f ca="1" t="shared" ref="O1512:O1514" si="1392">IF($S$1&lt;DATE(2025,10,1)," ",N1512+O1509)</f>
        <v>21.875191</v>
      </c>
      <c r="P1512" s="222">
        <f ca="1" t="shared" ref="P1512:P1514" si="1393">IF($S$1&lt;DATE(2025,11,1)," ",O1512+P1509)</f>
        <v>23.077886</v>
      </c>
      <c r="Q1512" s="222">
        <f ca="1" t="shared" ref="Q1512:Q1514" si="1394">IF($S$1&lt;DATE(2025,12,1)," ",P1512+Q1509)</f>
        <v>25.509624</v>
      </c>
    </row>
    <row r="1513" ht="24" customHeight="1" spans="1:17">
      <c r="A1513" s="99" t="s">
        <v>348</v>
      </c>
      <c r="B1513" s="99" t="s">
        <v>299</v>
      </c>
      <c r="C1513" s="99" t="s">
        <v>343</v>
      </c>
      <c r="D1513" s="218" t="s">
        <v>292</v>
      </c>
      <c r="E1513" s="220" t="s">
        <v>341</v>
      </c>
      <c r="F1513" s="222">
        <f ca="1" t="shared" si="1383"/>
        <v>0.0943</v>
      </c>
      <c r="G1513" s="222">
        <f ca="1" t="shared" si="1384"/>
        <v>0.465308</v>
      </c>
      <c r="H1513" s="222">
        <f ca="1" t="shared" si="1385"/>
        <v>2.124056</v>
      </c>
      <c r="I1513" s="222">
        <f ca="1" t="shared" si="1386"/>
        <v>3.827355</v>
      </c>
      <c r="J1513" s="222">
        <f ca="1" t="shared" si="1387"/>
        <v>8.397285</v>
      </c>
      <c r="K1513" s="222">
        <f ca="1" t="shared" si="1388"/>
        <v>13.147635</v>
      </c>
      <c r="L1513" s="222">
        <f ca="1" t="shared" si="1389"/>
        <v>13.552211</v>
      </c>
      <c r="M1513" s="222">
        <f ca="1" t="shared" si="1390"/>
        <v>15.20958</v>
      </c>
      <c r="N1513" s="222">
        <f ca="1" t="shared" si="1391"/>
        <v>17.891848</v>
      </c>
      <c r="O1513" s="222">
        <f ca="1" t="shared" si="1392"/>
        <v>19.670568</v>
      </c>
      <c r="P1513" s="222">
        <f ca="1" t="shared" si="1393"/>
        <v>19.670568</v>
      </c>
      <c r="Q1513" s="222">
        <f ca="1" t="shared" si="1394"/>
        <v>20.561543</v>
      </c>
    </row>
    <row r="1514" ht="24" customHeight="1" spans="1:17">
      <c r="A1514" s="99" t="s">
        <v>348</v>
      </c>
      <c r="B1514" s="99" t="s">
        <v>299</v>
      </c>
      <c r="C1514" s="99" t="s">
        <v>343</v>
      </c>
      <c r="D1514" s="218" t="s">
        <v>292</v>
      </c>
      <c r="E1514" s="220" t="s">
        <v>342</v>
      </c>
      <c r="F1514" s="222">
        <f ca="1" t="shared" si="1383"/>
        <v>0</v>
      </c>
      <c r="G1514" s="222">
        <f ca="1" t="shared" si="1384"/>
        <v>0</v>
      </c>
      <c r="H1514" s="222">
        <f ca="1" t="shared" si="1385"/>
        <v>0</v>
      </c>
      <c r="I1514" s="222">
        <f ca="1" t="shared" si="1386"/>
        <v>0.29998</v>
      </c>
      <c r="J1514" s="222">
        <f ca="1" t="shared" si="1387"/>
        <v>0.29998</v>
      </c>
      <c r="K1514" s="222">
        <f ca="1" t="shared" si="1388"/>
        <v>0.29998</v>
      </c>
      <c r="L1514" s="222">
        <f ca="1" t="shared" si="1389"/>
        <v>1.145658</v>
      </c>
      <c r="M1514" s="222">
        <f ca="1" t="shared" si="1390"/>
        <v>1.145658</v>
      </c>
      <c r="N1514" s="222">
        <f ca="1" t="shared" si="1391"/>
        <v>1.145658</v>
      </c>
      <c r="O1514" s="222">
        <f ca="1" t="shared" si="1392"/>
        <v>1.145658</v>
      </c>
      <c r="P1514" s="222">
        <f ca="1" t="shared" si="1393"/>
        <v>1.145658</v>
      </c>
      <c r="Q1514" s="222">
        <f ca="1" t="shared" si="1394"/>
        <v>1.145658</v>
      </c>
    </row>
    <row r="1515" ht="24" customHeight="1" spans="1:17">
      <c r="A1515" s="99" t="s">
        <v>348</v>
      </c>
      <c r="B1515" s="99" t="s">
        <v>299</v>
      </c>
      <c r="C1515" s="99" t="s">
        <v>343</v>
      </c>
      <c r="D1515" s="114" t="s">
        <v>292</v>
      </c>
      <c r="E1515" s="114" t="s">
        <v>320</v>
      </c>
      <c r="F1515" s="215">
        <f ca="1">IF($S$1&lt;DATE(2025,1,1)," ",IF(SUM(F1516:F1522)&lt;&gt;SUM(F1530:F1534),"ERR",SUM(F1516:F1522)))</f>
        <v>3.032527</v>
      </c>
      <c r="G1515" s="215">
        <f ca="1">IF($S$1&lt;DATE(2025,2,1)," ",IF(SUM(G1516:G1522)&lt;&gt;SUM(G1530:G1534),"ERR",SUM(G1516:G1522)))</f>
        <v>6.198681</v>
      </c>
      <c r="H1515" s="215">
        <f ca="1">IF($S$1&lt;DATE(2025,3,1)," ",IF(SUM(H1516:H1522)&lt;&gt;SUM(H1530:H1534),"ERR",SUM(H1516:H1522)))</f>
        <v>7.872082</v>
      </c>
      <c r="I1515" s="215">
        <f ca="1">IF($S$1&lt;DATE(2025,4,1)," ",IF(SUM(I1516:I1522)&lt;&gt;SUM(I1530:I1534),"ERR",SUM(I1516:I1522)))</f>
        <v>9.890449</v>
      </c>
      <c r="J1515" s="215">
        <f ca="1">IF($S$1&lt;DATE(2025,5,1)," ",IF(SUM(J1516:J1522)&lt;&gt;SUM(J1530:J1534),"ERR",SUM(J1516:J1522)))</f>
        <v>17.441222</v>
      </c>
      <c r="K1515" s="215">
        <f ca="1">IF($S$1&lt;DATE(2025,6,1)," ",IF(SUM(K1516:K1522)&lt;&gt;SUM(K1530:K1534),"ERR",SUM(K1516:K1522)))</f>
        <v>23.884967</v>
      </c>
      <c r="L1515" s="215">
        <f ca="1">IF($S$1&lt;DATE(2025,7,1)," ",IF(SUM(L1516:L1522)&lt;&gt;SUM(L1530:L1534),"ERR",SUM(L1516:L1522)))</f>
        <v>26.129362</v>
      </c>
      <c r="M1515" s="215">
        <f ca="1">IF($S$1&lt;DATE(2025,8,1)," ",IF(SUM(M1516:M1522)&lt;&gt;SUM(M1530:M1534),"ERR",SUM(M1516:M1522)))</f>
        <v>32.532864</v>
      </c>
      <c r="N1515" s="215">
        <f ca="1">IF($S$1&lt;DATE(2025,9,1)," ",IF(SUM(N1516:N1522)&lt;&gt;SUM(N1530:N1534),"ERR",SUM(N1516:N1522)))</f>
        <v>39.739685</v>
      </c>
      <c r="O1515" s="215">
        <f ca="1">IF($S$1&lt;DATE(2025,10,1)," ",IF(SUM(O1516:O1522)&lt;&gt;SUM(O1530:O1534),"ERR",SUM(O1516:O1522)))</f>
        <v>42.144958</v>
      </c>
      <c r="P1515" s="215">
        <f ca="1">IF($S$1&lt;DATE(2025,11,1)," ",IF(SUM(P1516:P1522)&lt;&gt;SUM(P1530:P1534),"ERR",SUM(P1516:P1522)))</f>
        <v>43.319184</v>
      </c>
      <c r="Q1515" s="215">
        <f ca="1">IF($S$1&lt;DATE(2025,12,1)," ",IF(SUM(Q1516:Q1522)&lt;&gt;SUM(Q1530:Q1534),"ERR",SUM(Q1516:Q1522)))</f>
        <v>46.675238</v>
      </c>
    </row>
    <row r="1516" ht="24" customHeight="1" spans="1:17">
      <c r="A1516" s="99" t="s">
        <v>348</v>
      </c>
      <c r="B1516" s="99" t="s">
        <v>299</v>
      </c>
      <c r="C1516" s="99" t="s">
        <v>343</v>
      </c>
      <c r="D1516" s="48" t="s">
        <v>31</v>
      </c>
      <c r="E1516" s="48" t="s">
        <v>90</v>
      </c>
      <c r="F1516" s="51">
        <f ca="1" t="shared" ref="F1516:F1522" si="1395">IF($S$1&lt;DATE(2025,1,1)," ",F1464)</f>
        <v>1.397501</v>
      </c>
      <c r="G1516" s="51">
        <f ca="1" t="shared" ref="G1516:G1522" si="1396">IF($S$1&lt;DATE(2025,2,1)," ",G1464+F1516)</f>
        <v>4.15891</v>
      </c>
      <c r="H1516" s="51">
        <f ca="1" t="shared" ref="H1516:H1522" si="1397">IF($S$1&lt;DATE(2025,3,1)," ",H1464+G1516)</f>
        <v>5.774259</v>
      </c>
      <c r="I1516" s="51">
        <f ca="1" t="shared" ref="I1516:I1522" si="1398">IF($S$1&lt;DATE(2025,4,1)," ",I1464+H1516)</f>
        <v>5.774259</v>
      </c>
      <c r="J1516" s="51">
        <f ca="1" t="shared" ref="J1516:J1522" si="1399">IF($S$1&lt;DATE(2025,5,1)," ",J1464+I1516)</f>
        <v>5.774259</v>
      </c>
      <c r="K1516" s="51">
        <f ca="1" t="shared" ref="K1516:K1522" si="1400">IF($S$1&lt;DATE(2025,6,1)," ",K1464+J1516)</f>
        <v>7.339361</v>
      </c>
      <c r="L1516" s="51">
        <f ca="1" t="shared" ref="L1516:L1522" si="1401">IF($S$1&lt;DATE(2025,7,1)," ",L1464+K1516)</f>
        <v>8.185039</v>
      </c>
      <c r="M1516" s="51">
        <f ca="1" t="shared" ref="M1516:M1522" si="1402">IF($S$1&lt;DATE(2025,8,1)," ",M1464+L1516)</f>
        <v>8.461385</v>
      </c>
      <c r="N1516" s="51">
        <f ca="1" t="shared" ref="N1516:N1522" si="1403">IF($S$1&lt;DATE(2025,9,1)," ",N1464+M1516)</f>
        <v>9.407336</v>
      </c>
      <c r="O1516" s="51">
        <f ca="1" t="shared" ref="O1516:O1522" si="1404">IF($S$1&lt;DATE(2025,10,1)," ",O1464+N1516)</f>
        <v>11.006888</v>
      </c>
      <c r="P1516" s="51">
        <f ca="1" t="shared" ref="P1516:P1522" si="1405">IF($S$1&lt;DATE(2025,11,1)," ",P1464+O1516)</f>
        <v>11.006888</v>
      </c>
      <c r="Q1516" s="51">
        <f ca="1" t="shared" ref="Q1516:Q1522" si="1406">IF($S$1&lt;DATE(2025,12,1)," ",Q1464+P1516)</f>
        <v>12.988396</v>
      </c>
    </row>
    <row r="1517" ht="24" customHeight="1" spans="1:17">
      <c r="A1517" s="99" t="s">
        <v>348</v>
      </c>
      <c r="B1517" s="99" t="s">
        <v>299</v>
      </c>
      <c r="C1517" s="99" t="s">
        <v>343</v>
      </c>
      <c r="D1517" s="48" t="s">
        <v>31</v>
      </c>
      <c r="E1517" s="48" t="s">
        <v>82</v>
      </c>
      <c r="F1517" s="51">
        <f ca="1" t="shared" si="1395"/>
        <v>0</v>
      </c>
      <c r="G1517" s="51">
        <f ca="1" t="shared" si="1396"/>
        <v>0</v>
      </c>
      <c r="H1517" s="51">
        <f ca="1" t="shared" si="1397"/>
        <v>0.058052</v>
      </c>
      <c r="I1517" s="51">
        <f ca="1" t="shared" si="1398"/>
        <v>0.058052</v>
      </c>
      <c r="J1517" s="51">
        <f ca="1" t="shared" si="1399"/>
        <v>2.435738</v>
      </c>
      <c r="K1517" s="51">
        <f ca="1" t="shared" si="1400"/>
        <v>2.73445</v>
      </c>
      <c r="L1517" s="51">
        <f ca="1" t="shared" si="1401"/>
        <v>3.710671</v>
      </c>
      <c r="M1517" s="51">
        <f ca="1" t="shared" si="1402"/>
        <v>6.664967</v>
      </c>
      <c r="N1517" s="51">
        <f ca="1" t="shared" si="1403"/>
        <v>7.161975</v>
      </c>
      <c r="O1517" s="51">
        <f ca="1" t="shared" si="1404"/>
        <v>7.967696</v>
      </c>
      <c r="P1517" s="51">
        <f ca="1" t="shared" si="1405"/>
        <v>7.967696</v>
      </c>
      <c r="Q1517" s="51">
        <f ca="1" t="shared" si="1406"/>
        <v>8.392147</v>
      </c>
    </row>
    <row r="1518" ht="24" customHeight="1" spans="1:17">
      <c r="A1518" s="99" t="s">
        <v>348</v>
      </c>
      <c r="B1518" s="99" t="s">
        <v>299</v>
      </c>
      <c r="C1518" s="99" t="s">
        <v>343</v>
      </c>
      <c r="D1518" s="48" t="s">
        <v>31</v>
      </c>
      <c r="E1518" s="48" t="s">
        <v>86</v>
      </c>
      <c r="F1518" s="51">
        <f ca="1" t="shared" si="1395"/>
        <v>1.635026</v>
      </c>
      <c r="G1518" s="51">
        <f ca="1" t="shared" si="1396"/>
        <v>2.039771</v>
      </c>
      <c r="H1518" s="51">
        <f ca="1" t="shared" si="1397"/>
        <v>2.039771</v>
      </c>
      <c r="I1518" s="51">
        <f ca="1" t="shared" si="1398"/>
        <v>2.039771</v>
      </c>
      <c r="J1518" s="51">
        <f ca="1" t="shared" si="1399"/>
        <v>4.916386</v>
      </c>
      <c r="K1518" s="51">
        <f ca="1" t="shared" si="1400"/>
        <v>5.485672</v>
      </c>
      <c r="L1518" s="51">
        <f ca="1" t="shared" si="1401"/>
        <v>5.485672</v>
      </c>
      <c r="M1518" s="51">
        <f ca="1" t="shared" si="1402"/>
        <v>7.980759</v>
      </c>
      <c r="N1518" s="51">
        <f ca="1" t="shared" si="1403"/>
        <v>9.324125</v>
      </c>
      <c r="O1518" s="51">
        <f ca="1" t="shared" si="1404"/>
        <v>9.324125</v>
      </c>
      <c r="P1518" s="51">
        <f ca="1" t="shared" si="1405"/>
        <v>10.498351</v>
      </c>
      <c r="Q1518" s="51">
        <f ca="1" t="shared" si="1406"/>
        <v>10.904258</v>
      </c>
    </row>
    <row r="1519" ht="24" customHeight="1" spans="1:17">
      <c r="A1519" s="99" t="s">
        <v>348</v>
      </c>
      <c r="B1519" s="99" t="s">
        <v>299</v>
      </c>
      <c r="C1519" s="99" t="s">
        <v>343</v>
      </c>
      <c r="D1519" s="48" t="s">
        <v>31</v>
      </c>
      <c r="E1519" s="48" t="s">
        <v>97</v>
      </c>
      <c r="F1519" s="51">
        <f ca="1" t="shared" si="1395"/>
        <v>0</v>
      </c>
      <c r="G1519" s="51">
        <f ca="1" t="shared" si="1396"/>
        <v>0</v>
      </c>
      <c r="H1519" s="51">
        <f ca="1" t="shared" si="1397"/>
        <v>0</v>
      </c>
      <c r="I1519" s="51">
        <f ca="1" t="shared" si="1398"/>
        <v>2.018367</v>
      </c>
      <c r="J1519" s="51">
        <f ca="1" t="shared" si="1399"/>
        <v>4.314839</v>
      </c>
      <c r="K1519" s="51">
        <f ca="1" t="shared" si="1400"/>
        <v>8.325484</v>
      </c>
      <c r="L1519" s="51">
        <f ca="1" t="shared" si="1401"/>
        <v>8.325484</v>
      </c>
      <c r="M1519" s="51">
        <f ca="1" t="shared" si="1402"/>
        <v>8.325484</v>
      </c>
      <c r="N1519" s="51">
        <f ca="1" t="shared" si="1403"/>
        <v>12.74598</v>
      </c>
      <c r="O1519" s="51">
        <f ca="1" t="shared" si="1404"/>
        <v>12.74598</v>
      </c>
      <c r="P1519" s="51">
        <f ca="1" t="shared" si="1405"/>
        <v>12.74598</v>
      </c>
      <c r="Q1519" s="51">
        <f ca="1" t="shared" si="1406"/>
        <v>13.290168</v>
      </c>
    </row>
    <row r="1520" ht="24" customHeight="1" spans="1:17">
      <c r="A1520" s="99" t="s">
        <v>348</v>
      </c>
      <c r="B1520" s="99" t="s">
        <v>299</v>
      </c>
      <c r="C1520" s="99" t="s">
        <v>343</v>
      </c>
      <c r="D1520" s="48" t="s">
        <v>31</v>
      </c>
      <c r="E1520" s="48" t="s">
        <v>87</v>
      </c>
      <c r="F1520" s="51">
        <f ca="1" t="shared" si="1395"/>
        <v>0</v>
      </c>
      <c r="G1520" s="51">
        <f ca="1" t="shared" si="1396"/>
        <v>0</v>
      </c>
      <c r="H1520" s="51">
        <f ca="1" t="shared" si="1397"/>
        <v>0</v>
      </c>
      <c r="I1520" s="51">
        <f ca="1" t="shared" si="1398"/>
        <v>0</v>
      </c>
      <c r="J1520" s="51">
        <f ca="1" t="shared" si="1399"/>
        <v>0</v>
      </c>
      <c r="K1520" s="51">
        <f ca="1" t="shared" si="1400"/>
        <v>0</v>
      </c>
      <c r="L1520" s="51">
        <f ca="1" t="shared" si="1401"/>
        <v>0.422496</v>
      </c>
      <c r="M1520" s="51">
        <f ca="1" t="shared" si="1402"/>
        <v>0.422496</v>
      </c>
      <c r="N1520" s="51">
        <f ca="1" t="shared" si="1403"/>
        <v>0.422496</v>
      </c>
      <c r="O1520" s="51">
        <f ca="1" t="shared" si="1404"/>
        <v>0.422496</v>
      </c>
      <c r="P1520" s="51">
        <f ca="1" t="shared" si="1405"/>
        <v>0.422496</v>
      </c>
      <c r="Q1520" s="51">
        <f ca="1" t="shared" si="1406"/>
        <v>0.422496</v>
      </c>
    </row>
    <row r="1521" ht="24" customHeight="1" spans="1:17">
      <c r="A1521" s="99" t="s">
        <v>348</v>
      </c>
      <c r="B1521" s="99" t="s">
        <v>299</v>
      </c>
      <c r="C1521" s="99" t="s">
        <v>343</v>
      </c>
      <c r="D1521" s="48" t="s">
        <v>31</v>
      </c>
      <c r="E1521" s="48" t="s">
        <v>149</v>
      </c>
      <c r="F1521" s="51">
        <f ca="1" t="shared" si="1395"/>
        <v>0</v>
      </c>
      <c r="G1521" s="51">
        <f ca="1" t="shared" si="1396"/>
        <v>0</v>
      </c>
      <c r="H1521" s="51">
        <f ca="1" t="shared" si="1397"/>
        <v>0</v>
      </c>
      <c r="I1521" s="51">
        <f ca="1" t="shared" si="1398"/>
        <v>0</v>
      </c>
      <c r="J1521" s="51">
        <f ca="1" t="shared" si="1399"/>
        <v>0</v>
      </c>
      <c r="K1521" s="51">
        <f ca="1" t="shared" si="1400"/>
        <v>0</v>
      </c>
      <c r="L1521" s="51">
        <f ca="1" t="shared" si="1401"/>
        <v>0</v>
      </c>
      <c r="M1521" s="51">
        <f ca="1" t="shared" si="1402"/>
        <v>0</v>
      </c>
      <c r="N1521" s="51">
        <f ca="1" t="shared" si="1403"/>
        <v>0</v>
      </c>
      <c r="O1521" s="51">
        <f ca="1" t="shared" si="1404"/>
        <v>0</v>
      </c>
      <c r="P1521" s="51">
        <f ca="1" t="shared" si="1405"/>
        <v>0</v>
      </c>
      <c r="Q1521" s="51">
        <f ca="1" t="shared" si="1406"/>
        <v>0</v>
      </c>
    </row>
    <row r="1522" ht="24" customHeight="1" spans="1:17">
      <c r="A1522" s="99" t="s">
        <v>348</v>
      </c>
      <c r="B1522" s="99" t="s">
        <v>299</v>
      </c>
      <c r="C1522" s="99" t="s">
        <v>343</v>
      </c>
      <c r="D1522" s="48" t="s">
        <v>31</v>
      </c>
      <c r="E1522" s="48" t="s">
        <v>83</v>
      </c>
      <c r="F1522" s="51">
        <f ca="1" t="shared" si="1395"/>
        <v>0</v>
      </c>
      <c r="G1522" s="51">
        <f ca="1" t="shared" si="1396"/>
        <v>0</v>
      </c>
      <c r="H1522" s="51">
        <f ca="1" t="shared" si="1397"/>
        <v>0</v>
      </c>
      <c r="I1522" s="51">
        <f ca="1" t="shared" si="1398"/>
        <v>0</v>
      </c>
      <c r="J1522" s="51">
        <f ca="1" t="shared" si="1399"/>
        <v>0</v>
      </c>
      <c r="K1522" s="51">
        <f ca="1" t="shared" si="1400"/>
        <v>0</v>
      </c>
      <c r="L1522" s="51">
        <f ca="1" t="shared" si="1401"/>
        <v>0</v>
      </c>
      <c r="M1522" s="51">
        <f ca="1" t="shared" si="1402"/>
        <v>0.677773</v>
      </c>
      <c r="N1522" s="51">
        <f ca="1" t="shared" si="1403"/>
        <v>0.677773</v>
      </c>
      <c r="O1522" s="51">
        <f ca="1" t="shared" si="1404"/>
        <v>0.677773</v>
      </c>
      <c r="P1522" s="51">
        <f ca="1" t="shared" si="1405"/>
        <v>0.677773</v>
      </c>
      <c r="Q1522" s="51">
        <f ca="1" t="shared" si="1406"/>
        <v>0.677773</v>
      </c>
    </row>
    <row r="1523" ht="24" customHeight="1" spans="1:17">
      <c r="A1523" s="99" t="s">
        <v>348</v>
      </c>
      <c r="B1523" s="99" t="s">
        <v>299</v>
      </c>
      <c r="C1523" s="99" t="s">
        <v>343</v>
      </c>
      <c r="D1523" s="48" t="s">
        <v>321</v>
      </c>
      <c r="E1523" s="48" t="s">
        <v>90</v>
      </c>
      <c r="F1523" s="112">
        <f ca="1" t="shared" ref="F1523:Q1523" si="1407">IFERROR(F1516/F1515," ")</f>
        <v>0.460837117031439</v>
      </c>
      <c r="G1523" s="112">
        <f ca="1" t="shared" si="1407"/>
        <v>0.670934671424453</v>
      </c>
      <c r="H1523" s="112">
        <f ca="1" t="shared" si="1407"/>
        <v>0.73351103304056</v>
      </c>
      <c r="I1523" s="112">
        <f ca="1" t="shared" si="1407"/>
        <v>0.583821725383752</v>
      </c>
      <c r="J1523" s="112">
        <f ca="1" t="shared" si="1407"/>
        <v>0.331069634914343</v>
      </c>
      <c r="K1523" s="112">
        <f ca="1" t="shared" si="1407"/>
        <v>0.307279511836881</v>
      </c>
      <c r="L1523" s="112">
        <f ca="1" t="shared" si="1407"/>
        <v>0.313250625866793</v>
      </c>
      <c r="M1523" s="112">
        <f ca="1" t="shared" si="1407"/>
        <v>0.260087307407058</v>
      </c>
      <c r="N1523" s="112">
        <f ca="1" t="shared" si="1407"/>
        <v>0.236723970006305</v>
      </c>
      <c r="O1523" s="112">
        <f ca="1" t="shared" si="1407"/>
        <v>0.261167373805426</v>
      </c>
      <c r="P1523" s="112">
        <f ca="1" t="shared" si="1407"/>
        <v>0.254088073311815</v>
      </c>
      <c r="Q1523" s="112">
        <f ca="1" t="shared" si="1407"/>
        <v>0.278271660875088</v>
      </c>
    </row>
    <row r="1524" ht="24" customHeight="1" spans="1:17">
      <c r="A1524" s="99" t="s">
        <v>348</v>
      </c>
      <c r="B1524" s="99" t="s">
        <v>299</v>
      </c>
      <c r="C1524" s="99" t="s">
        <v>343</v>
      </c>
      <c r="D1524" s="48" t="s">
        <v>321</v>
      </c>
      <c r="E1524" s="48" t="s">
        <v>82</v>
      </c>
      <c r="F1524" s="112">
        <f ca="1" t="shared" ref="F1524:Q1524" si="1408">IFERROR(F1517/F1515," ")</f>
        <v>0</v>
      </c>
      <c r="G1524" s="112">
        <f ca="1" t="shared" si="1408"/>
        <v>0</v>
      </c>
      <c r="H1524" s="112">
        <f ca="1" t="shared" si="1408"/>
        <v>0.00737441505309523</v>
      </c>
      <c r="I1524" s="112">
        <f ca="1" t="shared" si="1408"/>
        <v>0.00586950097007729</v>
      </c>
      <c r="J1524" s="112">
        <f ca="1" t="shared" si="1408"/>
        <v>0.13965409075121</v>
      </c>
      <c r="K1524" s="112">
        <f ca="1" t="shared" si="1408"/>
        <v>0.114484143938738</v>
      </c>
      <c r="L1524" s="112">
        <f ca="1" t="shared" si="1408"/>
        <v>0.142011542417301</v>
      </c>
      <c r="M1524" s="112">
        <f ca="1" t="shared" si="1408"/>
        <v>0.204868744417952</v>
      </c>
      <c r="N1524" s="112">
        <f ca="1" t="shared" si="1408"/>
        <v>0.180222238802346</v>
      </c>
      <c r="O1524" s="112">
        <f ca="1" t="shared" si="1408"/>
        <v>0.189054548351905</v>
      </c>
      <c r="P1524" s="112">
        <f ca="1" t="shared" si="1408"/>
        <v>0.183929965070441</v>
      </c>
      <c r="Q1524" s="112">
        <f ca="1" t="shared" si="1408"/>
        <v>0.179798697544938</v>
      </c>
    </row>
    <row r="1525" ht="24" customHeight="1" spans="1:17">
      <c r="A1525" s="99" t="s">
        <v>348</v>
      </c>
      <c r="B1525" s="99" t="s">
        <v>299</v>
      </c>
      <c r="C1525" s="99" t="s">
        <v>343</v>
      </c>
      <c r="D1525" s="48" t="s">
        <v>321</v>
      </c>
      <c r="E1525" s="48" t="s">
        <v>86</v>
      </c>
      <c r="F1525" s="112">
        <f ca="1" t="shared" ref="F1525:Q1525" si="1409">IFERROR(F1518/F1515," ")</f>
        <v>0.539162882968561</v>
      </c>
      <c r="G1525" s="112">
        <f ca="1" t="shared" si="1409"/>
        <v>0.329065328575547</v>
      </c>
      <c r="H1525" s="112">
        <f ca="1" t="shared" si="1409"/>
        <v>0.259114551906344</v>
      </c>
      <c r="I1525" s="112">
        <f ca="1" t="shared" si="1409"/>
        <v>0.206236440832969</v>
      </c>
      <c r="J1525" s="112">
        <f ca="1" t="shared" si="1409"/>
        <v>0.281883115758747</v>
      </c>
      <c r="K1525" s="112">
        <f ca="1" t="shared" si="1409"/>
        <v>0.229670486879886</v>
      </c>
      <c r="L1525" s="112">
        <f ca="1" t="shared" si="1409"/>
        <v>0.20994282217836</v>
      </c>
      <c r="M1525" s="112">
        <f ca="1" t="shared" si="1409"/>
        <v>0.245313754116453</v>
      </c>
      <c r="N1525" s="112">
        <f ca="1" t="shared" si="1409"/>
        <v>0.234630068154793</v>
      </c>
      <c r="O1525" s="112">
        <f ca="1" t="shared" si="1409"/>
        <v>0.221239394757494</v>
      </c>
      <c r="P1525" s="112">
        <f ca="1" t="shared" si="1409"/>
        <v>0.24234877092791</v>
      </c>
      <c r="Q1525" s="112">
        <f ca="1" t="shared" si="1409"/>
        <v>0.233619762153114</v>
      </c>
    </row>
    <row r="1526" ht="24" customHeight="1" spans="1:17">
      <c r="A1526" s="99" t="s">
        <v>348</v>
      </c>
      <c r="B1526" s="99" t="s">
        <v>299</v>
      </c>
      <c r="C1526" s="99" t="s">
        <v>343</v>
      </c>
      <c r="D1526" s="48" t="s">
        <v>321</v>
      </c>
      <c r="E1526" s="48" t="s">
        <v>97</v>
      </c>
      <c r="F1526" s="112">
        <f ca="1" t="shared" ref="F1526:Q1526" si="1410">IFERROR(F1519/F1515," ")</f>
        <v>0</v>
      </c>
      <c r="G1526" s="112">
        <f ca="1" t="shared" si="1410"/>
        <v>0</v>
      </c>
      <c r="H1526" s="112">
        <f ca="1" t="shared" si="1410"/>
        <v>0</v>
      </c>
      <c r="I1526" s="112">
        <f ca="1" t="shared" si="1410"/>
        <v>0.204072332813202</v>
      </c>
      <c r="J1526" s="112">
        <f ca="1" t="shared" si="1410"/>
        <v>0.247393158575701</v>
      </c>
      <c r="K1526" s="112">
        <f ca="1" t="shared" si="1410"/>
        <v>0.348565857344496</v>
      </c>
      <c r="L1526" s="112">
        <f ca="1" t="shared" si="1410"/>
        <v>0.318625613591331</v>
      </c>
      <c r="M1526" s="112">
        <f ca="1" t="shared" si="1410"/>
        <v>0.255909962307653</v>
      </c>
      <c r="N1526" s="112">
        <f ca="1" t="shared" si="1410"/>
        <v>0.320736815100573</v>
      </c>
      <c r="O1526" s="112">
        <f ca="1" t="shared" si="1410"/>
        <v>0.302431906564007</v>
      </c>
      <c r="P1526" s="112">
        <f ca="1" t="shared" si="1410"/>
        <v>0.294234074215248</v>
      </c>
      <c r="Q1526" s="112">
        <f ca="1" t="shared" si="1410"/>
        <v>0.284737016231176</v>
      </c>
    </row>
    <row r="1527" ht="24" customHeight="1" spans="1:17">
      <c r="A1527" s="99" t="s">
        <v>348</v>
      </c>
      <c r="B1527" s="99" t="s">
        <v>299</v>
      </c>
      <c r="C1527" s="99" t="s">
        <v>343</v>
      </c>
      <c r="D1527" s="48" t="s">
        <v>321</v>
      </c>
      <c r="E1527" s="48" t="s">
        <v>87</v>
      </c>
      <c r="F1527" s="112">
        <f ca="1" t="shared" ref="F1527:Q1527" si="1411">IFERROR(F1520/F1515," ")</f>
        <v>0</v>
      </c>
      <c r="G1527" s="112">
        <f ca="1" t="shared" si="1411"/>
        <v>0</v>
      </c>
      <c r="H1527" s="112">
        <f ca="1" t="shared" si="1411"/>
        <v>0</v>
      </c>
      <c r="I1527" s="112">
        <f ca="1" t="shared" si="1411"/>
        <v>0</v>
      </c>
      <c r="J1527" s="112">
        <f ca="1" t="shared" si="1411"/>
        <v>0</v>
      </c>
      <c r="K1527" s="112">
        <f ca="1" t="shared" si="1411"/>
        <v>0</v>
      </c>
      <c r="L1527" s="112">
        <f ca="1" t="shared" si="1411"/>
        <v>0.0161693959462156</v>
      </c>
      <c r="M1527" s="112">
        <f ca="1" t="shared" si="1411"/>
        <v>0.0129867447268092</v>
      </c>
      <c r="N1527" s="112">
        <f ca="1" t="shared" si="1411"/>
        <v>0.0106315890526057</v>
      </c>
      <c r="O1527" s="112">
        <f ca="1" t="shared" si="1411"/>
        <v>0.0100248290673347</v>
      </c>
      <c r="P1527" s="112">
        <f ca="1" t="shared" si="1411"/>
        <v>0.00975309230201566</v>
      </c>
      <c r="Q1527" s="112">
        <f ca="1" t="shared" si="1411"/>
        <v>0.00905182315299603</v>
      </c>
    </row>
    <row r="1528" ht="24" customHeight="1" spans="1:17">
      <c r="A1528" s="99" t="s">
        <v>348</v>
      </c>
      <c r="B1528" s="99" t="s">
        <v>299</v>
      </c>
      <c r="C1528" s="99" t="s">
        <v>343</v>
      </c>
      <c r="D1528" s="48" t="s">
        <v>321</v>
      </c>
      <c r="E1528" s="48" t="s">
        <v>149</v>
      </c>
      <c r="F1528" s="112">
        <f ca="1" t="shared" ref="F1528:Q1528" si="1412">IFERROR(F1521/F1515," ")</f>
        <v>0</v>
      </c>
      <c r="G1528" s="112">
        <f ca="1" t="shared" si="1412"/>
        <v>0</v>
      </c>
      <c r="H1528" s="112">
        <f ca="1" t="shared" si="1412"/>
        <v>0</v>
      </c>
      <c r="I1528" s="112">
        <f ca="1" t="shared" si="1412"/>
        <v>0</v>
      </c>
      <c r="J1528" s="112">
        <f ca="1" t="shared" si="1412"/>
        <v>0</v>
      </c>
      <c r="K1528" s="112">
        <f ca="1" t="shared" si="1412"/>
        <v>0</v>
      </c>
      <c r="L1528" s="112">
        <f ca="1" t="shared" si="1412"/>
        <v>0</v>
      </c>
      <c r="M1528" s="112">
        <f ca="1" t="shared" si="1412"/>
        <v>0</v>
      </c>
      <c r="N1528" s="112">
        <f ca="1" t="shared" si="1412"/>
        <v>0</v>
      </c>
      <c r="O1528" s="112">
        <f ca="1" t="shared" si="1412"/>
        <v>0</v>
      </c>
      <c r="P1528" s="112">
        <f ca="1" t="shared" si="1412"/>
        <v>0</v>
      </c>
      <c r="Q1528" s="112">
        <f ca="1" t="shared" si="1412"/>
        <v>0</v>
      </c>
    </row>
    <row r="1529" ht="24" customHeight="1" spans="1:17">
      <c r="A1529" s="99" t="s">
        <v>348</v>
      </c>
      <c r="B1529" s="99" t="s">
        <v>299</v>
      </c>
      <c r="C1529" s="99" t="s">
        <v>343</v>
      </c>
      <c r="D1529" s="48" t="s">
        <v>321</v>
      </c>
      <c r="E1529" s="48" t="s">
        <v>83</v>
      </c>
      <c r="F1529" s="112">
        <f ca="1" t="shared" ref="F1529:Q1529" si="1413">IFERROR(F1522/F1515," ")</f>
        <v>0</v>
      </c>
      <c r="G1529" s="112">
        <f ca="1" t="shared" si="1413"/>
        <v>0</v>
      </c>
      <c r="H1529" s="112">
        <f ca="1" t="shared" si="1413"/>
        <v>0</v>
      </c>
      <c r="I1529" s="112">
        <f ca="1" t="shared" si="1413"/>
        <v>0</v>
      </c>
      <c r="J1529" s="112">
        <f ca="1" t="shared" si="1413"/>
        <v>0</v>
      </c>
      <c r="K1529" s="112">
        <f ca="1" t="shared" si="1413"/>
        <v>0</v>
      </c>
      <c r="L1529" s="112">
        <f ca="1" t="shared" si="1413"/>
        <v>0</v>
      </c>
      <c r="M1529" s="112">
        <f ca="1" t="shared" si="1413"/>
        <v>0.0208334870240751</v>
      </c>
      <c r="N1529" s="112">
        <f ca="1" t="shared" si="1413"/>
        <v>0.0170553188833782</v>
      </c>
      <c r="O1529" s="112">
        <f ca="1" t="shared" si="1413"/>
        <v>0.016081947453833</v>
      </c>
      <c r="P1529" s="112">
        <f ca="1" t="shared" si="1413"/>
        <v>0.0156460241725698</v>
      </c>
      <c r="Q1529" s="112">
        <f ca="1" t="shared" si="1413"/>
        <v>0.0145210400426882</v>
      </c>
    </row>
    <row r="1530" ht="24" customHeight="1" spans="1:17">
      <c r="A1530" s="99" t="s">
        <v>348</v>
      </c>
      <c r="B1530" s="99" t="s">
        <v>299</v>
      </c>
      <c r="C1530" s="99" t="s">
        <v>343</v>
      </c>
      <c r="D1530" s="47" t="s">
        <v>294</v>
      </c>
      <c r="E1530" s="47" t="s">
        <v>93</v>
      </c>
      <c r="F1530" s="64">
        <f ca="1" t="shared" ref="F1530:F1534" si="1414">IF($S$1&lt;DATE(2025,1,1)," ",F1471)</f>
        <v>0</v>
      </c>
      <c r="G1530" s="64">
        <f ca="1" t="shared" ref="G1530:G1534" si="1415">IF($S$1&lt;DATE(2025,2,1)," ",G1471+F1530)</f>
        <v>3.166154</v>
      </c>
      <c r="H1530" s="64">
        <f ca="1" t="shared" ref="H1530:H1534" si="1416">IF($S$1&lt;DATE(2025,3,1)," ",H1471+G1530)</f>
        <v>4.839555</v>
      </c>
      <c r="I1530" s="64">
        <f ca="1" t="shared" ref="I1530:I1534" si="1417">IF($S$1&lt;DATE(2025,4,1)," ",I1471+H1530)</f>
        <v>6.557942</v>
      </c>
      <c r="J1530" s="64">
        <f ca="1" t="shared" ref="J1530:J1534" si="1418">IF($S$1&lt;DATE(2025,5,1)," ",J1471+I1530)</f>
        <v>13.453154</v>
      </c>
      <c r="K1530" s="64">
        <f ca="1" t="shared" ref="K1530:K1534" si="1419">IF($S$1&lt;DATE(2025,6,1)," ",K1471+J1530)</f>
        <v>19.327613</v>
      </c>
      <c r="L1530" s="64">
        <f ca="1" t="shared" ref="L1530:L1534" si="1420">IF($S$1&lt;DATE(2025,7,1)," ",L1471+K1530)</f>
        <v>19.750109</v>
      </c>
      <c r="M1530" s="64">
        <f ca="1" t="shared" ref="M1530:M1534" si="1421">IF($S$1&lt;DATE(2025,8,1)," ",M1471+L1530)</f>
        <v>20.67298</v>
      </c>
      <c r="N1530" s="64">
        <f ca="1" t="shared" ref="N1530:N1534" si="1422">IF($S$1&lt;DATE(2025,9,1)," ",N1471+M1530)</f>
        <v>25.826873</v>
      </c>
      <c r="O1530" s="64">
        <f ca="1" t="shared" ref="O1530:O1534" si="1423">IF($S$1&lt;DATE(2025,10,1)," ",O1471+N1530)</f>
        <v>26.243381</v>
      </c>
      <c r="P1530" s="64">
        <f ca="1" t="shared" ref="P1530:P1534" si="1424">IF($S$1&lt;DATE(2025,11,1)," ",P1471+O1530)</f>
        <v>26.243381</v>
      </c>
      <c r="Q1530" s="64">
        <f ca="1" t="shared" ref="Q1530:Q1534" si="1425">IF($S$1&lt;DATE(2025,12,1)," ",Q1471+P1530)</f>
        <v>27.21202</v>
      </c>
    </row>
    <row r="1531" ht="24" customHeight="1" spans="1:17">
      <c r="A1531" s="99" t="s">
        <v>348</v>
      </c>
      <c r="B1531" s="99" t="s">
        <v>299</v>
      </c>
      <c r="C1531" s="99" t="s">
        <v>343</v>
      </c>
      <c r="D1531" s="47" t="s">
        <v>294</v>
      </c>
      <c r="E1531" s="47" t="s">
        <v>85</v>
      </c>
      <c r="F1531" s="64">
        <f ca="1" t="shared" si="1414"/>
        <v>1.098227</v>
      </c>
      <c r="G1531" s="64">
        <f ca="1" t="shared" si="1415"/>
        <v>1.098227</v>
      </c>
      <c r="H1531" s="64">
        <f ca="1" t="shared" si="1416"/>
        <v>1.098227</v>
      </c>
      <c r="I1531" s="64">
        <f ca="1" t="shared" si="1417"/>
        <v>1.098227</v>
      </c>
      <c r="J1531" s="64">
        <f ca="1" t="shared" si="1418"/>
        <v>1.753788</v>
      </c>
      <c r="K1531" s="64">
        <f ca="1" t="shared" si="1419"/>
        <v>2.122198</v>
      </c>
      <c r="L1531" s="64">
        <f ca="1" t="shared" si="1420"/>
        <v>2.122198</v>
      </c>
      <c r="M1531" s="64">
        <f ca="1" t="shared" si="1421"/>
        <v>5.076494</v>
      </c>
      <c r="N1531" s="64">
        <f ca="1" t="shared" si="1422"/>
        <v>6.022445</v>
      </c>
      <c r="O1531" s="64">
        <f ca="1" t="shared" si="1423"/>
        <v>7.621997</v>
      </c>
      <c r="P1531" s="64">
        <f ca="1" t="shared" si="1424"/>
        <v>8.796223</v>
      </c>
      <c r="Q1531" s="64">
        <f ca="1" t="shared" si="1425"/>
        <v>11.183638</v>
      </c>
    </row>
    <row r="1532" ht="24" customHeight="1" spans="1:17">
      <c r="A1532" s="99" t="s">
        <v>348</v>
      </c>
      <c r="B1532" s="99" t="s">
        <v>299</v>
      </c>
      <c r="C1532" s="99" t="s">
        <v>343</v>
      </c>
      <c r="D1532" s="47" t="s">
        <v>294</v>
      </c>
      <c r="E1532" s="47" t="s">
        <v>81</v>
      </c>
      <c r="F1532" s="64">
        <f ca="1" t="shared" si="1414"/>
        <v>1.8396</v>
      </c>
      <c r="G1532" s="64">
        <f ca="1" t="shared" si="1415"/>
        <v>1.8396</v>
      </c>
      <c r="H1532" s="64">
        <f ca="1" t="shared" si="1416"/>
        <v>1.8396</v>
      </c>
      <c r="I1532" s="64">
        <f ca="1" t="shared" si="1417"/>
        <v>1.8396</v>
      </c>
      <c r="J1532" s="64">
        <f ca="1" t="shared" si="1418"/>
        <v>1.8396</v>
      </c>
      <c r="K1532" s="64">
        <f ca="1" t="shared" si="1419"/>
        <v>2.040476</v>
      </c>
      <c r="L1532" s="64">
        <f ca="1" t="shared" si="1420"/>
        <v>3.016697</v>
      </c>
      <c r="M1532" s="64">
        <f ca="1" t="shared" si="1421"/>
        <v>4.975975</v>
      </c>
      <c r="N1532" s="64">
        <f ca="1" t="shared" si="1422"/>
        <v>6.082952</v>
      </c>
      <c r="O1532" s="64">
        <f ca="1" t="shared" si="1423"/>
        <v>6.472165</v>
      </c>
      <c r="P1532" s="64">
        <f ca="1" t="shared" si="1424"/>
        <v>6.472165</v>
      </c>
      <c r="Q1532" s="64">
        <f ca="1" t="shared" si="1425"/>
        <v>6.472165</v>
      </c>
    </row>
    <row r="1533" ht="24" customHeight="1" spans="1:17">
      <c r="A1533" s="99" t="s">
        <v>348</v>
      </c>
      <c r="B1533" s="99" t="s">
        <v>299</v>
      </c>
      <c r="C1533" s="99" t="s">
        <v>343</v>
      </c>
      <c r="D1533" s="47" t="s">
        <v>294</v>
      </c>
      <c r="E1533" s="47" t="s">
        <v>96</v>
      </c>
      <c r="F1533" s="64">
        <f ca="1" t="shared" si="1414"/>
        <v>0.0947</v>
      </c>
      <c r="G1533" s="64">
        <f ca="1" t="shared" si="1415"/>
        <v>0.0947</v>
      </c>
      <c r="H1533" s="64">
        <f ca="1" t="shared" si="1416"/>
        <v>0.0947</v>
      </c>
      <c r="I1533" s="64">
        <f ca="1" t="shared" si="1417"/>
        <v>0.39468</v>
      </c>
      <c r="J1533" s="64">
        <f ca="1" t="shared" si="1418"/>
        <v>0.39468</v>
      </c>
      <c r="K1533" s="64">
        <f ca="1" t="shared" si="1419"/>
        <v>0.39468</v>
      </c>
      <c r="L1533" s="64">
        <f ca="1" t="shared" si="1420"/>
        <v>1.240358</v>
      </c>
      <c r="M1533" s="64">
        <f ca="1" t="shared" si="1421"/>
        <v>1.240358</v>
      </c>
      <c r="N1533" s="64">
        <f ca="1" t="shared" si="1422"/>
        <v>1.240358</v>
      </c>
      <c r="O1533" s="64">
        <f ca="1" t="shared" si="1423"/>
        <v>1.240358</v>
      </c>
      <c r="P1533" s="64">
        <f ca="1" t="shared" si="1424"/>
        <v>1.240358</v>
      </c>
      <c r="Q1533" s="64">
        <f ca="1" t="shared" si="1425"/>
        <v>1.240358</v>
      </c>
    </row>
    <row r="1534" ht="24" customHeight="1" spans="1:17">
      <c r="A1534" s="99" t="s">
        <v>348</v>
      </c>
      <c r="B1534" s="99" t="s">
        <v>299</v>
      </c>
      <c r="C1534" s="99" t="s">
        <v>343</v>
      </c>
      <c r="D1534" s="47" t="s">
        <v>294</v>
      </c>
      <c r="E1534" s="47" t="s">
        <v>160</v>
      </c>
      <c r="F1534" s="64">
        <f ca="1" t="shared" si="1414"/>
        <v>0</v>
      </c>
      <c r="G1534" s="64">
        <f ca="1" t="shared" si="1415"/>
        <v>0</v>
      </c>
      <c r="H1534" s="64">
        <f ca="1" t="shared" si="1416"/>
        <v>0</v>
      </c>
      <c r="I1534" s="64">
        <f ca="1" t="shared" si="1417"/>
        <v>0</v>
      </c>
      <c r="J1534" s="64">
        <f ca="1" t="shared" si="1418"/>
        <v>0</v>
      </c>
      <c r="K1534" s="64">
        <f ca="1" t="shared" si="1419"/>
        <v>0</v>
      </c>
      <c r="L1534" s="64">
        <f ca="1" t="shared" si="1420"/>
        <v>0</v>
      </c>
      <c r="M1534" s="64">
        <f ca="1" t="shared" si="1421"/>
        <v>0.567057</v>
      </c>
      <c r="N1534" s="64">
        <f ca="1" t="shared" si="1422"/>
        <v>0.567057</v>
      </c>
      <c r="O1534" s="64">
        <f ca="1" t="shared" si="1423"/>
        <v>0.567057</v>
      </c>
      <c r="P1534" s="64">
        <f ca="1" t="shared" si="1424"/>
        <v>0.567057</v>
      </c>
      <c r="Q1534" s="64">
        <f ca="1" t="shared" si="1425"/>
        <v>0.567057</v>
      </c>
    </row>
    <row r="1535" ht="24" customHeight="1" spans="1:17">
      <c r="A1535" s="99" t="s">
        <v>348</v>
      </c>
      <c r="B1535" s="99" t="s">
        <v>299</v>
      </c>
      <c r="C1535" s="99" t="s">
        <v>343</v>
      </c>
      <c r="D1535" s="47" t="s">
        <v>321</v>
      </c>
      <c r="E1535" s="47" t="s">
        <v>93</v>
      </c>
      <c r="F1535" s="126">
        <f ca="1" t="shared" ref="F1535:Q1535" si="1426">IFERROR(F1530/F1515," ")</f>
        <v>0</v>
      </c>
      <c r="G1535" s="126">
        <f ca="1" t="shared" si="1426"/>
        <v>0.510778664041592</v>
      </c>
      <c r="H1535" s="126">
        <f ca="1" t="shared" si="1426"/>
        <v>0.614774465001762</v>
      </c>
      <c r="I1535" s="126">
        <f ca="1" t="shared" si="1426"/>
        <v>0.663058067434552</v>
      </c>
      <c r="J1535" s="126">
        <f ca="1" t="shared" si="1426"/>
        <v>0.771342397912256</v>
      </c>
      <c r="K1535" s="126">
        <f ca="1" t="shared" si="1426"/>
        <v>0.809195717121987</v>
      </c>
      <c r="L1535" s="126">
        <f ca="1" t="shared" si="1426"/>
        <v>0.755858830383995</v>
      </c>
      <c r="M1535" s="126">
        <f ca="1" t="shared" si="1426"/>
        <v>0.635449126151328</v>
      </c>
      <c r="N1535" s="126">
        <f ca="1" t="shared" si="1426"/>
        <v>0.649901301432057</v>
      </c>
      <c r="O1535" s="126">
        <f ca="1" t="shared" si="1426"/>
        <v>0.622693253128879</v>
      </c>
      <c r="P1535" s="126">
        <f ca="1" t="shared" si="1426"/>
        <v>0.605814296963673</v>
      </c>
      <c r="Q1535" s="126">
        <f ca="1" t="shared" si="1426"/>
        <v>0.583007632440996</v>
      </c>
    </row>
    <row r="1536" ht="24" customHeight="1" spans="1:17">
      <c r="A1536" s="99" t="s">
        <v>348</v>
      </c>
      <c r="B1536" s="99" t="s">
        <v>299</v>
      </c>
      <c r="C1536" s="99" t="s">
        <v>343</v>
      </c>
      <c r="D1536" s="47" t="s">
        <v>321</v>
      </c>
      <c r="E1536" s="47" t="s">
        <v>85</v>
      </c>
      <c r="F1536" s="126">
        <f ca="1" t="shared" ref="F1536:Q1536" si="1427">IFERROR(F1531/F1515," ")</f>
        <v>0.362149125135572</v>
      </c>
      <c r="G1536" s="126">
        <f ca="1" t="shared" si="1427"/>
        <v>0.177171078814993</v>
      </c>
      <c r="H1536" s="126">
        <f ca="1" t="shared" si="1427"/>
        <v>0.139509090479495</v>
      </c>
      <c r="I1536" s="126">
        <f ca="1" t="shared" si="1427"/>
        <v>0.111039144936696</v>
      </c>
      <c r="J1536" s="126">
        <f ca="1" t="shared" si="1427"/>
        <v>0.100554192819746</v>
      </c>
      <c r="K1536" s="126">
        <f ca="1" t="shared" si="1427"/>
        <v>0.0888507821677124</v>
      </c>
      <c r="L1536" s="126">
        <f ca="1" t="shared" si="1427"/>
        <v>0.0812188984943452</v>
      </c>
      <c r="M1536" s="126">
        <f ca="1" t="shared" si="1427"/>
        <v>0.156042025688239</v>
      </c>
      <c r="N1536" s="126">
        <f ca="1" t="shared" si="1427"/>
        <v>0.151547376382072</v>
      </c>
      <c r="O1536" s="126">
        <f ca="1" t="shared" si="1427"/>
        <v>0.18085193014073</v>
      </c>
      <c r="P1536" s="126">
        <f ca="1" t="shared" si="1427"/>
        <v>0.203056064029276</v>
      </c>
      <c r="Q1536" s="126">
        <f ca="1" t="shared" si="1427"/>
        <v>0.239605377052389</v>
      </c>
    </row>
    <row r="1537" ht="24" customHeight="1" spans="1:17">
      <c r="A1537" s="99" t="s">
        <v>348</v>
      </c>
      <c r="B1537" s="99" t="s">
        <v>299</v>
      </c>
      <c r="C1537" s="99" t="s">
        <v>343</v>
      </c>
      <c r="D1537" s="47" t="s">
        <v>321</v>
      </c>
      <c r="E1537" s="47" t="s">
        <v>81</v>
      </c>
      <c r="F1537" s="126">
        <f ca="1" t="shared" ref="F1537:Q1537" si="1428">IFERROR(F1532/F1515," ")</f>
        <v>0.606622793465648</v>
      </c>
      <c r="G1537" s="126">
        <f ca="1" t="shared" si="1428"/>
        <v>0.296772813442085</v>
      </c>
      <c r="H1537" s="126">
        <f ca="1" t="shared" si="1428"/>
        <v>0.23368659015493</v>
      </c>
      <c r="I1537" s="126">
        <f ca="1" t="shared" si="1428"/>
        <v>0.185997622554851</v>
      </c>
      <c r="J1537" s="126">
        <f ca="1" t="shared" si="1428"/>
        <v>0.105474260920479</v>
      </c>
      <c r="K1537" s="126">
        <f ca="1" t="shared" si="1428"/>
        <v>0.0854292995255133</v>
      </c>
      <c r="L1537" s="126">
        <f ca="1" t="shared" si="1428"/>
        <v>0.115452378821955</v>
      </c>
      <c r="M1537" s="126">
        <f ca="1" t="shared" si="1428"/>
        <v>0.152952257753882</v>
      </c>
      <c r="N1537" s="126">
        <f ca="1" t="shared" si="1428"/>
        <v>0.153069960167022</v>
      </c>
      <c r="O1537" s="126">
        <f ca="1" t="shared" si="1428"/>
        <v>0.153569141058344</v>
      </c>
      <c r="P1537" s="126">
        <f ca="1" t="shared" si="1428"/>
        <v>0.149406438496164</v>
      </c>
      <c r="Q1537" s="126">
        <f ca="1" t="shared" si="1428"/>
        <v>0.138663781425175</v>
      </c>
    </row>
    <row r="1538" ht="24" customHeight="1" spans="1:17">
      <c r="A1538" s="99" t="s">
        <v>348</v>
      </c>
      <c r="B1538" s="99" t="s">
        <v>299</v>
      </c>
      <c r="C1538" s="99" t="s">
        <v>343</v>
      </c>
      <c r="D1538" s="47" t="s">
        <v>321</v>
      </c>
      <c r="E1538" s="47" t="s">
        <v>96</v>
      </c>
      <c r="F1538" s="126">
        <f ca="1" t="shared" ref="F1538:Q1538" si="1429">IFERROR(F1533/F1515," ")</f>
        <v>0.0312280813987806</v>
      </c>
      <c r="G1538" s="126">
        <f ca="1" t="shared" si="1429"/>
        <v>0.0152774437013294</v>
      </c>
      <c r="H1538" s="126">
        <f ca="1" t="shared" si="1429"/>
        <v>0.0120298543638138</v>
      </c>
      <c r="I1538" s="126">
        <f ca="1" t="shared" si="1429"/>
        <v>0.0399051650739011</v>
      </c>
      <c r="J1538" s="126">
        <f ca="1" t="shared" si="1429"/>
        <v>0.0226291483475183</v>
      </c>
      <c r="K1538" s="126">
        <f ca="1" t="shared" si="1429"/>
        <v>0.0165242011847871</v>
      </c>
      <c r="L1538" s="126">
        <f ca="1" t="shared" si="1429"/>
        <v>0.0474698922997048</v>
      </c>
      <c r="M1538" s="126">
        <f ca="1" t="shared" si="1429"/>
        <v>0.0381263082155939</v>
      </c>
      <c r="N1538" s="126">
        <f ca="1" t="shared" si="1429"/>
        <v>0.0312120742778912</v>
      </c>
      <c r="O1538" s="126">
        <f ca="1" t="shared" si="1429"/>
        <v>0.0294307565806567</v>
      </c>
      <c r="P1538" s="126">
        <f ca="1" t="shared" si="1429"/>
        <v>0.0286329954876343</v>
      </c>
      <c r="Q1538" s="126">
        <f ca="1" t="shared" si="1429"/>
        <v>0.0265742190752193</v>
      </c>
    </row>
    <row r="1539" ht="24" customHeight="1" spans="1:17">
      <c r="A1539" s="99" t="s">
        <v>348</v>
      </c>
      <c r="B1539" s="99" t="s">
        <v>299</v>
      </c>
      <c r="C1539" s="99" t="s">
        <v>343</v>
      </c>
      <c r="D1539" s="47" t="s">
        <v>321</v>
      </c>
      <c r="E1539" s="47" t="s">
        <v>160</v>
      </c>
      <c r="F1539" s="126">
        <f ca="1" t="shared" ref="F1539:Q1539" si="1430">IFERROR(F1534/F1515," ")</f>
        <v>0</v>
      </c>
      <c r="G1539" s="126">
        <f ca="1" t="shared" si="1430"/>
        <v>0</v>
      </c>
      <c r="H1539" s="126">
        <f ca="1" t="shared" si="1430"/>
        <v>0</v>
      </c>
      <c r="I1539" s="126">
        <f ca="1" t="shared" si="1430"/>
        <v>0</v>
      </c>
      <c r="J1539" s="126">
        <f ca="1" t="shared" si="1430"/>
        <v>0</v>
      </c>
      <c r="K1539" s="126">
        <f ca="1" t="shared" si="1430"/>
        <v>0</v>
      </c>
      <c r="L1539" s="126">
        <f ca="1" t="shared" si="1430"/>
        <v>0</v>
      </c>
      <c r="M1539" s="126">
        <f ca="1" t="shared" si="1430"/>
        <v>0.0174302821909562</v>
      </c>
      <c r="N1539" s="126">
        <f ca="1" t="shared" si="1430"/>
        <v>0.0142692877409572</v>
      </c>
      <c r="O1539" s="126">
        <f ca="1" t="shared" si="1430"/>
        <v>0.0134549190913893</v>
      </c>
      <c r="P1539" s="126">
        <f ca="1" t="shared" si="1430"/>
        <v>0.0130902050232525</v>
      </c>
      <c r="Q1539" s="126">
        <f ca="1" t="shared" si="1430"/>
        <v>0.0121489900062213</v>
      </c>
    </row>
    <row r="1540" ht="24" customHeight="1" spans="1:17">
      <c r="A1540" s="99" t="s">
        <v>348</v>
      </c>
      <c r="B1540" s="99" t="s">
        <v>299</v>
      </c>
      <c r="C1540" s="99" t="s">
        <v>344</v>
      </c>
      <c r="D1540" s="114" t="s">
        <v>292</v>
      </c>
      <c r="E1540" s="114" t="s">
        <v>320</v>
      </c>
      <c r="F1540" s="215">
        <f ca="1">IF($S$1&lt;DATE(2025,1,1)," ",IF(SUM(F1541:F1547)&lt;&gt;SUM(F1555:F1559),"ERR",SUM(F1541:F1547)))</f>
        <v>3.080882</v>
      </c>
      <c r="G1540" s="215">
        <f ca="1">IF($S$1&lt;DATE(2025,2,1)," ",IF(SUM(G1541:G1547)&lt;&gt;SUM(G1555:G1559),"ERR",SUM(G1541:G1547)))</f>
        <v>6.304057</v>
      </c>
      <c r="H1540" s="215">
        <f ca="1">IF($S$1&lt;DATE(2025,3,1)," ",IF(SUM(H1541:H1547)&lt;&gt;SUM(H1555:H1559),"ERR",SUM(H1541:H1547)))</f>
        <v>8.002842</v>
      </c>
      <c r="I1540" s="215">
        <f ca="1">IF($S$1&lt;DATE(2025,4,1)," ",IF(SUM(I1541:I1547)&lt;&gt;SUM(I1555:I1559),"ERR",SUM(I1541:I1547)))</f>
        <v>10.042511</v>
      </c>
      <c r="J1540" s="215">
        <f ca="1">IF($S$1&lt;DATE(2025,5,1)," ",IF(SUM(J1541:J1547)&lt;&gt;SUM(J1555:J1559),"ERR",SUM(J1541:J1547)))</f>
        <v>17.712656</v>
      </c>
      <c r="K1540" s="215">
        <f ca="1">IF($S$1&lt;DATE(2025,6,1)," ",IF(SUM(K1541:K1547)&lt;&gt;SUM(K1555:K1559),"ERR",SUM(K1541:K1547)))</f>
        <v>24.256681</v>
      </c>
      <c r="L1540" s="215">
        <f ca="1">IF($S$1&lt;DATE(2025,7,1)," ",IF(SUM(L1541:L1547)&lt;&gt;SUM(L1555:L1559),"ERR",SUM(L1541:L1547)))</f>
        <v>26.523026</v>
      </c>
      <c r="M1540" s="215">
        <f ca="1">IF($S$1&lt;DATE(2025,8,1)," ",IF(SUM(M1541:M1547)&lt;&gt;SUM(M1555:M1559),"ERR",SUM(M1541:M1547)))</f>
        <v>33.014951</v>
      </c>
      <c r="N1540" s="215">
        <f ca="1">IF($S$1&lt;DATE(2025,9,1)," ",IF(SUM(N1541:N1547)&lt;&gt;SUM(N1555:N1559),"ERR",SUM(N1541:N1547)))</f>
        <v>40.317397</v>
      </c>
      <c r="O1540" s="215">
        <f ca="1">IF($S$1&lt;DATE(2025,10,1)," ",IF(SUM(O1541:O1547)&lt;&gt;SUM(O1555:O1559),"ERR",SUM(O1541:O1547)))</f>
        <v>42.757475</v>
      </c>
      <c r="P1540" s="215">
        <f ca="1">IF($S$1&lt;DATE(2025,11,1)," ",IF(SUM(P1541:P1547)&lt;&gt;SUM(P1555:P1559),"ERR",SUM(P1541:P1547)))</f>
        <v>43.949558</v>
      </c>
      <c r="Q1540" s="215">
        <f ca="1">IF($S$1&lt;DATE(2025,12,1)," ",IF(SUM(Q1541:Q1547)&lt;&gt;SUM(Q1555:Q1559),"ERR",SUM(Q1541:Q1547)))</f>
        <v>47.354725</v>
      </c>
    </row>
    <row r="1541" ht="24" customHeight="1" spans="1:17">
      <c r="A1541" s="99" t="s">
        <v>348</v>
      </c>
      <c r="B1541" s="99" t="s">
        <v>299</v>
      </c>
      <c r="C1541" s="99" t="s">
        <v>344</v>
      </c>
      <c r="D1541" s="48" t="s">
        <v>31</v>
      </c>
      <c r="E1541" s="48" t="s">
        <v>90</v>
      </c>
      <c r="F1541" s="51">
        <f ca="1" t="shared" ref="F1541:F1547" si="1431">IF($S$1&lt;DATE(2025,1,1)," ",F1484)</f>
        <v>1.419454</v>
      </c>
      <c r="G1541" s="51">
        <f ca="1" t="shared" ref="G1541:G1547" si="1432">IF($S$1&lt;DATE(2025,2,1)," ",G1484+F1541)</f>
        <v>4.232497</v>
      </c>
      <c r="H1541" s="51">
        <f ca="1" t="shared" ref="H1541:H1547" si="1433">IF($S$1&lt;DATE(2025,3,1)," ",H1484+G1541)</f>
        <v>5.87323</v>
      </c>
      <c r="I1541" s="51">
        <f ca="1" t="shared" ref="I1541:I1547" si="1434">IF($S$1&lt;DATE(2025,4,1)," ",I1484+H1541)</f>
        <v>5.87323</v>
      </c>
      <c r="J1541" s="51">
        <f ca="1" t="shared" ref="J1541:J1547" si="1435">IF($S$1&lt;DATE(2025,5,1)," ",J1484+I1541)</f>
        <v>5.87323</v>
      </c>
      <c r="K1541" s="51">
        <f ca="1" t="shared" ref="K1541:K1547" si="1436">IF($S$1&lt;DATE(2025,6,1)," ",K1484+J1541)</f>
        <v>7.463846</v>
      </c>
      <c r="L1541" s="51">
        <f ca="1" t="shared" ref="L1541:L1547" si="1437">IF($S$1&lt;DATE(2025,7,1)," ",L1484+K1541)</f>
        <v>8.309524</v>
      </c>
      <c r="M1541" s="51">
        <f ca="1" t="shared" ref="M1541:M1547" si="1438">IF($S$1&lt;DATE(2025,8,1)," ",M1484+L1541)</f>
        <v>8.589181</v>
      </c>
      <c r="N1541" s="51">
        <f ca="1" t="shared" ref="N1541:N1547" si="1439">IF($S$1&lt;DATE(2025,9,1)," ",N1484+M1541)</f>
        <v>9.550001</v>
      </c>
      <c r="O1541" s="51">
        <f ca="1" t="shared" ref="O1541:O1547" si="1440">IF($S$1&lt;DATE(2025,10,1)," ",O1484+N1541)</f>
        <v>11.171693</v>
      </c>
      <c r="P1541" s="51">
        <f ca="1" t="shared" ref="P1541:P1547" si="1441">IF($S$1&lt;DATE(2025,11,1)," ",P1484+O1541)</f>
        <v>11.171693</v>
      </c>
      <c r="Q1541" s="51">
        <f ca="1" t="shared" ref="Q1541:Q1547" si="1442">IF($S$1&lt;DATE(2025,12,1)," ",Q1484+P1541)</f>
        <v>13.181544</v>
      </c>
    </row>
    <row r="1542" ht="24" customHeight="1" spans="1:17">
      <c r="A1542" s="99" t="s">
        <v>348</v>
      </c>
      <c r="B1542" s="99" t="s">
        <v>299</v>
      </c>
      <c r="C1542" s="99" t="s">
        <v>344</v>
      </c>
      <c r="D1542" s="48" t="s">
        <v>31</v>
      </c>
      <c r="E1542" s="48" t="s">
        <v>82</v>
      </c>
      <c r="F1542" s="51">
        <f ca="1" t="shared" si="1431"/>
        <v>0</v>
      </c>
      <c r="G1542" s="51">
        <f ca="1" t="shared" si="1432"/>
        <v>0</v>
      </c>
      <c r="H1542" s="51">
        <f ca="1" t="shared" si="1433"/>
        <v>0.058052</v>
      </c>
      <c r="I1542" s="51">
        <f ca="1" t="shared" si="1434"/>
        <v>0.058052</v>
      </c>
      <c r="J1542" s="51">
        <f ca="1" t="shared" si="1435"/>
        <v>2.474596</v>
      </c>
      <c r="K1542" s="51">
        <f ca="1" t="shared" si="1436"/>
        <v>2.775823</v>
      </c>
      <c r="L1542" s="51">
        <f ca="1" t="shared" si="1437"/>
        <v>3.767353</v>
      </c>
      <c r="M1542" s="51">
        <f ca="1" t="shared" si="1438"/>
        <v>6.76586</v>
      </c>
      <c r="N1542" s="51">
        <f ca="1" t="shared" si="1439"/>
        <v>7.269553</v>
      </c>
      <c r="O1542" s="51">
        <f ca="1" t="shared" si="1440"/>
        <v>8.087939</v>
      </c>
      <c r="P1542" s="51">
        <f ca="1" t="shared" si="1441"/>
        <v>8.087939</v>
      </c>
      <c r="Q1542" s="51">
        <f ca="1" t="shared" si="1442"/>
        <v>8.519062</v>
      </c>
    </row>
    <row r="1543" ht="24" customHeight="1" spans="1:17">
      <c r="A1543" s="99" t="s">
        <v>348</v>
      </c>
      <c r="B1543" s="99" t="s">
        <v>299</v>
      </c>
      <c r="C1543" s="99" t="s">
        <v>344</v>
      </c>
      <c r="D1543" s="48" t="s">
        <v>31</v>
      </c>
      <c r="E1543" s="48" t="s">
        <v>86</v>
      </c>
      <c r="F1543" s="51">
        <f ca="1" t="shared" si="1431"/>
        <v>1.661428</v>
      </c>
      <c r="G1543" s="51">
        <f ca="1" t="shared" si="1432"/>
        <v>2.07156</v>
      </c>
      <c r="H1543" s="51">
        <f ca="1" t="shared" si="1433"/>
        <v>2.07156</v>
      </c>
      <c r="I1543" s="51">
        <f ca="1" t="shared" si="1434"/>
        <v>2.07156</v>
      </c>
      <c r="J1543" s="51">
        <f ca="1" t="shared" si="1435"/>
        <v>4.992565</v>
      </c>
      <c r="K1543" s="51">
        <f ca="1" t="shared" si="1436"/>
        <v>5.569945</v>
      </c>
      <c r="L1543" s="51">
        <f ca="1" t="shared" si="1437"/>
        <v>5.569945</v>
      </c>
      <c r="M1543" s="51">
        <f ca="1" t="shared" si="1438"/>
        <v>8.104193</v>
      </c>
      <c r="N1543" s="51">
        <f ca="1" t="shared" si="1439"/>
        <v>9.468723</v>
      </c>
      <c r="O1543" s="51">
        <f ca="1" t="shared" si="1440"/>
        <v>9.468723</v>
      </c>
      <c r="P1543" s="51">
        <f ca="1" t="shared" si="1441"/>
        <v>10.660806</v>
      </c>
      <c r="Q1543" s="51">
        <f ca="1" t="shared" si="1442"/>
        <v>11.073093</v>
      </c>
    </row>
    <row r="1544" ht="24" customHeight="1" spans="1:17">
      <c r="A1544" s="99" t="s">
        <v>348</v>
      </c>
      <c r="B1544" s="99" t="s">
        <v>299</v>
      </c>
      <c r="C1544" s="99" t="s">
        <v>344</v>
      </c>
      <c r="D1544" s="48" t="s">
        <v>31</v>
      </c>
      <c r="E1544" s="48" t="s">
        <v>97</v>
      </c>
      <c r="F1544" s="51">
        <f ca="1" t="shared" si="1431"/>
        <v>0</v>
      </c>
      <c r="G1544" s="51">
        <f ca="1" t="shared" si="1432"/>
        <v>0</v>
      </c>
      <c r="H1544" s="51">
        <f ca="1" t="shared" si="1433"/>
        <v>0</v>
      </c>
      <c r="I1544" s="51">
        <f ca="1" t="shared" si="1434"/>
        <v>2.039669</v>
      </c>
      <c r="J1544" s="51">
        <f ca="1" t="shared" si="1435"/>
        <v>4.372265</v>
      </c>
      <c r="K1544" s="51">
        <f ca="1" t="shared" si="1436"/>
        <v>8.447067</v>
      </c>
      <c r="L1544" s="51">
        <f ca="1" t="shared" si="1437"/>
        <v>8.447067</v>
      </c>
      <c r="M1544" s="51">
        <f ca="1" t="shared" si="1438"/>
        <v>8.447067</v>
      </c>
      <c r="N1544" s="51">
        <f ca="1" t="shared" si="1439"/>
        <v>12.92047</v>
      </c>
      <c r="O1544" s="51">
        <f ca="1" t="shared" si="1440"/>
        <v>12.92047</v>
      </c>
      <c r="P1544" s="51">
        <f ca="1" t="shared" si="1441"/>
        <v>12.92047</v>
      </c>
      <c r="Q1544" s="51">
        <f ca="1" t="shared" si="1442"/>
        <v>13.472376</v>
      </c>
    </row>
    <row r="1545" ht="24" customHeight="1" spans="1:17">
      <c r="A1545" s="99" t="s">
        <v>348</v>
      </c>
      <c r="B1545" s="99" t="s">
        <v>299</v>
      </c>
      <c r="C1545" s="99" t="s">
        <v>344</v>
      </c>
      <c r="D1545" s="48" t="s">
        <v>31</v>
      </c>
      <c r="E1545" s="48" t="s">
        <v>87</v>
      </c>
      <c r="F1545" s="51">
        <f ca="1" t="shared" si="1431"/>
        <v>0</v>
      </c>
      <c r="G1545" s="51">
        <f ca="1" t="shared" si="1432"/>
        <v>0</v>
      </c>
      <c r="H1545" s="51">
        <f ca="1" t="shared" si="1433"/>
        <v>0</v>
      </c>
      <c r="I1545" s="51">
        <f ca="1" t="shared" si="1434"/>
        <v>0</v>
      </c>
      <c r="J1545" s="51">
        <f ca="1" t="shared" si="1435"/>
        <v>0</v>
      </c>
      <c r="K1545" s="51">
        <f ca="1" t="shared" si="1436"/>
        <v>0</v>
      </c>
      <c r="L1545" s="51">
        <f ca="1" t="shared" si="1437"/>
        <v>0.429137</v>
      </c>
      <c r="M1545" s="51">
        <f ca="1" t="shared" si="1438"/>
        <v>0.429137</v>
      </c>
      <c r="N1545" s="51">
        <f ca="1" t="shared" si="1439"/>
        <v>0.429137</v>
      </c>
      <c r="O1545" s="51">
        <f ca="1" t="shared" si="1440"/>
        <v>0.429137</v>
      </c>
      <c r="P1545" s="51">
        <f ca="1" t="shared" si="1441"/>
        <v>0.429137</v>
      </c>
      <c r="Q1545" s="51">
        <f ca="1" t="shared" si="1442"/>
        <v>0.429137</v>
      </c>
    </row>
    <row r="1546" ht="24" customHeight="1" spans="1:17">
      <c r="A1546" s="99" t="s">
        <v>348</v>
      </c>
      <c r="B1546" s="99" t="s">
        <v>299</v>
      </c>
      <c r="C1546" s="99" t="s">
        <v>344</v>
      </c>
      <c r="D1546" s="48" t="s">
        <v>31</v>
      </c>
      <c r="E1546" s="48" t="s">
        <v>149</v>
      </c>
      <c r="F1546" s="51">
        <f ca="1" t="shared" si="1431"/>
        <v>0</v>
      </c>
      <c r="G1546" s="51">
        <f ca="1" t="shared" si="1432"/>
        <v>0</v>
      </c>
      <c r="H1546" s="51">
        <f ca="1" t="shared" si="1433"/>
        <v>0</v>
      </c>
      <c r="I1546" s="51">
        <f ca="1" t="shared" si="1434"/>
        <v>0</v>
      </c>
      <c r="J1546" s="51">
        <f ca="1" t="shared" si="1435"/>
        <v>0</v>
      </c>
      <c r="K1546" s="51">
        <f ca="1" t="shared" si="1436"/>
        <v>0</v>
      </c>
      <c r="L1546" s="51">
        <f ca="1" t="shared" si="1437"/>
        <v>0</v>
      </c>
      <c r="M1546" s="51">
        <f ca="1" t="shared" si="1438"/>
        <v>0</v>
      </c>
      <c r="N1546" s="51">
        <f ca="1" t="shared" si="1439"/>
        <v>0</v>
      </c>
      <c r="O1546" s="51">
        <f ca="1" t="shared" si="1440"/>
        <v>0</v>
      </c>
      <c r="P1546" s="51">
        <f ca="1" t="shared" si="1441"/>
        <v>0</v>
      </c>
      <c r="Q1546" s="51">
        <f ca="1" t="shared" si="1442"/>
        <v>0</v>
      </c>
    </row>
    <row r="1547" ht="24" customHeight="1" spans="1:17">
      <c r="A1547" s="99" t="s">
        <v>348</v>
      </c>
      <c r="B1547" s="99" t="s">
        <v>299</v>
      </c>
      <c r="C1547" s="99" t="s">
        <v>344</v>
      </c>
      <c r="D1547" s="48" t="s">
        <v>31</v>
      </c>
      <c r="E1547" s="48" t="s">
        <v>83</v>
      </c>
      <c r="F1547" s="51">
        <f ca="1" t="shared" si="1431"/>
        <v>0</v>
      </c>
      <c r="G1547" s="51">
        <f ca="1" t="shared" si="1432"/>
        <v>0</v>
      </c>
      <c r="H1547" s="51">
        <f ca="1" t="shared" si="1433"/>
        <v>0</v>
      </c>
      <c r="I1547" s="51">
        <f ca="1" t="shared" si="1434"/>
        <v>0</v>
      </c>
      <c r="J1547" s="51">
        <f ca="1" t="shared" si="1435"/>
        <v>0</v>
      </c>
      <c r="K1547" s="51">
        <f ca="1" t="shared" si="1436"/>
        <v>0</v>
      </c>
      <c r="L1547" s="51">
        <f ca="1" t="shared" si="1437"/>
        <v>0</v>
      </c>
      <c r="M1547" s="51">
        <f ca="1" t="shared" si="1438"/>
        <v>0.679513</v>
      </c>
      <c r="N1547" s="51">
        <f ca="1" t="shared" si="1439"/>
        <v>0.679513</v>
      </c>
      <c r="O1547" s="51">
        <f ca="1" t="shared" si="1440"/>
        <v>0.679513</v>
      </c>
      <c r="P1547" s="51">
        <f ca="1" t="shared" si="1441"/>
        <v>0.679513</v>
      </c>
      <c r="Q1547" s="51">
        <f ca="1" t="shared" si="1442"/>
        <v>0.679513</v>
      </c>
    </row>
    <row r="1548" ht="24" customHeight="1" spans="1:17">
      <c r="A1548" s="99" t="s">
        <v>348</v>
      </c>
      <c r="B1548" s="99" t="s">
        <v>299</v>
      </c>
      <c r="C1548" s="99" t="s">
        <v>344</v>
      </c>
      <c r="D1548" s="48" t="s">
        <v>321</v>
      </c>
      <c r="E1548" s="48" t="s">
        <v>90</v>
      </c>
      <c r="F1548" s="112">
        <f ca="1" t="shared" ref="F1548:Q1548" si="1443">IFERROR(F1541/F1540," ")</f>
        <v>0.460729752064506</v>
      </c>
      <c r="G1548" s="112">
        <f ca="1" t="shared" si="1443"/>
        <v>0.671392565137022</v>
      </c>
      <c r="H1548" s="112">
        <f ca="1" t="shared" si="1443"/>
        <v>0.733893034499494</v>
      </c>
      <c r="I1548" s="112">
        <f ca="1" t="shared" si="1443"/>
        <v>0.584836800278337</v>
      </c>
      <c r="J1548" s="112">
        <f ca="1" t="shared" si="1443"/>
        <v>0.331583812162332</v>
      </c>
      <c r="K1548" s="112">
        <f ca="1" t="shared" si="1443"/>
        <v>0.307702690240268</v>
      </c>
      <c r="L1548" s="112">
        <f ca="1" t="shared" si="1443"/>
        <v>0.31329471984079</v>
      </c>
      <c r="M1548" s="112">
        <f ca="1" t="shared" si="1443"/>
        <v>0.260160343718214</v>
      </c>
      <c r="N1548" s="112">
        <f ca="1" t="shared" si="1443"/>
        <v>0.236870475541861</v>
      </c>
      <c r="O1548" s="112">
        <f ca="1" t="shared" si="1443"/>
        <v>0.261280466164103</v>
      </c>
      <c r="P1548" s="112">
        <f ca="1" t="shared" si="1443"/>
        <v>0.254193523402442</v>
      </c>
      <c r="Q1548" s="112">
        <f ca="1" t="shared" si="1443"/>
        <v>0.278357523985199</v>
      </c>
    </row>
    <row r="1549" ht="24" customHeight="1" spans="1:17">
      <c r="A1549" s="99" t="s">
        <v>348</v>
      </c>
      <c r="B1549" s="99" t="s">
        <v>299</v>
      </c>
      <c r="C1549" s="99" t="s">
        <v>344</v>
      </c>
      <c r="D1549" s="48" t="s">
        <v>321</v>
      </c>
      <c r="E1549" s="48" t="s">
        <v>82</v>
      </c>
      <c r="F1549" s="112">
        <f ca="1" t="shared" ref="F1549:Q1549" si="1444">IFERROR(F1542/F1540," ")</f>
        <v>0</v>
      </c>
      <c r="G1549" s="112">
        <f ca="1" t="shared" si="1444"/>
        <v>0</v>
      </c>
      <c r="H1549" s="112">
        <f ca="1" t="shared" si="1444"/>
        <v>0.00725392304383868</v>
      </c>
      <c r="I1549" s="112">
        <f ca="1" t="shared" si="1444"/>
        <v>0.00578062598089263</v>
      </c>
      <c r="J1549" s="112">
        <f ca="1" t="shared" si="1444"/>
        <v>0.139707788600422</v>
      </c>
      <c r="K1549" s="112">
        <f ca="1" t="shared" si="1444"/>
        <v>0.114435400292398</v>
      </c>
      <c r="L1549" s="112">
        <f ca="1" t="shared" si="1444"/>
        <v>0.142040844057537</v>
      </c>
      <c r="M1549" s="112">
        <f ca="1" t="shared" si="1444"/>
        <v>0.204933213440177</v>
      </c>
      <c r="N1549" s="112">
        <f ca="1" t="shared" si="1444"/>
        <v>0.180308093798813</v>
      </c>
      <c r="O1549" s="112">
        <f ca="1" t="shared" si="1444"/>
        <v>0.189158480476221</v>
      </c>
      <c r="P1549" s="112">
        <f ca="1" t="shared" si="1444"/>
        <v>0.184027766559109</v>
      </c>
      <c r="Q1549" s="112">
        <f ca="1" t="shared" si="1444"/>
        <v>0.17989888020678</v>
      </c>
    </row>
    <row r="1550" ht="24" customHeight="1" spans="1:17">
      <c r="A1550" s="99" t="s">
        <v>348</v>
      </c>
      <c r="B1550" s="99" t="s">
        <v>299</v>
      </c>
      <c r="C1550" s="99" t="s">
        <v>344</v>
      </c>
      <c r="D1550" s="48" t="s">
        <v>321</v>
      </c>
      <c r="E1550" s="48" t="s">
        <v>86</v>
      </c>
      <c r="F1550" s="112">
        <f ca="1" t="shared" ref="F1550:Q1550" si="1445">IFERROR(F1543/F1540," ")</f>
        <v>0.539270247935494</v>
      </c>
      <c r="G1550" s="112">
        <f ca="1" t="shared" si="1445"/>
        <v>0.328607434862978</v>
      </c>
      <c r="H1550" s="112">
        <f ca="1" t="shared" si="1445"/>
        <v>0.258853042456667</v>
      </c>
      <c r="I1550" s="112">
        <f ca="1" t="shared" si="1445"/>
        <v>0.206279086973367</v>
      </c>
      <c r="J1550" s="112">
        <f ca="1" t="shared" si="1445"/>
        <v>0.281864278287796</v>
      </c>
      <c r="K1550" s="112">
        <f ca="1" t="shared" si="1445"/>
        <v>0.229625190684579</v>
      </c>
      <c r="L1550" s="112">
        <f ca="1" t="shared" si="1445"/>
        <v>0.210004129996328</v>
      </c>
      <c r="M1550" s="112">
        <f ca="1" t="shared" si="1445"/>
        <v>0.24547039309554</v>
      </c>
      <c r="N1550" s="112">
        <f ca="1" t="shared" si="1445"/>
        <v>0.234854521982161</v>
      </c>
      <c r="O1550" s="112">
        <f ca="1" t="shared" si="1445"/>
        <v>0.221451874789145</v>
      </c>
      <c r="P1550" s="112">
        <f ca="1" t="shared" si="1445"/>
        <v>0.242569128909101</v>
      </c>
      <c r="Q1550" s="112">
        <f ca="1" t="shared" si="1445"/>
        <v>0.23383290685354</v>
      </c>
    </row>
    <row r="1551" ht="24" customHeight="1" spans="1:17">
      <c r="A1551" s="99" t="s">
        <v>348</v>
      </c>
      <c r="B1551" s="99" t="s">
        <v>299</v>
      </c>
      <c r="C1551" s="99" t="s">
        <v>344</v>
      </c>
      <c r="D1551" s="48" t="s">
        <v>321</v>
      </c>
      <c r="E1551" s="48" t="s">
        <v>97</v>
      </c>
      <c r="F1551" s="112">
        <f ca="1" t="shared" ref="F1551:Q1551" si="1446">IFERROR(F1544/F1540," ")</f>
        <v>0</v>
      </c>
      <c r="G1551" s="112">
        <f ca="1" t="shared" si="1446"/>
        <v>0</v>
      </c>
      <c r="H1551" s="112">
        <f ca="1" t="shared" si="1446"/>
        <v>0</v>
      </c>
      <c r="I1551" s="112">
        <f ca="1" t="shared" si="1446"/>
        <v>0.203103486767403</v>
      </c>
      <c r="J1551" s="112">
        <f ca="1" t="shared" si="1446"/>
        <v>0.24684412094945</v>
      </c>
      <c r="K1551" s="112">
        <f ca="1" t="shared" si="1446"/>
        <v>0.348236718782755</v>
      </c>
      <c r="L1551" s="112">
        <f ca="1" t="shared" si="1446"/>
        <v>0.318480515760155</v>
      </c>
      <c r="M1551" s="112">
        <f ca="1" t="shared" si="1446"/>
        <v>0.255855809084799</v>
      </c>
      <c r="N1551" s="112">
        <f ca="1" t="shared" si="1446"/>
        <v>0.320468853681204</v>
      </c>
      <c r="O1551" s="112">
        <f ca="1" t="shared" si="1446"/>
        <v>0.302180378986364</v>
      </c>
      <c r="P1551" s="112">
        <f ca="1" t="shared" si="1446"/>
        <v>0.293984071466657</v>
      </c>
      <c r="Q1551" s="112">
        <f ca="1" t="shared" si="1446"/>
        <v>0.284499086416403</v>
      </c>
    </row>
    <row r="1552" ht="24" customHeight="1" spans="1:17">
      <c r="A1552" s="99" t="s">
        <v>348</v>
      </c>
      <c r="B1552" s="99" t="s">
        <v>299</v>
      </c>
      <c r="C1552" s="99" t="s">
        <v>344</v>
      </c>
      <c r="D1552" s="48" t="s">
        <v>321</v>
      </c>
      <c r="E1552" s="48" t="s">
        <v>87</v>
      </c>
      <c r="F1552" s="112">
        <f ca="1" t="shared" ref="F1552:Q1552" si="1447">IFERROR(F1545/F1540," ")</f>
        <v>0</v>
      </c>
      <c r="G1552" s="112">
        <f ca="1" t="shared" si="1447"/>
        <v>0</v>
      </c>
      <c r="H1552" s="112">
        <f ca="1" t="shared" si="1447"/>
        <v>0</v>
      </c>
      <c r="I1552" s="112">
        <f ca="1" t="shared" si="1447"/>
        <v>0</v>
      </c>
      <c r="J1552" s="112">
        <f ca="1" t="shared" si="1447"/>
        <v>0</v>
      </c>
      <c r="K1552" s="112">
        <f ca="1" t="shared" si="1447"/>
        <v>0</v>
      </c>
      <c r="L1552" s="112">
        <f ca="1" t="shared" si="1447"/>
        <v>0.0161797903451891</v>
      </c>
      <c r="M1552" s="112">
        <f ca="1" t="shared" si="1447"/>
        <v>0.012998262514459</v>
      </c>
      <c r="N1552" s="112">
        <f ca="1" t="shared" si="1447"/>
        <v>0.0106439659286536</v>
      </c>
      <c r="O1552" s="112">
        <f ca="1" t="shared" si="1447"/>
        <v>0.0100365374709334</v>
      </c>
      <c r="P1552" s="112">
        <f ca="1" t="shared" si="1447"/>
        <v>0.00976430752727934</v>
      </c>
      <c r="Q1552" s="112">
        <f ca="1" t="shared" si="1447"/>
        <v>0.00906217911728977</v>
      </c>
    </row>
    <row r="1553" ht="24" customHeight="1" spans="1:17">
      <c r="A1553" s="99" t="s">
        <v>348</v>
      </c>
      <c r="B1553" s="99" t="s">
        <v>299</v>
      </c>
      <c r="C1553" s="99" t="s">
        <v>344</v>
      </c>
      <c r="D1553" s="48" t="s">
        <v>321</v>
      </c>
      <c r="E1553" s="48" t="s">
        <v>149</v>
      </c>
      <c r="F1553" s="112">
        <f ca="1" t="shared" ref="F1553:Q1553" si="1448">IFERROR(F1546/F1540," ")</f>
        <v>0</v>
      </c>
      <c r="G1553" s="112">
        <f ca="1" t="shared" si="1448"/>
        <v>0</v>
      </c>
      <c r="H1553" s="112">
        <f ca="1" t="shared" si="1448"/>
        <v>0</v>
      </c>
      <c r="I1553" s="112">
        <f ca="1" t="shared" si="1448"/>
        <v>0</v>
      </c>
      <c r="J1553" s="112">
        <f ca="1" t="shared" si="1448"/>
        <v>0</v>
      </c>
      <c r="K1553" s="112">
        <f ca="1" t="shared" si="1448"/>
        <v>0</v>
      </c>
      <c r="L1553" s="112">
        <f ca="1" t="shared" si="1448"/>
        <v>0</v>
      </c>
      <c r="M1553" s="112">
        <f ca="1" t="shared" si="1448"/>
        <v>0</v>
      </c>
      <c r="N1553" s="112">
        <f ca="1" t="shared" si="1448"/>
        <v>0</v>
      </c>
      <c r="O1553" s="112">
        <f ca="1" t="shared" si="1448"/>
        <v>0</v>
      </c>
      <c r="P1553" s="112">
        <f ca="1" t="shared" si="1448"/>
        <v>0</v>
      </c>
      <c r="Q1553" s="112">
        <f ca="1" t="shared" si="1448"/>
        <v>0</v>
      </c>
    </row>
    <row r="1554" ht="24" customHeight="1" spans="1:17">
      <c r="A1554" s="99" t="s">
        <v>348</v>
      </c>
      <c r="B1554" s="99" t="s">
        <v>299</v>
      </c>
      <c r="C1554" s="99" t="s">
        <v>344</v>
      </c>
      <c r="D1554" s="48" t="s">
        <v>321</v>
      </c>
      <c r="E1554" s="48" t="s">
        <v>83</v>
      </c>
      <c r="F1554" s="112">
        <f ca="1" t="shared" ref="F1554:Q1554" si="1449">IFERROR(F1547/F1540," ")</f>
        <v>0</v>
      </c>
      <c r="G1554" s="112">
        <f ca="1" t="shared" si="1449"/>
        <v>0</v>
      </c>
      <c r="H1554" s="112">
        <f ca="1" t="shared" si="1449"/>
        <v>0</v>
      </c>
      <c r="I1554" s="112">
        <f ca="1" t="shared" si="1449"/>
        <v>0</v>
      </c>
      <c r="J1554" s="112">
        <f ca="1" t="shared" si="1449"/>
        <v>0</v>
      </c>
      <c r="K1554" s="112">
        <f ca="1" t="shared" si="1449"/>
        <v>0</v>
      </c>
      <c r="L1554" s="112">
        <f ca="1" t="shared" si="1449"/>
        <v>0</v>
      </c>
      <c r="M1554" s="112">
        <f ca="1" t="shared" si="1449"/>
        <v>0.0205819781468099</v>
      </c>
      <c r="N1554" s="112">
        <f ca="1" t="shared" si="1449"/>
        <v>0.0168540890673076</v>
      </c>
      <c r="O1554" s="112">
        <f ca="1" t="shared" si="1449"/>
        <v>0.0158922621132328</v>
      </c>
      <c r="P1554" s="112">
        <f ca="1" t="shared" si="1449"/>
        <v>0.0154612021354117</v>
      </c>
      <c r="Q1554" s="112">
        <f ca="1" t="shared" si="1449"/>
        <v>0.0143494234207885</v>
      </c>
    </row>
    <row r="1555" ht="24" customHeight="1" spans="1:17">
      <c r="A1555" s="99" t="s">
        <v>348</v>
      </c>
      <c r="B1555" s="99" t="s">
        <v>299</v>
      </c>
      <c r="C1555" s="99" t="s">
        <v>344</v>
      </c>
      <c r="D1555" s="47" t="s">
        <v>294</v>
      </c>
      <c r="E1555" s="47" t="s">
        <v>93</v>
      </c>
      <c r="F1555" s="64">
        <f ca="1" t="shared" ref="F1555:F1559" si="1450">IF($S$1&lt;DATE(2025,1,1)," ",F1491)</f>
        <v>0</v>
      </c>
      <c r="G1555" s="64">
        <f ca="1" t="shared" ref="G1555:G1559" si="1451">IF($S$1&lt;DATE(2025,2,1)," ",G1491+F1555)</f>
        <v>3.223175</v>
      </c>
      <c r="H1555" s="64">
        <f ca="1" t="shared" ref="H1555:H1559" si="1452">IF($S$1&lt;DATE(2025,3,1)," ",H1491+G1555)</f>
        <v>4.92196</v>
      </c>
      <c r="I1555" s="64">
        <f ca="1" t="shared" ref="I1555:I1559" si="1453">IF($S$1&lt;DATE(2025,4,1)," ",I1491+H1555)</f>
        <v>6.661649</v>
      </c>
      <c r="J1555" s="64">
        <f ca="1" t="shared" ref="J1555:J1559" si="1454">IF($S$1&lt;DATE(2025,5,1)," ",J1491+I1555)</f>
        <v>13.666064</v>
      </c>
      <c r="K1555" s="64">
        <f ca="1" t="shared" ref="K1555:K1559" si="1455">IF($S$1&lt;DATE(2025,6,1)," ",K1491+J1555)</f>
        <v>19.632709</v>
      </c>
      <c r="L1555" s="64">
        <f ca="1" t="shared" ref="L1555:L1559" si="1456">IF($S$1&lt;DATE(2025,7,1)," ",L1491+K1555)</f>
        <v>20.061846</v>
      </c>
      <c r="M1555" s="64">
        <f ca="1" t="shared" ref="M1555:M1559" si="1457">IF($S$1&lt;DATE(2025,8,1)," ",M1491+L1555)</f>
        <v>20.99819</v>
      </c>
      <c r="N1555" s="64">
        <f ca="1" t="shared" ref="N1555:N1559" si="1458">IF($S$1&lt;DATE(2025,9,1)," ",N1491+M1555)</f>
        <v>26.2177</v>
      </c>
      <c r="O1555" s="64">
        <f ca="1" t="shared" ref="O1555:O1559" si="1459">IF($S$1&lt;DATE(2025,10,1)," ",O1491+N1555)</f>
        <v>26.640755</v>
      </c>
      <c r="P1555" s="64">
        <f ca="1" t="shared" ref="P1555:P1559" si="1460">IF($S$1&lt;DATE(2025,11,1)," ",P1491+O1555)</f>
        <v>26.640755</v>
      </c>
      <c r="Q1555" s="64">
        <f ca="1" t="shared" ref="Q1555:Q1559" si="1461">IF($S$1&lt;DATE(2025,12,1)," ",Q1491+P1555)</f>
        <v>27.623784</v>
      </c>
    </row>
    <row r="1556" ht="24" customHeight="1" spans="1:17">
      <c r="A1556" s="99" t="s">
        <v>348</v>
      </c>
      <c r="B1556" s="99" t="s">
        <v>299</v>
      </c>
      <c r="C1556" s="99" t="s">
        <v>344</v>
      </c>
      <c r="D1556" s="47" t="s">
        <v>294</v>
      </c>
      <c r="E1556" s="47" t="s">
        <v>85</v>
      </c>
      <c r="F1556" s="64">
        <f ca="1" t="shared" si="1450"/>
        <v>1.11628</v>
      </c>
      <c r="G1556" s="64">
        <f ca="1" t="shared" si="1451"/>
        <v>1.11628</v>
      </c>
      <c r="H1556" s="64">
        <f ca="1" t="shared" si="1452"/>
        <v>1.11628</v>
      </c>
      <c r="I1556" s="64">
        <f ca="1" t="shared" si="1453"/>
        <v>1.11628</v>
      </c>
      <c r="J1556" s="64">
        <f ca="1" t="shared" si="1454"/>
        <v>1.78201</v>
      </c>
      <c r="K1556" s="64">
        <f ca="1" t="shared" si="1455"/>
        <v>2.156854</v>
      </c>
      <c r="L1556" s="64">
        <f ca="1" t="shared" si="1456"/>
        <v>2.156854</v>
      </c>
      <c r="M1556" s="64">
        <f ca="1" t="shared" si="1457"/>
        <v>5.155361</v>
      </c>
      <c r="N1556" s="64">
        <f ca="1" t="shared" si="1458"/>
        <v>6.116181</v>
      </c>
      <c r="O1556" s="64">
        <f ca="1" t="shared" si="1459"/>
        <v>7.737873</v>
      </c>
      <c r="P1556" s="64">
        <f ca="1" t="shared" si="1460"/>
        <v>8.929956</v>
      </c>
      <c r="Q1556" s="64">
        <f ca="1" t="shared" si="1461"/>
        <v>11.352094</v>
      </c>
    </row>
    <row r="1557" ht="24" customHeight="1" spans="1:17">
      <c r="A1557" s="99" t="s">
        <v>348</v>
      </c>
      <c r="B1557" s="99" t="s">
        <v>299</v>
      </c>
      <c r="C1557" s="99" t="s">
        <v>344</v>
      </c>
      <c r="D1557" s="47" t="s">
        <v>294</v>
      </c>
      <c r="E1557" s="47" t="s">
        <v>81</v>
      </c>
      <c r="F1557" s="64">
        <f ca="1" t="shared" si="1450"/>
        <v>1.868502</v>
      </c>
      <c r="G1557" s="64">
        <f ca="1" t="shared" si="1451"/>
        <v>1.868502</v>
      </c>
      <c r="H1557" s="64">
        <f ca="1" t="shared" si="1452"/>
        <v>1.868502</v>
      </c>
      <c r="I1557" s="64">
        <f ca="1" t="shared" si="1453"/>
        <v>1.868502</v>
      </c>
      <c r="J1557" s="64">
        <f ca="1" t="shared" si="1454"/>
        <v>1.868502</v>
      </c>
      <c r="K1557" s="64">
        <f ca="1" t="shared" si="1455"/>
        <v>2.071038</v>
      </c>
      <c r="L1557" s="64">
        <f ca="1" t="shared" si="1456"/>
        <v>3.062568</v>
      </c>
      <c r="M1557" s="64">
        <f ca="1" t="shared" si="1457"/>
        <v>5.052585</v>
      </c>
      <c r="N1557" s="64">
        <f ca="1" t="shared" si="1458"/>
        <v>6.174701</v>
      </c>
      <c r="O1557" s="64">
        <f ca="1" t="shared" si="1459"/>
        <v>6.570032</v>
      </c>
      <c r="P1557" s="64">
        <f ca="1" t="shared" si="1460"/>
        <v>6.570032</v>
      </c>
      <c r="Q1557" s="64">
        <f ca="1" t="shared" si="1461"/>
        <v>6.570032</v>
      </c>
    </row>
    <row r="1558" ht="24" customHeight="1" spans="1:17">
      <c r="A1558" s="99" t="s">
        <v>348</v>
      </c>
      <c r="B1558" s="99" t="s">
        <v>299</v>
      </c>
      <c r="C1558" s="99" t="s">
        <v>344</v>
      </c>
      <c r="D1558" s="47" t="s">
        <v>294</v>
      </c>
      <c r="E1558" s="47" t="s">
        <v>96</v>
      </c>
      <c r="F1558" s="64">
        <f ca="1" t="shared" si="1450"/>
        <v>0.0961</v>
      </c>
      <c r="G1558" s="64">
        <f ca="1" t="shared" si="1451"/>
        <v>0.0961</v>
      </c>
      <c r="H1558" s="64">
        <f ca="1" t="shared" si="1452"/>
        <v>0.0961</v>
      </c>
      <c r="I1558" s="64">
        <f ca="1" t="shared" si="1453"/>
        <v>0.39608</v>
      </c>
      <c r="J1558" s="64">
        <f ca="1" t="shared" si="1454"/>
        <v>0.39608</v>
      </c>
      <c r="K1558" s="64">
        <f ca="1" t="shared" si="1455"/>
        <v>0.39608</v>
      </c>
      <c r="L1558" s="64">
        <f ca="1" t="shared" si="1456"/>
        <v>1.241758</v>
      </c>
      <c r="M1558" s="64">
        <f ca="1" t="shared" si="1457"/>
        <v>1.241758</v>
      </c>
      <c r="N1558" s="64">
        <f ca="1" t="shared" si="1458"/>
        <v>1.241758</v>
      </c>
      <c r="O1558" s="64">
        <f ca="1" t="shared" si="1459"/>
        <v>1.241758</v>
      </c>
      <c r="P1558" s="64">
        <f ca="1" t="shared" si="1460"/>
        <v>1.241758</v>
      </c>
      <c r="Q1558" s="64">
        <f ca="1" t="shared" si="1461"/>
        <v>1.241758</v>
      </c>
    </row>
    <row r="1559" ht="24" customHeight="1" spans="1:17">
      <c r="A1559" s="99" t="s">
        <v>348</v>
      </c>
      <c r="B1559" s="99" t="s">
        <v>299</v>
      </c>
      <c r="C1559" s="99" t="s">
        <v>344</v>
      </c>
      <c r="D1559" s="47" t="s">
        <v>294</v>
      </c>
      <c r="E1559" s="47" t="s">
        <v>160</v>
      </c>
      <c r="F1559" s="64">
        <f ca="1" t="shared" si="1450"/>
        <v>0</v>
      </c>
      <c r="G1559" s="64">
        <f ca="1" t="shared" si="1451"/>
        <v>0</v>
      </c>
      <c r="H1559" s="64">
        <f ca="1" t="shared" si="1452"/>
        <v>0</v>
      </c>
      <c r="I1559" s="64">
        <f ca="1" t="shared" si="1453"/>
        <v>0</v>
      </c>
      <c r="J1559" s="64">
        <f ca="1" t="shared" si="1454"/>
        <v>0</v>
      </c>
      <c r="K1559" s="64">
        <f ca="1" t="shared" si="1455"/>
        <v>0</v>
      </c>
      <c r="L1559" s="64">
        <f ca="1" t="shared" si="1456"/>
        <v>0</v>
      </c>
      <c r="M1559" s="64">
        <f ca="1" t="shared" si="1457"/>
        <v>0.567057</v>
      </c>
      <c r="N1559" s="64">
        <f ca="1" t="shared" si="1458"/>
        <v>0.567057</v>
      </c>
      <c r="O1559" s="64">
        <f ca="1" t="shared" si="1459"/>
        <v>0.567057</v>
      </c>
      <c r="P1559" s="64">
        <f ca="1" t="shared" si="1460"/>
        <v>0.567057</v>
      </c>
      <c r="Q1559" s="64">
        <f ca="1" t="shared" si="1461"/>
        <v>0.567057</v>
      </c>
    </row>
    <row r="1560" ht="24" customHeight="1" spans="1:17">
      <c r="A1560" s="99" t="s">
        <v>348</v>
      </c>
      <c r="B1560" s="99" t="s">
        <v>299</v>
      </c>
      <c r="C1560" s="99" t="s">
        <v>344</v>
      </c>
      <c r="D1560" s="47" t="s">
        <v>321</v>
      </c>
      <c r="E1560" s="47" t="s">
        <v>93</v>
      </c>
      <c r="F1560" s="126">
        <f ca="1" t="shared" ref="F1560:Q1560" si="1462">IFERROR(F1555/F1540," ")</f>
        <v>0</v>
      </c>
      <c r="G1560" s="126">
        <f ca="1" t="shared" si="1462"/>
        <v>0.51128582752345</v>
      </c>
      <c r="H1560" s="126">
        <f ca="1" t="shared" si="1462"/>
        <v>0.615026511831672</v>
      </c>
      <c r="I1560" s="126">
        <f ca="1" t="shared" si="1462"/>
        <v>0.663344954264924</v>
      </c>
      <c r="J1560" s="126">
        <f ca="1" t="shared" si="1462"/>
        <v>0.771542336733689</v>
      </c>
      <c r="K1560" s="126">
        <f ca="1" t="shared" si="1462"/>
        <v>0.80937326091727</v>
      </c>
      <c r="L1560" s="126">
        <f ca="1" t="shared" si="1462"/>
        <v>0.756393557808977</v>
      </c>
      <c r="M1560" s="126">
        <f ca="1" t="shared" si="1462"/>
        <v>0.636020631985793</v>
      </c>
      <c r="N1560" s="126">
        <f ca="1" t="shared" si="1462"/>
        <v>0.650282556683905</v>
      </c>
      <c r="O1560" s="126">
        <f ca="1" t="shared" si="1462"/>
        <v>0.623066609990417</v>
      </c>
      <c r="P1560" s="126">
        <f ca="1" t="shared" si="1462"/>
        <v>0.606166619468619</v>
      </c>
      <c r="Q1560" s="126">
        <f ca="1" t="shared" si="1462"/>
        <v>0.583337438872256</v>
      </c>
    </row>
    <row r="1561" ht="24" customHeight="1" spans="1:17">
      <c r="A1561" s="99" t="s">
        <v>348</v>
      </c>
      <c r="B1561" s="99" t="s">
        <v>299</v>
      </c>
      <c r="C1561" s="99" t="s">
        <v>344</v>
      </c>
      <c r="D1561" s="47" t="s">
        <v>321</v>
      </c>
      <c r="E1561" s="47" t="s">
        <v>85</v>
      </c>
      <c r="F1561" s="126">
        <f ca="1" t="shared" ref="F1561:Q1561" si="1463">IFERROR(F1556/F1540," ")</f>
        <v>0.362324814777067</v>
      </c>
      <c r="G1561" s="126">
        <f ca="1" t="shared" si="1463"/>
        <v>0.177073272021493</v>
      </c>
      <c r="H1561" s="126">
        <f ca="1" t="shared" si="1463"/>
        <v>0.139485447794671</v>
      </c>
      <c r="I1561" s="126">
        <f ca="1" t="shared" si="1463"/>
        <v>0.111155466994261</v>
      </c>
      <c r="J1561" s="126">
        <f ca="1" t="shared" si="1463"/>
        <v>0.100606594516373</v>
      </c>
      <c r="K1561" s="126">
        <f ca="1" t="shared" si="1463"/>
        <v>0.088917935640082</v>
      </c>
      <c r="L1561" s="126">
        <f ca="1" t="shared" si="1463"/>
        <v>0.0813200575228483</v>
      </c>
      <c r="M1561" s="126">
        <f ca="1" t="shared" si="1463"/>
        <v>0.156152314143977</v>
      </c>
      <c r="N1561" s="126">
        <f ca="1" t="shared" si="1463"/>
        <v>0.151700790604116</v>
      </c>
      <c r="O1561" s="126">
        <f ca="1" t="shared" si="1463"/>
        <v>0.18097123368487</v>
      </c>
      <c r="P1561" s="126">
        <f ca="1" t="shared" si="1463"/>
        <v>0.203186480282691</v>
      </c>
      <c r="Q1561" s="126">
        <f ca="1" t="shared" si="1463"/>
        <v>0.239724631491366</v>
      </c>
    </row>
    <row r="1562" ht="24" customHeight="1" spans="1:17">
      <c r="A1562" s="99" t="s">
        <v>348</v>
      </c>
      <c r="B1562" s="99" t="s">
        <v>299</v>
      </c>
      <c r="C1562" s="99" t="s">
        <v>344</v>
      </c>
      <c r="D1562" s="47" t="s">
        <v>321</v>
      </c>
      <c r="E1562" s="47" t="s">
        <v>81</v>
      </c>
      <c r="F1562" s="126">
        <f ca="1" t="shared" ref="F1562:Q1562" si="1464">IFERROR(F1557/F1540," ")</f>
        <v>0.606482818881087</v>
      </c>
      <c r="G1562" s="126">
        <f ca="1" t="shared" si="1464"/>
        <v>0.296396748950715</v>
      </c>
      <c r="H1562" s="126">
        <f ca="1" t="shared" si="1464"/>
        <v>0.233479806298812</v>
      </c>
      <c r="I1562" s="126">
        <f ca="1" t="shared" si="1464"/>
        <v>0.186059243549746</v>
      </c>
      <c r="J1562" s="126">
        <f ca="1" t="shared" si="1464"/>
        <v>0.105489656661316</v>
      </c>
      <c r="K1562" s="126">
        <f ca="1" t="shared" si="1464"/>
        <v>0.0853801062066158</v>
      </c>
      <c r="L1562" s="126">
        <f ca="1" t="shared" si="1464"/>
        <v>0.115468272737809</v>
      </c>
      <c r="M1562" s="126">
        <f ca="1" t="shared" si="1464"/>
        <v>0.153039300285498</v>
      </c>
      <c r="N1562" s="126">
        <f ca="1" t="shared" si="1464"/>
        <v>0.15315227319859</v>
      </c>
      <c r="O1562" s="126">
        <f ca="1" t="shared" si="1464"/>
        <v>0.153658091362972</v>
      </c>
      <c r="P1562" s="126">
        <f ca="1" t="shared" si="1464"/>
        <v>0.149490286113913</v>
      </c>
      <c r="Q1562" s="126">
        <f ca="1" t="shared" si="1464"/>
        <v>0.138740790913684</v>
      </c>
    </row>
    <row r="1563" ht="24" customHeight="1" spans="1:17">
      <c r="A1563" s="99" t="s">
        <v>348</v>
      </c>
      <c r="B1563" s="99" t="s">
        <v>299</v>
      </c>
      <c r="C1563" s="99" t="s">
        <v>344</v>
      </c>
      <c r="D1563" s="47" t="s">
        <v>321</v>
      </c>
      <c r="E1563" s="47" t="s">
        <v>96</v>
      </c>
      <c r="F1563" s="126">
        <f ca="1" t="shared" ref="F1563:Q1563" si="1465">IFERROR(F1558/F1540," ")</f>
        <v>0.0311923663418463</v>
      </c>
      <c r="G1563" s="126">
        <f ca="1" t="shared" si="1465"/>
        <v>0.0152441515043408</v>
      </c>
      <c r="H1563" s="126">
        <f ca="1" t="shared" si="1465"/>
        <v>0.0120082340748449</v>
      </c>
      <c r="I1563" s="126">
        <f ca="1" t="shared" si="1465"/>
        <v>0.0394403351910692</v>
      </c>
      <c r="J1563" s="126">
        <f ca="1" t="shared" si="1465"/>
        <v>0.0223614120886218</v>
      </c>
      <c r="K1563" s="126">
        <f ca="1" t="shared" si="1465"/>
        <v>0.0163286972360316</v>
      </c>
      <c r="L1563" s="126">
        <f ca="1" t="shared" si="1465"/>
        <v>0.0468181119303657</v>
      </c>
      <c r="M1563" s="126">
        <f ca="1" t="shared" si="1465"/>
        <v>0.0376119897921399</v>
      </c>
      <c r="N1563" s="126">
        <f ca="1" t="shared" si="1465"/>
        <v>0.0307995578186756</v>
      </c>
      <c r="O1563" s="126">
        <f ca="1" t="shared" si="1465"/>
        <v>0.0290418926749066</v>
      </c>
      <c r="P1563" s="126">
        <f ca="1" t="shared" si="1465"/>
        <v>0.0282541635572308</v>
      </c>
      <c r="Q1563" s="126">
        <f ca="1" t="shared" si="1465"/>
        <v>0.0262224730478321</v>
      </c>
    </row>
    <row r="1564" ht="24" customHeight="1" spans="1:17">
      <c r="A1564" s="99" t="s">
        <v>348</v>
      </c>
      <c r="B1564" s="99" t="s">
        <v>299</v>
      </c>
      <c r="C1564" s="99" t="s">
        <v>344</v>
      </c>
      <c r="D1564" s="47" t="s">
        <v>321</v>
      </c>
      <c r="E1564" s="47" t="s">
        <v>160</v>
      </c>
      <c r="F1564" s="126">
        <f ca="1" t="shared" ref="F1564:Q1564" si="1466">IFERROR(F1559/F1540," ")</f>
        <v>0</v>
      </c>
      <c r="G1564" s="126">
        <f ca="1" t="shared" si="1466"/>
        <v>0</v>
      </c>
      <c r="H1564" s="126">
        <f ca="1" t="shared" si="1466"/>
        <v>0</v>
      </c>
      <c r="I1564" s="126">
        <f ca="1" t="shared" si="1466"/>
        <v>0</v>
      </c>
      <c r="J1564" s="126">
        <f ca="1" t="shared" si="1466"/>
        <v>0</v>
      </c>
      <c r="K1564" s="126">
        <f ca="1" t="shared" si="1466"/>
        <v>0</v>
      </c>
      <c r="L1564" s="126">
        <f ca="1" t="shared" si="1466"/>
        <v>0</v>
      </c>
      <c r="M1564" s="126">
        <f ca="1" t="shared" si="1466"/>
        <v>0.017175763792592</v>
      </c>
      <c r="N1564" s="126">
        <f ca="1" t="shared" si="1466"/>
        <v>0.0140648216947141</v>
      </c>
      <c r="O1564" s="126">
        <f ca="1" t="shared" si="1466"/>
        <v>0.0132621722868341</v>
      </c>
      <c r="P1564" s="126">
        <f ca="1" t="shared" si="1466"/>
        <v>0.0129024505775462</v>
      </c>
      <c r="Q1564" s="126">
        <f ca="1" t="shared" si="1466"/>
        <v>0.0119746656748614</v>
      </c>
    </row>
    <row r="1565" ht="24" customHeight="1" spans="1:19">
      <c r="A1565" s="99" t="s">
        <v>348</v>
      </c>
      <c r="B1565" s="99" t="s">
        <v>299</v>
      </c>
      <c r="C1565" s="99" t="s">
        <v>343</v>
      </c>
      <c r="D1565" s="114" t="s">
        <v>292</v>
      </c>
      <c r="E1565" s="53" t="s">
        <v>326</v>
      </c>
      <c r="F1565" s="219">
        <f ca="1">IF($S$1&lt;DATE(2025,1,1)," ",IF((F1496-F1567-F1568-F1569-F1570-F1571)&lt;&gt;0,"ERR",F1496))</f>
        <v>0.102369</v>
      </c>
      <c r="G1565" s="219">
        <f ca="1">IF($S$1&lt;DATE(2025,2,1)," ",IF((G1496+F1565)&lt;&gt;SUM(G1567:G1571),"ERR",G1496+F1565))</f>
        <v>0.187428</v>
      </c>
      <c r="H1565" s="219">
        <f ca="1">IF($S$1&lt;DATE(2025,3,1)," ",IF((H1496+G1565)&lt;&gt;SUM(H1567:H1571),"ERR",H1496+G1565))</f>
        <v>0.187428</v>
      </c>
      <c r="I1565" s="219">
        <f ca="1">IF($S$1&lt;DATE(2025,4,1)," ",IF((I1496+H1565)&lt;&gt;SUM(I1567:I1571),"ERR",I1496+H1565))</f>
        <v>0.187428</v>
      </c>
      <c r="J1565" s="219">
        <f ca="1">IF($S$1&lt;DATE(2025,5,1)," ",IF((J1496+I1565)&lt;&gt;SUM(J1567:J1571),"ERR",J1496+I1565))</f>
        <v>0.295848</v>
      </c>
      <c r="K1565" s="230">
        <f ca="1">IF($S$1&lt;DATE(2025,6,1)," ",IF((K1496+J1565)&lt;&gt;SUM(K1567:K1571),"ERR",K1496+J1565))</f>
        <v>0.621272</v>
      </c>
      <c r="L1565" s="230">
        <f ca="1">IF($S$1&lt;DATE(2025,7,1)," ",IF((L1496+K1565)&lt;&gt;SUM(L1567:L1571),"ERR",L1496+K1565))</f>
        <v>0.639119</v>
      </c>
      <c r="M1565" s="230">
        <f ca="1">IF($S$1&lt;DATE(2025,8,1)," ",IF((M1496+L1565)&lt;&gt;SUM(M1567:M1571),"ERR",M1496+L1565))</f>
        <v>0.769307</v>
      </c>
      <c r="N1565" s="230">
        <f ca="1">IF($S$1&lt;DATE(2025,9,1)," ",IF((N1496+M1565)&lt;&gt;SUM(N1567:N1571),"ERR",N1496+M1565))</f>
        <v>0.930882</v>
      </c>
      <c r="O1565" s="230">
        <f ca="1">IF($S$1&lt;DATE(2025,10,1)," ",IF((O1496+N1565)&lt;&gt;SUM(O1567:O1571),"ERR",O1496+N1565))</f>
        <v>0.93756</v>
      </c>
      <c r="P1565" s="231">
        <v>0.966029</v>
      </c>
      <c r="Q1565" s="230">
        <f ca="1">IF($S$1&lt;DATE(2025,12,1)," ",IF((Q1496+P1565)&lt;&gt;SUM(Q1567:Q1571),"ERR",Q1496+P1565))</f>
        <v>1.010352</v>
      </c>
      <c r="S1565" s="232"/>
    </row>
    <row r="1566" ht="24" customHeight="1" spans="1:19">
      <c r="A1566" s="99" t="s">
        <v>348</v>
      </c>
      <c r="B1566" s="99" t="s">
        <v>299</v>
      </c>
      <c r="C1566" s="99" t="s">
        <v>343</v>
      </c>
      <c r="D1566" s="114" t="s">
        <v>292</v>
      </c>
      <c r="E1566" s="48" t="s">
        <v>327</v>
      </c>
      <c r="F1566" s="219">
        <f ca="1">IF($S$1&lt;DATE(2025,1,1)," ",IF((F1497-SUM(F1572:F1576))&lt;&gt;0,"ERR",F1497))</f>
        <v>0.0004</v>
      </c>
      <c r="G1566" s="219">
        <f ca="1">IF($S$1&lt;DATE(2025,2,1)," ",IF((G1497+F1566-SUM(G1572:G1576))&lt;&gt;0,"ERR",G1497+F1566))</f>
        <v>0.034137</v>
      </c>
      <c r="H1566" s="219">
        <f ca="1">IF($S$1&lt;DATE(2025,3,1)," ",IF((H1497+G1566-SUM(H1572:H1576))&lt;&gt;0,"ERR",H1497+G1566))</f>
        <v>0.0487899999999999</v>
      </c>
      <c r="I1566" s="219">
        <f ca="1">IF($S$1&lt;DATE(2025,4,1)," ",IF((I1497+H1566-SUM(I1572:I1576))&lt;&gt;0,"ERR",I1497+H1566))</f>
        <v>0.0638779999999996</v>
      </c>
      <c r="J1566" s="219">
        <f ca="1">IF($S$1&lt;DATE(2025,5,1)," ",IF((J1497+I1566)&lt;&gt;SUM(J1572:J1576),"ERR",J1497+I1566))</f>
        <v>0.0926879999999996</v>
      </c>
      <c r="K1566" s="219">
        <f ca="1">IF($S$1&lt;DATE(2025,6,1)," ",IF((K1497+J1566)&lt;&gt;SUM(K1572:K1576),"ERR",K1497+J1566))</f>
        <v>0.220980999999999</v>
      </c>
      <c r="L1566" s="219">
        <f ca="1">IF($S$1&lt;DATE(2025,7,1)," ",IF((L1497+K1566)&lt;&gt;SUM(L1572:L1576),"ERR",L1497+K1566))</f>
        <v>0.238900999999999</v>
      </c>
      <c r="M1566" s="219">
        <f ca="1">IF($S$1&lt;DATE(2025,8,1)," ",IF((M1497+L1566)&lt;&gt;SUM(M1572:M1576),"ERR",M1497+L1566))</f>
        <v>0.249208999999999</v>
      </c>
      <c r="N1566" s="219">
        <f ca="1">IF($S$1&lt;DATE(2025,9,1)," ",IF((N1497+M1566)&lt;&gt;SUM(N1572:N1576),"ERR",N1497+M1566))</f>
        <v>0.353265999999999</v>
      </c>
      <c r="O1566" s="219">
        <f ca="1">IF($S$1&lt;DATE(2025,10,1)," ",IF((O1497+N1566)&lt;&gt;SUM(O1572:O1576),"ERR",O1497+N1566))</f>
        <v>0.391100999999999</v>
      </c>
      <c r="P1566" s="219">
        <f ca="1">IF($S$1&lt;DATE(2025,11,1)," ",IF((P1497+O1566)&lt;&gt;SUM(P1572:P1576),"ERR",P1497+O1566))</f>
        <v>0.391100999999999</v>
      </c>
      <c r="Q1566" s="219">
        <f ca="1">IF($S$1&lt;DATE(2025,12,1)," ",IF((Q1497+P1566)&lt;&gt;SUM(Q1572:Q1576),"ERR",Q1497+P1566))</f>
        <v>0.468764999999999</v>
      </c>
      <c r="S1566" s="232"/>
    </row>
    <row r="1567" ht="24" customHeight="1" spans="1:17">
      <c r="A1567" s="99" t="s">
        <v>348</v>
      </c>
      <c r="B1567" s="99" t="s">
        <v>299</v>
      </c>
      <c r="C1567" s="99" t="s">
        <v>343</v>
      </c>
      <c r="D1567" s="53" t="s">
        <v>326</v>
      </c>
      <c r="E1567" s="53" t="s">
        <v>93</v>
      </c>
      <c r="F1567" s="219">
        <f ca="1" t="shared" ref="F1567:F1576" si="1467">IF($S$1&lt;DATE(2025,1,1)," ",F1499)</f>
        <v>0</v>
      </c>
      <c r="G1567" s="219">
        <f ca="1" t="shared" ref="G1567:G1576" si="1468">IF($S$1&lt;DATE(2025,2,1)," ",G1499+F1567)</f>
        <v>0.085059</v>
      </c>
      <c r="H1567" s="219">
        <f ca="1" t="shared" ref="H1567:H1576" si="1469">IF($S$1&lt;DATE(2025,3,1)," ",H1499+G1567)</f>
        <v>0.085059</v>
      </c>
      <c r="I1567" s="219">
        <f ca="1" t="shared" ref="I1567:I1576" si="1470">IF($S$1&lt;DATE(2025,4,1)," ",I1499+H1567)</f>
        <v>0.085059</v>
      </c>
      <c r="J1567" s="219">
        <f ca="1" t="shared" ref="J1567:J1576" si="1471">IF($S$1&lt;DATE(2025,5,1)," ",J1499+I1567)</f>
        <v>0.182372</v>
      </c>
      <c r="K1567" s="219">
        <f ca="1" t="shared" ref="K1567:K1576" si="1472">IF($S$1&lt;DATE(2025,6,1)," ",K1499+J1567)</f>
        <v>0.507796</v>
      </c>
      <c r="L1567" s="219">
        <f ca="1" t="shared" ref="L1567:L1576" si="1473">IF($S$1&lt;DATE(2025,7,1)," ",L1499+K1567)</f>
        <v>0.507796</v>
      </c>
      <c r="M1567" s="219">
        <f ca="1" t="shared" ref="M1567:M1576" si="1474">IF($S$1&lt;DATE(2025,8,1)," ",M1499+L1567)</f>
        <v>0.545063</v>
      </c>
      <c r="N1567" s="219">
        <f ca="1" t="shared" ref="N1567:N1576" si="1475">IF($S$1&lt;DATE(2025,9,1)," ",N1499+M1567)</f>
        <v>0.706638</v>
      </c>
      <c r="O1567" s="219">
        <f ca="1" t="shared" ref="O1567:O1576" si="1476">IF($S$1&lt;DATE(2025,10,1)," ",O1499+N1567)</f>
        <v>0.706638</v>
      </c>
      <c r="P1567" s="219">
        <f ca="1" t="shared" ref="P1567:P1576" si="1477">IF($S$1&lt;DATE(2025,11,1)," ",P1499+O1567)</f>
        <v>0.706638</v>
      </c>
      <c r="Q1567" s="219">
        <f ca="1" t="shared" ref="Q1567:Q1576" si="1478">IF($S$1&lt;DATE(2025,12,1)," ",Q1499+P1567)</f>
        <v>0.706638</v>
      </c>
    </row>
    <row r="1568" ht="24" customHeight="1" spans="1:17">
      <c r="A1568" s="99" t="s">
        <v>348</v>
      </c>
      <c r="B1568" s="99" t="s">
        <v>299</v>
      </c>
      <c r="C1568" s="99" t="s">
        <v>343</v>
      </c>
      <c r="D1568" s="53" t="s">
        <v>326</v>
      </c>
      <c r="E1568" s="53" t="s">
        <v>85</v>
      </c>
      <c r="F1568" s="219">
        <f ca="1" t="shared" si="1467"/>
        <v>0.022391</v>
      </c>
      <c r="G1568" s="219">
        <f ca="1" t="shared" si="1468"/>
        <v>0.022391</v>
      </c>
      <c r="H1568" s="219">
        <f ca="1" t="shared" si="1469"/>
        <v>0.022391</v>
      </c>
      <c r="I1568" s="219">
        <f ca="1" t="shared" si="1470"/>
        <v>0.022391</v>
      </c>
      <c r="J1568" s="219">
        <f ca="1" t="shared" si="1471"/>
        <v>0.0334980000000001</v>
      </c>
      <c r="K1568" s="219">
        <f ca="1" t="shared" si="1472"/>
        <v>0.0334980000000001</v>
      </c>
      <c r="L1568" s="219">
        <f ca="1" t="shared" si="1473"/>
        <v>0.0334980000000001</v>
      </c>
      <c r="M1568" s="219">
        <f ca="1" t="shared" si="1474"/>
        <v>0.0930020000000002</v>
      </c>
      <c r="N1568" s="219">
        <f ca="1" t="shared" si="1475"/>
        <v>0.0930020000000002</v>
      </c>
      <c r="O1568" s="219">
        <f ca="1" t="shared" si="1476"/>
        <v>0.0953300000000002</v>
      </c>
      <c r="P1568" s="219">
        <f ca="1" t="shared" si="1477"/>
        <v>0.123799</v>
      </c>
      <c r="Q1568" s="219">
        <f ca="1" t="shared" si="1478"/>
        <v>0.168122</v>
      </c>
    </row>
    <row r="1569" ht="24" customHeight="1" spans="1:17">
      <c r="A1569" s="99" t="s">
        <v>348</v>
      </c>
      <c r="B1569" s="99" t="s">
        <v>299</v>
      </c>
      <c r="C1569" s="99" t="s">
        <v>343</v>
      </c>
      <c r="D1569" s="53" t="s">
        <v>326</v>
      </c>
      <c r="E1569" s="53" t="s">
        <v>81</v>
      </c>
      <c r="F1569" s="219">
        <f ca="1" t="shared" si="1467"/>
        <v>0.079978</v>
      </c>
      <c r="G1569" s="219">
        <f ca="1" t="shared" si="1468"/>
        <v>0.079978</v>
      </c>
      <c r="H1569" s="219">
        <f ca="1" t="shared" si="1469"/>
        <v>0.079978</v>
      </c>
      <c r="I1569" s="219">
        <f ca="1" t="shared" si="1470"/>
        <v>0.079978</v>
      </c>
      <c r="J1569" s="219">
        <f ca="1" t="shared" si="1471"/>
        <v>0.079978</v>
      </c>
      <c r="K1569" s="219">
        <f ca="1" t="shared" si="1472"/>
        <v>0.079978</v>
      </c>
      <c r="L1569" s="219">
        <f ca="1" t="shared" si="1473"/>
        <v>0.0978250000000001</v>
      </c>
      <c r="M1569" s="219">
        <f ca="1" t="shared" si="1474"/>
        <v>0.0987610000000002</v>
      </c>
      <c r="N1569" s="219">
        <f ca="1" t="shared" si="1475"/>
        <v>0.0987610000000002</v>
      </c>
      <c r="O1569" s="219">
        <f ca="1" t="shared" si="1476"/>
        <v>0.103111</v>
      </c>
      <c r="P1569" s="219">
        <f ca="1" t="shared" si="1477"/>
        <v>0.103111</v>
      </c>
      <c r="Q1569" s="219">
        <f ca="1" t="shared" si="1478"/>
        <v>0.103111</v>
      </c>
    </row>
    <row r="1570" ht="24" customHeight="1" spans="1:17">
      <c r="A1570" s="99" t="s">
        <v>348</v>
      </c>
      <c r="B1570" s="99" t="s">
        <v>299</v>
      </c>
      <c r="C1570" s="99" t="s">
        <v>343</v>
      </c>
      <c r="D1570" s="53" t="s">
        <v>326</v>
      </c>
      <c r="E1570" s="53" t="s">
        <v>96</v>
      </c>
      <c r="F1570" s="219">
        <f ca="1" t="shared" si="1467"/>
        <v>0</v>
      </c>
      <c r="G1570" s="219">
        <f ca="1" t="shared" si="1468"/>
        <v>0</v>
      </c>
      <c r="H1570" s="219">
        <f ca="1" t="shared" si="1469"/>
        <v>0</v>
      </c>
      <c r="I1570" s="219">
        <f ca="1" t="shared" si="1470"/>
        <v>0</v>
      </c>
      <c r="J1570" s="219">
        <f ca="1" t="shared" si="1471"/>
        <v>0</v>
      </c>
      <c r="K1570" s="219">
        <f ca="1" t="shared" si="1472"/>
        <v>0</v>
      </c>
      <c r="L1570" s="219">
        <f ca="1" t="shared" si="1473"/>
        <v>0</v>
      </c>
      <c r="M1570" s="219">
        <f ca="1" t="shared" si="1474"/>
        <v>0</v>
      </c>
      <c r="N1570" s="219">
        <f ca="1" t="shared" si="1475"/>
        <v>0</v>
      </c>
      <c r="O1570" s="219">
        <f ca="1" t="shared" si="1476"/>
        <v>0</v>
      </c>
      <c r="P1570" s="219">
        <f ca="1" t="shared" si="1477"/>
        <v>0</v>
      </c>
      <c r="Q1570" s="219">
        <f ca="1" t="shared" si="1478"/>
        <v>0</v>
      </c>
    </row>
    <row r="1571" ht="24" customHeight="1" spans="1:17">
      <c r="A1571" s="99" t="s">
        <v>348</v>
      </c>
      <c r="B1571" s="99" t="s">
        <v>299</v>
      </c>
      <c r="C1571" s="99" t="s">
        <v>343</v>
      </c>
      <c r="D1571" s="53" t="s">
        <v>326</v>
      </c>
      <c r="E1571" s="53" t="s">
        <v>160</v>
      </c>
      <c r="F1571" s="219">
        <f ca="1" t="shared" si="1467"/>
        <v>0</v>
      </c>
      <c r="G1571" s="219">
        <f ca="1" t="shared" si="1468"/>
        <v>0</v>
      </c>
      <c r="H1571" s="219">
        <f ca="1" t="shared" si="1469"/>
        <v>0</v>
      </c>
      <c r="I1571" s="219">
        <f ca="1" t="shared" si="1470"/>
        <v>0</v>
      </c>
      <c r="J1571" s="219">
        <f ca="1" t="shared" si="1471"/>
        <v>0</v>
      </c>
      <c r="K1571" s="219">
        <f ca="1" t="shared" si="1472"/>
        <v>0</v>
      </c>
      <c r="L1571" s="219">
        <f ca="1" t="shared" si="1473"/>
        <v>0</v>
      </c>
      <c r="M1571" s="219">
        <f ca="1" t="shared" si="1474"/>
        <v>0.032481</v>
      </c>
      <c r="N1571" s="219">
        <f ca="1" t="shared" si="1475"/>
        <v>0.032481</v>
      </c>
      <c r="O1571" s="219">
        <f ca="1" t="shared" si="1476"/>
        <v>0.032481</v>
      </c>
      <c r="P1571" s="219">
        <f ca="1" t="shared" si="1477"/>
        <v>0.032481</v>
      </c>
      <c r="Q1571" s="219">
        <f ca="1" t="shared" si="1478"/>
        <v>0.032481</v>
      </c>
    </row>
    <row r="1572" ht="24" customHeight="1" spans="1:17">
      <c r="A1572" s="99" t="s">
        <v>348</v>
      </c>
      <c r="B1572" s="99" t="s">
        <v>299</v>
      </c>
      <c r="C1572" s="99" t="s">
        <v>343</v>
      </c>
      <c r="D1572" s="53" t="s">
        <v>327</v>
      </c>
      <c r="E1572" s="53" t="s">
        <v>93</v>
      </c>
      <c r="F1572" s="219">
        <f ca="1" t="shared" si="1467"/>
        <v>0</v>
      </c>
      <c r="G1572" s="219">
        <f ca="1" t="shared" si="1468"/>
        <v>0.033737</v>
      </c>
      <c r="H1572" s="219">
        <f ca="1" t="shared" si="1469"/>
        <v>0.0483899999999999</v>
      </c>
      <c r="I1572" s="219">
        <f ca="1" t="shared" si="1470"/>
        <v>0.0634779999999996</v>
      </c>
      <c r="J1572" s="219">
        <f ca="1" t="shared" si="1471"/>
        <v>0.0922879999999996</v>
      </c>
      <c r="K1572" s="219">
        <f ca="1" t="shared" si="1472"/>
        <v>0.199990999999999</v>
      </c>
      <c r="L1572" s="219">
        <f ca="1" t="shared" si="1473"/>
        <v>0.217910999999999</v>
      </c>
      <c r="M1572" s="219">
        <f ca="1" t="shared" si="1474"/>
        <v>0.222293999999999</v>
      </c>
      <c r="N1572" s="219">
        <f ca="1" t="shared" si="1475"/>
        <v>0.222646999999999</v>
      </c>
      <c r="O1572" s="219">
        <f ca="1" t="shared" si="1476"/>
        <v>0.251834999999999</v>
      </c>
      <c r="P1572" s="219">
        <f ca="1" t="shared" si="1477"/>
        <v>0.251834999999999</v>
      </c>
      <c r="Q1572" s="219">
        <f ca="1" t="shared" si="1478"/>
        <v>0.329498999999999</v>
      </c>
    </row>
    <row r="1573" ht="24" customHeight="1" spans="1:17">
      <c r="A1573" s="99" t="s">
        <v>348</v>
      </c>
      <c r="B1573" s="99" t="s">
        <v>299</v>
      </c>
      <c r="C1573" s="99" t="s">
        <v>343</v>
      </c>
      <c r="D1573" s="53" t="s">
        <v>327</v>
      </c>
      <c r="E1573" s="53" t="s">
        <v>85</v>
      </c>
      <c r="F1573" s="219">
        <f ca="1" t="shared" si="1467"/>
        <v>0</v>
      </c>
      <c r="G1573" s="219">
        <f ca="1" t="shared" si="1468"/>
        <v>0</v>
      </c>
      <c r="H1573" s="219">
        <f ca="1" t="shared" si="1469"/>
        <v>0</v>
      </c>
      <c r="I1573" s="219">
        <f ca="1" t="shared" si="1470"/>
        <v>0</v>
      </c>
      <c r="J1573" s="219">
        <f ca="1" t="shared" si="1471"/>
        <v>0</v>
      </c>
      <c r="K1573" s="219">
        <f ca="1" t="shared" si="1472"/>
        <v>0.020107</v>
      </c>
      <c r="L1573" s="219">
        <f ca="1" t="shared" si="1473"/>
        <v>0.020107</v>
      </c>
      <c r="M1573" s="219">
        <f ca="1" t="shared" si="1474"/>
        <v>0.023652</v>
      </c>
      <c r="N1573" s="219">
        <f ca="1" t="shared" si="1475"/>
        <v>0.0564150000000001</v>
      </c>
      <c r="O1573" s="219">
        <f ca="1" t="shared" si="1476"/>
        <v>0.0650620000000001</v>
      </c>
      <c r="P1573" s="219">
        <f ca="1" t="shared" si="1477"/>
        <v>0.0650620000000001</v>
      </c>
      <c r="Q1573" s="219">
        <f ca="1" t="shared" si="1478"/>
        <v>0.0650620000000001</v>
      </c>
    </row>
    <row r="1574" ht="24" customHeight="1" spans="1:17">
      <c r="A1574" s="99" t="s">
        <v>348</v>
      </c>
      <c r="B1574" s="99" t="s">
        <v>299</v>
      </c>
      <c r="C1574" s="99" t="s">
        <v>343</v>
      </c>
      <c r="D1574" s="53" t="s">
        <v>327</v>
      </c>
      <c r="E1574" s="53" t="s">
        <v>81</v>
      </c>
      <c r="F1574" s="219">
        <f ca="1" t="shared" si="1467"/>
        <v>0</v>
      </c>
      <c r="G1574" s="219">
        <f ca="1" t="shared" si="1468"/>
        <v>0</v>
      </c>
      <c r="H1574" s="219">
        <f ca="1" t="shared" si="1469"/>
        <v>0</v>
      </c>
      <c r="I1574" s="219">
        <f ca="1" t="shared" si="1470"/>
        <v>0</v>
      </c>
      <c r="J1574" s="219">
        <f ca="1" t="shared" si="1471"/>
        <v>0</v>
      </c>
      <c r="K1574" s="219">
        <f ca="1" t="shared" si="1472"/>
        <v>0.000482999999999993</v>
      </c>
      <c r="L1574" s="219">
        <f ca="1" t="shared" si="1473"/>
        <v>0.000482999999999993</v>
      </c>
      <c r="M1574" s="219">
        <f ca="1" t="shared" si="1474"/>
        <v>0.0028630000000001</v>
      </c>
      <c r="N1574" s="219">
        <f ca="1" t="shared" si="1475"/>
        <v>0.073804</v>
      </c>
      <c r="O1574" s="219">
        <f ca="1" t="shared" si="1476"/>
        <v>0.073804</v>
      </c>
      <c r="P1574" s="219">
        <f ca="1" t="shared" si="1477"/>
        <v>0.073804</v>
      </c>
      <c r="Q1574" s="219">
        <f ca="1" t="shared" si="1478"/>
        <v>0.073804</v>
      </c>
    </row>
    <row r="1575" ht="24" customHeight="1" spans="1:17">
      <c r="A1575" s="99" t="s">
        <v>348</v>
      </c>
      <c r="B1575" s="99" t="s">
        <v>299</v>
      </c>
      <c r="C1575" s="99" t="s">
        <v>343</v>
      </c>
      <c r="D1575" s="53" t="s">
        <v>327</v>
      </c>
      <c r="E1575" s="53" t="s">
        <v>96</v>
      </c>
      <c r="F1575" s="219">
        <f ca="1" t="shared" si="1467"/>
        <v>0.0004</v>
      </c>
      <c r="G1575" s="219">
        <f ca="1" t="shared" si="1468"/>
        <v>0.0004</v>
      </c>
      <c r="H1575" s="219">
        <f ca="1" t="shared" si="1469"/>
        <v>0.0004</v>
      </c>
      <c r="I1575" s="219">
        <f ca="1" t="shared" si="1470"/>
        <v>0.0004</v>
      </c>
      <c r="J1575" s="219">
        <f ca="1" t="shared" si="1471"/>
        <v>0.0004</v>
      </c>
      <c r="K1575" s="219">
        <f ca="1" t="shared" si="1472"/>
        <v>0.0004</v>
      </c>
      <c r="L1575" s="219">
        <f ca="1" t="shared" si="1473"/>
        <v>0.0004</v>
      </c>
      <c r="M1575" s="219">
        <f ca="1" t="shared" si="1474"/>
        <v>0.0004</v>
      </c>
      <c r="N1575" s="219">
        <f ca="1" t="shared" si="1475"/>
        <v>0.0004</v>
      </c>
      <c r="O1575" s="219">
        <f ca="1" t="shared" si="1476"/>
        <v>0.0004</v>
      </c>
      <c r="P1575" s="219">
        <f ca="1" t="shared" si="1477"/>
        <v>0.0004</v>
      </c>
      <c r="Q1575" s="219">
        <f ca="1" t="shared" si="1478"/>
        <v>0.0004</v>
      </c>
    </row>
    <row r="1576" ht="24" customHeight="1" spans="1:17">
      <c r="A1576" s="99" t="s">
        <v>348</v>
      </c>
      <c r="B1576" s="99" t="s">
        <v>299</v>
      </c>
      <c r="C1576" s="99" t="s">
        <v>343</v>
      </c>
      <c r="D1576" s="53" t="s">
        <v>327</v>
      </c>
      <c r="E1576" s="53" t="s">
        <v>160</v>
      </c>
      <c r="F1576" s="219">
        <f ca="1" t="shared" si="1467"/>
        <v>0</v>
      </c>
      <c r="G1576" s="219">
        <f ca="1" t="shared" si="1468"/>
        <v>0</v>
      </c>
      <c r="H1576" s="219">
        <f ca="1" t="shared" si="1469"/>
        <v>0</v>
      </c>
      <c r="I1576" s="219">
        <f ca="1" t="shared" si="1470"/>
        <v>0</v>
      </c>
      <c r="J1576" s="219">
        <f ca="1" t="shared" si="1471"/>
        <v>0</v>
      </c>
      <c r="K1576" s="219">
        <f ca="1" t="shared" si="1472"/>
        <v>0</v>
      </c>
      <c r="L1576" s="219">
        <f ca="1" t="shared" si="1473"/>
        <v>0</v>
      </c>
      <c r="M1576" s="219">
        <f ca="1" t="shared" si="1474"/>
        <v>0</v>
      </c>
      <c r="N1576" s="219">
        <f ca="1" t="shared" si="1475"/>
        <v>0</v>
      </c>
      <c r="O1576" s="219">
        <f ca="1" t="shared" si="1476"/>
        <v>0</v>
      </c>
      <c r="P1576" s="219">
        <f ca="1" t="shared" si="1477"/>
        <v>0</v>
      </c>
      <c r="Q1576" s="219">
        <f ca="1" t="shared" si="1478"/>
        <v>0</v>
      </c>
    </row>
    <row r="1577" ht="24" customHeight="1" spans="1:17">
      <c r="A1577" s="99" t="s">
        <v>349</v>
      </c>
      <c r="B1577" s="99" t="s">
        <v>290</v>
      </c>
      <c r="C1577" s="99" t="s">
        <v>291</v>
      </c>
      <c r="D1577" s="100" t="s">
        <v>292</v>
      </c>
      <c r="E1577" s="100" t="s">
        <v>293</v>
      </c>
      <c r="F1577" s="204">
        <f ca="1">IF($S$1&lt;DATE(2025,1,1)," ",IF((SUM(F1578:F1584)-MAX(F1590,F1594))&lt;0,"ERR",SUM(F1578:F1584)))</f>
        <v>0</v>
      </c>
      <c r="G1577" s="204">
        <f ca="1">IF($S$1&lt;DATE(2025,2,1)," ",IF((SUM(G1578:G1584)-MAX(G1590,G1594))&lt;0,"ERR",SUM(G1578:G1584)))</f>
        <v>1</v>
      </c>
      <c r="H1577" s="204">
        <f ca="1">IF($S$1&lt;DATE(2025,3,1)," ",IF((SUM(H1578:H1584)-MAX(H1590,H1594))&lt;0,"ERR",SUM(H1578:H1584)))</f>
        <v>0</v>
      </c>
      <c r="I1577" s="204">
        <f ca="1">IF($S$1&lt;DATE(2025,4,1)," ",IF((SUM(I1578:I1584)-MAX(I1590,I1594))&lt;0,"ERR",SUM(I1578:I1584)))</f>
        <v>0</v>
      </c>
      <c r="J1577" s="204">
        <f ca="1">IF($S$1&lt;DATE(2025,5,1)," ",IF((SUM(J1578:J1584)-MAX(J1590,J1594))&lt;0,"ERR",SUM(J1578:J1584)))</f>
        <v>0</v>
      </c>
      <c r="K1577" s="204">
        <f ca="1">IF($S$1&lt;DATE(2025,6,1)," ",IF((SUM(K1578:K1584)-MAX(K1590,K1594))&lt;0,"ERR",SUM(K1578:K1584)))</f>
        <v>0</v>
      </c>
      <c r="L1577" s="204">
        <f ca="1">IF($S$1&lt;DATE(2025,7,1)," ",IF((SUM(L1578:L1584)-MAX(L1590,L1594))&lt;0,"ERR",SUM(L1578:L1584)))</f>
        <v>2</v>
      </c>
      <c r="M1577" s="204">
        <f ca="1">IF($S$1&lt;DATE(2025,8,1)," ",IF((SUM(M1578:M1584)-MAX(M1590,M1594))&lt;0,"ERR",SUM(M1578:M1584)))</f>
        <v>1</v>
      </c>
      <c r="N1577" s="204">
        <f ca="1">IF($S$1&lt;DATE(2025,9,1)," ",IF((SUM(N1578:N1584)-MAX(N1590,N1594))&lt;0,"ERR",SUM(N1578:N1584)))</f>
        <v>2</v>
      </c>
      <c r="O1577" s="204">
        <f ca="1">IF($S$1&lt;DATE(2025,10,1)," ",IF((SUM(O1578:O1584)-MAX(O1590,O1594))&lt;0,"ERR",SUM(O1578:O1584)))</f>
        <v>2</v>
      </c>
      <c r="P1577" s="204">
        <f ca="1">IF($S$1&lt;DATE(2025,11,1)," ",IF((SUM(P1578:P1584)-MAX(P1590,P1594))&lt;0,"ERR",SUM(P1578:P1584)))</f>
        <v>1</v>
      </c>
      <c r="Q1577" s="204">
        <f ca="1">IF($S$1&lt;DATE(2025,12,1)," ",IF((SUM(Q1578:Q1584)-MAX(Q1590,Q1594))&lt;0,"ERR",SUM(Q1578:Q1584)))</f>
        <v>0</v>
      </c>
    </row>
    <row r="1578" ht="24" customHeight="1" spans="1:35">
      <c r="A1578" s="99" t="s">
        <v>349</v>
      </c>
      <c r="B1578" s="99" t="s">
        <v>290</v>
      </c>
      <c r="C1578" s="99" t="s">
        <v>291</v>
      </c>
      <c r="D1578" s="48" t="s">
        <v>31</v>
      </c>
      <c r="E1578" s="48" t="s">
        <v>90</v>
      </c>
      <c r="F1578" s="205">
        <f ca="1">IF($S$1&lt;DATE(2025,1,1)," ",COUNTIFS('2025数据'!$W$3:$W$181,"&gt;="&amp;DATE(2024,1,1),'2025数据'!$W$3:$W$181,"&lt;="&amp;DATE(2025,1,31),'2025数据'!$AE$3:$AE$181,$E1578))</f>
        <v>0</v>
      </c>
      <c r="G1578" s="205">
        <f ca="1">IF($S$1&lt;DATE(2025,2,1)," ",COUNTIFS('2025数据'!$W$3:$W$181,"&gt;="&amp;DATE(2025,2,1),'2025数据'!$W$3:$W$181,"&lt;="&amp;DATE(2025,2,28),'2025数据'!$AE$3:$AE$181,$E1578))</f>
        <v>0</v>
      </c>
      <c r="H1578" s="205">
        <f ca="1">IF($S$1&lt;DATE(2025,3,1)," ",COUNTIFS('2025数据'!$W$3:$W$181,"&gt;="&amp;DATE(2025,3,1),'2025数据'!$W$3:$W$181,"&lt;="&amp;DATE(2025,3,31),'2025数据'!$AE$3:$AE$181,$E1578))</f>
        <v>0</v>
      </c>
      <c r="I1578" s="205">
        <f ca="1">IF($S$1&lt;DATE(2025,4,1)," ",COUNTIFS('2025数据'!$W$3:$W$181,"&gt;="&amp;DATE(2025,4,1),'2025数据'!$W$3:$W$181,"&lt;="&amp;DATE(2025,4,30),'2025数据'!$AE$3:$AE$181,$E1578))</f>
        <v>0</v>
      </c>
      <c r="J1578" s="205">
        <f ca="1">IF($S$1&lt;DATE(2025,5,1)," ",COUNTIFS('2025数据'!$W$3:$W$181,"&gt;="&amp;DATE(2025,5,1),'2025数据'!$W$3:$W$181,"&lt;="&amp;DATE(2025,5,31),'2025数据'!$AE$3:$AE$181,$E1578))</f>
        <v>0</v>
      </c>
      <c r="K1578" s="205">
        <f ca="1">IF($S$1&lt;DATE(2025,6,1)," ",COUNTIFS('2025数据'!$W$3:$W$181,"&gt;="&amp;DATE(2025,6,1),'2025数据'!$W$3:$W$181,"&lt;="&amp;DATE(2025,6,30),'2025数据'!$AE$3:$AE$181,$E1578))</f>
        <v>0</v>
      </c>
      <c r="L1578" s="205">
        <f ca="1">IF($S$1&lt;DATE(2025,7,1)," ",COUNTIFS('2025数据'!$W$3:$W$181,"&gt;="&amp;DATE(2025,7,1),'2025数据'!$W$3:$W$181,"&lt;="&amp;DATE(2025,7,31),'2025数据'!$AE$3:$AE$181,$E1578))</f>
        <v>0</v>
      </c>
      <c r="M1578" s="205">
        <f ca="1">IF($S$1&lt;DATE(2025,8,1)," ",COUNTIFS('2025数据'!$W$3:$W$181,"&gt;="&amp;DATE(2025,8,1),'2025数据'!$W$3:$W$181,"&lt;="&amp;DATE(2025,8,31),'2025数据'!$AE$3:$AE$181,$E1578))</f>
        <v>0</v>
      </c>
      <c r="N1578" s="205">
        <f ca="1">IF($S$1&lt;DATE(2025,9,1)," ",COUNTIFS('2025数据'!$W$3:$W$181,"&gt;="&amp;DATE(2025,9,1),'2025数据'!$W$3:$W$181,"&lt;="&amp;DATE(2025,9,30),'2025数据'!$AE$3:$AE$181,$E1578))</f>
        <v>0</v>
      </c>
      <c r="O1578" s="205">
        <f ca="1">IF($S$1&lt;DATE(2025,10,1)," ",COUNTIFS('2025数据'!$W$3:$W$181,"&gt;="&amp;DATE(2025,10,1),'2025数据'!$W$3:$W$181,"&lt;="&amp;DATE(2025,10,31),'2025数据'!$AE$3:$AE$181,$E1578))</f>
        <v>2</v>
      </c>
      <c r="P1578" s="207">
        <f ca="1">IF($S$1&lt;DATE(2025,11,1)," ",COUNTIFS('2025数据'!$W$3:$W$181,"&gt;="&amp;DATE(2025,11,1),'2025数据'!$W$3:$W$181,"&lt;="&amp;DATE(2025,11,30),'2025数据'!$AE$3:$AE$181,$E1578))</f>
        <v>0</v>
      </c>
      <c r="Q1578" s="207">
        <f ca="1">IF($S$1&lt;DATE(2025,12,1)," ",COUNTIFS('2025数据'!$W$3:$W$181,"&gt;="&amp;DATE(2025,12,1),'2025数据'!$W$3:$W$181,"&lt;="&amp;DATE(2025,12,31),'2025数据'!$AE$3:$AE$181,$E1578))</f>
        <v>0</v>
      </c>
      <c r="S1578" s="108" t="s">
        <v>272</v>
      </c>
      <c r="T1578" s="108" t="s">
        <v>273</v>
      </c>
      <c r="U1578" s="108" t="s">
        <v>274</v>
      </c>
      <c r="V1578" s="98" t="s">
        <v>275</v>
      </c>
      <c r="W1578" s="98" t="s">
        <v>276</v>
      </c>
      <c r="X1578" s="102" t="s">
        <v>277</v>
      </c>
      <c r="Y1578" s="103" t="s">
        <v>278</v>
      </c>
      <c r="Z1578" s="102" t="s">
        <v>279</v>
      </c>
      <c r="AA1578" s="103" t="s">
        <v>280</v>
      </c>
      <c r="AB1578" s="102" t="s">
        <v>281</v>
      </c>
      <c r="AC1578" s="103" t="s">
        <v>282</v>
      </c>
      <c r="AD1578" s="102" t="s">
        <v>283</v>
      </c>
      <c r="AE1578" s="103" t="s">
        <v>284</v>
      </c>
      <c r="AF1578" s="102" t="s">
        <v>285</v>
      </c>
      <c r="AG1578" s="103" t="s">
        <v>286</v>
      </c>
      <c r="AH1578" s="102" t="s">
        <v>287</v>
      </c>
      <c r="AI1578" s="107" t="s">
        <v>288</v>
      </c>
    </row>
    <row r="1579" ht="24" customHeight="1" spans="1:17">
      <c r="A1579" s="99" t="s">
        <v>349</v>
      </c>
      <c r="B1579" s="99" t="s">
        <v>290</v>
      </c>
      <c r="C1579" s="99" t="s">
        <v>291</v>
      </c>
      <c r="D1579" s="48" t="s">
        <v>31</v>
      </c>
      <c r="E1579" s="48" t="s">
        <v>82</v>
      </c>
      <c r="F1579" s="205">
        <f ca="1">IF($S$1&lt;DATE(2025,1,1)," ",COUNTIFS('2025数据'!$W$3:$W$181,"&gt;="&amp;DATE(2024,1,1),'2025数据'!$W$3:$W$181,"&lt;="&amp;DATE(2025,1,31),'2025数据'!$AE$3:$AE$181,$E1579))</f>
        <v>0</v>
      </c>
      <c r="G1579" s="205">
        <f ca="1">IF($S$1&lt;DATE(2025,2,1)," ",COUNTIFS('2025数据'!$W$3:$W$181,"&gt;="&amp;DATE(2025,2,1),'2025数据'!$W$3:$W$181,"&lt;="&amp;DATE(2025,2,28),'2025数据'!$AE$3:$AE$181,$E1579))</f>
        <v>0</v>
      </c>
      <c r="H1579" s="205">
        <f ca="1">IF($S$1&lt;DATE(2025,3,1)," ",COUNTIFS('2025数据'!$W$3:$W$181,"&gt;="&amp;DATE(2025,3,1),'2025数据'!$W$3:$W$181,"&lt;="&amp;DATE(2025,3,31),'2025数据'!$AE$3:$AE$181,$E1579))</f>
        <v>0</v>
      </c>
      <c r="I1579" s="205">
        <f ca="1">IF($S$1&lt;DATE(2025,4,1)," ",COUNTIFS('2025数据'!$W$3:$W$181,"&gt;="&amp;DATE(2025,4,1),'2025数据'!$W$3:$W$181,"&lt;="&amp;DATE(2025,4,30),'2025数据'!$AE$3:$AE$181,$E1579))</f>
        <v>0</v>
      </c>
      <c r="J1579" s="205">
        <f ca="1">IF($S$1&lt;DATE(2025,5,1)," ",COUNTIFS('2025数据'!$W$3:$W$181,"&gt;="&amp;DATE(2025,5,1),'2025数据'!$W$3:$W$181,"&lt;="&amp;DATE(2025,5,31),'2025数据'!$AE$3:$AE$181,$E1579))</f>
        <v>0</v>
      </c>
      <c r="K1579" s="205">
        <f ca="1">IF($S$1&lt;DATE(2025,6,1)," ",COUNTIFS('2025数据'!$W$3:$W$181,"&gt;="&amp;DATE(2025,6,1),'2025数据'!$W$3:$W$181,"&lt;="&amp;DATE(2025,6,30),'2025数据'!$AE$3:$AE$181,$E1579))</f>
        <v>0</v>
      </c>
      <c r="L1579" s="205">
        <f ca="1">IF($S$1&lt;DATE(2025,7,1)," ",COUNTIFS('2025数据'!$W$3:$W$181,"&gt;="&amp;DATE(2025,7,1),'2025数据'!$W$3:$W$181,"&lt;="&amp;DATE(2025,7,31),'2025数据'!$AE$3:$AE$181,$E1579))</f>
        <v>0</v>
      </c>
      <c r="M1579" s="205">
        <f ca="1">IF($S$1&lt;DATE(2025,8,1)," ",COUNTIFS('2025数据'!$W$3:$W$181,"&gt;="&amp;DATE(2025,8,1),'2025数据'!$W$3:$W$181,"&lt;="&amp;DATE(2025,8,31),'2025数据'!$AE$3:$AE$181,$E1579))</f>
        <v>0</v>
      </c>
      <c r="N1579" s="205">
        <f ca="1">IF($S$1&lt;DATE(2025,9,1)," ",COUNTIFS('2025数据'!$W$3:$W$181,"&gt;="&amp;DATE(2025,9,1),'2025数据'!$W$3:$W$181,"&lt;="&amp;DATE(2025,9,30),'2025数据'!$AE$3:$AE$181,$E1579))</f>
        <v>0</v>
      </c>
      <c r="O1579" s="205">
        <f ca="1">IF($S$1&lt;DATE(2025,10,1)," ",COUNTIFS('2025数据'!$W$3:$W$181,"&gt;="&amp;DATE(2025,10,1),'2025数据'!$W$3:$W$181,"&lt;="&amp;DATE(2025,10,31),'2025数据'!$AE$3:$AE$181,$E1579))</f>
        <v>0</v>
      </c>
      <c r="P1579" s="207">
        <f ca="1">IF($S$1&lt;DATE(2025,11,1)," ",COUNTIFS('2025数据'!$W$3:$W$181,"&gt;="&amp;DATE(2025,11,1),'2025数据'!$W$3:$W$181,"&lt;="&amp;DATE(2025,11,30),'2025数据'!$AE$3:$AE$181,$E1579))</f>
        <v>0</v>
      </c>
      <c r="Q1579" s="207">
        <f ca="1">IF($S$1&lt;DATE(2025,12,1)," ",COUNTIFS('2025数据'!$W$3:$W$181,"&gt;="&amp;DATE(2025,12,1),'2025数据'!$W$3:$W$181,"&lt;="&amp;DATE(2025,12,31),'2025数据'!$AE$3:$AE$181,$E1579))</f>
        <v>0</v>
      </c>
    </row>
    <row r="1580" ht="24" customHeight="1" spans="1:17">
      <c r="A1580" s="99" t="s">
        <v>349</v>
      </c>
      <c r="B1580" s="99" t="s">
        <v>290</v>
      </c>
      <c r="C1580" s="99" t="s">
        <v>291</v>
      </c>
      <c r="D1580" s="48" t="s">
        <v>31</v>
      </c>
      <c r="E1580" s="48" t="s">
        <v>86</v>
      </c>
      <c r="F1580" s="205">
        <f ca="1">IF($S$1&lt;DATE(2025,1,1)," ",COUNTIFS('2025数据'!$W$3:$W$181,"&gt;="&amp;DATE(2024,1,1),'2025数据'!$W$3:$W$181,"&lt;="&amp;DATE(2025,1,31),'2025数据'!$AE$3:$AE$181,$E1580))</f>
        <v>0</v>
      </c>
      <c r="G1580" s="205">
        <f ca="1">IF($S$1&lt;DATE(2025,2,1)," ",COUNTIFS('2025数据'!$W$3:$W$181,"&gt;="&amp;DATE(2025,2,1),'2025数据'!$W$3:$W$181,"&lt;="&amp;DATE(2025,2,28),'2025数据'!$AE$3:$AE$181,$E1580))</f>
        <v>0</v>
      </c>
      <c r="H1580" s="205">
        <f ca="1">IF($S$1&lt;DATE(2025,3,1)," ",COUNTIFS('2025数据'!$W$3:$W$181,"&gt;="&amp;DATE(2025,3,1),'2025数据'!$W$3:$W$181,"&lt;="&amp;DATE(2025,3,31),'2025数据'!$AE$3:$AE$181,$E1580))</f>
        <v>0</v>
      </c>
      <c r="I1580" s="205">
        <f ca="1">IF($S$1&lt;DATE(2025,4,1)," ",COUNTIFS('2025数据'!$W$3:$W$181,"&gt;="&amp;DATE(2025,4,1),'2025数据'!$W$3:$W$181,"&lt;="&amp;DATE(2025,4,30),'2025数据'!$AE$3:$AE$181,$E1580))</f>
        <v>0</v>
      </c>
      <c r="J1580" s="205">
        <f ca="1">IF($S$1&lt;DATE(2025,5,1)," ",COUNTIFS('2025数据'!$W$3:$W$181,"&gt;="&amp;DATE(2025,5,1),'2025数据'!$W$3:$W$181,"&lt;="&amp;DATE(2025,5,31),'2025数据'!$AE$3:$AE$181,$E1580))</f>
        <v>0</v>
      </c>
      <c r="K1580" s="205">
        <f ca="1">IF($S$1&lt;DATE(2025,6,1)," ",COUNTIFS('2025数据'!$W$3:$W$181,"&gt;="&amp;DATE(2025,6,1),'2025数据'!$W$3:$W$181,"&lt;="&amp;DATE(2025,6,30),'2025数据'!$AE$3:$AE$181,$E1580))</f>
        <v>0</v>
      </c>
      <c r="L1580" s="205">
        <f ca="1">IF($S$1&lt;DATE(2025,7,1)," ",COUNTIFS('2025数据'!$W$3:$W$181,"&gt;="&amp;DATE(2025,7,1),'2025数据'!$W$3:$W$181,"&lt;="&amp;DATE(2025,7,31),'2025数据'!$AE$3:$AE$181,$E1580))</f>
        <v>0</v>
      </c>
      <c r="M1580" s="205">
        <f ca="1">IF($S$1&lt;DATE(2025,8,1)," ",COUNTIFS('2025数据'!$W$3:$W$181,"&gt;="&amp;DATE(2025,8,1),'2025数据'!$W$3:$W$181,"&lt;="&amp;DATE(2025,8,31),'2025数据'!$AE$3:$AE$181,$E1580))</f>
        <v>0</v>
      </c>
      <c r="N1580" s="205">
        <f ca="1">IF($S$1&lt;DATE(2025,9,1)," ",COUNTIFS('2025数据'!$W$3:$W$181,"&gt;="&amp;DATE(2025,9,1),'2025数据'!$W$3:$W$181,"&lt;="&amp;DATE(2025,9,30),'2025数据'!$AE$3:$AE$181,$E1580))</f>
        <v>1</v>
      </c>
      <c r="O1580" s="205">
        <f ca="1">IF($S$1&lt;DATE(2025,10,1)," ",COUNTIFS('2025数据'!$W$3:$W$181,"&gt;="&amp;DATE(2025,10,1),'2025数据'!$W$3:$W$181,"&lt;="&amp;DATE(2025,10,31),'2025数据'!$AE$3:$AE$181,$E1580))</f>
        <v>0</v>
      </c>
      <c r="P1580" s="207">
        <f ca="1">IF($S$1&lt;DATE(2025,11,1)," ",COUNTIFS('2025数据'!$W$3:$W$181,"&gt;="&amp;DATE(2025,11,1),'2025数据'!$W$3:$W$181,"&lt;="&amp;DATE(2025,11,30),'2025数据'!$AE$3:$AE$181,$E1580))</f>
        <v>0</v>
      </c>
      <c r="Q1580" s="207">
        <f ca="1">IF($S$1&lt;DATE(2025,12,1)," ",COUNTIFS('2025数据'!$W$3:$W$181,"&gt;="&amp;DATE(2025,12,1),'2025数据'!$W$3:$W$181,"&lt;="&amp;DATE(2025,12,31),'2025数据'!$AE$3:$AE$181,$E1580))</f>
        <v>0</v>
      </c>
    </row>
    <row r="1581" ht="24" customHeight="1" spans="1:17">
      <c r="A1581" s="99" t="s">
        <v>349</v>
      </c>
      <c r="B1581" s="99" t="s">
        <v>290</v>
      </c>
      <c r="C1581" s="99" t="s">
        <v>291</v>
      </c>
      <c r="D1581" s="48" t="s">
        <v>31</v>
      </c>
      <c r="E1581" s="48" t="s">
        <v>97</v>
      </c>
      <c r="F1581" s="205">
        <f ca="1">IF($S$1&lt;DATE(2025,1,1)," ",COUNTIFS('2025数据'!$W$3:$W$181,"&gt;="&amp;DATE(2024,1,1),'2025数据'!$W$3:$W$181,"&lt;="&amp;DATE(2025,1,31),'2025数据'!$AE$3:$AE$181,$E1581))</f>
        <v>0</v>
      </c>
      <c r="G1581" s="205">
        <f ca="1">IF($S$1&lt;DATE(2025,2,1)," ",COUNTIFS('2025数据'!$W$3:$W$181,"&gt;="&amp;DATE(2025,2,1),'2025数据'!$W$3:$W$181,"&lt;="&amp;DATE(2025,2,28),'2025数据'!$AE$3:$AE$181,$E1581))</f>
        <v>0</v>
      </c>
      <c r="H1581" s="205">
        <f ca="1">IF($S$1&lt;DATE(2025,3,1)," ",COUNTIFS('2025数据'!$W$3:$W$181,"&gt;="&amp;DATE(2025,3,1),'2025数据'!$W$3:$W$181,"&lt;="&amp;DATE(2025,3,31),'2025数据'!$AE$3:$AE$181,$E1581))</f>
        <v>0</v>
      </c>
      <c r="I1581" s="205">
        <f ca="1">IF($S$1&lt;DATE(2025,4,1)," ",COUNTIFS('2025数据'!$W$3:$W$181,"&gt;="&amp;DATE(2025,4,1),'2025数据'!$W$3:$W$181,"&lt;="&amp;DATE(2025,4,30),'2025数据'!$AE$3:$AE$181,$E1581))</f>
        <v>0</v>
      </c>
      <c r="J1581" s="205">
        <f ca="1">IF($S$1&lt;DATE(2025,5,1)," ",COUNTIFS('2025数据'!$W$3:$W$181,"&gt;="&amp;DATE(2025,5,1),'2025数据'!$W$3:$W$181,"&lt;="&amp;DATE(2025,5,31),'2025数据'!$AE$3:$AE$181,$E1581))</f>
        <v>0</v>
      </c>
      <c r="K1581" s="205">
        <f ca="1">IF($S$1&lt;DATE(2025,6,1)," ",COUNTIFS('2025数据'!$W$3:$W$181,"&gt;="&amp;DATE(2025,6,1),'2025数据'!$W$3:$W$181,"&lt;="&amp;DATE(2025,6,30),'2025数据'!$AE$3:$AE$181,$E1581))</f>
        <v>0</v>
      </c>
      <c r="L1581" s="205">
        <f ca="1">IF($S$1&lt;DATE(2025,7,1)," ",COUNTIFS('2025数据'!$W$3:$W$181,"&gt;="&amp;DATE(2025,7,1),'2025数据'!$W$3:$W$181,"&lt;="&amp;DATE(2025,7,31),'2025数据'!$AE$3:$AE$181,$E1581))</f>
        <v>0</v>
      </c>
      <c r="M1581" s="205">
        <f ca="1">IF($S$1&lt;DATE(2025,8,1)," ",COUNTIFS('2025数据'!$W$3:$W$181,"&gt;="&amp;DATE(2025,8,1),'2025数据'!$W$3:$W$181,"&lt;="&amp;DATE(2025,8,31),'2025数据'!$AE$3:$AE$181,$E1581))</f>
        <v>0</v>
      </c>
      <c r="N1581" s="205">
        <f ca="1">IF($S$1&lt;DATE(2025,9,1)," ",COUNTIFS('2025数据'!$W$3:$W$181,"&gt;="&amp;DATE(2025,9,1),'2025数据'!$W$3:$W$181,"&lt;="&amp;DATE(2025,9,30),'2025数据'!$AE$3:$AE$181,$E1581))</f>
        <v>0</v>
      </c>
      <c r="O1581" s="205">
        <f ca="1">IF($S$1&lt;DATE(2025,10,1)," ",COUNTIFS('2025数据'!$W$3:$W$181,"&gt;="&amp;DATE(2025,10,1),'2025数据'!$W$3:$W$181,"&lt;="&amp;DATE(2025,10,31),'2025数据'!$AE$3:$AE$181,$E1581))</f>
        <v>0</v>
      </c>
      <c r="P1581" s="207">
        <f ca="1">IF($S$1&lt;DATE(2025,11,1)," ",COUNTIFS('2025数据'!$W$3:$W$181,"&gt;="&amp;DATE(2025,11,1),'2025数据'!$W$3:$W$181,"&lt;="&amp;DATE(2025,11,30),'2025数据'!$AE$3:$AE$181,$E1581))</f>
        <v>1</v>
      </c>
      <c r="Q1581" s="207">
        <f ca="1">IF($S$1&lt;DATE(2025,12,1)," ",COUNTIFS('2025数据'!$W$3:$W$181,"&gt;="&amp;DATE(2025,12,1),'2025数据'!$W$3:$W$181,"&lt;="&amp;DATE(2025,12,31),'2025数据'!$AE$3:$AE$181,$E1581))</f>
        <v>0</v>
      </c>
    </row>
    <row r="1582" ht="24" customHeight="1" spans="1:17">
      <c r="A1582" s="99" t="s">
        <v>349</v>
      </c>
      <c r="B1582" s="99" t="s">
        <v>290</v>
      </c>
      <c r="C1582" s="99" t="s">
        <v>291</v>
      </c>
      <c r="D1582" s="48" t="s">
        <v>31</v>
      </c>
      <c r="E1582" s="48" t="s">
        <v>87</v>
      </c>
      <c r="F1582" s="205">
        <f ca="1">IF($S$1&lt;DATE(2025,1,1)," ",COUNTIFS('2025数据'!$W$3:$W$181,"&gt;="&amp;DATE(2024,1,1),'2025数据'!$W$3:$W$181,"&lt;="&amp;DATE(2025,1,31),'2025数据'!$AE$3:$AE$181,$E1582))</f>
        <v>0</v>
      </c>
      <c r="G1582" s="205">
        <f ca="1">IF($S$1&lt;DATE(2025,2,1)," ",COUNTIFS('2025数据'!$W$3:$W$181,"&gt;="&amp;DATE(2025,2,1),'2025数据'!$W$3:$W$181,"&lt;="&amp;DATE(2025,2,28),'2025数据'!$AE$3:$AE$181,$E1582))</f>
        <v>1</v>
      </c>
      <c r="H1582" s="205">
        <f ca="1">IF($S$1&lt;DATE(2025,3,1)," ",COUNTIFS('2025数据'!$W$3:$W$181,"&gt;="&amp;DATE(2025,3,1),'2025数据'!$W$3:$W$181,"&lt;="&amp;DATE(2025,3,31),'2025数据'!$AE$3:$AE$181,$E1582))</f>
        <v>0</v>
      </c>
      <c r="I1582" s="205">
        <f ca="1">IF($S$1&lt;DATE(2025,4,1)," ",COUNTIFS('2025数据'!$W$3:$W$181,"&gt;="&amp;DATE(2025,4,1),'2025数据'!$W$3:$W$181,"&lt;="&amp;DATE(2025,4,30),'2025数据'!$AE$3:$AE$181,$E1582))</f>
        <v>0</v>
      </c>
      <c r="J1582" s="205">
        <f ca="1">IF($S$1&lt;DATE(2025,5,1)," ",COUNTIFS('2025数据'!$W$3:$W$181,"&gt;="&amp;DATE(2025,5,1),'2025数据'!$W$3:$W$181,"&lt;="&amp;DATE(2025,5,31),'2025数据'!$AE$3:$AE$181,$E1582))</f>
        <v>0</v>
      </c>
      <c r="K1582" s="205">
        <f ca="1">IF($S$1&lt;DATE(2025,6,1)," ",COUNTIFS('2025数据'!$W$3:$W$181,"&gt;="&amp;DATE(2025,6,1),'2025数据'!$W$3:$W$181,"&lt;="&amp;DATE(2025,6,30),'2025数据'!$AE$3:$AE$181,$E1582))</f>
        <v>0</v>
      </c>
      <c r="L1582" s="205">
        <f ca="1">IF($S$1&lt;DATE(2025,7,1)," ",COUNTIFS('2025数据'!$W$3:$W$181,"&gt;="&amp;DATE(2025,7,1),'2025数据'!$W$3:$W$181,"&lt;="&amp;DATE(2025,7,31),'2025数据'!$AE$3:$AE$181,$E1582))</f>
        <v>2</v>
      </c>
      <c r="M1582" s="205">
        <f ca="1">IF($S$1&lt;DATE(2025,8,1)," ",COUNTIFS('2025数据'!$W$3:$W$181,"&gt;="&amp;DATE(2025,8,1),'2025数据'!$W$3:$W$181,"&lt;="&amp;DATE(2025,8,31),'2025数据'!$AE$3:$AE$181,$E1582))</f>
        <v>1</v>
      </c>
      <c r="N1582" s="205">
        <f ca="1">IF($S$1&lt;DATE(2025,9,1)," ",COUNTIFS('2025数据'!$W$3:$W$181,"&gt;="&amp;DATE(2025,9,1),'2025数据'!$W$3:$W$181,"&lt;="&amp;DATE(2025,9,30),'2025数据'!$AE$3:$AE$181,$E1582))</f>
        <v>1</v>
      </c>
      <c r="O1582" s="205">
        <f ca="1">IF($S$1&lt;DATE(2025,10,1)," ",COUNTIFS('2025数据'!$W$3:$W$181,"&gt;="&amp;DATE(2025,10,1),'2025数据'!$W$3:$W$181,"&lt;="&amp;DATE(2025,10,31),'2025数据'!$AE$3:$AE$181,$E1582))</f>
        <v>0</v>
      </c>
      <c r="P1582" s="207">
        <f ca="1">IF($S$1&lt;DATE(2025,11,1)," ",COUNTIFS('2025数据'!$W$3:$W$181,"&gt;="&amp;DATE(2025,11,1),'2025数据'!$W$3:$W$181,"&lt;="&amp;DATE(2025,11,30),'2025数据'!$AE$3:$AE$181,$E1582))</f>
        <v>0</v>
      </c>
      <c r="Q1582" s="207">
        <f ca="1">IF($S$1&lt;DATE(2025,12,1)," ",COUNTIFS('2025数据'!$W$3:$W$181,"&gt;="&amp;DATE(2025,12,1),'2025数据'!$W$3:$W$181,"&lt;="&amp;DATE(2025,12,31),'2025数据'!$AE$3:$AE$181,$E1582))</f>
        <v>0</v>
      </c>
    </row>
    <row r="1583" ht="24" customHeight="1" spans="1:17">
      <c r="A1583" s="99" t="s">
        <v>349</v>
      </c>
      <c r="B1583" s="99" t="s">
        <v>290</v>
      </c>
      <c r="C1583" s="99" t="s">
        <v>291</v>
      </c>
      <c r="D1583" s="48" t="s">
        <v>31</v>
      </c>
      <c r="E1583" s="48" t="s">
        <v>149</v>
      </c>
      <c r="F1583" s="205">
        <f ca="1">IF($S$1&lt;DATE(2025,1,1)," ",COUNTIFS('2025数据'!$W$3:$W$181,"&gt;="&amp;DATE(2024,1,1),'2025数据'!$W$3:$W$181,"&lt;="&amp;DATE(2025,1,31),'2025数据'!$AE$3:$AE$181,$E1583))</f>
        <v>0</v>
      </c>
      <c r="G1583" s="205">
        <f ca="1">IF($S$1&lt;DATE(2025,2,1)," ",COUNTIFS('2025数据'!$W$3:$W$181,"&gt;="&amp;DATE(2025,2,1),'2025数据'!$W$3:$W$181,"&lt;="&amp;DATE(2025,2,28),'2025数据'!$AE$3:$AE$181,$E1583))</f>
        <v>0</v>
      </c>
      <c r="H1583" s="205">
        <f ca="1">IF($S$1&lt;DATE(2025,3,1)," ",COUNTIFS('2025数据'!$W$3:$W$181,"&gt;="&amp;DATE(2025,3,1),'2025数据'!$W$3:$W$181,"&lt;="&amp;DATE(2025,3,31),'2025数据'!$AE$3:$AE$181,$E1583))</f>
        <v>0</v>
      </c>
      <c r="I1583" s="205">
        <f ca="1">IF($S$1&lt;DATE(2025,4,1)," ",COUNTIFS('2025数据'!$W$3:$W$181,"&gt;="&amp;DATE(2025,4,1),'2025数据'!$W$3:$W$181,"&lt;="&amp;DATE(2025,4,30),'2025数据'!$AE$3:$AE$181,$E1583))</f>
        <v>0</v>
      </c>
      <c r="J1583" s="205">
        <f ca="1">IF($S$1&lt;DATE(2025,5,1)," ",COUNTIFS('2025数据'!$W$3:$W$181,"&gt;="&amp;DATE(2025,5,1),'2025数据'!$W$3:$W$181,"&lt;="&amp;DATE(2025,5,31),'2025数据'!$AE$3:$AE$181,$E1583))</f>
        <v>0</v>
      </c>
      <c r="K1583" s="205">
        <f ca="1">IF($S$1&lt;DATE(2025,6,1)," ",COUNTIFS('2025数据'!$W$3:$W$181,"&gt;="&amp;DATE(2025,6,1),'2025数据'!$W$3:$W$181,"&lt;="&amp;DATE(2025,6,30),'2025数据'!$AE$3:$AE$181,$E1583))</f>
        <v>0</v>
      </c>
      <c r="L1583" s="205">
        <f ca="1">IF($S$1&lt;DATE(2025,7,1)," ",COUNTIFS('2025数据'!$W$3:$W$181,"&gt;="&amp;DATE(2025,7,1),'2025数据'!$W$3:$W$181,"&lt;="&amp;DATE(2025,7,31),'2025数据'!$AE$3:$AE$181,$E1583))</f>
        <v>0</v>
      </c>
      <c r="M1583" s="205">
        <f ca="1">IF($S$1&lt;DATE(2025,8,1)," ",COUNTIFS('2025数据'!$W$3:$W$181,"&gt;="&amp;DATE(2025,8,1),'2025数据'!$W$3:$W$181,"&lt;="&amp;DATE(2025,8,31),'2025数据'!$AE$3:$AE$181,$E1583))</f>
        <v>0</v>
      </c>
      <c r="N1583" s="205">
        <f ca="1">IF($S$1&lt;DATE(2025,9,1)," ",COUNTIFS('2025数据'!$W$3:$W$181,"&gt;="&amp;DATE(2025,9,1),'2025数据'!$W$3:$W$181,"&lt;="&amp;DATE(2025,9,30),'2025数据'!$AE$3:$AE$181,$E1583))</f>
        <v>0</v>
      </c>
      <c r="O1583" s="205">
        <f ca="1">IF($S$1&lt;DATE(2025,10,1)," ",COUNTIFS('2025数据'!$W$3:$W$181,"&gt;="&amp;DATE(2025,10,1),'2025数据'!$W$3:$W$181,"&lt;="&amp;DATE(2025,10,31),'2025数据'!$AE$3:$AE$181,$E1583))</f>
        <v>0</v>
      </c>
      <c r="P1583" s="207">
        <f ca="1">IF($S$1&lt;DATE(2025,11,1)," ",COUNTIFS('2025数据'!$W$3:$W$181,"&gt;="&amp;DATE(2025,11,1),'2025数据'!$W$3:$W$181,"&lt;="&amp;DATE(2025,11,30),'2025数据'!$AE$3:$AE$181,$E1583))</f>
        <v>0</v>
      </c>
      <c r="Q1583" s="207">
        <f ca="1">IF($S$1&lt;DATE(2025,12,1)," ",COUNTIFS('2025数据'!$W$3:$W$181,"&gt;="&amp;DATE(2025,12,1),'2025数据'!$W$3:$W$181,"&lt;="&amp;DATE(2025,12,31),'2025数据'!$AE$3:$AE$181,$E1583))</f>
        <v>0</v>
      </c>
    </row>
    <row r="1584" ht="24" customHeight="1" spans="1:17">
      <c r="A1584" s="99" t="s">
        <v>349</v>
      </c>
      <c r="B1584" s="99" t="s">
        <v>290</v>
      </c>
      <c r="C1584" s="99" t="s">
        <v>291</v>
      </c>
      <c r="D1584" s="48" t="s">
        <v>31</v>
      </c>
      <c r="E1584" s="48" t="s">
        <v>83</v>
      </c>
      <c r="F1584" s="205">
        <f ca="1">IF($S$1&lt;DATE(2025,1,1)," ",COUNTIFS('2025数据'!$W$3:$W$181,"&gt;="&amp;DATE(2024,1,1),'2025数据'!$W$3:$W$181,"&lt;="&amp;DATE(2025,1,31),'2025数据'!$AE$3:$AE$181,$E1584))</f>
        <v>0</v>
      </c>
      <c r="G1584" s="205">
        <f ca="1">IF($S$1&lt;DATE(2025,2,1)," ",COUNTIFS('2025数据'!$W$3:$W$181,"&gt;="&amp;DATE(2025,2,1),'2025数据'!$W$3:$W$181,"&lt;="&amp;DATE(2025,2,28),'2025数据'!$AE$3:$AE$181,$E1584))</f>
        <v>0</v>
      </c>
      <c r="H1584" s="205">
        <f ca="1">IF($S$1&lt;DATE(2025,3,1)," ",COUNTIFS('2025数据'!$W$3:$W$181,"&gt;="&amp;DATE(2025,3,1),'2025数据'!$W$3:$W$181,"&lt;="&amp;DATE(2025,3,31),'2025数据'!$AE$3:$AE$181,$E1584))</f>
        <v>0</v>
      </c>
      <c r="I1584" s="205">
        <f ca="1">IF($S$1&lt;DATE(2025,4,1)," ",COUNTIFS('2025数据'!$W$3:$W$181,"&gt;="&amp;DATE(2025,4,1),'2025数据'!$W$3:$W$181,"&lt;="&amp;DATE(2025,4,30),'2025数据'!$AE$3:$AE$181,$E1584))</f>
        <v>0</v>
      </c>
      <c r="J1584" s="205">
        <f ca="1">IF($S$1&lt;DATE(2025,5,1)," ",COUNTIFS('2025数据'!$W$3:$W$181,"&gt;="&amp;DATE(2025,5,1),'2025数据'!$W$3:$W$181,"&lt;="&amp;DATE(2025,5,31),'2025数据'!$AE$3:$AE$181,$E1584))</f>
        <v>0</v>
      </c>
      <c r="K1584" s="205">
        <f ca="1">IF($S$1&lt;DATE(2025,6,1)," ",COUNTIFS('2025数据'!$W$3:$W$181,"&gt;="&amp;DATE(2025,6,1),'2025数据'!$W$3:$W$181,"&lt;="&amp;DATE(2025,6,30),'2025数据'!$AE$3:$AE$181,$E1584))</f>
        <v>0</v>
      </c>
      <c r="L1584" s="205">
        <f ca="1">IF($S$1&lt;DATE(2025,7,1)," ",COUNTIFS('2025数据'!$W$3:$W$181,"&gt;="&amp;DATE(2025,7,1),'2025数据'!$W$3:$W$181,"&lt;="&amp;DATE(2025,7,31),'2025数据'!$AE$3:$AE$181,$E1584))</f>
        <v>0</v>
      </c>
      <c r="M1584" s="205">
        <f ca="1">IF($S$1&lt;DATE(2025,8,1)," ",COUNTIFS('2025数据'!$W$3:$W$181,"&gt;="&amp;DATE(2025,8,1),'2025数据'!$W$3:$W$181,"&lt;="&amp;DATE(2025,8,31),'2025数据'!$AE$3:$AE$181,$E1584))</f>
        <v>0</v>
      </c>
      <c r="N1584" s="205">
        <f ca="1">IF($S$1&lt;DATE(2025,9,1)," ",COUNTIFS('2025数据'!$W$3:$W$181,"&gt;="&amp;DATE(2025,9,1),'2025数据'!$W$3:$W$181,"&lt;="&amp;DATE(2025,9,30),'2025数据'!$AE$3:$AE$181,$E1584))</f>
        <v>0</v>
      </c>
      <c r="O1584" s="205">
        <f ca="1">IF($S$1&lt;DATE(2025,10,1)," ",COUNTIFS('2025数据'!$W$3:$W$181,"&gt;="&amp;DATE(2025,10,1),'2025数据'!$W$3:$W$181,"&lt;="&amp;DATE(2025,10,31),'2025数据'!$AE$3:$AE$181,$E1584))</f>
        <v>0</v>
      </c>
      <c r="P1584" s="207">
        <f ca="1">IF($S$1&lt;DATE(2025,11,1)," ",COUNTIFS('2025数据'!$W$3:$W$181,"&gt;="&amp;DATE(2025,11,1),'2025数据'!$W$3:$W$181,"&lt;="&amp;DATE(2025,11,30),'2025数据'!$AE$3:$AE$181,$E1584))</f>
        <v>0</v>
      </c>
      <c r="Q1584" s="207">
        <f ca="1">IF($S$1&lt;DATE(2025,12,1)," ",COUNTIFS('2025数据'!$W$3:$W$181,"&gt;="&amp;DATE(2025,12,1),'2025数据'!$W$3:$W$181,"&lt;="&amp;DATE(2025,12,31),'2025数据'!$AE$3:$AE$181,$E1584))</f>
        <v>0</v>
      </c>
    </row>
    <row r="1585" ht="24" customHeight="1" spans="1:17">
      <c r="A1585" s="99" t="s">
        <v>349</v>
      </c>
      <c r="B1585" s="99" t="s">
        <v>290</v>
      </c>
      <c r="C1585" s="99" t="s">
        <v>291</v>
      </c>
      <c r="D1585" s="47" t="s">
        <v>294</v>
      </c>
      <c r="E1585" s="47" t="s">
        <v>93</v>
      </c>
      <c r="F1585" s="206">
        <f ca="1">IF($S$1&lt;DATE(2025,1,1)," ",COUNTIFS('2025数据'!$W$3:$W$181,"&gt;="&amp;DATE(2024,1,1),'2025数据'!$W$3:$W$181,"&lt;="&amp;DATE(2025,1,31),'2025数据'!$B$3:$B$181,$E1585))</f>
        <v>0</v>
      </c>
      <c r="G1585" s="206">
        <f ca="1">IF($S$1&lt;DATE(2025,2,1)," ",COUNTIFS('2025数据'!$W$3:$W$181,"&gt;="&amp;DATE(2025,2,1),'2025数据'!$W$3:$W$181,"&lt;="&amp;DATE(2025,2,28),'2025数据'!$B$3:$B$181,$E1585))</f>
        <v>0</v>
      </c>
      <c r="H1585" s="206">
        <f ca="1">IF($S$1&lt;DATE(2025,3,1)," ",COUNTIFS('2025数据'!$W$3:$W$181,"&gt;="&amp;DATE(2025,3,1),'2025数据'!$W$3:$W$181,"&lt;="&amp;DATE(2025,3,31),'2025数据'!$B$3:$B$181,$E1585))</f>
        <v>0</v>
      </c>
      <c r="I1585" s="206">
        <f ca="1">IF($S$1&lt;DATE(2025,4,1)," ",COUNTIFS('2025数据'!$W$3:$W$181,"&gt;="&amp;DATE(2025,4,1),'2025数据'!$W$3:$W$181,"&lt;="&amp;DATE(2025,4,30),'2025数据'!$B$3:$B$181,$E1585))</f>
        <v>0</v>
      </c>
      <c r="J1585" s="206">
        <f ca="1">IF($S$1&lt;DATE(2025,5,1)," ",COUNTIFS('2025数据'!$W$3:$W$181,"&gt;="&amp;DATE(2025,5,1),'2025数据'!$W$3:$W$181,"&lt;="&amp;DATE(2025,5,31),'2025数据'!$B$3:$B$181,$E1585))</f>
        <v>0</v>
      </c>
      <c r="K1585" s="206">
        <f ca="1">IF($S$1&lt;DATE(2025,6,1)," ",COUNTIFS('2025数据'!$W$3:$W$181,"&gt;="&amp;DATE(2025,6,1),'2025数据'!$W$3:$W$181,"&lt;="&amp;DATE(2025,6,30),'2025数据'!$B$3:$B$181,$E1585))</f>
        <v>0</v>
      </c>
      <c r="L1585" s="206">
        <f ca="1">IF($S$1&lt;DATE(2025,7,1)," ",COUNTIFS('2025数据'!$W$3:$W$181,"&gt;="&amp;DATE(2025,7,1),'2025数据'!$W$3:$W$181,"&lt;="&amp;DATE(2025,7,31),'2025数据'!$B$3:$B$181,$E1585))</f>
        <v>0</v>
      </c>
      <c r="M1585" s="206">
        <f ca="1">IF($S$1&lt;DATE(2025,8,1)," ",COUNTIFS('2025数据'!$W$3:$W$181,"&gt;="&amp;DATE(2025,8,1),'2025数据'!$W$3:$W$181,"&lt;="&amp;DATE(2025,8,31),'2025数据'!$B$3:$B$181,$E1585))</f>
        <v>1</v>
      </c>
      <c r="N1585" s="206">
        <f ca="1">IF($S$1&lt;DATE(2025,9,1)," ",COUNTIFS('2025数据'!$W$3:$W$181,"&gt;="&amp;DATE(2025,9,1),'2025数据'!$W$3:$W$181,"&lt;="&amp;DATE(2025,9,30),'2025数据'!$B$3:$B$181,$E1585))</f>
        <v>1</v>
      </c>
      <c r="O1585" s="206">
        <f ca="1">IF($S$1&lt;DATE(2025,10,1)," ",COUNTIFS('2025数据'!$W$3:$W$181,"&gt;="&amp;DATE(2025,10,1),'2025数据'!$W$3:$W$181,"&lt;="&amp;DATE(2025,10,31),'2025数据'!$B$3:$B$181,$E1585))</f>
        <v>2</v>
      </c>
      <c r="P1585" s="208">
        <f ca="1">IF($S$1&lt;DATE(2025,11,1)," ",COUNTIFS('2025数据'!$W$3:$W$181,"&gt;="&amp;DATE(2025,11,1),'2025数据'!$W$3:$W$181,"&lt;="&amp;DATE(2025,11,30),'2025数据'!$B$3:$B$181,$E1585))</f>
        <v>1</v>
      </c>
      <c r="Q1585" s="208">
        <f ca="1">IF($S$1&lt;DATE(2025,12,1)," ",COUNTIFS('2025数据'!$W$3:$W$181,"&gt;="&amp;DATE(2025,12,1),'2025数据'!$W$3:$W$181,"&lt;="&amp;DATE(2025,12,31),'2025数据'!$B$3:$B$181,$E1585))</f>
        <v>0</v>
      </c>
    </row>
    <row r="1586" ht="24" customHeight="1" spans="1:17">
      <c r="A1586" s="99" t="s">
        <v>349</v>
      </c>
      <c r="B1586" s="99" t="s">
        <v>290</v>
      </c>
      <c r="C1586" s="99" t="s">
        <v>291</v>
      </c>
      <c r="D1586" s="47" t="s">
        <v>294</v>
      </c>
      <c r="E1586" s="47" t="s">
        <v>85</v>
      </c>
      <c r="F1586" s="206">
        <f ca="1">IF($S$1&lt;DATE(2025,1,1)," ",COUNTIFS('2025数据'!$W$3:$W$181,"&gt;="&amp;DATE(2024,1,1),'2025数据'!$W$3:$W$181,"&lt;="&amp;DATE(2025,1,31),'2025数据'!$B$3:$B$181,$E1586))</f>
        <v>0</v>
      </c>
      <c r="G1586" s="206">
        <f ca="1">IF($S$1&lt;DATE(2025,2,1)," ",COUNTIFS('2025数据'!$W$3:$W$181,"&gt;="&amp;DATE(2025,2,1),'2025数据'!$W$3:$W$181,"&lt;="&amp;DATE(2025,2,28),'2025数据'!$B$3:$B$181,$E1586))</f>
        <v>1</v>
      </c>
      <c r="H1586" s="206">
        <f ca="1">IF($S$1&lt;DATE(2025,3,1)," ",COUNTIFS('2025数据'!$W$3:$W$181,"&gt;="&amp;DATE(2025,3,1),'2025数据'!$W$3:$W$181,"&lt;="&amp;DATE(2025,3,31),'2025数据'!$B$3:$B$181,$E1586))</f>
        <v>0</v>
      </c>
      <c r="I1586" s="206">
        <f ca="1">IF($S$1&lt;DATE(2025,4,1)," ",COUNTIFS('2025数据'!$W$3:$W$181,"&gt;="&amp;DATE(2025,4,1),'2025数据'!$W$3:$W$181,"&lt;="&amp;DATE(2025,4,30),'2025数据'!$B$3:$B$181,$E1586))</f>
        <v>0</v>
      </c>
      <c r="J1586" s="206">
        <f ca="1">IF($S$1&lt;DATE(2025,5,1)," ",COUNTIFS('2025数据'!$W$3:$W$181,"&gt;="&amp;DATE(2025,5,1),'2025数据'!$W$3:$W$181,"&lt;="&amp;DATE(2025,5,31),'2025数据'!$B$3:$B$181,$E1586))</f>
        <v>0</v>
      </c>
      <c r="K1586" s="206">
        <f ca="1">IF($S$1&lt;DATE(2025,6,1)," ",COUNTIFS('2025数据'!$W$3:$W$181,"&gt;="&amp;DATE(2025,6,1),'2025数据'!$W$3:$W$181,"&lt;="&amp;DATE(2025,6,30),'2025数据'!$B$3:$B$181,$E1586))</f>
        <v>0</v>
      </c>
      <c r="L1586" s="206">
        <f ca="1">IF($S$1&lt;DATE(2025,7,1)," ",COUNTIFS('2025数据'!$W$3:$W$181,"&gt;="&amp;DATE(2025,7,1),'2025数据'!$W$3:$W$181,"&lt;="&amp;DATE(2025,7,31),'2025数据'!$B$3:$B$181,$E1586))</f>
        <v>1</v>
      </c>
      <c r="M1586" s="206">
        <f ca="1">IF($S$1&lt;DATE(2025,8,1)," ",COUNTIFS('2025数据'!$W$3:$W$181,"&gt;="&amp;DATE(2025,8,1),'2025数据'!$W$3:$W$181,"&lt;="&amp;DATE(2025,8,31),'2025数据'!$B$3:$B$181,$E1586))</f>
        <v>0</v>
      </c>
      <c r="N1586" s="206">
        <f ca="1">IF($S$1&lt;DATE(2025,9,1)," ",COUNTIFS('2025数据'!$W$3:$W$181,"&gt;="&amp;DATE(2025,9,1),'2025数据'!$W$3:$W$181,"&lt;="&amp;DATE(2025,9,30),'2025数据'!$B$3:$B$181,$E1586))</f>
        <v>0</v>
      </c>
      <c r="O1586" s="206">
        <f ca="1">IF($S$1&lt;DATE(2025,10,1)," ",COUNTIFS('2025数据'!$W$3:$W$181,"&gt;="&amp;DATE(2025,10,1),'2025数据'!$W$3:$W$181,"&lt;="&amp;DATE(2025,10,31),'2025数据'!$B$3:$B$181,$E1586))</f>
        <v>0</v>
      </c>
      <c r="P1586" s="208">
        <f ca="1">IF($S$1&lt;DATE(2025,11,1)," ",COUNTIFS('2025数据'!$W$3:$W$181,"&gt;="&amp;DATE(2025,11,1),'2025数据'!$W$3:$W$181,"&lt;="&amp;DATE(2025,11,30),'2025数据'!$B$3:$B$181,$E1586))</f>
        <v>0</v>
      </c>
      <c r="Q1586" s="208">
        <f ca="1">IF($S$1&lt;DATE(2025,12,1)," ",COUNTIFS('2025数据'!$W$3:$W$181,"&gt;="&amp;DATE(2025,12,1),'2025数据'!$W$3:$W$181,"&lt;="&amp;DATE(2025,12,31),'2025数据'!$B$3:$B$181,$E1586))</f>
        <v>0</v>
      </c>
    </row>
    <row r="1587" ht="24" customHeight="1" spans="1:17">
      <c r="A1587" s="99" t="s">
        <v>349</v>
      </c>
      <c r="B1587" s="99" t="s">
        <v>290</v>
      </c>
      <c r="C1587" s="99" t="s">
        <v>291</v>
      </c>
      <c r="D1587" s="47" t="s">
        <v>294</v>
      </c>
      <c r="E1587" s="47" t="s">
        <v>81</v>
      </c>
      <c r="F1587" s="206">
        <f ca="1">IF($S$1&lt;DATE(2025,1,1)," ",COUNTIFS('2025数据'!$W$3:$W$181,"&gt;="&amp;DATE(2024,1,1),'2025数据'!$W$3:$W$181,"&lt;="&amp;DATE(2025,1,31),'2025数据'!$B$3:$B$181,$E1587))</f>
        <v>0</v>
      </c>
      <c r="G1587" s="206">
        <f ca="1">IF($S$1&lt;DATE(2025,2,1)," ",COUNTIFS('2025数据'!$W$3:$W$181,"&gt;="&amp;DATE(2025,2,1),'2025数据'!$W$3:$W$181,"&lt;="&amp;DATE(2025,2,28),'2025数据'!$B$3:$B$181,$E1587))</f>
        <v>0</v>
      </c>
      <c r="H1587" s="206">
        <f ca="1">IF($S$1&lt;DATE(2025,3,1)," ",COUNTIFS('2025数据'!$W$3:$W$181,"&gt;="&amp;DATE(2025,3,1),'2025数据'!$W$3:$W$181,"&lt;="&amp;DATE(2025,3,31),'2025数据'!$B$3:$B$181,$E1587))</f>
        <v>0</v>
      </c>
      <c r="I1587" s="206">
        <f ca="1">IF($S$1&lt;DATE(2025,4,1)," ",COUNTIFS('2025数据'!$W$3:$W$181,"&gt;="&amp;DATE(2025,4,1),'2025数据'!$W$3:$W$181,"&lt;="&amp;DATE(2025,4,30),'2025数据'!$B$3:$B$181,$E1587))</f>
        <v>0</v>
      </c>
      <c r="J1587" s="206">
        <f ca="1">IF($S$1&lt;DATE(2025,5,1)," ",COUNTIFS('2025数据'!$W$3:$W$181,"&gt;="&amp;DATE(2025,5,1),'2025数据'!$W$3:$W$181,"&lt;="&amp;DATE(2025,5,31),'2025数据'!$B$3:$B$181,$E1587))</f>
        <v>0</v>
      </c>
      <c r="K1587" s="206">
        <f ca="1">IF($S$1&lt;DATE(2025,6,1)," ",COUNTIFS('2025数据'!$W$3:$W$181,"&gt;="&amp;DATE(2025,6,1),'2025数据'!$W$3:$W$181,"&lt;="&amp;DATE(2025,6,30),'2025数据'!$B$3:$B$181,$E1587))</f>
        <v>0</v>
      </c>
      <c r="L1587" s="206">
        <f ca="1">IF($S$1&lt;DATE(2025,7,1)," ",COUNTIFS('2025数据'!$W$3:$W$181,"&gt;="&amp;DATE(2025,7,1),'2025数据'!$W$3:$W$181,"&lt;="&amp;DATE(2025,7,31),'2025数据'!$B$3:$B$181,$E1587))</f>
        <v>1</v>
      </c>
      <c r="M1587" s="206">
        <f ca="1">IF($S$1&lt;DATE(2025,8,1)," ",COUNTIFS('2025数据'!$W$3:$W$181,"&gt;="&amp;DATE(2025,8,1),'2025数据'!$W$3:$W$181,"&lt;="&amp;DATE(2025,8,31),'2025数据'!$B$3:$B$181,$E1587))</f>
        <v>0</v>
      </c>
      <c r="N1587" s="206">
        <f ca="1">IF($S$1&lt;DATE(2025,9,1)," ",COUNTIFS('2025数据'!$W$3:$W$181,"&gt;="&amp;DATE(2025,9,1),'2025数据'!$W$3:$W$181,"&lt;="&amp;DATE(2025,9,30),'2025数据'!$B$3:$B$181,$E1587))</f>
        <v>1</v>
      </c>
      <c r="O1587" s="206">
        <f ca="1">IF($S$1&lt;DATE(2025,10,1)," ",COUNTIFS('2025数据'!$W$3:$W$181,"&gt;="&amp;DATE(2025,10,1),'2025数据'!$W$3:$W$181,"&lt;="&amp;DATE(2025,10,31),'2025数据'!$B$3:$B$181,$E1587))</f>
        <v>0</v>
      </c>
      <c r="P1587" s="208">
        <f ca="1">IF($S$1&lt;DATE(2025,11,1)," ",COUNTIFS('2025数据'!$W$3:$W$181,"&gt;="&amp;DATE(2025,11,1),'2025数据'!$W$3:$W$181,"&lt;="&amp;DATE(2025,11,30),'2025数据'!$B$3:$B$181,$E1587))</f>
        <v>0</v>
      </c>
      <c r="Q1587" s="208">
        <f ca="1">IF($S$1&lt;DATE(2025,12,1)," ",COUNTIFS('2025数据'!$W$3:$W$181,"&gt;="&amp;DATE(2025,12,1),'2025数据'!$W$3:$W$181,"&lt;="&amp;DATE(2025,12,31),'2025数据'!$B$3:$B$181,$E1587))</f>
        <v>0</v>
      </c>
    </row>
    <row r="1588" ht="24" customHeight="1" spans="1:17">
      <c r="A1588" s="99" t="s">
        <v>349</v>
      </c>
      <c r="B1588" s="99" t="s">
        <v>290</v>
      </c>
      <c r="C1588" s="99" t="s">
        <v>291</v>
      </c>
      <c r="D1588" s="47" t="s">
        <v>294</v>
      </c>
      <c r="E1588" s="47" t="s">
        <v>96</v>
      </c>
      <c r="F1588" s="206">
        <f ca="1">IF($S$1&lt;DATE(2025,1,1)," ",COUNTIFS('2025数据'!$W$3:$W$181,"&gt;="&amp;DATE(2024,1,1),'2025数据'!$W$3:$W$181,"&lt;="&amp;DATE(2025,1,31),'2025数据'!$B$3:$B$181,$E1588))</f>
        <v>0</v>
      </c>
      <c r="G1588" s="206">
        <f ca="1">IF($S$1&lt;DATE(2025,2,1)," ",COUNTIFS('2025数据'!$W$3:$W$181,"&gt;="&amp;DATE(2025,2,1),'2025数据'!$W$3:$W$181,"&lt;="&amp;DATE(2025,2,28),'2025数据'!$B$3:$B$181,$E1588))</f>
        <v>0</v>
      </c>
      <c r="H1588" s="206">
        <f ca="1">IF($S$1&lt;DATE(2025,3,1)," ",COUNTIFS('2025数据'!$W$3:$W$181,"&gt;="&amp;DATE(2025,3,1),'2025数据'!$W$3:$W$181,"&lt;="&amp;DATE(2025,3,31),'2025数据'!$B$3:$B$181,$E1588))</f>
        <v>0</v>
      </c>
      <c r="I1588" s="206">
        <f ca="1">IF($S$1&lt;DATE(2025,4,1)," ",COUNTIFS('2025数据'!$W$3:$W$181,"&gt;="&amp;DATE(2025,4,1),'2025数据'!$W$3:$W$181,"&lt;="&amp;DATE(2025,4,30),'2025数据'!$B$3:$B$181,$E1588))</f>
        <v>0</v>
      </c>
      <c r="J1588" s="206">
        <f ca="1">IF($S$1&lt;DATE(2025,5,1)," ",COUNTIFS('2025数据'!$W$3:$W$181,"&gt;="&amp;DATE(2025,5,1),'2025数据'!$W$3:$W$181,"&lt;="&amp;DATE(2025,5,31),'2025数据'!$B$3:$B$181,$E1588))</f>
        <v>0</v>
      </c>
      <c r="K1588" s="206">
        <f ca="1">IF($S$1&lt;DATE(2025,6,1)," ",COUNTIFS('2025数据'!$W$3:$W$181,"&gt;="&amp;DATE(2025,6,1),'2025数据'!$W$3:$W$181,"&lt;="&amp;DATE(2025,6,30),'2025数据'!$B$3:$B$181,$E1588))</f>
        <v>0</v>
      </c>
      <c r="L1588" s="206">
        <f ca="1">IF($S$1&lt;DATE(2025,7,1)," ",COUNTIFS('2025数据'!$W$3:$W$181,"&gt;="&amp;DATE(2025,7,1),'2025数据'!$W$3:$W$181,"&lt;="&amp;DATE(2025,7,31),'2025数据'!$B$3:$B$181,$E1588))</f>
        <v>0</v>
      </c>
      <c r="M1588" s="206">
        <f ca="1">IF($S$1&lt;DATE(2025,8,1)," ",COUNTIFS('2025数据'!$W$3:$W$181,"&gt;="&amp;DATE(2025,8,1),'2025数据'!$W$3:$W$181,"&lt;="&amp;DATE(2025,8,31),'2025数据'!$B$3:$B$181,$E1588))</f>
        <v>0</v>
      </c>
      <c r="N1588" s="206">
        <f ca="1">IF($S$1&lt;DATE(2025,9,1)," ",COUNTIFS('2025数据'!$W$3:$W$181,"&gt;="&amp;DATE(2025,9,1),'2025数据'!$W$3:$W$181,"&lt;="&amp;DATE(2025,9,30),'2025数据'!$B$3:$B$181,$E1588))</f>
        <v>0</v>
      </c>
      <c r="O1588" s="206">
        <f ca="1">IF($S$1&lt;DATE(2025,10,1)," ",COUNTIFS('2025数据'!$W$3:$W$181,"&gt;="&amp;DATE(2025,10,1),'2025数据'!$W$3:$W$181,"&lt;="&amp;DATE(2025,10,31),'2025数据'!$B$3:$B$181,$E1588))</f>
        <v>0</v>
      </c>
      <c r="P1588" s="208">
        <f ca="1">IF($S$1&lt;DATE(2025,11,1)," ",COUNTIFS('2025数据'!$W$3:$W$181,"&gt;="&amp;DATE(2025,11,1),'2025数据'!$W$3:$W$181,"&lt;="&amp;DATE(2025,11,30),'2025数据'!$B$3:$B$181,$E1588))</f>
        <v>0</v>
      </c>
      <c r="Q1588" s="208">
        <f ca="1">IF($S$1&lt;DATE(2025,12,1)," ",COUNTIFS('2025数据'!$W$3:$W$181,"&gt;="&amp;DATE(2025,12,1),'2025数据'!$W$3:$W$181,"&lt;="&amp;DATE(2025,12,31),'2025数据'!$B$3:$B$181,$E1588))</f>
        <v>0</v>
      </c>
    </row>
    <row r="1589" ht="24" customHeight="1" spans="1:17">
      <c r="A1589" s="99" t="s">
        <v>349</v>
      </c>
      <c r="B1589" s="99" t="s">
        <v>290</v>
      </c>
      <c r="C1589" s="99" t="s">
        <v>291</v>
      </c>
      <c r="D1589" s="47" t="s">
        <v>294</v>
      </c>
      <c r="E1589" s="47" t="s">
        <v>160</v>
      </c>
      <c r="F1589" s="206">
        <f ca="1">IF($S$1&lt;DATE(2025,1,1)," ",COUNTIFS('2025数据'!$W$3:$W$181,"&gt;="&amp;DATE(2024,1,1),'2025数据'!$W$3:$W$181,"&lt;="&amp;DATE(2025,1,31),'2025数据'!$B$3:$B$181,$E1589))</f>
        <v>0</v>
      </c>
      <c r="G1589" s="206">
        <f ca="1">IF($S$1&lt;DATE(2025,2,1)," ",COUNTIFS('2025数据'!$W$3:$W$181,"&gt;="&amp;DATE(2025,2,1),'2025数据'!$W$3:$W$181,"&lt;="&amp;DATE(2025,2,28),'2025数据'!$B$3:$B$181,$E1589))</f>
        <v>0</v>
      </c>
      <c r="H1589" s="206">
        <f ca="1">IF($S$1&lt;DATE(2025,3,1)," ",COUNTIFS('2025数据'!$W$3:$W$181,"&gt;="&amp;DATE(2025,3,1),'2025数据'!$W$3:$W$181,"&lt;="&amp;DATE(2025,3,31),'2025数据'!$B$3:$B$181,$E1589))</f>
        <v>0</v>
      </c>
      <c r="I1589" s="206">
        <f ca="1">IF($S$1&lt;DATE(2025,4,1)," ",COUNTIFS('2025数据'!$W$3:$W$181,"&gt;="&amp;DATE(2025,4,1),'2025数据'!$W$3:$W$181,"&lt;="&amp;DATE(2025,4,30),'2025数据'!$B$3:$B$181,$E1589))</f>
        <v>0</v>
      </c>
      <c r="J1589" s="206">
        <f ca="1">IF($S$1&lt;DATE(2025,5,1)," ",COUNTIFS('2025数据'!$W$3:$W$181,"&gt;="&amp;DATE(2025,5,1),'2025数据'!$W$3:$W$181,"&lt;="&amp;DATE(2025,5,31),'2025数据'!$B$3:$B$181,$E1589))</f>
        <v>0</v>
      </c>
      <c r="K1589" s="206">
        <f ca="1">IF($S$1&lt;DATE(2025,6,1)," ",COUNTIFS('2025数据'!$W$3:$W$181,"&gt;="&amp;DATE(2025,6,1),'2025数据'!$W$3:$W$181,"&lt;="&amp;DATE(2025,6,30),'2025数据'!$B$3:$B$181,$E1589))</f>
        <v>0</v>
      </c>
      <c r="L1589" s="206">
        <f ca="1">IF($S$1&lt;DATE(2025,7,1)," ",COUNTIFS('2025数据'!$W$3:$W$181,"&gt;="&amp;DATE(2025,7,1),'2025数据'!$W$3:$W$181,"&lt;="&amp;DATE(2025,7,31),'2025数据'!$B$3:$B$181,$E1589))</f>
        <v>0</v>
      </c>
      <c r="M1589" s="206">
        <f ca="1">IF($S$1&lt;DATE(2025,8,1)," ",COUNTIFS('2025数据'!$W$3:$W$181,"&gt;="&amp;DATE(2025,8,1),'2025数据'!$W$3:$W$181,"&lt;="&amp;DATE(2025,8,31),'2025数据'!$B$3:$B$181,$E1589))</f>
        <v>0</v>
      </c>
      <c r="N1589" s="206">
        <f ca="1">IF($S$1&lt;DATE(2025,9,1)," ",COUNTIFS('2025数据'!$W$3:$W$181,"&gt;="&amp;DATE(2025,9,1),'2025数据'!$W$3:$W$181,"&lt;="&amp;DATE(2025,9,30),'2025数据'!$B$3:$B$181,$E1589))</f>
        <v>0</v>
      </c>
      <c r="O1589" s="206">
        <f ca="1">IF($S$1&lt;DATE(2025,10,1)," ",COUNTIFS('2025数据'!$W$3:$W$181,"&gt;="&amp;DATE(2025,10,1),'2025数据'!$W$3:$W$181,"&lt;="&amp;DATE(2025,10,31),'2025数据'!$B$3:$B$181,$E1589))</f>
        <v>0</v>
      </c>
      <c r="P1589" s="208">
        <f ca="1">IF($S$1&lt;DATE(2025,11,1)," ",COUNTIFS('2025数据'!$W$3:$W$181,"&gt;="&amp;DATE(2025,11,1),'2025数据'!$W$3:$W$181,"&lt;="&amp;DATE(2025,11,30),'2025数据'!$B$3:$B$181,$E1589))</f>
        <v>0</v>
      </c>
      <c r="Q1589" s="208">
        <f ca="1">IF($S$1&lt;DATE(2025,12,1)," ",COUNTIFS('2025数据'!$W$3:$W$181,"&gt;="&amp;DATE(2025,12,1),'2025数据'!$W$3:$W$181,"&lt;="&amp;DATE(2025,12,31),'2025数据'!$B$3:$B$181,$E1589))</f>
        <v>0</v>
      </c>
    </row>
    <row r="1590" ht="24" customHeight="1" spans="1:17">
      <c r="A1590" s="99" t="s">
        <v>349</v>
      </c>
      <c r="B1590" s="99" t="s">
        <v>290</v>
      </c>
      <c r="C1590" s="99" t="s">
        <v>291</v>
      </c>
      <c r="D1590" s="100" t="s">
        <v>292</v>
      </c>
      <c r="E1590" s="100" t="s">
        <v>295</v>
      </c>
      <c r="F1590" s="204">
        <f ca="1">IF($S$1&lt;DATE(2025,1,1)," ",SUM(F1591:F1593))</f>
        <v>0</v>
      </c>
      <c r="G1590" s="204">
        <f ca="1">IF($S$1&lt;DATE(2025,2,1)," ",SUM(G1591:G1593))</f>
        <v>0</v>
      </c>
      <c r="H1590" s="204">
        <f ca="1">IF($S$1&lt;DATE(2025,3,1)," ",SUM(H1591:H1593))</f>
        <v>0</v>
      </c>
      <c r="I1590" s="204">
        <f ca="1">IF($S$1&lt;DATE(2025,4,1)," ",SUM(I1591:I1593))</f>
        <v>0</v>
      </c>
      <c r="J1590" s="204">
        <f ca="1">IF($S$1&lt;DATE(2025,5,1)," ",SUM(J1591:J1593))</f>
        <v>0</v>
      </c>
      <c r="K1590" s="204">
        <f ca="1">IF($S$1&lt;DATE(2025,6,1)," ",SUM(K1591:K1593))</f>
        <v>0</v>
      </c>
      <c r="L1590" s="204">
        <f ca="1">IF($S$1&lt;DATE(2025,7,1)," ",SUM(L1591:L1593))</f>
        <v>0</v>
      </c>
      <c r="M1590" s="204">
        <f ca="1">IF($S$1&lt;DATE(2025,8,1)," ",SUM(M1591:M1593))</f>
        <v>0</v>
      </c>
      <c r="N1590" s="204">
        <f ca="1">IF($S$1&lt;DATE(2025,9,1)," ",SUM(N1591:N1593))</f>
        <v>1</v>
      </c>
      <c r="O1590" s="204">
        <f ca="1">IF($S$1&lt;DATE(2025,10,1)," ",SUM(O1591:O1593))</f>
        <v>2</v>
      </c>
      <c r="P1590" s="204">
        <f ca="1">IF($S$1&lt;DATE(2025,11,1)," ",SUM(P1591:P1593))</f>
        <v>1</v>
      </c>
      <c r="Q1590" s="204">
        <f ca="1">IF($S$1&lt;DATE(2025,12,1)," ",SUM(Q1591:Q1593))</f>
        <v>0</v>
      </c>
    </row>
    <row r="1591" ht="24" customHeight="1" spans="1:17">
      <c r="A1591" s="99" t="s">
        <v>349</v>
      </c>
      <c r="B1591" s="99" t="s">
        <v>290</v>
      </c>
      <c r="C1591" s="99" t="s">
        <v>291</v>
      </c>
      <c r="D1591" s="48" t="s">
        <v>296</v>
      </c>
      <c r="E1591" s="48" t="s">
        <v>90</v>
      </c>
      <c r="F1591" s="205">
        <f ca="1">IF($S$1&lt;DATE(2025,1,1)," ",COUNTIFS('2025数据'!$W$3:$W$181,"&gt;="&amp;DATE(2024,1,1),'2025数据'!$W$3:$W$181,"&lt;="&amp;DATE(2025,1,31),'2025数据'!$AF$3:$AF$181,$E1591))</f>
        <v>0</v>
      </c>
      <c r="G1591" s="205">
        <f ca="1">IF($S$1&lt;DATE(2025,2,1)," ",COUNTIFS('2025数据'!$W$3:$W$181,"&gt;="&amp;DATE(2025,2,1),'2025数据'!$W$3:$W$181,"&lt;="&amp;DATE(2025,2,28),'2025数据'!$AF$3:$AF$181,$E1591))</f>
        <v>0</v>
      </c>
      <c r="H1591" s="205">
        <f ca="1">IF($S$1&lt;DATE(2025,3,1)," ",COUNTIFS('2025数据'!$W$3:$W$181,"&gt;="&amp;DATE(2025,3,1),'2025数据'!$W$3:$W$181,"&lt;="&amp;DATE(2025,3,31),'2025数据'!$AF$3:$AF$181,$E1591))</f>
        <v>0</v>
      </c>
      <c r="I1591" s="205">
        <f ca="1">IF($S$1&lt;DATE(2025,4,1)," ",COUNTIFS('2025数据'!$W$3:$W$181,"&gt;="&amp;DATE(2025,4,1),'2025数据'!$W$3:$W$181,"&lt;="&amp;DATE(2025,4,30),'2025数据'!$AF$3:$AF$181,$E1591))</f>
        <v>0</v>
      </c>
      <c r="J1591" s="205">
        <f ca="1">IF($S$1&lt;DATE(2025,5,1)," ",COUNTIFS('2025数据'!$W$3:$W$181,"&gt;="&amp;DATE(2025,5,1),'2025数据'!$W$3:$W$181,"&lt;="&amp;DATE(2025,5,31),'2025数据'!$AF$3:$AF$181,$E1591))</f>
        <v>0</v>
      </c>
      <c r="K1591" s="205">
        <f ca="1">IF($S$1&lt;DATE(2025,6,1)," ",COUNTIFS('2025数据'!$W$3:$W$181,"&gt;="&amp;DATE(2025,6,1),'2025数据'!$W$3:$W$181,"&lt;="&amp;DATE(2025,6,30),'2025数据'!$AF$3:$AF$181,$E1591))</f>
        <v>0</v>
      </c>
      <c r="L1591" s="205">
        <f ca="1">IF($S$1&lt;DATE(2025,7,1)," ",COUNTIFS('2025数据'!$W$3:$W$181,"&gt;="&amp;DATE(2025,7,1),'2025数据'!$W$3:$W$181,"&lt;="&amp;DATE(2025,7,31),'2025数据'!$AF$3:$AF$181,$E1591))</f>
        <v>0</v>
      </c>
      <c r="M1591" s="205">
        <f ca="1">IF($S$1&lt;DATE(2025,8,1)," ",COUNTIFS('2025数据'!$W$3:$W$181,"&gt;="&amp;DATE(2025,8,1),'2025数据'!$W$3:$W$181,"&lt;="&amp;DATE(2025,8,31),'2025数据'!$AF$3:$AF$181,$E1591))</f>
        <v>0</v>
      </c>
      <c r="N1591" s="205">
        <f ca="1">IF($S$1&lt;DATE(2025,9,1)," ",COUNTIFS('2025数据'!$W$3:$W$181,"&gt;="&amp;DATE(2025,9,1),'2025数据'!$W$3:$W$181,"&lt;="&amp;DATE(2025,9,30),'2025数据'!$AF$3:$AF$181,$E1591))</f>
        <v>0</v>
      </c>
      <c r="O1591" s="205">
        <f ca="1">IF($S$1&lt;DATE(2025,10,1)," ",COUNTIFS('2025数据'!$W$3:$W$181,"&gt;="&amp;DATE(2025,10,1),'2025数据'!$W$3:$W$181,"&lt;="&amp;DATE(2025,10,31),'2025数据'!$AF$3:$AF$181,$E1591))</f>
        <v>2</v>
      </c>
      <c r="P1591" s="207">
        <f ca="1">IF($S$1&lt;DATE(2025,11,1)," ",COUNTIFS('2025数据'!$W$3:$W$181,"&gt;="&amp;DATE(2025,11,1),'2025数据'!$W$3:$W$181,"&lt;="&amp;DATE(2025,11,30),'2025数据'!$AF$3:$AF$181,$E1591))</f>
        <v>0</v>
      </c>
      <c r="Q1591" s="207">
        <f ca="1">IF($S$1&lt;DATE(2025,12,1)," ",COUNTIFS('2025数据'!$W$3:$W$181,"&gt;="&amp;DATE(2025,12,1),'2025数据'!$W$3:$W$181,"&lt;="&amp;DATE(2025,12,31),'2025数据'!$AF$3:$AF$181,$E1591))</f>
        <v>0</v>
      </c>
    </row>
    <row r="1592" ht="24" customHeight="1" spans="1:17">
      <c r="A1592" s="99" t="s">
        <v>349</v>
      </c>
      <c r="B1592" s="99" t="s">
        <v>290</v>
      </c>
      <c r="C1592" s="99" t="s">
        <v>291</v>
      </c>
      <c r="D1592" s="48" t="s">
        <v>296</v>
      </c>
      <c r="E1592" s="48" t="s">
        <v>82</v>
      </c>
      <c r="F1592" s="205">
        <f ca="1">IF($S$1&lt;DATE(2025,1,1)," ",COUNTIFS('2025数据'!$W$3:$W$181,"&gt;="&amp;DATE(2024,1,1),'2025数据'!$W$3:$W$181,"&lt;="&amp;DATE(2025,1,31),'2025数据'!$AF$3:$AF$181,$E1592))</f>
        <v>0</v>
      </c>
      <c r="G1592" s="205">
        <f ca="1">IF($S$1&lt;DATE(2025,2,1)," ",COUNTIFS('2025数据'!$W$3:$W$181,"&gt;="&amp;DATE(2025,2,1),'2025数据'!$W$3:$W$181,"&lt;="&amp;DATE(2025,2,28),'2025数据'!$AF$3:$AF$181,$E1592))</f>
        <v>0</v>
      </c>
      <c r="H1592" s="205">
        <f ca="1">IF($S$1&lt;DATE(2025,3,1)," ",COUNTIFS('2025数据'!$W$3:$W$181,"&gt;="&amp;DATE(2025,3,1),'2025数据'!$W$3:$W$181,"&lt;="&amp;DATE(2025,3,31),'2025数据'!$AF$3:$AF$181,$E1592))</f>
        <v>0</v>
      </c>
      <c r="I1592" s="205">
        <f ca="1">IF($S$1&lt;DATE(2025,4,1)," ",COUNTIFS('2025数据'!$W$3:$W$181,"&gt;="&amp;DATE(2025,4,1),'2025数据'!$W$3:$W$181,"&lt;="&amp;DATE(2025,4,30),'2025数据'!$AF$3:$AF$181,$E1592))</f>
        <v>0</v>
      </c>
      <c r="J1592" s="205">
        <f ca="1">IF($S$1&lt;DATE(2025,5,1)," ",COUNTIFS('2025数据'!$W$3:$W$181,"&gt;="&amp;DATE(2025,5,1),'2025数据'!$W$3:$W$181,"&lt;="&amp;DATE(2025,5,31),'2025数据'!$AF$3:$AF$181,$E1592))</f>
        <v>0</v>
      </c>
      <c r="K1592" s="205">
        <f ca="1">IF($S$1&lt;DATE(2025,6,1)," ",COUNTIFS('2025数据'!$W$3:$W$181,"&gt;="&amp;DATE(2025,6,1),'2025数据'!$W$3:$W$181,"&lt;="&amp;DATE(2025,6,30),'2025数据'!$AF$3:$AF$181,$E1592))</f>
        <v>0</v>
      </c>
      <c r="L1592" s="205">
        <f ca="1">IF($S$1&lt;DATE(2025,7,1)," ",COUNTIFS('2025数据'!$W$3:$W$181,"&gt;="&amp;DATE(2025,7,1),'2025数据'!$W$3:$W$181,"&lt;="&amp;DATE(2025,7,31),'2025数据'!$AF$3:$AF$181,$E1592))</f>
        <v>0</v>
      </c>
      <c r="M1592" s="205">
        <f ca="1">IF($S$1&lt;DATE(2025,8,1)," ",COUNTIFS('2025数据'!$W$3:$W$181,"&gt;="&amp;DATE(2025,8,1),'2025数据'!$W$3:$W$181,"&lt;="&amp;DATE(2025,8,31),'2025数据'!$AF$3:$AF$181,$E1592))</f>
        <v>0</v>
      </c>
      <c r="N1592" s="205">
        <f ca="1">IF($S$1&lt;DATE(2025,9,1)," ",COUNTIFS('2025数据'!$W$3:$W$181,"&gt;="&amp;DATE(2025,9,1),'2025数据'!$W$3:$W$181,"&lt;="&amp;DATE(2025,9,30),'2025数据'!$AF$3:$AF$181,$E1592))</f>
        <v>0</v>
      </c>
      <c r="O1592" s="205">
        <f ca="1">IF($S$1&lt;DATE(2025,10,1)," ",COUNTIFS('2025数据'!$W$3:$W$181,"&gt;="&amp;DATE(2025,10,1),'2025数据'!$W$3:$W$181,"&lt;="&amp;DATE(2025,10,31),'2025数据'!$AF$3:$AF$181,$E1592))</f>
        <v>0</v>
      </c>
      <c r="P1592" s="207">
        <f ca="1">IF($S$1&lt;DATE(2025,11,1)," ",COUNTIFS('2025数据'!$W$3:$W$181,"&gt;="&amp;DATE(2025,11,1),'2025数据'!$W$3:$W$181,"&lt;="&amp;DATE(2025,11,30),'2025数据'!$AF$3:$AF$181,$E1592))</f>
        <v>1</v>
      </c>
      <c r="Q1592" s="207">
        <f ca="1">IF($S$1&lt;DATE(2025,12,1)," ",COUNTIFS('2025数据'!$W$3:$W$181,"&gt;="&amp;DATE(2025,12,1),'2025数据'!$W$3:$W$181,"&lt;="&amp;DATE(2025,12,31),'2025数据'!$AF$3:$AF$181,$E1592))</f>
        <v>0</v>
      </c>
    </row>
    <row r="1593" ht="24" customHeight="1" spans="1:17">
      <c r="A1593" s="99" t="s">
        <v>349</v>
      </c>
      <c r="B1593" s="99" t="s">
        <v>290</v>
      </c>
      <c r="C1593" s="99" t="s">
        <v>291</v>
      </c>
      <c r="D1593" s="48" t="s">
        <v>296</v>
      </c>
      <c r="E1593" s="48" t="s">
        <v>86</v>
      </c>
      <c r="F1593" s="205">
        <f ca="1">IF($S$1&lt;DATE(2025,1,1)," ",COUNTIFS('2025数据'!$W$3:$W$181,"&gt;="&amp;DATE(2024,1,1),'2025数据'!$W$3:$W$181,"&lt;="&amp;DATE(2025,1,31),'2025数据'!$AF$3:$AF$181,$E1593))</f>
        <v>0</v>
      </c>
      <c r="G1593" s="205">
        <f ca="1">IF($S$1&lt;DATE(2025,2,1)," ",COUNTIFS('2025数据'!$W$3:$W$181,"&gt;="&amp;DATE(2025,2,1),'2025数据'!$W$3:$W$181,"&lt;="&amp;DATE(2025,2,28),'2025数据'!$AF$3:$AF$181,$E1593))</f>
        <v>0</v>
      </c>
      <c r="H1593" s="205">
        <f ca="1">IF($S$1&lt;DATE(2025,3,1)," ",COUNTIFS('2025数据'!$W$3:$W$181,"&gt;="&amp;DATE(2025,3,1),'2025数据'!$W$3:$W$181,"&lt;="&amp;DATE(2025,3,31),'2025数据'!$AF$3:$AF$181,$E1593))</f>
        <v>0</v>
      </c>
      <c r="I1593" s="205">
        <f ca="1">IF($S$1&lt;DATE(2025,4,1)," ",COUNTIFS('2025数据'!$W$3:$W$181,"&gt;="&amp;DATE(2025,4,1),'2025数据'!$W$3:$W$181,"&lt;="&amp;DATE(2025,4,30),'2025数据'!$AF$3:$AF$181,$E1593))</f>
        <v>0</v>
      </c>
      <c r="J1593" s="205">
        <f ca="1">IF($S$1&lt;DATE(2025,5,1)," ",COUNTIFS('2025数据'!$W$3:$W$181,"&gt;="&amp;DATE(2025,5,1),'2025数据'!$W$3:$W$181,"&lt;="&amp;DATE(2025,5,31),'2025数据'!$AF$3:$AF$181,$E1593))</f>
        <v>0</v>
      </c>
      <c r="K1593" s="205">
        <f ca="1">IF($S$1&lt;DATE(2025,6,1)," ",COUNTIFS('2025数据'!$W$3:$W$181,"&gt;="&amp;DATE(2025,6,1),'2025数据'!$W$3:$W$181,"&lt;="&amp;DATE(2025,6,30),'2025数据'!$AF$3:$AF$181,$E1593))</f>
        <v>0</v>
      </c>
      <c r="L1593" s="205">
        <f ca="1">IF($S$1&lt;DATE(2025,7,1)," ",COUNTIFS('2025数据'!$W$3:$W$181,"&gt;="&amp;DATE(2025,7,1),'2025数据'!$W$3:$W$181,"&lt;="&amp;DATE(2025,7,31),'2025数据'!$AF$3:$AF$181,$E1593))</f>
        <v>0</v>
      </c>
      <c r="M1593" s="205">
        <f ca="1">IF($S$1&lt;DATE(2025,8,1)," ",COUNTIFS('2025数据'!$W$3:$W$181,"&gt;="&amp;DATE(2025,8,1),'2025数据'!$W$3:$W$181,"&lt;="&amp;DATE(2025,8,31),'2025数据'!$AF$3:$AF$181,$E1593))</f>
        <v>0</v>
      </c>
      <c r="N1593" s="205">
        <f ca="1">IF($S$1&lt;DATE(2025,9,1)," ",COUNTIFS('2025数据'!$W$3:$W$181,"&gt;="&amp;DATE(2025,9,1),'2025数据'!$W$3:$W$181,"&lt;="&amp;DATE(2025,9,30),'2025数据'!$AF$3:$AF$181,$E1593))</f>
        <v>1</v>
      </c>
      <c r="O1593" s="205">
        <f ca="1">IF($S$1&lt;DATE(2025,10,1)," ",COUNTIFS('2025数据'!$W$3:$W$181,"&gt;="&amp;DATE(2025,10,1),'2025数据'!$W$3:$W$181,"&lt;="&amp;DATE(2025,10,31),'2025数据'!$AF$3:$AF$181,$E1593))</f>
        <v>0</v>
      </c>
      <c r="P1593" s="207">
        <f ca="1">IF($S$1&lt;DATE(2025,11,1)," ",COUNTIFS('2025数据'!$W$3:$W$181,"&gt;="&amp;DATE(2025,11,1),'2025数据'!$W$3:$W$181,"&lt;="&amp;DATE(2025,11,30),'2025数据'!$AF$3:$AF$181,$E1593))</f>
        <v>0</v>
      </c>
      <c r="Q1593" s="207">
        <f ca="1">IF($S$1&lt;DATE(2025,12,1)," ",COUNTIFS('2025数据'!$W$3:$W$181,"&gt;="&amp;DATE(2025,12,1),'2025数据'!$W$3:$W$181,"&lt;="&amp;DATE(2025,12,31),'2025数据'!$AF$3:$AF$181,$E1593))</f>
        <v>0</v>
      </c>
    </row>
    <row r="1594" ht="24" customHeight="1" spans="1:17">
      <c r="A1594" s="99" t="s">
        <v>349</v>
      </c>
      <c r="B1594" s="99" t="s">
        <v>290</v>
      </c>
      <c r="C1594" s="99" t="s">
        <v>291</v>
      </c>
      <c r="D1594" s="100" t="s">
        <v>292</v>
      </c>
      <c r="E1594" s="100" t="s">
        <v>297</v>
      </c>
      <c r="F1594" s="204">
        <f ca="1">IF($S$1&lt;DATE(2025,1,1)," ",SUM(F1595:F1598))</f>
        <v>0</v>
      </c>
      <c r="G1594" s="204">
        <f ca="1">IF($S$1&lt;DATE(2025,2,1)," ",SUM(G1595:G1598))</f>
        <v>1</v>
      </c>
      <c r="H1594" s="204">
        <f ca="1">IF($S$1&lt;DATE(2025,3,1)," ",SUM(H1595:H1598))</f>
        <v>0</v>
      </c>
      <c r="I1594" s="204">
        <f ca="1">IF($S$1&lt;DATE(2025,4,1)," ",SUM(I1595:I1598))</f>
        <v>0</v>
      </c>
      <c r="J1594" s="204">
        <f ca="1">IF($S$1&lt;DATE(2025,5,1)," ",SUM(J1595:J1598))</f>
        <v>0</v>
      </c>
      <c r="K1594" s="204">
        <f ca="1">IF($S$1&lt;DATE(2025,6,1)," ",SUM(K1595:K1598))</f>
        <v>0</v>
      </c>
      <c r="L1594" s="204">
        <f ca="1">IF($S$1&lt;DATE(2025,7,1)," ",SUM(L1595:L1598))</f>
        <v>2</v>
      </c>
      <c r="M1594" s="204">
        <f ca="1">IF($S$1&lt;DATE(2025,8,1)," ",SUM(M1595:M1598))</f>
        <v>1</v>
      </c>
      <c r="N1594" s="204">
        <f ca="1">IF($S$1&lt;DATE(2025,9,1)," ",SUM(N1595:N1598))</f>
        <v>1</v>
      </c>
      <c r="O1594" s="204">
        <f ca="1">IF($S$1&lt;DATE(2025,10,1)," ",SUM(O1595:O1598))</f>
        <v>0</v>
      </c>
      <c r="P1594" s="204">
        <f ca="1">IF($S$1&lt;DATE(2025,11,1)," ",SUM(P1595:P1598))</f>
        <v>1</v>
      </c>
      <c r="Q1594" s="204">
        <f ca="1">IF($S$1&lt;DATE(2025,12,1)," ",SUM(Q1595:Q1598))</f>
        <v>0</v>
      </c>
    </row>
    <row r="1595" ht="24" customHeight="1" spans="1:17">
      <c r="A1595" s="99" t="s">
        <v>349</v>
      </c>
      <c r="B1595" s="99" t="s">
        <v>290</v>
      </c>
      <c r="C1595" s="99" t="s">
        <v>291</v>
      </c>
      <c r="D1595" s="48" t="s">
        <v>298</v>
      </c>
      <c r="E1595" s="48" t="s">
        <v>97</v>
      </c>
      <c r="F1595" s="205">
        <f ca="1">IF($S$1&lt;DATE(2025,1,1)," ",COUNTIFS('2025数据'!$W$3:$W$181,"&gt;="&amp;DATE(2024,1,1),'2025数据'!$W$3:$W$181,"&lt;="&amp;DATE(2025,1,31),'2025数据'!$AG$3:$AG$181,$E1595))</f>
        <v>0</v>
      </c>
      <c r="G1595" s="205">
        <f ca="1">IF($S$1&lt;DATE(2025,2,1)," ",COUNTIFS('2025数据'!$W$3:$W$181,"&gt;="&amp;DATE(2025,2,1),'2025数据'!$W$3:$W$181,"&lt;="&amp;DATE(2025,2,28),'2025数据'!$AG$3:$AG$181,$E1595))</f>
        <v>0</v>
      </c>
      <c r="H1595" s="205">
        <f ca="1">IF($S$1&lt;DATE(2025,3,1)," ",COUNTIFS('2025数据'!$W$3:$W$181,"&gt;="&amp;DATE(2025,3,1),'2025数据'!$W$3:$W$181,"&lt;="&amp;DATE(2025,3,31),'2025数据'!$AG$3:$AG$181,$E1595))</f>
        <v>0</v>
      </c>
      <c r="I1595" s="205">
        <f ca="1">IF($S$1&lt;DATE(2025,4,1)," ",COUNTIFS('2025数据'!$W$3:$W$181,"&gt;="&amp;DATE(2025,4,1),'2025数据'!$W$3:$W$181,"&lt;="&amp;DATE(2025,4,30),'2025数据'!$AG$3:$AG$181,$E1595))</f>
        <v>0</v>
      </c>
      <c r="J1595" s="205">
        <f ca="1">IF($S$1&lt;DATE(2025,5,1)," ",COUNTIFS('2025数据'!$W$3:$W$181,"&gt;="&amp;DATE(2025,5,1),'2025数据'!$W$3:$W$181,"&lt;="&amp;DATE(2025,5,31),'2025数据'!$AG$3:$AG$181,$E1595))</f>
        <v>0</v>
      </c>
      <c r="K1595" s="205">
        <f ca="1">IF($S$1&lt;DATE(2025,6,1)," ",COUNTIFS('2025数据'!$W$3:$W$181,"&gt;="&amp;DATE(2025,6,1),'2025数据'!$W$3:$W$181,"&lt;="&amp;DATE(2025,6,30),'2025数据'!$AG$3:$AG$181,$E1595))</f>
        <v>0</v>
      </c>
      <c r="L1595" s="205">
        <f ca="1">IF($S$1&lt;DATE(2025,7,1)," ",COUNTIFS('2025数据'!$W$3:$W$181,"&gt;="&amp;DATE(2025,7,1),'2025数据'!$W$3:$W$181,"&lt;="&amp;DATE(2025,7,31),'2025数据'!$AG$3:$AG$181,$E1595))</f>
        <v>0</v>
      </c>
      <c r="M1595" s="205">
        <f ca="1">IF($S$1&lt;DATE(2025,8,1)," ",COUNTIFS('2025数据'!$W$3:$W$181,"&gt;="&amp;DATE(2025,8,1),'2025数据'!$W$3:$W$181,"&lt;="&amp;DATE(2025,8,31),'2025数据'!$AG$3:$AG$181,$E1595))</f>
        <v>0</v>
      </c>
      <c r="N1595" s="205">
        <f ca="1">IF($S$1&lt;DATE(2025,9,1)," ",COUNTIFS('2025数据'!$W$3:$W$181,"&gt;="&amp;DATE(2025,9,1),'2025数据'!$W$3:$W$181,"&lt;="&amp;DATE(2025,9,30),'2025数据'!$AG$3:$AG$181,$E1595))</f>
        <v>0</v>
      </c>
      <c r="O1595" s="205">
        <f ca="1">IF($S$1&lt;DATE(2025,10,1)," ",COUNTIFS('2025数据'!$W$3:$W$181,"&gt;="&amp;DATE(2025,10,1),'2025数据'!$W$3:$W$181,"&lt;="&amp;DATE(2025,10,31),'2025数据'!$AG$3:$AG$181,$E1595))</f>
        <v>0</v>
      </c>
      <c r="P1595" s="207">
        <f ca="1">IF($S$1&lt;DATE(2025,11,1)," ",COUNTIFS('2025数据'!$W$3:$W$181,"&gt;="&amp;DATE(2025,11,1),'2025数据'!$W$3:$W$181,"&lt;="&amp;DATE(2025,11,30),'2025数据'!$AG$3:$AG$181,$E1595))</f>
        <v>1</v>
      </c>
      <c r="Q1595" s="207">
        <f ca="1">IF($S$1&lt;DATE(2025,12,1)," ",COUNTIFS('2025数据'!$W$3:$W$181,"&gt;="&amp;DATE(2025,12,1),'2025数据'!$W$3:$W$181,"&lt;="&amp;DATE(2025,12,31),'2025数据'!$AG$3:$AG$181,$E1595))</f>
        <v>0</v>
      </c>
    </row>
    <row r="1596" ht="24" customHeight="1" spans="1:17">
      <c r="A1596" s="99" t="s">
        <v>349</v>
      </c>
      <c r="B1596" s="99" t="s">
        <v>290</v>
      </c>
      <c r="C1596" s="99" t="s">
        <v>291</v>
      </c>
      <c r="D1596" s="48" t="s">
        <v>298</v>
      </c>
      <c r="E1596" s="48" t="s">
        <v>87</v>
      </c>
      <c r="F1596" s="205">
        <f ca="1">IF($S$1&lt;DATE(2025,1,1)," ",COUNTIFS('2025数据'!$W$3:$W$181,"&gt;="&amp;DATE(2024,1,1),'2025数据'!$W$3:$W$181,"&lt;="&amp;DATE(2025,1,31),'2025数据'!$AG$3:$AG$181,$E1596))</f>
        <v>0</v>
      </c>
      <c r="G1596" s="205">
        <f ca="1">IF($S$1&lt;DATE(2025,2,1)," ",COUNTIFS('2025数据'!$W$3:$W$181,"&gt;="&amp;DATE(2025,2,1),'2025数据'!$W$3:$W$181,"&lt;="&amp;DATE(2025,2,28),'2025数据'!$AG$3:$AG$181,$E1596))</f>
        <v>1</v>
      </c>
      <c r="H1596" s="205">
        <f ca="1">IF($S$1&lt;DATE(2025,3,1)," ",COUNTIFS('2025数据'!$W$3:$W$181,"&gt;="&amp;DATE(2025,3,1),'2025数据'!$W$3:$W$181,"&lt;="&amp;DATE(2025,3,31),'2025数据'!$AG$3:$AG$181,$E1596))</f>
        <v>0</v>
      </c>
      <c r="I1596" s="205">
        <f ca="1">IF($S$1&lt;DATE(2025,4,1)," ",COUNTIFS('2025数据'!$W$3:$W$181,"&gt;="&amp;DATE(2025,4,1),'2025数据'!$W$3:$W$181,"&lt;="&amp;DATE(2025,4,30),'2025数据'!$AG$3:$AG$181,$E1596))</f>
        <v>0</v>
      </c>
      <c r="J1596" s="205">
        <f ca="1">IF($S$1&lt;DATE(2025,5,1)," ",COUNTIFS('2025数据'!$W$3:$W$181,"&gt;="&amp;DATE(2025,5,1),'2025数据'!$W$3:$W$181,"&lt;="&amp;DATE(2025,5,31),'2025数据'!$AG$3:$AG$181,$E1596))</f>
        <v>0</v>
      </c>
      <c r="K1596" s="205">
        <f ca="1">IF($S$1&lt;DATE(2025,6,1)," ",COUNTIFS('2025数据'!$W$3:$W$181,"&gt;="&amp;DATE(2025,6,1),'2025数据'!$W$3:$W$181,"&lt;="&amp;DATE(2025,6,30),'2025数据'!$AG$3:$AG$181,$E1596))</f>
        <v>0</v>
      </c>
      <c r="L1596" s="205">
        <f ca="1">IF($S$1&lt;DATE(2025,7,1)," ",COUNTIFS('2025数据'!$W$3:$W$181,"&gt;="&amp;DATE(2025,7,1),'2025数据'!$W$3:$W$181,"&lt;="&amp;DATE(2025,7,31),'2025数据'!$AG$3:$AG$181,$E1596))</f>
        <v>2</v>
      </c>
      <c r="M1596" s="205">
        <f ca="1">IF($S$1&lt;DATE(2025,8,1)," ",COUNTIFS('2025数据'!$W$3:$W$181,"&gt;="&amp;DATE(2025,8,1),'2025数据'!$W$3:$W$181,"&lt;="&amp;DATE(2025,8,31),'2025数据'!$AG$3:$AG$181,$E1596))</f>
        <v>1</v>
      </c>
      <c r="N1596" s="205">
        <f ca="1">IF($S$1&lt;DATE(2025,9,1)," ",COUNTIFS('2025数据'!$W$3:$W$181,"&gt;="&amp;DATE(2025,9,1),'2025数据'!$W$3:$W$181,"&lt;="&amp;DATE(2025,9,30),'2025数据'!$AG$3:$AG$181,$E1596))</f>
        <v>1</v>
      </c>
      <c r="O1596" s="205">
        <f ca="1">IF($S$1&lt;DATE(2025,10,1)," ",COUNTIFS('2025数据'!$W$3:$W$181,"&gt;="&amp;DATE(2025,10,1),'2025数据'!$W$3:$W$181,"&lt;="&amp;DATE(2025,10,31),'2025数据'!$AG$3:$AG$181,$E1596))</f>
        <v>0</v>
      </c>
      <c r="P1596" s="207">
        <f ca="1">IF($S$1&lt;DATE(2025,11,1)," ",COUNTIFS('2025数据'!$W$3:$W$181,"&gt;="&amp;DATE(2025,11,1),'2025数据'!$W$3:$W$181,"&lt;="&amp;DATE(2025,11,30),'2025数据'!$AG$3:$AG$181,$E1596))</f>
        <v>0</v>
      </c>
      <c r="Q1596" s="207">
        <f ca="1">IF($S$1&lt;DATE(2025,12,1)," ",COUNTIFS('2025数据'!$W$3:$W$181,"&gt;="&amp;DATE(2025,12,1),'2025数据'!$W$3:$W$181,"&lt;="&amp;DATE(2025,12,31),'2025数据'!$AG$3:$AG$181,$E1596))</f>
        <v>0</v>
      </c>
    </row>
    <row r="1597" ht="24" customHeight="1" spans="1:17">
      <c r="A1597" s="99" t="s">
        <v>349</v>
      </c>
      <c r="B1597" s="99" t="s">
        <v>290</v>
      </c>
      <c r="C1597" s="99" t="s">
        <v>291</v>
      </c>
      <c r="D1597" s="48" t="s">
        <v>298</v>
      </c>
      <c r="E1597" s="48" t="s">
        <v>149</v>
      </c>
      <c r="F1597" s="205">
        <f ca="1">IF($S$1&lt;DATE(2025,1,1)," ",COUNTIFS('2025数据'!$W$3:$W$181,"&gt;="&amp;DATE(2024,1,1),'2025数据'!$W$3:$W$181,"&lt;="&amp;DATE(2025,1,31),'2025数据'!$AG$3:$AG$181,$E1597))</f>
        <v>0</v>
      </c>
      <c r="G1597" s="205">
        <f ca="1">IF($S$1&lt;DATE(2025,2,1)," ",COUNTIFS('2025数据'!$W$3:$W$181,"&gt;="&amp;DATE(2025,2,1),'2025数据'!$W$3:$W$181,"&lt;="&amp;DATE(2025,2,28),'2025数据'!$AG$3:$AG$181,$E1597))</f>
        <v>0</v>
      </c>
      <c r="H1597" s="205">
        <f ca="1">IF($S$1&lt;DATE(2025,3,1)," ",COUNTIFS('2025数据'!$W$3:$W$181,"&gt;="&amp;DATE(2025,3,1),'2025数据'!$W$3:$W$181,"&lt;="&amp;DATE(2025,3,31),'2025数据'!$AG$3:$AG$181,$E1597))</f>
        <v>0</v>
      </c>
      <c r="I1597" s="205">
        <f ca="1">IF($S$1&lt;DATE(2025,4,1)," ",COUNTIFS('2025数据'!$W$3:$W$181,"&gt;="&amp;DATE(2025,4,1),'2025数据'!$W$3:$W$181,"&lt;="&amp;DATE(2025,4,30),'2025数据'!$AG$3:$AG$181,$E1597))</f>
        <v>0</v>
      </c>
      <c r="J1597" s="205">
        <f ca="1">IF($S$1&lt;DATE(2025,5,1)," ",COUNTIFS('2025数据'!$W$3:$W$181,"&gt;="&amp;DATE(2025,5,1),'2025数据'!$W$3:$W$181,"&lt;="&amp;DATE(2025,5,31),'2025数据'!$AG$3:$AG$181,$E1597))</f>
        <v>0</v>
      </c>
      <c r="K1597" s="205">
        <f ca="1">IF($S$1&lt;DATE(2025,6,1)," ",COUNTIFS('2025数据'!$W$3:$W$181,"&gt;="&amp;DATE(2025,6,1),'2025数据'!$W$3:$W$181,"&lt;="&amp;DATE(2025,6,30),'2025数据'!$AG$3:$AG$181,$E1597))</f>
        <v>0</v>
      </c>
      <c r="L1597" s="205">
        <f ca="1">IF($S$1&lt;DATE(2025,7,1)," ",COUNTIFS('2025数据'!$W$3:$W$181,"&gt;="&amp;DATE(2025,7,1),'2025数据'!$W$3:$W$181,"&lt;="&amp;DATE(2025,7,31),'2025数据'!$AG$3:$AG$181,$E1597))</f>
        <v>0</v>
      </c>
      <c r="M1597" s="205">
        <f ca="1">IF($S$1&lt;DATE(2025,8,1)," ",COUNTIFS('2025数据'!$W$3:$W$181,"&gt;="&amp;DATE(2025,8,1),'2025数据'!$W$3:$W$181,"&lt;="&amp;DATE(2025,8,31),'2025数据'!$AG$3:$AG$181,$E1597))</f>
        <v>0</v>
      </c>
      <c r="N1597" s="205">
        <f ca="1">IF($S$1&lt;DATE(2025,9,1)," ",COUNTIFS('2025数据'!$W$3:$W$181,"&gt;="&amp;DATE(2025,9,1),'2025数据'!$W$3:$W$181,"&lt;="&amp;DATE(2025,9,30),'2025数据'!$AG$3:$AG$181,$E1597))</f>
        <v>0</v>
      </c>
      <c r="O1597" s="205">
        <f ca="1">IF($S$1&lt;DATE(2025,10,1)," ",COUNTIFS('2025数据'!$W$3:$W$181,"&gt;="&amp;DATE(2025,10,1),'2025数据'!$W$3:$W$181,"&lt;="&amp;DATE(2025,10,31),'2025数据'!$AG$3:$AG$181,$E1597))</f>
        <v>0</v>
      </c>
      <c r="P1597" s="207">
        <f ca="1">IF($S$1&lt;DATE(2025,11,1)," ",COUNTIFS('2025数据'!$W$3:$W$181,"&gt;="&amp;DATE(2025,11,1),'2025数据'!$W$3:$W$181,"&lt;="&amp;DATE(2025,11,30),'2025数据'!$AG$3:$AG$181,$E1597))</f>
        <v>0</v>
      </c>
      <c r="Q1597" s="207">
        <f ca="1">IF($S$1&lt;DATE(2025,12,1)," ",COUNTIFS('2025数据'!$W$3:$W$181,"&gt;="&amp;DATE(2025,12,1),'2025数据'!$W$3:$W$181,"&lt;="&amp;DATE(2025,12,31),'2025数据'!$AG$3:$AG$181,$E1597))</f>
        <v>0</v>
      </c>
    </row>
    <row r="1598" ht="24" customHeight="1" spans="1:17">
      <c r="A1598" s="99" t="s">
        <v>349</v>
      </c>
      <c r="B1598" s="99" t="s">
        <v>290</v>
      </c>
      <c r="C1598" s="99" t="s">
        <v>291</v>
      </c>
      <c r="D1598" s="48" t="s">
        <v>298</v>
      </c>
      <c r="E1598" s="48" t="s">
        <v>83</v>
      </c>
      <c r="F1598" s="205">
        <f ca="1">IF($S$1&lt;DATE(2025,1,1)," ",COUNTIFS('2025数据'!$W$3:$W$181,"&gt;="&amp;DATE(2024,1,1),'2025数据'!$W$3:$W$181,"&lt;="&amp;DATE(2025,1,31),'2025数据'!$AG$3:$AG$181,$E1598))</f>
        <v>0</v>
      </c>
      <c r="G1598" s="205">
        <f ca="1">IF($S$1&lt;DATE(2025,2,1)," ",COUNTIFS('2025数据'!$W$3:$W$181,"&gt;="&amp;DATE(2025,2,1),'2025数据'!$W$3:$W$181,"&lt;="&amp;DATE(2025,2,28),'2025数据'!$AG$3:$AG$181,$E1598))</f>
        <v>0</v>
      </c>
      <c r="H1598" s="205">
        <f ca="1">IF($S$1&lt;DATE(2025,3,1)," ",COUNTIFS('2025数据'!$W$3:$W$181,"&gt;="&amp;DATE(2025,3,1),'2025数据'!$W$3:$W$181,"&lt;="&amp;DATE(2025,3,31),'2025数据'!$AG$3:$AG$181,$E1598))</f>
        <v>0</v>
      </c>
      <c r="I1598" s="205">
        <f ca="1">IF($S$1&lt;DATE(2025,4,1)," ",COUNTIFS('2025数据'!$W$3:$W$181,"&gt;="&amp;DATE(2025,4,1),'2025数据'!$W$3:$W$181,"&lt;="&amp;DATE(2025,4,30),'2025数据'!$AG$3:$AG$181,$E1598))</f>
        <v>0</v>
      </c>
      <c r="J1598" s="205">
        <f ca="1">IF($S$1&lt;DATE(2025,5,1)," ",COUNTIFS('2025数据'!$W$3:$W$181,"&gt;="&amp;DATE(2025,5,1),'2025数据'!$W$3:$W$181,"&lt;="&amp;DATE(2025,5,31),'2025数据'!$AG$3:$AG$181,$E1598))</f>
        <v>0</v>
      </c>
      <c r="K1598" s="205">
        <f ca="1">IF($S$1&lt;DATE(2025,6,1)," ",COUNTIFS('2025数据'!$W$3:$W$181,"&gt;="&amp;DATE(2025,6,1),'2025数据'!$W$3:$W$181,"&lt;="&amp;DATE(2025,6,30),'2025数据'!$AG$3:$AG$181,$E1598))</f>
        <v>0</v>
      </c>
      <c r="L1598" s="205">
        <f ca="1">IF($S$1&lt;DATE(2025,7,1)," ",COUNTIFS('2025数据'!$W$3:$W$181,"&gt;="&amp;DATE(2025,7,1),'2025数据'!$W$3:$W$181,"&lt;="&amp;DATE(2025,7,31),'2025数据'!$AG$3:$AG$181,$E1598))</f>
        <v>0</v>
      </c>
      <c r="M1598" s="205">
        <f ca="1">IF($S$1&lt;DATE(2025,8,1)," ",COUNTIFS('2025数据'!$W$3:$W$181,"&gt;="&amp;DATE(2025,8,1),'2025数据'!$W$3:$W$181,"&lt;="&amp;DATE(2025,8,31),'2025数据'!$AG$3:$AG$181,$E1598))</f>
        <v>0</v>
      </c>
      <c r="N1598" s="205">
        <f ca="1">IF($S$1&lt;DATE(2025,9,1)," ",COUNTIFS('2025数据'!$W$3:$W$181,"&gt;="&amp;DATE(2025,9,1),'2025数据'!$W$3:$W$181,"&lt;="&amp;DATE(2025,9,30),'2025数据'!$AG$3:$AG$181,$E1598))</f>
        <v>0</v>
      </c>
      <c r="O1598" s="205">
        <f ca="1">IF($S$1&lt;DATE(2025,10,1)," ",COUNTIFS('2025数据'!$W$3:$W$181,"&gt;="&amp;DATE(2025,10,1),'2025数据'!$W$3:$W$181,"&lt;="&amp;DATE(2025,10,31),'2025数据'!$AG$3:$AG$181,$E1598))</f>
        <v>0</v>
      </c>
      <c r="P1598" s="207">
        <f ca="1">IF($S$1&lt;DATE(2025,11,1)," ",COUNTIFS('2025数据'!$W$3:$W$181,"&gt;="&amp;DATE(2025,11,1),'2025数据'!$W$3:$W$181,"&lt;="&amp;DATE(2025,11,30),'2025数据'!$AG$3:$AG$181,$E1598))</f>
        <v>0</v>
      </c>
      <c r="Q1598" s="207">
        <f ca="1">IF($S$1&lt;DATE(2025,12,1)," ",COUNTIFS('2025数据'!$W$3:$W$181,"&gt;="&amp;DATE(2025,12,1),'2025数据'!$W$3:$W$181,"&lt;="&amp;DATE(2025,12,31),'2025数据'!$AG$3:$AG$181,$E1598))</f>
        <v>0</v>
      </c>
    </row>
    <row r="1599" ht="24" customHeight="1" spans="1:17">
      <c r="A1599" s="99" t="s">
        <v>349</v>
      </c>
      <c r="B1599" s="99" t="s">
        <v>299</v>
      </c>
      <c r="C1599" s="99" t="s">
        <v>291</v>
      </c>
      <c r="D1599" s="100" t="s">
        <v>292</v>
      </c>
      <c r="E1599" s="100" t="s">
        <v>300</v>
      </c>
      <c r="F1599" s="204">
        <f ca="1">IF($S$1&lt;DATE(2025,1,1)," ",IF((SUM(F1600:F1606)-MAX(F1630,F1634))&lt;0,"ERR",SUM(F1600:F1606)))</f>
        <v>0</v>
      </c>
      <c r="G1599" s="204">
        <f ca="1">IF($S$1&lt;DATE(2025,2,1)," ",IF((SUM(G1600:G1606)-MAX(G1630,G1634))&lt;0,"ERR",SUM(G1600:G1606)))</f>
        <v>0</v>
      </c>
      <c r="H1599" s="204">
        <f ca="1">IF($S$1&lt;DATE(2025,3,1)," ",IF((SUM(H1600:H1606)-MAX(H1630,H1634))&lt;0,"ERR",SUM(H1600:H1606)))</f>
        <v>1</v>
      </c>
      <c r="I1599" s="204">
        <f ca="1">IF($S$1&lt;DATE(2025,4,1)," ",IF((SUM(I1600:I1606)-MAX(I1630,I1634))&lt;0,"ERR",SUM(I1600:I1606)))</f>
        <v>0</v>
      </c>
      <c r="J1599" s="204">
        <f ca="1">IF($S$1&lt;DATE(2025,5,1)," ",IF((SUM(J1600:J1606)-MAX(J1630,J1634))&lt;0,"ERR",SUM(J1600:J1606)))</f>
        <v>0</v>
      </c>
      <c r="K1599" s="204">
        <f ca="1">IF($S$1&lt;DATE(2025,6,1)," ",IF((SUM(K1600:K1606)-MAX(K1630,K1634))&lt;0,"ERR",SUM(K1600:K1606)))</f>
        <v>0</v>
      </c>
      <c r="L1599" s="204">
        <f ca="1">IF($S$1&lt;DATE(2025,7,1)," ",IF((SUM(L1600:L1606)-MAX(L1630,L1634))&lt;0,"ERR",SUM(L1600:L1606)))</f>
        <v>1</v>
      </c>
      <c r="M1599" s="204">
        <f ca="1">IF($S$1&lt;DATE(2025,8,1)," ",IF((SUM(M1600:M1606)-MAX(M1630,M1634))&lt;0,"ERR",SUM(M1600:M1606)))</f>
        <v>2</v>
      </c>
      <c r="N1599" s="204">
        <f ca="1">IF($S$1&lt;DATE(2025,9,1)," ",IF((SUM(N1600:N1606)-MAX(N1630,N1634))&lt;0,"ERR",SUM(N1600:N1606)))</f>
        <v>2</v>
      </c>
      <c r="O1599" s="204">
        <f ca="1">IF($S$1&lt;DATE(2025,10,1)," ",IF((SUM(O1600:O1606)-MAX(O1630,O1634))&lt;0,"ERR",SUM(O1600:O1606)))</f>
        <v>2</v>
      </c>
      <c r="P1599" s="204">
        <f ca="1">IF($S$1&lt;DATE(2025,11,1)," ",IF((SUM(P1600:P1606)-MAX(P1630,P1634))&lt;0,"ERR",SUM(P1600:P1606)))</f>
        <v>1</v>
      </c>
      <c r="Q1599" s="204">
        <f ca="1">IF($S$1&lt;DATE(2025,12,1)," ",IF((SUM(Q1600:Q1606)-MAX(Q1630,Q1634))&lt;0,"ERR",SUM(Q1600:Q1606)))</f>
        <v>0</v>
      </c>
    </row>
    <row r="1600" ht="24" customHeight="1" spans="1:17">
      <c r="A1600" s="99" t="s">
        <v>349</v>
      </c>
      <c r="B1600" s="99" t="s">
        <v>299</v>
      </c>
      <c r="C1600" s="99" t="s">
        <v>291</v>
      </c>
      <c r="D1600" s="48" t="s">
        <v>31</v>
      </c>
      <c r="E1600" s="48" t="s">
        <v>90</v>
      </c>
      <c r="F1600" s="205">
        <f ca="1">IF($S$1&lt;DATE(2025,1,1)," ",COUNTIFS('2025数据'!$X$3:$X$181,"&gt;="&amp;DATE(2024,1,1),'2025数据'!$X$3:$X$181,"&lt;="&amp;DATE(2025,1,31),'2025数据'!$AE$3:$AE$181,$E1600))</f>
        <v>0</v>
      </c>
      <c r="G1600" s="205">
        <f ca="1">IF($S$1&lt;DATE(2025,2,1)," ",COUNTIFS('2025数据'!$X$3:$X$181,"&gt;="&amp;DATE(2025,2,1),'2025数据'!$X$3:$X$181,"&lt;="&amp;DATE(2025,2,28),'2025数据'!$AE$3:$AE$181,$E1600))</f>
        <v>0</v>
      </c>
      <c r="H1600" s="205">
        <f ca="1">IF($S$1&lt;DATE(2025,3,1)," ",COUNTIFS('2025数据'!$X$3:$X$181,"&gt;="&amp;DATE(2025,3,1),'2025数据'!$X$3:$X$181,"&lt;="&amp;DATE(2025,3,31),'2025数据'!$AE$3:$AE$181,$E1600))</f>
        <v>0</v>
      </c>
      <c r="I1600" s="205">
        <f ca="1">IF($S$1&lt;DATE(2025,4,1)," ",COUNTIFS('2025数据'!$X$3:$X$181,"&gt;="&amp;DATE(2025,4,1),'2025数据'!$X$3:$X$181,"&lt;="&amp;DATE(2025,4,30),'2025数据'!$AE$3:$AE$181,$E1600))</f>
        <v>0</v>
      </c>
      <c r="J1600" s="205">
        <f ca="1">IF($S$1&lt;DATE(2025,5,1)," ",COUNTIFS('2025数据'!$X$3:$X$181,"&gt;="&amp;DATE(2025,5,1),'2025数据'!$X$3:$X$181,"&lt;="&amp;DATE(2025,5,31),'2025数据'!$AE$3:$AE$181,$E1600))</f>
        <v>0</v>
      </c>
      <c r="K1600" s="205">
        <f ca="1">IF($S$1&lt;DATE(2025,6,1)," ",COUNTIFS('2025数据'!$X$3:$X$181,"&gt;="&amp;DATE(2025,6,1),'2025数据'!$X$3:$X$181,"&lt;="&amp;DATE(2025,6,30),'2025数据'!$AE$3:$AE$181,$E1600))</f>
        <v>0</v>
      </c>
      <c r="L1600" s="205">
        <f ca="1">IF($S$1&lt;DATE(2025,7,1)," ",COUNTIFS('2025数据'!$X$3:$X$181,"&gt;="&amp;DATE(2025,7,1),'2025数据'!$X$3:$X$181,"&lt;="&amp;DATE(2025,7,31),'2025数据'!$AE$3:$AE$181,$E1600))</f>
        <v>0</v>
      </c>
      <c r="M1600" s="205">
        <f ca="1">IF($S$1&lt;DATE(2025,8,1)," ",COUNTIFS('2025数据'!$X$3:$X$181,"&gt;="&amp;DATE(2025,8,1),'2025数据'!$X$3:$X$181,"&lt;="&amp;DATE(2025,8,31),'2025数据'!$AE$3:$AE$181,$E1600))</f>
        <v>0</v>
      </c>
      <c r="N1600" s="205">
        <f ca="1">IF($S$1&lt;DATE(2025,9,1)," ",COUNTIFS('2025数据'!$X$3:$X$181,"&gt;="&amp;DATE(2025,9,1),'2025数据'!$X$3:$X$181,"&lt;="&amp;DATE(2025,9,30),'2025数据'!$AE$3:$AE$181,$E1600))</f>
        <v>0</v>
      </c>
      <c r="O1600" s="205">
        <f ca="1">IF($S$1&lt;DATE(2025,10,1)," ",COUNTIFS('2025数据'!$X$3:$X$181,"&gt;="&amp;DATE(2025,10,1),'2025数据'!$X$3:$X$181,"&lt;="&amp;DATE(2025,10,31),'2025数据'!$AE$3:$AE$181,$E1600))</f>
        <v>2</v>
      </c>
      <c r="P1600" s="207">
        <f ca="1">IF($S$1&lt;DATE(2025,11,1)," ",COUNTIFS('2025数据'!$X$3:$X$181,"&gt;="&amp;DATE(2025,11,1),'2025数据'!$X$3:$X$181,"&lt;="&amp;DATE(2025,11,30),'2025数据'!$AE$3:$AE$181,$E1600))</f>
        <v>0</v>
      </c>
      <c r="Q1600" s="207">
        <f ca="1">IF($S$1&lt;DATE(2025,12,1)," ",COUNTIFS('2025数据'!$X$3:$X$181,"&gt;="&amp;DATE(2025,12,1),'2025数据'!$X$3:$X$181,"&lt;="&amp;DATE(2025,12,31),'2025数据'!$AE$3:$AE$181,$E1600))</f>
        <v>0</v>
      </c>
    </row>
    <row r="1601" ht="24" customHeight="1" spans="1:17">
      <c r="A1601" s="99" t="s">
        <v>349</v>
      </c>
      <c r="B1601" s="99" t="s">
        <v>299</v>
      </c>
      <c r="C1601" s="99" t="s">
        <v>291</v>
      </c>
      <c r="D1601" s="48" t="s">
        <v>31</v>
      </c>
      <c r="E1601" s="48" t="s">
        <v>82</v>
      </c>
      <c r="F1601" s="205">
        <f ca="1">IF($S$1&lt;DATE(2025,1,1)," ",COUNTIFS('2025数据'!$X$3:$X$181,"&gt;="&amp;DATE(2024,1,1),'2025数据'!$X$3:$X$181,"&lt;="&amp;DATE(2025,1,31),'2025数据'!$AE$3:$AE$181,$E1601))</f>
        <v>0</v>
      </c>
      <c r="G1601" s="205">
        <f ca="1">IF($S$1&lt;DATE(2025,2,1)," ",COUNTIFS('2025数据'!$X$3:$X$181,"&gt;="&amp;DATE(2025,2,1),'2025数据'!$X$3:$X$181,"&lt;="&amp;DATE(2025,2,28),'2025数据'!$AE$3:$AE$181,$E1601))</f>
        <v>0</v>
      </c>
      <c r="H1601" s="205">
        <f ca="1">IF($S$1&lt;DATE(2025,3,1)," ",COUNTIFS('2025数据'!$X$3:$X$181,"&gt;="&amp;DATE(2025,3,1),'2025数据'!$X$3:$X$181,"&lt;="&amp;DATE(2025,3,31),'2025数据'!$AE$3:$AE$181,$E1601))</f>
        <v>0</v>
      </c>
      <c r="I1601" s="205">
        <f ca="1">IF($S$1&lt;DATE(2025,4,1)," ",COUNTIFS('2025数据'!$X$3:$X$181,"&gt;="&amp;DATE(2025,4,1),'2025数据'!$X$3:$X$181,"&lt;="&amp;DATE(2025,4,30),'2025数据'!$AE$3:$AE$181,$E1601))</f>
        <v>0</v>
      </c>
      <c r="J1601" s="205">
        <f ca="1">IF($S$1&lt;DATE(2025,5,1)," ",COUNTIFS('2025数据'!$X$3:$X$181,"&gt;="&amp;DATE(2025,5,1),'2025数据'!$X$3:$X$181,"&lt;="&amp;DATE(2025,5,31),'2025数据'!$AE$3:$AE$181,$E1601))</f>
        <v>0</v>
      </c>
      <c r="K1601" s="205">
        <f ca="1">IF($S$1&lt;DATE(2025,6,1)," ",COUNTIFS('2025数据'!$X$3:$X$181,"&gt;="&amp;DATE(2025,6,1),'2025数据'!$X$3:$X$181,"&lt;="&amp;DATE(2025,6,30),'2025数据'!$AE$3:$AE$181,$E1601))</f>
        <v>0</v>
      </c>
      <c r="L1601" s="205">
        <f ca="1">IF($S$1&lt;DATE(2025,7,1)," ",COUNTIFS('2025数据'!$X$3:$X$181,"&gt;="&amp;DATE(2025,7,1),'2025数据'!$X$3:$X$181,"&lt;="&amp;DATE(2025,7,31),'2025数据'!$AE$3:$AE$181,$E1601))</f>
        <v>0</v>
      </c>
      <c r="M1601" s="205">
        <f ca="1">IF($S$1&lt;DATE(2025,8,1)," ",COUNTIFS('2025数据'!$X$3:$X$181,"&gt;="&amp;DATE(2025,8,1),'2025数据'!$X$3:$X$181,"&lt;="&amp;DATE(2025,8,31),'2025数据'!$AE$3:$AE$181,$E1601))</f>
        <v>0</v>
      </c>
      <c r="N1601" s="205">
        <f ca="1">IF($S$1&lt;DATE(2025,9,1)," ",COUNTIFS('2025数据'!$X$3:$X$181,"&gt;="&amp;DATE(2025,9,1),'2025数据'!$X$3:$X$181,"&lt;="&amp;DATE(2025,9,30),'2025数据'!$AE$3:$AE$181,$E1601))</f>
        <v>0</v>
      </c>
      <c r="O1601" s="205">
        <f ca="1">IF($S$1&lt;DATE(2025,10,1)," ",COUNTIFS('2025数据'!$X$3:$X$181,"&gt;="&amp;DATE(2025,10,1),'2025数据'!$X$3:$X$181,"&lt;="&amp;DATE(2025,10,31),'2025数据'!$AE$3:$AE$181,$E1601))</f>
        <v>0</v>
      </c>
      <c r="P1601" s="207">
        <f ca="1">IF($S$1&lt;DATE(2025,11,1)," ",COUNTIFS('2025数据'!$X$3:$X$181,"&gt;="&amp;DATE(2025,11,1),'2025数据'!$X$3:$X$181,"&lt;="&amp;DATE(2025,11,30),'2025数据'!$AE$3:$AE$181,$E1601))</f>
        <v>0</v>
      </c>
      <c r="Q1601" s="207">
        <f ca="1">IF($S$1&lt;DATE(2025,12,1)," ",COUNTIFS('2025数据'!$X$3:$X$181,"&gt;="&amp;DATE(2025,12,1),'2025数据'!$X$3:$X$181,"&lt;="&amp;DATE(2025,12,31),'2025数据'!$AE$3:$AE$181,$E1601))</f>
        <v>0</v>
      </c>
    </row>
    <row r="1602" ht="24" customHeight="1" spans="1:17">
      <c r="A1602" s="99" t="s">
        <v>349</v>
      </c>
      <c r="B1602" s="99" t="s">
        <v>299</v>
      </c>
      <c r="C1602" s="99" t="s">
        <v>291</v>
      </c>
      <c r="D1602" s="48" t="s">
        <v>31</v>
      </c>
      <c r="E1602" s="48" t="s">
        <v>86</v>
      </c>
      <c r="F1602" s="205">
        <f ca="1">IF($S$1&lt;DATE(2025,1,1)," ",COUNTIFS('2025数据'!$X$3:$X$181,"&gt;="&amp;DATE(2024,1,1),'2025数据'!$X$3:$X$181,"&lt;="&amp;DATE(2025,1,31),'2025数据'!$AE$3:$AE$181,$E1602))</f>
        <v>0</v>
      </c>
      <c r="G1602" s="205">
        <f ca="1">IF($S$1&lt;DATE(2025,2,1)," ",COUNTIFS('2025数据'!$X$3:$X$181,"&gt;="&amp;DATE(2025,2,1),'2025数据'!$X$3:$X$181,"&lt;="&amp;DATE(2025,2,28),'2025数据'!$AE$3:$AE$181,$E1602))</f>
        <v>0</v>
      </c>
      <c r="H1602" s="205">
        <f ca="1">IF($S$1&lt;DATE(2025,3,1)," ",COUNTIFS('2025数据'!$X$3:$X$181,"&gt;="&amp;DATE(2025,3,1),'2025数据'!$X$3:$X$181,"&lt;="&amp;DATE(2025,3,31),'2025数据'!$AE$3:$AE$181,$E1602))</f>
        <v>0</v>
      </c>
      <c r="I1602" s="205">
        <f ca="1">IF($S$1&lt;DATE(2025,4,1)," ",COUNTIFS('2025数据'!$X$3:$X$181,"&gt;="&amp;DATE(2025,4,1),'2025数据'!$X$3:$X$181,"&lt;="&amp;DATE(2025,4,30),'2025数据'!$AE$3:$AE$181,$E1602))</f>
        <v>0</v>
      </c>
      <c r="J1602" s="205">
        <f ca="1">IF($S$1&lt;DATE(2025,5,1)," ",COUNTIFS('2025数据'!$X$3:$X$181,"&gt;="&amp;DATE(2025,5,1),'2025数据'!$X$3:$X$181,"&lt;="&amp;DATE(2025,5,31),'2025数据'!$AE$3:$AE$181,$E1602))</f>
        <v>0</v>
      </c>
      <c r="K1602" s="205">
        <f ca="1">IF($S$1&lt;DATE(2025,6,1)," ",COUNTIFS('2025数据'!$X$3:$X$181,"&gt;="&amp;DATE(2025,6,1),'2025数据'!$X$3:$X$181,"&lt;="&amp;DATE(2025,6,30),'2025数据'!$AE$3:$AE$181,$E1602))</f>
        <v>0</v>
      </c>
      <c r="L1602" s="205">
        <f ca="1">IF($S$1&lt;DATE(2025,7,1)," ",COUNTIFS('2025数据'!$X$3:$X$181,"&gt;="&amp;DATE(2025,7,1),'2025数据'!$X$3:$X$181,"&lt;="&amp;DATE(2025,7,31),'2025数据'!$AE$3:$AE$181,$E1602))</f>
        <v>0</v>
      </c>
      <c r="M1602" s="205">
        <f ca="1">IF($S$1&lt;DATE(2025,8,1)," ",COUNTIFS('2025数据'!$X$3:$X$181,"&gt;="&amp;DATE(2025,8,1),'2025数据'!$X$3:$X$181,"&lt;="&amp;DATE(2025,8,31),'2025数据'!$AE$3:$AE$181,$E1602))</f>
        <v>0</v>
      </c>
      <c r="N1602" s="205">
        <f ca="1">IF($S$1&lt;DATE(2025,9,1)," ",COUNTIFS('2025数据'!$X$3:$X$181,"&gt;="&amp;DATE(2025,9,1),'2025数据'!$X$3:$X$181,"&lt;="&amp;DATE(2025,9,30),'2025数据'!$AE$3:$AE$181,$E1602))</f>
        <v>1</v>
      </c>
      <c r="O1602" s="205">
        <f ca="1">IF($S$1&lt;DATE(2025,10,1)," ",COUNTIFS('2025数据'!$X$3:$X$181,"&gt;="&amp;DATE(2025,10,1),'2025数据'!$X$3:$X$181,"&lt;="&amp;DATE(2025,10,31),'2025数据'!$AE$3:$AE$181,$E1602))</f>
        <v>0</v>
      </c>
      <c r="P1602" s="207">
        <f ca="1">IF($S$1&lt;DATE(2025,11,1)," ",COUNTIFS('2025数据'!$X$3:$X$181,"&gt;="&amp;DATE(2025,11,1),'2025数据'!$X$3:$X$181,"&lt;="&amp;DATE(2025,11,30),'2025数据'!$AE$3:$AE$181,$E1602))</f>
        <v>0</v>
      </c>
      <c r="Q1602" s="207">
        <f ca="1">IF($S$1&lt;DATE(2025,12,1)," ",COUNTIFS('2025数据'!$X$3:$X$181,"&gt;="&amp;DATE(2025,12,1),'2025数据'!$X$3:$X$181,"&lt;="&amp;DATE(2025,12,31),'2025数据'!$AE$3:$AE$181,$E1602))</f>
        <v>0</v>
      </c>
    </row>
    <row r="1603" ht="24" customHeight="1" spans="1:17">
      <c r="A1603" s="99" t="s">
        <v>349</v>
      </c>
      <c r="B1603" s="99" t="s">
        <v>299</v>
      </c>
      <c r="C1603" s="99" t="s">
        <v>291</v>
      </c>
      <c r="D1603" s="48" t="s">
        <v>31</v>
      </c>
      <c r="E1603" s="48" t="s">
        <v>97</v>
      </c>
      <c r="F1603" s="205">
        <f ca="1">IF($S$1&lt;DATE(2025,1,1)," ",COUNTIFS('2025数据'!$X$3:$X$181,"&gt;="&amp;DATE(2024,1,1),'2025数据'!$X$3:$X$181,"&lt;="&amp;DATE(2025,1,31),'2025数据'!$AE$3:$AE$181,$E1603))</f>
        <v>0</v>
      </c>
      <c r="G1603" s="205">
        <f ca="1">IF($S$1&lt;DATE(2025,2,1)," ",COUNTIFS('2025数据'!$X$3:$X$181,"&gt;="&amp;DATE(2025,2,1),'2025数据'!$X$3:$X$181,"&lt;="&amp;DATE(2025,2,28),'2025数据'!$AE$3:$AE$181,$E1603))</f>
        <v>0</v>
      </c>
      <c r="H1603" s="205">
        <f ca="1">IF($S$1&lt;DATE(2025,3,1)," ",COUNTIFS('2025数据'!$X$3:$X$181,"&gt;="&amp;DATE(2025,3,1),'2025数据'!$X$3:$X$181,"&lt;="&amp;DATE(2025,3,31),'2025数据'!$AE$3:$AE$181,$E1603))</f>
        <v>0</v>
      </c>
      <c r="I1603" s="205">
        <f ca="1">IF($S$1&lt;DATE(2025,4,1)," ",COUNTIFS('2025数据'!$X$3:$X$181,"&gt;="&amp;DATE(2025,4,1),'2025数据'!$X$3:$X$181,"&lt;="&amp;DATE(2025,4,30),'2025数据'!$AE$3:$AE$181,$E1603))</f>
        <v>0</v>
      </c>
      <c r="J1603" s="205">
        <f ca="1">IF($S$1&lt;DATE(2025,5,1)," ",COUNTIFS('2025数据'!$X$3:$X$181,"&gt;="&amp;DATE(2025,5,1),'2025数据'!$X$3:$X$181,"&lt;="&amp;DATE(2025,5,31),'2025数据'!$AE$3:$AE$181,$E1603))</f>
        <v>0</v>
      </c>
      <c r="K1603" s="205">
        <f ca="1">IF($S$1&lt;DATE(2025,6,1)," ",COUNTIFS('2025数据'!$X$3:$X$181,"&gt;="&amp;DATE(2025,6,1),'2025数据'!$X$3:$X$181,"&lt;="&amp;DATE(2025,6,30),'2025数据'!$AE$3:$AE$181,$E1603))</f>
        <v>0</v>
      </c>
      <c r="L1603" s="205">
        <f ca="1">IF($S$1&lt;DATE(2025,7,1)," ",COUNTIFS('2025数据'!$X$3:$X$181,"&gt;="&amp;DATE(2025,7,1),'2025数据'!$X$3:$X$181,"&lt;="&amp;DATE(2025,7,31),'2025数据'!$AE$3:$AE$181,$E1603))</f>
        <v>0</v>
      </c>
      <c r="M1603" s="205">
        <f ca="1">IF($S$1&lt;DATE(2025,8,1)," ",COUNTIFS('2025数据'!$X$3:$X$181,"&gt;="&amp;DATE(2025,8,1),'2025数据'!$X$3:$X$181,"&lt;="&amp;DATE(2025,8,31),'2025数据'!$AE$3:$AE$181,$E1603))</f>
        <v>0</v>
      </c>
      <c r="N1603" s="205">
        <f ca="1">IF($S$1&lt;DATE(2025,9,1)," ",COUNTIFS('2025数据'!$X$3:$X$181,"&gt;="&amp;DATE(2025,9,1),'2025数据'!$X$3:$X$181,"&lt;="&amp;DATE(2025,9,30),'2025数据'!$AE$3:$AE$181,$E1603))</f>
        <v>0</v>
      </c>
      <c r="O1603" s="205">
        <f ca="1">IF($S$1&lt;DATE(2025,10,1)," ",COUNTIFS('2025数据'!$X$3:$X$181,"&gt;="&amp;DATE(2025,10,1),'2025数据'!$X$3:$X$181,"&lt;="&amp;DATE(2025,10,31),'2025数据'!$AE$3:$AE$181,$E1603))</f>
        <v>0</v>
      </c>
      <c r="P1603" s="207">
        <f ca="1">IF($S$1&lt;DATE(2025,11,1)," ",COUNTIFS('2025数据'!$X$3:$X$181,"&gt;="&amp;DATE(2025,11,1),'2025数据'!$X$3:$X$181,"&lt;="&amp;DATE(2025,11,30),'2025数据'!$AE$3:$AE$181,$E1603))</f>
        <v>1</v>
      </c>
      <c r="Q1603" s="207">
        <f ca="1">IF($S$1&lt;DATE(2025,12,1)," ",COUNTIFS('2025数据'!$X$3:$X$181,"&gt;="&amp;DATE(2025,12,1),'2025数据'!$X$3:$X$181,"&lt;="&amp;DATE(2025,12,31),'2025数据'!$AE$3:$AE$181,$E1603))</f>
        <v>0</v>
      </c>
    </row>
    <row r="1604" ht="24" customHeight="1" spans="1:17">
      <c r="A1604" s="99" t="s">
        <v>349</v>
      </c>
      <c r="B1604" s="99" t="s">
        <v>299</v>
      </c>
      <c r="C1604" s="99" t="s">
        <v>291</v>
      </c>
      <c r="D1604" s="48" t="s">
        <v>31</v>
      </c>
      <c r="E1604" s="48" t="s">
        <v>87</v>
      </c>
      <c r="F1604" s="205">
        <f ca="1">IF($S$1&lt;DATE(2025,1,1)," ",COUNTIFS('2025数据'!$X$3:$X$181,"&gt;="&amp;DATE(2024,1,1),'2025数据'!$X$3:$X$181,"&lt;="&amp;DATE(2025,1,31),'2025数据'!$AE$3:$AE$181,$E1604))</f>
        <v>0</v>
      </c>
      <c r="G1604" s="205">
        <f ca="1">IF($S$1&lt;DATE(2025,2,1)," ",COUNTIFS('2025数据'!$X$3:$X$181,"&gt;="&amp;DATE(2025,2,1),'2025数据'!$X$3:$X$181,"&lt;="&amp;DATE(2025,2,28),'2025数据'!$AE$3:$AE$181,$E1604))</f>
        <v>0</v>
      </c>
      <c r="H1604" s="205">
        <f ca="1">IF($S$1&lt;DATE(2025,3,1)," ",COUNTIFS('2025数据'!$X$3:$X$181,"&gt;="&amp;DATE(2025,3,1),'2025数据'!$X$3:$X$181,"&lt;="&amp;DATE(2025,3,31),'2025数据'!$AE$3:$AE$181,$E1604))</f>
        <v>1</v>
      </c>
      <c r="I1604" s="205">
        <f ca="1">IF($S$1&lt;DATE(2025,4,1)," ",COUNTIFS('2025数据'!$X$3:$X$181,"&gt;="&amp;DATE(2025,4,1),'2025数据'!$X$3:$X$181,"&lt;="&amp;DATE(2025,4,30),'2025数据'!$AE$3:$AE$181,$E1604))</f>
        <v>0</v>
      </c>
      <c r="J1604" s="205">
        <f ca="1">IF($S$1&lt;DATE(2025,5,1)," ",COUNTIFS('2025数据'!$X$3:$X$181,"&gt;="&amp;DATE(2025,5,1),'2025数据'!$X$3:$X$181,"&lt;="&amp;DATE(2025,5,31),'2025数据'!$AE$3:$AE$181,$E1604))</f>
        <v>0</v>
      </c>
      <c r="K1604" s="205">
        <f ca="1">IF($S$1&lt;DATE(2025,6,1)," ",COUNTIFS('2025数据'!$X$3:$X$181,"&gt;="&amp;DATE(2025,6,1),'2025数据'!$X$3:$X$181,"&lt;="&amp;DATE(2025,6,30),'2025数据'!$AE$3:$AE$181,$E1604))</f>
        <v>0</v>
      </c>
      <c r="L1604" s="205">
        <f ca="1">IF($S$1&lt;DATE(2025,7,1)," ",COUNTIFS('2025数据'!$X$3:$X$181,"&gt;="&amp;DATE(2025,7,1),'2025数据'!$X$3:$X$181,"&lt;="&amp;DATE(2025,7,31),'2025数据'!$AE$3:$AE$181,$E1604))</f>
        <v>1</v>
      </c>
      <c r="M1604" s="205">
        <f ca="1">IF($S$1&lt;DATE(2025,8,1)," ",COUNTIFS('2025数据'!$X$3:$X$181,"&gt;="&amp;DATE(2025,8,1),'2025数据'!$X$3:$X$181,"&lt;="&amp;DATE(2025,8,31),'2025数据'!$AE$3:$AE$181,$E1604))</f>
        <v>2</v>
      </c>
      <c r="N1604" s="205">
        <f ca="1">IF($S$1&lt;DATE(2025,9,1)," ",COUNTIFS('2025数据'!$X$3:$X$181,"&gt;="&amp;DATE(2025,9,1),'2025数据'!$X$3:$X$181,"&lt;="&amp;DATE(2025,9,30),'2025数据'!$AE$3:$AE$181,$E1604))</f>
        <v>1</v>
      </c>
      <c r="O1604" s="205">
        <f ca="1">IF($S$1&lt;DATE(2025,10,1)," ",COUNTIFS('2025数据'!$X$3:$X$181,"&gt;="&amp;DATE(2025,10,1),'2025数据'!$X$3:$X$181,"&lt;="&amp;DATE(2025,10,31),'2025数据'!$AE$3:$AE$181,$E1604))</f>
        <v>0</v>
      </c>
      <c r="P1604" s="207">
        <f ca="1">IF($S$1&lt;DATE(2025,11,1)," ",COUNTIFS('2025数据'!$X$3:$X$181,"&gt;="&amp;DATE(2025,11,1),'2025数据'!$X$3:$X$181,"&lt;="&amp;DATE(2025,11,30),'2025数据'!$AE$3:$AE$181,$E1604))</f>
        <v>0</v>
      </c>
      <c r="Q1604" s="207">
        <f ca="1">IF($S$1&lt;DATE(2025,12,1)," ",COUNTIFS('2025数据'!$X$3:$X$181,"&gt;="&amp;DATE(2025,12,1),'2025数据'!$X$3:$X$181,"&lt;="&amp;DATE(2025,12,31),'2025数据'!$AE$3:$AE$181,$E1604))</f>
        <v>0</v>
      </c>
    </row>
    <row r="1605" ht="24" customHeight="1" spans="1:17">
      <c r="A1605" s="99" t="s">
        <v>349</v>
      </c>
      <c r="B1605" s="99" t="s">
        <v>299</v>
      </c>
      <c r="C1605" s="99" t="s">
        <v>291</v>
      </c>
      <c r="D1605" s="48" t="s">
        <v>31</v>
      </c>
      <c r="E1605" s="48" t="s">
        <v>149</v>
      </c>
      <c r="F1605" s="205">
        <f ca="1">IF($S$1&lt;DATE(2025,1,1)," ",COUNTIFS('2025数据'!$X$3:$X$181,"&gt;="&amp;DATE(2024,1,1),'2025数据'!$X$3:$X$181,"&lt;="&amp;DATE(2025,1,31),'2025数据'!$AE$3:$AE$181,$E1605))</f>
        <v>0</v>
      </c>
      <c r="G1605" s="205">
        <f ca="1">IF($S$1&lt;DATE(2025,2,1)," ",COUNTIFS('2025数据'!$X$3:$X$181,"&gt;="&amp;DATE(2025,2,1),'2025数据'!$X$3:$X$181,"&lt;="&amp;DATE(2025,2,28),'2025数据'!$AE$3:$AE$181,$E1605))</f>
        <v>0</v>
      </c>
      <c r="H1605" s="205">
        <f ca="1">IF($S$1&lt;DATE(2025,3,1)," ",COUNTIFS('2025数据'!$X$3:$X$181,"&gt;="&amp;DATE(2025,3,1),'2025数据'!$X$3:$X$181,"&lt;="&amp;DATE(2025,3,31),'2025数据'!$AE$3:$AE$181,$E1605))</f>
        <v>0</v>
      </c>
      <c r="I1605" s="205">
        <f ca="1">IF($S$1&lt;DATE(2025,4,1)," ",COUNTIFS('2025数据'!$X$3:$X$181,"&gt;="&amp;DATE(2025,4,1),'2025数据'!$X$3:$X$181,"&lt;="&amp;DATE(2025,4,30),'2025数据'!$AE$3:$AE$181,$E1605))</f>
        <v>0</v>
      </c>
      <c r="J1605" s="205">
        <f ca="1">IF($S$1&lt;DATE(2025,5,1)," ",COUNTIFS('2025数据'!$X$3:$X$181,"&gt;="&amp;DATE(2025,5,1),'2025数据'!$X$3:$X$181,"&lt;="&amp;DATE(2025,5,31),'2025数据'!$AE$3:$AE$181,$E1605))</f>
        <v>0</v>
      </c>
      <c r="K1605" s="205">
        <f ca="1">IF($S$1&lt;DATE(2025,6,1)," ",COUNTIFS('2025数据'!$X$3:$X$181,"&gt;="&amp;DATE(2025,6,1),'2025数据'!$X$3:$X$181,"&lt;="&amp;DATE(2025,6,30),'2025数据'!$AE$3:$AE$181,$E1605))</f>
        <v>0</v>
      </c>
      <c r="L1605" s="205">
        <f ca="1">IF($S$1&lt;DATE(2025,7,1)," ",COUNTIFS('2025数据'!$X$3:$X$181,"&gt;="&amp;DATE(2025,7,1),'2025数据'!$X$3:$X$181,"&lt;="&amp;DATE(2025,7,31),'2025数据'!$AE$3:$AE$181,$E1605))</f>
        <v>0</v>
      </c>
      <c r="M1605" s="205">
        <f ca="1">IF($S$1&lt;DATE(2025,8,1)," ",COUNTIFS('2025数据'!$X$3:$X$181,"&gt;="&amp;DATE(2025,8,1),'2025数据'!$X$3:$X$181,"&lt;="&amp;DATE(2025,8,31),'2025数据'!$AE$3:$AE$181,$E1605))</f>
        <v>0</v>
      </c>
      <c r="N1605" s="205">
        <f ca="1">IF($S$1&lt;DATE(2025,9,1)," ",COUNTIFS('2025数据'!$X$3:$X$181,"&gt;="&amp;DATE(2025,9,1),'2025数据'!$X$3:$X$181,"&lt;="&amp;DATE(2025,9,30),'2025数据'!$AE$3:$AE$181,$E1605))</f>
        <v>0</v>
      </c>
      <c r="O1605" s="205">
        <f ca="1">IF($S$1&lt;DATE(2025,10,1)," ",COUNTIFS('2025数据'!$X$3:$X$181,"&gt;="&amp;DATE(2025,10,1),'2025数据'!$X$3:$X$181,"&lt;="&amp;DATE(2025,10,31),'2025数据'!$AE$3:$AE$181,$E1605))</f>
        <v>0</v>
      </c>
      <c r="P1605" s="207">
        <f ca="1">IF($S$1&lt;DATE(2025,11,1)," ",COUNTIFS('2025数据'!$X$3:$X$181,"&gt;="&amp;DATE(2025,11,1),'2025数据'!$X$3:$X$181,"&lt;="&amp;DATE(2025,11,30),'2025数据'!$AE$3:$AE$181,$E1605))</f>
        <v>0</v>
      </c>
      <c r="Q1605" s="207">
        <f ca="1">IF($S$1&lt;DATE(2025,12,1)," ",COUNTIFS('2025数据'!$X$3:$X$181,"&gt;="&amp;DATE(2025,12,1),'2025数据'!$X$3:$X$181,"&lt;="&amp;DATE(2025,12,31),'2025数据'!$AE$3:$AE$181,$E1605))</f>
        <v>0</v>
      </c>
    </row>
    <row r="1606" ht="24" customHeight="1" spans="1:17">
      <c r="A1606" s="99" t="s">
        <v>349</v>
      </c>
      <c r="B1606" s="99" t="s">
        <v>299</v>
      </c>
      <c r="C1606" s="99" t="s">
        <v>291</v>
      </c>
      <c r="D1606" s="48" t="s">
        <v>31</v>
      </c>
      <c r="E1606" s="48" t="s">
        <v>83</v>
      </c>
      <c r="F1606" s="205">
        <f ca="1">IF($S$1&lt;DATE(2025,1,1)," ",COUNTIFS('2025数据'!$X$3:$X$181,"&gt;="&amp;DATE(2024,1,1),'2025数据'!$X$3:$X$181,"&lt;="&amp;DATE(2025,1,31),'2025数据'!$AE$3:$AE$181,$E1606))</f>
        <v>0</v>
      </c>
      <c r="G1606" s="205">
        <f ca="1">IF($S$1&lt;DATE(2025,2,1)," ",COUNTIFS('2025数据'!$X$3:$X$181,"&gt;="&amp;DATE(2025,2,1),'2025数据'!$X$3:$X$181,"&lt;="&amp;DATE(2025,2,28),'2025数据'!$AE$3:$AE$181,$E1606))</f>
        <v>0</v>
      </c>
      <c r="H1606" s="205">
        <f ca="1">IF($S$1&lt;DATE(2025,3,1)," ",COUNTIFS('2025数据'!$X$3:$X$181,"&gt;="&amp;DATE(2025,3,1),'2025数据'!$X$3:$X$181,"&lt;="&amp;DATE(2025,3,31),'2025数据'!$AE$3:$AE$181,$E1606))</f>
        <v>0</v>
      </c>
      <c r="I1606" s="205">
        <f ca="1">IF($S$1&lt;DATE(2025,4,1)," ",COUNTIFS('2025数据'!$X$3:$X$181,"&gt;="&amp;DATE(2025,4,1),'2025数据'!$X$3:$X$181,"&lt;="&amp;DATE(2025,4,30),'2025数据'!$AE$3:$AE$181,$E1606))</f>
        <v>0</v>
      </c>
      <c r="J1606" s="205">
        <f ca="1">IF($S$1&lt;DATE(2025,5,1)," ",COUNTIFS('2025数据'!$X$3:$X$181,"&gt;="&amp;DATE(2025,5,1),'2025数据'!$X$3:$X$181,"&lt;="&amp;DATE(2025,5,31),'2025数据'!$AE$3:$AE$181,$E1606))</f>
        <v>0</v>
      </c>
      <c r="K1606" s="205">
        <f ca="1">IF($S$1&lt;DATE(2025,6,1)," ",COUNTIFS('2025数据'!$X$3:$X$181,"&gt;="&amp;DATE(2025,6,1),'2025数据'!$X$3:$X$181,"&lt;="&amp;DATE(2025,6,30),'2025数据'!$AE$3:$AE$181,$E1606))</f>
        <v>0</v>
      </c>
      <c r="L1606" s="205">
        <f ca="1">IF($S$1&lt;DATE(2025,7,1)," ",COUNTIFS('2025数据'!$X$3:$X$181,"&gt;="&amp;DATE(2025,7,1),'2025数据'!$X$3:$X$181,"&lt;="&amp;DATE(2025,7,31),'2025数据'!$AE$3:$AE$181,$E1606))</f>
        <v>0</v>
      </c>
      <c r="M1606" s="205">
        <f ca="1">IF($S$1&lt;DATE(2025,8,1)," ",COUNTIFS('2025数据'!$X$3:$X$181,"&gt;="&amp;DATE(2025,8,1),'2025数据'!$X$3:$X$181,"&lt;="&amp;DATE(2025,8,31),'2025数据'!$AE$3:$AE$181,$E1606))</f>
        <v>0</v>
      </c>
      <c r="N1606" s="205">
        <f ca="1">IF($S$1&lt;DATE(2025,9,1)," ",COUNTIFS('2025数据'!$X$3:$X$181,"&gt;="&amp;DATE(2025,9,1),'2025数据'!$X$3:$X$181,"&lt;="&amp;DATE(2025,9,30),'2025数据'!$AE$3:$AE$181,$E1606))</f>
        <v>0</v>
      </c>
      <c r="O1606" s="205">
        <f ca="1">IF($S$1&lt;DATE(2025,10,1)," ",COUNTIFS('2025数据'!$X$3:$X$181,"&gt;="&amp;DATE(2025,10,1),'2025数据'!$X$3:$X$181,"&lt;="&amp;DATE(2025,10,31),'2025数据'!$AE$3:$AE$181,$E1606))</f>
        <v>0</v>
      </c>
      <c r="P1606" s="207">
        <f ca="1">IF($S$1&lt;DATE(2025,11,1)," ",COUNTIFS('2025数据'!$X$3:$X$181,"&gt;="&amp;DATE(2025,11,1),'2025数据'!$X$3:$X$181,"&lt;="&amp;DATE(2025,11,30),'2025数据'!$AE$3:$AE$181,$E1606))</f>
        <v>0</v>
      </c>
      <c r="Q1606" s="207">
        <f ca="1">IF($S$1&lt;DATE(2025,12,1)," ",COUNTIFS('2025数据'!$X$3:$X$181,"&gt;="&amp;DATE(2025,12,1),'2025数据'!$X$3:$X$181,"&lt;="&amp;DATE(2025,12,31),'2025数据'!$AE$3:$AE$181,$E1606))</f>
        <v>0</v>
      </c>
    </row>
    <row r="1607" ht="24" customHeight="1" spans="1:17">
      <c r="A1607" s="99" t="s">
        <v>349</v>
      </c>
      <c r="B1607" s="99" t="s">
        <v>299</v>
      </c>
      <c r="C1607" s="99" t="s">
        <v>291</v>
      </c>
      <c r="D1607" s="47" t="s">
        <v>294</v>
      </c>
      <c r="E1607" s="47" t="s">
        <v>93</v>
      </c>
      <c r="F1607" s="206">
        <f ca="1">IF($S$1&lt;DATE(2025,1,1)," ",COUNTIFS('2025数据'!$X$3:$X$181,"&gt;="&amp;DATE(2024,1,1),'2025数据'!$X$3:$X$181,"&lt;="&amp;DATE(2025,1,31),'2025数据'!$B$3:$B$181,$E1607))</f>
        <v>0</v>
      </c>
      <c r="G1607" s="206">
        <f ca="1">IF($S$1&lt;DATE(2025,2,1)," ",COUNTIFS('2025数据'!$X$3:$X$181,"&gt;="&amp;DATE(2025,2,1),'2025数据'!$X$3:$X$181,"&lt;="&amp;DATE(2025,2,28),'2025数据'!$B$3:$B$181,$E1607))</f>
        <v>0</v>
      </c>
      <c r="H1607" s="206">
        <f ca="1">IF($S$1&lt;DATE(2025,3,1)," ",COUNTIFS('2025数据'!$X$3:$X$181,"&gt;="&amp;DATE(2025,3,1),'2025数据'!$X$3:$X$181,"&lt;="&amp;DATE(2025,3,31),'2025数据'!$B$3:$B$181,$E1607))</f>
        <v>0</v>
      </c>
      <c r="I1607" s="206">
        <f ca="1">IF($S$1&lt;DATE(2025,4,1)," ",COUNTIFS('2025数据'!$X$3:$X$181,"&gt;="&amp;DATE(2025,4,1),'2025数据'!$X$3:$X$181,"&lt;="&amp;DATE(2025,4,30),'2025数据'!$B$3:$B$181,$E1607))</f>
        <v>0</v>
      </c>
      <c r="J1607" s="206">
        <f ca="1">IF($S$1&lt;DATE(2025,5,1)," ",COUNTIFS('2025数据'!$X$3:$X$181,"&gt;="&amp;DATE(2025,5,1),'2025数据'!$X$3:$X$181,"&lt;="&amp;DATE(2025,5,31),'2025数据'!$B$3:$B$181,$E1607))</f>
        <v>0</v>
      </c>
      <c r="K1607" s="206">
        <f ca="1">IF($S$1&lt;DATE(2025,6,1)," ",COUNTIFS('2025数据'!$X$3:$X$181,"&gt;="&amp;DATE(2025,6,1),'2025数据'!$X$3:$X$181,"&lt;="&amp;DATE(2025,6,30),'2025数据'!$B$3:$B$181,$E1607))</f>
        <v>0</v>
      </c>
      <c r="L1607" s="206">
        <f ca="1">IF($S$1&lt;DATE(2025,7,1)," ",COUNTIFS('2025数据'!$X$3:$X$181,"&gt;="&amp;DATE(2025,7,1),'2025数据'!$X$3:$X$181,"&lt;="&amp;DATE(2025,7,31),'2025数据'!$B$3:$B$181,$E1607))</f>
        <v>0</v>
      </c>
      <c r="M1607" s="206">
        <f ca="1">IF($S$1&lt;DATE(2025,8,1)," ",COUNTIFS('2025数据'!$X$3:$X$181,"&gt;="&amp;DATE(2025,8,1),'2025数据'!$X$3:$X$181,"&lt;="&amp;DATE(2025,8,31),'2025数据'!$B$3:$B$181,$E1607))</f>
        <v>1</v>
      </c>
      <c r="N1607" s="206">
        <f ca="1">IF($S$1&lt;DATE(2025,9,1)," ",COUNTIFS('2025数据'!$X$3:$X$181,"&gt;="&amp;DATE(2025,9,1),'2025数据'!$X$3:$X$181,"&lt;="&amp;DATE(2025,9,30),'2025数据'!$B$3:$B$181,$E1607))</f>
        <v>1</v>
      </c>
      <c r="O1607" s="206">
        <f ca="1">IF($S$1&lt;DATE(2025,10,1)," ",COUNTIFS('2025数据'!$X$3:$X$181,"&gt;="&amp;DATE(2025,10,1),'2025数据'!$X$3:$X$181,"&lt;="&amp;DATE(2025,10,31),'2025数据'!$B$3:$B$181,$E1607))</f>
        <v>2</v>
      </c>
      <c r="P1607" s="208">
        <f ca="1">IF($S$1&lt;DATE(2025,11,1)," ",COUNTIFS('2025数据'!$X$3:$X$181,"&gt;="&amp;DATE(2025,11,1),'2025数据'!$X$3:$X$181,"&lt;="&amp;DATE(2025,11,30),'2025数据'!$B$3:$B$181,$E1607))</f>
        <v>1</v>
      </c>
      <c r="Q1607" s="208">
        <f ca="1">IF($S$1&lt;DATE(2025,12,1)," ",COUNTIFS('2025数据'!$X$3:$X$181,"&gt;="&amp;DATE(2025,12,1),'2025数据'!$X$3:$X$181,"&lt;="&amp;DATE(2025,12,31),'2025数据'!$B$3:$B$181,$E1607))</f>
        <v>0</v>
      </c>
    </row>
    <row r="1608" ht="24" customHeight="1" spans="1:17">
      <c r="A1608" s="99" t="s">
        <v>349</v>
      </c>
      <c r="B1608" s="99" t="s">
        <v>299</v>
      </c>
      <c r="C1608" s="99" t="s">
        <v>291</v>
      </c>
      <c r="D1608" s="47" t="s">
        <v>294</v>
      </c>
      <c r="E1608" s="47" t="s">
        <v>85</v>
      </c>
      <c r="F1608" s="206">
        <f ca="1">IF($S$1&lt;DATE(2025,1,1)," ",COUNTIFS('2025数据'!$X$3:$X$181,"&gt;="&amp;DATE(2024,1,1),'2025数据'!$X$3:$X$181,"&lt;="&amp;DATE(2025,1,31),'2025数据'!$B$3:$B$181,$E1608))</f>
        <v>0</v>
      </c>
      <c r="G1608" s="206">
        <f ca="1">IF($S$1&lt;DATE(2025,2,1)," ",COUNTIFS('2025数据'!$X$3:$X$181,"&gt;="&amp;DATE(2025,2,1),'2025数据'!$X$3:$X$181,"&lt;="&amp;DATE(2025,2,28),'2025数据'!$B$3:$B$181,$E1608))</f>
        <v>0</v>
      </c>
      <c r="H1608" s="206">
        <f ca="1">IF($S$1&lt;DATE(2025,3,1)," ",COUNTIFS('2025数据'!$X$3:$X$181,"&gt;="&amp;DATE(2025,3,1),'2025数据'!$X$3:$X$181,"&lt;="&amp;DATE(2025,3,31),'2025数据'!$B$3:$B$181,$E1608))</f>
        <v>1</v>
      </c>
      <c r="I1608" s="206">
        <f ca="1">IF($S$1&lt;DATE(2025,4,1)," ",COUNTIFS('2025数据'!$X$3:$X$181,"&gt;="&amp;DATE(2025,4,1),'2025数据'!$X$3:$X$181,"&lt;="&amp;DATE(2025,4,30),'2025数据'!$B$3:$B$181,$E1608))</f>
        <v>0</v>
      </c>
      <c r="J1608" s="206">
        <f ca="1">IF($S$1&lt;DATE(2025,5,1)," ",COUNTIFS('2025数据'!$X$3:$X$181,"&gt;="&amp;DATE(2025,5,1),'2025数据'!$X$3:$X$181,"&lt;="&amp;DATE(2025,5,31),'2025数据'!$B$3:$B$181,$E1608))</f>
        <v>0</v>
      </c>
      <c r="K1608" s="206">
        <f ca="1">IF($S$1&lt;DATE(2025,6,1)," ",COUNTIFS('2025数据'!$X$3:$X$181,"&gt;="&amp;DATE(2025,6,1),'2025数据'!$X$3:$X$181,"&lt;="&amp;DATE(2025,6,30),'2025数据'!$B$3:$B$181,$E1608))</f>
        <v>0</v>
      </c>
      <c r="L1608" s="206">
        <f ca="1">IF($S$1&lt;DATE(2025,7,1)," ",COUNTIFS('2025数据'!$X$3:$X$181,"&gt;="&amp;DATE(2025,7,1),'2025数据'!$X$3:$X$181,"&lt;="&amp;DATE(2025,7,31),'2025数据'!$B$3:$B$181,$E1608))</f>
        <v>1</v>
      </c>
      <c r="M1608" s="206">
        <f ca="1">IF($S$1&lt;DATE(2025,8,1)," ",COUNTIFS('2025数据'!$X$3:$X$181,"&gt;="&amp;DATE(2025,8,1),'2025数据'!$X$3:$X$181,"&lt;="&amp;DATE(2025,8,31),'2025数据'!$B$3:$B$181,$E1608))</f>
        <v>0</v>
      </c>
      <c r="N1608" s="206">
        <f ca="1">IF($S$1&lt;DATE(2025,9,1)," ",COUNTIFS('2025数据'!$X$3:$X$181,"&gt;="&amp;DATE(2025,9,1),'2025数据'!$X$3:$X$181,"&lt;="&amp;DATE(2025,9,30),'2025数据'!$B$3:$B$181,$E1608))</f>
        <v>0</v>
      </c>
      <c r="O1608" s="206">
        <f ca="1">IF($S$1&lt;DATE(2025,10,1)," ",COUNTIFS('2025数据'!$X$3:$X$181,"&gt;="&amp;DATE(2025,10,1),'2025数据'!$X$3:$X$181,"&lt;="&amp;DATE(2025,10,31),'2025数据'!$B$3:$B$181,$E1608))</f>
        <v>0</v>
      </c>
      <c r="P1608" s="208">
        <f ca="1">IF($S$1&lt;DATE(2025,11,1)," ",COUNTIFS('2025数据'!$X$3:$X$181,"&gt;="&amp;DATE(2025,11,1),'2025数据'!$X$3:$X$181,"&lt;="&amp;DATE(2025,11,30),'2025数据'!$B$3:$B$181,$E1608))</f>
        <v>0</v>
      </c>
      <c r="Q1608" s="208">
        <f ca="1">IF($S$1&lt;DATE(2025,12,1)," ",COUNTIFS('2025数据'!$X$3:$X$181,"&gt;="&amp;DATE(2025,12,1),'2025数据'!$X$3:$X$181,"&lt;="&amp;DATE(2025,12,31),'2025数据'!$B$3:$B$181,$E1608))</f>
        <v>0</v>
      </c>
    </row>
    <row r="1609" ht="24" customHeight="1" spans="1:17">
      <c r="A1609" s="99" t="s">
        <v>349</v>
      </c>
      <c r="B1609" s="99" t="s">
        <v>299</v>
      </c>
      <c r="C1609" s="99" t="s">
        <v>291</v>
      </c>
      <c r="D1609" s="47" t="s">
        <v>294</v>
      </c>
      <c r="E1609" s="47" t="s">
        <v>81</v>
      </c>
      <c r="F1609" s="206">
        <f ca="1">IF($S$1&lt;DATE(2025,1,1)," ",COUNTIFS('2025数据'!$X$3:$X$181,"&gt;="&amp;DATE(2024,1,1),'2025数据'!$X$3:$X$181,"&lt;="&amp;DATE(2025,1,31),'2025数据'!$B$3:$B$181,$E1609))</f>
        <v>0</v>
      </c>
      <c r="G1609" s="206">
        <f ca="1">IF($S$1&lt;DATE(2025,2,1)," ",COUNTIFS('2025数据'!$X$3:$X$181,"&gt;="&amp;DATE(2025,2,1),'2025数据'!$X$3:$X$181,"&lt;="&amp;DATE(2025,2,28),'2025数据'!$B$3:$B$181,$E1609))</f>
        <v>0</v>
      </c>
      <c r="H1609" s="206">
        <f ca="1">IF($S$1&lt;DATE(2025,3,1)," ",COUNTIFS('2025数据'!$X$3:$X$181,"&gt;="&amp;DATE(2025,3,1),'2025数据'!$X$3:$X$181,"&lt;="&amp;DATE(2025,3,31),'2025数据'!$B$3:$B$181,$E1609))</f>
        <v>0</v>
      </c>
      <c r="I1609" s="206">
        <f ca="1">IF($S$1&lt;DATE(2025,4,1)," ",COUNTIFS('2025数据'!$X$3:$X$181,"&gt;="&amp;DATE(2025,4,1),'2025数据'!$X$3:$X$181,"&lt;="&amp;DATE(2025,4,30),'2025数据'!$B$3:$B$181,$E1609))</f>
        <v>0</v>
      </c>
      <c r="J1609" s="206">
        <f ca="1">IF($S$1&lt;DATE(2025,5,1)," ",COUNTIFS('2025数据'!$X$3:$X$181,"&gt;="&amp;DATE(2025,5,1),'2025数据'!$X$3:$X$181,"&lt;="&amp;DATE(2025,5,31),'2025数据'!$B$3:$B$181,$E1609))</f>
        <v>0</v>
      </c>
      <c r="K1609" s="206">
        <f ca="1">IF($S$1&lt;DATE(2025,6,1)," ",COUNTIFS('2025数据'!$X$3:$X$181,"&gt;="&amp;DATE(2025,6,1),'2025数据'!$X$3:$X$181,"&lt;="&amp;DATE(2025,6,30),'2025数据'!$B$3:$B$181,$E1609))</f>
        <v>0</v>
      </c>
      <c r="L1609" s="206">
        <f ca="1">IF($S$1&lt;DATE(2025,7,1)," ",COUNTIFS('2025数据'!$X$3:$X$181,"&gt;="&amp;DATE(2025,7,1),'2025数据'!$X$3:$X$181,"&lt;="&amp;DATE(2025,7,31),'2025数据'!$B$3:$B$181,$E1609))</f>
        <v>0</v>
      </c>
      <c r="M1609" s="206">
        <f ca="1">IF($S$1&lt;DATE(2025,8,1)," ",COUNTIFS('2025数据'!$X$3:$X$181,"&gt;="&amp;DATE(2025,8,1),'2025数据'!$X$3:$X$181,"&lt;="&amp;DATE(2025,8,31),'2025数据'!$B$3:$B$181,$E1609))</f>
        <v>1</v>
      </c>
      <c r="N1609" s="206">
        <f ca="1">IF($S$1&lt;DATE(2025,9,1)," ",COUNTIFS('2025数据'!$X$3:$X$181,"&gt;="&amp;DATE(2025,9,1),'2025数据'!$X$3:$X$181,"&lt;="&amp;DATE(2025,9,30),'2025数据'!$B$3:$B$181,$E1609))</f>
        <v>1</v>
      </c>
      <c r="O1609" s="206">
        <f ca="1">IF($S$1&lt;DATE(2025,10,1)," ",COUNTIFS('2025数据'!$X$3:$X$181,"&gt;="&amp;DATE(2025,10,1),'2025数据'!$X$3:$X$181,"&lt;="&amp;DATE(2025,10,31),'2025数据'!$B$3:$B$181,$E1609))</f>
        <v>0</v>
      </c>
      <c r="P1609" s="208">
        <f ca="1">IF($S$1&lt;DATE(2025,11,1)," ",COUNTIFS('2025数据'!$X$3:$X$181,"&gt;="&amp;DATE(2025,11,1),'2025数据'!$X$3:$X$181,"&lt;="&amp;DATE(2025,11,30),'2025数据'!$B$3:$B$181,$E1609))</f>
        <v>0</v>
      </c>
      <c r="Q1609" s="208">
        <f ca="1">IF($S$1&lt;DATE(2025,12,1)," ",COUNTIFS('2025数据'!$X$3:$X$181,"&gt;="&amp;DATE(2025,12,1),'2025数据'!$X$3:$X$181,"&lt;="&amp;DATE(2025,12,31),'2025数据'!$B$3:$B$181,$E1609))</f>
        <v>0</v>
      </c>
    </row>
    <row r="1610" ht="24" customHeight="1" spans="1:17">
      <c r="A1610" s="99" t="s">
        <v>349</v>
      </c>
      <c r="B1610" s="99" t="s">
        <v>299</v>
      </c>
      <c r="C1610" s="99" t="s">
        <v>291</v>
      </c>
      <c r="D1610" s="47" t="s">
        <v>294</v>
      </c>
      <c r="E1610" s="47" t="s">
        <v>96</v>
      </c>
      <c r="F1610" s="206">
        <f ca="1">IF($S$1&lt;DATE(2025,1,1)," ",COUNTIFS('2025数据'!$X$3:$X$181,"&gt;="&amp;DATE(2024,1,1),'2025数据'!$X$3:$X$181,"&lt;="&amp;DATE(2025,1,31),'2025数据'!$B$3:$B$181,$E1610))</f>
        <v>0</v>
      </c>
      <c r="G1610" s="206">
        <f ca="1">IF($S$1&lt;DATE(2025,2,1)," ",COUNTIFS('2025数据'!$X$3:$X$181,"&gt;="&amp;DATE(2025,2,1),'2025数据'!$X$3:$X$181,"&lt;="&amp;DATE(2025,2,28),'2025数据'!$B$3:$B$181,$E1610))</f>
        <v>0</v>
      </c>
      <c r="H1610" s="206">
        <f ca="1">IF($S$1&lt;DATE(2025,3,1)," ",COUNTIFS('2025数据'!$X$3:$X$181,"&gt;="&amp;DATE(2025,3,1),'2025数据'!$X$3:$X$181,"&lt;="&amp;DATE(2025,3,31),'2025数据'!$B$3:$B$181,$E1610))</f>
        <v>0</v>
      </c>
      <c r="I1610" s="206">
        <f ca="1">IF($S$1&lt;DATE(2025,4,1)," ",COUNTIFS('2025数据'!$X$3:$X$181,"&gt;="&amp;DATE(2025,4,1),'2025数据'!$X$3:$X$181,"&lt;="&amp;DATE(2025,4,30),'2025数据'!$B$3:$B$181,$E1610))</f>
        <v>0</v>
      </c>
      <c r="J1610" s="206">
        <f ca="1">IF($S$1&lt;DATE(2025,5,1)," ",COUNTIFS('2025数据'!$X$3:$X$181,"&gt;="&amp;DATE(2025,5,1),'2025数据'!$X$3:$X$181,"&lt;="&amp;DATE(2025,5,31),'2025数据'!$B$3:$B$181,$E1610))</f>
        <v>0</v>
      </c>
      <c r="K1610" s="206">
        <f ca="1">IF($S$1&lt;DATE(2025,6,1)," ",COUNTIFS('2025数据'!$X$3:$X$181,"&gt;="&amp;DATE(2025,6,1),'2025数据'!$X$3:$X$181,"&lt;="&amp;DATE(2025,6,30),'2025数据'!$B$3:$B$181,$E1610))</f>
        <v>0</v>
      </c>
      <c r="L1610" s="206">
        <f ca="1">IF($S$1&lt;DATE(2025,7,1)," ",COUNTIFS('2025数据'!$X$3:$X$181,"&gt;="&amp;DATE(2025,7,1),'2025数据'!$X$3:$X$181,"&lt;="&amp;DATE(2025,7,31),'2025数据'!$B$3:$B$181,$E1610))</f>
        <v>0</v>
      </c>
      <c r="M1610" s="206">
        <f ca="1">IF($S$1&lt;DATE(2025,8,1)," ",COUNTIFS('2025数据'!$X$3:$X$181,"&gt;="&amp;DATE(2025,8,1),'2025数据'!$X$3:$X$181,"&lt;="&amp;DATE(2025,8,31),'2025数据'!$B$3:$B$181,$E1610))</f>
        <v>0</v>
      </c>
      <c r="N1610" s="206">
        <f ca="1">IF($S$1&lt;DATE(2025,9,1)," ",COUNTIFS('2025数据'!$X$3:$X$181,"&gt;="&amp;DATE(2025,9,1),'2025数据'!$X$3:$X$181,"&lt;="&amp;DATE(2025,9,30),'2025数据'!$B$3:$B$181,$E1610))</f>
        <v>0</v>
      </c>
      <c r="O1610" s="206">
        <f ca="1">IF($S$1&lt;DATE(2025,10,1)," ",COUNTIFS('2025数据'!$X$3:$X$181,"&gt;="&amp;DATE(2025,10,1),'2025数据'!$X$3:$X$181,"&lt;="&amp;DATE(2025,10,31),'2025数据'!$B$3:$B$181,$E1610))</f>
        <v>0</v>
      </c>
      <c r="P1610" s="208">
        <f ca="1">IF($S$1&lt;DATE(2025,11,1)," ",COUNTIFS('2025数据'!$X$3:$X$181,"&gt;="&amp;DATE(2025,11,1),'2025数据'!$X$3:$X$181,"&lt;="&amp;DATE(2025,11,30),'2025数据'!$B$3:$B$181,$E1610))</f>
        <v>0</v>
      </c>
      <c r="Q1610" s="208">
        <f ca="1">IF($S$1&lt;DATE(2025,12,1)," ",COUNTIFS('2025数据'!$X$3:$X$181,"&gt;="&amp;DATE(2025,12,1),'2025数据'!$X$3:$X$181,"&lt;="&amp;DATE(2025,12,31),'2025数据'!$B$3:$B$181,$E1610))</f>
        <v>0</v>
      </c>
    </row>
    <row r="1611" ht="24" customHeight="1" spans="1:17">
      <c r="A1611" s="99" t="s">
        <v>349</v>
      </c>
      <c r="B1611" s="99" t="s">
        <v>299</v>
      </c>
      <c r="C1611" s="99" t="s">
        <v>291</v>
      </c>
      <c r="D1611" s="47" t="s">
        <v>294</v>
      </c>
      <c r="E1611" s="47" t="s">
        <v>160</v>
      </c>
      <c r="F1611" s="206">
        <f ca="1">IF($S$1&lt;DATE(2025,1,1)," ",COUNTIFS('2025数据'!$X$3:$X$181,"&gt;="&amp;DATE(2024,1,1),'2025数据'!$X$3:$X$181,"&lt;="&amp;DATE(2025,1,31),'2025数据'!$B$3:$B$181,$E1611))</f>
        <v>0</v>
      </c>
      <c r="G1611" s="206">
        <f ca="1">IF($S$1&lt;DATE(2025,2,1)," ",COUNTIFS('2025数据'!$X$3:$X$181,"&gt;="&amp;DATE(2025,2,1),'2025数据'!$X$3:$X$181,"&lt;="&amp;DATE(2025,2,28),'2025数据'!$B$3:$B$181,$E1611))</f>
        <v>0</v>
      </c>
      <c r="H1611" s="206">
        <f ca="1">IF($S$1&lt;DATE(2025,3,1)," ",COUNTIFS('2025数据'!$X$3:$X$181,"&gt;="&amp;DATE(2025,3,1),'2025数据'!$X$3:$X$181,"&lt;="&amp;DATE(2025,3,31),'2025数据'!$B$3:$B$181,$E1611))</f>
        <v>0</v>
      </c>
      <c r="I1611" s="206">
        <f ca="1">IF($S$1&lt;DATE(2025,4,1)," ",COUNTIFS('2025数据'!$X$3:$X$181,"&gt;="&amp;DATE(2025,4,1),'2025数据'!$X$3:$X$181,"&lt;="&amp;DATE(2025,4,30),'2025数据'!$B$3:$B$181,$E1611))</f>
        <v>0</v>
      </c>
      <c r="J1611" s="206">
        <f ca="1">IF($S$1&lt;DATE(2025,5,1)," ",COUNTIFS('2025数据'!$X$3:$X$181,"&gt;="&amp;DATE(2025,5,1),'2025数据'!$X$3:$X$181,"&lt;="&amp;DATE(2025,5,31),'2025数据'!$B$3:$B$181,$E1611))</f>
        <v>0</v>
      </c>
      <c r="K1611" s="206">
        <f ca="1">IF($S$1&lt;DATE(2025,6,1)," ",COUNTIFS('2025数据'!$X$3:$X$181,"&gt;="&amp;DATE(2025,6,1),'2025数据'!$X$3:$X$181,"&lt;="&amp;DATE(2025,6,30),'2025数据'!$B$3:$B$181,$E1611))</f>
        <v>0</v>
      </c>
      <c r="L1611" s="206">
        <f ca="1">IF($S$1&lt;DATE(2025,7,1)," ",COUNTIFS('2025数据'!$X$3:$X$181,"&gt;="&amp;DATE(2025,7,1),'2025数据'!$X$3:$X$181,"&lt;="&amp;DATE(2025,7,31),'2025数据'!$B$3:$B$181,$E1611))</f>
        <v>0</v>
      </c>
      <c r="M1611" s="206">
        <f ca="1">IF($S$1&lt;DATE(2025,8,1)," ",COUNTIFS('2025数据'!$X$3:$X$181,"&gt;="&amp;DATE(2025,8,1),'2025数据'!$X$3:$X$181,"&lt;="&amp;DATE(2025,8,31),'2025数据'!$B$3:$B$181,$E1611))</f>
        <v>0</v>
      </c>
      <c r="N1611" s="206">
        <f ca="1">IF($S$1&lt;DATE(2025,9,1)," ",COUNTIFS('2025数据'!$X$3:$X$181,"&gt;="&amp;DATE(2025,9,1),'2025数据'!$X$3:$X$181,"&lt;="&amp;DATE(2025,9,30),'2025数据'!$B$3:$B$181,$E1611))</f>
        <v>0</v>
      </c>
      <c r="O1611" s="206">
        <f ca="1">IF($S$1&lt;DATE(2025,10,1)," ",COUNTIFS('2025数据'!$X$3:$X$181,"&gt;="&amp;DATE(2025,10,1),'2025数据'!$X$3:$X$181,"&lt;="&amp;DATE(2025,10,31),'2025数据'!$B$3:$B$181,$E1611))</f>
        <v>0</v>
      </c>
      <c r="P1611" s="208">
        <f ca="1">IF($S$1&lt;DATE(2025,11,1)," ",COUNTIFS('2025数据'!$X$3:$X$181,"&gt;="&amp;DATE(2025,11,1),'2025数据'!$X$3:$X$181,"&lt;="&amp;DATE(2025,11,30),'2025数据'!$B$3:$B$181,$E1611))</f>
        <v>0</v>
      </c>
      <c r="Q1611" s="208">
        <f ca="1">IF($S$1&lt;DATE(2025,12,1)," ",COUNTIFS('2025数据'!$X$3:$X$181,"&gt;="&amp;DATE(2025,12,1),'2025数据'!$X$3:$X$181,"&lt;="&amp;DATE(2025,12,31),'2025数据'!$B$3:$B$181,$E1611))</f>
        <v>0</v>
      </c>
    </row>
    <row r="1612" ht="24" customHeight="1" spans="1:17">
      <c r="A1612" s="99" t="s">
        <v>349</v>
      </c>
      <c r="B1612" s="99" t="s">
        <v>299</v>
      </c>
      <c r="C1612" s="99" t="s">
        <v>291</v>
      </c>
      <c r="D1612" s="100" t="s">
        <v>292</v>
      </c>
      <c r="E1612" s="110" t="s">
        <v>301</v>
      </c>
      <c r="F1612" s="210">
        <f ca="1">IF($S$1&lt;DATE(2025,1,1)," ",COUNTIFS('2025数据'!$X$3:$X$181,"&gt;="&amp;DATE(2025,1,1),'2025数据'!$X$3:$X$181,"&lt;="&amp;DATE(2025,1,31),'2025数据'!$BS$3:$BS$181,$E1612))</f>
        <v>0</v>
      </c>
      <c r="G1612" s="210">
        <f ca="1">IF($S$1&lt;DATE(2025,2,1)," ",COUNTIFS('2025数据'!$X$3:$X$181,"&gt;="&amp;DATE(2025,2,1),'2025数据'!$X$3:$X$181,"&lt;="&amp;DATE(2025,2,28),'2025数据'!$BS$3:$BS$181,$E1612))</f>
        <v>0</v>
      </c>
      <c r="H1612" s="210">
        <f ca="1">IF($S$1&lt;DATE(2025,3,1)," ",COUNTIFS('2025数据'!$X$3:$X$181,"&gt;="&amp;DATE(2025,3,1),'2025数据'!$X$3:$X$181,"&lt;="&amp;DATE(2025,3,31),'2025数据'!$BS$3:$BS$181,$E1612))</f>
        <v>0</v>
      </c>
      <c r="I1612" s="210">
        <f ca="1">IF($S$1&lt;DATE(2025,4,1)," ",COUNTIFS('2025数据'!$X$3:$X$181,"&gt;="&amp;DATE(2025,4,1),'2025数据'!$X$3:$X$181,"&lt;="&amp;DATE(2025,4,30),'2025数据'!$BS$3:$BS$181,$E1612))</f>
        <v>0</v>
      </c>
      <c r="J1612" s="210">
        <f ca="1">IF($S$1&lt;DATE(2025,5,1)," ",COUNTIFS('2025数据'!$X$3:$X$181,"&gt;="&amp;DATE(2025,5,1),'2025数据'!$X$3:$X$181,"&lt;="&amp;DATE(2025,5,31),'2025数据'!$BS$3:$BS$181,$E1612))</f>
        <v>0</v>
      </c>
      <c r="K1612" s="210">
        <f ca="1">IF($S$1&lt;DATE(2025,6,1)," ",COUNTIFS('2025数据'!$X$3:$X$181,"&gt;="&amp;DATE(2025,6,1),'2025数据'!$X$3:$X$181,"&lt;="&amp;DATE(2025,6,30),'2025数据'!$BS$3:$BS$181,$E1612))</f>
        <v>0</v>
      </c>
      <c r="L1612" s="210">
        <f ca="1">IF($S$1&lt;DATE(2025,7,1)," ",COUNTIFS('2025数据'!$X$3:$X$181,"&gt;="&amp;DATE(2025,7,1),'2025数据'!$X$3:$X$181,"&lt;="&amp;DATE(2025,7,31),'2025数据'!$BS$3:$BS$181,$E1612))</f>
        <v>0</v>
      </c>
      <c r="M1612" s="210">
        <f ca="1">IF($S$1&lt;DATE(2025,8,1)," ",COUNTIFS('2025数据'!$X$3:$X$181,"&gt;="&amp;DATE(2025,8,1),'2025数据'!$X$3:$X$181,"&lt;="&amp;DATE(2025,8,31),'2025数据'!$BS$3:$BS$181,$E1612))</f>
        <v>0</v>
      </c>
      <c r="N1612" s="210">
        <f ca="1">IF($S$1&lt;DATE(2025,9,1)," ",COUNTIFS('2025数据'!$X$3:$X$181,"&gt;="&amp;DATE(2025,9,1),'2025数据'!$X$3:$X$181,"&lt;="&amp;DATE(2025,9,30),'2025数据'!$BS$3:$BS$181,$E1612))</f>
        <v>0</v>
      </c>
      <c r="O1612" s="210">
        <f ca="1">IF($S$1&lt;DATE(2025,10,1)," ",COUNTIFS('2025数据'!$X$3:$X$181,"&gt;="&amp;DATE(2025,10,1),'2025数据'!$X$3:$X$181,"&lt;="&amp;DATE(2025,10,31),'2025数据'!$BS$3:$BS$181,$E1612))</f>
        <v>0</v>
      </c>
      <c r="P1612" s="212">
        <f ca="1">IF($S$1&lt;DATE(2025,11,1)," ",COUNTIFS('2025数据'!$X$3:$X$181,"&gt;="&amp;DATE(2025,11,1),'2025数据'!$X$3:$X$181,"&lt;="&amp;DATE(2025,11,30),'2025数据'!$BS$3:$BS$181,$E1612))</f>
        <v>0</v>
      </c>
      <c r="Q1612" s="212">
        <f ca="1">IF($S$1&lt;DATE(2025,12,1)," ",COUNTIFS('2025数据'!$X$3:$X$181,"&gt;="&amp;DATE(2025,12,1),'2025数据'!$X$3:$X$181,"&lt;="&amp;DATE(2025,12,31),'2025数据'!$BS$3:$BS$181,$E1612))</f>
        <v>0</v>
      </c>
    </row>
    <row r="1613" ht="24" customHeight="1" spans="1:17">
      <c r="A1613" s="99" t="s">
        <v>349</v>
      </c>
      <c r="B1613" s="99" t="s">
        <v>299</v>
      </c>
      <c r="C1613" s="99" t="s">
        <v>291</v>
      </c>
      <c r="D1613" s="100" t="s">
        <v>292</v>
      </c>
      <c r="E1613" s="110" t="s">
        <v>302</v>
      </c>
      <c r="F1613" s="210">
        <f ca="1">IF($S$1&lt;DATE(2025,1,1)," ",COUNTIFS('2025数据'!$X$3:$X$181,"&gt;="&amp;DATE(2025,1,1),'2025数据'!$X$3:$X$181,"&lt;="&amp;DATE(2025,1,31),'2025数据'!$BS$3:$BS$181,$E1613))</f>
        <v>0</v>
      </c>
      <c r="G1613" s="210">
        <f ca="1">IF($S$1&lt;DATE(2025,2,1)," ",COUNTIFS('2025数据'!$X$3:$X$181,"&gt;="&amp;DATE(2025,2,1),'2025数据'!$X$3:$X$181,"&lt;="&amp;DATE(2025,2,28),'2025数据'!$BS$3:$BS$181,$E1613))</f>
        <v>0</v>
      </c>
      <c r="H1613" s="210">
        <f ca="1">IF($S$1&lt;DATE(2025,3,1)," ",COUNTIFS('2025数据'!$X$3:$X$181,"&gt;="&amp;DATE(2025,3,1),'2025数据'!$X$3:$X$181,"&lt;="&amp;DATE(2025,3,31),'2025数据'!$BS$3:$BS$181,$E1613))</f>
        <v>0</v>
      </c>
      <c r="I1613" s="210">
        <f ca="1">IF($S$1&lt;DATE(2025,4,1)," ",COUNTIFS('2025数据'!$X$3:$X$181,"&gt;="&amp;DATE(2025,4,1),'2025数据'!$X$3:$X$181,"&lt;="&amp;DATE(2025,4,30),'2025数据'!$BS$3:$BS$181,$E1613))</f>
        <v>0</v>
      </c>
      <c r="J1613" s="210">
        <f ca="1">IF($S$1&lt;DATE(2025,5,1)," ",COUNTIFS('2025数据'!$X$3:$X$181,"&gt;="&amp;DATE(2025,5,1),'2025数据'!$X$3:$X$181,"&lt;="&amp;DATE(2025,5,31),'2025数据'!$BS$3:$BS$181,$E1613))</f>
        <v>0</v>
      </c>
      <c r="K1613" s="210">
        <f ca="1">IF($S$1&lt;DATE(2025,6,1)," ",COUNTIFS('2025数据'!$X$3:$X$181,"&gt;="&amp;DATE(2025,6,1),'2025数据'!$X$3:$X$181,"&lt;="&amp;DATE(2025,6,30),'2025数据'!$BS$3:$BS$181,$E1613))</f>
        <v>0</v>
      </c>
      <c r="L1613" s="210">
        <f ca="1">IF($S$1&lt;DATE(2025,7,1)," ",COUNTIFS('2025数据'!$X$3:$X$181,"&gt;="&amp;DATE(2025,7,1),'2025数据'!$X$3:$X$181,"&lt;="&amp;DATE(2025,7,31),'2025数据'!$BS$3:$BS$181,$E1613))</f>
        <v>0</v>
      </c>
      <c r="M1613" s="210">
        <f ca="1">IF($S$1&lt;DATE(2025,8,1)," ",COUNTIFS('2025数据'!$X$3:$X$181,"&gt;="&amp;DATE(2025,8,1),'2025数据'!$X$3:$X$181,"&lt;="&amp;DATE(2025,8,31),'2025数据'!$BS$3:$BS$181,$E1613))</f>
        <v>0</v>
      </c>
      <c r="N1613" s="210">
        <f ca="1">IF($S$1&lt;DATE(2025,9,1)," ",COUNTIFS('2025数据'!$X$3:$X$181,"&gt;="&amp;DATE(2025,9,1),'2025数据'!$X$3:$X$181,"&lt;="&amp;DATE(2025,9,30),'2025数据'!$BS$3:$BS$181,$E1613))</f>
        <v>0</v>
      </c>
      <c r="O1613" s="210">
        <f ca="1">IF($S$1&lt;DATE(2025,10,1)," ",COUNTIFS('2025数据'!$X$3:$X$181,"&gt;="&amp;DATE(2025,10,1),'2025数据'!$X$3:$X$181,"&lt;="&amp;DATE(2025,10,31),'2025数据'!$BS$3:$BS$181,$E1613))</f>
        <v>0</v>
      </c>
      <c r="P1613" s="212">
        <f ca="1">IF($S$1&lt;DATE(2025,11,1)," ",COUNTIFS('2025数据'!$X$3:$X$181,"&gt;="&amp;DATE(2025,11,1),'2025数据'!$X$3:$X$181,"&lt;="&amp;DATE(2025,11,30),'2025数据'!$BS$3:$BS$181,$E1613))</f>
        <v>0</v>
      </c>
      <c r="Q1613" s="212">
        <f ca="1">IF($S$1&lt;DATE(2025,12,1)," ",COUNTIFS('2025数据'!$X$3:$X$181,"&gt;="&amp;DATE(2025,12,1),'2025数据'!$X$3:$X$181,"&lt;="&amp;DATE(2025,12,31),'2025数据'!$BS$3:$BS$181,$E1613))</f>
        <v>0</v>
      </c>
    </row>
    <row r="1614" ht="24" customHeight="1" spans="1:17">
      <c r="A1614" s="99" t="s">
        <v>349</v>
      </c>
      <c r="B1614" s="99" t="s">
        <v>299</v>
      </c>
      <c r="C1614" s="99" t="s">
        <v>291</v>
      </c>
      <c r="D1614" s="100" t="s">
        <v>292</v>
      </c>
      <c r="E1614" s="110" t="s">
        <v>150</v>
      </c>
      <c r="F1614" s="210">
        <f ca="1">IF($S$1&lt;DATE(2025,1,1)," ",COUNTIFS('2025数据'!$X$3:$X$181,"&gt;="&amp;DATE(2025,1,1),'2025数据'!$X$3:$X$181,"&lt;="&amp;DATE(2025,1,31),'2025数据'!$BS$3:$BS$181,$E1614))</f>
        <v>0</v>
      </c>
      <c r="G1614" s="210">
        <f ca="1">IF($S$1&lt;DATE(2025,2,1)," ",COUNTIFS('2025数据'!$X$3:$X$181,"&gt;="&amp;DATE(2025,2,1),'2025数据'!$X$3:$X$181,"&lt;="&amp;DATE(2025,2,28),'2025数据'!$BS$3:$BS$181,$E1614))</f>
        <v>0</v>
      </c>
      <c r="H1614" s="210">
        <f ca="1">IF($S$1&lt;DATE(2025,3,1)," ",COUNTIFS('2025数据'!$X$3:$X$181,"&gt;="&amp;DATE(2025,3,1),'2025数据'!$X$3:$X$181,"&lt;="&amp;DATE(2025,3,31),'2025数据'!$BS$3:$BS$181,$E1614))</f>
        <v>1</v>
      </c>
      <c r="I1614" s="210">
        <f ca="1">IF($S$1&lt;DATE(2025,4,1)," ",COUNTIFS('2025数据'!$X$3:$X$181,"&gt;="&amp;DATE(2025,4,1),'2025数据'!$X$3:$X$181,"&lt;="&amp;DATE(2025,4,30),'2025数据'!$BS$3:$BS$181,$E1614))</f>
        <v>0</v>
      </c>
      <c r="J1614" s="210">
        <f ca="1">IF($S$1&lt;DATE(2025,5,1)," ",COUNTIFS('2025数据'!$X$3:$X$181,"&gt;="&amp;DATE(2025,5,1),'2025数据'!$X$3:$X$181,"&lt;="&amp;DATE(2025,5,31),'2025数据'!$BS$3:$BS$181,$E1614))</f>
        <v>0</v>
      </c>
      <c r="K1614" s="210">
        <f ca="1">IF($S$1&lt;DATE(2025,6,1)," ",COUNTIFS('2025数据'!$X$3:$X$181,"&gt;="&amp;DATE(2025,6,1),'2025数据'!$X$3:$X$181,"&lt;="&amp;DATE(2025,6,30),'2025数据'!$BS$3:$BS$181,$E1614))</f>
        <v>0</v>
      </c>
      <c r="L1614" s="210">
        <f ca="1">IF($S$1&lt;DATE(2025,7,1)," ",COUNTIFS('2025数据'!$X$3:$X$181,"&gt;="&amp;DATE(2025,7,1),'2025数据'!$X$3:$X$181,"&lt;="&amp;DATE(2025,7,31),'2025数据'!$BS$3:$BS$181,$E1614))</f>
        <v>1</v>
      </c>
      <c r="M1614" s="210">
        <f ca="1">IF($S$1&lt;DATE(2025,8,1)," ",COUNTIFS('2025数据'!$X$3:$X$181,"&gt;="&amp;DATE(2025,8,1),'2025数据'!$X$3:$X$181,"&lt;="&amp;DATE(2025,8,31),'2025数据'!$BS$3:$BS$181,$E1614))</f>
        <v>2</v>
      </c>
      <c r="N1614" s="210">
        <f ca="1">IF($S$1&lt;DATE(2025,9,1)," ",COUNTIFS('2025数据'!$X$3:$X$181,"&gt;="&amp;DATE(2025,9,1),'2025数据'!$X$3:$X$181,"&lt;="&amp;DATE(2025,9,30),'2025数据'!$BS$3:$BS$181,$E1614))</f>
        <v>2</v>
      </c>
      <c r="O1614" s="210">
        <f ca="1">IF($S$1&lt;DATE(2025,10,1)," ",COUNTIFS('2025数据'!$X$3:$X$181,"&gt;="&amp;DATE(2025,10,1),'2025数据'!$X$3:$X$181,"&lt;="&amp;DATE(2025,10,31),'2025数据'!$BS$3:$BS$181,$E1614))</f>
        <v>2</v>
      </c>
      <c r="P1614" s="212">
        <f ca="1">IF($S$1&lt;DATE(2025,11,1)," ",COUNTIFS('2025数据'!$X$3:$X$181,"&gt;="&amp;DATE(2025,11,1),'2025数据'!$X$3:$X$181,"&lt;="&amp;DATE(2025,11,30),'2025数据'!$BS$3:$BS$181,$E1614))</f>
        <v>1</v>
      </c>
      <c r="Q1614" s="212">
        <f ca="1">IF($S$1&lt;DATE(2025,12,1)," ",COUNTIFS('2025数据'!$X$3:$X$181,"&gt;="&amp;DATE(2025,12,1),'2025数据'!$X$3:$X$181,"&lt;="&amp;DATE(2025,12,31),'2025数据'!$BS$3:$BS$181,$E1614))</f>
        <v>0</v>
      </c>
    </row>
    <row r="1615" ht="24" customHeight="1" spans="1:17">
      <c r="A1615" s="99" t="s">
        <v>349</v>
      </c>
      <c r="B1615" s="99" t="s">
        <v>299</v>
      </c>
      <c r="C1615" s="99" t="s">
        <v>291</v>
      </c>
      <c r="D1615" s="53" t="s">
        <v>303</v>
      </c>
      <c r="E1615" s="53" t="s">
        <v>93</v>
      </c>
      <c r="F1615" s="210">
        <f ca="1">IF($S$1&lt;DATE(2025,1,1)," ",COUNTIFS('2025数据'!$X$3:$X$181,"&gt;="&amp;DATE(2025,1,1),'2025数据'!$X$3:$X$181,"&lt;="&amp;DATE(2025,1,31),'2025数据'!$BS$3:$BS$181,$E$37,'2025数据'!$B$3:$B$181,$E1615))</f>
        <v>0</v>
      </c>
      <c r="G1615" s="210">
        <f ca="1">IF($S$1&lt;DATE(2025,2,1)," ",COUNTIFS('2025数据'!$X$3:$X$181,"&gt;="&amp;DATE(2025,2,1),'2025数据'!$X$3:$X$181,"&lt;="&amp;DATE(2025,2,28),'2025数据'!$BS$3:$BS$181,$E$37,'2025数据'!$B$3:$B$181,$E1615))</f>
        <v>0</v>
      </c>
      <c r="H1615" s="210">
        <f ca="1">IF($S$1&lt;DATE(2025,3,1)," ",COUNTIFS('2025数据'!$X$3:$X$181,"&gt;="&amp;DATE(2025,3,1),'2025数据'!$X$3:$X$181,"&lt;="&amp;DATE(2025,3,31),'2025数据'!$BS$3:$BS$181,$E$37,'2025数据'!$B$3:$B$181,$E1615))</f>
        <v>0</v>
      </c>
      <c r="I1615" s="210">
        <f ca="1">IF($S$1&lt;DATE(2025,4,1)," ",COUNTIFS('2025数据'!$X$3:$X$181,"&gt;="&amp;DATE(2025,4,1),'2025数据'!$X$3:$X$181,"&lt;="&amp;DATE(2025,4,30),'2025数据'!$BS$3:$BS$181,$E$37,'2025数据'!$B$3:$B$181,$E1615))</f>
        <v>0</v>
      </c>
      <c r="J1615" s="210">
        <f ca="1">IF($S$1&lt;DATE(2025,5,1)," ",COUNTIFS('2025数据'!$X$3:$X$181,"&gt;="&amp;DATE(2025,5,1),'2025数据'!$X$3:$X$181,"&lt;="&amp;DATE(2025,5,31),'2025数据'!$BS$3:$BS$181,$E$37,'2025数据'!$B$3:$B$181,$E1615))</f>
        <v>0</v>
      </c>
      <c r="K1615" s="210">
        <f ca="1">IF($S$1&lt;DATE(2025,6,1)," ",COUNTIFS('2025数据'!$X$3:$X$181,"&gt;="&amp;DATE(2025,6,1),'2025数据'!$X$3:$X$181,"&lt;="&amp;DATE(2025,6,30),'2025数据'!$BS$3:$BS$181,$E$37,'2025数据'!$B$3:$B$181,$E1615))</f>
        <v>0</v>
      </c>
      <c r="L1615" s="210">
        <f ca="1">IF($S$1&lt;DATE(2025,7,1)," ",COUNTIFS('2025数据'!$X$3:$X$181,"&gt;="&amp;DATE(2025,7,1),'2025数据'!$X$3:$X$181,"&lt;="&amp;DATE(2025,7,31),'2025数据'!$BS$3:$BS$181,$E$37,'2025数据'!$B$3:$B$181,$E1615))</f>
        <v>0</v>
      </c>
      <c r="M1615" s="210">
        <f ca="1">IF($S$1&lt;DATE(2025,8,1)," ",COUNTIFS('2025数据'!$X$3:$X$181,"&gt;="&amp;DATE(2025,8,1),'2025数据'!$X$3:$X$181,"&lt;="&amp;DATE(2025,8,31),'2025数据'!$BS$3:$BS$181,$E$37,'2025数据'!$B$3:$B$181,$E1615))</f>
        <v>0</v>
      </c>
      <c r="N1615" s="210">
        <f ca="1">IF($S$1&lt;DATE(2025,9,1)," ",COUNTIFS('2025数据'!$X$3:$X$181,"&gt;="&amp;DATE(2025,9,1),'2025数据'!$X$3:$X$181,"&lt;="&amp;DATE(2025,9,30),'2025数据'!$BS$3:$BS$181,$E$37,'2025数据'!$B$3:$B$181,$E1615))</f>
        <v>0</v>
      </c>
      <c r="O1615" s="210">
        <f ca="1">IF($S$1&lt;DATE(2025,10,1)," ",COUNTIFS('2025数据'!$X$3:$X$181,"&gt;="&amp;DATE(2025,10,1),'2025数据'!$X$3:$X$181,"&lt;="&amp;DATE(2025,10,31),'2025数据'!$BS$3:$BS$181,$E$37,'2025数据'!$B$3:$B$181,$E1615))</f>
        <v>0</v>
      </c>
      <c r="P1615" s="212">
        <f ca="1">IF($S$1&lt;DATE(2025,11,1)," ",COUNTIFS('2025数据'!$X$3:$X$181,"&gt;="&amp;DATE(2025,11,1),'2025数据'!$X$3:$X$181,"&lt;="&amp;DATE(2025,11,30),'2025数据'!$BS$3:$BS$181,$E$37,'2025数据'!$B$3:$B$181,$E1615))</f>
        <v>0</v>
      </c>
      <c r="Q1615" s="212">
        <f ca="1">IF($S$1&lt;DATE(2025,12,1)," ",COUNTIFS('2025数据'!$X$3:$X$181,"&gt;="&amp;DATE(2025,12,1),'2025数据'!$X$3:$X$181,"&lt;="&amp;DATE(2025,12,31),'2025数据'!$BS$3:$BS$181,$E$37,'2025数据'!$B$3:$B$181,$E1615))</f>
        <v>0</v>
      </c>
    </row>
    <row r="1616" ht="24" customHeight="1" spans="1:17">
      <c r="A1616" s="99" t="s">
        <v>349</v>
      </c>
      <c r="B1616" s="99" t="s">
        <v>299</v>
      </c>
      <c r="C1616" s="99" t="s">
        <v>291</v>
      </c>
      <c r="D1616" s="53" t="s">
        <v>303</v>
      </c>
      <c r="E1616" s="53" t="s">
        <v>85</v>
      </c>
      <c r="F1616" s="210">
        <f ca="1">IF($S$1&lt;DATE(2025,1,1)," ",COUNTIFS('2025数据'!$X$3:$X$181,"&gt;="&amp;DATE(2025,1,1),'2025数据'!$X$3:$X$181,"&lt;="&amp;DATE(2025,1,31),'2025数据'!$BS$3:$BS$181,$E$37,'2025数据'!$B$3:$B$181,$E1616))</f>
        <v>0</v>
      </c>
      <c r="G1616" s="210">
        <f ca="1">IF($S$1&lt;DATE(2025,2,1)," ",COUNTIFS('2025数据'!$X$3:$X$181,"&gt;="&amp;DATE(2025,2,1),'2025数据'!$X$3:$X$181,"&lt;="&amp;DATE(2025,2,28),'2025数据'!$BS$3:$BS$181,$E$37,'2025数据'!$B$3:$B$181,$E1616))</f>
        <v>0</v>
      </c>
      <c r="H1616" s="210">
        <f ca="1">IF($S$1&lt;DATE(2025,3,1)," ",COUNTIFS('2025数据'!$X$3:$X$181,"&gt;="&amp;DATE(2025,3,1),'2025数据'!$X$3:$X$181,"&lt;="&amp;DATE(2025,3,31),'2025数据'!$BS$3:$BS$181,$E$37,'2025数据'!$B$3:$B$181,$E1616))</f>
        <v>0</v>
      </c>
      <c r="I1616" s="210">
        <f ca="1">IF($S$1&lt;DATE(2025,4,1)," ",COUNTIFS('2025数据'!$X$3:$X$181,"&gt;="&amp;DATE(2025,4,1),'2025数据'!$X$3:$X$181,"&lt;="&amp;DATE(2025,4,30),'2025数据'!$BS$3:$BS$181,$E$37,'2025数据'!$B$3:$B$181,$E1616))</f>
        <v>0</v>
      </c>
      <c r="J1616" s="210">
        <f ca="1">IF($S$1&lt;DATE(2025,5,1)," ",COUNTIFS('2025数据'!$X$3:$X$181,"&gt;="&amp;DATE(2025,5,1),'2025数据'!$X$3:$X$181,"&lt;="&amp;DATE(2025,5,31),'2025数据'!$BS$3:$BS$181,$E$37,'2025数据'!$B$3:$B$181,$E1616))</f>
        <v>0</v>
      </c>
      <c r="K1616" s="210">
        <f ca="1">IF($S$1&lt;DATE(2025,6,1)," ",COUNTIFS('2025数据'!$X$3:$X$181,"&gt;="&amp;DATE(2025,6,1),'2025数据'!$X$3:$X$181,"&lt;="&amp;DATE(2025,6,30),'2025数据'!$BS$3:$BS$181,$E$37,'2025数据'!$B$3:$B$181,$E1616))</f>
        <v>0</v>
      </c>
      <c r="L1616" s="210">
        <f ca="1">IF($S$1&lt;DATE(2025,7,1)," ",COUNTIFS('2025数据'!$X$3:$X$181,"&gt;="&amp;DATE(2025,7,1),'2025数据'!$X$3:$X$181,"&lt;="&amp;DATE(2025,7,31),'2025数据'!$BS$3:$BS$181,$E$37,'2025数据'!$B$3:$B$181,$E1616))</f>
        <v>0</v>
      </c>
      <c r="M1616" s="210">
        <f ca="1">IF($S$1&lt;DATE(2025,8,1)," ",COUNTIFS('2025数据'!$X$3:$X$181,"&gt;="&amp;DATE(2025,8,1),'2025数据'!$X$3:$X$181,"&lt;="&amp;DATE(2025,8,31),'2025数据'!$BS$3:$BS$181,$E$37,'2025数据'!$B$3:$B$181,$E1616))</f>
        <v>0</v>
      </c>
      <c r="N1616" s="210">
        <f ca="1">IF($S$1&lt;DATE(2025,9,1)," ",COUNTIFS('2025数据'!$X$3:$X$181,"&gt;="&amp;DATE(2025,9,1),'2025数据'!$X$3:$X$181,"&lt;="&amp;DATE(2025,9,30),'2025数据'!$BS$3:$BS$181,$E$37,'2025数据'!$B$3:$B$181,$E1616))</f>
        <v>0</v>
      </c>
      <c r="O1616" s="210">
        <f ca="1">IF($S$1&lt;DATE(2025,10,1)," ",COUNTIFS('2025数据'!$X$3:$X$181,"&gt;="&amp;DATE(2025,10,1),'2025数据'!$X$3:$X$181,"&lt;="&amp;DATE(2025,10,31),'2025数据'!$BS$3:$BS$181,$E$37,'2025数据'!$B$3:$B$181,$E1616))</f>
        <v>0</v>
      </c>
      <c r="P1616" s="212">
        <f ca="1">IF($S$1&lt;DATE(2025,11,1)," ",COUNTIFS('2025数据'!$X$3:$X$181,"&gt;="&amp;DATE(2025,11,1),'2025数据'!$X$3:$X$181,"&lt;="&amp;DATE(2025,11,30),'2025数据'!$BS$3:$BS$181,$E$37,'2025数据'!$B$3:$B$181,$E1616))</f>
        <v>0</v>
      </c>
      <c r="Q1616" s="212">
        <f ca="1">IF($S$1&lt;DATE(2025,12,1)," ",COUNTIFS('2025数据'!$X$3:$X$181,"&gt;="&amp;DATE(2025,12,1),'2025数据'!$X$3:$X$181,"&lt;="&amp;DATE(2025,12,31),'2025数据'!$BS$3:$BS$181,$E$37,'2025数据'!$B$3:$B$181,$E1616))</f>
        <v>0</v>
      </c>
    </row>
    <row r="1617" ht="24" customHeight="1" spans="1:17">
      <c r="A1617" s="99" t="s">
        <v>349</v>
      </c>
      <c r="B1617" s="99" t="s">
        <v>299</v>
      </c>
      <c r="C1617" s="99" t="s">
        <v>291</v>
      </c>
      <c r="D1617" s="53" t="s">
        <v>303</v>
      </c>
      <c r="E1617" s="53" t="s">
        <v>81</v>
      </c>
      <c r="F1617" s="210">
        <f ca="1">IF($S$1&lt;DATE(2025,1,1)," ",COUNTIFS('2025数据'!$X$3:$X$181,"&gt;="&amp;DATE(2025,1,1),'2025数据'!$X$3:$X$181,"&lt;="&amp;DATE(2025,1,31),'2025数据'!$BS$3:$BS$181,$E$37,'2025数据'!$B$3:$B$181,$E1617))</f>
        <v>0</v>
      </c>
      <c r="G1617" s="210">
        <f ca="1">IF($S$1&lt;DATE(2025,2,1)," ",COUNTIFS('2025数据'!$X$3:$X$181,"&gt;="&amp;DATE(2025,2,1),'2025数据'!$X$3:$X$181,"&lt;="&amp;DATE(2025,2,28),'2025数据'!$BS$3:$BS$181,$E$37,'2025数据'!$B$3:$B$181,$E1617))</f>
        <v>0</v>
      </c>
      <c r="H1617" s="210">
        <f ca="1">IF($S$1&lt;DATE(2025,3,1)," ",COUNTIFS('2025数据'!$X$3:$X$181,"&gt;="&amp;DATE(2025,3,1),'2025数据'!$X$3:$X$181,"&lt;="&amp;DATE(2025,3,31),'2025数据'!$BS$3:$BS$181,$E$37,'2025数据'!$B$3:$B$181,$E1617))</f>
        <v>0</v>
      </c>
      <c r="I1617" s="210">
        <f ca="1">IF($S$1&lt;DATE(2025,4,1)," ",COUNTIFS('2025数据'!$X$3:$X$181,"&gt;="&amp;DATE(2025,4,1),'2025数据'!$X$3:$X$181,"&lt;="&amp;DATE(2025,4,30),'2025数据'!$BS$3:$BS$181,$E$37,'2025数据'!$B$3:$B$181,$E1617))</f>
        <v>0</v>
      </c>
      <c r="J1617" s="210">
        <f ca="1">IF($S$1&lt;DATE(2025,5,1)," ",COUNTIFS('2025数据'!$X$3:$X$181,"&gt;="&amp;DATE(2025,5,1),'2025数据'!$X$3:$X$181,"&lt;="&amp;DATE(2025,5,31),'2025数据'!$BS$3:$BS$181,$E$37,'2025数据'!$B$3:$B$181,$E1617))</f>
        <v>0</v>
      </c>
      <c r="K1617" s="210">
        <f ca="1">IF($S$1&lt;DATE(2025,6,1)," ",COUNTIFS('2025数据'!$X$3:$X$181,"&gt;="&amp;DATE(2025,6,1),'2025数据'!$X$3:$X$181,"&lt;="&amp;DATE(2025,6,30),'2025数据'!$BS$3:$BS$181,$E$37,'2025数据'!$B$3:$B$181,$E1617))</f>
        <v>0</v>
      </c>
      <c r="L1617" s="210">
        <f ca="1">IF($S$1&lt;DATE(2025,7,1)," ",COUNTIFS('2025数据'!$X$3:$X$181,"&gt;="&amp;DATE(2025,7,1),'2025数据'!$X$3:$X$181,"&lt;="&amp;DATE(2025,7,31),'2025数据'!$BS$3:$BS$181,$E$37,'2025数据'!$B$3:$B$181,$E1617))</f>
        <v>0</v>
      </c>
      <c r="M1617" s="210">
        <f ca="1">IF($S$1&lt;DATE(2025,8,1)," ",COUNTIFS('2025数据'!$X$3:$X$181,"&gt;="&amp;DATE(2025,8,1),'2025数据'!$X$3:$X$181,"&lt;="&amp;DATE(2025,8,31),'2025数据'!$BS$3:$BS$181,$E$37,'2025数据'!$B$3:$B$181,$E1617))</f>
        <v>0</v>
      </c>
      <c r="N1617" s="210">
        <f ca="1">IF($S$1&lt;DATE(2025,9,1)," ",COUNTIFS('2025数据'!$X$3:$X$181,"&gt;="&amp;DATE(2025,9,1),'2025数据'!$X$3:$X$181,"&lt;="&amp;DATE(2025,9,30),'2025数据'!$BS$3:$BS$181,$E$37,'2025数据'!$B$3:$B$181,$E1617))</f>
        <v>0</v>
      </c>
      <c r="O1617" s="210">
        <f ca="1">IF($S$1&lt;DATE(2025,10,1)," ",COUNTIFS('2025数据'!$X$3:$X$181,"&gt;="&amp;DATE(2025,10,1),'2025数据'!$X$3:$X$181,"&lt;="&amp;DATE(2025,10,31),'2025数据'!$BS$3:$BS$181,$E$37,'2025数据'!$B$3:$B$181,$E1617))</f>
        <v>0</v>
      </c>
      <c r="P1617" s="212">
        <f ca="1">IF($S$1&lt;DATE(2025,11,1)," ",COUNTIFS('2025数据'!$X$3:$X$181,"&gt;="&amp;DATE(2025,11,1),'2025数据'!$X$3:$X$181,"&lt;="&amp;DATE(2025,11,30),'2025数据'!$BS$3:$BS$181,$E$37,'2025数据'!$B$3:$B$181,$E1617))</f>
        <v>0</v>
      </c>
      <c r="Q1617" s="212">
        <f ca="1">IF($S$1&lt;DATE(2025,12,1)," ",COUNTIFS('2025数据'!$X$3:$X$181,"&gt;="&amp;DATE(2025,12,1),'2025数据'!$X$3:$X$181,"&lt;="&amp;DATE(2025,12,31),'2025数据'!$BS$3:$BS$181,$E$37,'2025数据'!$B$3:$B$181,$E1617))</f>
        <v>0</v>
      </c>
    </row>
    <row r="1618" ht="24" customHeight="1" spans="1:17">
      <c r="A1618" s="99" t="s">
        <v>349</v>
      </c>
      <c r="B1618" s="99" t="s">
        <v>299</v>
      </c>
      <c r="C1618" s="99" t="s">
        <v>291</v>
      </c>
      <c r="D1618" s="53" t="s">
        <v>303</v>
      </c>
      <c r="E1618" s="53" t="s">
        <v>96</v>
      </c>
      <c r="F1618" s="210">
        <f ca="1">IF($S$1&lt;DATE(2025,1,1)," ",COUNTIFS('2025数据'!$X$3:$X$181,"&gt;="&amp;DATE(2025,1,1),'2025数据'!$X$3:$X$181,"&lt;="&amp;DATE(2025,1,31),'2025数据'!$BS$3:$BS$181,$E$37,'2025数据'!$B$3:$B$181,$E1618))</f>
        <v>0</v>
      </c>
      <c r="G1618" s="210">
        <f ca="1">IF($S$1&lt;DATE(2025,2,1)," ",COUNTIFS('2025数据'!$X$3:$X$181,"&gt;="&amp;DATE(2025,2,1),'2025数据'!$X$3:$X$181,"&lt;="&amp;DATE(2025,2,28),'2025数据'!$BS$3:$BS$181,$E$37,'2025数据'!$B$3:$B$181,$E1618))</f>
        <v>0</v>
      </c>
      <c r="H1618" s="210">
        <f ca="1">IF($S$1&lt;DATE(2025,3,1)," ",COUNTIFS('2025数据'!$X$3:$X$181,"&gt;="&amp;DATE(2025,3,1),'2025数据'!$X$3:$X$181,"&lt;="&amp;DATE(2025,3,31),'2025数据'!$BS$3:$BS$181,$E$37,'2025数据'!$B$3:$B$181,$E1618))</f>
        <v>0</v>
      </c>
      <c r="I1618" s="210">
        <f ca="1">IF($S$1&lt;DATE(2025,4,1)," ",COUNTIFS('2025数据'!$X$3:$X$181,"&gt;="&amp;DATE(2025,4,1),'2025数据'!$X$3:$X$181,"&lt;="&amp;DATE(2025,4,30),'2025数据'!$BS$3:$BS$181,$E$37,'2025数据'!$B$3:$B$181,$E1618))</f>
        <v>0</v>
      </c>
      <c r="J1618" s="210">
        <f ca="1">IF($S$1&lt;DATE(2025,5,1)," ",COUNTIFS('2025数据'!$X$3:$X$181,"&gt;="&amp;DATE(2025,5,1),'2025数据'!$X$3:$X$181,"&lt;="&amp;DATE(2025,5,31),'2025数据'!$BS$3:$BS$181,$E$37,'2025数据'!$B$3:$B$181,$E1618))</f>
        <v>0</v>
      </c>
      <c r="K1618" s="210">
        <f ca="1">IF($S$1&lt;DATE(2025,6,1)," ",COUNTIFS('2025数据'!$X$3:$X$181,"&gt;="&amp;DATE(2025,6,1),'2025数据'!$X$3:$X$181,"&lt;="&amp;DATE(2025,6,30),'2025数据'!$BS$3:$BS$181,$E$37,'2025数据'!$B$3:$B$181,$E1618))</f>
        <v>0</v>
      </c>
      <c r="L1618" s="210">
        <f ca="1">IF($S$1&lt;DATE(2025,7,1)," ",COUNTIFS('2025数据'!$X$3:$X$181,"&gt;="&amp;DATE(2025,7,1),'2025数据'!$X$3:$X$181,"&lt;="&amp;DATE(2025,7,31),'2025数据'!$BS$3:$BS$181,$E$37,'2025数据'!$B$3:$B$181,$E1618))</f>
        <v>0</v>
      </c>
      <c r="M1618" s="210">
        <f ca="1">IF($S$1&lt;DATE(2025,8,1)," ",COUNTIFS('2025数据'!$X$3:$X$181,"&gt;="&amp;DATE(2025,8,1),'2025数据'!$X$3:$X$181,"&lt;="&amp;DATE(2025,8,31),'2025数据'!$BS$3:$BS$181,$E$37,'2025数据'!$B$3:$B$181,$E1618))</f>
        <v>0</v>
      </c>
      <c r="N1618" s="210">
        <f ca="1">IF($S$1&lt;DATE(2025,9,1)," ",COUNTIFS('2025数据'!$X$3:$X$181,"&gt;="&amp;DATE(2025,9,1),'2025数据'!$X$3:$X$181,"&lt;="&amp;DATE(2025,9,30),'2025数据'!$BS$3:$BS$181,$E$37,'2025数据'!$B$3:$B$181,$E1618))</f>
        <v>0</v>
      </c>
      <c r="O1618" s="210">
        <f ca="1">IF($S$1&lt;DATE(2025,10,1)," ",COUNTIFS('2025数据'!$X$3:$X$181,"&gt;="&amp;DATE(2025,10,1),'2025数据'!$X$3:$X$181,"&lt;="&amp;DATE(2025,10,31),'2025数据'!$BS$3:$BS$181,$E$37,'2025数据'!$B$3:$B$181,$E1618))</f>
        <v>0</v>
      </c>
      <c r="P1618" s="212">
        <f ca="1">IF($S$1&lt;DATE(2025,11,1)," ",COUNTIFS('2025数据'!$X$3:$X$181,"&gt;="&amp;DATE(2025,11,1),'2025数据'!$X$3:$X$181,"&lt;="&amp;DATE(2025,11,30),'2025数据'!$BS$3:$BS$181,$E$37,'2025数据'!$B$3:$B$181,$E1618))</f>
        <v>0</v>
      </c>
      <c r="Q1618" s="212">
        <f ca="1">IF($S$1&lt;DATE(2025,12,1)," ",COUNTIFS('2025数据'!$X$3:$X$181,"&gt;="&amp;DATE(2025,12,1),'2025数据'!$X$3:$X$181,"&lt;="&amp;DATE(2025,12,31),'2025数据'!$BS$3:$BS$181,$E$37,'2025数据'!$B$3:$B$181,$E1618))</f>
        <v>0</v>
      </c>
    </row>
    <row r="1619" ht="24" customHeight="1" spans="1:17">
      <c r="A1619" s="99" t="s">
        <v>349</v>
      </c>
      <c r="B1619" s="99" t="s">
        <v>299</v>
      </c>
      <c r="C1619" s="99" t="s">
        <v>291</v>
      </c>
      <c r="D1619" s="53" t="s">
        <v>303</v>
      </c>
      <c r="E1619" s="53" t="s">
        <v>160</v>
      </c>
      <c r="F1619" s="210">
        <f ca="1">IF($S$1&lt;DATE(2025,1,1)," ",COUNTIFS('2025数据'!$X$3:$X$181,"&gt;="&amp;DATE(2025,1,1),'2025数据'!$X$3:$X$181,"&lt;="&amp;DATE(2025,1,31),'2025数据'!$BS$3:$BS$181,$E$37,'2025数据'!$B$3:$B$181,$E1619))</f>
        <v>0</v>
      </c>
      <c r="G1619" s="210">
        <f ca="1">IF($S$1&lt;DATE(2025,2,1)," ",COUNTIFS('2025数据'!$X$3:$X$181,"&gt;="&amp;DATE(2025,2,1),'2025数据'!$X$3:$X$181,"&lt;="&amp;DATE(2025,2,28),'2025数据'!$BS$3:$BS$181,$E$37,'2025数据'!$B$3:$B$181,$E1619))</f>
        <v>0</v>
      </c>
      <c r="H1619" s="210">
        <f ca="1">IF($S$1&lt;DATE(2025,3,1)," ",COUNTIFS('2025数据'!$X$3:$X$181,"&gt;="&amp;DATE(2025,3,1),'2025数据'!$X$3:$X$181,"&lt;="&amp;DATE(2025,3,31),'2025数据'!$BS$3:$BS$181,$E$37,'2025数据'!$B$3:$B$181,$E1619))</f>
        <v>0</v>
      </c>
      <c r="I1619" s="210">
        <f ca="1">IF($S$1&lt;DATE(2025,4,1)," ",COUNTIFS('2025数据'!$X$3:$X$181,"&gt;="&amp;DATE(2025,4,1),'2025数据'!$X$3:$X$181,"&lt;="&amp;DATE(2025,4,30),'2025数据'!$BS$3:$BS$181,$E$37,'2025数据'!$B$3:$B$181,$E1619))</f>
        <v>0</v>
      </c>
      <c r="J1619" s="210">
        <f ca="1">IF($S$1&lt;DATE(2025,5,1)," ",COUNTIFS('2025数据'!$X$3:$X$181,"&gt;="&amp;DATE(2025,5,1),'2025数据'!$X$3:$X$181,"&lt;="&amp;DATE(2025,5,31),'2025数据'!$BS$3:$BS$181,$E$37,'2025数据'!$B$3:$B$181,$E1619))</f>
        <v>0</v>
      </c>
      <c r="K1619" s="210">
        <f ca="1">IF($S$1&lt;DATE(2025,6,1)," ",COUNTIFS('2025数据'!$X$3:$X$181,"&gt;="&amp;DATE(2025,6,1),'2025数据'!$X$3:$X$181,"&lt;="&amp;DATE(2025,6,30),'2025数据'!$BS$3:$BS$181,$E$37,'2025数据'!$B$3:$B$181,$E1619))</f>
        <v>0</v>
      </c>
      <c r="L1619" s="210">
        <f ca="1">IF($S$1&lt;DATE(2025,7,1)," ",COUNTIFS('2025数据'!$X$3:$X$181,"&gt;="&amp;DATE(2025,7,1),'2025数据'!$X$3:$X$181,"&lt;="&amp;DATE(2025,7,31),'2025数据'!$BS$3:$BS$181,$E$37,'2025数据'!$B$3:$B$181,$E1619))</f>
        <v>0</v>
      </c>
      <c r="M1619" s="210">
        <f ca="1">IF($S$1&lt;DATE(2025,8,1)," ",COUNTIFS('2025数据'!$X$3:$X$181,"&gt;="&amp;DATE(2025,8,1),'2025数据'!$X$3:$X$181,"&lt;="&amp;DATE(2025,8,31),'2025数据'!$BS$3:$BS$181,$E$37,'2025数据'!$B$3:$B$181,$E1619))</f>
        <v>0</v>
      </c>
      <c r="N1619" s="210">
        <f ca="1">IF($S$1&lt;DATE(2025,9,1)," ",COUNTIFS('2025数据'!$X$3:$X$181,"&gt;="&amp;DATE(2025,9,1),'2025数据'!$X$3:$X$181,"&lt;="&amp;DATE(2025,9,30),'2025数据'!$BS$3:$BS$181,$E$37,'2025数据'!$B$3:$B$181,$E1619))</f>
        <v>0</v>
      </c>
      <c r="O1619" s="210">
        <f ca="1">IF($S$1&lt;DATE(2025,10,1)," ",COUNTIFS('2025数据'!$X$3:$X$181,"&gt;="&amp;DATE(2025,10,1),'2025数据'!$X$3:$X$181,"&lt;="&amp;DATE(2025,10,31),'2025数据'!$BS$3:$BS$181,$E$37,'2025数据'!$B$3:$B$181,$E1619))</f>
        <v>0</v>
      </c>
      <c r="P1619" s="212">
        <f ca="1">IF($S$1&lt;DATE(2025,11,1)," ",COUNTIFS('2025数据'!$X$3:$X$181,"&gt;="&amp;DATE(2025,11,1),'2025数据'!$X$3:$X$181,"&lt;="&amp;DATE(2025,11,30),'2025数据'!$BS$3:$BS$181,$E$37,'2025数据'!$B$3:$B$181,$E1619))</f>
        <v>0</v>
      </c>
      <c r="Q1619" s="212">
        <f ca="1">IF($S$1&lt;DATE(2025,12,1)," ",COUNTIFS('2025数据'!$X$3:$X$181,"&gt;="&amp;DATE(2025,12,1),'2025数据'!$X$3:$X$181,"&lt;="&amp;DATE(2025,12,31),'2025数据'!$BS$3:$BS$181,$E$37,'2025数据'!$B$3:$B$181,$E1619))</f>
        <v>0</v>
      </c>
    </row>
    <row r="1620" ht="24" customHeight="1" spans="1:17">
      <c r="A1620" s="99" t="s">
        <v>349</v>
      </c>
      <c r="B1620" s="99" t="s">
        <v>299</v>
      </c>
      <c r="C1620" s="99" t="s">
        <v>291</v>
      </c>
      <c r="D1620" s="53" t="s">
        <v>304</v>
      </c>
      <c r="E1620" s="53" t="s">
        <v>93</v>
      </c>
      <c r="F1620" s="210">
        <f ca="1">IF($S$1&lt;DATE(2025,1,1)," ",COUNTIFS('2025数据'!$X$3:$X$181,"&gt;="&amp;DATE(2025,1,1),'2025数据'!$X$3:$X$181,"&lt;="&amp;DATE(2025,1,31),'2025数据'!$BS$3:$BS$181,$E$38,'2025数据'!$B$3:$B$181,$E1620))</f>
        <v>0</v>
      </c>
      <c r="G1620" s="210">
        <f ca="1">IF($S$1&lt;DATE(2025,2,1)," ",COUNTIFS('2025数据'!$X$3:$X$181,"&gt;="&amp;DATE(2025,2,1),'2025数据'!$X$3:$X$181,"&lt;="&amp;DATE(2025,2,28),'2025数据'!$BS$3:$BS$181,$E$38,'2025数据'!$B$3:$B$181,$E1620))</f>
        <v>0</v>
      </c>
      <c r="H1620" s="210">
        <f ca="1">IF($S$1&lt;DATE(2025,3,1)," ",COUNTIFS('2025数据'!$X$3:$X$181,"&gt;="&amp;DATE(2025,3,1),'2025数据'!$X$3:$X$181,"&lt;="&amp;DATE(2025,3,31),'2025数据'!$BS$3:$BS$181,$E$38,'2025数据'!$B$3:$B$181,$E1620))</f>
        <v>0</v>
      </c>
      <c r="I1620" s="210">
        <f ca="1">IF($S$1&lt;DATE(2025,4,1)," ",COUNTIFS('2025数据'!$X$3:$X$181,"&gt;="&amp;DATE(2025,4,1),'2025数据'!$X$3:$X$181,"&lt;="&amp;DATE(2025,4,30),'2025数据'!$BS$3:$BS$181,$E$38,'2025数据'!$B$3:$B$181,$E1620))</f>
        <v>0</v>
      </c>
      <c r="J1620" s="210">
        <f ca="1">IF($S$1&lt;DATE(2025,5,1)," ",COUNTIFS('2025数据'!$X$3:$X$181,"&gt;="&amp;DATE(2025,5,1),'2025数据'!$X$3:$X$181,"&lt;="&amp;DATE(2025,5,31),'2025数据'!$BS$3:$BS$181,$E$38,'2025数据'!$B$3:$B$181,$E1620))</f>
        <v>0</v>
      </c>
      <c r="K1620" s="210">
        <f ca="1">IF($S$1&lt;DATE(2025,6,1)," ",COUNTIFS('2025数据'!$X$3:$X$181,"&gt;="&amp;DATE(2025,6,1),'2025数据'!$X$3:$X$181,"&lt;="&amp;DATE(2025,6,30),'2025数据'!$BS$3:$BS$181,$E$38,'2025数据'!$B$3:$B$181,$E1620))</f>
        <v>0</v>
      </c>
      <c r="L1620" s="210">
        <f ca="1">IF($S$1&lt;DATE(2025,7,1)," ",COUNTIFS('2025数据'!$X$3:$X$181,"&gt;="&amp;DATE(2025,7,1),'2025数据'!$X$3:$X$181,"&lt;="&amp;DATE(2025,7,31),'2025数据'!$BS$3:$BS$181,$E$38,'2025数据'!$B$3:$B$181,$E1620))</f>
        <v>0</v>
      </c>
      <c r="M1620" s="210">
        <f ca="1">IF($S$1&lt;DATE(2025,8,1)," ",COUNTIFS('2025数据'!$X$3:$X$181,"&gt;="&amp;DATE(2025,8,1),'2025数据'!$X$3:$X$181,"&lt;="&amp;DATE(2025,8,31),'2025数据'!$BS$3:$BS$181,$E$38,'2025数据'!$B$3:$B$181,$E1620))</f>
        <v>0</v>
      </c>
      <c r="N1620" s="210">
        <f ca="1">IF($S$1&lt;DATE(2025,9,1)," ",COUNTIFS('2025数据'!$X$3:$X$181,"&gt;="&amp;DATE(2025,9,1),'2025数据'!$X$3:$X$181,"&lt;="&amp;DATE(2025,9,30),'2025数据'!$BS$3:$BS$181,$E$38,'2025数据'!$B$3:$B$181,$E1620))</f>
        <v>0</v>
      </c>
      <c r="O1620" s="210">
        <f ca="1">IF($S$1&lt;DATE(2025,10,1)," ",COUNTIFS('2025数据'!$X$3:$X$181,"&gt;="&amp;DATE(2025,10,1),'2025数据'!$X$3:$X$181,"&lt;="&amp;DATE(2025,10,31),'2025数据'!$BS$3:$BS$181,$E$38,'2025数据'!$B$3:$B$181,$E1620))</f>
        <v>0</v>
      </c>
      <c r="P1620" s="212">
        <f ca="1">IF($S$1&lt;DATE(2025,11,1)," ",COUNTIFS('2025数据'!$X$3:$X$181,"&gt;="&amp;DATE(2025,11,1),'2025数据'!$X$3:$X$181,"&lt;="&amp;DATE(2025,11,30),'2025数据'!$BS$3:$BS$181,$E$38,'2025数据'!$B$3:$B$181,$E1620))</f>
        <v>0</v>
      </c>
      <c r="Q1620" s="212">
        <f ca="1">IF($S$1&lt;DATE(2025,12,1)," ",COUNTIFS('2025数据'!$X$3:$X$181,"&gt;="&amp;DATE(2025,12,1),'2025数据'!$X$3:$X$181,"&lt;="&amp;DATE(2025,12,31),'2025数据'!$BS$3:$BS$181,$E$38,'2025数据'!$B$3:$B$181,$E1620))</f>
        <v>0</v>
      </c>
    </row>
    <row r="1621" ht="24" customHeight="1" spans="1:17">
      <c r="A1621" s="99" t="s">
        <v>349</v>
      </c>
      <c r="B1621" s="99" t="s">
        <v>299</v>
      </c>
      <c r="C1621" s="99" t="s">
        <v>291</v>
      </c>
      <c r="D1621" s="53" t="s">
        <v>304</v>
      </c>
      <c r="E1621" s="53" t="s">
        <v>85</v>
      </c>
      <c r="F1621" s="210">
        <f ca="1">IF($S$1&lt;DATE(2025,1,1)," ",COUNTIFS('2025数据'!$X$3:$X$181,"&gt;="&amp;DATE(2025,1,1),'2025数据'!$X$3:$X$181,"&lt;="&amp;DATE(2025,1,31),'2025数据'!$BS$3:$BS$181,$E$38,'2025数据'!$B$3:$B$181,$E1621))</f>
        <v>0</v>
      </c>
      <c r="G1621" s="210">
        <f ca="1">IF($S$1&lt;DATE(2025,2,1)," ",COUNTIFS('2025数据'!$X$3:$X$181,"&gt;="&amp;DATE(2025,2,1),'2025数据'!$X$3:$X$181,"&lt;="&amp;DATE(2025,2,28),'2025数据'!$BS$3:$BS$181,$E$38,'2025数据'!$B$3:$B$181,$E1621))</f>
        <v>0</v>
      </c>
      <c r="H1621" s="210">
        <f ca="1">IF($S$1&lt;DATE(2025,3,1)," ",COUNTIFS('2025数据'!$X$3:$X$181,"&gt;="&amp;DATE(2025,3,1),'2025数据'!$X$3:$X$181,"&lt;="&amp;DATE(2025,3,31),'2025数据'!$BS$3:$BS$181,$E$38,'2025数据'!$B$3:$B$181,$E1621))</f>
        <v>0</v>
      </c>
      <c r="I1621" s="210">
        <f ca="1">IF($S$1&lt;DATE(2025,4,1)," ",COUNTIFS('2025数据'!$X$3:$X$181,"&gt;="&amp;DATE(2025,4,1),'2025数据'!$X$3:$X$181,"&lt;="&amp;DATE(2025,4,30),'2025数据'!$BS$3:$BS$181,$E$38,'2025数据'!$B$3:$B$181,$E1621))</f>
        <v>0</v>
      </c>
      <c r="J1621" s="210">
        <f ca="1">IF($S$1&lt;DATE(2025,5,1)," ",COUNTIFS('2025数据'!$X$3:$X$181,"&gt;="&amp;DATE(2025,5,1),'2025数据'!$X$3:$X$181,"&lt;="&amp;DATE(2025,5,31),'2025数据'!$BS$3:$BS$181,$E$38,'2025数据'!$B$3:$B$181,$E1621))</f>
        <v>0</v>
      </c>
      <c r="K1621" s="210">
        <f ca="1">IF($S$1&lt;DATE(2025,6,1)," ",COUNTIFS('2025数据'!$X$3:$X$181,"&gt;="&amp;DATE(2025,6,1),'2025数据'!$X$3:$X$181,"&lt;="&amp;DATE(2025,6,30),'2025数据'!$BS$3:$BS$181,$E$38,'2025数据'!$B$3:$B$181,$E1621))</f>
        <v>0</v>
      </c>
      <c r="L1621" s="210">
        <f ca="1">IF($S$1&lt;DATE(2025,7,1)," ",COUNTIFS('2025数据'!$X$3:$X$181,"&gt;="&amp;DATE(2025,7,1),'2025数据'!$X$3:$X$181,"&lt;="&amp;DATE(2025,7,31),'2025数据'!$BS$3:$BS$181,$E$38,'2025数据'!$B$3:$B$181,$E1621))</f>
        <v>0</v>
      </c>
      <c r="M1621" s="210">
        <f ca="1">IF($S$1&lt;DATE(2025,8,1)," ",COUNTIFS('2025数据'!$X$3:$X$181,"&gt;="&amp;DATE(2025,8,1),'2025数据'!$X$3:$X$181,"&lt;="&amp;DATE(2025,8,31),'2025数据'!$BS$3:$BS$181,$E$38,'2025数据'!$B$3:$B$181,$E1621))</f>
        <v>0</v>
      </c>
      <c r="N1621" s="210">
        <f ca="1">IF($S$1&lt;DATE(2025,9,1)," ",COUNTIFS('2025数据'!$X$3:$X$181,"&gt;="&amp;DATE(2025,9,1),'2025数据'!$X$3:$X$181,"&lt;="&amp;DATE(2025,9,30),'2025数据'!$BS$3:$BS$181,$E$38,'2025数据'!$B$3:$B$181,$E1621))</f>
        <v>0</v>
      </c>
      <c r="O1621" s="210">
        <f ca="1">IF($S$1&lt;DATE(2025,10,1)," ",COUNTIFS('2025数据'!$X$3:$X$181,"&gt;="&amp;DATE(2025,10,1),'2025数据'!$X$3:$X$181,"&lt;="&amp;DATE(2025,10,31),'2025数据'!$BS$3:$BS$181,$E$38,'2025数据'!$B$3:$B$181,$E1621))</f>
        <v>0</v>
      </c>
      <c r="P1621" s="212">
        <f ca="1">IF($S$1&lt;DATE(2025,11,1)," ",COUNTIFS('2025数据'!$X$3:$X$181,"&gt;="&amp;DATE(2025,11,1),'2025数据'!$X$3:$X$181,"&lt;="&amp;DATE(2025,11,30),'2025数据'!$BS$3:$BS$181,$E$38,'2025数据'!$B$3:$B$181,$E1621))</f>
        <v>0</v>
      </c>
      <c r="Q1621" s="212">
        <f ca="1">IF($S$1&lt;DATE(2025,12,1)," ",COUNTIFS('2025数据'!$X$3:$X$181,"&gt;="&amp;DATE(2025,12,1),'2025数据'!$X$3:$X$181,"&lt;="&amp;DATE(2025,12,31),'2025数据'!$BS$3:$BS$181,$E$38,'2025数据'!$B$3:$B$181,$E1621))</f>
        <v>0</v>
      </c>
    </row>
    <row r="1622" ht="24" customHeight="1" spans="1:17">
      <c r="A1622" s="99" t="s">
        <v>349</v>
      </c>
      <c r="B1622" s="99" t="s">
        <v>299</v>
      </c>
      <c r="C1622" s="99" t="s">
        <v>291</v>
      </c>
      <c r="D1622" s="53" t="s">
        <v>304</v>
      </c>
      <c r="E1622" s="53" t="s">
        <v>81</v>
      </c>
      <c r="F1622" s="210">
        <f ca="1">IF($S$1&lt;DATE(2025,1,1)," ",COUNTIFS('2025数据'!$X$3:$X$181,"&gt;="&amp;DATE(2025,1,1),'2025数据'!$X$3:$X$181,"&lt;="&amp;DATE(2025,1,31),'2025数据'!$BS$3:$BS$181,$E$38,'2025数据'!$B$3:$B$181,$E1622))</f>
        <v>0</v>
      </c>
      <c r="G1622" s="210">
        <f ca="1">IF($S$1&lt;DATE(2025,2,1)," ",COUNTIFS('2025数据'!$X$3:$X$181,"&gt;="&amp;DATE(2025,2,1),'2025数据'!$X$3:$X$181,"&lt;="&amp;DATE(2025,2,28),'2025数据'!$BS$3:$BS$181,$E$38,'2025数据'!$B$3:$B$181,$E1622))</f>
        <v>0</v>
      </c>
      <c r="H1622" s="210">
        <f ca="1">IF($S$1&lt;DATE(2025,3,1)," ",COUNTIFS('2025数据'!$X$3:$X$181,"&gt;="&amp;DATE(2025,3,1),'2025数据'!$X$3:$X$181,"&lt;="&amp;DATE(2025,3,31),'2025数据'!$BS$3:$BS$181,$E$38,'2025数据'!$B$3:$B$181,$E1622))</f>
        <v>0</v>
      </c>
      <c r="I1622" s="210">
        <f ca="1">IF($S$1&lt;DATE(2025,4,1)," ",COUNTIFS('2025数据'!$X$3:$X$181,"&gt;="&amp;DATE(2025,4,1),'2025数据'!$X$3:$X$181,"&lt;="&amp;DATE(2025,4,30),'2025数据'!$BS$3:$BS$181,$E$38,'2025数据'!$B$3:$B$181,$E1622))</f>
        <v>0</v>
      </c>
      <c r="J1622" s="210">
        <f ca="1">IF($S$1&lt;DATE(2025,5,1)," ",COUNTIFS('2025数据'!$X$3:$X$181,"&gt;="&amp;DATE(2025,5,1),'2025数据'!$X$3:$X$181,"&lt;="&amp;DATE(2025,5,31),'2025数据'!$BS$3:$BS$181,$E$38,'2025数据'!$B$3:$B$181,$E1622))</f>
        <v>0</v>
      </c>
      <c r="K1622" s="210">
        <f ca="1">IF($S$1&lt;DATE(2025,6,1)," ",COUNTIFS('2025数据'!$X$3:$X$181,"&gt;="&amp;DATE(2025,6,1),'2025数据'!$X$3:$X$181,"&lt;="&amp;DATE(2025,6,30),'2025数据'!$BS$3:$BS$181,$E$38,'2025数据'!$B$3:$B$181,$E1622))</f>
        <v>0</v>
      </c>
      <c r="L1622" s="210">
        <f ca="1">IF($S$1&lt;DATE(2025,7,1)," ",COUNTIFS('2025数据'!$X$3:$X$181,"&gt;="&amp;DATE(2025,7,1),'2025数据'!$X$3:$X$181,"&lt;="&amp;DATE(2025,7,31),'2025数据'!$BS$3:$BS$181,$E$38,'2025数据'!$B$3:$B$181,$E1622))</f>
        <v>0</v>
      </c>
      <c r="M1622" s="210">
        <f ca="1">IF($S$1&lt;DATE(2025,8,1)," ",COUNTIFS('2025数据'!$X$3:$X$181,"&gt;="&amp;DATE(2025,8,1),'2025数据'!$X$3:$X$181,"&lt;="&amp;DATE(2025,8,31),'2025数据'!$BS$3:$BS$181,$E$38,'2025数据'!$B$3:$B$181,$E1622))</f>
        <v>0</v>
      </c>
      <c r="N1622" s="210">
        <f ca="1">IF($S$1&lt;DATE(2025,9,1)," ",COUNTIFS('2025数据'!$X$3:$X$181,"&gt;="&amp;DATE(2025,9,1),'2025数据'!$X$3:$X$181,"&lt;="&amp;DATE(2025,9,30),'2025数据'!$BS$3:$BS$181,$E$38,'2025数据'!$B$3:$B$181,$E1622))</f>
        <v>0</v>
      </c>
      <c r="O1622" s="210">
        <f ca="1">IF($S$1&lt;DATE(2025,10,1)," ",COUNTIFS('2025数据'!$X$3:$X$181,"&gt;="&amp;DATE(2025,10,1),'2025数据'!$X$3:$X$181,"&lt;="&amp;DATE(2025,10,31),'2025数据'!$BS$3:$BS$181,$E$38,'2025数据'!$B$3:$B$181,$E1622))</f>
        <v>0</v>
      </c>
      <c r="P1622" s="212">
        <f ca="1">IF($S$1&lt;DATE(2025,11,1)," ",COUNTIFS('2025数据'!$X$3:$X$181,"&gt;="&amp;DATE(2025,11,1),'2025数据'!$X$3:$X$181,"&lt;="&amp;DATE(2025,11,30),'2025数据'!$BS$3:$BS$181,$E$38,'2025数据'!$B$3:$B$181,$E1622))</f>
        <v>0</v>
      </c>
      <c r="Q1622" s="212">
        <f ca="1">IF($S$1&lt;DATE(2025,12,1)," ",COUNTIFS('2025数据'!$X$3:$X$181,"&gt;="&amp;DATE(2025,12,1),'2025数据'!$X$3:$X$181,"&lt;="&amp;DATE(2025,12,31),'2025数据'!$BS$3:$BS$181,$E$38,'2025数据'!$B$3:$B$181,$E1622))</f>
        <v>0</v>
      </c>
    </row>
    <row r="1623" ht="24" customHeight="1" spans="1:17">
      <c r="A1623" s="99" t="s">
        <v>349</v>
      </c>
      <c r="B1623" s="99" t="s">
        <v>299</v>
      </c>
      <c r="C1623" s="99" t="s">
        <v>291</v>
      </c>
      <c r="D1623" s="53" t="s">
        <v>304</v>
      </c>
      <c r="E1623" s="53" t="s">
        <v>96</v>
      </c>
      <c r="F1623" s="210">
        <f ca="1">IF($S$1&lt;DATE(2025,1,1)," ",COUNTIFS('2025数据'!$X$3:$X$181,"&gt;="&amp;DATE(2025,1,1),'2025数据'!$X$3:$X$181,"&lt;="&amp;DATE(2025,1,31),'2025数据'!$BS$3:$BS$181,$E$38,'2025数据'!$B$3:$B$181,$E1623))</f>
        <v>0</v>
      </c>
      <c r="G1623" s="210">
        <f ca="1">IF($S$1&lt;DATE(2025,2,1)," ",COUNTIFS('2025数据'!$X$3:$X$181,"&gt;="&amp;DATE(2025,2,1),'2025数据'!$X$3:$X$181,"&lt;="&amp;DATE(2025,2,28),'2025数据'!$BS$3:$BS$181,$E$38,'2025数据'!$B$3:$B$181,$E1623))</f>
        <v>0</v>
      </c>
      <c r="H1623" s="210">
        <f ca="1">IF($S$1&lt;DATE(2025,3,1)," ",COUNTIFS('2025数据'!$X$3:$X$181,"&gt;="&amp;DATE(2025,3,1),'2025数据'!$X$3:$X$181,"&lt;="&amp;DATE(2025,3,31),'2025数据'!$BS$3:$BS$181,$E$38,'2025数据'!$B$3:$B$181,$E1623))</f>
        <v>0</v>
      </c>
      <c r="I1623" s="210">
        <f ca="1">IF($S$1&lt;DATE(2025,4,1)," ",COUNTIFS('2025数据'!$X$3:$X$181,"&gt;="&amp;DATE(2025,4,1),'2025数据'!$X$3:$X$181,"&lt;="&amp;DATE(2025,4,30),'2025数据'!$BS$3:$BS$181,$E$38,'2025数据'!$B$3:$B$181,$E1623))</f>
        <v>0</v>
      </c>
      <c r="J1623" s="210">
        <f ca="1">IF($S$1&lt;DATE(2025,5,1)," ",COUNTIFS('2025数据'!$X$3:$X$181,"&gt;="&amp;DATE(2025,5,1),'2025数据'!$X$3:$X$181,"&lt;="&amp;DATE(2025,5,31),'2025数据'!$BS$3:$BS$181,$E$38,'2025数据'!$B$3:$B$181,$E1623))</f>
        <v>0</v>
      </c>
      <c r="K1623" s="210">
        <f ca="1">IF($S$1&lt;DATE(2025,6,1)," ",COUNTIFS('2025数据'!$X$3:$X$181,"&gt;="&amp;DATE(2025,6,1),'2025数据'!$X$3:$X$181,"&lt;="&amp;DATE(2025,6,30),'2025数据'!$BS$3:$BS$181,$E$38,'2025数据'!$B$3:$B$181,$E1623))</f>
        <v>0</v>
      </c>
      <c r="L1623" s="210">
        <f ca="1">IF($S$1&lt;DATE(2025,7,1)," ",COUNTIFS('2025数据'!$X$3:$X$181,"&gt;="&amp;DATE(2025,7,1),'2025数据'!$X$3:$X$181,"&lt;="&amp;DATE(2025,7,31),'2025数据'!$BS$3:$BS$181,$E$38,'2025数据'!$B$3:$B$181,$E1623))</f>
        <v>0</v>
      </c>
      <c r="M1623" s="210">
        <f ca="1">IF($S$1&lt;DATE(2025,8,1)," ",COUNTIFS('2025数据'!$X$3:$X$181,"&gt;="&amp;DATE(2025,8,1),'2025数据'!$X$3:$X$181,"&lt;="&amp;DATE(2025,8,31),'2025数据'!$BS$3:$BS$181,$E$38,'2025数据'!$B$3:$B$181,$E1623))</f>
        <v>0</v>
      </c>
      <c r="N1623" s="210">
        <f ca="1">IF($S$1&lt;DATE(2025,9,1)," ",COUNTIFS('2025数据'!$X$3:$X$181,"&gt;="&amp;DATE(2025,9,1),'2025数据'!$X$3:$X$181,"&lt;="&amp;DATE(2025,9,30),'2025数据'!$BS$3:$BS$181,$E$38,'2025数据'!$B$3:$B$181,$E1623))</f>
        <v>0</v>
      </c>
      <c r="O1623" s="210">
        <f ca="1">IF($S$1&lt;DATE(2025,10,1)," ",COUNTIFS('2025数据'!$X$3:$X$181,"&gt;="&amp;DATE(2025,10,1),'2025数据'!$X$3:$X$181,"&lt;="&amp;DATE(2025,10,31),'2025数据'!$BS$3:$BS$181,$E$38,'2025数据'!$B$3:$B$181,$E1623))</f>
        <v>0</v>
      </c>
      <c r="P1623" s="212">
        <f ca="1">IF($S$1&lt;DATE(2025,11,1)," ",COUNTIFS('2025数据'!$X$3:$X$181,"&gt;="&amp;DATE(2025,11,1),'2025数据'!$X$3:$X$181,"&lt;="&amp;DATE(2025,11,30),'2025数据'!$BS$3:$BS$181,$E$38,'2025数据'!$B$3:$B$181,$E1623))</f>
        <v>0</v>
      </c>
      <c r="Q1623" s="212">
        <f ca="1">IF($S$1&lt;DATE(2025,12,1)," ",COUNTIFS('2025数据'!$X$3:$X$181,"&gt;="&amp;DATE(2025,12,1),'2025数据'!$X$3:$X$181,"&lt;="&amp;DATE(2025,12,31),'2025数据'!$BS$3:$BS$181,$E$38,'2025数据'!$B$3:$B$181,$E1623))</f>
        <v>0</v>
      </c>
    </row>
    <row r="1624" ht="24" customHeight="1" spans="1:17">
      <c r="A1624" s="99" t="s">
        <v>349</v>
      </c>
      <c r="B1624" s="99" t="s">
        <v>299</v>
      </c>
      <c r="C1624" s="99" t="s">
        <v>291</v>
      </c>
      <c r="D1624" s="53" t="s">
        <v>304</v>
      </c>
      <c r="E1624" s="53" t="s">
        <v>160</v>
      </c>
      <c r="F1624" s="210">
        <f ca="1">IF($S$1&lt;DATE(2025,1,1)," ",COUNTIFS('2025数据'!$X$3:$X$181,"&gt;="&amp;DATE(2025,1,1),'2025数据'!$X$3:$X$181,"&lt;="&amp;DATE(2025,1,31),'2025数据'!$BS$3:$BS$181,$E$38,'2025数据'!$B$3:$B$181,$E1624))</f>
        <v>0</v>
      </c>
      <c r="G1624" s="210">
        <f ca="1">IF($S$1&lt;DATE(2025,2,1)," ",COUNTIFS('2025数据'!$X$3:$X$181,"&gt;="&amp;DATE(2025,2,1),'2025数据'!$X$3:$X$181,"&lt;="&amp;DATE(2025,2,28),'2025数据'!$BS$3:$BS$181,$E$38,'2025数据'!$B$3:$B$181,$E1624))</f>
        <v>0</v>
      </c>
      <c r="H1624" s="210">
        <f ca="1">IF($S$1&lt;DATE(2025,3,1)," ",COUNTIFS('2025数据'!$X$3:$X$181,"&gt;="&amp;DATE(2025,3,1),'2025数据'!$X$3:$X$181,"&lt;="&amp;DATE(2025,3,31),'2025数据'!$BS$3:$BS$181,$E$38,'2025数据'!$B$3:$B$181,$E1624))</f>
        <v>0</v>
      </c>
      <c r="I1624" s="210">
        <f ca="1">IF($S$1&lt;DATE(2025,4,1)," ",COUNTIFS('2025数据'!$X$3:$X$181,"&gt;="&amp;DATE(2025,4,1),'2025数据'!$X$3:$X$181,"&lt;="&amp;DATE(2025,4,30),'2025数据'!$BS$3:$BS$181,$E$38,'2025数据'!$B$3:$B$181,$E1624))</f>
        <v>0</v>
      </c>
      <c r="J1624" s="210">
        <f ca="1">IF($S$1&lt;DATE(2025,5,1)," ",COUNTIFS('2025数据'!$X$3:$X$181,"&gt;="&amp;DATE(2025,5,1),'2025数据'!$X$3:$X$181,"&lt;="&amp;DATE(2025,5,31),'2025数据'!$BS$3:$BS$181,$E$38,'2025数据'!$B$3:$B$181,$E1624))</f>
        <v>0</v>
      </c>
      <c r="K1624" s="210">
        <f ca="1">IF($S$1&lt;DATE(2025,6,1)," ",COUNTIFS('2025数据'!$X$3:$X$181,"&gt;="&amp;DATE(2025,6,1),'2025数据'!$X$3:$X$181,"&lt;="&amp;DATE(2025,6,30),'2025数据'!$BS$3:$BS$181,$E$38,'2025数据'!$B$3:$B$181,$E1624))</f>
        <v>0</v>
      </c>
      <c r="L1624" s="210">
        <f ca="1">IF($S$1&lt;DATE(2025,7,1)," ",COUNTIFS('2025数据'!$X$3:$X$181,"&gt;="&amp;DATE(2025,7,1),'2025数据'!$X$3:$X$181,"&lt;="&amp;DATE(2025,7,31),'2025数据'!$BS$3:$BS$181,$E$38,'2025数据'!$B$3:$B$181,$E1624))</f>
        <v>0</v>
      </c>
      <c r="M1624" s="210">
        <f ca="1">IF($S$1&lt;DATE(2025,8,1)," ",COUNTIFS('2025数据'!$X$3:$X$181,"&gt;="&amp;DATE(2025,8,1),'2025数据'!$X$3:$X$181,"&lt;="&amp;DATE(2025,8,31),'2025数据'!$BS$3:$BS$181,$E$38,'2025数据'!$B$3:$B$181,$E1624))</f>
        <v>0</v>
      </c>
      <c r="N1624" s="210">
        <f ca="1">IF($S$1&lt;DATE(2025,9,1)," ",COUNTIFS('2025数据'!$X$3:$X$181,"&gt;="&amp;DATE(2025,9,1),'2025数据'!$X$3:$X$181,"&lt;="&amp;DATE(2025,9,30),'2025数据'!$BS$3:$BS$181,$E$38,'2025数据'!$B$3:$B$181,$E1624))</f>
        <v>0</v>
      </c>
      <c r="O1624" s="210">
        <f ca="1">IF($S$1&lt;DATE(2025,10,1)," ",COUNTIFS('2025数据'!$X$3:$X$181,"&gt;="&amp;DATE(2025,10,1),'2025数据'!$X$3:$X$181,"&lt;="&amp;DATE(2025,10,31),'2025数据'!$BS$3:$BS$181,$E$38,'2025数据'!$B$3:$B$181,$E1624))</f>
        <v>0</v>
      </c>
      <c r="P1624" s="212">
        <f ca="1">IF($S$1&lt;DATE(2025,11,1)," ",COUNTIFS('2025数据'!$X$3:$X$181,"&gt;="&amp;DATE(2025,11,1),'2025数据'!$X$3:$X$181,"&lt;="&amp;DATE(2025,11,30),'2025数据'!$BS$3:$BS$181,$E$38,'2025数据'!$B$3:$B$181,$E1624))</f>
        <v>0</v>
      </c>
      <c r="Q1624" s="212">
        <f ca="1">IF($S$1&lt;DATE(2025,12,1)," ",COUNTIFS('2025数据'!$X$3:$X$181,"&gt;="&amp;DATE(2025,12,1),'2025数据'!$X$3:$X$181,"&lt;="&amp;DATE(2025,12,31),'2025数据'!$BS$3:$BS$181,$E$38,'2025数据'!$B$3:$B$181,$E1624))</f>
        <v>0</v>
      </c>
    </row>
    <row r="1625" ht="24" customHeight="1" spans="1:17">
      <c r="A1625" s="99" t="s">
        <v>349</v>
      </c>
      <c r="B1625" s="99" t="s">
        <v>299</v>
      </c>
      <c r="C1625" s="99" t="s">
        <v>291</v>
      </c>
      <c r="D1625" s="53" t="s">
        <v>305</v>
      </c>
      <c r="E1625" s="53" t="s">
        <v>93</v>
      </c>
      <c r="F1625" s="210">
        <f ca="1">IF($S$1&lt;DATE(2025,1,1)," ",COUNTIFS('2025数据'!$X$3:$X$181,"&gt;="&amp;DATE(2025,1,1),'2025数据'!$X$3:$X$181,"&lt;="&amp;DATE(2025,1,31),'2025数据'!$BS$3:$BS$181,$E$39,'2025数据'!$B$3:$B$181,$E1625))</f>
        <v>0</v>
      </c>
      <c r="G1625" s="210">
        <f ca="1">IF($S$1&lt;DATE(2025,2,1)," ",COUNTIFS('2025数据'!$X$3:$X$181,"&gt;="&amp;DATE(2025,2,1),'2025数据'!$X$3:$X$181,"&lt;="&amp;DATE(2025,2,28),'2025数据'!$BS$3:$BS$181,$E$39,'2025数据'!$B$3:$B$181,$E1625))</f>
        <v>0</v>
      </c>
      <c r="H1625" s="210">
        <f ca="1">IF($S$1&lt;DATE(2025,3,1)," ",COUNTIFS('2025数据'!$X$3:$X$181,"&gt;="&amp;DATE(2025,3,1),'2025数据'!$X$3:$X$181,"&lt;="&amp;DATE(2025,3,31),'2025数据'!$BS$3:$BS$181,$E$39,'2025数据'!$B$3:$B$181,$E1625))</f>
        <v>0</v>
      </c>
      <c r="I1625" s="210">
        <f ca="1">IF($S$1&lt;DATE(2025,4,1)," ",COUNTIFS('2025数据'!$X$3:$X$181,"&gt;="&amp;DATE(2025,4,1),'2025数据'!$X$3:$X$181,"&lt;="&amp;DATE(2025,4,30),'2025数据'!$BS$3:$BS$181,$E$39,'2025数据'!$B$3:$B$181,$E1625))</f>
        <v>0</v>
      </c>
      <c r="J1625" s="210">
        <f ca="1">IF($S$1&lt;DATE(2025,5,1)," ",COUNTIFS('2025数据'!$X$3:$X$181,"&gt;="&amp;DATE(2025,5,1),'2025数据'!$X$3:$X$181,"&lt;="&amp;DATE(2025,5,31),'2025数据'!$BS$3:$BS$181,$E$39,'2025数据'!$B$3:$B$181,$E1625))</f>
        <v>0</v>
      </c>
      <c r="K1625" s="210">
        <f ca="1">IF($S$1&lt;DATE(2025,6,1)," ",COUNTIFS('2025数据'!$X$3:$X$181,"&gt;="&amp;DATE(2025,6,1),'2025数据'!$X$3:$X$181,"&lt;="&amp;DATE(2025,6,30),'2025数据'!$BS$3:$BS$181,$E$39,'2025数据'!$B$3:$B$181,$E1625))</f>
        <v>0</v>
      </c>
      <c r="L1625" s="210">
        <f ca="1">IF($S$1&lt;DATE(2025,7,1)," ",COUNTIFS('2025数据'!$X$3:$X$181,"&gt;="&amp;DATE(2025,7,1),'2025数据'!$X$3:$X$181,"&lt;="&amp;DATE(2025,7,31),'2025数据'!$BS$3:$BS$181,$E$39,'2025数据'!$B$3:$B$181,$E1625))</f>
        <v>0</v>
      </c>
      <c r="M1625" s="210">
        <f ca="1">IF($S$1&lt;DATE(2025,8,1)," ",COUNTIFS('2025数据'!$X$3:$X$181,"&gt;="&amp;DATE(2025,8,1),'2025数据'!$X$3:$X$181,"&lt;="&amp;DATE(2025,8,31),'2025数据'!$BS$3:$BS$181,$E$39,'2025数据'!$B$3:$B$181,$E1625))</f>
        <v>1</v>
      </c>
      <c r="N1625" s="210">
        <f ca="1">IF($S$1&lt;DATE(2025,9,1)," ",COUNTIFS('2025数据'!$X$3:$X$181,"&gt;="&amp;DATE(2025,9,1),'2025数据'!$X$3:$X$181,"&lt;="&amp;DATE(2025,9,30),'2025数据'!$BS$3:$BS$181,$E$39,'2025数据'!$B$3:$B$181,$E1625))</f>
        <v>1</v>
      </c>
      <c r="O1625" s="210">
        <f ca="1">IF($S$1&lt;DATE(2025,10,1)," ",COUNTIFS('2025数据'!$X$3:$X$181,"&gt;="&amp;DATE(2025,10,1),'2025数据'!$X$3:$X$181,"&lt;="&amp;DATE(2025,10,31),'2025数据'!$BS$3:$BS$181,$E$39,'2025数据'!$B$3:$B$181,$E1625))</f>
        <v>2</v>
      </c>
      <c r="P1625" s="212">
        <f ca="1">IF($S$1&lt;DATE(2025,11,1)," ",COUNTIFS('2025数据'!$X$3:$X$181,"&gt;="&amp;DATE(2025,11,1),'2025数据'!$X$3:$X$181,"&lt;="&amp;DATE(2025,11,30),'2025数据'!$BS$3:$BS$181,$E$39,'2025数据'!$B$3:$B$181,$E1625))</f>
        <v>1</v>
      </c>
      <c r="Q1625" s="212">
        <f ca="1">IF($S$1&lt;DATE(2025,12,1)," ",COUNTIFS('2025数据'!$X$3:$X$181,"&gt;="&amp;DATE(2025,12,1),'2025数据'!$X$3:$X$181,"&lt;="&amp;DATE(2025,12,31),'2025数据'!$BS$3:$BS$181,$E$39,'2025数据'!$B$3:$B$181,$E1625))</f>
        <v>0</v>
      </c>
    </row>
    <row r="1626" ht="24" customHeight="1" spans="1:17">
      <c r="A1626" s="99" t="s">
        <v>349</v>
      </c>
      <c r="B1626" s="99" t="s">
        <v>299</v>
      </c>
      <c r="C1626" s="99" t="s">
        <v>291</v>
      </c>
      <c r="D1626" s="53" t="s">
        <v>305</v>
      </c>
      <c r="E1626" s="53" t="s">
        <v>85</v>
      </c>
      <c r="F1626" s="210">
        <f ca="1">IF($S$1&lt;DATE(2025,1,1)," ",COUNTIFS('2025数据'!$X$3:$X$181,"&gt;="&amp;DATE(2025,1,1),'2025数据'!$X$3:$X$181,"&lt;="&amp;DATE(2025,1,31),'2025数据'!$BS$3:$BS$181,$E$39,'2025数据'!$B$3:$B$181,$E1626))</f>
        <v>0</v>
      </c>
      <c r="G1626" s="210">
        <f ca="1">IF($S$1&lt;DATE(2025,2,1)," ",COUNTIFS('2025数据'!$X$3:$X$181,"&gt;="&amp;DATE(2025,2,1),'2025数据'!$X$3:$X$181,"&lt;="&amp;DATE(2025,2,28),'2025数据'!$BS$3:$BS$181,$E$39,'2025数据'!$B$3:$B$181,$E1626))</f>
        <v>0</v>
      </c>
      <c r="H1626" s="210">
        <f ca="1">IF($S$1&lt;DATE(2025,3,1)," ",COUNTIFS('2025数据'!$X$3:$X$181,"&gt;="&amp;DATE(2025,3,1),'2025数据'!$X$3:$X$181,"&lt;="&amp;DATE(2025,3,31),'2025数据'!$BS$3:$BS$181,$E$39,'2025数据'!$B$3:$B$181,$E1626))</f>
        <v>1</v>
      </c>
      <c r="I1626" s="210">
        <f ca="1">IF($S$1&lt;DATE(2025,4,1)," ",COUNTIFS('2025数据'!$X$3:$X$181,"&gt;="&amp;DATE(2025,4,1),'2025数据'!$X$3:$X$181,"&lt;="&amp;DATE(2025,4,30),'2025数据'!$BS$3:$BS$181,$E$39,'2025数据'!$B$3:$B$181,$E1626))</f>
        <v>0</v>
      </c>
      <c r="J1626" s="210">
        <f ca="1">IF($S$1&lt;DATE(2025,5,1)," ",COUNTIFS('2025数据'!$X$3:$X$181,"&gt;="&amp;DATE(2025,5,1),'2025数据'!$X$3:$X$181,"&lt;="&amp;DATE(2025,5,31),'2025数据'!$BS$3:$BS$181,$E$39,'2025数据'!$B$3:$B$181,$E1626))</f>
        <v>0</v>
      </c>
      <c r="K1626" s="210">
        <f ca="1">IF($S$1&lt;DATE(2025,6,1)," ",COUNTIFS('2025数据'!$X$3:$X$181,"&gt;="&amp;DATE(2025,6,1),'2025数据'!$X$3:$X$181,"&lt;="&amp;DATE(2025,6,30),'2025数据'!$BS$3:$BS$181,$E$39,'2025数据'!$B$3:$B$181,$E1626))</f>
        <v>0</v>
      </c>
      <c r="L1626" s="210">
        <f ca="1">IF($S$1&lt;DATE(2025,7,1)," ",COUNTIFS('2025数据'!$X$3:$X$181,"&gt;="&amp;DATE(2025,7,1),'2025数据'!$X$3:$X$181,"&lt;="&amp;DATE(2025,7,31),'2025数据'!$BS$3:$BS$181,$E$39,'2025数据'!$B$3:$B$181,$E1626))</f>
        <v>1</v>
      </c>
      <c r="M1626" s="210">
        <f ca="1">IF($S$1&lt;DATE(2025,8,1)," ",COUNTIFS('2025数据'!$X$3:$X$181,"&gt;="&amp;DATE(2025,8,1),'2025数据'!$X$3:$X$181,"&lt;="&amp;DATE(2025,8,31),'2025数据'!$BS$3:$BS$181,$E$39,'2025数据'!$B$3:$B$181,$E1626))</f>
        <v>0</v>
      </c>
      <c r="N1626" s="210">
        <f ca="1">IF($S$1&lt;DATE(2025,9,1)," ",COUNTIFS('2025数据'!$X$3:$X$181,"&gt;="&amp;DATE(2025,9,1),'2025数据'!$X$3:$X$181,"&lt;="&amp;DATE(2025,9,30),'2025数据'!$BS$3:$BS$181,$E$39,'2025数据'!$B$3:$B$181,$E1626))</f>
        <v>0</v>
      </c>
      <c r="O1626" s="210">
        <f ca="1">IF($S$1&lt;DATE(2025,10,1)," ",COUNTIFS('2025数据'!$X$3:$X$181,"&gt;="&amp;DATE(2025,10,1),'2025数据'!$X$3:$X$181,"&lt;="&amp;DATE(2025,10,31),'2025数据'!$BS$3:$BS$181,$E$39,'2025数据'!$B$3:$B$181,$E1626))</f>
        <v>0</v>
      </c>
      <c r="P1626" s="212">
        <f ca="1">IF($S$1&lt;DATE(2025,11,1)," ",COUNTIFS('2025数据'!$X$3:$X$181,"&gt;="&amp;DATE(2025,11,1),'2025数据'!$X$3:$X$181,"&lt;="&amp;DATE(2025,11,30),'2025数据'!$BS$3:$BS$181,$E$39,'2025数据'!$B$3:$B$181,$E1626))</f>
        <v>0</v>
      </c>
      <c r="Q1626" s="212">
        <f ca="1">IF($S$1&lt;DATE(2025,12,1)," ",COUNTIFS('2025数据'!$X$3:$X$181,"&gt;="&amp;DATE(2025,12,1),'2025数据'!$X$3:$X$181,"&lt;="&amp;DATE(2025,12,31),'2025数据'!$BS$3:$BS$181,$E$39,'2025数据'!$B$3:$B$181,$E1626))</f>
        <v>0</v>
      </c>
    </row>
    <row r="1627" ht="24" customHeight="1" spans="1:17">
      <c r="A1627" s="99" t="s">
        <v>349</v>
      </c>
      <c r="B1627" s="99" t="s">
        <v>299</v>
      </c>
      <c r="C1627" s="99" t="s">
        <v>291</v>
      </c>
      <c r="D1627" s="53" t="s">
        <v>305</v>
      </c>
      <c r="E1627" s="53" t="s">
        <v>81</v>
      </c>
      <c r="F1627" s="210">
        <f ca="1">IF($S$1&lt;DATE(2025,1,1)," ",COUNTIFS('2025数据'!$X$3:$X$181,"&gt;="&amp;DATE(2025,1,1),'2025数据'!$X$3:$X$181,"&lt;="&amp;DATE(2025,1,31),'2025数据'!$BS$3:$BS$181,$E$39,'2025数据'!$B$3:$B$181,$E1627))</f>
        <v>0</v>
      </c>
      <c r="G1627" s="210">
        <f ca="1">IF($S$1&lt;DATE(2025,2,1)," ",COUNTIFS('2025数据'!$X$3:$X$181,"&gt;="&amp;DATE(2025,2,1),'2025数据'!$X$3:$X$181,"&lt;="&amp;DATE(2025,2,28),'2025数据'!$BS$3:$BS$181,$E$39,'2025数据'!$B$3:$B$181,$E1627))</f>
        <v>0</v>
      </c>
      <c r="H1627" s="210">
        <f ca="1">IF($S$1&lt;DATE(2025,3,1)," ",COUNTIFS('2025数据'!$X$3:$X$181,"&gt;="&amp;DATE(2025,3,1),'2025数据'!$X$3:$X$181,"&lt;="&amp;DATE(2025,3,31),'2025数据'!$BS$3:$BS$181,$E$39,'2025数据'!$B$3:$B$181,$E1627))</f>
        <v>0</v>
      </c>
      <c r="I1627" s="210">
        <f ca="1">IF($S$1&lt;DATE(2025,4,1)," ",COUNTIFS('2025数据'!$X$3:$X$181,"&gt;="&amp;DATE(2025,4,1),'2025数据'!$X$3:$X$181,"&lt;="&amp;DATE(2025,4,30),'2025数据'!$BS$3:$BS$181,$E$39,'2025数据'!$B$3:$B$181,$E1627))</f>
        <v>0</v>
      </c>
      <c r="J1627" s="210">
        <f ca="1">IF($S$1&lt;DATE(2025,5,1)," ",COUNTIFS('2025数据'!$X$3:$X$181,"&gt;="&amp;DATE(2025,5,1),'2025数据'!$X$3:$X$181,"&lt;="&amp;DATE(2025,5,31),'2025数据'!$BS$3:$BS$181,$E$39,'2025数据'!$B$3:$B$181,$E1627))</f>
        <v>0</v>
      </c>
      <c r="K1627" s="210">
        <f ca="1">IF($S$1&lt;DATE(2025,6,1)," ",COUNTIFS('2025数据'!$X$3:$X$181,"&gt;="&amp;DATE(2025,6,1),'2025数据'!$X$3:$X$181,"&lt;="&amp;DATE(2025,6,30),'2025数据'!$BS$3:$BS$181,$E$39,'2025数据'!$B$3:$B$181,$E1627))</f>
        <v>0</v>
      </c>
      <c r="L1627" s="210">
        <f ca="1">IF($S$1&lt;DATE(2025,7,1)," ",COUNTIFS('2025数据'!$X$3:$X$181,"&gt;="&amp;DATE(2025,7,1),'2025数据'!$X$3:$X$181,"&lt;="&amp;DATE(2025,7,31),'2025数据'!$BS$3:$BS$181,$E$39,'2025数据'!$B$3:$B$181,$E1627))</f>
        <v>0</v>
      </c>
      <c r="M1627" s="210">
        <f ca="1">IF($S$1&lt;DATE(2025,8,1)," ",COUNTIFS('2025数据'!$X$3:$X$181,"&gt;="&amp;DATE(2025,8,1),'2025数据'!$X$3:$X$181,"&lt;="&amp;DATE(2025,8,31),'2025数据'!$BS$3:$BS$181,$E$39,'2025数据'!$B$3:$B$181,$E1627))</f>
        <v>1</v>
      </c>
      <c r="N1627" s="210">
        <f ca="1">IF($S$1&lt;DATE(2025,9,1)," ",COUNTIFS('2025数据'!$X$3:$X$181,"&gt;="&amp;DATE(2025,9,1),'2025数据'!$X$3:$X$181,"&lt;="&amp;DATE(2025,9,30),'2025数据'!$BS$3:$BS$181,$E$39,'2025数据'!$B$3:$B$181,$E1627))</f>
        <v>1</v>
      </c>
      <c r="O1627" s="210">
        <f ca="1">IF($S$1&lt;DATE(2025,10,1)," ",COUNTIFS('2025数据'!$X$3:$X$181,"&gt;="&amp;DATE(2025,10,1),'2025数据'!$X$3:$X$181,"&lt;="&amp;DATE(2025,10,31),'2025数据'!$BS$3:$BS$181,$E$39,'2025数据'!$B$3:$B$181,$E1627))</f>
        <v>0</v>
      </c>
      <c r="P1627" s="212">
        <f ca="1">IF($S$1&lt;DATE(2025,11,1)," ",COUNTIFS('2025数据'!$X$3:$X$181,"&gt;="&amp;DATE(2025,11,1),'2025数据'!$X$3:$X$181,"&lt;="&amp;DATE(2025,11,30),'2025数据'!$BS$3:$BS$181,$E$39,'2025数据'!$B$3:$B$181,$E1627))</f>
        <v>0</v>
      </c>
      <c r="Q1627" s="212">
        <f ca="1">IF($S$1&lt;DATE(2025,12,1)," ",COUNTIFS('2025数据'!$X$3:$X$181,"&gt;="&amp;DATE(2025,12,1),'2025数据'!$X$3:$X$181,"&lt;="&amp;DATE(2025,12,31),'2025数据'!$BS$3:$BS$181,$E$39,'2025数据'!$B$3:$B$181,$E1627))</f>
        <v>0</v>
      </c>
    </row>
    <row r="1628" ht="24" customHeight="1" spans="1:17">
      <c r="A1628" s="99" t="s">
        <v>349</v>
      </c>
      <c r="B1628" s="99" t="s">
        <v>299</v>
      </c>
      <c r="C1628" s="99" t="s">
        <v>291</v>
      </c>
      <c r="D1628" s="53" t="s">
        <v>305</v>
      </c>
      <c r="E1628" s="53" t="s">
        <v>96</v>
      </c>
      <c r="F1628" s="210">
        <f ca="1">IF($S$1&lt;DATE(2025,1,1)," ",COUNTIFS('2025数据'!$X$3:$X$181,"&gt;="&amp;DATE(2025,1,1),'2025数据'!$X$3:$X$181,"&lt;="&amp;DATE(2025,1,31),'2025数据'!$BS$3:$BS$181,$E$39,'2025数据'!$B$3:$B$181,$E1628))</f>
        <v>0</v>
      </c>
      <c r="G1628" s="210">
        <f ca="1">IF($S$1&lt;DATE(2025,2,1)," ",COUNTIFS('2025数据'!$X$3:$X$181,"&gt;="&amp;DATE(2025,2,1),'2025数据'!$X$3:$X$181,"&lt;="&amp;DATE(2025,2,28),'2025数据'!$BS$3:$BS$181,$E$39,'2025数据'!$B$3:$B$181,$E1628))</f>
        <v>0</v>
      </c>
      <c r="H1628" s="210">
        <f ca="1">IF($S$1&lt;DATE(2025,3,1)," ",COUNTIFS('2025数据'!$X$3:$X$181,"&gt;="&amp;DATE(2025,3,1),'2025数据'!$X$3:$X$181,"&lt;="&amp;DATE(2025,3,31),'2025数据'!$BS$3:$BS$181,$E$39,'2025数据'!$B$3:$B$181,$E1628))</f>
        <v>0</v>
      </c>
      <c r="I1628" s="210">
        <f ca="1">IF($S$1&lt;DATE(2025,4,1)," ",COUNTIFS('2025数据'!$X$3:$X$181,"&gt;="&amp;DATE(2025,4,1),'2025数据'!$X$3:$X$181,"&lt;="&amp;DATE(2025,4,30),'2025数据'!$BS$3:$BS$181,$E$39,'2025数据'!$B$3:$B$181,$E1628))</f>
        <v>0</v>
      </c>
      <c r="J1628" s="210">
        <f ca="1">IF($S$1&lt;DATE(2025,5,1)," ",COUNTIFS('2025数据'!$X$3:$X$181,"&gt;="&amp;DATE(2025,5,1),'2025数据'!$X$3:$X$181,"&lt;="&amp;DATE(2025,5,31),'2025数据'!$BS$3:$BS$181,$E$39,'2025数据'!$B$3:$B$181,$E1628))</f>
        <v>0</v>
      </c>
      <c r="K1628" s="210">
        <f ca="1">IF($S$1&lt;DATE(2025,6,1)," ",COUNTIFS('2025数据'!$X$3:$X$181,"&gt;="&amp;DATE(2025,6,1),'2025数据'!$X$3:$X$181,"&lt;="&amp;DATE(2025,6,30),'2025数据'!$BS$3:$BS$181,$E$39,'2025数据'!$B$3:$B$181,$E1628))</f>
        <v>0</v>
      </c>
      <c r="L1628" s="210">
        <f ca="1">IF($S$1&lt;DATE(2025,7,1)," ",COUNTIFS('2025数据'!$X$3:$X$181,"&gt;="&amp;DATE(2025,7,1),'2025数据'!$X$3:$X$181,"&lt;="&amp;DATE(2025,7,31),'2025数据'!$BS$3:$BS$181,$E$39,'2025数据'!$B$3:$B$181,$E1628))</f>
        <v>0</v>
      </c>
      <c r="M1628" s="210">
        <f ca="1">IF($S$1&lt;DATE(2025,8,1)," ",COUNTIFS('2025数据'!$X$3:$X$181,"&gt;="&amp;DATE(2025,8,1),'2025数据'!$X$3:$X$181,"&lt;="&amp;DATE(2025,8,31),'2025数据'!$BS$3:$BS$181,$E$39,'2025数据'!$B$3:$B$181,$E1628))</f>
        <v>0</v>
      </c>
      <c r="N1628" s="210">
        <f ca="1">IF($S$1&lt;DATE(2025,9,1)," ",COUNTIFS('2025数据'!$X$3:$X$181,"&gt;="&amp;DATE(2025,9,1),'2025数据'!$X$3:$X$181,"&lt;="&amp;DATE(2025,9,30),'2025数据'!$BS$3:$BS$181,$E$39,'2025数据'!$B$3:$B$181,$E1628))</f>
        <v>0</v>
      </c>
      <c r="O1628" s="210">
        <f ca="1">IF($S$1&lt;DATE(2025,10,1)," ",COUNTIFS('2025数据'!$X$3:$X$181,"&gt;="&amp;DATE(2025,10,1),'2025数据'!$X$3:$X$181,"&lt;="&amp;DATE(2025,10,31),'2025数据'!$BS$3:$BS$181,$E$39,'2025数据'!$B$3:$B$181,$E1628))</f>
        <v>0</v>
      </c>
      <c r="P1628" s="212">
        <f ca="1">IF($S$1&lt;DATE(2025,11,1)," ",COUNTIFS('2025数据'!$X$3:$X$181,"&gt;="&amp;DATE(2025,11,1),'2025数据'!$X$3:$X$181,"&lt;="&amp;DATE(2025,11,30),'2025数据'!$BS$3:$BS$181,$E$39,'2025数据'!$B$3:$B$181,$E1628))</f>
        <v>0</v>
      </c>
      <c r="Q1628" s="212">
        <f ca="1">IF($S$1&lt;DATE(2025,12,1)," ",COUNTIFS('2025数据'!$X$3:$X$181,"&gt;="&amp;DATE(2025,12,1),'2025数据'!$X$3:$X$181,"&lt;="&amp;DATE(2025,12,31),'2025数据'!$BS$3:$BS$181,$E$39,'2025数据'!$B$3:$B$181,$E1628))</f>
        <v>0</v>
      </c>
    </row>
    <row r="1629" ht="24" customHeight="1" spans="1:17">
      <c r="A1629" s="99" t="s">
        <v>349</v>
      </c>
      <c r="B1629" s="99" t="s">
        <v>299</v>
      </c>
      <c r="C1629" s="99" t="s">
        <v>291</v>
      </c>
      <c r="D1629" s="53" t="s">
        <v>305</v>
      </c>
      <c r="E1629" s="53" t="s">
        <v>160</v>
      </c>
      <c r="F1629" s="210">
        <f ca="1">IF($S$1&lt;DATE(2025,1,1)," ",COUNTIFS('2025数据'!$X$3:$X$181,"&gt;="&amp;DATE(2025,1,1),'2025数据'!$X$3:$X$181,"&lt;="&amp;DATE(2025,1,31),'2025数据'!$BS$3:$BS$181,$E$39,'2025数据'!$B$3:$B$181,$E1629))</f>
        <v>0</v>
      </c>
      <c r="G1629" s="210">
        <f ca="1">IF($S$1&lt;DATE(2025,2,1)," ",COUNTIFS('2025数据'!$X$3:$X$181,"&gt;="&amp;DATE(2025,2,1),'2025数据'!$X$3:$X$181,"&lt;="&amp;DATE(2025,2,28),'2025数据'!$BS$3:$BS$181,$E$39,'2025数据'!$B$3:$B$181,$E1629))</f>
        <v>0</v>
      </c>
      <c r="H1629" s="210">
        <f ca="1">IF($S$1&lt;DATE(2025,3,1)," ",COUNTIFS('2025数据'!$X$3:$X$181,"&gt;="&amp;DATE(2025,3,1),'2025数据'!$X$3:$X$181,"&lt;="&amp;DATE(2025,3,31),'2025数据'!$BS$3:$BS$181,$E$39,'2025数据'!$B$3:$B$181,$E1629))</f>
        <v>0</v>
      </c>
      <c r="I1629" s="210">
        <f ca="1">IF($S$1&lt;DATE(2025,4,1)," ",COUNTIFS('2025数据'!$X$3:$X$181,"&gt;="&amp;DATE(2025,4,1),'2025数据'!$X$3:$X$181,"&lt;="&amp;DATE(2025,4,30),'2025数据'!$BS$3:$BS$181,$E$39,'2025数据'!$B$3:$B$181,$E1629))</f>
        <v>0</v>
      </c>
      <c r="J1629" s="210">
        <f ca="1">IF($S$1&lt;DATE(2025,5,1)," ",COUNTIFS('2025数据'!$X$3:$X$181,"&gt;="&amp;DATE(2025,5,1),'2025数据'!$X$3:$X$181,"&lt;="&amp;DATE(2025,5,31),'2025数据'!$BS$3:$BS$181,$E$39,'2025数据'!$B$3:$B$181,$E1629))</f>
        <v>0</v>
      </c>
      <c r="K1629" s="210">
        <f ca="1">IF($S$1&lt;DATE(2025,6,1)," ",COUNTIFS('2025数据'!$X$3:$X$181,"&gt;="&amp;DATE(2025,6,1),'2025数据'!$X$3:$X$181,"&lt;="&amp;DATE(2025,6,30),'2025数据'!$BS$3:$BS$181,$E$39,'2025数据'!$B$3:$B$181,$E1629))</f>
        <v>0</v>
      </c>
      <c r="L1629" s="210">
        <f ca="1">IF($S$1&lt;DATE(2025,7,1)," ",COUNTIFS('2025数据'!$X$3:$X$181,"&gt;="&amp;DATE(2025,7,1),'2025数据'!$X$3:$X$181,"&lt;="&amp;DATE(2025,7,31),'2025数据'!$BS$3:$BS$181,$E$39,'2025数据'!$B$3:$B$181,$E1629))</f>
        <v>0</v>
      </c>
      <c r="M1629" s="210">
        <f ca="1">IF($S$1&lt;DATE(2025,8,1)," ",COUNTIFS('2025数据'!$X$3:$X$181,"&gt;="&amp;DATE(2025,8,1),'2025数据'!$X$3:$X$181,"&lt;="&amp;DATE(2025,8,31),'2025数据'!$BS$3:$BS$181,$E$39,'2025数据'!$B$3:$B$181,$E1629))</f>
        <v>0</v>
      </c>
      <c r="N1629" s="210">
        <f ca="1">IF($S$1&lt;DATE(2025,9,1)," ",COUNTIFS('2025数据'!$X$3:$X$181,"&gt;="&amp;DATE(2025,9,1),'2025数据'!$X$3:$X$181,"&lt;="&amp;DATE(2025,9,30),'2025数据'!$BS$3:$BS$181,$E$39,'2025数据'!$B$3:$B$181,$E1629))</f>
        <v>0</v>
      </c>
      <c r="O1629" s="210">
        <f ca="1">IF($S$1&lt;DATE(2025,10,1)," ",COUNTIFS('2025数据'!$X$3:$X$181,"&gt;="&amp;DATE(2025,10,1),'2025数据'!$X$3:$X$181,"&lt;="&amp;DATE(2025,10,31),'2025数据'!$BS$3:$BS$181,$E$39,'2025数据'!$B$3:$B$181,$E1629))</f>
        <v>0</v>
      </c>
      <c r="P1629" s="212">
        <f ca="1">IF($S$1&lt;DATE(2025,11,1)," ",COUNTIFS('2025数据'!$X$3:$X$181,"&gt;="&amp;DATE(2025,11,1),'2025数据'!$X$3:$X$181,"&lt;="&amp;DATE(2025,11,30),'2025数据'!$BS$3:$BS$181,$E$39,'2025数据'!$B$3:$B$181,$E1629))</f>
        <v>0</v>
      </c>
      <c r="Q1629" s="212">
        <f ca="1">IF($S$1&lt;DATE(2025,12,1)," ",COUNTIFS('2025数据'!$X$3:$X$181,"&gt;="&amp;DATE(2025,12,1),'2025数据'!$X$3:$X$181,"&lt;="&amp;DATE(2025,12,31),'2025数据'!$BS$3:$BS$181,$E$39,'2025数据'!$B$3:$B$181,$E1629))</f>
        <v>0</v>
      </c>
    </row>
    <row r="1630" ht="24" customHeight="1" spans="1:17">
      <c r="A1630" s="99" t="s">
        <v>349</v>
      </c>
      <c r="B1630" s="99" t="s">
        <v>299</v>
      </c>
      <c r="C1630" s="99" t="s">
        <v>291</v>
      </c>
      <c r="D1630" s="100" t="s">
        <v>292</v>
      </c>
      <c r="E1630" s="100" t="s">
        <v>306</v>
      </c>
      <c r="F1630" s="204">
        <f ca="1">IF($S$1&lt;DATE(2025,1,1)," ",SUM(F1631:F1633))</f>
        <v>0</v>
      </c>
      <c r="G1630" s="204">
        <f ca="1">IF($S$1&lt;DATE(2025,2,1)," ",SUM(G1631:G1633))</f>
        <v>0</v>
      </c>
      <c r="H1630" s="204">
        <f ca="1">IF($S$1&lt;DATE(2025,3,1)," ",SUM(H1631:H1633))</f>
        <v>0</v>
      </c>
      <c r="I1630" s="204">
        <f ca="1">IF($S$1&lt;DATE(2025,4,1)," ",SUM(I1631:I1633))</f>
        <v>0</v>
      </c>
      <c r="J1630" s="204">
        <f ca="1">IF($S$1&lt;DATE(2025,5,1)," ",SUM(J1631:J1633))</f>
        <v>0</v>
      </c>
      <c r="K1630" s="204">
        <f ca="1">IF($S$1&lt;DATE(2025,6,1)," ",SUM(K1631:K1633))</f>
        <v>0</v>
      </c>
      <c r="L1630" s="204">
        <f ca="1">IF($S$1&lt;DATE(2025,7,1)," ",SUM(L1631:L1633))</f>
        <v>0</v>
      </c>
      <c r="M1630" s="204">
        <f ca="1">IF($S$1&lt;DATE(2025,8,1)," ",SUM(M1631:M1633))</f>
        <v>0</v>
      </c>
      <c r="N1630" s="204">
        <f ca="1">IF($S$1&lt;DATE(2025,9,1)," ",SUM(N1631:N1633))</f>
        <v>1</v>
      </c>
      <c r="O1630" s="204">
        <f ca="1">IF($S$1&lt;DATE(2025,10,1)," ",SUM(O1631:O1633))</f>
        <v>2</v>
      </c>
      <c r="P1630" s="204">
        <f ca="1">IF($S$1&lt;DATE(2025,11,1)," ",SUM(P1631:P1633))</f>
        <v>1</v>
      </c>
      <c r="Q1630" s="204">
        <f ca="1">IF($S$1&lt;DATE(2025,12,1)," ",SUM(Q1631:Q1633))</f>
        <v>0</v>
      </c>
    </row>
    <row r="1631" ht="24" customHeight="1" spans="1:17">
      <c r="A1631" s="99" t="s">
        <v>349</v>
      </c>
      <c r="B1631" s="99" t="s">
        <v>299</v>
      </c>
      <c r="C1631" s="99" t="s">
        <v>291</v>
      </c>
      <c r="D1631" s="48" t="s">
        <v>296</v>
      </c>
      <c r="E1631" s="48" t="s">
        <v>90</v>
      </c>
      <c r="F1631" s="205">
        <f ca="1">IF($S$1&lt;DATE(2025,1,1)," ",COUNTIFS('2025数据'!$X$3:$X$181,"&gt;="&amp;DATE(2024,1,1),'2025数据'!$X$3:$X$181,"&lt;="&amp;DATE(2025,1,31),'2025数据'!$AF$3:$AF$181,$E1631))</f>
        <v>0</v>
      </c>
      <c r="G1631" s="205">
        <f ca="1">IF($S$1&lt;DATE(2025,2,1)," ",COUNTIFS('2025数据'!$X$3:$X$181,"&gt;="&amp;DATE(2025,2,1),'2025数据'!$X$3:$X$181,"&lt;="&amp;DATE(2025,2,28),'2025数据'!$AF$3:$AF$181,$E1631))</f>
        <v>0</v>
      </c>
      <c r="H1631" s="205">
        <f ca="1">IF($S$1&lt;DATE(2025,3,1)," ",COUNTIFS('2025数据'!$X$3:$X$181,"&gt;="&amp;DATE(2025,3,1),'2025数据'!$X$3:$X$181,"&lt;="&amp;DATE(2025,3,31),'2025数据'!$AF$3:$AF$181,$E1631))</f>
        <v>0</v>
      </c>
      <c r="I1631" s="205">
        <f ca="1">IF($S$1&lt;DATE(2025,4,1)," ",COUNTIFS('2025数据'!$X$3:$X$181,"&gt;="&amp;DATE(2025,4,1),'2025数据'!$X$3:$X$181,"&lt;="&amp;DATE(2025,4,30),'2025数据'!$AF$3:$AF$181,$E1631))</f>
        <v>0</v>
      </c>
      <c r="J1631" s="205">
        <f ca="1">IF($S$1&lt;DATE(2025,5,1)," ",COUNTIFS('2025数据'!$X$3:$X$181,"&gt;="&amp;DATE(2025,5,1),'2025数据'!$X$3:$X$181,"&lt;="&amp;DATE(2025,5,31),'2025数据'!$AF$3:$AF$181,$E1631))</f>
        <v>0</v>
      </c>
      <c r="K1631" s="205">
        <f ca="1">IF($S$1&lt;DATE(2025,6,1)," ",COUNTIFS('2025数据'!$X$3:$X$181,"&gt;="&amp;DATE(2025,6,1),'2025数据'!$X$3:$X$181,"&lt;="&amp;DATE(2025,6,30),'2025数据'!$AF$3:$AF$181,$E1631))</f>
        <v>0</v>
      </c>
      <c r="L1631" s="205">
        <f ca="1">IF($S$1&lt;DATE(2025,7,1)," ",COUNTIFS('2025数据'!$X$3:$X$181,"&gt;="&amp;DATE(2025,7,1),'2025数据'!$X$3:$X$181,"&lt;="&amp;DATE(2025,7,31),'2025数据'!$AF$3:$AF$181,$E1631))</f>
        <v>0</v>
      </c>
      <c r="M1631" s="205">
        <f ca="1">IF($S$1&lt;DATE(2025,8,1)," ",COUNTIFS('2025数据'!$X$3:$X$181,"&gt;="&amp;DATE(2025,8,1),'2025数据'!$X$3:$X$181,"&lt;="&amp;DATE(2025,8,31),'2025数据'!$AF$3:$AF$181,$E1631))</f>
        <v>0</v>
      </c>
      <c r="N1631" s="205">
        <f ca="1">IF($S$1&lt;DATE(2025,9,1)," ",COUNTIFS('2025数据'!$X$3:$X$181,"&gt;="&amp;DATE(2025,9,1),'2025数据'!$X$3:$X$181,"&lt;="&amp;DATE(2025,9,30),'2025数据'!$AF$3:$AF$181,$E1631))</f>
        <v>0</v>
      </c>
      <c r="O1631" s="205">
        <f ca="1">IF($S$1&lt;DATE(2025,10,1)," ",COUNTIFS('2025数据'!$X$3:$X$181,"&gt;="&amp;DATE(2025,10,1),'2025数据'!$X$3:$X$181,"&lt;="&amp;DATE(2025,10,31),'2025数据'!$AF$3:$AF$181,$E1631))</f>
        <v>2</v>
      </c>
      <c r="P1631" s="207">
        <f ca="1">IF($S$1&lt;DATE(2025,11,1)," ",COUNTIFS('2025数据'!$X$3:$X$181,"&gt;="&amp;DATE(2025,11,1),'2025数据'!$X$3:$X$181,"&lt;="&amp;DATE(2025,11,30),'2025数据'!$AF$3:$AF$181,$E1631))</f>
        <v>0</v>
      </c>
      <c r="Q1631" s="207">
        <f ca="1">IF($S$1&lt;DATE(2025,12,1)," ",COUNTIFS('2025数据'!$X$3:$X$181,"&gt;="&amp;DATE(2025,12,1),'2025数据'!$X$3:$X$181,"&lt;="&amp;DATE(2025,12,31),'2025数据'!$AF$3:$AF$181,$E1631))</f>
        <v>0</v>
      </c>
    </row>
    <row r="1632" ht="24" customHeight="1" spans="1:17">
      <c r="A1632" s="99" t="s">
        <v>349</v>
      </c>
      <c r="B1632" s="99" t="s">
        <v>299</v>
      </c>
      <c r="C1632" s="99" t="s">
        <v>291</v>
      </c>
      <c r="D1632" s="48" t="s">
        <v>296</v>
      </c>
      <c r="E1632" s="48" t="s">
        <v>82</v>
      </c>
      <c r="F1632" s="205">
        <f ca="1">IF($S$1&lt;DATE(2025,1,1)," ",COUNTIFS('2025数据'!$X$3:$X$181,"&gt;="&amp;DATE(2024,1,1),'2025数据'!$X$3:$X$181,"&lt;="&amp;DATE(2025,1,31),'2025数据'!$AF$3:$AF$181,$E1632))</f>
        <v>0</v>
      </c>
      <c r="G1632" s="205">
        <f ca="1">IF($S$1&lt;DATE(2025,2,1)," ",COUNTIFS('2025数据'!$X$3:$X$181,"&gt;="&amp;DATE(2025,2,1),'2025数据'!$X$3:$X$181,"&lt;="&amp;DATE(2025,2,28),'2025数据'!$AF$3:$AF$181,$E1632))</f>
        <v>0</v>
      </c>
      <c r="H1632" s="205">
        <f ca="1">IF($S$1&lt;DATE(2025,3,1)," ",COUNTIFS('2025数据'!$X$3:$X$181,"&gt;="&amp;DATE(2025,3,1),'2025数据'!$X$3:$X$181,"&lt;="&amp;DATE(2025,3,31),'2025数据'!$AF$3:$AF$181,$E1632))</f>
        <v>0</v>
      </c>
      <c r="I1632" s="205">
        <f ca="1">IF($S$1&lt;DATE(2025,4,1)," ",COUNTIFS('2025数据'!$X$3:$X$181,"&gt;="&amp;DATE(2025,4,1),'2025数据'!$X$3:$X$181,"&lt;="&amp;DATE(2025,4,30),'2025数据'!$AF$3:$AF$181,$E1632))</f>
        <v>0</v>
      </c>
      <c r="J1632" s="205">
        <f ca="1">IF($S$1&lt;DATE(2025,5,1)," ",COUNTIFS('2025数据'!$X$3:$X$181,"&gt;="&amp;DATE(2025,5,1),'2025数据'!$X$3:$X$181,"&lt;="&amp;DATE(2025,5,31),'2025数据'!$AF$3:$AF$181,$E1632))</f>
        <v>0</v>
      </c>
      <c r="K1632" s="205">
        <f ca="1">IF($S$1&lt;DATE(2025,6,1)," ",COUNTIFS('2025数据'!$X$3:$X$181,"&gt;="&amp;DATE(2025,6,1),'2025数据'!$X$3:$X$181,"&lt;="&amp;DATE(2025,6,30),'2025数据'!$AF$3:$AF$181,$E1632))</f>
        <v>0</v>
      </c>
      <c r="L1632" s="205">
        <f ca="1">IF($S$1&lt;DATE(2025,7,1)," ",COUNTIFS('2025数据'!$X$3:$X$181,"&gt;="&amp;DATE(2025,7,1),'2025数据'!$X$3:$X$181,"&lt;="&amp;DATE(2025,7,31),'2025数据'!$AF$3:$AF$181,$E1632))</f>
        <v>0</v>
      </c>
      <c r="M1632" s="205">
        <f ca="1">IF($S$1&lt;DATE(2025,8,1)," ",COUNTIFS('2025数据'!$X$3:$X$181,"&gt;="&amp;DATE(2025,8,1),'2025数据'!$X$3:$X$181,"&lt;="&amp;DATE(2025,8,31),'2025数据'!$AF$3:$AF$181,$E1632))</f>
        <v>0</v>
      </c>
      <c r="N1632" s="205">
        <f ca="1">IF($S$1&lt;DATE(2025,9,1)," ",COUNTIFS('2025数据'!$X$3:$X$181,"&gt;="&amp;DATE(2025,9,1),'2025数据'!$X$3:$X$181,"&lt;="&amp;DATE(2025,9,30),'2025数据'!$AF$3:$AF$181,$E1632))</f>
        <v>0</v>
      </c>
      <c r="O1632" s="205">
        <f ca="1">IF($S$1&lt;DATE(2025,10,1)," ",COUNTIFS('2025数据'!$X$3:$X$181,"&gt;="&amp;DATE(2025,10,1),'2025数据'!$X$3:$X$181,"&lt;="&amp;DATE(2025,10,31),'2025数据'!$AF$3:$AF$181,$E1632))</f>
        <v>0</v>
      </c>
      <c r="P1632" s="207">
        <f ca="1">IF($S$1&lt;DATE(2025,11,1)," ",COUNTIFS('2025数据'!$X$3:$X$181,"&gt;="&amp;DATE(2025,11,1),'2025数据'!$X$3:$X$181,"&lt;="&amp;DATE(2025,11,30),'2025数据'!$AF$3:$AF$181,$E1632))</f>
        <v>1</v>
      </c>
      <c r="Q1632" s="207">
        <f ca="1">IF($S$1&lt;DATE(2025,12,1)," ",COUNTIFS('2025数据'!$X$3:$X$181,"&gt;="&amp;DATE(2025,12,1),'2025数据'!$X$3:$X$181,"&lt;="&amp;DATE(2025,12,31),'2025数据'!$AF$3:$AF$181,$E1632))</f>
        <v>0</v>
      </c>
    </row>
    <row r="1633" ht="24" customHeight="1" spans="1:17">
      <c r="A1633" s="99" t="s">
        <v>349</v>
      </c>
      <c r="B1633" s="99" t="s">
        <v>299</v>
      </c>
      <c r="C1633" s="99" t="s">
        <v>291</v>
      </c>
      <c r="D1633" s="48" t="s">
        <v>296</v>
      </c>
      <c r="E1633" s="48" t="s">
        <v>86</v>
      </c>
      <c r="F1633" s="205">
        <f ca="1">IF($S$1&lt;DATE(2025,1,1)," ",COUNTIFS('2025数据'!$X$3:$X$181,"&gt;="&amp;DATE(2024,1,1),'2025数据'!$X$3:$X$181,"&lt;="&amp;DATE(2025,1,31),'2025数据'!$AF$3:$AF$181,$E1633))</f>
        <v>0</v>
      </c>
      <c r="G1633" s="205">
        <f ca="1">IF($S$1&lt;DATE(2025,2,1)," ",COUNTIFS('2025数据'!$X$3:$X$181,"&gt;="&amp;DATE(2025,2,1),'2025数据'!$X$3:$X$181,"&lt;="&amp;DATE(2025,2,28),'2025数据'!$AF$3:$AF$181,$E1633))</f>
        <v>0</v>
      </c>
      <c r="H1633" s="205">
        <f ca="1">IF($S$1&lt;DATE(2025,3,1)," ",COUNTIFS('2025数据'!$X$3:$X$181,"&gt;="&amp;DATE(2025,3,1),'2025数据'!$X$3:$X$181,"&lt;="&amp;DATE(2025,3,31),'2025数据'!$AF$3:$AF$181,$E1633))</f>
        <v>0</v>
      </c>
      <c r="I1633" s="205">
        <f ca="1">IF($S$1&lt;DATE(2025,4,1)," ",COUNTIFS('2025数据'!$X$3:$X$181,"&gt;="&amp;DATE(2025,4,1),'2025数据'!$X$3:$X$181,"&lt;="&amp;DATE(2025,4,30),'2025数据'!$AF$3:$AF$181,$E1633))</f>
        <v>0</v>
      </c>
      <c r="J1633" s="205">
        <f ca="1">IF($S$1&lt;DATE(2025,5,1)," ",COUNTIFS('2025数据'!$X$3:$X$181,"&gt;="&amp;DATE(2025,5,1),'2025数据'!$X$3:$X$181,"&lt;="&amp;DATE(2025,5,31),'2025数据'!$AF$3:$AF$181,$E1633))</f>
        <v>0</v>
      </c>
      <c r="K1633" s="205">
        <f ca="1">IF($S$1&lt;DATE(2025,6,1)," ",COUNTIFS('2025数据'!$X$3:$X$181,"&gt;="&amp;DATE(2025,6,1),'2025数据'!$X$3:$X$181,"&lt;="&amp;DATE(2025,6,30),'2025数据'!$AF$3:$AF$181,$E1633))</f>
        <v>0</v>
      </c>
      <c r="L1633" s="205">
        <f ca="1">IF($S$1&lt;DATE(2025,7,1)," ",COUNTIFS('2025数据'!$X$3:$X$181,"&gt;="&amp;DATE(2025,7,1),'2025数据'!$X$3:$X$181,"&lt;="&amp;DATE(2025,7,31),'2025数据'!$AF$3:$AF$181,$E1633))</f>
        <v>0</v>
      </c>
      <c r="M1633" s="205">
        <f ca="1">IF($S$1&lt;DATE(2025,8,1)," ",COUNTIFS('2025数据'!$X$3:$X$181,"&gt;="&amp;DATE(2025,8,1),'2025数据'!$X$3:$X$181,"&lt;="&amp;DATE(2025,8,31),'2025数据'!$AF$3:$AF$181,$E1633))</f>
        <v>0</v>
      </c>
      <c r="N1633" s="205">
        <f ca="1">IF($S$1&lt;DATE(2025,9,1)," ",COUNTIFS('2025数据'!$X$3:$X$181,"&gt;="&amp;DATE(2025,9,1),'2025数据'!$X$3:$X$181,"&lt;="&amp;DATE(2025,9,30),'2025数据'!$AF$3:$AF$181,$E1633))</f>
        <v>1</v>
      </c>
      <c r="O1633" s="205">
        <f ca="1">IF($S$1&lt;DATE(2025,10,1)," ",COUNTIFS('2025数据'!$X$3:$X$181,"&gt;="&amp;DATE(2025,10,1),'2025数据'!$X$3:$X$181,"&lt;="&amp;DATE(2025,10,31),'2025数据'!$AF$3:$AF$181,$E1633))</f>
        <v>0</v>
      </c>
      <c r="P1633" s="207">
        <f ca="1">IF($S$1&lt;DATE(2025,11,1)," ",COUNTIFS('2025数据'!$X$3:$X$181,"&gt;="&amp;DATE(2025,11,1),'2025数据'!$X$3:$X$181,"&lt;="&amp;DATE(2025,11,30),'2025数据'!$AF$3:$AF$181,$E1633))</f>
        <v>0</v>
      </c>
      <c r="Q1633" s="207">
        <f ca="1">IF($S$1&lt;DATE(2025,12,1)," ",COUNTIFS('2025数据'!$X$3:$X$181,"&gt;="&amp;DATE(2025,12,1),'2025数据'!$X$3:$X$181,"&lt;="&amp;DATE(2025,12,31),'2025数据'!$AF$3:$AF$181,$E1633))</f>
        <v>0</v>
      </c>
    </row>
    <row r="1634" ht="24" customHeight="1" spans="1:17">
      <c r="A1634" s="99" t="s">
        <v>349</v>
      </c>
      <c r="B1634" s="99" t="s">
        <v>299</v>
      </c>
      <c r="C1634" s="99" t="s">
        <v>291</v>
      </c>
      <c r="D1634" s="100" t="s">
        <v>292</v>
      </c>
      <c r="E1634" s="100" t="s">
        <v>307</v>
      </c>
      <c r="F1634" s="204">
        <f ca="1">IF($S$1&lt;DATE(2025,1,1)," ",SUM(F1635:F1638))</f>
        <v>0</v>
      </c>
      <c r="G1634" s="204">
        <f ca="1">IF($S$1&lt;DATE(2025,2,1)," ",SUM(G1635:G1638))</f>
        <v>0</v>
      </c>
      <c r="H1634" s="204">
        <f ca="1">IF($S$1&lt;DATE(2025,3,1)," ",SUM(H1635:H1638))</f>
        <v>1</v>
      </c>
      <c r="I1634" s="204">
        <f ca="1">IF($S$1&lt;DATE(2025,4,1)," ",SUM(I1635:I1638))</f>
        <v>0</v>
      </c>
      <c r="J1634" s="204">
        <f ca="1">IF($S$1&lt;DATE(2025,5,1)," ",SUM(J1635:J1638))</f>
        <v>0</v>
      </c>
      <c r="K1634" s="204">
        <f ca="1">IF($S$1&lt;DATE(2025,6,1)," ",SUM(K1635:K1638))</f>
        <v>0</v>
      </c>
      <c r="L1634" s="204">
        <f ca="1">IF($S$1&lt;DATE(2025,7,1)," ",SUM(L1635:L1638))</f>
        <v>1</v>
      </c>
      <c r="M1634" s="204">
        <f ca="1">IF($S$1&lt;DATE(2025,8,1)," ",SUM(M1635:M1638))</f>
        <v>2</v>
      </c>
      <c r="N1634" s="204">
        <f ca="1">IF($S$1&lt;DATE(2025,9,1)," ",SUM(N1635:N1638))</f>
        <v>1</v>
      </c>
      <c r="O1634" s="204">
        <f ca="1">IF($S$1&lt;DATE(2025,10,1)," ",SUM(O1635:O1638))</f>
        <v>0</v>
      </c>
      <c r="P1634" s="204">
        <f ca="1">IF($S$1&lt;DATE(2025,11,1)," ",SUM(P1635:P1638))</f>
        <v>1</v>
      </c>
      <c r="Q1634" s="204">
        <f ca="1">IF($S$1&lt;DATE(2025,12,1)," ",SUM(Q1635:Q1638))</f>
        <v>0</v>
      </c>
    </row>
    <row r="1635" ht="24" customHeight="1" spans="1:17">
      <c r="A1635" s="99" t="s">
        <v>349</v>
      </c>
      <c r="B1635" s="99" t="s">
        <v>299</v>
      </c>
      <c r="C1635" s="99" t="s">
        <v>291</v>
      </c>
      <c r="D1635" s="48" t="s">
        <v>298</v>
      </c>
      <c r="E1635" s="48" t="s">
        <v>97</v>
      </c>
      <c r="F1635" s="205">
        <f ca="1">IF($S$1&lt;DATE(2025,1,1)," ",COUNTIFS('2025数据'!$X$3:$X$181,"&gt;="&amp;DATE(2024,1,1),'2025数据'!$X$3:$X$181,"&lt;="&amp;DATE(2025,1,31),'2025数据'!$AG$3:$AG$181,$E1635))</f>
        <v>0</v>
      </c>
      <c r="G1635" s="205">
        <f ca="1">IF($S$1&lt;DATE(2025,2,1)," ",COUNTIFS('2025数据'!$X$3:$X$181,"&gt;="&amp;DATE(2025,2,1),'2025数据'!$X$3:$X$181,"&lt;="&amp;DATE(2025,2,28),'2025数据'!$AG$3:$AG$181,$E1635))</f>
        <v>0</v>
      </c>
      <c r="H1635" s="205">
        <f ca="1">IF($S$1&lt;DATE(2025,3,1)," ",COUNTIFS('2025数据'!$X$3:$X$181,"&gt;="&amp;DATE(2025,3,1),'2025数据'!$X$3:$X$181,"&lt;="&amp;DATE(2025,3,31),'2025数据'!$AG$3:$AG$181,$E1635))</f>
        <v>0</v>
      </c>
      <c r="I1635" s="205">
        <f ca="1">IF($S$1&lt;DATE(2025,4,1)," ",COUNTIFS('2025数据'!$X$3:$X$181,"&gt;="&amp;DATE(2025,4,1),'2025数据'!$X$3:$X$181,"&lt;="&amp;DATE(2025,4,30),'2025数据'!$AG$3:$AG$181,$E1635))</f>
        <v>0</v>
      </c>
      <c r="J1635" s="205">
        <f ca="1">IF($S$1&lt;DATE(2025,5,1)," ",COUNTIFS('2025数据'!$X$3:$X$181,"&gt;="&amp;DATE(2025,5,1),'2025数据'!$X$3:$X$181,"&lt;="&amp;DATE(2025,5,31),'2025数据'!$AG$3:$AG$181,$E1635))</f>
        <v>0</v>
      </c>
      <c r="K1635" s="205">
        <f ca="1">IF($S$1&lt;DATE(2025,6,1)," ",COUNTIFS('2025数据'!$X$3:$X$181,"&gt;="&amp;DATE(2025,6,1),'2025数据'!$X$3:$X$181,"&lt;="&amp;DATE(2025,6,30),'2025数据'!$AG$3:$AG$181,$E1635))</f>
        <v>0</v>
      </c>
      <c r="L1635" s="205">
        <f ca="1">IF($S$1&lt;DATE(2025,7,1)," ",COUNTIFS('2025数据'!$X$3:$X$181,"&gt;="&amp;DATE(2025,7,1),'2025数据'!$X$3:$X$181,"&lt;="&amp;DATE(2025,7,31),'2025数据'!$AG$3:$AG$181,$E1635))</f>
        <v>0</v>
      </c>
      <c r="M1635" s="205">
        <f ca="1">IF($S$1&lt;DATE(2025,8,1)," ",COUNTIFS('2025数据'!$X$3:$X$181,"&gt;="&amp;DATE(2025,8,1),'2025数据'!$X$3:$X$181,"&lt;="&amp;DATE(2025,8,31),'2025数据'!$AG$3:$AG$181,$E1635))</f>
        <v>0</v>
      </c>
      <c r="N1635" s="205">
        <f ca="1">IF($S$1&lt;DATE(2025,9,1)," ",COUNTIFS('2025数据'!$X$3:$X$181,"&gt;="&amp;DATE(2025,9,1),'2025数据'!$X$3:$X$181,"&lt;="&amp;DATE(2025,9,30),'2025数据'!$AG$3:$AG$181,$E1635))</f>
        <v>0</v>
      </c>
      <c r="O1635" s="205">
        <f ca="1">IF($S$1&lt;DATE(2025,10,1)," ",COUNTIFS('2025数据'!$X$3:$X$181,"&gt;="&amp;DATE(2025,10,1),'2025数据'!$X$3:$X$181,"&lt;="&amp;DATE(2025,10,31),'2025数据'!$AG$3:$AG$181,$E1635))</f>
        <v>0</v>
      </c>
      <c r="P1635" s="207">
        <f ca="1">IF($S$1&lt;DATE(2025,11,1)," ",COUNTIFS('2025数据'!$X$3:$X$181,"&gt;="&amp;DATE(2025,11,1),'2025数据'!$X$3:$X$181,"&lt;="&amp;DATE(2025,11,30),'2025数据'!$AG$3:$AG$181,$E1635))</f>
        <v>1</v>
      </c>
      <c r="Q1635" s="207">
        <f ca="1">IF($S$1&lt;DATE(2025,12,1)," ",COUNTIFS('2025数据'!$X$3:$X$181,"&gt;="&amp;DATE(2025,12,1),'2025数据'!$X$3:$X$181,"&lt;="&amp;DATE(2025,12,31),'2025数据'!$AG$3:$AG$181,$E1635))</f>
        <v>0</v>
      </c>
    </row>
    <row r="1636" ht="24" customHeight="1" spans="1:17">
      <c r="A1636" s="99" t="s">
        <v>349</v>
      </c>
      <c r="B1636" s="99" t="s">
        <v>299</v>
      </c>
      <c r="C1636" s="99" t="s">
        <v>291</v>
      </c>
      <c r="D1636" s="48" t="s">
        <v>298</v>
      </c>
      <c r="E1636" s="48" t="s">
        <v>87</v>
      </c>
      <c r="F1636" s="205">
        <f ca="1">IF($S$1&lt;DATE(2025,1,1)," ",COUNTIFS('2025数据'!$X$3:$X$181,"&gt;="&amp;DATE(2024,1,1),'2025数据'!$X$3:$X$181,"&lt;="&amp;DATE(2025,1,31),'2025数据'!$AG$3:$AG$181,$E1636))</f>
        <v>0</v>
      </c>
      <c r="G1636" s="205">
        <f ca="1">IF($S$1&lt;DATE(2025,2,1)," ",COUNTIFS('2025数据'!$X$3:$X$181,"&gt;="&amp;DATE(2025,2,1),'2025数据'!$X$3:$X$181,"&lt;="&amp;DATE(2025,2,28),'2025数据'!$AG$3:$AG$181,$E1636))</f>
        <v>0</v>
      </c>
      <c r="H1636" s="205">
        <f ca="1">IF($S$1&lt;DATE(2025,3,1)," ",COUNTIFS('2025数据'!$X$3:$X$181,"&gt;="&amp;DATE(2025,3,1),'2025数据'!$X$3:$X$181,"&lt;="&amp;DATE(2025,3,31),'2025数据'!$AG$3:$AG$181,$E1636))</f>
        <v>1</v>
      </c>
      <c r="I1636" s="205">
        <f ca="1">IF($S$1&lt;DATE(2025,4,1)," ",COUNTIFS('2025数据'!$X$3:$X$181,"&gt;="&amp;DATE(2025,4,1),'2025数据'!$X$3:$X$181,"&lt;="&amp;DATE(2025,4,30),'2025数据'!$AG$3:$AG$181,$E1636))</f>
        <v>0</v>
      </c>
      <c r="J1636" s="205">
        <f ca="1">IF($S$1&lt;DATE(2025,5,1)," ",COUNTIFS('2025数据'!$X$3:$X$181,"&gt;="&amp;DATE(2025,5,1),'2025数据'!$X$3:$X$181,"&lt;="&amp;DATE(2025,5,31),'2025数据'!$AG$3:$AG$181,$E1636))</f>
        <v>0</v>
      </c>
      <c r="K1636" s="205">
        <f ca="1">IF($S$1&lt;DATE(2025,6,1)," ",COUNTIFS('2025数据'!$X$3:$X$181,"&gt;="&amp;DATE(2025,6,1),'2025数据'!$X$3:$X$181,"&lt;="&amp;DATE(2025,6,30),'2025数据'!$AG$3:$AG$181,$E1636))</f>
        <v>0</v>
      </c>
      <c r="L1636" s="205">
        <f ca="1">IF($S$1&lt;DATE(2025,7,1)," ",COUNTIFS('2025数据'!$X$3:$X$181,"&gt;="&amp;DATE(2025,7,1),'2025数据'!$X$3:$X$181,"&lt;="&amp;DATE(2025,7,31),'2025数据'!$AG$3:$AG$181,$E1636))</f>
        <v>1</v>
      </c>
      <c r="M1636" s="205">
        <f ca="1">IF($S$1&lt;DATE(2025,8,1)," ",COUNTIFS('2025数据'!$X$3:$X$181,"&gt;="&amp;DATE(2025,8,1),'2025数据'!$X$3:$X$181,"&lt;="&amp;DATE(2025,8,31),'2025数据'!$AG$3:$AG$181,$E1636))</f>
        <v>2</v>
      </c>
      <c r="N1636" s="205">
        <f ca="1">IF($S$1&lt;DATE(2025,9,1)," ",COUNTIFS('2025数据'!$X$3:$X$181,"&gt;="&amp;DATE(2025,9,1),'2025数据'!$X$3:$X$181,"&lt;="&amp;DATE(2025,9,30),'2025数据'!$AG$3:$AG$181,$E1636))</f>
        <v>1</v>
      </c>
      <c r="O1636" s="205">
        <f ca="1">IF($S$1&lt;DATE(2025,10,1)," ",COUNTIFS('2025数据'!$X$3:$X$181,"&gt;="&amp;DATE(2025,10,1),'2025数据'!$X$3:$X$181,"&lt;="&amp;DATE(2025,10,31),'2025数据'!$AG$3:$AG$181,$E1636))</f>
        <v>0</v>
      </c>
      <c r="P1636" s="207">
        <f ca="1">IF($S$1&lt;DATE(2025,11,1)," ",COUNTIFS('2025数据'!$X$3:$X$181,"&gt;="&amp;DATE(2025,11,1),'2025数据'!$X$3:$X$181,"&lt;="&amp;DATE(2025,11,30),'2025数据'!$AG$3:$AG$181,$E1636))</f>
        <v>0</v>
      </c>
      <c r="Q1636" s="207">
        <f ca="1">IF($S$1&lt;DATE(2025,12,1)," ",COUNTIFS('2025数据'!$X$3:$X$181,"&gt;="&amp;DATE(2025,12,1),'2025数据'!$X$3:$X$181,"&lt;="&amp;DATE(2025,12,31),'2025数据'!$AG$3:$AG$181,$E1636))</f>
        <v>0</v>
      </c>
    </row>
    <row r="1637" ht="24" customHeight="1" spans="1:17">
      <c r="A1637" s="99" t="s">
        <v>349</v>
      </c>
      <c r="B1637" s="99" t="s">
        <v>299</v>
      </c>
      <c r="C1637" s="99" t="s">
        <v>291</v>
      </c>
      <c r="D1637" s="48" t="s">
        <v>298</v>
      </c>
      <c r="E1637" s="48" t="s">
        <v>149</v>
      </c>
      <c r="F1637" s="205">
        <f ca="1">IF($S$1&lt;DATE(2025,1,1)," ",COUNTIFS('2025数据'!$X$3:$X$181,"&gt;="&amp;DATE(2024,1,1),'2025数据'!$X$3:$X$181,"&lt;="&amp;DATE(2025,1,31),'2025数据'!$AG$3:$AG$181,$E1637))</f>
        <v>0</v>
      </c>
      <c r="G1637" s="205">
        <f ca="1">IF($S$1&lt;DATE(2025,2,1)," ",COUNTIFS('2025数据'!$X$3:$X$181,"&gt;="&amp;DATE(2025,2,1),'2025数据'!$X$3:$X$181,"&lt;="&amp;DATE(2025,2,28),'2025数据'!$AG$3:$AG$181,$E1637))</f>
        <v>0</v>
      </c>
      <c r="H1637" s="205">
        <f ca="1">IF($S$1&lt;DATE(2025,3,1)," ",COUNTIFS('2025数据'!$X$3:$X$181,"&gt;="&amp;DATE(2025,3,1),'2025数据'!$X$3:$X$181,"&lt;="&amp;DATE(2025,3,31),'2025数据'!$AG$3:$AG$181,$E1637))</f>
        <v>0</v>
      </c>
      <c r="I1637" s="205">
        <f ca="1">IF($S$1&lt;DATE(2025,4,1)," ",COUNTIFS('2025数据'!$X$3:$X$181,"&gt;="&amp;DATE(2025,4,1),'2025数据'!$X$3:$X$181,"&lt;="&amp;DATE(2025,4,30),'2025数据'!$AG$3:$AG$181,$E1637))</f>
        <v>0</v>
      </c>
      <c r="J1637" s="205">
        <f ca="1">IF($S$1&lt;DATE(2025,5,1)," ",COUNTIFS('2025数据'!$X$3:$X$181,"&gt;="&amp;DATE(2025,5,1),'2025数据'!$X$3:$X$181,"&lt;="&amp;DATE(2025,5,31),'2025数据'!$AG$3:$AG$181,$E1637))</f>
        <v>0</v>
      </c>
      <c r="K1637" s="205">
        <f ca="1">IF($S$1&lt;DATE(2025,6,1)," ",COUNTIFS('2025数据'!$X$3:$X$181,"&gt;="&amp;DATE(2025,6,1),'2025数据'!$X$3:$X$181,"&lt;="&amp;DATE(2025,6,30),'2025数据'!$AG$3:$AG$181,$E1637))</f>
        <v>0</v>
      </c>
      <c r="L1637" s="205">
        <f ca="1">IF($S$1&lt;DATE(2025,7,1)," ",COUNTIFS('2025数据'!$X$3:$X$181,"&gt;="&amp;DATE(2025,7,1),'2025数据'!$X$3:$X$181,"&lt;="&amp;DATE(2025,7,31),'2025数据'!$AG$3:$AG$181,$E1637))</f>
        <v>0</v>
      </c>
      <c r="M1637" s="205">
        <f ca="1">IF($S$1&lt;DATE(2025,8,1)," ",COUNTIFS('2025数据'!$X$3:$X$181,"&gt;="&amp;DATE(2025,8,1),'2025数据'!$X$3:$X$181,"&lt;="&amp;DATE(2025,8,31),'2025数据'!$AG$3:$AG$181,$E1637))</f>
        <v>0</v>
      </c>
      <c r="N1637" s="205">
        <f ca="1">IF($S$1&lt;DATE(2025,9,1)," ",COUNTIFS('2025数据'!$X$3:$X$181,"&gt;="&amp;DATE(2025,9,1),'2025数据'!$X$3:$X$181,"&lt;="&amp;DATE(2025,9,30),'2025数据'!$AG$3:$AG$181,$E1637))</f>
        <v>0</v>
      </c>
      <c r="O1637" s="205">
        <f ca="1">IF($S$1&lt;DATE(2025,10,1)," ",COUNTIFS('2025数据'!$X$3:$X$181,"&gt;="&amp;DATE(2025,10,1),'2025数据'!$X$3:$X$181,"&lt;="&amp;DATE(2025,10,31),'2025数据'!$AG$3:$AG$181,$E1637))</f>
        <v>0</v>
      </c>
      <c r="P1637" s="207">
        <f ca="1">IF($S$1&lt;DATE(2025,11,1)," ",COUNTIFS('2025数据'!$X$3:$X$181,"&gt;="&amp;DATE(2025,11,1),'2025数据'!$X$3:$X$181,"&lt;="&amp;DATE(2025,11,30),'2025数据'!$AG$3:$AG$181,$E1637))</f>
        <v>0</v>
      </c>
      <c r="Q1637" s="207">
        <f ca="1">IF($S$1&lt;DATE(2025,12,1)," ",COUNTIFS('2025数据'!$X$3:$X$181,"&gt;="&amp;DATE(2025,12,1),'2025数据'!$X$3:$X$181,"&lt;="&amp;DATE(2025,12,31),'2025数据'!$AG$3:$AG$181,$E1637))</f>
        <v>0</v>
      </c>
    </row>
    <row r="1638" ht="24" customHeight="1" spans="1:17">
      <c r="A1638" s="99" t="s">
        <v>349</v>
      </c>
      <c r="B1638" s="99" t="s">
        <v>299</v>
      </c>
      <c r="C1638" s="99" t="s">
        <v>291</v>
      </c>
      <c r="D1638" s="48" t="s">
        <v>298</v>
      </c>
      <c r="E1638" s="48" t="s">
        <v>83</v>
      </c>
      <c r="F1638" s="205">
        <f ca="1">IF($S$1&lt;DATE(2025,1,1)," ",COUNTIFS('2025数据'!$X$3:$X$181,"&gt;="&amp;DATE(2024,1,1),'2025数据'!$X$3:$X$181,"&lt;="&amp;DATE(2025,1,31),'2025数据'!$AG$3:$AG$181,$E1638))</f>
        <v>0</v>
      </c>
      <c r="G1638" s="205">
        <f ca="1">IF($S$1&lt;DATE(2025,2,1)," ",COUNTIFS('2025数据'!$X$3:$X$181,"&gt;="&amp;DATE(2025,2,1),'2025数据'!$X$3:$X$181,"&lt;="&amp;DATE(2025,2,28),'2025数据'!$AG$3:$AG$181,$E1638))</f>
        <v>0</v>
      </c>
      <c r="H1638" s="205">
        <f ca="1">IF($S$1&lt;DATE(2025,3,1)," ",COUNTIFS('2025数据'!$X$3:$X$181,"&gt;="&amp;DATE(2025,3,1),'2025数据'!$X$3:$X$181,"&lt;="&amp;DATE(2025,3,31),'2025数据'!$AG$3:$AG$181,$E1638))</f>
        <v>0</v>
      </c>
      <c r="I1638" s="205">
        <f ca="1">IF($S$1&lt;DATE(2025,4,1)," ",COUNTIFS('2025数据'!$X$3:$X$181,"&gt;="&amp;DATE(2025,4,1),'2025数据'!$X$3:$X$181,"&lt;="&amp;DATE(2025,4,30),'2025数据'!$AG$3:$AG$181,$E1638))</f>
        <v>0</v>
      </c>
      <c r="J1638" s="205">
        <f ca="1">IF($S$1&lt;DATE(2025,5,1)," ",COUNTIFS('2025数据'!$X$3:$X$181,"&gt;="&amp;DATE(2025,5,1),'2025数据'!$X$3:$X$181,"&lt;="&amp;DATE(2025,5,31),'2025数据'!$AG$3:$AG$181,$E1638))</f>
        <v>0</v>
      </c>
      <c r="K1638" s="205">
        <f ca="1">IF($S$1&lt;DATE(2025,6,1)," ",COUNTIFS('2025数据'!$X$3:$X$181,"&gt;="&amp;DATE(2025,6,1),'2025数据'!$X$3:$X$181,"&lt;="&amp;DATE(2025,6,30),'2025数据'!$AG$3:$AG$181,$E1638))</f>
        <v>0</v>
      </c>
      <c r="L1638" s="205">
        <f ca="1">IF($S$1&lt;DATE(2025,7,1)," ",COUNTIFS('2025数据'!$X$3:$X$181,"&gt;="&amp;DATE(2025,7,1),'2025数据'!$X$3:$X$181,"&lt;="&amp;DATE(2025,7,31),'2025数据'!$AG$3:$AG$181,$E1638))</f>
        <v>0</v>
      </c>
      <c r="M1638" s="205">
        <f ca="1">IF($S$1&lt;DATE(2025,8,1)," ",COUNTIFS('2025数据'!$X$3:$X$181,"&gt;="&amp;DATE(2025,8,1),'2025数据'!$X$3:$X$181,"&lt;="&amp;DATE(2025,8,31),'2025数据'!$AG$3:$AG$181,$E1638))</f>
        <v>0</v>
      </c>
      <c r="N1638" s="205">
        <f ca="1">IF($S$1&lt;DATE(2025,9,1)," ",COUNTIFS('2025数据'!$X$3:$X$181,"&gt;="&amp;DATE(2025,9,1),'2025数据'!$X$3:$X$181,"&lt;="&amp;DATE(2025,9,30),'2025数据'!$AG$3:$AG$181,$E1638))</f>
        <v>0</v>
      </c>
      <c r="O1638" s="205">
        <f ca="1">IF($S$1&lt;DATE(2025,10,1)," ",COUNTIFS('2025数据'!$X$3:$X$181,"&gt;="&amp;DATE(2025,10,1),'2025数据'!$X$3:$X$181,"&lt;="&amp;DATE(2025,10,31),'2025数据'!$AG$3:$AG$181,$E1638))</f>
        <v>0</v>
      </c>
      <c r="P1638" s="207">
        <f ca="1">IF($S$1&lt;DATE(2025,11,1)," ",COUNTIFS('2025数据'!$X$3:$X$181,"&gt;="&amp;DATE(2025,11,1),'2025数据'!$X$3:$X$181,"&lt;="&amp;DATE(2025,11,30),'2025数据'!$AG$3:$AG$181,$E1638))</f>
        <v>0</v>
      </c>
      <c r="Q1638" s="207">
        <f ca="1">IF($S$1&lt;DATE(2025,12,1)," ",COUNTIFS('2025数据'!$X$3:$X$181,"&gt;="&amp;DATE(2025,12,1),'2025数据'!$X$3:$X$181,"&lt;="&amp;DATE(2025,12,31),'2025数据'!$AG$3:$AG$181,$E1638))</f>
        <v>0</v>
      </c>
    </row>
    <row r="1639" ht="24" customHeight="1" spans="1:17">
      <c r="A1639" s="99" t="s">
        <v>349</v>
      </c>
      <c r="B1639" s="99" t="s">
        <v>308</v>
      </c>
      <c r="C1639" s="99" t="s">
        <v>309</v>
      </c>
      <c r="D1639" s="100" t="s">
        <v>292</v>
      </c>
      <c r="E1639" s="211" t="s">
        <v>310</v>
      </c>
      <c r="F1639" s="204">
        <f ca="1">IF($S$1&lt;DATE(2025,1,1)," ",SUM(F1640:F1646))</f>
        <v>0</v>
      </c>
      <c r="G1639" s="204">
        <f ca="1">IF($S$1&lt;DATE(2025,2,1)," ",SUM(G1640:G1646))</f>
        <v>1</v>
      </c>
      <c r="H1639" s="204">
        <f ca="1">IF($S$1&lt;DATE(2025,3,1)," ",SUM(H1640:H1646))</f>
        <v>0</v>
      </c>
      <c r="I1639" s="204">
        <f ca="1">IF($S$1&lt;DATE(2025,4,1)," ",SUM(I1640:I1646))</f>
        <v>0</v>
      </c>
      <c r="J1639" s="204">
        <f ca="1">IF($S$1&lt;DATE(2025,5,1)," ",SUM(J1640:J1646))</f>
        <v>0</v>
      </c>
      <c r="K1639" s="204">
        <f ca="1">IF($S$1&lt;DATE(2025,6,1)," ",SUM(K1640:K1646))</f>
        <v>0</v>
      </c>
      <c r="L1639" s="204">
        <f ca="1">IF($S$1&lt;DATE(2025,7,1)," ",SUM(L1640:L1646))</f>
        <v>1</v>
      </c>
      <c r="M1639" s="204">
        <f ca="1">IF($S$1&lt;DATE(2025,8,1)," ",SUM(M1640:M1646))</f>
        <v>0</v>
      </c>
      <c r="N1639" s="204">
        <f ca="1">IF($S$1&lt;DATE(2025,9,1)," ",SUM(N1640:N1646))</f>
        <v>0</v>
      </c>
      <c r="O1639" s="204">
        <f ca="1">IF($S$1&lt;DATE(2025,10,1)," ",SUM(O1640:O1646))</f>
        <v>0</v>
      </c>
      <c r="P1639" s="204">
        <f ca="1">IF($S$1&lt;DATE(2025,11,1)," ",SUM(P1640:P1646))</f>
        <v>0</v>
      </c>
      <c r="Q1639" s="204">
        <f ca="1">IF($S$1&lt;DATE(2025,12,1)," ",SUM(Q1640:Q1646))</f>
        <v>0</v>
      </c>
    </row>
    <row r="1640" ht="24" customHeight="1" spans="1:17">
      <c r="A1640" s="99" t="s">
        <v>349</v>
      </c>
      <c r="B1640" s="99" t="s">
        <v>308</v>
      </c>
      <c r="C1640" s="99" t="s">
        <v>309</v>
      </c>
      <c r="D1640" s="48" t="s">
        <v>31</v>
      </c>
      <c r="E1640" s="48" t="s">
        <v>90</v>
      </c>
      <c r="F1640" s="205">
        <f ca="1" t="shared" ref="F1640:F1646" si="1479">IF($S$1&lt;DATE(2025,1,1)," ",F1676-F1698)</f>
        <v>0</v>
      </c>
      <c r="G1640" s="205">
        <f ca="1" t="shared" ref="G1640:G1646" si="1480">IF($S$1&lt;DATE(2025,2,1)," ",G1676-G1698)</f>
        <v>0</v>
      </c>
      <c r="H1640" s="205">
        <f ca="1" t="shared" ref="H1640:H1646" si="1481">IF($S$1&lt;DATE(2025,3,1)," ",H1676-H1698)</f>
        <v>0</v>
      </c>
      <c r="I1640" s="205">
        <f ca="1" t="shared" ref="I1640:I1646" si="1482">IF($S$1&lt;DATE(2025,4,1)," ",I1676-I1698)</f>
        <v>0</v>
      </c>
      <c r="J1640" s="205">
        <f ca="1" t="shared" ref="J1640:J1646" si="1483">IF($S$1&lt;DATE(2025,5,1)," ",J1676-J1698)</f>
        <v>0</v>
      </c>
      <c r="K1640" s="205">
        <f ca="1" t="shared" ref="K1640:K1646" si="1484">IF($S$1&lt;DATE(2025,6,1)," ",K1676-K1698)</f>
        <v>0</v>
      </c>
      <c r="L1640" s="205">
        <f ca="1" t="shared" ref="L1640:L1646" si="1485">IF($S$1&lt;DATE(2025,7,1)," ",L1676-L1698)</f>
        <v>0</v>
      </c>
      <c r="M1640" s="205">
        <f ca="1" t="shared" ref="M1640:M1646" si="1486">IF($S$1&lt;DATE(2025,8,1)," ",M1676-M1698)</f>
        <v>0</v>
      </c>
      <c r="N1640" s="205">
        <f ca="1" t="shared" ref="N1640:N1646" si="1487">IF($S$1&lt;DATE(2025,9,1)," ",N1676-N1698)</f>
        <v>0</v>
      </c>
      <c r="O1640" s="205">
        <f ca="1" t="shared" ref="O1640:O1646" si="1488">IF($S$1&lt;DATE(2025,10,1)," ",O1676-O1698)</f>
        <v>0</v>
      </c>
      <c r="P1640" s="205">
        <f ca="1" t="shared" ref="P1640:P1646" si="1489">IF($S$1&lt;DATE(2025,11,1)," ",P1676-P1698)</f>
        <v>0</v>
      </c>
      <c r="Q1640" s="205">
        <f ca="1" t="shared" ref="Q1640:Q1646" si="1490">IF($S$1&lt;DATE(2025,12,1)," ",Q1676-Q1698)</f>
        <v>0</v>
      </c>
    </row>
    <row r="1641" ht="24" customHeight="1" spans="1:17">
      <c r="A1641" s="99" t="s">
        <v>349</v>
      </c>
      <c r="B1641" s="99" t="s">
        <v>308</v>
      </c>
      <c r="C1641" s="99" t="s">
        <v>309</v>
      </c>
      <c r="D1641" s="48" t="s">
        <v>31</v>
      </c>
      <c r="E1641" s="48" t="s">
        <v>82</v>
      </c>
      <c r="F1641" s="205">
        <f ca="1" t="shared" si="1479"/>
        <v>0</v>
      </c>
      <c r="G1641" s="205">
        <f ca="1" t="shared" si="1480"/>
        <v>0</v>
      </c>
      <c r="H1641" s="205">
        <f ca="1" t="shared" si="1481"/>
        <v>0</v>
      </c>
      <c r="I1641" s="205">
        <f ca="1" t="shared" si="1482"/>
        <v>0</v>
      </c>
      <c r="J1641" s="205">
        <f ca="1" t="shared" si="1483"/>
        <v>0</v>
      </c>
      <c r="K1641" s="205">
        <f ca="1" t="shared" si="1484"/>
        <v>0</v>
      </c>
      <c r="L1641" s="205">
        <f ca="1" t="shared" si="1485"/>
        <v>0</v>
      </c>
      <c r="M1641" s="205">
        <f ca="1" t="shared" si="1486"/>
        <v>0</v>
      </c>
      <c r="N1641" s="205">
        <f ca="1" t="shared" si="1487"/>
        <v>0</v>
      </c>
      <c r="O1641" s="205">
        <f ca="1" t="shared" si="1488"/>
        <v>0</v>
      </c>
      <c r="P1641" s="205">
        <f ca="1" t="shared" si="1489"/>
        <v>0</v>
      </c>
      <c r="Q1641" s="205">
        <f ca="1" t="shared" si="1490"/>
        <v>0</v>
      </c>
    </row>
    <row r="1642" ht="24" customHeight="1" spans="1:17">
      <c r="A1642" s="99" t="s">
        <v>349</v>
      </c>
      <c r="B1642" s="99" t="s">
        <v>308</v>
      </c>
      <c r="C1642" s="99" t="s">
        <v>309</v>
      </c>
      <c r="D1642" s="48" t="s">
        <v>31</v>
      </c>
      <c r="E1642" s="48" t="s">
        <v>86</v>
      </c>
      <c r="F1642" s="205">
        <f ca="1" t="shared" si="1479"/>
        <v>0</v>
      </c>
      <c r="G1642" s="205">
        <f ca="1" t="shared" si="1480"/>
        <v>0</v>
      </c>
      <c r="H1642" s="205">
        <f ca="1" t="shared" si="1481"/>
        <v>0</v>
      </c>
      <c r="I1642" s="205">
        <f ca="1" t="shared" si="1482"/>
        <v>0</v>
      </c>
      <c r="J1642" s="205">
        <f ca="1" t="shared" si="1483"/>
        <v>0</v>
      </c>
      <c r="K1642" s="205">
        <f ca="1" t="shared" si="1484"/>
        <v>0</v>
      </c>
      <c r="L1642" s="205">
        <f ca="1" t="shared" si="1485"/>
        <v>0</v>
      </c>
      <c r="M1642" s="205">
        <f ca="1" t="shared" si="1486"/>
        <v>0</v>
      </c>
      <c r="N1642" s="205">
        <f ca="1" t="shared" si="1487"/>
        <v>0</v>
      </c>
      <c r="O1642" s="205">
        <f ca="1" t="shared" si="1488"/>
        <v>0</v>
      </c>
      <c r="P1642" s="205">
        <f ca="1" t="shared" si="1489"/>
        <v>0</v>
      </c>
      <c r="Q1642" s="205">
        <f ca="1" t="shared" si="1490"/>
        <v>0</v>
      </c>
    </row>
    <row r="1643" ht="24" customHeight="1" spans="1:17">
      <c r="A1643" s="99" t="s">
        <v>349</v>
      </c>
      <c r="B1643" s="99" t="s">
        <v>308</v>
      </c>
      <c r="C1643" s="99" t="s">
        <v>309</v>
      </c>
      <c r="D1643" s="48" t="s">
        <v>31</v>
      </c>
      <c r="E1643" s="48" t="s">
        <v>97</v>
      </c>
      <c r="F1643" s="205">
        <f ca="1" t="shared" si="1479"/>
        <v>0</v>
      </c>
      <c r="G1643" s="205">
        <f ca="1" t="shared" si="1480"/>
        <v>0</v>
      </c>
      <c r="H1643" s="205">
        <f ca="1" t="shared" si="1481"/>
        <v>0</v>
      </c>
      <c r="I1643" s="205">
        <f ca="1" t="shared" si="1482"/>
        <v>0</v>
      </c>
      <c r="J1643" s="205">
        <f ca="1" t="shared" si="1483"/>
        <v>0</v>
      </c>
      <c r="K1643" s="205">
        <f ca="1" t="shared" si="1484"/>
        <v>0</v>
      </c>
      <c r="L1643" s="205">
        <f ca="1" t="shared" si="1485"/>
        <v>0</v>
      </c>
      <c r="M1643" s="205">
        <f ca="1" t="shared" si="1486"/>
        <v>0</v>
      </c>
      <c r="N1643" s="205">
        <f ca="1" t="shared" si="1487"/>
        <v>0</v>
      </c>
      <c r="O1643" s="205">
        <f ca="1" t="shared" si="1488"/>
        <v>0</v>
      </c>
      <c r="P1643" s="205">
        <f ca="1" t="shared" si="1489"/>
        <v>0</v>
      </c>
      <c r="Q1643" s="205">
        <f ca="1" t="shared" si="1490"/>
        <v>0</v>
      </c>
    </row>
    <row r="1644" ht="24" customHeight="1" spans="1:17">
      <c r="A1644" s="99" t="s">
        <v>349</v>
      </c>
      <c r="B1644" s="99" t="s">
        <v>308</v>
      </c>
      <c r="C1644" s="99" t="s">
        <v>309</v>
      </c>
      <c r="D1644" s="48" t="s">
        <v>31</v>
      </c>
      <c r="E1644" s="48" t="s">
        <v>87</v>
      </c>
      <c r="F1644" s="205">
        <f ca="1" t="shared" si="1479"/>
        <v>0</v>
      </c>
      <c r="G1644" s="205">
        <f ca="1" t="shared" si="1480"/>
        <v>1</v>
      </c>
      <c r="H1644" s="205">
        <f ca="1" t="shared" si="1481"/>
        <v>0</v>
      </c>
      <c r="I1644" s="205">
        <f ca="1" t="shared" si="1482"/>
        <v>0</v>
      </c>
      <c r="J1644" s="205">
        <f ca="1" t="shared" si="1483"/>
        <v>0</v>
      </c>
      <c r="K1644" s="205">
        <f ca="1" t="shared" si="1484"/>
        <v>0</v>
      </c>
      <c r="L1644" s="205">
        <f ca="1" t="shared" si="1485"/>
        <v>1</v>
      </c>
      <c r="M1644" s="205">
        <f ca="1" t="shared" si="1486"/>
        <v>0</v>
      </c>
      <c r="N1644" s="205">
        <f ca="1" t="shared" si="1487"/>
        <v>0</v>
      </c>
      <c r="O1644" s="205">
        <f ca="1" t="shared" si="1488"/>
        <v>0</v>
      </c>
      <c r="P1644" s="205">
        <f ca="1" t="shared" si="1489"/>
        <v>0</v>
      </c>
      <c r="Q1644" s="205">
        <f ca="1" t="shared" si="1490"/>
        <v>0</v>
      </c>
    </row>
    <row r="1645" ht="24" customHeight="1" spans="1:17">
      <c r="A1645" s="99" t="s">
        <v>349</v>
      </c>
      <c r="B1645" s="99" t="s">
        <v>308</v>
      </c>
      <c r="C1645" s="99" t="s">
        <v>309</v>
      </c>
      <c r="D1645" s="48" t="s">
        <v>31</v>
      </c>
      <c r="E1645" s="48" t="s">
        <v>149</v>
      </c>
      <c r="F1645" s="205">
        <f ca="1" t="shared" si="1479"/>
        <v>0</v>
      </c>
      <c r="G1645" s="205">
        <f ca="1" t="shared" si="1480"/>
        <v>0</v>
      </c>
      <c r="H1645" s="205">
        <f ca="1" t="shared" si="1481"/>
        <v>0</v>
      </c>
      <c r="I1645" s="205">
        <f ca="1" t="shared" si="1482"/>
        <v>0</v>
      </c>
      <c r="J1645" s="205">
        <f ca="1" t="shared" si="1483"/>
        <v>0</v>
      </c>
      <c r="K1645" s="205">
        <f ca="1" t="shared" si="1484"/>
        <v>0</v>
      </c>
      <c r="L1645" s="205">
        <f ca="1" t="shared" si="1485"/>
        <v>0</v>
      </c>
      <c r="M1645" s="205">
        <f ca="1" t="shared" si="1486"/>
        <v>0</v>
      </c>
      <c r="N1645" s="205">
        <f ca="1" t="shared" si="1487"/>
        <v>0</v>
      </c>
      <c r="O1645" s="205">
        <f ca="1" t="shared" si="1488"/>
        <v>0</v>
      </c>
      <c r="P1645" s="205">
        <f ca="1" t="shared" si="1489"/>
        <v>0</v>
      </c>
      <c r="Q1645" s="205">
        <f ca="1" t="shared" si="1490"/>
        <v>0</v>
      </c>
    </row>
    <row r="1646" ht="24" customHeight="1" spans="1:17">
      <c r="A1646" s="99" t="s">
        <v>349</v>
      </c>
      <c r="B1646" s="99" t="s">
        <v>308</v>
      </c>
      <c r="C1646" s="99" t="s">
        <v>309</v>
      </c>
      <c r="D1646" s="48" t="s">
        <v>31</v>
      </c>
      <c r="E1646" s="48" t="s">
        <v>83</v>
      </c>
      <c r="F1646" s="205">
        <f ca="1" t="shared" si="1479"/>
        <v>0</v>
      </c>
      <c r="G1646" s="205">
        <f ca="1" t="shared" si="1480"/>
        <v>0</v>
      </c>
      <c r="H1646" s="205">
        <f ca="1" t="shared" si="1481"/>
        <v>0</v>
      </c>
      <c r="I1646" s="205">
        <f ca="1" t="shared" si="1482"/>
        <v>0</v>
      </c>
      <c r="J1646" s="205">
        <f ca="1" t="shared" si="1483"/>
        <v>0</v>
      </c>
      <c r="K1646" s="205">
        <f ca="1" t="shared" si="1484"/>
        <v>0</v>
      </c>
      <c r="L1646" s="205">
        <f ca="1" t="shared" si="1485"/>
        <v>0</v>
      </c>
      <c r="M1646" s="205">
        <f ca="1" t="shared" si="1486"/>
        <v>0</v>
      </c>
      <c r="N1646" s="205">
        <f ca="1" t="shared" si="1487"/>
        <v>0</v>
      </c>
      <c r="O1646" s="205">
        <f ca="1" t="shared" si="1488"/>
        <v>0</v>
      </c>
      <c r="P1646" s="205">
        <f ca="1" t="shared" si="1489"/>
        <v>0</v>
      </c>
      <c r="Q1646" s="205">
        <f ca="1" t="shared" si="1490"/>
        <v>0</v>
      </c>
    </row>
    <row r="1647" ht="24" customHeight="1" spans="1:17">
      <c r="A1647" s="99" t="s">
        <v>349</v>
      </c>
      <c r="B1647" s="99" t="s">
        <v>308</v>
      </c>
      <c r="C1647" s="99" t="s">
        <v>309</v>
      </c>
      <c r="D1647" s="48" t="s">
        <v>311</v>
      </c>
      <c r="E1647" s="48" t="s">
        <v>90</v>
      </c>
      <c r="F1647" s="112" t="str">
        <f ca="1" t="shared" ref="F1647:Q1647" si="1491">IFERROR(F1640/F1639," ")</f>
        <v> </v>
      </c>
      <c r="G1647" s="112">
        <f ca="1" t="shared" si="1491"/>
        <v>0</v>
      </c>
      <c r="H1647" s="112" t="str">
        <f ca="1" t="shared" si="1491"/>
        <v> </v>
      </c>
      <c r="I1647" s="112" t="str">
        <f ca="1" t="shared" si="1491"/>
        <v> </v>
      </c>
      <c r="J1647" s="112" t="str">
        <f ca="1" t="shared" si="1491"/>
        <v> </v>
      </c>
      <c r="K1647" s="112" t="str">
        <f ca="1" t="shared" si="1491"/>
        <v> </v>
      </c>
      <c r="L1647" s="112">
        <f ca="1" t="shared" si="1491"/>
        <v>0</v>
      </c>
      <c r="M1647" s="112" t="str">
        <f ca="1" t="shared" si="1491"/>
        <v> </v>
      </c>
      <c r="N1647" s="112" t="str">
        <f ca="1" t="shared" si="1491"/>
        <v> </v>
      </c>
      <c r="O1647" s="112" t="str">
        <f ca="1" t="shared" si="1491"/>
        <v> </v>
      </c>
      <c r="P1647" s="112" t="str">
        <f ca="1" t="shared" si="1491"/>
        <v> </v>
      </c>
      <c r="Q1647" s="112" t="str">
        <f ca="1" t="shared" si="1491"/>
        <v> </v>
      </c>
    </row>
    <row r="1648" ht="24" customHeight="1" spans="1:17">
      <c r="A1648" s="99" t="s">
        <v>349</v>
      </c>
      <c r="B1648" s="99" t="s">
        <v>308</v>
      </c>
      <c r="C1648" s="99" t="s">
        <v>309</v>
      </c>
      <c r="D1648" s="48" t="s">
        <v>311</v>
      </c>
      <c r="E1648" s="48" t="s">
        <v>82</v>
      </c>
      <c r="F1648" s="112" t="str">
        <f ca="1" t="shared" ref="F1648:Q1648" si="1492">IFERROR(F1641/F1639," ")</f>
        <v> </v>
      </c>
      <c r="G1648" s="112">
        <f ca="1" t="shared" si="1492"/>
        <v>0</v>
      </c>
      <c r="H1648" s="112" t="str">
        <f ca="1" t="shared" si="1492"/>
        <v> </v>
      </c>
      <c r="I1648" s="112" t="str">
        <f ca="1" t="shared" si="1492"/>
        <v> </v>
      </c>
      <c r="J1648" s="112" t="str">
        <f ca="1" t="shared" si="1492"/>
        <v> </v>
      </c>
      <c r="K1648" s="112" t="str">
        <f ca="1" t="shared" si="1492"/>
        <v> </v>
      </c>
      <c r="L1648" s="112">
        <f ca="1" t="shared" si="1492"/>
        <v>0</v>
      </c>
      <c r="M1648" s="112" t="str">
        <f ca="1" t="shared" si="1492"/>
        <v> </v>
      </c>
      <c r="N1648" s="112" t="str">
        <f ca="1" t="shared" si="1492"/>
        <v> </v>
      </c>
      <c r="O1648" s="112" t="str">
        <f ca="1" t="shared" si="1492"/>
        <v> </v>
      </c>
      <c r="P1648" s="112" t="str">
        <f ca="1" t="shared" si="1492"/>
        <v> </v>
      </c>
      <c r="Q1648" s="112" t="str">
        <f ca="1" t="shared" si="1492"/>
        <v> </v>
      </c>
    </row>
    <row r="1649" ht="24" customHeight="1" spans="1:17">
      <c r="A1649" s="99" t="s">
        <v>349</v>
      </c>
      <c r="B1649" s="99" t="s">
        <v>308</v>
      </c>
      <c r="C1649" s="99" t="s">
        <v>309</v>
      </c>
      <c r="D1649" s="48" t="s">
        <v>311</v>
      </c>
      <c r="E1649" s="48" t="s">
        <v>86</v>
      </c>
      <c r="F1649" s="112" t="str">
        <f ca="1" t="shared" ref="F1649:Q1649" si="1493">IFERROR(F1642/F1639," ")</f>
        <v> </v>
      </c>
      <c r="G1649" s="112">
        <f ca="1" t="shared" si="1493"/>
        <v>0</v>
      </c>
      <c r="H1649" s="112" t="str">
        <f ca="1" t="shared" si="1493"/>
        <v> </v>
      </c>
      <c r="I1649" s="112" t="str">
        <f ca="1" t="shared" si="1493"/>
        <v> </v>
      </c>
      <c r="J1649" s="112" t="str">
        <f ca="1" t="shared" si="1493"/>
        <v> </v>
      </c>
      <c r="K1649" s="112" t="str">
        <f ca="1" t="shared" si="1493"/>
        <v> </v>
      </c>
      <c r="L1649" s="112">
        <f ca="1" t="shared" si="1493"/>
        <v>0</v>
      </c>
      <c r="M1649" s="112" t="str">
        <f ca="1" t="shared" si="1493"/>
        <v> </v>
      </c>
      <c r="N1649" s="112" t="str">
        <f ca="1" t="shared" si="1493"/>
        <v> </v>
      </c>
      <c r="O1649" s="112" t="str">
        <f ca="1" t="shared" si="1493"/>
        <v> </v>
      </c>
      <c r="P1649" s="112" t="str">
        <f ca="1" t="shared" si="1493"/>
        <v> </v>
      </c>
      <c r="Q1649" s="112" t="str">
        <f ca="1" t="shared" si="1493"/>
        <v> </v>
      </c>
    </row>
    <row r="1650" ht="24" customHeight="1" spans="1:17">
      <c r="A1650" s="99" t="s">
        <v>349</v>
      </c>
      <c r="B1650" s="99" t="s">
        <v>308</v>
      </c>
      <c r="C1650" s="99" t="s">
        <v>309</v>
      </c>
      <c r="D1650" s="48" t="s">
        <v>311</v>
      </c>
      <c r="E1650" s="48" t="s">
        <v>97</v>
      </c>
      <c r="F1650" s="112" t="str">
        <f ca="1" t="shared" ref="F1650:Q1650" si="1494">IFERROR(F1643/F1639," ")</f>
        <v> </v>
      </c>
      <c r="G1650" s="112">
        <f ca="1" t="shared" si="1494"/>
        <v>0</v>
      </c>
      <c r="H1650" s="112" t="str">
        <f ca="1" t="shared" si="1494"/>
        <v> </v>
      </c>
      <c r="I1650" s="112" t="str">
        <f ca="1" t="shared" si="1494"/>
        <v> </v>
      </c>
      <c r="J1650" s="112" t="str">
        <f ca="1" t="shared" si="1494"/>
        <v> </v>
      </c>
      <c r="K1650" s="112" t="str">
        <f ca="1" t="shared" si="1494"/>
        <v> </v>
      </c>
      <c r="L1650" s="112">
        <f ca="1" t="shared" si="1494"/>
        <v>0</v>
      </c>
      <c r="M1650" s="112" t="str">
        <f ca="1" t="shared" si="1494"/>
        <v> </v>
      </c>
      <c r="N1650" s="112" t="str">
        <f ca="1" t="shared" si="1494"/>
        <v> </v>
      </c>
      <c r="O1650" s="112" t="str">
        <f ca="1" t="shared" si="1494"/>
        <v> </v>
      </c>
      <c r="P1650" s="112" t="str">
        <f ca="1" t="shared" si="1494"/>
        <v> </v>
      </c>
      <c r="Q1650" s="112" t="str">
        <f ca="1" t="shared" si="1494"/>
        <v> </v>
      </c>
    </row>
    <row r="1651" ht="24" customHeight="1" spans="1:17">
      <c r="A1651" s="99" t="s">
        <v>349</v>
      </c>
      <c r="B1651" s="99" t="s">
        <v>308</v>
      </c>
      <c r="C1651" s="99" t="s">
        <v>309</v>
      </c>
      <c r="D1651" s="48" t="s">
        <v>311</v>
      </c>
      <c r="E1651" s="48" t="s">
        <v>87</v>
      </c>
      <c r="F1651" s="112" t="str">
        <f ca="1" t="shared" ref="F1651:Q1651" si="1495">IFERROR(F1644/F1639," ")</f>
        <v> </v>
      </c>
      <c r="G1651" s="112">
        <f ca="1" t="shared" si="1495"/>
        <v>1</v>
      </c>
      <c r="H1651" s="112" t="str">
        <f ca="1" t="shared" si="1495"/>
        <v> </v>
      </c>
      <c r="I1651" s="112" t="str">
        <f ca="1" t="shared" si="1495"/>
        <v> </v>
      </c>
      <c r="J1651" s="112" t="str">
        <f ca="1" t="shared" si="1495"/>
        <v> </v>
      </c>
      <c r="K1651" s="112" t="str">
        <f ca="1" t="shared" si="1495"/>
        <v> </v>
      </c>
      <c r="L1651" s="112">
        <f ca="1" t="shared" si="1495"/>
        <v>1</v>
      </c>
      <c r="M1651" s="112" t="str">
        <f ca="1" t="shared" si="1495"/>
        <v> </v>
      </c>
      <c r="N1651" s="112" t="str">
        <f ca="1" t="shared" si="1495"/>
        <v> </v>
      </c>
      <c r="O1651" s="112" t="str">
        <f ca="1" t="shared" si="1495"/>
        <v> </v>
      </c>
      <c r="P1651" s="112" t="str">
        <f ca="1" t="shared" si="1495"/>
        <v> </v>
      </c>
      <c r="Q1651" s="112" t="str">
        <f ca="1" t="shared" si="1495"/>
        <v> </v>
      </c>
    </row>
    <row r="1652" ht="24" customHeight="1" spans="1:17">
      <c r="A1652" s="99" t="s">
        <v>349</v>
      </c>
      <c r="B1652" s="99" t="s">
        <v>308</v>
      </c>
      <c r="C1652" s="99" t="s">
        <v>309</v>
      </c>
      <c r="D1652" s="48" t="s">
        <v>311</v>
      </c>
      <c r="E1652" s="48" t="s">
        <v>149</v>
      </c>
      <c r="F1652" s="112" t="str">
        <f ca="1" t="shared" ref="F1652:Q1652" si="1496">IFERROR(F1645/F1639," ")</f>
        <v> </v>
      </c>
      <c r="G1652" s="112">
        <f ca="1" t="shared" si="1496"/>
        <v>0</v>
      </c>
      <c r="H1652" s="112" t="str">
        <f ca="1" t="shared" si="1496"/>
        <v> </v>
      </c>
      <c r="I1652" s="112" t="str">
        <f ca="1" t="shared" si="1496"/>
        <v> </v>
      </c>
      <c r="J1652" s="112" t="str">
        <f ca="1" t="shared" si="1496"/>
        <v> </v>
      </c>
      <c r="K1652" s="112" t="str">
        <f ca="1" t="shared" si="1496"/>
        <v> </v>
      </c>
      <c r="L1652" s="112">
        <f ca="1" t="shared" si="1496"/>
        <v>0</v>
      </c>
      <c r="M1652" s="112" t="str">
        <f ca="1" t="shared" si="1496"/>
        <v> </v>
      </c>
      <c r="N1652" s="112" t="str">
        <f ca="1" t="shared" si="1496"/>
        <v> </v>
      </c>
      <c r="O1652" s="112" t="str">
        <f ca="1" t="shared" si="1496"/>
        <v> </v>
      </c>
      <c r="P1652" s="112" t="str">
        <f ca="1" t="shared" si="1496"/>
        <v> </v>
      </c>
      <c r="Q1652" s="112" t="str">
        <f ca="1" t="shared" si="1496"/>
        <v> </v>
      </c>
    </row>
    <row r="1653" ht="24" customHeight="1" spans="1:17">
      <c r="A1653" s="99" t="s">
        <v>349</v>
      </c>
      <c r="B1653" s="99" t="s">
        <v>308</v>
      </c>
      <c r="C1653" s="99" t="s">
        <v>309</v>
      </c>
      <c r="D1653" s="48" t="s">
        <v>311</v>
      </c>
      <c r="E1653" s="48" t="s">
        <v>83</v>
      </c>
      <c r="F1653" s="112" t="str">
        <f ca="1" t="shared" ref="F1653:Q1653" si="1497">IFERROR(F1646/F1639," ")</f>
        <v> </v>
      </c>
      <c r="G1653" s="112">
        <f ca="1" t="shared" si="1497"/>
        <v>0</v>
      </c>
      <c r="H1653" s="112" t="str">
        <f ca="1" t="shared" si="1497"/>
        <v> </v>
      </c>
      <c r="I1653" s="112" t="str">
        <f ca="1" t="shared" si="1497"/>
        <v> </v>
      </c>
      <c r="J1653" s="112" t="str">
        <f ca="1" t="shared" si="1497"/>
        <v> </v>
      </c>
      <c r="K1653" s="112" t="str">
        <f ca="1" t="shared" si="1497"/>
        <v> </v>
      </c>
      <c r="L1653" s="112">
        <f ca="1" t="shared" si="1497"/>
        <v>0</v>
      </c>
      <c r="M1653" s="112" t="str">
        <f ca="1" t="shared" si="1497"/>
        <v> </v>
      </c>
      <c r="N1653" s="112" t="str">
        <f ca="1" t="shared" si="1497"/>
        <v> </v>
      </c>
      <c r="O1653" s="112" t="str">
        <f ca="1" t="shared" si="1497"/>
        <v> </v>
      </c>
      <c r="P1653" s="112" t="str">
        <f ca="1" t="shared" si="1497"/>
        <v> </v>
      </c>
      <c r="Q1653" s="112" t="str">
        <f ca="1" t="shared" si="1497"/>
        <v> </v>
      </c>
    </row>
    <row r="1654" ht="24" customHeight="1" spans="1:17">
      <c r="A1654" s="99" t="s">
        <v>349</v>
      </c>
      <c r="B1654" s="99" t="s">
        <v>308</v>
      </c>
      <c r="C1654" s="99" t="s">
        <v>309</v>
      </c>
      <c r="D1654" s="47" t="s">
        <v>294</v>
      </c>
      <c r="E1654" s="47" t="s">
        <v>93</v>
      </c>
      <c r="F1654" s="206">
        <f ca="1" t="shared" ref="F1654:F1658" si="1498">IF($S$1&lt;DATE(2025,1,1)," ",F1683-F1712)</f>
        <v>0</v>
      </c>
      <c r="G1654" s="206">
        <f ca="1" t="shared" ref="G1654:G1658" si="1499">IF($S$1&lt;DATE(2025,2,1)," ",G1683-G1712)</f>
        <v>0</v>
      </c>
      <c r="H1654" s="206">
        <f ca="1" t="shared" ref="H1654:H1658" si="1500">IF($S$1&lt;DATE(2025,3,1)," ",H1683-H1712)</f>
        <v>0</v>
      </c>
      <c r="I1654" s="206">
        <f ca="1" t="shared" ref="I1654:I1658" si="1501">IF($S$1&lt;DATE(2025,4,1)," ",I1683-I1712)</f>
        <v>0</v>
      </c>
      <c r="J1654" s="206">
        <f ca="1" t="shared" ref="J1654:J1658" si="1502">IF($S$1&lt;DATE(2025,5,1)," ",J1683-J1712)</f>
        <v>0</v>
      </c>
      <c r="K1654" s="206">
        <f ca="1" t="shared" ref="K1654:K1658" si="1503">IF($S$1&lt;DATE(2025,6,1)," ",K1683-K1712)</f>
        <v>0</v>
      </c>
      <c r="L1654" s="206">
        <f ca="1" t="shared" ref="L1654:L1658" si="1504">IF($S$1&lt;DATE(2025,7,1)," ",L1683-L1712)</f>
        <v>0</v>
      </c>
      <c r="M1654" s="206">
        <f ca="1" t="shared" ref="M1654:M1658" si="1505">IF($S$1&lt;DATE(2025,8,1)," ",M1683-M1712)</f>
        <v>1</v>
      </c>
      <c r="N1654" s="206">
        <f ca="1" t="shared" ref="N1654:N1658" si="1506">IF($S$1&lt;DATE(2025,9,1)," ",N1683-N1712)</f>
        <v>2</v>
      </c>
      <c r="O1654" s="206">
        <f ca="1" t="shared" ref="O1654:O1658" si="1507">IF($S$1&lt;DATE(2025,10,1)," ",O1683-O1712)</f>
        <v>4</v>
      </c>
      <c r="P1654" s="206">
        <f ca="1" t="shared" ref="P1654:P1658" si="1508">IF($S$1&lt;DATE(2025,11,1)," ",P1683-P1712)</f>
        <v>5</v>
      </c>
      <c r="Q1654" s="206">
        <f ca="1" t="shared" ref="Q1654:Q1658" si="1509">IF($S$1&lt;DATE(2025,12,1)," ",Q1683-Q1712)</f>
        <v>5</v>
      </c>
    </row>
    <row r="1655" ht="24" customHeight="1" spans="1:17">
      <c r="A1655" s="99" t="s">
        <v>349</v>
      </c>
      <c r="B1655" s="99" t="s">
        <v>308</v>
      </c>
      <c r="C1655" s="99" t="s">
        <v>309</v>
      </c>
      <c r="D1655" s="47" t="s">
        <v>294</v>
      </c>
      <c r="E1655" s="47" t="s">
        <v>85</v>
      </c>
      <c r="F1655" s="206">
        <f ca="1" t="shared" si="1498"/>
        <v>0</v>
      </c>
      <c r="G1655" s="206">
        <f ca="1" t="shared" si="1499"/>
        <v>1</v>
      </c>
      <c r="H1655" s="206">
        <f ca="1" t="shared" si="1500"/>
        <v>1</v>
      </c>
      <c r="I1655" s="206">
        <f ca="1" t="shared" si="1501"/>
        <v>1</v>
      </c>
      <c r="J1655" s="206">
        <f ca="1" t="shared" si="1502"/>
        <v>1</v>
      </c>
      <c r="K1655" s="206">
        <f ca="1" t="shared" si="1503"/>
        <v>1</v>
      </c>
      <c r="L1655" s="206">
        <f ca="1" t="shared" si="1504"/>
        <v>2</v>
      </c>
      <c r="M1655" s="206">
        <f ca="1" t="shared" si="1505"/>
        <v>2</v>
      </c>
      <c r="N1655" s="206">
        <f ca="1" t="shared" si="1506"/>
        <v>2</v>
      </c>
      <c r="O1655" s="206">
        <f ca="1" t="shared" si="1507"/>
        <v>2</v>
      </c>
      <c r="P1655" s="206">
        <f ca="1" t="shared" si="1508"/>
        <v>2</v>
      </c>
      <c r="Q1655" s="206">
        <f ca="1" t="shared" si="1509"/>
        <v>2</v>
      </c>
    </row>
    <row r="1656" ht="24" customHeight="1" spans="1:17">
      <c r="A1656" s="99" t="s">
        <v>349</v>
      </c>
      <c r="B1656" s="99" t="s">
        <v>308</v>
      </c>
      <c r="C1656" s="99" t="s">
        <v>309</v>
      </c>
      <c r="D1656" s="47" t="s">
        <v>294</v>
      </c>
      <c r="E1656" s="47" t="s">
        <v>81</v>
      </c>
      <c r="F1656" s="206">
        <f ca="1" t="shared" si="1498"/>
        <v>0</v>
      </c>
      <c r="G1656" s="206">
        <f ca="1" t="shared" si="1499"/>
        <v>0</v>
      </c>
      <c r="H1656" s="206">
        <f ca="1" t="shared" si="1500"/>
        <v>0</v>
      </c>
      <c r="I1656" s="206">
        <f ca="1" t="shared" si="1501"/>
        <v>0</v>
      </c>
      <c r="J1656" s="206">
        <f ca="1" t="shared" si="1502"/>
        <v>0</v>
      </c>
      <c r="K1656" s="206">
        <f ca="1" t="shared" si="1503"/>
        <v>0</v>
      </c>
      <c r="L1656" s="206">
        <f ca="1" t="shared" si="1504"/>
        <v>1</v>
      </c>
      <c r="M1656" s="206">
        <f ca="1" t="shared" si="1505"/>
        <v>1</v>
      </c>
      <c r="N1656" s="206">
        <f ca="1" t="shared" si="1506"/>
        <v>2</v>
      </c>
      <c r="O1656" s="206">
        <f ca="1" t="shared" si="1507"/>
        <v>2</v>
      </c>
      <c r="P1656" s="206">
        <f ca="1" t="shared" si="1508"/>
        <v>2</v>
      </c>
      <c r="Q1656" s="206">
        <f ca="1" t="shared" si="1509"/>
        <v>2</v>
      </c>
    </row>
    <row r="1657" ht="24" customHeight="1" spans="1:17">
      <c r="A1657" s="99" t="s">
        <v>349</v>
      </c>
      <c r="B1657" s="99" t="s">
        <v>308</v>
      </c>
      <c r="C1657" s="99" t="s">
        <v>309</v>
      </c>
      <c r="D1657" s="47" t="s">
        <v>294</v>
      </c>
      <c r="E1657" s="47" t="s">
        <v>96</v>
      </c>
      <c r="F1657" s="206">
        <f ca="1" t="shared" si="1498"/>
        <v>0</v>
      </c>
      <c r="G1657" s="206">
        <f ca="1" t="shared" si="1499"/>
        <v>0</v>
      </c>
      <c r="H1657" s="206">
        <f ca="1" t="shared" si="1500"/>
        <v>0</v>
      </c>
      <c r="I1657" s="206">
        <f ca="1" t="shared" si="1501"/>
        <v>0</v>
      </c>
      <c r="J1657" s="206">
        <f ca="1" t="shared" si="1502"/>
        <v>0</v>
      </c>
      <c r="K1657" s="206">
        <f ca="1" t="shared" si="1503"/>
        <v>0</v>
      </c>
      <c r="L1657" s="206">
        <f ca="1" t="shared" si="1504"/>
        <v>0</v>
      </c>
      <c r="M1657" s="206">
        <f ca="1" t="shared" si="1505"/>
        <v>0</v>
      </c>
      <c r="N1657" s="206">
        <f ca="1" t="shared" si="1506"/>
        <v>0</v>
      </c>
      <c r="O1657" s="206">
        <f ca="1" t="shared" si="1507"/>
        <v>0</v>
      </c>
      <c r="P1657" s="206">
        <f ca="1" t="shared" si="1508"/>
        <v>0</v>
      </c>
      <c r="Q1657" s="206">
        <f ca="1" t="shared" si="1509"/>
        <v>0</v>
      </c>
    </row>
    <row r="1658" ht="24" customHeight="1" spans="1:17">
      <c r="A1658" s="99" t="s">
        <v>349</v>
      </c>
      <c r="B1658" s="99" t="s">
        <v>308</v>
      </c>
      <c r="C1658" s="99" t="s">
        <v>309</v>
      </c>
      <c r="D1658" s="47" t="s">
        <v>294</v>
      </c>
      <c r="E1658" s="47" t="s">
        <v>160</v>
      </c>
      <c r="F1658" s="206">
        <f ca="1" t="shared" si="1498"/>
        <v>0</v>
      </c>
      <c r="G1658" s="206">
        <f ca="1" t="shared" si="1499"/>
        <v>0</v>
      </c>
      <c r="H1658" s="206">
        <f ca="1" t="shared" si="1500"/>
        <v>0</v>
      </c>
      <c r="I1658" s="206">
        <f ca="1" t="shared" si="1501"/>
        <v>0</v>
      </c>
      <c r="J1658" s="206">
        <f ca="1" t="shared" si="1502"/>
        <v>0</v>
      </c>
      <c r="K1658" s="206">
        <f ca="1" t="shared" si="1503"/>
        <v>0</v>
      </c>
      <c r="L1658" s="206">
        <f ca="1" t="shared" si="1504"/>
        <v>0</v>
      </c>
      <c r="M1658" s="206">
        <f ca="1" t="shared" si="1505"/>
        <v>0</v>
      </c>
      <c r="N1658" s="206">
        <f ca="1" t="shared" si="1506"/>
        <v>0</v>
      </c>
      <c r="O1658" s="206">
        <f ca="1" t="shared" si="1507"/>
        <v>0</v>
      </c>
      <c r="P1658" s="206">
        <f ca="1" t="shared" si="1508"/>
        <v>0</v>
      </c>
      <c r="Q1658" s="206">
        <f ca="1" t="shared" si="1509"/>
        <v>0</v>
      </c>
    </row>
    <row r="1659" ht="24" customHeight="1" spans="1:17">
      <c r="A1659" s="99" t="s">
        <v>349</v>
      </c>
      <c r="B1659" s="99" t="s">
        <v>308</v>
      </c>
      <c r="C1659" s="99" t="s">
        <v>309</v>
      </c>
      <c r="D1659" s="100" t="s">
        <v>292</v>
      </c>
      <c r="E1659" s="100" t="s">
        <v>312</v>
      </c>
      <c r="F1659" s="204">
        <f ca="1">IF($S$1&lt;DATE(2025,1,1)," ",SUM(F1660:F1662))</f>
        <v>0</v>
      </c>
      <c r="G1659" s="204">
        <f ca="1">IF($S$1&lt;DATE(2025,2,1)," ",SUM(G1660:G1662))</f>
        <v>0</v>
      </c>
      <c r="H1659" s="204">
        <f ca="1">IF($S$1&lt;DATE(2025,3,1)," ",SUM(H1660:H1662))</f>
        <v>0</v>
      </c>
      <c r="I1659" s="204">
        <f ca="1">IF($S$1&lt;DATE(2025,4,1)," ",SUM(I1660:I1662))</f>
        <v>0</v>
      </c>
      <c r="J1659" s="204">
        <f ca="1">IF($S$1&lt;DATE(2025,5,1)," ",SUM(J1660:J1662))</f>
        <v>0</v>
      </c>
      <c r="K1659" s="204">
        <f ca="1">IF($S$1&lt;DATE(2025,6,1)," ",SUM(K1660:K1662))</f>
        <v>0</v>
      </c>
      <c r="L1659" s="204">
        <f ca="1">IF($S$1&lt;DATE(2025,7,1)," ",SUM(L1660:L1662))</f>
        <v>0</v>
      </c>
      <c r="M1659" s="204">
        <f ca="1">IF($S$1&lt;DATE(2025,8,1)," ",SUM(M1660:M1662))</f>
        <v>0</v>
      </c>
      <c r="N1659" s="204">
        <f ca="1">IF($S$1&lt;DATE(2025,9,1)," ",SUM(N1660:N1662))</f>
        <v>0</v>
      </c>
      <c r="O1659" s="204">
        <f ca="1">IF($S$1&lt;DATE(2025,10,1)," ",SUM(O1660:O1662))</f>
        <v>0</v>
      </c>
      <c r="P1659" s="204">
        <f ca="1">IF($S$1&lt;DATE(2025,11,1)," ",SUM(P1660:P1662))</f>
        <v>0</v>
      </c>
      <c r="Q1659" s="204">
        <f ca="1">IF($S$1&lt;DATE(2025,12,1)," ",SUM(Q1660:Q1662))</f>
        <v>0</v>
      </c>
    </row>
    <row r="1660" ht="24" customHeight="1" spans="1:17">
      <c r="A1660" s="99" t="s">
        <v>349</v>
      </c>
      <c r="B1660" s="99" t="s">
        <v>308</v>
      </c>
      <c r="C1660" s="99" t="s">
        <v>309</v>
      </c>
      <c r="D1660" s="48" t="s">
        <v>296</v>
      </c>
      <c r="E1660" s="48" t="s">
        <v>90</v>
      </c>
      <c r="F1660" s="205">
        <f ca="1" t="shared" ref="F1660:F1662" si="1510">IF($S$1&lt;DATE(2025,1,1)," ",F1689-F1718)</f>
        <v>0</v>
      </c>
      <c r="G1660" s="205">
        <f ca="1" t="shared" ref="G1660:G1662" si="1511">IF($S$1&lt;DATE(2025,2,1)," ",G1689-G1718)</f>
        <v>0</v>
      </c>
      <c r="H1660" s="205">
        <f ca="1" t="shared" ref="H1660:H1662" si="1512">IF($S$1&lt;DATE(2025,3,1)," ",H1689-H1718)</f>
        <v>0</v>
      </c>
      <c r="I1660" s="205">
        <f ca="1" t="shared" ref="I1660:I1662" si="1513">IF($S$1&lt;DATE(2025,4,1)," ",I1689-I1718)</f>
        <v>0</v>
      </c>
      <c r="J1660" s="205">
        <f ca="1" t="shared" ref="J1660:J1662" si="1514">IF($S$1&lt;DATE(2025,5,1)," ",J1689-J1718)</f>
        <v>0</v>
      </c>
      <c r="K1660" s="205">
        <f ca="1" t="shared" ref="K1660:K1662" si="1515">IF($S$1&lt;DATE(2025,6,1)," ",K1689-K1718)</f>
        <v>0</v>
      </c>
      <c r="L1660" s="205">
        <f ca="1" t="shared" ref="L1660:L1662" si="1516">IF($S$1&lt;DATE(2025,7,1)," ",L1689-L1718)</f>
        <v>0</v>
      </c>
      <c r="M1660" s="205">
        <f ca="1" t="shared" ref="M1660:M1662" si="1517">IF($S$1&lt;DATE(2025,8,1)," ",M1689-M1718)</f>
        <v>0</v>
      </c>
      <c r="N1660" s="205">
        <f ca="1" t="shared" ref="N1660:N1662" si="1518">IF($S$1&lt;DATE(2025,9,1)," ",N1689-N1718)</f>
        <v>0</v>
      </c>
      <c r="O1660" s="205">
        <f ca="1" t="shared" ref="O1660:O1662" si="1519">IF($S$1&lt;DATE(2025,10,1)," ",O1689-O1718)</f>
        <v>0</v>
      </c>
      <c r="P1660" s="205">
        <f ca="1" t="shared" ref="P1660:P1662" si="1520">IF($S$1&lt;DATE(2025,11,1)," ",P1689-P1718)</f>
        <v>0</v>
      </c>
      <c r="Q1660" s="205">
        <f ca="1" t="shared" ref="Q1660:Q1662" si="1521">IF($S$1&lt;DATE(2025,12,1)," ",Q1689-Q1718)</f>
        <v>0</v>
      </c>
    </row>
    <row r="1661" ht="24" customHeight="1" spans="1:17">
      <c r="A1661" s="99" t="s">
        <v>349</v>
      </c>
      <c r="B1661" s="99" t="s">
        <v>308</v>
      </c>
      <c r="C1661" s="99" t="s">
        <v>309</v>
      </c>
      <c r="D1661" s="48" t="s">
        <v>296</v>
      </c>
      <c r="E1661" s="48" t="s">
        <v>82</v>
      </c>
      <c r="F1661" s="205">
        <f ca="1" t="shared" si="1510"/>
        <v>0</v>
      </c>
      <c r="G1661" s="205">
        <f ca="1" t="shared" si="1511"/>
        <v>0</v>
      </c>
      <c r="H1661" s="205">
        <f ca="1" t="shared" si="1512"/>
        <v>0</v>
      </c>
      <c r="I1661" s="205">
        <f ca="1" t="shared" si="1513"/>
        <v>0</v>
      </c>
      <c r="J1661" s="205">
        <f ca="1" t="shared" si="1514"/>
        <v>0</v>
      </c>
      <c r="K1661" s="205">
        <f ca="1" t="shared" si="1515"/>
        <v>0</v>
      </c>
      <c r="L1661" s="205">
        <f ca="1" t="shared" si="1516"/>
        <v>0</v>
      </c>
      <c r="M1661" s="205">
        <f ca="1" t="shared" si="1517"/>
        <v>0</v>
      </c>
      <c r="N1661" s="205">
        <f ca="1" t="shared" si="1518"/>
        <v>0</v>
      </c>
      <c r="O1661" s="205">
        <f ca="1" t="shared" si="1519"/>
        <v>0</v>
      </c>
      <c r="P1661" s="205">
        <f ca="1" t="shared" si="1520"/>
        <v>0</v>
      </c>
      <c r="Q1661" s="205">
        <f ca="1" t="shared" si="1521"/>
        <v>0</v>
      </c>
    </row>
    <row r="1662" ht="24" customHeight="1" spans="1:17">
      <c r="A1662" s="99" t="s">
        <v>349</v>
      </c>
      <c r="B1662" s="99" t="s">
        <v>308</v>
      </c>
      <c r="C1662" s="99" t="s">
        <v>309</v>
      </c>
      <c r="D1662" s="48" t="s">
        <v>296</v>
      </c>
      <c r="E1662" s="48" t="s">
        <v>86</v>
      </c>
      <c r="F1662" s="205">
        <f ca="1" t="shared" si="1510"/>
        <v>0</v>
      </c>
      <c r="G1662" s="205">
        <f ca="1" t="shared" si="1511"/>
        <v>0</v>
      </c>
      <c r="H1662" s="205">
        <f ca="1" t="shared" si="1512"/>
        <v>0</v>
      </c>
      <c r="I1662" s="205">
        <f ca="1" t="shared" si="1513"/>
        <v>0</v>
      </c>
      <c r="J1662" s="205">
        <f ca="1" t="shared" si="1514"/>
        <v>0</v>
      </c>
      <c r="K1662" s="205">
        <f ca="1" t="shared" si="1515"/>
        <v>0</v>
      </c>
      <c r="L1662" s="205">
        <f ca="1" t="shared" si="1516"/>
        <v>0</v>
      </c>
      <c r="M1662" s="205">
        <f ca="1" t="shared" si="1517"/>
        <v>0</v>
      </c>
      <c r="N1662" s="205">
        <f ca="1" t="shared" si="1518"/>
        <v>0</v>
      </c>
      <c r="O1662" s="205">
        <f ca="1" t="shared" si="1519"/>
        <v>0</v>
      </c>
      <c r="P1662" s="205">
        <f ca="1" t="shared" si="1520"/>
        <v>0</v>
      </c>
      <c r="Q1662" s="205">
        <f ca="1" t="shared" si="1521"/>
        <v>0</v>
      </c>
    </row>
    <row r="1663" ht="24" customHeight="1" spans="1:17">
      <c r="A1663" s="99" t="s">
        <v>349</v>
      </c>
      <c r="B1663" s="99" t="s">
        <v>308</v>
      </c>
      <c r="C1663" s="99" t="s">
        <v>309</v>
      </c>
      <c r="D1663" s="48" t="s">
        <v>313</v>
      </c>
      <c r="E1663" s="48" t="s">
        <v>90</v>
      </c>
      <c r="F1663" s="112" t="str">
        <f ca="1" t="shared" ref="F1663:Q1663" si="1522">IFERROR(F1660/F1659," ")</f>
        <v> </v>
      </c>
      <c r="G1663" s="112" t="str">
        <f ca="1" t="shared" si="1522"/>
        <v> </v>
      </c>
      <c r="H1663" s="112" t="str">
        <f ca="1" t="shared" si="1522"/>
        <v> </v>
      </c>
      <c r="I1663" s="112" t="str">
        <f ca="1" t="shared" si="1522"/>
        <v> </v>
      </c>
      <c r="J1663" s="112" t="str">
        <f ca="1" t="shared" si="1522"/>
        <v> </v>
      </c>
      <c r="K1663" s="112" t="str">
        <f ca="1" t="shared" si="1522"/>
        <v> </v>
      </c>
      <c r="L1663" s="112" t="str">
        <f ca="1" t="shared" si="1522"/>
        <v> </v>
      </c>
      <c r="M1663" s="112" t="str">
        <f ca="1" t="shared" si="1522"/>
        <v> </v>
      </c>
      <c r="N1663" s="112" t="str">
        <f ca="1" t="shared" si="1522"/>
        <v> </v>
      </c>
      <c r="O1663" s="112" t="str">
        <f ca="1" t="shared" si="1522"/>
        <v> </v>
      </c>
      <c r="P1663" s="112" t="str">
        <f ca="1" t="shared" si="1522"/>
        <v> </v>
      </c>
      <c r="Q1663" s="112" t="str">
        <f ca="1" t="shared" si="1522"/>
        <v> </v>
      </c>
    </row>
    <row r="1664" ht="24" customHeight="1" spans="1:17">
      <c r="A1664" s="99" t="s">
        <v>349</v>
      </c>
      <c r="B1664" s="99" t="s">
        <v>308</v>
      </c>
      <c r="C1664" s="99" t="s">
        <v>309</v>
      </c>
      <c r="D1664" s="48" t="s">
        <v>313</v>
      </c>
      <c r="E1664" s="48" t="s">
        <v>82</v>
      </c>
      <c r="F1664" s="112" t="str">
        <f ca="1" t="shared" ref="F1664:Q1664" si="1523">IFERROR(F1661/F1659," ")</f>
        <v> </v>
      </c>
      <c r="G1664" s="112" t="str">
        <f ca="1" t="shared" si="1523"/>
        <v> </v>
      </c>
      <c r="H1664" s="112" t="str">
        <f ca="1" t="shared" si="1523"/>
        <v> </v>
      </c>
      <c r="I1664" s="112" t="str">
        <f ca="1" t="shared" si="1523"/>
        <v> </v>
      </c>
      <c r="J1664" s="112" t="str">
        <f ca="1" t="shared" si="1523"/>
        <v> </v>
      </c>
      <c r="K1664" s="112" t="str">
        <f ca="1" t="shared" si="1523"/>
        <v> </v>
      </c>
      <c r="L1664" s="112" t="str">
        <f ca="1" t="shared" si="1523"/>
        <v> </v>
      </c>
      <c r="M1664" s="112" t="str">
        <f ca="1" t="shared" si="1523"/>
        <v> </v>
      </c>
      <c r="N1664" s="112" t="str">
        <f ca="1" t="shared" si="1523"/>
        <v> </v>
      </c>
      <c r="O1664" s="112" t="str">
        <f ca="1" t="shared" si="1523"/>
        <v> </v>
      </c>
      <c r="P1664" s="112" t="str">
        <f ca="1" t="shared" si="1523"/>
        <v> </v>
      </c>
      <c r="Q1664" s="112" t="str">
        <f ca="1" t="shared" si="1523"/>
        <v> </v>
      </c>
    </row>
    <row r="1665" ht="24" customHeight="1" spans="1:17">
      <c r="A1665" s="99" t="s">
        <v>349</v>
      </c>
      <c r="B1665" s="99" t="s">
        <v>308</v>
      </c>
      <c r="C1665" s="99" t="s">
        <v>309</v>
      </c>
      <c r="D1665" s="48" t="s">
        <v>313</v>
      </c>
      <c r="E1665" s="48" t="s">
        <v>86</v>
      </c>
      <c r="F1665" s="112" t="str">
        <f ca="1" t="shared" ref="F1665:Q1665" si="1524">IFERROR(F1662/F1659," ")</f>
        <v> </v>
      </c>
      <c r="G1665" s="112" t="str">
        <f ca="1" t="shared" si="1524"/>
        <v> </v>
      </c>
      <c r="H1665" s="112" t="str">
        <f ca="1" t="shared" si="1524"/>
        <v> </v>
      </c>
      <c r="I1665" s="112" t="str">
        <f ca="1" t="shared" si="1524"/>
        <v> </v>
      </c>
      <c r="J1665" s="112" t="str">
        <f ca="1" t="shared" si="1524"/>
        <v> </v>
      </c>
      <c r="K1665" s="112" t="str">
        <f ca="1" t="shared" si="1524"/>
        <v> </v>
      </c>
      <c r="L1665" s="112" t="str">
        <f ca="1" t="shared" si="1524"/>
        <v> </v>
      </c>
      <c r="M1665" s="112" t="str">
        <f ca="1" t="shared" si="1524"/>
        <v> </v>
      </c>
      <c r="N1665" s="112" t="str">
        <f ca="1" t="shared" si="1524"/>
        <v> </v>
      </c>
      <c r="O1665" s="112" t="str">
        <f ca="1" t="shared" si="1524"/>
        <v> </v>
      </c>
      <c r="P1665" s="112" t="str">
        <f ca="1" t="shared" si="1524"/>
        <v> </v>
      </c>
      <c r="Q1665" s="112" t="str">
        <f ca="1" t="shared" si="1524"/>
        <v> </v>
      </c>
    </row>
    <row r="1666" ht="24" customHeight="1" spans="1:17">
      <c r="A1666" s="99" t="s">
        <v>349</v>
      </c>
      <c r="B1666" s="99" t="s">
        <v>308</v>
      </c>
      <c r="C1666" s="99" t="s">
        <v>309</v>
      </c>
      <c r="D1666" s="100" t="s">
        <v>292</v>
      </c>
      <c r="E1666" s="100" t="s">
        <v>314</v>
      </c>
      <c r="F1666" s="204">
        <f ca="1">IF($S$1&lt;DATE(2025,1,1)," ",SUM(F1667:F1670))</f>
        <v>0</v>
      </c>
      <c r="G1666" s="204">
        <f ca="1">IF($S$1&lt;DATE(2025,2,1)," ",SUM(G1667:G1670))</f>
        <v>1</v>
      </c>
      <c r="H1666" s="204">
        <f ca="1">IF($S$1&lt;DATE(2025,3,1)," ",SUM(H1667:H1670))</f>
        <v>0</v>
      </c>
      <c r="I1666" s="204">
        <f ca="1">IF($S$1&lt;DATE(2025,4,1)," ",SUM(I1667:I1670))</f>
        <v>0</v>
      </c>
      <c r="J1666" s="204">
        <f ca="1">IF($S$1&lt;DATE(2025,5,1)," ",SUM(J1667:J1670))</f>
        <v>0</v>
      </c>
      <c r="K1666" s="204">
        <f ca="1">IF($S$1&lt;DATE(2025,6,1)," ",SUM(K1667:K1670))</f>
        <v>0</v>
      </c>
      <c r="L1666" s="204">
        <f ca="1">IF($S$1&lt;DATE(2025,7,1)," ",SUM(L1667:L1670))</f>
        <v>2</v>
      </c>
      <c r="M1666" s="204">
        <f ca="1">IF($S$1&lt;DATE(2025,8,1)," ",SUM(M1667:M1670))</f>
        <v>0</v>
      </c>
      <c r="N1666" s="204">
        <f ca="1">IF($S$1&lt;DATE(2025,9,1)," ",SUM(N1667:N1670))</f>
        <v>0</v>
      </c>
      <c r="O1666" s="204">
        <f ca="1">IF($S$1&lt;DATE(2025,10,1)," ",SUM(O1667:O1670))</f>
        <v>0</v>
      </c>
      <c r="P1666" s="204">
        <f ca="1">IF($S$1&lt;DATE(2025,11,1)," ",SUM(P1667:P1670))</f>
        <v>0</v>
      </c>
      <c r="Q1666" s="204">
        <f ca="1">IF($S$1&lt;DATE(2025,12,1)," ",SUM(Q1667:Q1670))</f>
        <v>0</v>
      </c>
    </row>
    <row r="1667" ht="24" customHeight="1" spans="1:17">
      <c r="A1667" s="99" t="s">
        <v>349</v>
      </c>
      <c r="B1667" s="99" t="s">
        <v>308</v>
      </c>
      <c r="C1667" s="99" t="s">
        <v>309</v>
      </c>
      <c r="D1667" s="48" t="s">
        <v>298</v>
      </c>
      <c r="E1667" s="48" t="s">
        <v>97</v>
      </c>
      <c r="F1667" s="205">
        <f ca="1" t="shared" ref="F1667:F1668" si="1525">IF($S$1&lt;DATE(2025,1,1)," ",F1693-F1725)</f>
        <v>0</v>
      </c>
      <c r="G1667" s="205">
        <f ca="1" t="shared" ref="G1667:G1668" si="1526">IF($S$1&lt;DATE(2025,2,1)," ",G1693-G1725)</f>
        <v>0</v>
      </c>
      <c r="H1667" s="205">
        <f ca="1" t="shared" ref="H1667:H1668" si="1527">IF($S$1&lt;DATE(2025,3,1)," ",H1693-H1725)</f>
        <v>0</v>
      </c>
      <c r="I1667" s="205">
        <f ca="1" t="shared" ref="I1667:I1668" si="1528">IF($S$1&lt;DATE(2025,4,1)," ",I1693-I1725)</f>
        <v>0</v>
      </c>
      <c r="J1667" s="205">
        <f ca="1" t="shared" ref="J1667:J1668" si="1529">IF($S$1&lt;DATE(2025,5,1)," ",J1693-J1725)</f>
        <v>0</v>
      </c>
      <c r="K1667" s="205">
        <f ca="1" t="shared" ref="K1667:K1668" si="1530">IF($S$1&lt;DATE(2025,6,1)," ",K1693-K1725)</f>
        <v>0</v>
      </c>
      <c r="L1667" s="205">
        <f ca="1" t="shared" ref="L1667:L1668" si="1531">IF($S$1&lt;DATE(2025,7,1)," ",L1693-L1725)</f>
        <v>0</v>
      </c>
      <c r="M1667" s="205">
        <f ca="1" t="shared" ref="M1667:M1668" si="1532">IF($S$1&lt;DATE(2025,8,1)," ",M1693-M1725)</f>
        <v>0</v>
      </c>
      <c r="N1667" s="205">
        <f ca="1" t="shared" ref="N1667:N1668" si="1533">IF($S$1&lt;DATE(2025,9,1)," ",N1693-N1725)</f>
        <v>0</v>
      </c>
      <c r="O1667" s="205">
        <f ca="1" t="shared" ref="O1667:O1668" si="1534">IF($S$1&lt;DATE(2025,10,1)," ",O1693-O1725)</f>
        <v>0</v>
      </c>
      <c r="P1667" s="205">
        <f ca="1" t="shared" ref="P1667:P1668" si="1535">IF($S$1&lt;DATE(2025,11,1)," ",P1693-P1725)</f>
        <v>0</v>
      </c>
      <c r="Q1667" s="205">
        <f ca="1" t="shared" ref="Q1667:Q1668" si="1536">IF($S$1&lt;DATE(2025,12,1)," ",Q1693-Q1725)</f>
        <v>0</v>
      </c>
    </row>
    <row r="1668" ht="24" customHeight="1" spans="1:17">
      <c r="A1668" s="99" t="s">
        <v>349</v>
      </c>
      <c r="B1668" s="99" t="s">
        <v>308</v>
      </c>
      <c r="C1668" s="99" t="s">
        <v>309</v>
      </c>
      <c r="D1668" s="48" t="s">
        <v>298</v>
      </c>
      <c r="E1668" s="48" t="s">
        <v>87</v>
      </c>
      <c r="F1668" s="205">
        <f ca="1" t="shared" si="1525"/>
        <v>0</v>
      </c>
      <c r="G1668" s="205">
        <f ca="1" t="shared" si="1526"/>
        <v>1</v>
      </c>
      <c r="H1668" s="205">
        <f ca="1" t="shared" si="1527"/>
        <v>0</v>
      </c>
      <c r="I1668" s="205">
        <f ca="1" t="shared" si="1528"/>
        <v>0</v>
      </c>
      <c r="J1668" s="205">
        <f ca="1" t="shared" si="1529"/>
        <v>0</v>
      </c>
      <c r="K1668" s="205">
        <f ca="1" t="shared" si="1530"/>
        <v>0</v>
      </c>
      <c r="L1668" s="205">
        <f ca="1" t="shared" si="1531"/>
        <v>1</v>
      </c>
      <c r="M1668" s="205">
        <f ca="1" t="shared" si="1532"/>
        <v>0</v>
      </c>
      <c r="N1668" s="205">
        <f ca="1" t="shared" si="1533"/>
        <v>0</v>
      </c>
      <c r="O1668" s="205">
        <f ca="1" t="shared" si="1534"/>
        <v>0</v>
      </c>
      <c r="P1668" s="205">
        <f ca="1" t="shared" si="1535"/>
        <v>0</v>
      </c>
      <c r="Q1668" s="205">
        <f ca="1" t="shared" si="1536"/>
        <v>0</v>
      </c>
    </row>
    <row r="1669" ht="24" customHeight="1" spans="1:17">
      <c r="A1669" s="99" t="s">
        <v>349</v>
      </c>
      <c r="B1669" s="99" t="s">
        <v>308</v>
      </c>
      <c r="C1669" s="99" t="s">
        <v>309</v>
      </c>
      <c r="D1669" s="48" t="s">
        <v>298</v>
      </c>
      <c r="E1669" s="48" t="s">
        <v>149</v>
      </c>
      <c r="F1669" s="205">
        <f ca="1">IF($S$1&lt;DATE(2025,1,1)," ",F1695-F1728)</f>
        <v>0</v>
      </c>
      <c r="G1669" s="205">
        <f ca="1">IF($S$1&lt;DATE(2025,2,1)," ",G1695-G1728)</f>
        <v>0</v>
      </c>
      <c r="H1669" s="205">
        <f ca="1">IF($S$1&lt;DATE(2025,3,1)," ",H1695-H1728)</f>
        <v>0</v>
      </c>
      <c r="I1669" s="205">
        <f ca="1">IF($S$1&lt;DATE(2025,4,1)," ",I1695-I1728)</f>
        <v>0</v>
      </c>
      <c r="J1669" s="205">
        <f ca="1">IF($S$1&lt;DATE(2025,5,1)," ",J1694-J1726)</f>
        <v>0</v>
      </c>
      <c r="K1669" s="205">
        <f ca="1">IF($S$1&lt;DATE(2025,6,1)," ",K1694-K1726)</f>
        <v>0</v>
      </c>
      <c r="L1669" s="205">
        <f ca="1">IF($S$1&lt;DATE(2025,7,1)," ",L1694-L1726)</f>
        <v>1</v>
      </c>
      <c r="M1669" s="205">
        <f ca="1">IF($S$1&lt;DATE(2025,8,1)," ",M1694-M1726)</f>
        <v>0</v>
      </c>
      <c r="N1669" s="205">
        <f ca="1">IF($S$1&lt;DATE(2025,9,1)," ",N1694-N1726)</f>
        <v>0</v>
      </c>
      <c r="O1669" s="205">
        <f ca="1">IF($S$1&lt;DATE(2025,10,1)," ",O1694-O1726)</f>
        <v>0</v>
      </c>
      <c r="P1669" s="205">
        <f ca="1">IF($S$1&lt;DATE(2025,11,1)," ",P1694-P1726)</f>
        <v>0</v>
      </c>
      <c r="Q1669" s="205">
        <f ca="1">IF($S$1&lt;DATE(2025,12,1)," ",Q1694-Q1726)</f>
        <v>0</v>
      </c>
    </row>
    <row r="1670" ht="24" customHeight="1" spans="1:17">
      <c r="A1670" s="99" t="s">
        <v>349</v>
      </c>
      <c r="B1670" s="99" t="s">
        <v>308</v>
      </c>
      <c r="C1670" s="99" t="s">
        <v>309</v>
      </c>
      <c r="D1670" s="48" t="s">
        <v>298</v>
      </c>
      <c r="E1670" s="48" t="s">
        <v>83</v>
      </c>
      <c r="F1670" s="205">
        <f ca="1">IF($S$1&lt;DATE(2025,1,1)," ",F1696-F1728)</f>
        <v>0</v>
      </c>
      <c r="G1670" s="205">
        <f ca="1">IF($S$1&lt;DATE(2025,2,1)," ",G1696-G1728)</f>
        <v>0</v>
      </c>
      <c r="H1670" s="205">
        <f ca="1">IF($S$1&lt;DATE(2025,3,1)," ",H1696-H1728)</f>
        <v>0</v>
      </c>
      <c r="I1670" s="205">
        <f ca="1">IF($S$1&lt;DATE(2025,4,1)," ",I1696-I1728)</f>
        <v>0</v>
      </c>
      <c r="J1670" s="205">
        <f ca="1">IF($S$1&lt;DATE(2025,5,1)," ",J1696-J1728)</f>
        <v>0</v>
      </c>
      <c r="K1670" s="205">
        <f ca="1">IF($S$1&lt;DATE(2025,6,1)," ",K1696-K1728)</f>
        <v>0</v>
      </c>
      <c r="L1670" s="205">
        <f ca="1">IF($S$1&lt;DATE(2025,7,1)," ",L1696-L1728)</f>
        <v>0</v>
      </c>
      <c r="M1670" s="205">
        <f ca="1">IF($S$1&lt;DATE(2025,8,1)," ",M1696-M1728)</f>
        <v>0</v>
      </c>
      <c r="N1670" s="205">
        <f ca="1">IF($S$1&lt;DATE(2025,9,1)," ",N1696-N1728)</f>
        <v>0</v>
      </c>
      <c r="O1670" s="205">
        <f ca="1">IF($S$1&lt;DATE(2025,10,1)," ",O1696-O1728)</f>
        <v>0</v>
      </c>
      <c r="P1670" s="205">
        <f ca="1">IF($S$1&lt;DATE(2025,11,1)," ",P1696-P1728)</f>
        <v>0</v>
      </c>
      <c r="Q1670" s="205">
        <f ca="1">IF($S$1&lt;DATE(2025,12,1)," ",Q1696-Q1728)</f>
        <v>0</v>
      </c>
    </row>
    <row r="1671" ht="24" customHeight="1" spans="1:17">
      <c r="A1671" s="99" t="s">
        <v>349</v>
      </c>
      <c r="B1671" s="99" t="s">
        <v>308</v>
      </c>
      <c r="C1671" s="99" t="s">
        <v>309</v>
      </c>
      <c r="D1671" s="48" t="s">
        <v>315</v>
      </c>
      <c r="E1671" s="48" t="s">
        <v>97</v>
      </c>
      <c r="F1671" s="112" t="str">
        <f ca="1">IFERROR(IF($S$1&lt;DATE(2025,1,1)," ",F1667/F1666)," ")</f>
        <v> </v>
      </c>
      <c r="G1671" s="112">
        <f ca="1">IFERROR(IF($S$1&lt;DATE(2025,2,1)," ",G1667/G1666)," ")</f>
        <v>0</v>
      </c>
      <c r="H1671" s="112" t="str">
        <f ca="1">IFERROR(IF($S$1&lt;DATE(2025,3,1)," ",H1667/H1666)," ")</f>
        <v> </v>
      </c>
      <c r="I1671" s="112" t="str">
        <f ca="1">IFERROR(IF($S$1&lt;DATE(2025,4,1)," ",I1667/I1666)," ")</f>
        <v> </v>
      </c>
      <c r="J1671" s="112" t="str">
        <f ca="1">IFERROR(IF($S$1&lt;DATE(2025,5,1)," ",J1667/J1666)," ")</f>
        <v> </v>
      </c>
      <c r="K1671" s="112" t="str">
        <f ca="1">IFERROR(IF($S$1&lt;DATE(2025,6,1)," ",K1667/K1666)," ")</f>
        <v> </v>
      </c>
      <c r="L1671" s="112">
        <f ca="1">IFERROR(IF($S$1&lt;DATE(2025,7,1)," ",L1667/L1666)," ")</f>
        <v>0</v>
      </c>
      <c r="M1671" s="112" t="str">
        <f ca="1">IFERROR(IF($S$1&lt;DATE(2025,8,1)," ",M1667/M1666)," ")</f>
        <v> </v>
      </c>
      <c r="N1671" s="112" t="str">
        <f ca="1">IFERROR(IF($S$1&lt;DATE(2025,9,1)," ",N1667/N1666)," ")</f>
        <v> </v>
      </c>
      <c r="O1671" s="112" t="str">
        <f ca="1">IFERROR(IF($S$1&lt;DATE(2025,10,1)," ",O1667/O1666)," ")</f>
        <v> </v>
      </c>
      <c r="P1671" s="112" t="str">
        <f ca="1">IFERROR(IF($S$1&lt;DATE(2025,11,1)," ",P1667/P1666)," ")</f>
        <v> </v>
      </c>
      <c r="Q1671" s="112" t="str">
        <f ca="1">IFERROR(IF($S$1&lt;DATE(2025,12,1)," ",Q1667/Q1666)," ")</f>
        <v> </v>
      </c>
    </row>
    <row r="1672" ht="24" customHeight="1" spans="1:17">
      <c r="A1672" s="99" t="s">
        <v>349</v>
      </c>
      <c r="B1672" s="99" t="s">
        <v>308</v>
      </c>
      <c r="C1672" s="99" t="s">
        <v>309</v>
      </c>
      <c r="D1672" s="48" t="s">
        <v>315</v>
      </c>
      <c r="E1672" s="48" t="s">
        <v>87</v>
      </c>
      <c r="F1672" s="112" t="str">
        <f ca="1">IFERROR(IF($S$1&lt;DATE(2025,1,1)," ",F1668/F$1666)," ")</f>
        <v> </v>
      </c>
      <c r="G1672" s="112">
        <f ca="1">IFERROR(IF($S$1&lt;DATE(2025,2,1)," ",G1668/G$1666)," ")</f>
        <v>1</v>
      </c>
      <c r="H1672" s="112" t="str">
        <f ca="1">IFERROR(IF($S$1&lt;DATE(2025,3,1)," ",H1668/H$1666)," ")</f>
        <v> </v>
      </c>
      <c r="I1672" s="112" t="str">
        <f ca="1">IFERROR(IF($S$1&lt;DATE(2025,4,1)," ",I1668/I$1666)," ")</f>
        <v> </v>
      </c>
      <c r="J1672" s="112" t="str">
        <f ca="1">IFERROR(IF($S$1&lt;DATE(2025,5,1)," ",J1668/J$1666)," ")</f>
        <v> </v>
      </c>
      <c r="K1672" s="112" t="str">
        <f ca="1">IFERROR(IF($S$1&lt;DATE(2025,6,1)," ",K1668/K$1666)," ")</f>
        <v> </v>
      </c>
      <c r="L1672" s="112">
        <f ca="1">IFERROR(IF($S$1&lt;DATE(2025,7,1)," ",L1668/L$1666)," ")</f>
        <v>0.5</v>
      </c>
      <c r="M1672" s="112" t="str">
        <f ca="1">IFERROR(IF($S$1&lt;DATE(2025,8,1)," ",M1668/M$1666)," ")</f>
        <v> </v>
      </c>
      <c r="N1672" s="112" t="str">
        <f ca="1">IFERROR(IF($S$1&lt;DATE(2025,9,1)," ",N1668/N$1666)," ")</f>
        <v> </v>
      </c>
      <c r="O1672" s="112" t="str">
        <f ca="1">IFERROR(IF($S$1&lt;DATE(2025,10,1)," ",O1668/O$1666)," ")</f>
        <v> </v>
      </c>
      <c r="P1672" s="112" t="str">
        <f ca="1">IFERROR(IF($S$1&lt;DATE(2025,11,1)," ",P1668/P$1666)," ")</f>
        <v> </v>
      </c>
      <c r="Q1672" s="112" t="str">
        <f ca="1">IFERROR(IF($S$1&lt;DATE(2025,12,1)," ",Q1668/Q$1666)," ")</f>
        <v> </v>
      </c>
    </row>
    <row r="1673" ht="24" customHeight="1" spans="1:17">
      <c r="A1673" s="99" t="s">
        <v>349</v>
      </c>
      <c r="B1673" s="99" t="s">
        <v>308</v>
      </c>
      <c r="C1673" s="99" t="s">
        <v>309</v>
      </c>
      <c r="D1673" s="48" t="s">
        <v>315</v>
      </c>
      <c r="E1673" s="48" t="s">
        <v>149</v>
      </c>
      <c r="F1673" s="112" t="str">
        <f ca="1">IFERROR(IF($S$1&lt;DATE(2025,1,1)," ",F1668/F$1666)," ")</f>
        <v> </v>
      </c>
      <c r="G1673" s="112">
        <f ca="1">IFERROR(IF($S$1&lt;DATE(2025,2,1)," ",G1668/G$1666)," ")</f>
        <v>1</v>
      </c>
      <c r="H1673" s="112" t="str">
        <f ca="1">IFERROR(IF($S$1&lt;DATE(2025,3,1)," ",H1668/H$1666)," ")</f>
        <v> </v>
      </c>
      <c r="I1673" s="112" t="str">
        <f ca="1">IFERROR(IF($S$1&lt;DATE(2025,4,1)," ",I1668/I$1666)," ")</f>
        <v> </v>
      </c>
      <c r="J1673" s="112" t="str">
        <f ca="1">IFERROR(IF($S$1&lt;DATE(2025,5,1)," ",J1668/J$1666)," ")</f>
        <v> </v>
      </c>
      <c r="K1673" s="112" t="str">
        <f ca="1">IFERROR(IF($S$1&lt;DATE(2025,6,1)," ",K1668/K$1666)," ")</f>
        <v> </v>
      </c>
      <c r="L1673" s="112">
        <f ca="1">IFERROR(IF($S$1&lt;DATE(2025,7,1)," ",L1668/L$1666)," ")</f>
        <v>0.5</v>
      </c>
      <c r="M1673" s="112" t="str">
        <f ca="1">IFERROR(IF($S$1&lt;DATE(2025,8,1)," ",M1668/M$1666)," ")</f>
        <v> </v>
      </c>
      <c r="N1673" s="112" t="str">
        <f ca="1">IFERROR(IF($S$1&lt;DATE(2025,9,1)," ",N1668/N$1666)," ")</f>
        <v> </v>
      </c>
      <c r="O1673" s="112" t="str">
        <f ca="1">IFERROR(IF($S$1&lt;DATE(2025,10,1)," ",O1668/O$1666)," ")</f>
        <v> </v>
      </c>
      <c r="P1673" s="112" t="str">
        <f ca="1">IFERROR(IF($S$1&lt;DATE(2025,11,1)," ",P1668/P$1666)," ")</f>
        <v> </v>
      </c>
      <c r="Q1673" s="112" t="str">
        <f ca="1">IFERROR(IF($S$1&lt;DATE(2025,12,1)," ",Q1668/Q$1666)," ")</f>
        <v> </v>
      </c>
    </row>
    <row r="1674" ht="24" customHeight="1" spans="1:17">
      <c r="A1674" s="99" t="s">
        <v>349</v>
      </c>
      <c r="B1674" s="99" t="s">
        <v>308</v>
      </c>
      <c r="C1674" s="99" t="s">
        <v>309</v>
      </c>
      <c r="D1674" s="48" t="s">
        <v>315</v>
      </c>
      <c r="E1674" s="48" t="s">
        <v>83</v>
      </c>
      <c r="F1674" s="112" t="str">
        <f ca="1">IFERROR(IF($S$1&lt;DATE(2025,1,1)," ",F1670/F$1666)," ")</f>
        <v> </v>
      </c>
      <c r="G1674" s="112">
        <f ca="1">IFERROR(IF($S$1&lt;DATE(2025,2,1)," ",G1670/G$1666)," ")</f>
        <v>0</v>
      </c>
      <c r="H1674" s="112" t="str">
        <f ca="1">IFERROR(IF($S$1&lt;DATE(2025,3,1)," ",H1670/H$1666)," ")</f>
        <v> </v>
      </c>
      <c r="I1674" s="112" t="str">
        <f ca="1">IFERROR(IF($S$1&lt;DATE(2025,4,1)," ",I1670/I$1666)," ")</f>
        <v> </v>
      </c>
      <c r="J1674" s="112" t="str">
        <f ca="1">IFERROR(IF($S$1&lt;DATE(2025,5,1)," ",J1670/J$1666)," ")</f>
        <v> </v>
      </c>
      <c r="K1674" s="112" t="str">
        <f ca="1">IFERROR(IF($S$1&lt;DATE(2025,6,1)," ",K1670/K$1666)," ")</f>
        <v> </v>
      </c>
      <c r="L1674" s="112">
        <f ca="1">IFERROR(IF($S$1&lt;DATE(2025,7,1)," ",L1670/L$1666)," ")</f>
        <v>0</v>
      </c>
      <c r="M1674" s="112" t="str">
        <f ca="1">IFERROR(IF($S$1&lt;DATE(2025,8,1)," ",M1670/M$1666)," ")</f>
        <v> </v>
      </c>
      <c r="N1674" s="112" t="str">
        <f ca="1">IFERROR(IF($S$1&lt;DATE(2025,9,1)," ",N1670/N$1666)," ")</f>
        <v> </v>
      </c>
      <c r="O1674" s="112" t="str">
        <f ca="1">IFERROR(IF($S$1&lt;DATE(2025,10,1)," ",O1670/O$1666)," ")</f>
        <v> </v>
      </c>
      <c r="P1674" s="112" t="str">
        <f ca="1">IFERROR(IF($S$1&lt;DATE(2025,11,1)," ",P1670/P$1666)," ")</f>
        <v> </v>
      </c>
      <c r="Q1674" s="112" t="str">
        <f ca="1">IFERROR(IF($S$1&lt;DATE(2025,12,1)," ",Q1670/Q$1666)," ")</f>
        <v> </v>
      </c>
    </row>
    <row r="1675" ht="24" customHeight="1" spans="1:17">
      <c r="A1675" s="99" t="s">
        <v>349</v>
      </c>
      <c r="B1675" s="99" t="s">
        <v>290</v>
      </c>
      <c r="C1675" s="99" t="s">
        <v>316</v>
      </c>
      <c r="D1675" s="100" t="s">
        <v>292</v>
      </c>
      <c r="E1675" s="100" t="s">
        <v>317</v>
      </c>
      <c r="F1675" s="204">
        <f ca="1">IF($S$1&lt;DATE(2025,1,1)," ",IF((SUM(F1676:F1682)-MAX(F1688,F1692))&lt;0,"ERR",SUM(F1676:F1682)))</f>
        <v>0</v>
      </c>
      <c r="G1675" s="204">
        <f ca="1">IF($S$1&lt;DATE(2025,2,1)," ",IF((SUM(G1676:G1682)-MAX(G1688,G1692))&lt;0,"ERR",SUM(G1676:G1682)))</f>
        <v>1</v>
      </c>
      <c r="H1675" s="204">
        <f ca="1">IF($S$1&lt;DATE(2025,3,1)," ",IF((SUM(H1676:H1682)-MAX(H1688,H1692))&lt;0,"ERR",SUM(H1676:H1682)))</f>
        <v>1</v>
      </c>
      <c r="I1675" s="204">
        <f ca="1">IF($S$1&lt;DATE(2025,4,1)," ",IF((SUM(I1676:I1682)-MAX(I1688,I1692))&lt;0,"ERR",SUM(I1676:I1682)))</f>
        <v>1</v>
      </c>
      <c r="J1675" s="204">
        <f ca="1">IF($S$1&lt;DATE(2025,5,1)," ",IF((SUM(J1676:J1682)-MAX(J1688,J1692))&lt;0,"ERR",SUM(J1676:J1682)))</f>
        <v>1</v>
      </c>
      <c r="K1675" s="204">
        <f ca="1">IF($S$1&lt;DATE(2025,6,1)," ",IF((SUM(K1676:K1682)-MAX(K1688,K1692))&lt;0,"ERR",SUM(K1676:K1682)))</f>
        <v>1</v>
      </c>
      <c r="L1675" s="204">
        <f ca="1">IF($S$1&lt;DATE(2025,7,1)," ",IF((SUM(L1676:L1682)-MAX(L1688,L1692))&lt;0,"ERR",SUM(L1676:L1682)))</f>
        <v>3</v>
      </c>
      <c r="M1675" s="204">
        <f ca="1">IF($S$1&lt;DATE(2025,8,1)," ",IF((SUM(M1676:M1682)-MAX(M1688,M1692))&lt;0,"ERR",SUM(M1676:M1682)))</f>
        <v>4</v>
      </c>
      <c r="N1675" s="204">
        <f ca="1">IF($S$1&lt;DATE(2025,9,1)," ",IF((SUM(N1676:N1682)-MAX(N1688,N1692))&lt;0,"ERR",SUM(N1676:N1682)))</f>
        <v>6</v>
      </c>
      <c r="O1675" s="204">
        <f ca="1">IF($S$1&lt;DATE(2025,10,1)," ",IF((SUM(O1676:O1682)-MAX(O1688,O1692))&lt;0,"ERR",SUM(O1676:O1682)))</f>
        <v>8</v>
      </c>
      <c r="P1675" s="204">
        <f ca="1">IF($S$1&lt;DATE(2025,11,1)," ",IF((SUM(P1676:P1682)-MAX(P1688,P1692))&lt;0,"ERR",SUM(P1676:P1682)))</f>
        <v>9</v>
      </c>
      <c r="Q1675" s="204">
        <f ca="1">IF($S$1&lt;DATE(2025,12,1)," ",IF((SUM(Q1676:Q1682)-MAX(Q1688,Q1692))&lt;0,"ERR",SUM(Q1676:Q1682)))</f>
        <v>9</v>
      </c>
    </row>
    <row r="1676" ht="24" customHeight="1" spans="1:17">
      <c r="A1676" s="99" t="s">
        <v>349</v>
      </c>
      <c r="B1676" s="99" t="s">
        <v>290</v>
      </c>
      <c r="C1676" s="99" t="s">
        <v>316</v>
      </c>
      <c r="D1676" s="48" t="s">
        <v>31</v>
      </c>
      <c r="E1676" s="48" t="s">
        <v>90</v>
      </c>
      <c r="F1676" s="205">
        <f ca="1" t="shared" ref="F1676:F1687" si="1537">IF($S$1&lt;DATE(2025,1,1)," ",F1578)</f>
        <v>0</v>
      </c>
      <c r="G1676" s="205">
        <f ca="1" t="shared" ref="G1676:G1687" si="1538">IF($S$1&lt;DATE(2025,2,1)," ",G1578+F1676)</f>
        <v>0</v>
      </c>
      <c r="H1676" s="205">
        <f ca="1" t="shared" ref="H1676:H1687" si="1539">IF($S$1&lt;DATE(2025,3,1)," ",H1578+G1676)</f>
        <v>0</v>
      </c>
      <c r="I1676" s="205">
        <f ca="1" t="shared" ref="I1676:I1687" si="1540">IF($S$1&lt;DATE(2025,4,1)," ",I1578+H1676)</f>
        <v>0</v>
      </c>
      <c r="J1676" s="205">
        <f ca="1" t="shared" ref="J1676:J1687" si="1541">IF($S$1&lt;DATE(2025,5,1)," ",J1578+I1676)</f>
        <v>0</v>
      </c>
      <c r="K1676" s="205">
        <f ca="1" t="shared" ref="K1676:K1687" si="1542">IF($S$1&lt;DATE(2025,6,1)," ",K1578+J1676)</f>
        <v>0</v>
      </c>
      <c r="L1676" s="205">
        <f ca="1" t="shared" ref="L1676:L1687" si="1543">IF($S$1&lt;DATE(2025,7,1)," ",L1578+K1676)</f>
        <v>0</v>
      </c>
      <c r="M1676" s="205">
        <f ca="1" t="shared" ref="M1676:M1687" si="1544">IF($S$1&lt;DATE(2025,8,1)," ",M1578+L1676)</f>
        <v>0</v>
      </c>
      <c r="N1676" s="205">
        <f ca="1" t="shared" ref="N1676:N1687" si="1545">IF($S$1&lt;DATE(2025,9,1)," ",N1578+M1676)</f>
        <v>0</v>
      </c>
      <c r="O1676" s="205">
        <f ca="1" t="shared" ref="O1676:O1687" si="1546">IF($S$1&lt;DATE(2025,10,1)," ",O1578+N1676)</f>
        <v>2</v>
      </c>
      <c r="P1676" s="205">
        <f ca="1" t="shared" ref="P1676:P1687" si="1547">IF($S$1&lt;DATE(2025,11,1)," ",P1578+O1676)</f>
        <v>2</v>
      </c>
      <c r="Q1676" s="205">
        <f ca="1" t="shared" ref="Q1676:Q1687" si="1548">IF($S$1&lt;DATE(2025,12,1)," ",Q1578+P1676)</f>
        <v>2</v>
      </c>
    </row>
    <row r="1677" ht="24" customHeight="1" spans="1:17">
      <c r="A1677" s="99" t="s">
        <v>349</v>
      </c>
      <c r="B1677" s="99" t="s">
        <v>290</v>
      </c>
      <c r="C1677" s="99" t="s">
        <v>316</v>
      </c>
      <c r="D1677" s="48" t="s">
        <v>31</v>
      </c>
      <c r="E1677" s="48" t="s">
        <v>82</v>
      </c>
      <c r="F1677" s="205">
        <f ca="1" t="shared" si="1537"/>
        <v>0</v>
      </c>
      <c r="G1677" s="205">
        <f ca="1" t="shared" si="1538"/>
        <v>0</v>
      </c>
      <c r="H1677" s="205">
        <f ca="1" t="shared" si="1539"/>
        <v>0</v>
      </c>
      <c r="I1677" s="205">
        <f ca="1" t="shared" si="1540"/>
        <v>0</v>
      </c>
      <c r="J1677" s="205">
        <f ca="1" t="shared" si="1541"/>
        <v>0</v>
      </c>
      <c r="K1677" s="205">
        <f ca="1" t="shared" si="1542"/>
        <v>0</v>
      </c>
      <c r="L1677" s="205">
        <f ca="1" t="shared" si="1543"/>
        <v>0</v>
      </c>
      <c r="M1677" s="205">
        <f ca="1" t="shared" si="1544"/>
        <v>0</v>
      </c>
      <c r="N1677" s="205">
        <f ca="1" t="shared" si="1545"/>
        <v>0</v>
      </c>
      <c r="O1677" s="205">
        <f ca="1" t="shared" si="1546"/>
        <v>0</v>
      </c>
      <c r="P1677" s="205">
        <f ca="1" t="shared" si="1547"/>
        <v>0</v>
      </c>
      <c r="Q1677" s="205">
        <f ca="1" t="shared" si="1548"/>
        <v>0</v>
      </c>
    </row>
    <row r="1678" ht="24" customHeight="1" spans="1:17">
      <c r="A1678" s="99" t="s">
        <v>349</v>
      </c>
      <c r="B1678" s="99" t="s">
        <v>290</v>
      </c>
      <c r="C1678" s="99" t="s">
        <v>316</v>
      </c>
      <c r="D1678" s="48" t="s">
        <v>31</v>
      </c>
      <c r="E1678" s="48" t="s">
        <v>86</v>
      </c>
      <c r="F1678" s="205">
        <f ca="1" t="shared" si="1537"/>
        <v>0</v>
      </c>
      <c r="G1678" s="205">
        <f ca="1" t="shared" si="1538"/>
        <v>0</v>
      </c>
      <c r="H1678" s="205">
        <f ca="1" t="shared" si="1539"/>
        <v>0</v>
      </c>
      <c r="I1678" s="205">
        <f ca="1" t="shared" si="1540"/>
        <v>0</v>
      </c>
      <c r="J1678" s="205">
        <f ca="1" t="shared" si="1541"/>
        <v>0</v>
      </c>
      <c r="K1678" s="205">
        <f ca="1" t="shared" si="1542"/>
        <v>0</v>
      </c>
      <c r="L1678" s="205">
        <f ca="1" t="shared" si="1543"/>
        <v>0</v>
      </c>
      <c r="M1678" s="205">
        <f ca="1" t="shared" si="1544"/>
        <v>0</v>
      </c>
      <c r="N1678" s="205">
        <f ca="1" t="shared" si="1545"/>
        <v>1</v>
      </c>
      <c r="O1678" s="205">
        <f ca="1" t="shared" si="1546"/>
        <v>1</v>
      </c>
      <c r="P1678" s="205">
        <f ca="1" t="shared" si="1547"/>
        <v>1</v>
      </c>
      <c r="Q1678" s="205">
        <f ca="1" t="shared" si="1548"/>
        <v>1</v>
      </c>
    </row>
    <row r="1679" ht="24" customHeight="1" spans="1:17">
      <c r="A1679" s="99" t="s">
        <v>349</v>
      </c>
      <c r="B1679" s="99" t="s">
        <v>290</v>
      </c>
      <c r="C1679" s="99" t="s">
        <v>316</v>
      </c>
      <c r="D1679" s="48" t="s">
        <v>31</v>
      </c>
      <c r="E1679" s="48" t="s">
        <v>97</v>
      </c>
      <c r="F1679" s="205">
        <f ca="1" t="shared" si="1537"/>
        <v>0</v>
      </c>
      <c r="G1679" s="205">
        <f ca="1" t="shared" si="1538"/>
        <v>0</v>
      </c>
      <c r="H1679" s="205">
        <f ca="1" t="shared" si="1539"/>
        <v>0</v>
      </c>
      <c r="I1679" s="205">
        <f ca="1" t="shared" si="1540"/>
        <v>0</v>
      </c>
      <c r="J1679" s="205">
        <f ca="1" t="shared" si="1541"/>
        <v>0</v>
      </c>
      <c r="K1679" s="205">
        <f ca="1" t="shared" si="1542"/>
        <v>0</v>
      </c>
      <c r="L1679" s="205">
        <f ca="1" t="shared" si="1543"/>
        <v>0</v>
      </c>
      <c r="M1679" s="205">
        <f ca="1" t="shared" si="1544"/>
        <v>0</v>
      </c>
      <c r="N1679" s="205">
        <f ca="1" t="shared" si="1545"/>
        <v>0</v>
      </c>
      <c r="O1679" s="205">
        <f ca="1" t="shared" si="1546"/>
        <v>0</v>
      </c>
      <c r="P1679" s="205">
        <f ca="1" t="shared" si="1547"/>
        <v>1</v>
      </c>
      <c r="Q1679" s="205">
        <f ca="1" t="shared" si="1548"/>
        <v>1</v>
      </c>
    </row>
    <row r="1680" ht="24" customHeight="1" spans="1:17">
      <c r="A1680" s="99" t="s">
        <v>349</v>
      </c>
      <c r="B1680" s="99" t="s">
        <v>290</v>
      </c>
      <c r="C1680" s="99" t="s">
        <v>316</v>
      </c>
      <c r="D1680" s="48" t="s">
        <v>31</v>
      </c>
      <c r="E1680" s="48" t="s">
        <v>87</v>
      </c>
      <c r="F1680" s="205">
        <f ca="1" t="shared" si="1537"/>
        <v>0</v>
      </c>
      <c r="G1680" s="205">
        <f ca="1" t="shared" si="1538"/>
        <v>1</v>
      </c>
      <c r="H1680" s="205">
        <f ca="1" t="shared" si="1539"/>
        <v>1</v>
      </c>
      <c r="I1680" s="205">
        <f ca="1" t="shared" si="1540"/>
        <v>1</v>
      </c>
      <c r="J1680" s="205">
        <f ca="1" t="shared" si="1541"/>
        <v>1</v>
      </c>
      <c r="K1680" s="205">
        <f ca="1" t="shared" si="1542"/>
        <v>1</v>
      </c>
      <c r="L1680" s="205">
        <f ca="1" t="shared" si="1543"/>
        <v>3</v>
      </c>
      <c r="M1680" s="205">
        <f ca="1" t="shared" si="1544"/>
        <v>4</v>
      </c>
      <c r="N1680" s="205">
        <f ca="1" t="shared" si="1545"/>
        <v>5</v>
      </c>
      <c r="O1680" s="205">
        <f ca="1" t="shared" si="1546"/>
        <v>5</v>
      </c>
      <c r="P1680" s="205">
        <f ca="1" t="shared" si="1547"/>
        <v>5</v>
      </c>
      <c r="Q1680" s="205">
        <f ca="1" t="shared" si="1548"/>
        <v>5</v>
      </c>
    </row>
    <row r="1681" ht="24" customHeight="1" spans="1:17">
      <c r="A1681" s="99" t="s">
        <v>349</v>
      </c>
      <c r="B1681" s="99" t="s">
        <v>290</v>
      </c>
      <c r="C1681" s="99" t="s">
        <v>316</v>
      </c>
      <c r="D1681" s="48" t="s">
        <v>31</v>
      </c>
      <c r="E1681" s="48" t="s">
        <v>149</v>
      </c>
      <c r="F1681" s="205">
        <f ca="1" t="shared" si="1537"/>
        <v>0</v>
      </c>
      <c r="G1681" s="205">
        <f ca="1" t="shared" si="1538"/>
        <v>0</v>
      </c>
      <c r="H1681" s="205">
        <f ca="1" t="shared" si="1539"/>
        <v>0</v>
      </c>
      <c r="I1681" s="205">
        <f ca="1" t="shared" si="1540"/>
        <v>0</v>
      </c>
      <c r="J1681" s="205">
        <f ca="1" t="shared" si="1541"/>
        <v>0</v>
      </c>
      <c r="K1681" s="205">
        <f ca="1" t="shared" si="1542"/>
        <v>0</v>
      </c>
      <c r="L1681" s="205">
        <f ca="1" t="shared" si="1543"/>
        <v>0</v>
      </c>
      <c r="M1681" s="205">
        <f ca="1" t="shared" si="1544"/>
        <v>0</v>
      </c>
      <c r="N1681" s="205">
        <f ca="1" t="shared" si="1545"/>
        <v>0</v>
      </c>
      <c r="O1681" s="205">
        <f ca="1" t="shared" si="1546"/>
        <v>0</v>
      </c>
      <c r="P1681" s="205">
        <f ca="1" t="shared" si="1547"/>
        <v>0</v>
      </c>
      <c r="Q1681" s="205">
        <f ca="1" t="shared" si="1548"/>
        <v>0</v>
      </c>
    </row>
    <row r="1682" ht="24" customHeight="1" spans="1:17">
      <c r="A1682" s="99" t="s">
        <v>349</v>
      </c>
      <c r="B1682" s="99" t="s">
        <v>290</v>
      </c>
      <c r="C1682" s="99" t="s">
        <v>316</v>
      </c>
      <c r="D1682" s="48" t="s">
        <v>31</v>
      </c>
      <c r="E1682" s="48" t="s">
        <v>83</v>
      </c>
      <c r="F1682" s="205">
        <f ca="1" t="shared" si="1537"/>
        <v>0</v>
      </c>
      <c r="G1682" s="205">
        <f ca="1" t="shared" si="1538"/>
        <v>0</v>
      </c>
      <c r="H1682" s="205">
        <f ca="1" t="shared" si="1539"/>
        <v>0</v>
      </c>
      <c r="I1682" s="205">
        <f ca="1" t="shared" si="1540"/>
        <v>0</v>
      </c>
      <c r="J1682" s="205">
        <f ca="1" t="shared" si="1541"/>
        <v>0</v>
      </c>
      <c r="K1682" s="205">
        <f ca="1" t="shared" si="1542"/>
        <v>0</v>
      </c>
      <c r="L1682" s="205">
        <f ca="1" t="shared" si="1543"/>
        <v>0</v>
      </c>
      <c r="M1682" s="205">
        <f ca="1" t="shared" si="1544"/>
        <v>0</v>
      </c>
      <c r="N1682" s="205">
        <f ca="1" t="shared" si="1545"/>
        <v>0</v>
      </c>
      <c r="O1682" s="205">
        <f ca="1" t="shared" si="1546"/>
        <v>0</v>
      </c>
      <c r="P1682" s="205">
        <f ca="1" t="shared" si="1547"/>
        <v>0</v>
      </c>
      <c r="Q1682" s="205">
        <f ca="1" t="shared" si="1548"/>
        <v>0</v>
      </c>
    </row>
    <row r="1683" ht="24" customHeight="1" spans="1:17">
      <c r="A1683" s="99" t="s">
        <v>349</v>
      </c>
      <c r="B1683" s="99" t="s">
        <v>290</v>
      </c>
      <c r="C1683" s="99" t="s">
        <v>316</v>
      </c>
      <c r="D1683" s="47" t="s">
        <v>294</v>
      </c>
      <c r="E1683" s="47" t="s">
        <v>93</v>
      </c>
      <c r="F1683" s="206">
        <f ca="1" t="shared" si="1537"/>
        <v>0</v>
      </c>
      <c r="G1683" s="206">
        <f ca="1" t="shared" si="1538"/>
        <v>0</v>
      </c>
      <c r="H1683" s="206">
        <f ca="1" t="shared" si="1539"/>
        <v>0</v>
      </c>
      <c r="I1683" s="206">
        <f ca="1" t="shared" si="1540"/>
        <v>0</v>
      </c>
      <c r="J1683" s="206">
        <f ca="1" t="shared" si="1541"/>
        <v>0</v>
      </c>
      <c r="K1683" s="206">
        <f ca="1" t="shared" si="1542"/>
        <v>0</v>
      </c>
      <c r="L1683" s="206">
        <f ca="1" t="shared" si="1543"/>
        <v>0</v>
      </c>
      <c r="M1683" s="206">
        <f ca="1" t="shared" si="1544"/>
        <v>1</v>
      </c>
      <c r="N1683" s="206">
        <f ca="1" t="shared" si="1545"/>
        <v>2</v>
      </c>
      <c r="O1683" s="206">
        <f ca="1" t="shared" si="1546"/>
        <v>4</v>
      </c>
      <c r="P1683" s="206">
        <f ca="1" t="shared" si="1547"/>
        <v>5</v>
      </c>
      <c r="Q1683" s="206">
        <f ca="1" t="shared" si="1548"/>
        <v>5</v>
      </c>
    </row>
    <row r="1684" ht="24" customHeight="1" spans="1:17">
      <c r="A1684" s="99" t="s">
        <v>349</v>
      </c>
      <c r="B1684" s="99" t="s">
        <v>290</v>
      </c>
      <c r="C1684" s="99" t="s">
        <v>316</v>
      </c>
      <c r="D1684" s="47" t="s">
        <v>294</v>
      </c>
      <c r="E1684" s="47" t="s">
        <v>85</v>
      </c>
      <c r="F1684" s="206">
        <f ca="1" t="shared" si="1537"/>
        <v>0</v>
      </c>
      <c r="G1684" s="206">
        <f ca="1" t="shared" si="1538"/>
        <v>1</v>
      </c>
      <c r="H1684" s="206">
        <f ca="1" t="shared" si="1539"/>
        <v>1</v>
      </c>
      <c r="I1684" s="206">
        <f ca="1" t="shared" si="1540"/>
        <v>1</v>
      </c>
      <c r="J1684" s="206">
        <f ca="1" t="shared" si="1541"/>
        <v>1</v>
      </c>
      <c r="K1684" s="206">
        <f ca="1" t="shared" si="1542"/>
        <v>1</v>
      </c>
      <c r="L1684" s="206">
        <f ca="1" t="shared" si="1543"/>
        <v>2</v>
      </c>
      <c r="M1684" s="206">
        <f ca="1" t="shared" si="1544"/>
        <v>2</v>
      </c>
      <c r="N1684" s="206">
        <f ca="1" t="shared" si="1545"/>
        <v>2</v>
      </c>
      <c r="O1684" s="206">
        <f ca="1" t="shared" si="1546"/>
        <v>2</v>
      </c>
      <c r="P1684" s="206">
        <f ca="1" t="shared" si="1547"/>
        <v>2</v>
      </c>
      <c r="Q1684" s="206">
        <f ca="1" t="shared" si="1548"/>
        <v>2</v>
      </c>
    </row>
    <row r="1685" ht="24" customHeight="1" spans="1:17">
      <c r="A1685" s="99" t="s">
        <v>349</v>
      </c>
      <c r="B1685" s="99" t="s">
        <v>290</v>
      </c>
      <c r="C1685" s="99" t="s">
        <v>316</v>
      </c>
      <c r="D1685" s="47" t="s">
        <v>294</v>
      </c>
      <c r="E1685" s="47" t="s">
        <v>81</v>
      </c>
      <c r="F1685" s="206">
        <f ca="1" t="shared" si="1537"/>
        <v>0</v>
      </c>
      <c r="G1685" s="206">
        <f ca="1" t="shared" si="1538"/>
        <v>0</v>
      </c>
      <c r="H1685" s="206">
        <f ca="1" t="shared" si="1539"/>
        <v>0</v>
      </c>
      <c r="I1685" s="206">
        <f ca="1" t="shared" si="1540"/>
        <v>0</v>
      </c>
      <c r="J1685" s="206">
        <f ca="1" t="shared" si="1541"/>
        <v>0</v>
      </c>
      <c r="K1685" s="206">
        <f ca="1" t="shared" si="1542"/>
        <v>0</v>
      </c>
      <c r="L1685" s="206">
        <f ca="1" t="shared" si="1543"/>
        <v>1</v>
      </c>
      <c r="M1685" s="206">
        <f ca="1" t="shared" si="1544"/>
        <v>1</v>
      </c>
      <c r="N1685" s="206">
        <f ca="1" t="shared" si="1545"/>
        <v>2</v>
      </c>
      <c r="O1685" s="206">
        <f ca="1" t="shared" si="1546"/>
        <v>2</v>
      </c>
      <c r="P1685" s="206">
        <f ca="1" t="shared" si="1547"/>
        <v>2</v>
      </c>
      <c r="Q1685" s="206">
        <f ca="1" t="shared" si="1548"/>
        <v>2</v>
      </c>
    </row>
    <row r="1686" ht="24" customHeight="1" spans="1:17">
      <c r="A1686" s="99" t="s">
        <v>349</v>
      </c>
      <c r="B1686" s="99" t="s">
        <v>290</v>
      </c>
      <c r="C1686" s="99" t="s">
        <v>316</v>
      </c>
      <c r="D1686" s="47" t="s">
        <v>294</v>
      </c>
      <c r="E1686" s="47" t="s">
        <v>96</v>
      </c>
      <c r="F1686" s="206">
        <f ca="1" t="shared" si="1537"/>
        <v>0</v>
      </c>
      <c r="G1686" s="206">
        <f ca="1" t="shared" si="1538"/>
        <v>0</v>
      </c>
      <c r="H1686" s="206">
        <f ca="1" t="shared" si="1539"/>
        <v>0</v>
      </c>
      <c r="I1686" s="206">
        <f ca="1" t="shared" si="1540"/>
        <v>0</v>
      </c>
      <c r="J1686" s="206">
        <f ca="1" t="shared" si="1541"/>
        <v>0</v>
      </c>
      <c r="K1686" s="206">
        <f ca="1" t="shared" si="1542"/>
        <v>0</v>
      </c>
      <c r="L1686" s="206">
        <f ca="1" t="shared" si="1543"/>
        <v>0</v>
      </c>
      <c r="M1686" s="206">
        <f ca="1" t="shared" si="1544"/>
        <v>0</v>
      </c>
      <c r="N1686" s="206">
        <f ca="1" t="shared" si="1545"/>
        <v>0</v>
      </c>
      <c r="O1686" s="206">
        <f ca="1" t="shared" si="1546"/>
        <v>0</v>
      </c>
      <c r="P1686" s="206">
        <f ca="1" t="shared" si="1547"/>
        <v>0</v>
      </c>
      <c r="Q1686" s="206">
        <f ca="1" t="shared" si="1548"/>
        <v>0</v>
      </c>
    </row>
    <row r="1687" ht="24" customHeight="1" spans="1:17">
      <c r="A1687" s="99" t="s">
        <v>349</v>
      </c>
      <c r="B1687" s="99" t="s">
        <v>290</v>
      </c>
      <c r="C1687" s="99" t="s">
        <v>316</v>
      </c>
      <c r="D1687" s="47" t="s">
        <v>294</v>
      </c>
      <c r="E1687" s="47" t="s">
        <v>160</v>
      </c>
      <c r="F1687" s="206">
        <f ca="1" t="shared" si="1537"/>
        <v>0</v>
      </c>
      <c r="G1687" s="206">
        <f ca="1" t="shared" si="1538"/>
        <v>0</v>
      </c>
      <c r="H1687" s="206">
        <f ca="1" t="shared" si="1539"/>
        <v>0</v>
      </c>
      <c r="I1687" s="206">
        <f ca="1" t="shared" si="1540"/>
        <v>0</v>
      </c>
      <c r="J1687" s="206">
        <f ca="1" t="shared" si="1541"/>
        <v>0</v>
      </c>
      <c r="K1687" s="206">
        <f ca="1" t="shared" si="1542"/>
        <v>0</v>
      </c>
      <c r="L1687" s="206">
        <f ca="1" t="shared" si="1543"/>
        <v>0</v>
      </c>
      <c r="M1687" s="206">
        <f ca="1" t="shared" si="1544"/>
        <v>0</v>
      </c>
      <c r="N1687" s="206">
        <f ca="1" t="shared" si="1545"/>
        <v>0</v>
      </c>
      <c r="O1687" s="206">
        <f ca="1" t="shared" si="1546"/>
        <v>0</v>
      </c>
      <c r="P1687" s="206">
        <f ca="1" t="shared" si="1547"/>
        <v>0</v>
      </c>
      <c r="Q1687" s="206">
        <f ca="1" t="shared" si="1548"/>
        <v>0</v>
      </c>
    </row>
    <row r="1688" ht="24" customHeight="1" spans="1:17">
      <c r="A1688" s="99" t="s">
        <v>349</v>
      </c>
      <c r="B1688" s="99" t="s">
        <v>290</v>
      </c>
      <c r="C1688" s="99" t="s">
        <v>316</v>
      </c>
      <c r="D1688" s="100" t="s">
        <v>292</v>
      </c>
      <c r="E1688" s="100" t="s">
        <v>318</v>
      </c>
      <c r="F1688" s="204">
        <f ca="1">IF($S$1&lt;DATE(2025,1,1)," ",SUM(F1689:F1691))</f>
        <v>0</v>
      </c>
      <c r="G1688" s="204">
        <f ca="1">IF($S$1&lt;DATE(2025,2,1)," ",SUM(G1689:G1691))</f>
        <v>0</v>
      </c>
      <c r="H1688" s="204">
        <f ca="1">IF($S$1&lt;DATE(2025,3,1)," ",SUM(H1689:H1691))</f>
        <v>0</v>
      </c>
      <c r="I1688" s="204">
        <f ca="1">IF($S$1&lt;DATE(2025,4,1)," ",SUM(I1689:I1691))</f>
        <v>0</v>
      </c>
      <c r="J1688" s="204">
        <f ca="1">IF($S$1&lt;DATE(2025,5,1)," ",SUM(J1689:J1691))</f>
        <v>0</v>
      </c>
      <c r="K1688" s="204">
        <f ca="1">IF($S$1&lt;DATE(2025,6,1)," ",SUM(K1689:K1691))</f>
        <v>0</v>
      </c>
      <c r="L1688" s="204">
        <f ca="1">IF($S$1&lt;DATE(2025,7,1)," ",SUM(L1689:L1691))</f>
        <v>0</v>
      </c>
      <c r="M1688" s="204">
        <f ca="1">IF($S$1&lt;DATE(2025,8,1)," ",SUM(M1689:M1691))</f>
        <v>0</v>
      </c>
      <c r="N1688" s="204">
        <f ca="1">IF($S$1&lt;DATE(2025,9,1)," ",SUM(N1689:N1691))</f>
        <v>1</v>
      </c>
      <c r="O1688" s="204">
        <f ca="1">IF($S$1&lt;DATE(2025,10,1)," ",SUM(O1689:O1691))</f>
        <v>3</v>
      </c>
      <c r="P1688" s="204">
        <f ca="1">IF($S$1&lt;DATE(2025,11,1)," ",SUM(P1689:P1691))</f>
        <v>4</v>
      </c>
      <c r="Q1688" s="204">
        <f ca="1">IF($S$1&lt;DATE(2025,12,1)," ",SUM(Q1689:Q1691))</f>
        <v>4</v>
      </c>
    </row>
    <row r="1689" ht="24" customHeight="1" spans="1:17">
      <c r="A1689" s="99" t="s">
        <v>349</v>
      </c>
      <c r="B1689" s="99" t="s">
        <v>290</v>
      </c>
      <c r="C1689" s="99" t="s">
        <v>316</v>
      </c>
      <c r="D1689" s="48" t="s">
        <v>296</v>
      </c>
      <c r="E1689" s="48" t="s">
        <v>90</v>
      </c>
      <c r="F1689" s="205">
        <f ca="1" t="shared" ref="F1689:F1691" si="1549">IF($S$1&lt;DATE(2025,1,1)," ",F1591)</f>
        <v>0</v>
      </c>
      <c r="G1689" s="205">
        <f ca="1" t="shared" ref="G1689:G1691" si="1550">IF($S$1&lt;DATE(2025,2,1)," ",G1591+F1689)</f>
        <v>0</v>
      </c>
      <c r="H1689" s="205">
        <f ca="1" t="shared" ref="H1689:H1691" si="1551">IF($S$1&lt;DATE(2025,3,1)," ",H1591+G1689)</f>
        <v>0</v>
      </c>
      <c r="I1689" s="205">
        <f ca="1" t="shared" ref="I1689:I1691" si="1552">IF($S$1&lt;DATE(2025,4,1)," ",I1591+H1689)</f>
        <v>0</v>
      </c>
      <c r="J1689" s="205">
        <f ca="1" t="shared" ref="J1689:J1691" si="1553">IF($S$1&lt;DATE(2025,5,1)," ",J1591+I1689)</f>
        <v>0</v>
      </c>
      <c r="K1689" s="205">
        <f ca="1" t="shared" ref="K1689:K1691" si="1554">IF($S$1&lt;DATE(2025,6,1)," ",K1591+J1689)</f>
        <v>0</v>
      </c>
      <c r="L1689" s="205">
        <f ca="1" t="shared" ref="L1689:L1691" si="1555">IF($S$1&lt;DATE(2025,7,1)," ",L1591+K1689)</f>
        <v>0</v>
      </c>
      <c r="M1689" s="205">
        <f ca="1" t="shared" ref="M1689:M1691" si="1556">IF($S$1&lt;DATE(2025,8,1)," ",M1591+L1689)</f>
        <v>0</v>
      </c>
      <c r="N1689" s="205">
        <f ca="1" t="shared" ref="N1689:N1691" si="1557">IF($S$1&lt;DATE(2025,9,1)," ",N1591+M1689)</f>
        <v>0</v>
      </c>
      <c r="O1689" s="205">
        <f ca="1" t="shared" ref="O1689:O1691" si="1558">IF($S$1&lt;DATE(2025,10,1)," ",O1591+N1689)</f>
        <v>2</v>
      </c>
      <c r="P1689" s="205">
        <f ca="1" t="shared" ref="P1689:P1691" si="1559">IF($S$1&lt;DATE(2025,11,1)," ",P1591+O1689)</f>
        <v>2</v>
      </c>
      <c r="Q1689" s="205">
        <f ca="1" t="shared" ref="Q1689:Q1691" si="1560">IF($S$1&lt;DATE(2025,12,1)," ",Q1591+P1689)</f>
        <v>2</v>
      </c>
    </row>
    <row r="1690" ht="24" customHeight="1" spans="1:17">
      <c r="A1690" s="99" t="s">
        <v>349</v>
      </c>
      <c r="B1690" s="99" t="s">
        <v>290</v>
      </c>
      <c r="C1690" s="99" t="s">
        <v>316</v>
      </c>
      <c r="D1690" s="48" t="s">
        <v>296</v>
      </c>
      <c r="E1690" s="48" t="s">
        <v>82</v>
      </c>
      <c r="F1690" s="205">
        <f ca="1" t="shared" si="1549"/>
        <v>0</v>
      </c>
      <c r="G1690" s="205">
        <f ca="1" t="shared" si="1550"/>
        <v>0</v>
      </c>
      <c r="H1690" s="205">
        <f ca="1" t="shared" si="1551"/>
        <v>0</v>
      </c>
      <c r="I1690" s="205">
        <f ca="1" t="shared" si="1552"/>
        <v>0</v>
      </c>
      <c r="J1690" s="205">
        <f ca="1" t="shared" si="1553"/>
        <v>0</v>
      </c>
      <c r="K1690" s="205">
        <f ca="1" t="shared" si="1554"/>
        <v>0</v>
      </c>
      <c r="L1690" s="205">
        <f ca="1" t="shared" si="1555"/>
        <v>0</v>
      </c>
      <c r="M1690" s="205">
        <f ca="1" t="shared" si="1556"/>
        <v>0</v>
      </c>
      <c r="N1690" s="205">
        <f ca="1" t="shared" si="1557"/>
        <v>0</v>
      </c>
      <c r="O1690" s="205">
        <f ca="1" t="shared" si="1558"/>
        <v>0</v>
      </c>
      <c r="P1690" s="205">
        <f ca="1" t="shared" si="1559"/>
        <v>1</v>
      </c>
      <c r="Q1690" s="205">
        <f ca="1" t="shared" si="1560"/>
        <v>1</v>
      </c>
    </row>
    <row r="1691" ht="24" customHeight="1" spans="1:17">
      <c r="A1691" s="99" t="s">
        <v>349</v>
      </c>
      <c r="B1691" s="99" t="s">
        <v>290</v>
      </c>
      <c r="C1691" s="99" t="s">
        <v>316</v>
      </c>
      <c r="D1691" s="48" t="s">
        <v>296</v>
      </c>
      <c r="E1691" s="48" t="s">
        <v>86</v>
      </c>
      <c r="F1691" s="205">
        <f ca="1" t="shared" si="1549"/>
        <v>0</v>
      </c>
      <c r="G1691" s="205">
        <f ca="1" t="shared" si="1550"/>
        <v>0</v>
      </c>
      <c r="H1691" s="205">
        <f ca="1" t="shared" si="1551"/>
        <v>0</v>
      </c>
      <c r="I1691" s="205">
        <f ca="1" t="shared" si="1552"/>
        <v>0</v>
      </c>
      <c r="J1691" s="205">
        <f ca="1" t="shared" si="1553"/>
        <v>0</v>
      </c>
      <c r="K1691" s="205">
        <f ca="1" t="shared" si="1554"/>
        <v>0</v>
      </c>
      <c r="L1691" s="205">
        <f ca="1" t="shared" si="1555"/>
        <v>0</v>
      </c>
      <c r="M1691" s="205">
        <f ca="1" t="shared" si="1556"/>
        <v>0</v>
      </c>
      <c r="N1691" s="205">
        <f ca="1" t="shared" si="1557"/>
        <v>1</v>
      </c>
      <c r="O1691" s="205">
        <f ca="1" t="shared" si="1558"/>
        <v>1</v>
      </c>
      <c r="P1691" s="205">
        <f ca="1" t="shared" si="1559"/>
        <v>1</v>
      </c>
      <c r="Q1691" s="205">
        <f ca="1" t="shared" si="1560"/>
        <v>1</v>
      </c>
    </row>
    <row r="1692" ht="24" customHeight="1" spans="1:17">
      <c r="A1692" s="99" t="s">
        <v>349</v>
      </c>
      <c r="B1692" s="99" t="s">
        <v>290</v>
      </c>
      <c r="C1692" s="99" t="s">
        <v>316</v>
      </c>
      <c r="D1692" s="100" t="s">
        <v>292</v>
      </c>
      <c r="E1692" s="100" t="s">
        <v>319</v>
      </c>
      <c r="F1692" s="204">
        <f ca="1">IF($S$1&lt;DATE(2025,1,1)," ",SUM(F1693:F1696))</f>
        <v>0</v>
      </c>
      <c r="G1692" s="204">
        <f ca="1">IF($S$1&lt;DATE(2025,2,1)," ",SUM(G1693:G1696))</f>
        <v>1</v>
      </c>
      <c r="H1692" s="204">
        <f ca="1">IF($S$1&lt;DATE(2025,3,1)," ",SUM(H1693:H1696))</f>
        <v>1</v>
      </c>
      <c r="I1692" s="204">
        <f ca="1">IF($S$1&lt;DATE(2025,4,1)," ",SUM(I1693:I1696))</f>
        <v>1</v>
      </c>
      <c r="J1692" s="204">
        <f ca="1">IF($S$1&lt;DATE(2025,5,1)," ",SUM(J1693:J1696))</f>
        <v>1</v>
      </c>
      <c r="K1692" s="204">
        <f ca="1">IF($S$1&lt;DATE(2025,6,1)," ",SUM(K1693:K1696))</f>
        <v>1</v>
      </c>
      <c r="L1692" s="204">
        <f ca="1">IF($S$1&lt;DATE(2025,7,1)," ",SUM(L1693:L1696))</f>
        <v>3</v>
      </c>
      <c r="M1692" s="204">
        <f ca="1">IF($S$1&lt;DATE(2025,8,1)," ",SUM(M1693:M1696))</f>
        <v>4</v>
      </c>
      <c r="N1692" s="204">
        <f ca="1">IF($S$1&lt;DATE(2025,9,1)," ",SUM(N1693:N1696))</f>
        <v>5</v>
      </c>
      <c r="O1692" s="204">
        <f ca="1">IF($S$1&lt;DATE(2025,10,1)," ",SUM(O1693:O1696))</f>
        <v>5</v>
      </c>
      <c r="P1692" s="204">
        <f ca="1">IF($S$1&lt;DATE(2025,11,1)," ",SUM(P1693:P1696))</f>
        <v>6</v>
      </c>
      <c r="Q1692" s="204">
        <f ca="1">IF($S$1&lt;DATE(2025,12,1)," ",SUM(Q1693:Q1696))</f>
        <v>6</v>
      </c>
    </row>
    <row r="1693" ht="24" customHeight="1" spans="1:17">
      <c r="A1693" s="99" t="s">
        <v>349</v>
      </c>
      <c r="B1693" s="99" t="s">
        <v>290</v>
      </c>
      <c r="C1693" s="99" t="s">
        <v>316</v>
      </c>
      <c r="D1693" s="48" t="s">
        <v>298</v>
      </c>
      <c r="E1693" s="48" t="s">
        <v>97</v>
      </c>
      <c r="F1693" s="205">
        <f ca="1" t="shared" ref="F1693:F1696" si="1561">IF($S$1&lt;DATE(2025,1,1)," ",F1595)</f>
        <v>0</v>
      </c>
      <c r="G1693" s="205">
        <f ca="1" t="shared" ref="G1693:G1696" si="1562">IF($S$1&lt;DATE(2025,2,1)," ",G1595+F1693)</f>
        <v>0</v>
      </c>
      <c r="H1693" s="205">
        <f ca="1" t="shared" ref="H1693:H1696" si="1563">IF($S$1&lt;DATE(2025,3,1)," ",H1595+G1693)</f>
        <v>0</v>
      </c>
      <c r="I1693" s="205">
        <f ca="1" t="shared" ref="I1693:I1696" si="1564">IF($S$1&lt;DATE(2025,4,1)," ",I1595+H1693)</f>
        <v>0</v>
      </c>
      <c r="J1693" s="205">
        <f ca="1" t="shared" ref="J1693:J1696" si="1565">IF($S$1&lt;DATE(2025,5,1)," ",J1595+I1693)</f>
        <v>0</v>
      </c>
      <c r="K1693" s="205">
        <f ca="1" t="shared" ref="K1693:K1696" si="1566">IF($S$1&lt;DATE(2025,6,1)," ",K1595+J1693)</f>
        <v>0</v>
      </c>
      <c r="L1693" s="205">
        <f ca="1" t="shared" ref="L1693:L1696" si="1567">IF($S$1&lt;DATE(2025,7,1)," ",L1595+K1693)</f>
        <v>0</v>
      </c>
      <c r="M1693" s="205">
        <f ca="1" t="shared" ref="M1693:M1696" si="1568">IF($S$1&lt;DATE(2025,8,1)," ",M1595+L1693)</f>
        <v>0</v>
      </c>
      <c r="N1693" s="205">
        <f ca="1" t="shared" ref="N1693:N1696" si="1569">IF($S$1&lt;DATE(2025,9,1)," ",N1595+M1693)</f>
        <v>0</v>
      </c>
      <c r="O1693" s="205">
        <f ca="1" t="shared" ref="O1693:O1696" si="1570">IF($S$1&lt;DATE(2025,10,1)," ",O1595+N1693)</f>
        <v>0</v>
      </c>
      <c r="P1693" s="205">
        <f ca="1" t="shared" ref="P1693:P1696" si="1571">IF($S$1&lt;DATE(2025,11,1)," ",P1595+O1693)</f>
        <v>1</v>
      </c>
      <c r="Q1693" s="205">
        <f ca="1" t="shared" ref="Q1693:Q1696" si="1572">IF($S$1&lt;DATE(2025,12,1)," ",Q1595+P1693)</f>
        <v>1</v>
      </c>
    </row>
    <row r="1694" ht="24" customHeight="1" spans="1:17">
      <c r="A1694" s="99" t="s">
        <v>349</v>
      </c>
      <c r="B1694" s="99" t="s">
        <v>290</v>
      </c>
      <c r="C1694" s="99" t="s">
        <v>316</v>
      </c>
      <c r="D1694" s="48" t="s">
        <v>298</v>
      </c>
      <c r="E1694" s="48" t="s">
        <v>87</v>
      </c>
      <c r="F1694" s="205">
        <f ca="1" t="shared" si="1561"/>
        <v>0</v>
      </c>
      <c r="G1694" s="205">
        <f ca="1" t="shared" si="1562"/>
        <v>1</v>
      </c>
      <c r="H1694" s="205">
        <f ca="1" t="shared" si="1563"/>
        <v>1</v>
      </c>
      <c r="I1694" s="205">
        <f ca="1" t="shared" si="1564"/>
        <v>1</v>
      </c>
      <c r="J1694" s="205">
        <f ca="1" t="shared" si="1565"/>
        <v>1</v>
      </c>
      <c r="K1694" s="205">
        <f ca="1" t="shared" si="1566"/>
        <v>1</v>
      </c>
      <c r="L1694" s="205">
        <f ca="1" t="shared" si="1567"/>
        <v>3</v>
      </c>
      <c r="M1694" s="205">
        <f ca="1" t="shared" si="1568"/>
        <v>4</v>
      </c>
      <c r="N1694" s="205">
        <f ca="1" t="shared" si="1569"/>
        <v>5</v>
      </c>
      <c r="O1694" s="205">
        <f ca="1" t="shared" si="1570"/>
        <v>5</v>
      </c>
      <c r="P1694" s="205">
        <f ca="1" t="shared" si="1571"/>
        <v>5</v>
      </c>
      <c r="Q1694" s="205">
        <f ca="1" t="shared" si="1572"/>
        <v>5</v>
      </c>
    </row>
    <row r="1695" ht="24" customHeight="1" spans="1:17">
      <c r="A1695" s="99" t="s">
        <v>349</v>
      </c>
      <c r="B1695" s="99" t="s">
        <v>290</v>
      </c>
      <c r="C1695" s="99" t="s">
        <v>316</v>
      </c>
      <c r="D1695" s="48" t="s">
        <v>298</v>
      </c>
      <c r="E1695" s="48" t="s">
        <v>149</v>
      </c>
      <c r="F1695" s="205">
        <f ca="1" t="shared" si="1561"/>
        <v>0</v>
      </c>
      <c r="G1695" s="205">
        <f ca="1" t="shared" si="1562"/>
        <v>0</v>
      </c>
      <c r="H1695" s="205">
        <f ca="1" t="shared" si="1563"/>
        <v>0</v>
      </c>
      <c r="I1695" s="205">
        <f ca="1" t="shared" si="1564"/>
        <v>0</v>
      </c>
      <c r="J1695" s="205">
        <f ca="1" t="shared" si="1565"/>
        <v>0</v>
      </c>
      <c r="K1695" s="205">
        <f ca="1" t="shared" si="1566"/>
        <v>0</v>
      </c>
      <c r="L1695" s="205">
        <f ca="1" t="shared" si="1567"/>
        <v>0</v>
      </c>
      <c r="M1695" s="205">
        <f ca="1" t="shared" si="1568"/>
        <v>0</v>
      </c>
      <c r="N1695" s="205">
        <f ca="1" t="shared" si="1569"/>
        <v>0</v>
      </c>
      <c r="O1695" s="205">
        <f ca="1" t="shared" si="1570"/>
        <v>0</v>
      </c>
      <c r="P1695" s="205">
        <f ca="1" t="shared" si="1571"/>
        <v>0</v>
      </c>
      <c r="Q1695" s="205">
        <f ca="1" t="shared" si="1572"/>
        <v>0</v>
      </c>
    </row>
    <row r="1696" ht="24" customHeight="1" spans="1:17">
      <c r="A1696" s="99" t="s">
        <v>349</v>
      </c>
      <c r="B1696" s="99" t="s">
        <v>290</v>
      </c>
      <c r="C1696" s="99" t="s">
        <v>316</v>
      </c>
      <c r="D1696" s="48" t="s">
        <v>298</v>
      </c>
      <c r="E1696" s="48" t="s">
        <v>83</v>
      </c>
      <c r="F1696" s="205">
        <f ca="1" t="shared" si="1561"/>
        <v>0</v>
      </c>
      <c r="G1696" s="205">
        <f ca="1" t="shared" si="1562"/>
        <v>0</v>
      </c>
      <c r="H1696" s="205">
        <f ca="1" t="shared" si="1563"/>
        <v>0</v>
      </c>
      <c r="I1696" s="205">
        <f ca="1" t="shared" si="1564"/>
        <v>0</v>
      </c>
      <c r="J1696" s="205">
        <f ca="1" t="shared" si="1565"/>
        <v>0</v>
      </c>
      <c r="K1696" s="205">
        <f ca="1" t="shared" si="1566"/>
        <v>0</v>
      </c>
      <c r="L1696" s="205">
        <f ca="1" t="shared" si="1567"/>
        <v>0</v>
      </c>
      <c r="M1696" s="205">
        <f ca="1" t="shared" si="1568"/>
        <v>0</v>
      </c>
      <c r="N1696" s="205">
        <f ca="1" t="shared" si="1569"/>
        <v>0</v>
      </c>
      <c r="O1696" s="205">
        <f ca="1" t="shared" si="1570"/>
        <v>0</v>
      </c>
      <c r="P1696" s="205">
        <f ca="1" t="shared" si="1571"/>
        <v>0</v>
      </c>
      <c r="Q1696" s="205">
        <f ca="1" t="shared" si="1572"/>
        <v>0</v>
      </c>
    </row>
    <row r="1697" ht="24" customHeight="1" spans="1:17">
      <c r="A1697" s="99" t="s">
        <v>349</v>
      </c>
      <c r="B1697" s="99" t="s">
        <v>299</v>
      </c>
      <c r="C1697" s="99" t="s">
        <v>316</v>
      </c>
      <c r="D1697" s="100" t="s">
        <v>292</v>
      </c>
      <c r="E1697" s="100" t="s">
        <v>320</v>
      </c>
      <c r="F1697" s="204">
        <f ca="1">IF($S$1&lt;DATE(2025,1,1)," ",IF((SUM(F1698:F1704)-MAX(F1717,F1724))&lt;0,"ERR",SUM(F1698:F1704)))</f>
        <v>0</v>
      </c>
      <c r="G1697" s="204">
        <f ca="1">IF($S$1&lt;DATE(2025,2,1)," ",IF((SUM(G1698:G1704)-MAX(G1717,G1724))&lt;0,"ERR",SUM(G1698:G1704)))</f>
        <v>0</v>
      </c>
      <c r="H1697" s="204">
        <f ca="1">IF($S$1&lt;DATE(2025,3,1)," ",IF((SUM(H1698:H1704)-MAX(H1717,H1724))&lt;0,"ERR",SUM(H1698:H1704)))</f>
        <v>1</v>
      </c>
      <c r="I1697" s="204">
        <f ca="1">IF($S$1&lt;DATE(2025,4,1)," ",IF((SUM(I1698:I1704)-MAX(I1717,I1724))&lt;0,"ERR",SUM(I1698:I1704)))</f>
        <v>1</v>
      </c>
      <c r="J1697" s="204">
        <f ca="1">IF($S$1&lt;DATE(2025,5,1)," ",IF((SUM(J1698:J1704)-MAX(J1717,J1724))&lt;0,"ERR",SUM(J1698:J1704)))</f>
        <v>1</v>
      </c>
      <c r="K1697" s="204">
        <f ca="1">IF($S$1&lt;DATE(2025,6,1)," ",IF((SUM(K1698:K1704)-MAX(K1717,K1724))&lt;0,"ERR",SUM(K1698:K1704)))</f>
        <v>1</v>
      </c>
      <c r="L1697" s="204">
        <f ca="1">IF($S$1&lt;DATE(2025,7,1)," ",IF((SUM(L1698:L1704)-MAX(L1717,L1724))&lt;0,"ERR",SUM(L1698:L1704)))</f>
        <v>2</v>
      </c>
      <c r="M1697" s="204">
        <f ca="1">IF($S$1&lt;DATE(2025,8,1)," ",IF((SUM(M1698:M1704)-MAX(M1717,M1724))&lt;0,"ERR",SUM(M1698:M1704)))</f>
        <v>4</v>
      </c>
      <c r="N1697" s="204">
        <f ca="1">IF($S$1&lt;DATE(2025,9,1)," ",IF((SUM(N1698:N1704)-MAX(N1717,N1724))&lt;0,"ERR",SUM(N1698:N1704)))</f>
        <v>6</v>
      </c>
      <c r="O1697" s="204">
        <f ca="1">IF($S$1&lt;DATE(2025,10,1)," ",IF((SUM(O1698:O1704)-MAX(O1717,O1724))&lt;0,"ERR",SUM(O1698:O1704)))</f>
        <v>8</v>
      </c>
      <c r="P1697" s="204">
        <f ca="1">IF($S$1&lt;DATE(2025,11,1)," ",IF((SUM(P1698:P1704)-MAX(P1717,P1724))&lt;0,"ERR",SUM(P1698:P1704)))</f>
        <v>9</v>
      </c>
      <c r="Q1697" s="204">
        <f ca="1">IF($S$1&lt;DATE(2025,12,1)," ",IF((SUM(Q1698:Q1704)-MAX(Q1717,Q1724))&lt;0,"ERR",SUM(Q1698:Q1704)))</f>
        <v>9</v>
      </c>
    </row>
    <row r="1698" ht="24" customHeight="1" spans="1:17">
      <c r="A1698" s="99" t="s">
        <v>349</v>
      </c>
      <c r="B1698" s="99" t="s">
        <v>299</v>
      </c>
      <c r="C1698" s="99" t="s">
        <v>316</v>
      </c>
      <c r="D1698" s="48" t="s">
        <v>31</v>
      </c>
      <c r="E1698" s="48" t="s">
        <v>90</v>
      </c>
      <c r="F1698" s="205">
        <f ca="1" t="shared" ref="F1698:F1704" si="1573">IF($S$1&lt;DATE(2025,1,1)," ",F1600)</f>
        <v>0</v>
      </c>
      <c r="G1698" s="205">
        <f ca="1" t="shared" ref="G1698:G1704" si="1574">IF($S$1&lt;DATE(2025,2,1)," ",G1600+F1698)</f>
        <v>0</v>
      </c>
      <c r="H1698" s="205">
        <f ca="1" t="shared" ref="H1698:H1704" si="1575">IF($S$1&lt;DATE(2025,3,1)," ",H1600+G1698)</f>
        <v>0</v>
      </c>
      <c r="I1698" s="205">
        <f ca="1" t="shared" ref="I1698:I1704" si="1576">IF($S$1&lt;DATE(2025,4,1)," ",I1600+H1698)</f>
        <v>0</v>
      </c>
      <c r="J1698" s="205">
        <f ca="1" t="shared" ref="J1698:J1704" si="1577">IF($S$1&lt;DATE(2025,5,1)," ",J1600+I1698)</f>
        <v>0</v>
      </c>
      <c r="K1698" s="205">
        <f ca="1" t="shared" ref="K1698:K1704" si="1578">IF($S$1&lt;DATE(2025,6,1)," ",K1600+J1698)</f>
        <v>0</v>
      </c>
      <c r="L1698" s="205">
        <f ca="1" t="shared" ref="L1698:L1704" si="1579">IF($S$1&lt;DATE(2025,7,1)," ",L1600+K1698)</f>
        <v>0</v>
      </c>
      <c r="M1698" s="205">
        <f ca="1" t="shared" ref="M1698:M1704" si="1580">IF($S$1&lt;DATE(2025,8,1)," ",M1600+L1698)</f>
        <v>0</v>
      </c>
      <c r="N1698" s="205">
        <f ca="1" t="shared" ref="N1698:N1704" si="1581">IF($S$1&lt;DATE(2025,9,1)," ",N1600+M1698)</f>
        <v>0</v>
      </c>
      <c r="O1698" s="205">
        <f ca="1" t="shared" ref="O1698:O1704" si="1582">IF($S$1&lt;DATE(2025,10,1)," ",O1600+N1698)</f>
        <v>2</v>
      </c>
      <c r="P1698" s="205">
        <f ca="1" t="shared" ref="P1698:P1704" si="1583">IF($S$1&lt;DATE(2025,11,1)," ",P1600+O1698)</f>
        <v>2</v>
      </c>
      <c r="Q1698" s="205">
        <f ca="1" t="shared" ref="Q1698:Q1704" si="1584">IF($S$1&lt;DATE(2025,12,1)," ",Q1600+P1698)</f>
        <v>2</v>
      </c>
    </row>
    <row r="1699" ht="24" customHeight="1" spans="1:17">
      <c r="A1699" s="99" t="s">
        <v>349</v>
      </c>
      <c r="B1699" s="99" t="s">
        <v>299</v>
      </c>
      <c r="C1699" s="99" t="s">
        <v>316</v>
      </c>
      <c r="D1699" s="48" t="s">
        <v>31</v>
      </c>
      <c r="E1699" s="48" t="s">
        <v>82</v>
      </c>
      <c r="F1699" s="205">
        <f ca="1" t="shared" si="1573"/>
        <v>0</v>
      </c>
      <c r="G1699" s="205">
        <f ca="1" t="shared" si="1574"/>
        <v>0</v>
      </c>
      <c r="H1699" s="205">
        <f ca="1" t="shared" si="1575"/>
        <v>0</v>
      </c>
      <c r="I1699" s="205">
        <f ca="1" t="shared" si="1576"/>
        <v>0</v>
      </c>
      <c r="J1699" s="205">
        <f ca="1" t="shared" si="1577"/>
        <v>0</v>
      </c>
      <c r="K1699" s="205">
        <f ca="1" t="shared" si="1578"/>
        <v>0</v>
      </c>
      <c r="L1699" s="205">
        <f ca="1" t="shared" si="1579"/>
        <v>0</v>
      </c>
      <c r="M1699" s="205">
        <f ca="1" t="shared" si="1580"/>
        <v>0</v>
      </c>
      <c r="N1699" s="205">
        <f ca="1" t="shared" si="1581"/>
        <v>0</v>
      </c>
      <c r="O1699" s="205">
        <f ca="1" t="shared" si="1582"/>
        <v>0</v>
      </c>
      <c r="P1699" s="205">
        <f ca="1" t="shared" si="1583"/>
        <v>0</v>
      </c>
      <c r="Q1699" s="205">
        <f ca="1" t="shared" si="1584"/>
        <v>0</v>
      </c>
    </row>
    <row r="1700" ht="24" customHeight="1" spans="1:17">
      <c r="A1700" s="99" t="s">
        <v>349</v>
      </c>
      <c r="B1700" s="99" t="s">
        <v>299</v>
      </c>
      <c r="C1700" s="99" t="s">
        <v>316</v>
      </c>
      <c r="D1700" s="48" t="s">
        <v>31</v>
      </c>
      <c r="E1700" s="48" t="s">
        <v>86</v>
      </c>
      <c r="F1700" s="205">
        <f ca="1" t="shared" si="1573"/>
        <v>0</v>
      </c>
      <c r="G1700" s="205">
        <f ca="1" t="shared" si="1574"/>
        <v>0</v>
      </c>
      <c r="H1700" s="205">
        <f ca="1" t="shared" si="1575"/>
        <v>0</v>
      </c>
      <c r="I1700" s="205">
        <f ca="1" t="shared" si="1576"/>
        <v>0</v>
      </c>
      <c r="J1700" s="205">
        <f ca="1" t="shared" si="1577"/>
        <v>0</v>
      </c>
      <c r="K1700" s="205">
        <f ca="1" t="shared" si="1578"/>
        <v>0</v>
      </c>
      <c r="L1700" s="205">
        <f ca="1" t="shared" si="1579"/>
        <v>0</v>
      </c>
      <c r="M1700" s="205">
        <f ca="1" t="shared" si="1580"/>
        <v>0</v>
      </c>
      <c r="N1700" s="205">
        <f ca="1" t="shared" si="1581"/>
        <v>1</v>
      </c>
      <c r="O1700" s="205">
        <f ca="1" t="shared" si="1582"/>
        <v>1</v>
      </c>
      <c r="P1700" s="205">
        <f ca="1" t="shared" si="1583"/>
        <v>1</v>
      </c>
      <c r="Q1700" s="205">
        <f ca="1" t="shared" si="1584"/>
        <v>1</v>
      </c>
    </row>
    <row r="1701" ht="24" customHeight="1" spans="1:17">
      <c r="A1701" s="99" t="s">
        <v>349</v>
      </c>
      <c r="B1701" s="99" t="s">
        <v>299</v>
      </c>
      <c r="C1701" s="99" t="s">
        <v>316</v>
      </c>
      <c r="D1701" s="48" t="s">
        <v>31</v>
      </c>
      <c r="E1701" s="48" t="s">
        <v>97</v>
      </c>
      <c r="F1701" s="205">
        <f ca="1" t="shared" si="1573"/>
        <v>0</v>
      </c>
      <c r="G1701" s="205">
        <f ca="1" t="shared" si="1574"/>
        <v>0</v>
      </c>
      <c r="H1701" s="205">
        <f ca="1" t="shared" si="1575"/>
        <v>0</v>
      </c>
      <c r="I1701" s="205">
        <f ca="1" t="shared" si="1576"/>
        <v>0</v>
      </c>
      <c r="J1701" s="205">
        <f ca="1" t="shared" si="1577"/>
        <v>0</v>
      </c>
      <c r="K1701" s="205">
        <f ca="1" t="shared" si="1578"/>
        <v>0</v>
      </c>
      <c r="L1701" s="205">
        <f ca="1" t="shared" si="1579"/>
        <v>0</v>
      </c>
      <c r="M1701" s="205">
        <f ca="1" t="shared" si="1580"/>
        <v>0</v>
      </c>
      <c r="N1701" s="205">
        <f ca="1" t="shared" si="1581"/>
        <v>0</v>
      </c>
      <c r="O1701" s="205">
        <f ca="1" t="shared" si="1582"/>
        <v>0</v>
      </c>
      <c r="P1701" s="205">
        <f ca="1" t="shared" si="1583"/>
        <v>1</v>
      </c>
      <c r="Q1701" s="205">
        <f ca="1" t="shared" si="1584"/>
        <v>1</v>
      </c>
    </row>
    <row r="1702" ht="24" customHeight="1" spans="1:17">
      <c r="A1702" s="99" t="s">
        <v>349</v>
      </c>
      <c r="B1702" s="99" t="s">
        <v>299</v>
      </c>
      <c r="C1702" s="99" t="s">
        <v>316</v>
      </c>
      <c r="D1702" s="48" t="s">
        <v>31</v>
      </c>
      <c r="E1702" s="48" t="s">
        <v>87</v>
      </c>
      <c r="F1702" s="205">
        <f ca="1" t="shared" si="1573"/>
        <v>0</v>
      </c>
      <c r="G1702" s="205">
        <f ca="1" t="shared" si="1574"/>
        <v>0</v>
      </c>
      <c r="H1702" s="205">
        <f ca="1" t="shared" si="1575"/>
        <v>1</v>
      </c>
      <c r="I1702" s="205">
        <f ca="1" t="shared" si="1576"/>
        <v>1</v>
      </c>
      <c r="J1702" s="205">
        <f ca="1" t="shared" si="1577"/>
        <v>1</v>
      </c>
      <c r="K1702" s="205">
        <f ca="1" t="shared" si="1578"/>
        <v>1</v>
      </c>
      <c r="L1702" s="205">
        <f ca="1" t="shared" si="1579"/>
        <v>2</v>
      </c>
      <c r="M1702" s="205">
        <f ca="1" t="shared" si="1580"/>
        <v>4</v>
      </c>
      <c r="N1702" s="205">
        <f ca="1" t="shared" si="1581"/>
        <v>5</v>
      </c>
      <c r="O1702" s="205">
        <f ca="1" t="shared" si="1582"/>
        <v>5</v>
      </c>
      <c r="P1702" s="205">
        <f ca="1" t="shared" si="1583"/>
        <v>5</v>
      </c>
      <c r="Q1702" s="205">
        <f ca="1" t="shared" si="1584"/>
        <v>5</v>
      </c>
    </row>
    <row r="1703" ht="24" customHeight="1" spans="1:17">
      <c r="A1703" s="99" t="s">
        <v>349</v>
      </c>
      <c r="B1703" s="99" t="s">
        <v>299</v>
      </c>
      <c r="C1703" s="99" t="s">
        <v>316</v>
      </c>
      <c r="D1703" s="48" t="s">
        <v>31</v>
      </c>
      <c r="E1703" s="48" t="s">
        <v>149</v>
      </c>
      <c r="F1703" s="205">
        <f ca="1" t="shared" si="1573"/>
        <v>0</v>
      </c>
      <c r="G1703" s="205">
        <f ca="1" t="shared" si="1574"/>
        <v>0</v>
      </c>
      <c r="H1703" s="205">
        <f ca="1" t="shared" si="1575"/>
        <v>0</v>
      </c>
      <c r="I1703" s="205">
        <f ca="1" t="shared" si="1576"/>
        <v>0</v>
      </c>
      <c r="J1703" s="205">
        <f ca="1" t="shared" si="1577"/>
        <v>0</v>
      </c>
      <c r="K1703" s="205">
        <f ca="1" t="shared" si="1578"/>
        <v>0</v>
      </c>
      <c r="L1703" s="205">
        <f ca="1" t="shared" si="1579"/>
        <v>0</v>
      </c>
      <c r="M1703" s="205">
        <f ca="1" t="shared" si="1580"/>
        <v>0</v>
      </c>
      <c r="N1703" s="205">
        <f ca="1" t="shared" si="1581"/>
        <v>0</v>
      </c>
      <c r="O1703" s="205">
        <f ca="1" t="shared" si="1582"/>
        <v>0</v>
      </c>
      <c r="P1703" s="205">
        <f ca="1" t="shared" si="1583"/>
        <v>0</v>
      </c>
      <c r="Q1703" s="205">
        <f ca="1" t="shared" si="1584"/>
        <v>0</v>
      </c>
    </row>
    <row r="1704" ht="24" customHeight="1" spans="1:17">
      <c r="A1704" s="99" t="s">
        <v>349</v>
      </c>
      <c r="B1704" s="99" t="s">
        <v>299</v>
      </c>
      <c r="C1704" s="99" t="s">
        <v>316</v>
      </c>
      <c r="D1704" s="48" t="s">
        <v>31</v>
      </c>
      <c r="E1704" s="48" t="s">
        <v>83</v>
      </c>
      <c r="F1704" s="205">
        <f ca="1" t="shared" si="1573"/>
        <v>0</v>
      </c>
      <c r="G1704" s="205">
        <f ca="1" t="shared" si="1574"/>
        <v>0</v>
      </c>
      <c r="H1704" s="205">
        <f ca="1" t="shared" si="1575"/>
        <v>0</v>
      </c>
      <c r="I1704" s="205">
        <f ca="1" t="shared" si="1576"/>
        <v>0</v>
      </c>
      <c r="J1704" s="205">
        <f ca="1" t="shared" si="1577"/>
        <v>0</v>
      </c>
      <c r="K1704" s="205">
        <f ca="1" t="shared" si="1578"/>
        <v>0</v>
      </c>
      <c r="L1704" s="205">
        <f ca="1" t="shared" si="1579"/>
        <v>0</v>
      </c>
      <c r="M1704" s="205">
        <f ca="1" t="shared" si="1580"/>
        <v>0</v>
      </c>
      <c r="N1704" s="205">
        <f ca="1" t="shared" si="1581"/>
        <v>0</v>
      </c>
      <c r="O1704" s="205">
        <f ca="1" t="shared" si="1582"/>
        <v>0</v>
      </c>
      <c r="P1704" s="205">
        <f ca="1" t="shared" si="1583"/>
        <v>0</v>
      </c>
      <c r="Q1704" s="205">
        <f ca="1" t="shared" si="1584"/>
        <v>0</v>
      </c>
    </row>
    <row r="1705" ht="24" customHeight="1" spans="1:17">
      <c r="A1705" s="99" t="s">
        <v>349</v>
      </c>
      <c r="B1705" s="99" t="s">
        <v>299</v>
      </c>
      <c r="C1705" s="99" t="s">
        <v>316</v>
      </c>
      <c r="D1705" s="48" t="s">
        <v>321</v>
      </c>
      <c r="E1705" s="48" t="s">
        <v>90</v>
      </c>
      <c r="F1705" s="112" t="str">
        <f ca="1" t="shared" ref="F1705:Q1705" si="1585">IFERROR(F1698/F1697," ")</f>
        <v> </v>
      </c>
      <c r="G1705" s="112" t="str">
        <f ca="1" t="shared" si="1585"/>
        <v> </v>
      </c>
      <c r="H1705" s="112">
        <f ca="1" t="shared" si="1585"/>
        <v>0</v>
      </c>
      <c r="I1705" s="112">
        <f ca="1" t="shared" si="1585"/>
        <v>0</v>
      </c>
      <c r="J1705" s="112">
        <f ca="1" t="shared" si="1585"/>
        <v>0</v>
      </c>
      <c r="K1705" s="112">
        <f ca="1" t="shared" si="1585"/>
        <v>0</v>
      </c>
      <c r="L1705" s="112">
        <f ca="1" t="shared" si="1585"/>
        <v>0</v>
      </c>
      <c r="M1705" s="112">
        <f ca="1" t="shared" si="1585"/>
        <v>0</v>
      </c>
      <c r="N1705" s="112">
        <f ca="1" t="shared" si="1585"/>
        <v>0</v>
      </c>
      <c r="O1705" s="112">
        <f ca="1" t="shared" si="1585"/>
        <v>0.25</v>
      </c>
      <c r="P1705" s="112">
        <f ca="1" t="shared" si="1585"/>
        <v>0.222222222222222</v>
      </c>
      <c r="Q1705" s="112">
        <f ca="1" t="shared" si="1585"/>
        <v>0.222222222222222</v>
      </c>
    </row>
    <row r="1706" ht="24" customHeight="1" spans="1:17">
      <c r="A1706" s="99" t="s">
        <v>349</v>
      </c>
      <c r="B1706" s="99" t="s">
        <v>299</v>
      </c>
      <c r="C1706" s="99" t="s">
        <v>316</v>
      </c>
      <c r="D1706" s="48" t="s">
        <v>321</v>
      </c>
      <c r="E1706" s="48" t="s">
        <v>82</v>
      </c>
      <c r="F1706" s="112" t="str">
        <f ca="1" t="shared" ref="F1706:Q1706" si="1586">IFERROR(F1699/F1697," ")</f>
        <v> </v>
      </c>
      <c r="G1706" s="112" t="str">
        <f ca="1" t="shared" si="1586"/>
        <v> </v>
      </c>
      <c r="H1706" s="112">
        <f ca="1" t="shared" si="1586"/>
        <v>0</v>
      </c>
      <c r="I1706" s="112">
        <f ca="1" t="shared" si="1586"/>
        <v>0</v>
      </c>
      <c r="J1706" s="112">
        <f ca="1" t="shared" si="1586"/>
        <v>0</v>
      </c>
      <c r="K1706" s="112">
        <f ca="1" t="shared" si="1586"/>
        <v>0</v>
      </c>
      <c r="L1706" s="112">
        <f ca="1" t="shared" si="1586"/>
        <v>0</v>
      </c>
      <c r="M1706" s="112">
        <f ca="1" t="shared" si="1586"/>
        <v>0</v>
      </c>
      <c r="N1706" s="112">
        <f ca="1" t="shared" si="1586"/>
        <v>0</v>
      </c>
      <c r="O1706" s="112">
        <f ca="1" t="shared" si="1586"/>
        <v>0</v>
      </c>
      <c r="P1706" s="112">
        <f ca="1" t="shared" si="1586"/>
        <v>0</v>
      </c>
      <c r="Q1706" s="112">
        <f ca="1" t="shared" si="1586"/>
        <v>0</v>
      </c>
    </row>
    <row r="1707" ht="24" customHeight="1" spans="1:17">
      <c r="A1707" s="99" t="s">
        <v>349</v>
      </c>
      <c r="B1707" s="99" t="s">
        <v>299</v>
      </c>
      <c r="C1707" s="99" t="s">
        <v>316</v>
      </c>
      <c r="D1707" s="48" t="s">
        <v>321</v>
      </c>
      <c r="E1707" s="48" t="s">
        <v>86</v>
      </c>
      <c r="F1707" s="112" t="str">
        <f ca="1" t="shared" ref="F1707:Q1707" si="1587">IFERROR(F1700/F1697," ")</f>
        <v> </v>
      </c>
      <c r="G1707" s="112" t="str">
        <f ca="1" t="shared" si="1587"/>
        <v> </v>
      </c>
      <c r="H1707" s="112">
        <f ca="1" t="shared" si="1587"/>
        <v>0</v>
      </c>
      <c r="I1707" s="112">
        <f ca="1" t="shared" si="1587"/>
        <v>0</v>
      </c>
      <c r="J1707" s="112">
        <f ca="1" t="shared" si="1587"/>
        <v>0</v>
      </c>
      <c r="K1707" s="112">
        <f ca="1" t="shared" si="1587"/>
        <v>0</v>
      </c>
      <c r="L1707" s="112">
        <f ca="1" t="shared" si="1587"/>
        <v>0</v>
      </c>
      <c r="M1707" s="112">
        <f ca="1" t="shared" si="1587"/>
        <v>0</v>
      </c>
      <c r="N1707" s="112">
        <f ca="1" t="shared" si="1587"/>
        <v>0.166666666666667</v>
      </c>
      <c r="O1707" s="112">
        <f ca="1" t="shared" si="1587"/>
        <v>0.125</v>
      </c>
      <c r="P1707" s="112">
        <f ca="1" t="shared" si="1587"/>
        <v>0.111111111111111</v>
      </c>
      <c r="Q1707" s="112">
        <f ca="1" t="shared" si="1587"/>
        <v>0.111111111111111</v>
      </c>
    </row>
    <row r="1708" ht="24" customHeight="1" spans="1:17">
      <c r="A1708" s="99" t="s">
        <v>349</v>
      </c>
      <c r="B1708" s="99" t="s">
        <v>299</v>
      </c>
      <c r="C1708" s="99" t="s">
        <v>316</v>
      </c>
      <c r="D1708" s="48" t="s">
        <v>321</v>
      </c>
      <c r="E1708" s="48" t="s">
        <v>97</v>
      </c>
      <c r="F1708" s="112" t="str">
        <f ca="1" t="shared" ref="F1708:Q1708" si="1588">IFERROR(F1701/F1697," ")</f>
        <v> </v>
      </c>
      <c r="G1708" s="112" t="str">
        <f ca="1" t="shared" si="1588"/>
        <v> </v>
      </c>
      <c r="H1708" s="112">
        <f ca="1" t="shared" si="1588"/>
        <v>0</v>
      </c>
      <c r="I1708" s="112">
        <f ca="1" t="shared" si="1588"/>
        <v>0</v>
      </c>
      <c r="J1708" s="112">
        <f ca="1" t="shared" si="1588"/>
        <v>0</v>
      </c>
      <c r="K1708" s="112">
        <f ca="1" t="shared" si="1588"/>
        <v>0</v>
      </c>
      <c r="L1708" s="112">
        <f ca="1" t="shared" si="1588"/>
        <v>0</v>
      </c>
      <c r="M1708" s="112">
        <f ca="1" t="shared" si="1588"/>
        <v>0</v>
      </c>
      <c r="N1708" s="112">
        <f ca="1" t="shared" si="1588"/>
        <v>0</v>
      </c>
      <c r="O1708" s="112">
        <f ca="1" t="shared" si="1588"/>
        <v>0</v>
      </c>
      <c r="P1708" s="112">
        <f ca="1" t="shared" si="1588"/>
        <v>0.111111111111111</v>
      </c>
      <c r="Q1708" s="112">
        <f ca="1" t="shared" si="1588"/>
        <v>0.111111111111111</v>
      </c>
    </row>
    <row r="1709" ht="24" customHeight="1" spans="1:17">
      <c r="A1709" s="99" t="s">
        <v>349</v>
      </c>
      <c r="B1709" s="99" t="s">
        <v>299</v>
      </c>
      <c r="C1709" s="99" t="s">
        <v>316</v>
      </c>
      <c r="D1709" s="48" t="s">
        <v>321</v>
      </c>
      <c r="E1709" s="48" t="s">
        <v>87</v>
      </c>
      <c r="F1709" s="112" t="str">
        <f ca="1" t="shared" ref="F1709:Q1709" si="1589">IFERROR(F1702/F1697," ")</f>
        <v> </v>
      </c>
      <c r="G1709" s="112" t="str">
        <f ca="1" t="shared" si="1589"/>
        <v> </v>
      </c>
      <c r="H1709" s="112">
        <f ca="1" t="shared" si="1589"/>
        <v>1</v>
      </c>
      <c r="I1709" s="112">
        <f ca="1" t="shared" si="1589"/>
        <v>1</v>
      </c>
      <c r="J1709" s="112">
        <f ca="1" t="shared" si="1589"/>
        <v>1</v>
      </c>
      <c r="K1709" s="112">
        <f ca="1" t="shared" si="1589"/>
        <v>1</v>
      </c>
      <c r="L1709" s="112">
        <f ca="1" t="shared" si="1589"/>
        <v>1</v>
      </c>
      <c r="M1709" s="112">
        <f ca="1" t="shared" si="1589"/>
        <v>1</v>
      </c>
      <c r="N1709" s="112">
        <f ca="1" t="shared" si="1589"/>
        <v>0.833333333333333</v>
      </c>
      <c r="O1709" s="112">
        <f ca="1" t="shared" si="1589"/>
        <v>0.625</v>
      </c>
      <c r="P1709" s="112">
        <f ca="1" t="shared" si="1589"/>
        <v>0.555555555555556</v>
      </c>
      <c r="Q1709" s="112">
        <f ca="1" t="shared" si="1589"/>
        <v>0.555555555555556</v>
      </c>
    </row>
    <row r="1710" ht="24" customHeight="1" spans="1:17">
      <c r="A1710" s="99" t="s">
        <v>349</v>
      </c>
      <c r="B1710" s="99" t="s">
        <v>299</v>
      </c>
      <c r="C1710" s="99" t="s">
        <v>316</v>
      </c>
      <c r="D1710" s="48" t="s">
        <v>321</v>
      </c>
      <c r="E1710" s="48" t="s">
        <v>149</v>
      </c>
      <c r="F1710" s="112" t="str">
        <f ca="1" t="shared" ref="F1710:Q1710" si="1590">IFERROR(F1703/F1697," ")</f>
        <v> </v>
      </c>
      <c r="G1710" s="112" t="str">
        <f ca="1" t="shared" si="1590"/>
        <v> </v>
      </c>
      <c r="H1710" s="112">
        <f ca="1" t="shared" si="1590"/>
        <v>0</v>
      </c>
      <c r="I1710" s="112">
        <f ca="1" t="shared" si="1590"/>
        <v>0</v>
      </c>
      <c r="J1710" s="112">
        <f ca="1" t="shared" si="1590"/>
        <v>0</v>
      </c>
      <c r="K1710" s="112">
        <f ca="1" t="shared" si="1590"/>
        <v>0</v>
      </c>
      <c r="L1710" s="112">
        <f ca="1" t="shared" si="1590"/>
        <v>0</v>
      </c>
      <c r="M1710" s="112">
        <f ca="1" t="shared" si="1590"/>
        <v>0</v>
      </c>
      <c r="N1710" s="112">
        <f ca="1" t="shared" si="1590"/>
        <v>0</v>
      </c>
      <c r="O1710" s="112">
        <f ca="1" t="shared" si="1590"/>
        <v>0</v>
      </c>
      <c r="P1710" s="112">
        <f ca="1" t="shared" si="1590"/>
        <v>0</v>
      </c>
      <c r="Q1710" s="112">
        <f ca="1" t="shared" si="1590"/>
        <v>0</v>
      </c>
    </row>
    <row r="1711" ht="24" customHeight="1" spans="1:17">
      <c r="A1711" s="99" t="s">
        <v>349</v>
      </c>
      <c r="B1711" s="99" t="s">
        <v>299</v>
      </c>
      <c r="C1711" s="99" t="s">
        <v>316</v>
      </c>
      <c r="D1711" s="48" t="s">
        <v>321</v>
      </c>
      <c r="E1711" s="48" t="s">
        <v>83</v>
      </c>
      <c r="F1711" s="112" t="str">
        <f ca="1" t="shared" ref="F1711:Q1711" si="1591">IFERROR(F1704/F1697," ")</f>
        <v> </v>
      </c>
      <c r="G1711" s="112" t="str">
        <f ca="1" t="shared" si="1591"/>
        <v> </v>
      </c>
      <c r="H1711" s="112">
        <f ca="1" t="shared" si="1591"/>
        <v>0</v>
      </c>
      <c r="I1711" s="112">
        <f ca="1" t="shared" si="1591"/>
        <v>0</v>
      </c>
      <c r="J1711" s="112">
        <f ca="1" t="shared" si="1591"/>
        <v>0</v>
      </c>
      <c r="K1711" s="112">
        <f ca="1" t="shared" si="1591"/>
        <v>0</v>
      </c>
      <c r="L1711" s="112">
        <f ca="1" t="shared" si="1591"/>
        <v>0</v>
      </c>
      <c r="M1711" s="112">
        <f ca="1" t="shared" si="1591"/>
        <v>0</v>
      </c>
      <c r="N1711" s="112">
        <f ca="1" t="shared" si="1591"/>
        <v>0</v>
      </c>
      <c r="O1711" s="112">
        <f ca="1" t="shared" si="1591"/>
        <v>0</v>
      </c>
      <c r="P1711" s="112">
        <f ca="1" t="shared" si="1591"/>
        <v>0</v>
      </c>
      <c r="Q1711" s="112">
        <f ca="1" t="shared" si="1591"/>
        <v>0</v>
      </c>
    </row>
    <row r="1712" ht="24" customHeight="1" spans="1:17">
      <c r="A1712" s="99" t="s">
        <v>349</v>
      </c>
      <c r="B1712" s="99" t="s">
        <v>299</v>
      </c>
      <c r="C1712" s="99" t="s">
        <v>316</v>
      </c>
      <c r="D1712" s="47" t="s">
        <v>294</v>
      </c>
      <c r="E1712" s="47" t="s">
        <v>93</v>
      </c>
      <c r="F1712" s="206">
        <f ca="1" t="shared" ref="F1712:Q1712" si="1592">IF($S$1&lt;DATE(2025,1,1)," ",F1615)</f>
        <v>0</v>
      </c>
      <c r="G1712" s="206">
        <f ca="1" t="shared" si="1592"/>
        <v>0</v>
      </c>
      <c r="H1712" s="206">
        <f ca="1" t="shared" si="1592"/>
        <v>0</v>
      </c>
      <c r="I1712" s="206">
        <f ca="1" t="shared" si="1592"/>
        <v>0</v>
      </c>
      <c r="J1712" s="206">
        <f ca="1" t="shared" si="1592"/>
        <v>0</v>
      </c>
      <c r="K1712" s="206">
        <f ca="1" t="shared" si="1592"/>
        <v>0</v>
      </c>
      <c r="L1712" s="206">
        <f ca="1" t="shared" si="1592"/>
        <v>0</v>
      </c>
      <c r="M1712" s="206">
        <f ca="1" t="shared" si="1592"/>
        <v>0</v>
      </c>
      <c r="N1712" s="206">
        <f ca="1" t="shared" si="1592"/>
        <v>0</v>
      </c>
      <c r="O1712" s="206">
        <f ca="1" t="shared" si="1592"/>
        <v>0</v>
      </c>
      <c r="P1712" s="206">
        <f ca="1" t="shared" si="1592"/>
        <v>0</v>
      </c>
      <c r="Q1712" s="206">
        <f ca="1" t="shared" si="1592"/>
        <v>0</v>
      </c>
    </row>
    <row r="1713" ht="24" customHeight="1" spans="1:17">
      <c r="A1713" s="99" t="s">
        <v>349</v>
      </c>
      <c r="B1713" s="99" t="s">
        <v>299</v>
      </c>
      <c r="C1713" s="99" t="s">
        <v>316</v>
      </c>
      <c r="D1713" s="47" t="s">
        <v>294</v>
      </c>
      <c r="E1713" s="47" t="s">
        <v>85</v>
      </c>
      <c r="F1713" s="206">
        <f ca="1" t="shared" ref="F1713:Q1713" si="1593">IF($S$1&lt;DATE(2025,1,1)," ",F1616)</f>
        <v>0</v>
      </c>
      <c r="G1713" s="206">
        <f ca="1" t="shared" si="1593"/>
        <v>0</v>
      </c>
      <c r="H1713" s="206">
        <f ca="1" t="shared" si="1593"/>
        <v>0</v>
      </c>
      <c r="I1713" s="206">
        <f ca="1" t="shared" si="1593"/>
        <v>0</v>
      </c>
      <c r="J1713" s="206">
        <f ca="1" t="shared" si="1593"/>
        <v>0</v>
      </c>
      <c r="K1713" s="206">
        <f ca="1" t="shared" si="1593"/>
        <v>0</v>
      </c>
      <c r="L1713" s="206">
        <f ca="1" t="shared" si="1593"/>
        <v>0</v>
      </c>
      <c r="M1713" s="206">
        <f ca="1" t="shared" si="1593"/>
        <v>0</v>
      </c>
      <c r="N1713" s="206">
        <f ca="1" t="shared" si="1593"/>
        <v>0</v>
      </c>
      <c r="O1713" s="206">
        <f ca="1" t="shared" si="1593"/>
        <v>0</v>
      </c>
      <c r="P1713" s="206">
        <f ca="1" t="shared" si="1593"/>
        <v>0</v>
      </c>
      <c r="Q1713" s="206">
        <f ca="1" t="shared" si="1593"/>
        <v>0</v>
      </c>
    </row>
    <row r="1714" ht="24" customHeight="1" spans="1:17">
      <c r="A1714" s="99" t="s">
        <v>349</v>
      </c>
      <c r="B1714" s="99" t="s">
        <v>299</v>
      </c>
      <c r="C1714" s="99" t="s">
        <v>316</v>
      </c>
      <c r="D1714" s="47" t="s">
        <v>294</v>
      </c>
      <c r="E1714" s="47" t="s">
        <v>81</v>
      </c>
      <c r="F1714" s="206">
        <f ca="1" t="shared" ref="F1714:Q1714" si="1594">IF($S$1&lt;DATE(2025,1,1)," ",F1617)</f>
        <v>0</v>
      </c>
      <c r="G1714" s="206">
        <f ca="1" t="shared" si="1594"/>
        <v>0</v>
      </c>
      <c r="H1714" s="206">
        <f ca="1" t="shared" si="1594"/>
        <v>0</v>
      </c>
      <c r="I1714" s="206">
        <f ca="1" t="shared" si="1594"/>
        <v>0</v>
      </c>
      <c r="J1714" s="206">
        <f ca="1" t="shared" si="1594"/>
        <v>0</v>
      </c>
      <c r="K1714" s="206">
        <f ca="1" t="shared" si="1594"/>
        <v>0</v>
      </c>
      <c r="L1714" s="206">
        <f ca="1" t="shared" si="1594"/>
        <v>0</v>
      </c>
      <c r="M1714" s="206">
        <f ca="1" t="shared" si="1594"/>
        <v>0</v>
      </c>
      <c r="N1714" s="206">
        <f ca="1" t="shared" si="1594"/>
        <v>0</v>
      </c>
      <c r="O1714" s="206">
        <f ca="1" t="shared" si="1594"/>
        <v>0</v>
      </c>
      <c r="P1714" s="206">
        <f ca="1" t="shared" si="1594"/>
        <v>0</v>
      </c>
      <c r="Q1714" s="206">
        <f ca="1" t="shared" si="1594"/>
        <v>0</v>
      </c>
    </row>
    <row r="1715" ht="24" customHeight="1" spans="1:17">
      <c r="A1715" s="99" t="s">
        <v>349</v>
      </c>
      <c r="B1715" s="99" t="s">
        <v>299</v>
      </c>
      <c r="C1715" s="99" t="s">
        <v>316</v>
      </c>
      <c r="D1715" s="47" t="s">
        <v>294</v>
      </c>
      <c r="E1715" s="47" t="s">
        <v>96</v>
      </c>
      <c r="F1715" s="206">
        <f ca="1" t="shared" ref="F1715:Q1715" si="1595">IF($S$1&lt;DATE(2025,1,1)," ",F1618)</f>
        <v>0</v>
      </c>
      <c r="G1715" s="206">
        <f ca="1" t="shared" si="1595"/>
        <v>0</v>
      </c>
      <c r="H1715" s="206">
        <f ca="1" t="shared" si="1595"/>
        <v>0</v>
      </c>
      <c r="I1715" s="206">
        <f ca="1" t="shared" si="1595"/>
        <v>0</v>
      </c>
      <c r="J1715" s="206">
        <f ca="1" t="shared" si="1595"/>
        <v>0</v>
      </c>
      <c r="K1715" s="206">
        <f ca="1" t="shared" si="1595"/>
        <v>0</v>
      </c>
      <c r="L1715" s="206">
        <f ca="1" t="shared" si="1595"/>
        <v>0</v>
      </c>
      <c r="M1715" s="206">
        <f ca="1" t="shared" si="1595"/>
        <v>0</v>
      </c>
      <c r="N1715" s="206">
        <f ca="1" t="shared" si="1595"/>
        <v>0</v>
      </c>
      <c r="O1715" s="206">
        <f ca="1" t="shared" si="1595"/>
        <v>0</v>
      </c>
      <c r="P1715" s="206">
        <f ca="1" t="shared" si="1595"/>
        <v>0</v>
      </c>
      <c r="Q1715" s="206">
        <f ca="1" t="shared" si="1595"/>
        <v>0</v>
      </c>
    </row>
    <row r="1716" ht="24" customHeight="1" spans="1:17">
      <c r="A1716" s="99" t="s">
        <v>349</v>
      </c>
      <c r="B1716" s="99" t="s">
        <v>299</v>
      </c>
      <c r="C1716" s="99" t="s">
        <v>316</v>
      </c>
      <c r="D1716" s="47" t="s">
        <v>294</v>
      </c>
      <c r="E1716" s="47" t="s">
        <v>160</v>
      </c>
      <c r="F1716" s="206">
        <f ca="1" t="shared" ref="F1716:Q1716" si="1596">IF($S$1&lt;DATE(2025,1,1)," ",F1619)</f>
        <v>0</v>
      </c>
      <c r="G1716" s="206">
        <f ca="1" t="shared" si="1596"/>
        <v>0</v>
      </c>
      <c r="H1716" s="206">
        <f ca="1" t="shared" si="1596"/>
        <v>0</v>
      </c>
      <c r="I1716" s="206">
        <f ca="1" t="shared" si="1596"/>
        <v>0</v>
      </c>
      <c r="J1716" s="206">
        <f ca="1" t="shared" si="1596"/>
        <v>0</v>
      </c>
      <c r="K1716" s="206">
        <f ca="1" t="shared" si="1596"/>
        <v>0</v>
      </c>
      <c r="L1716" s="206">
        <f ca="1" t="shared" si="1596"/>
        <v>0</v>
      </c>
      <c r="M1716" s="206">
        <f ca="1" t="shared" si="1596"/>
        <v>0</v>
      </c>
      <c r="N1716" s="206">
        <f ca="1" t="shared" si="1596"/>
        <v>0</v>
      </c>
      <c r="O1716" s="206">
        <f ca="1" t="shared" si="1596"/>
        <v>0</v>
      </c>
      <c r="P1716" s="206">
        <f ca="1" t="shared" si="1596"/>
        <v>0</v>
      </c>
      <c r="Q1716" s="206">
        <f ca="1" t="shared" si="1596"/>
        <v>0</v>
      </c>
    </row>
    <row r="1717" ht="24" customHeight="1" spans="1:17">
      <c r="A1717" s="99" t="s">
        <v>349</v>
      </c>
      <c r="B1717" s="99" t="s">
        <v>299</v>
      </c>
      <c r="C1717" s="99" t="s">
        <v>316</v>
      </c>
      <c r="D1717" s="100" t="s">
        <v>292</v>
      </c>
      <c r="E1717" s="100" t="s">
        <v>322</v>
      </c>
      <c r="F1717" s="204">
        <f ca="1">IF($S$1&lt;DATE(2025,1,1)," ",SUM(F1718:F1720))</f>
        <v>0</v>
      </c>
      <c r="G1717" s="204">
        <f ca="1">IF($S$1&lt;DATE(2025,2,1)," ",SUM(G1718:G1720))</f>
        <v>0</v>
      </c>
      <c r="H1717" s="204">
        <f ca="1">IF($S$1&lt;DATE(2025,3,1)," ",SUM(H1718:H1720))</f>
        <v>0</v>
      </c>
      <c r="I1717" s="204">
        <f ca="1">IF($S$1&lt;DATE(2025,4,1)," ",SUM(I1718:I1720))</f>
        <v>0</v>
      </c>
      <c r="J1717" s="204">
        <f ca="1">IF($S$1&lt;DATE(2025,5,1)," ",SUM(J1718:J1720))</f>
        <v>0</v>
      </c>
      <c r="K1717" s="204">
        <f ca="1">IF($S$1&lt;DATE(2025,6,1)," ",SUM(K1718:K1720))</f>
        <v>0</v>
      </c>
      <c r="L1717" s="204">
        <f ca="1">IF($S$1&lt;DATE(2025,7,1)," ",SUM(L1718:L1720))</f>
        <v>0</v>
      </c>
      <c r="M1717" s="204">
        <f ca="1">IF($S$1&lt;DATE(2025,8,1)," ",SUM(M1718:M1720))</f>
        <v>0</v>
      </c>
      <c r="N1717" s="204">
        <f ca="1">IF($S$1&lt;DATE(2025,9,1)," ",SUM(N1718:N1720))</f>
        <v>1</v>
      </c>
      <c r="O1717" s="204">
        <f ca="1">IF($S$1&lt;DATE(2025,10,1)," ",SUM(O1718:O1720))</f>
        <v>3</v>
      </c>
      <c r="P1717" s="204">
        <f ca="1">IF($S$1&lt;DATE(2025,11,1)," ",SUM(P1718:P1720))</f>
        <v>4</v>
      </c>
      <c r="Q1717" s="204">
        <f ca="1">IF($S$1&lt;DATE(2025,12,1)," ",SUM(Q1718:Q1720))</f>
        <v>4</v>
      </c>
    </row>
    <row r="1718" ht="24" customHeight="1" spans="1:17">
      <c r="A1718" s="99" t="s">
        <v>349</v>
      </c>
      <c r="B1718" s="99" t="s">
        <v>299</v>
      </c>
      <c r="C1718" s="99" t="s">
        <v>316</v>
      </c>
      <c r="D1718" s="48" t="s">
        <v>296</v>
      </c>
      <c r="E1718" s="48" t="s">
        <v>90</v>
      </c>
      <c r="F1718" s="205">
        <f ca="1" t="shared" ref="F1718:F1720" si="1597">IF($S$1&lt;DATE(2025,1,1)," ",F1631)</f>
        <v>0</v>
      </c>
      <c r="G1718" s="205">
        <f ca="1" t="shared" ref="G1718:G1720" si="1598">IF($S$1&lt;DATE(2025,2,1)," ",G1631+F1718)</f>
        <v>0</v>
      </c>
      <c r="H1718" s="205">
        <f ca="1" t="shared" ref="H1718:H1720" si="1599">IF($S$1&lt;DATE(2025,3,1)," ",H1631+G1718)</f>
        <v>0</v>
      </c>
      <c r="I1718" s="205">
        <f ca="1" t="shared" ref="I1718:I1720" si="1600">IF($S$1&lt;DATE(2025,4,1)," ",I1631+H1718)</f>
        <v>0</v>
      </c>
      <c r="J1718" s="205">
        <f ca="1" t="shared" ref="J1718:J1720" si="1601">IF($S$1&lt;DATE(2025,5,1)," ",J1631+I1718)</f>
        <v>0</v>
      </c>
      <c r="K1718" s="205">
        <f ca="1" t="shared" ref="K1718:K1720" si="1602">IF($S$1&lt;DATE(2025,6,1)," ",K1631+J1718)</f>
        <v>0</v>
      </c>
      <c r="L1718" s="205">
        <f ca="1" t="shared" ref="L1718:L1720" si="1603">IF($S$1&lt;DATE(2025,7,1)," ",L1631+K1718)</f>
        <v>0</v>
      </c>
      <c r="M1718" s="205">
        <f ca="1" t="shared" ref="M1718:M1720" si="1604">IF($S$1&lt;DATE(2025,8,1)," ",M1631+L1718)</f>
        <v>0</v>
      </c>
      <c r="N1718" s="205">
        <f ca="1" t="shared" ref="N1718:N1720" si="1605">IF($S$1&lt;DATE(2025,9,1)," ",N1631+M1718)</f>
        <v>0</v>
      </c>
      <c r="O1718" s="205">
        <f ca="1" t="shared" ref="O1718:O1720" si="1606">IF($S$1&lt;DATE(2025,10,1)," ",O1631+N1718)</f>
        <v>2</v>
      </c>
      <c r="P1718" s="205">
        <f ca="1" t="shared" ref="P1718:P1720" si="1607">IF($S$1&lt;DATE(2025,11,1)," ",P1631+O1718)</f>
        <v>2</v>
      </c>
      <c r="Q1718" s="205">
        <f ca="1" t="shared" ref="Q1718:Q1720" si="1608">IF($S$1&lt;DATE(2025,12,1)," ",Q1631+P1718)</f>
        <v>2</v>
      </c>
    </row>
    <row r="1719" ht="24" customHeight="1" spans="1:17">
      <c r="A1719" s="99" t="s">
        <v>349</v>
      </c>
      <c r="B1719" s="99" t="s">
        <v>299</v>
      </c>
      <c r="C1719" s="99" t="s">
        <v>316</v>
      </c>
      <c r="D1719" s="48" t="s">
        <v>296</v>
      </c>
      <c r="E1719" s="48" t="s">
        <v>82</v>
      </c>
      <c r="F1719" s="205">
        <f ca="1" t="shared" si="1597"/>
        <v>0</v>
      </c>
      <c r="G1719" s="205">
        <f ca="1" t="shared" si="1598"/>
        <v>0</v>
      </c>
      <c r="H1719" s="205">
        <f ca="1" t="shared" si="1599"/>
        <v>0</v>
      </c>
      <c r="I1719" s="205">
        <f ca="1" t="shared" si="1600"/>
        <v>0</v>
      </c>
      <c r="J1719" s="205">
        <f ca="1" t="shared" si="1601"/>
        <v>0</v>
      </c>
      <c r="K1719" s="205">
        <f ca="1" t="shared" si="1602"/>
        <v>0</v>
      </c>
      <c r="L1719" s="205">
        <f ca="1" t="shared" si="1603"/>
        <v>0</v>
      </c>
      <c r="M1719" s="205">
        <f ca="1" t="shared" si="1604"/>
        <v>0</v>
      </c>
      <c r="N1719" s="205">
        <f ca="1" t="shared" si="1605"/>
        <v>0</v>
      </c>
      <c r="O1719" s="205">
        <f ca="1" t="shared" si="1606"/>
        <v>0</v>
      </c>
      <c r="P1719" s="205">
        <f ca="1" t="shared" si="1607"/>
        <v>1</v>
      </c>
      <c r="Q1719" s="205">
        <f ca="1" t="shared" si="1608"/>
        <v>1</v>
      </c>
    </row>
    <row r="1720" ht="24" customHeight="1" spans="1:17">
      <c r="A1720" s="99" t="s">
        <v>349</v>
      </c>
      <c r="B1720" s="99" t="s">
        <v>299</v>
      </c>
      <c r="C1720" s="99" t="s">
        <v>316</v>
      </c>
      <c r="D1720" s="48" t="s">
        <v>296</v>
      </c>
      <c r="E1720" s="48" t="s">
        <v>86</v>
      </c>
      <c r="F1720" s="205">
        <f ca="1" t="shared" si="1597"/>
        <v>0</v>
      </c>
      <c r="G1720" s="205">
        <f ca="1" t="shared" si="1598"/>
        <v>0</v>
      </c>
      <c r="H1720" s="205">
        <f ca="1" t="shared" si="1599"/>
        <v>0</v>
      </c>
      <c r="I1720" s="205">
        <f ca="1" t="shared" si="1600"/>
        <v>0</v>
      </c>
      <c r="J1720" s="205">
        <f ca="1" t="shared" si="1601"/>
        <v>0</v>
      </c>
      <c r="K1720" s="205">
        <f ca="1" t="shared" si="1602"/>
        <v>0</v>
      </c>
      <c r="L1720" s="205">
        <f ca="1" t="shared" si="1603"/>
        <v>0</v>
      </c>
      <c r="M1720" s="205">
        <f ca="1" t="shared" si="1604"/>
        <v>0</v>
      </c>
      <c r="N1720" s="205">
        <f ca="1" t="shared" si="1605"/>
        <v>1</v>
      </c>
      <c r="O1720" s="205">
        <f ca="1" t="shared" si="1606"/>
        <v>1</v>
      </c>
      <c r="P1720" s="205">
        <f ca="1" t="shared" si="1607"/>
        <v>1</v>
      </c>
      <c r="Q1720" s="205">
        <f ca="1" t="shared" si="1608"/>
        <v>1</v>
      </c>
    </row>
    <row r="1721" ht="24" customHeight="1" spans="1:17">
      <c r="A1721" s="99" t="s">
        <v>349</v>
      </c>
      <c r="B1721" s="99" t="s">
        <v>299</v>
      </c>
      <c r="C1721" s="99" t="s">
        <v>316</v>
      </c>
      <c r="D1721" s="48" t="s">
        <v>323</v>
      </c>
      <c r="E1721" s="48" t="s">
        <v>90</v>
      </c>
      <c r="F1721" s="112" t="str">
        <f ca="1" t="shared" ref="F1721:Q1721" si="1609">IFERROR(F1718/F1717," ")</f>
        <v> </v>
      </c>
      <c r="G1721" s="112" t="str">
        <f ca="1" t="shared" si="1609"/>
        <v> </v>
      </c>
      <c r="H1721" s="112" t="str">
        <f ca="1" t="shared" si="1609"/>
        <v> </v>
      </c>
      <c r="I1721" s="112" t="str">
        <f ca="1" t="shared" si="1609"/>
        <v> </v>
      </c>
      <c r="J1721" s="112" t="str">
        <f ca="1" t="shared" si="1609"/>
        <v> </v>
      </c>
      <c r="K1721" s="112" t="str">
        <f ca="1" t="shared" si="1609"/>
        <v> </v>
      </c>
      <c r="L1721" s="112" t="str">
        <f ca="1" t="shared" si="1609"/>
        <v> </v>
      </c>
      <c r="M1721" s="112" t="str">
        <f ca="1" t="shared" si="1609"/>
        <v> </v>
      </c>
      <c r="N1721" s="112">
        <f ca="1" t="shared" si="1609"/>
        <v>0</v>
      </c>
      <c r="O1721" s="112">
        <f ca="1" t="shared" si="1609"/>
        <v>0.666666666666667</v>
      </c>
      <c r="P1721" s="112">
        <f ca="1" t="shared" si="1609"/>
        <v>0.5</v>
      </c>
      <c r="Q1721" s="112">
        <f ca="1" t="shared" si="1609"/>
        <v>0.5</v>
      </c>
    </row>
    <row r="1722" ht="24" customHeight="1" spans="1:17">
      <c r="A1722" s="99" t="s">
        <v>349</v>
      </c>
      <c r="B1722" s="99" t="s">
        <v>299</v>
      </c>
      <c r="C1722" s="99" t="s">
        <v>316</v>
      </c>
      <c r="D1722" s="48" t="s">
        <v>323</v>
      </c>
      <c r="E1722" s="48" t="s">
        <v>82</v>
      </c>
      <c r="F1722" s="112" t="str">
        <f ca="1" t="shared" ref="F1722:Q1722" si="1610">IFERROR(F1719/F1717," ")</f>
        <v> </v>
      </c>
      <c r="G1722" s="112" t="str">
        <f ca="1" t="shared" si="1610"/>
        <v> </v>
      </c>
      <c r="H1722" s="112" t="str">
        <f ca="1" t="shared" si="1610"/>
        <v> </v>
      </c>
      <c r="I1722" s="112" t="str">
        <f ca="1" t="shared" si="1610"/>
        <v> </v>
      </c>
      <c r="J1722" s="112" t="str">
        <f ca="1" t="shared" si="1610"/>
        <v> </v>
      </c>
      <c r="K1722" s="112" t="str">
        <f ca="1" t="shared" si="1610"/>
        <v> </v>
      </c>
      <c r="L1722" s="112" t="str">
        <f ca="1" t="shared" si="1610"/>
        <v> </v>
      </c>
      <c r="M1722" s="112" t="str">
        <f ca="1" t="shared" si="1610"/>
        <v> </v>
      </c>
      <c r="N1722" s="112">
        <f ca="1" t="shared" si="1610"/>
        <v>0</v>
      </c>
      <c r="O1722" s="112">
        <f ca="1" t="shared" si="1610"/>
        <v>0</v>
      </c>
      <c r="P1722" s="112">
        <f ca="1" t="shared" si="1610"/>
        <v>0.25</v>
      </c>
      <c r="Q1722" s="112">
        <f ca="1" t="shared" si="1610"/>
        <v>0.25</v>
      </c>
    </row>
    <row r="1723" ht="24" customHeight="1" spans="1:17">
      <c r="A1723" s="99" t="s">
        <v>349</v>
      </c>
      <c r="B1723" s="99" t="s">
        <v>299</v>
      </c>
      <c r="C1723" s="99" t="s">
        <v>316</v>
      </c>
      <c r="D1723" s="48" t="s">
        <v>323</v>
      </c>
      <c r="E1723" s="48" t="s">
        <v>86</v>
      </c>
      <c r="F1723" s="112" t="str">
        <f ca="1" t="shared" ref="F1723:Q1723" si="1611">IFERROR(F1720/F1717," ")</f>
        <v> </v>
      </c>
      <c r="G1723" s="112" t="str">
        <f ca="1" t="shared" si="1611"/>
        <v> </v>
      </c>
      <c r="H1723" s="112" t="str">
        <f ca="1" t="shared" si="1611"/>
        <v> </v>
      </c>
      <c r="I1723" s="112" t="str">
        <f ca="1" t="shared" si="1611"/>
        <v> </v>
      </c>
      <c r="J1723" s="112" t="str">
        <f ca="1" t="shared" si="1611"/>
        <v> </v>
      </c>
      <c r="K1723" s="112" t="str">
        <f ca="1" t="shared" si="1611"/>
        <v> </v>
      </c>
      <c r="L1723" s="112" t="str">
        <f ca="1" t="shared" si="1611"/>
        <v> </v>
      </c>
      <c r="M1723" s="112" t="str">
        <f ca="1" t="shared" si="1611"/>
        <v> </v>
      </c>
      <c r="N1723" s="112">
        <f ca="1" t="shared" si="1611"/>
        <v>1</v>
      </c>
      <c r="O1723" s="112">
        <f ca="1" t="shared" si="1611"/>
        <v>0.333333333333333</v>
      </c>
      <c r="P1723" s="112">
        <f ca="1" t="shared" si="1611"/>
        <v>0.25</v>
      </c>
      <c r="Q1723" s="112">
        <f ca="1" t="shared" si="1611"/>
        <v>0.25</v>
      </c>
    </row>
    <row r="1724" ht="24" customHeight="1" spans="1:17">
      <c r="A1724" s="99" t="s">
        <v>349</v>
      </c>
      <c r="B1724" s="99" t="s">
        <v>299</v>
      </c>
      <c r="C1724" s="99" t="s">
        <v>316</v>
      </c>
      <c r="D1724" s="100" t="s">
        <v>292</v>
      </c>
      <c r="E1724" s="100" t="s">
        <v>324</v>
      </c>
      <c r="F1724" s="204">
        <f ca="1">IF($S$1&lt;DATE(2025,1,1)," ",SUM(F1725:F1728))</f>
        <v>0</v>
      </c>
      <c r="G1724" s="204">
        <f ca="1">IF($S$1&lt;DATE(2025,2,1)," ",SUM(G1725:G1728))</f>
        <v>0</v>
      </c>
      <c r="H1724" s="204">
        <f ca="1">IF($S$1&lt;DATE(2025,3,1)," ",SUM(H1725:H1728))</f>
        <v>1</v>
      </c>
      <c r="I1724" s="204">
        <f ca="1">IF($S$1&lt;DATE(2025,4,1)," ",SUM(I1725:I1728))</f>
        <v>1</v>
      </c>
      <c r="J1724" s="204">
        <f ca="1">IF($S$1&lt;DATE(2025,5,1)," ",SUM(J1725:J1728))</f>
        <v>1</v>
      </c>
      <c r="K1724" s="204">
        <f ca="1">IF($S$1&lt;DATE(2025,6,1)," ",SUM(K1725:K1728))</f>
        <v>1</v>
      </c>
      <c r="L1724" s="204">
        <f ca="1">IF($S$1&lt;DATE(2025,7,1)," ",SUM(L1725:L1728))</f>
        <v>2</v>
      </c>
      <c r="M1724" s="204">
        <f ca="1">IF($S$1&lt;DATE(2025,8,1)," ",SUM(M1725:M1728))</f>
        <v>4</v>
      </c>
      <c r="N1724" s="204">
        <f ca="1">IF($S$1&lt;DATE(2025,9,1)," ",SUM(N1725:N1728))</f>
        <v>5</v>
      </c>
      <c r="O1724" s="204">
        <f ca="1">IF($S$1&lt;DATE(2025,10,1)," ",SUM(O1725:O1728))</f>
        <v>5</v>
      </c>
      <c r="P1724" s="204">
        <f ca="1">IF($S$1&lt;DATE(2025,11,1)," ",SUM(P1725:P1728))</f>
        <v>6</v>
      </c>
      <c r="Q1724" s="204">
        <f ca="1">IF($S$1&lt;DATE(2025,12,1)," ",SUM(Q1725:Q1728))</f>
        <v>6</v>
      </c>
    </row>
    <row r="1725" ht="24" customHeight="1" spans="1:17">
      <c r="A1725" s="99" t="s">
        <v>349</v>
      </c>
      <c r="B1725" s="99" t="s">
        <v>299</v>
      </c>
      <c r="C1725" s="99" t="s">
        <v>316</v>
      </c>
      <c r="D1725" s="48" t="s">
        <v>298</v>
      </c>
      <c r="E1725" s="48" t="s">
        <v>97</v>
      </c>
      <c r="F1725" s="205">
        <f ca="1" t="shared" ref="F1725:F1728" si="1612">IF($S$1&lt;DATE(2025,1,1)," ",F1635)</f>
        <v>0</v>
      </c>
      <c r="G1725" s="205">
        <f ca="1" t="shared" ref="G1725:G1728" si="1613">IF($S$1&lt;DATE(2025,2,1)," ",G1635+F1725)</f>
        <v>0</v>
      </c>
      <c r="H1725" s="205">
        <f ca="1" t="shared" ref="H1725:H1728" si="1614">IF($S$1&lt;DATE(2025,3,1)," ",H1635+G1725)</f>
        <v>0</v>
      </c>
      <c r="I1725" s="205">
        <f ca="1" t="shared" ref="I1725:I1728" si="1615">IF($S$1&lt;DATE(2025,4,1)," ",I1635+H1725)</f>
        <v>0</v>
      </c>
      <c r="J1725" s="205">
        <f ca="1" t="shared" ref="J1725:J1728" si="1616">IF($S$1&lt;DATE(2025,5,1)," ",J1635+I1725)</f>
        <v>0</v>
      </c>
      <c r="K1725" s="205">
        <f ca="1" t="shared" ref="K1725:K1728" si="1617">IF($S$1&lt;DATE(2025,6,1)," ",K1635+J1725)</f>
        <v>0</v>
      </c>
      <c r="L1725" s="205">
        <f ca="1" t="shared" ref="L1725:L1728" si="1618">IF($S$1&lt;DATE(2025,7,1)," ",L1635+K1725)</f>
        <v>0</v>
      </c>
      <c r="M1725" s="205">
        <f ca="1" t="shared" ref="M1725:M1728" si="1619">IF($S$1&lt;DATE(2025,8,1)," ",M1635+L1725)</f>
        <v>0</v>
      </c>
      <c r="N1725" s="205">
        <f ca="1" t="shared" ref="N1725:N1728" si="1620">IF($S$1&lt;DATE(2025,9,1)," ",N1635+M1725)</f>
        <v>0</v>
      </c>
      <c r="O1725" s="205">
        <f ca="1" t="shared" ref="O1725:O1728" si="1621">IF($S$1&lt;DATE(2025,10,1)," ",O1635+N1725)</f>
        <v>0</v>
      </c>
      <c r="P1725" s="205">
        <f ca="1" t="shared" ref="P1725:P1728" si="1622">IF($S$1&lt;DATE(2025,11,1)," ",P1635+O1725)</f>
        <v>1</v>
      </c>
      <c r="Q1725" s="205">
        <f ca="1" t="shared" ref="Q1725:Q1728" si="1623">IF($S$1&lt;DATE(2025,12,1)," ",Q1635+P1725)</f>
        <v>1</v>
      </c>
    </row>
    <row r="1726" ht="24" customHeight="1" spans="1:17">
      <c r="A1726" s="99" t="s">
        <v>349</v>
      </c>
      <c r="B1726" s="99" t="s">
        <v>299</v>
      </c>
      <c r="C1726" s="99" t="s">
        <v>316</v>
      </c>
      <c r="D1726" s="48" t="s">
        <v>298</v>
      </c>
      <c r="E1726" s="48" t="s">
        <v>87</v>
      </c>
      <c r="F1726" s="205">
        <f ca="1" t="shared" si="1612"/>
        <v>0</v>
      </c>
      <c r="G1726" s="205">
        <f ca="1" t="shared" si="1613"/>
        <v>0</v>
      </c>
      <c r="H1726" s="205">
        <f ca="1" t="shared" si="1614"/>
        <v>1</v>
      </c>
      <c r="I1726" s="205">
        <f ca="1" t="shared" si="1615"/>
        <v>1</v>
      </c>
      <c r="J1726" s="205">
        <f ca="1" t="shared" si="1616"/>
        <v>1</v>
      </c>
      <c r="K1726" s="205">
        <f ca="1" t="shared" si="1617"/>
        <v>1</v>
      </c>
      <c r="L1726" s="205">
        <f ca="1" t="shared" si="1618"/>
        <v>2</v>
      </c>
      <c r="M1726" s="205">
        <f ca="1" t="shared" si="1619"/>
        <v>4</v>
      </c>
      <c r="N1726" s="205">
        <f ca="1" t="shared" si="1620"/>
        <v>5</v>
      </c>
      <c r="O1726" s="205">
        <f ca="1" t="shared" si="1621"/>
        <v>5</v>
      </c>
      <c r="P1726" s="205">
        <f ca="1" t="shared" si="1622"/>
        <v>5</v>
      </c>
      <c r="Q1726" s="205">
        <f ca="1" t="shared" si="1623"/>
        <v>5</v>
      </c>
    </row>
    <row r="1727" ht="24" customHeight="1" spans="1:17">
      <c r="A1727" s="99" t="s">
        <v>349</v>
      </c>
      <c r="B1727" s="99" t="s">
        <v>299</v>
      </c>
      <c r="C1727" s="99" t="s">
        <v>316</v>
      </c>
      <c r="D1727" s="48" t="s">
        <v>298</v>
      </c>
      <c r="E1727" s="48" t="s">
        <v>149</v>
      </c>
      <c r="F1727" s="205">
        <f ca="1" t="shared" si="1612"/>
        <v>0</v>
      </c>
      <c r="G1727" s="205">
        <f ca="1" t="shared" si="1613"/>
        <v>0</v>
      </c>
      <c r="H1727" s="205">
        <f ca="1" t="shared" si="1614"/>
        <v>0</v>
      </c>
      <c r="I1727" s="205">
        <f ca="1" t="shared" si="1615"/>
        <v>0</v>
      </c>
      <c r="J1727" s="205">
        <f ca="1" t="shared" si="1616"/>
        <v>0</v>
      </c>
      <c r="K1727" s="205">
        <f ca="1" t="shared" si="1617"/>
        <v>0</v>
      </c>
      <c r="L1727" s="205">
        <f ca="1" t="shared" si="1618"/>
        <v>0</v>
      </c>
      <c r="M1727" s="205">
        <f ca="1" t="shared" si="1619"/>
        <v>0</v>
      </c>
      <c r="N1727" s="205">
        <f ca="1" t="shared" si="1620"/>
        <v>0</v>
      </c>
      <c r="O1727" s="205">
        <f ca="1" t="shared" si="1621"/>
        <v>0</v>
      </c>
      <c r="P1727" s="205">
        <f ca="1" t="shared" si="1622"/>
        <v>0</v>
      </c>
      <c r="Q1727" s="205">
        <f ca="1" t="shared" si="1623"/>
        <v>0</v>
      </c>
    </row>
    <row r="1728" ht="24" customHeight="1" spans="1:17">
      <c r="A1728" s="99" t="s">
        <v>349</v>
      </c>
      <c r="B1728" s="99" t="s">
        <v>299</v>
      </c>
      <c r="C1728" s="99" t="s">
        <v>316</v>
      </c>
      <c r="D1728" s="48" t="s">
        <v>298</v>
      </c>
      <c r="E1728" s="48" t="s">
        <v>83</v>
      </c>
      <c r="F1728" s="205">
        <f ca="1" t="shared" si="1612"/>
        <v>0</v>
      </c>
      <c r="G1728" s="205">
        <f ca="1" t="shared" si="1613"/>
        <v>0</v>
      </c>
      <c r="H1728" s="205">
        <f ca="1" t="shared" si="1614"/>
        <v>0</v>
      </c>
      <c r="I1728" s="205">
        <f ca="1" t="shared" si="1615"/>
        <v>0</v>
      </c>
      <c r="J1728" s="205">
        <f ca="1" t="shared" si="1616"/>
        <v>0</v>
      </c>
      <c r="K1728" s="205">
        <f ca="1" t="shared" si="1617"/>
        <v>0</v>
      </c>
      <c r="L1728" s="205">
        <f ca="1" t="shared" si="1618"/>
        <v>0</v>
      </c>
      <c r="M1728" s="205">
        <f ca="1" t="shared" si="1619"/>
        <v>0</v>
      </c>
      <c r="N1728" s="205">
        <f ca="1" t="shared" si="1620"/>
        <v>0</v>
      </c>
      <c r="O1728" s="205">
        <f ca="1" t="shared" si="1621"/>
        <v>0</v>
      </c>
      <c r="P1728" s="205">
        <f ca="1" t="shared" si="1622"/>
        <v>0</v>
      </c>
      <c r="Q1728" s="205">
        <f ca="1" t="shared" si="1623"/>
        <v>0</v>
      </c>
    </row>
    <row r="1729" ht="24" customHeight="1" spans="1:17">
      <c r="A1729" s="99" t="s">
        <v>349</v>
      </c>
      <c r="B1729" s="99" t="s">
        <v>299</v>
      </c>
      <c r="C1729" s="99" t="s">
        <v>316</v>
      </c>
      <c r="D1729" s="48" t="s">
        <v>325</v>
      </c>
      <c r="E1729" s="48" t="s">
        <v>97</v>
      </c>
      <c r="F1729" s="112" t="str">
        <f ca="1" t="shared" ref="F1729:Q1729" si="1624">IFERROR(F1725/F1724," ")</f>
        <v> </v>
      </c>
      <c r="G1729" s="112" t="str">
        <f ca="1" t="shared" si="1624"/>
        <v> </v>
      </c>
      <c r="H1729" s="112">
        <f ca="1" t="shared" si="1624"/>
        <v>0</v>
      </c>
      <c r="I1729" s="112">
        <f ca="1" t="shared" si="1624"/>
        <v>0</v>
      </c>
      <c r="J1729" s="112">
        <f ca="1" t="shared" si="1624"/>
        <v>0</v>
      </c>
      <c r="K1729" s="112">
        <f ca="1" t="shared" si="1624"/>
        <v>0</v>
      </c>
      <c r="L1729" s="112">
        <f ca="1" t="shared" si="1624"/>
        <v>0</v>
      </c>
      <c r="M1729" s="112">
        <f ca="1" t="shared" si="1624"/>
        <v>0</v>
      </c>
      <c r="N1729" s="112">
        <f ca="1" t="shared" si="1624"/>
        <v>0</v>
      </c>
      <c r="O1729" s="112">
        <f ca="1" t="shared" si="1624"/>
        <v>0</v>
      </c>
      <c r="P1729" s="112">
        <f ca="1" t="shared" si="1624"/>
        <v>0.166666666666667</v>
      </c>
      <c r="Q1729" s="112">
        <f ca="1" t="shared" si="1624"/>
        <v>0.166666666666667</v>
      </c>
    </row>
    <row r="1730" ht="24" customHeight="1" spans="1:17">
      <c r="A1730" s="99" t="s">
        <v>349</v>
      </c>
      <c r="B1730" s="99" t="s">
        <v>299</v>
      </c>
      <c r="C1730" s="99" t="s">
        <v>316</v>
      </c>
      <c r="D1730" s="48" t="s">
        <v>325</v>
      </c>
      <c r="E1730" s="48" t="s">
        <v>87</v>
      </c>
      <c r="F1730" s="112" t="str">
        <f ca="1" t="shared" ref="F1730:F1731" si="1625">IFERROR(F1726/F$1724," ")</f>
        <v> </v>
      </c>
      <c r="G1730" s="112" t="str">
        <f ca="1" t="shared" ref="G1730:Q1730" si="1626">IFERROR(G1726/G1724," ")</f>
        <v> </v>
      </c>
      <c r="H1730" s="112">
        <f ca="1" t="shared" si="1626"/>
        <v>1</v>
      </c>
      <c r="I1730" s="112">
        <f ca="1" t="shared" si="1626"/>
        <v>1</v>
      </c>
      <c r="J1730" s="112">
        <f ca="1" t="shared" si="1626"/>
        <v>1</v>
      </c>
      <c r="K1730" s="112">
        <f ca="1" t="shared" si="1626"/>
        <v>1</v>
      </c>
      <c r="L1730" s="112">
        <f ca="1" t="shared" si="1626"/>
        <v>1</v>
      </c>
      <c r="M1730" s="112">
        <f ca="1" t="shared" si="1626"/>
        <v>1</v>
      </c>
      <c r="N1730" s="112">
        <f ca="1" t="shared" si="1626"/>
        <v>1</v>
      </c>
      <c r="O1730" s="112">
        <f ca="1" t="shared" si="1626"/>
        <v>1</v>
      </c>
      <c r="P1730" s="112">
        <f ca="1" t="shared" si="1626"/>
        <v>0.833333333333333</v>
      </c>
      <c r="Q1730" s="112">
        <f ca="1" t="shared" si="1626"/>
        <v>0.833333333333333</v>
      </c>
    </row>
    <row r="1731" ht="24" customHeight="1" spans="1:17">
      <c r="A1731" s="99" t="s">
        <v>349</v>
      </c>
      <c r="B1731" s="99" t="s">
        <v>299</v>
      </c>
      <c r="C1731" s="99" t="s">
        <v>316</v>
      </c>
      <c r="D1731" s="48" t="s">
        <v>325</v>
      </c>
      <c r="E1731" s="48" t="s">
        <v>149</v>
      </c>
      <c r="F1731" s="112" t="str">
        <f ca="1" t="shared" si="1625"/>
        <v> </v>
      </c>
      <c r="G1731" s="112" t="str">
        <f ca="1" t="shared" ref="G1731:I1731" si="1627">IFERROR(G1727/G$1724," ")</f>
        <v> </v>
      </c>
      <c r="H1731" s="112">
        <f ca="1" t="shared" si="1627"/>
        <v>0</v>
      </c>
      <c r="I1731" s="112">
        <f ca="1" t="shared" si="1627"/>
        <v>0</v>
      </c>
      <c r="J1731" s="112" t="str">
        <f ca="1" t="shared" ref="J1731:Q1731" si="1628">IFERROR(J1727/J1723," ")</f>
        <v> </v>
      </c>
      <c r="K1731" s="112" t="str">
        <f ca="1" t="shared" si="1628"/>
        <v> </v>
      </c>
      <c r="L1731" s="112" t="str">
        <f ca="1" t="shared" si="1628"/>
        <v> </v>
      </c>
      <c r="M1731" s="112" t="str">
        <f ca="1" t="shared" si="1628"/>
        <v> </v>
      </c>
      <c r="N1731" s="112">
        <f ca="1" t="shared" si="1628"/>
        <v>0</v>
      </c>
      <c r="O1731" s="112">
        <f ca="1" t="shared" si="1628"/>
        <v>0</v>
      </c>
      <c r="P1731" s="112">
        <f ca="1" t="shared" si="1628"/>
        <v>0</v>
      </c>
      <c r="Q1731" s="112">
        <f ca="1" t="shared" si="1628"/>
        <v>0</v>
      </c>
    </row>
    <row r="1732" ht="24" customHeight="1" spans="1:17">
      <c r="A1732" s="99" t="s">
        <v>349</v>
      </c>
      <c r="B1732" s="99" t="s">
        <v>299</v>
      </c>
      <c r="C1732" s="99" t="s">
        <v>316</v>
      </c>
      <c r="D1732" s="48" t="s">
        <v>325</v>
      </c>
      <c r="E1732" s="48" t="s">
        <v>83</v>
      </c>
      <c r="F1732" s="112" t="str">
        <f ca="1" t="shared" ref="F1732:Q1732" si="1629">IFERROR(F1728/F1724," ")</f>
        <v> </v>
      </c>
      <c r="G1732" s="112" t="str">
        <f ca="1" t="shared" si="1629"/>
        <v> </v>
      </c>
      <c r="H1732" s="112">
        <f ca="1" t="shared" si="1629"/>
        <v>0</v>
      </c>
      <c r="I1732" s="112">
        <f ca="1" t="shared" si="1629"/>
        <v>0</v>
      </c>
      <c r="J1732" s="112">
        <f ca="1" t="shared" si="1629"/>
        <v>0</v>
      </c>
      <c r="K1732" s="112">
        <f ca="1" t="shared" si="1629"/>
        <v>0</v>
      </c>
      <c r="L1732" s="112">
        <f ca="1" t="shared" si="1629"/>
        <v>0</v>
      </c>
      <c r="M1732" s="112">
        <f ca="1" t="shared" si="1629"/>
        <v>0</v>
      </c>
      <c r="N1732" s="112">
        <f ca="1" t="shared" si="1629"/>
        <v>0</v>
      </c>
      <c r="O1732" s="112">
        <f ca="1" t="shared" si="1629"/>
        <v>0</v>
      </c>
      <c r="P1732" s="112">
        <f ca="1" t="shared" si="1629"/>
        <v>0</v>
      </c>
      <c r="Q1732" s="112">
        <f ca="1" t="shared" si="1629"/>
        <v>0</v>
      </c>
    </row>
    <row r="1733" ht="24" customHeight="1" spans="1:17">
      <c r="A1733" s="99" t="s">
        <v>349</v>
      </c>
      <c r="B1733" s="99" t="s">
        <v>299</v>
      </c>
      <c r="C1733" s="99" t="s">
        <v>316</v>
      </c>
      <c r="D1733" s="100" t="s">
        <v>292</v>
      </c>
      <c r="E1733" s="53" t="s">
        <v>326</v>
      </c>
      <c r="F1733" s="210">
        <f ca="1">IF($S$1&lt;DATE(2025,1,1)," ",IF((F1612-F1736-F1737-F1738-F1739-F1740)&lt;&gt;0,"ERR",F1612))</f>
        <v>0</v>
      </c>
      <c r="G1733" s="210">
        <f ca="1">IF($S$1&lt;DATE(2025,2,1)," ",IF((G1612+F1733-G1736-G1737-G1738-G1739-G1740)&lt;&gt;0,"ERR",G1612+F1733))</f>
        <v>0</v>
      </c>
      <c r="H1733" s="210">
        <f ca="1">IF($S$1&lt;DATE(2025,3,1)," ",IF((H1612+G1733-H1736-H1737-H1738-H1739-H1740)&lt;&gt;0,"ERR",H1612+G1733))</f>
        <v>0</v>
      </c>
      <c r="I1733" s="210">
        <f ca="1">IF($S$1&lt;DATE(2025,4,1)," ",IF((I1612+H1733-I1736-I1737-I1738-I1739-I1740)&lt;&gt;0,"ERR",I1612+H1733))</f>
        <v>0</v>
      </c>
      <c r="J1733" s="210">
        <f ca="1">IF($S$1&lt;DATE(2025,5,1)," ",IF((J1612+I1733-J1736-J1737-J1738-J1739-J1740)&lt;&gt;0,"ERR",J1612+I1733))</f>
        <v>0</v>
      </c>
      <c r="K1733" s="210">
        <f ca="1">IF($S$1&lt;DATE(2025,6,1)," ",IF((K1612+J1733-K1736-K1737-K1738-K1739-K1740)&lt;&gt;0,"ERR",K1612+J1733))</f>
        <v>0</v>
      </c>
      <c r="L1733" s="210">
        <f ca="1">IF($S$1&lt;DATE(2025,7,1)," ",IF((L1612+K1733-L1736-L1737-L1738-L1739-L1740)&lt;&gt;0,"ERR",L1612+K1733))</f>
        <v>0</v>
      </c>
      <c r="M1733" s="210">
        <f ca="1">IF($S$1&lt;DATE(2025,8,1)," ",IF((M1612+L1733-M1736-M1737-M1738-M1739-M1740)&lt;&gt;0,"ERR",M1612+L1733))</f>
        <v>0</v>
      </c>
      <c r="N1733" s="210">
        <f ca="1">IF($S$1&lt;DATE(2025,9,1)," ",IF((N1612+M1733-N1736-N1737-N1738-N1739-N1740)&lt;&gt;0,"ERR",N1612+M1733))</f>
        <v>0</v>
      </c>
      <c r="O1733" s="210">
        <f ca="1">IF($S$1&lt;DATE(2025,10,1)," ",IF((O1612+N1733-O1736-O1737-O1738-O1739-O1740)&lt;&gt;0,"ERR",O1612+N1733))</f>
        <v>0</v>
      </c>
      <c r="P1733" s="210">
        <f ca="1">IF($S$1&lt;DATE(2025,11,1)," ",IF((P1612+O1733-P1736-P1737-P1738-P1739-P1740)&lt;&gt;0,"ERR",P1612+O1733))</f>
        <v>0</v>
      </c>
      <c r="Q1733" s="210">
        <f ca="1">IF($S$1&lt;DATE(2025,12,1)," ",IF((Q1612+P1733-Q1736-Q1737-Q1738-Q1739-Q1740)&lt;&gt;0,"ERR",Q1612+P1733))</f>
        <v>0</v>
      </c>
    </row>
    <row r="1734" ht="24" customHeight="1" spans="1:17">
      <c r="A1734" s="99" t="s">
        <v>349</v>
      </c>
      <c r="B1734" s="99" t="s">
        <v>299</v>
      </c>
      <c r="C1734" s="99" t="s">
        <v>316</v>
      </c>
      <c r="D1734" s="100" t="s">
        <v>292</v>
      </c>
      <c r="E1734" s="53" t="s">
        <v>327</v>
      </c>
      <c r="F1734" s="210">
        <f ca="1">IF($S$1&lt;DATE(2025,1,1)," ",IF((F1613-F1741-F1742-F1743-F1744-F1745)&lt;&gt;0,"ERR",F1613))</f>
        <v>0</v>
      </c>
      <c r="G1734" s="210">
        <f ca="1">IF($S$1&lt;DATE(2025,2,1)," ",IF((G1613+F1734-G1741-G1742-G1743-G1744-G1745)&lt;&gt;0,"ERR",G1613+F1734))</f>
        <v>0</v>
      </c>
      <c r="H1734" s="210">
        <f ca="1">IF($S$1&lt;DATE(2025,3,1)," ",IF((H1613+G1734-H1741-H1742-H1743-H1744-H1745)&lt;&gt;0,"ERR",H1613+G1734))</f>
        <v>0</v>
      </c>
      <c r="I1734" s="210">
        <f ca="1">IF($S$1&lt;DATE(2025,4,1)," ",IF((I1613+H1734-I1741-I1742-I1743-I1744-I1745)&lt;&gt;0,"ERR",I1613+H1734))</f>
        <v>0</v>
      </c>
      <c r="J1734" s="210">
        <f ca="1">IF($S$1&lt;DATE(2025,5,1)," ",IF((J1613+I1734-J1741-J1742-J1743-J1744-J1745)&lt;&gt;0,"ERR",J1613+I1734))</f>
        <v>0</v>
      </c>
      <c r="K1734" s="210">
        <f ca="1">IF($S$1&lt;DATE(2025,6,1)," ",IF((K1613+J1734-K1741-K1742-K1743-K1744-K1745)&lt;&gt;0,"ERR",K1613+J1734))</f>
        <v>0</v>
      </c>
      <c r="L1734" s="210">
        <f ca="1">IF($S$1&lt;DATE(2025,7,1)," ",IF((L1613+K1734-L1741-L1742-L1743-L1744-L1745)&lt;&gt;0,"ERR",L1613+K1734))</f>
        <v>0</v>
      </c>
      <c r="M1734" s="210">
        <f ca="1">IF($S$1&lt;DATE(2025,8,1)," ",IF((M1613+L1734-M1741-M1742-M1743-M1744-M1745)&lt;&gt;0,"ERR",M1613+L1734))</f>
        <v>0</v>
      </c>
      <c r="N1734" s="210">
        <f ca="1">IF($S$1&lt;DATE(2025,9,1)," ",IF((N1613+M1734-N1741-N1742-N1743-N1744-N1745)&lt;&gt;0,"ERR",N1613+M1734))</f>
        <v>0</v>
      </c>
      <c r="O1734" s="210">
        <f ca="1">IF($S$1&lt;DATE(2025,10,1)," ",IF((O1613+N1734-O1741-O1742-O1743-O1744-O1745)&lt;&gt;0,"ERR",O1613+N1734))</f>
        <v>0</v>
      </c>
      <c r="P1734" s="210">
        <f ca="1">IF($S$1&lt;DATE(2025,11,1)," ",IF((P1613+O1734-P1741-P1742-P1743-P1744-P1745)&lt;&gt;0,"ERR",P1613+O1734))</f>
        <v>0</v>
      </c>
      <c r="Q1734" s="210">
        <f ca="1">IF($S$1&lt;DATE(2025,12,1)," ",IF((Q1613+P1734-Q1741-Q1742-Q1743-Q1744-Q1745)&lt;&gt;0,"ERR",Q1613+P1734))</f>
        <v>0</v>
      </c>
    </row>
    <row r="1735" ht="24" customHeight="1" spans="1:17">
      <c r="A1735" s="99" t="s">
        <v>349</v>
      </c>
      <c r="B1735" s="99" t="s">
        <v>299</v>
      </c>
      <c r="C1735" s="99" t="s">
        <v>316</v>
      </c>
      <c r="D1735" s="100" t="s">
        <v>292</v>
      </c>
      <c r="E1735" s="53" t="s">
        <v>328</v>
      </c>
      <c r="F1735" s="210">
        <f ca="1">IF($S$1&lt;DATE(2025,1,1)," ",IF((F1614-F1746-F1747-F1748-F1749-F1750)&lt;&gt;0,"ERR",F1614))</f>
        <v>0</v>
      </c>
      <c r="G1735" s="210">
        <f ca="1">IF($S$1&lt;DATE(2025,2,1)," ",IF((G1614+F1735-G1746-G1747-G1748-G1749-G1750)&lt;&gt;0,"ERR",G1614+F1735))</f>
        <v>0</v>
      </c>
      <c r="H1735" s="210">
        <f ca="1">IF($S$1&lt;DATE(2025,3,1)," ",IF((H1614+G1735-H1746-H1747-H1748-H1749-H1750)&lt;&gt;0,"ERR",H1614+G1735))</f>
        <v>1</v>
      </c>
      <c r="I1735" s="210">
        <f ca="1">IF($S$1&lt;DATE(2025,4,1)," ",IF((I1614+H1735-I1746-I1747-I1748-I1749-I1750)&lt;&gt;0,"ERR",I1614+H1735))</f>
        <v>1</v>
      </c>
      <c r="J1735" s="210">
        <f ca="1">IF($S$1&lt;DATE(2025,5,1)," ",IF((J1614+I1735-J1746-J1747-J1748-J1749-J1750)&lt;&gt;0,"ERR",J1614+I1735))</f>
        <v>1</v>
      </c>
      <c r="K1735" s="210">
        <f ca="1">IF($S$1&lt;DATE(2025,6,1)," ",IF((K1614+J1735-K1746-K1747-K1748-K1749-K1750)&lt;&gt;0,"ERR",K1614+J1735))</f>
        <v>1</v>
      </c>
      <c r="L1735" s="210">
        <f ca="1">IF($S$1&lt;DATE(2025,7,1)," ",IF((L1614+K1735-L1746-L1747-L1748-L1749-L1750)&lt;&gt;0,"ERR",L1614+K1735))</f>
        <v>2</v>
      </c>
      <c r="M1735" s="210">
        <f ca="1">IF($S$1&lt;DATE(2025,8,1)," ",IF((M1614+L1735-M1746-M1747-M1748-M1749-M1750)&lt;&gt;0,"ERR",M1614+L1735))</f>
        <v>4</v>
      </c>
      <c r="N1735" s="210">
        <f ca="1">IF($S$1&lt;DATE(2025,9,1)," ",IF((N1614+M1735-N1746-N1747-N1748-N1749-N1750)&lt;&gt;0,"ERR",N1614+M1735))</f>
        <v>6</v>
      </c>
      <c r="O1735" s="210">
        <f ca="1">IF($S$1&lt;DATE(2025,10,1)," ",IF((O1614+N1735-O1746-O1747-O1748-O1749-O1750)&lt;&gt;0,"ERR",O1614+N1735))</f>
        <v>8</v>
      </c>
      <c r="P1735" s="210">
        <f ca="1">IF($S$1&lt;DATE(2025,11,1)," ",IF((P1614+O1735-P1746-P1747-P1748-P1749-P1750)&lt;&gt;0,"ERR",P1614+O1735))</f>
        <v>9</v>
      </c>
      <c r="Q1735" s="210">
        <f ca="1">IF($S$1&lt;DATE(2025,12,1)," ",IF((Q1614+P1735-Q1746-Q1747-Q1748-Q1749-Q1750)&lt;&gt;0,"ERR",Q1614+P1735))</f>
        <v>9</v>
      </c>
    </row>
    <row r="1736" ht="24" customHeight="1" spans="1:17">
      <c r="A1736" s="99" t="s">
        <v>349</v>
      </c>
      <c r="B1736" s="99" t="s">
        <v>299</v>
      </c>
      <c r="C1736" s="99" t="s">
        <v>316</v>
      </c>
      <c r="D1736" s="53" t="s">
        <v>326</v>
      </c>
      <c r="E1736" s="53" t="s">
        <v>93</v>
      </c>
      <c r="F1736" s="210">
        <f ca="1" t="shared" ref="F1736:F1750" si="1630">IF($S$1&lt;DATE(2025,1,1)," ",F1615)</f>
        <v>0</v>
      </c>
      <c r="G1736" s="210">
        <f ca="1" t="shared" ref="G1736:G1750" si="1631">IF($S$1&lt;DATE(2025,2,1)," ",G1615+F1736)</f>
        <v>0</v>
      </c>
      <c r="H1736" s="210">
        <f ca="1" t="shared" ref="H1736:H1750" si="1632">IF($S$1&lt;DATE(2025,3,1)," ",H1615+G1736)</f>
        <v>0</v>
      </c>
      <c r="I1736" s="210">
        <f ca="1" t="shared" ref="I1736:I1750" si="1633">IF($S$1&lt;DATE(2025,4,1)," ",I1615+H1736)</f>
        <v>0</v>
      </c>
      <c r="J1736" s="210">
        <f ca="1" t="shared" ref="J1736:J1750" si="1634">IF($S$1&lt;DATE(2025,5,1)," ",J1615+I1736)</f>
        <v>0</v>
      </c>
      <c r="K1736" s="210">
        <f ca="1" t="shared" ref="K1736:K1750" si="1635">IF($S$1&lt;DATE(2025,6,1)," ",K1615+J1736)</f>
        <v>0</v>
      </c>
      <c r="L1736" s="210">
        <f ca="1" t="shared" ref="L1736:L1750" si="1636">IF($S$1&lt;DATE(2025,7,1)," ",L1615+K1736)</f>
        <v>0</v>
      </c>
      <c r="M1736" s="210">
        <f ca="1" t="shared" ref="M1736:M1750" si="1637">IF($S$1&lt;DATE(2025,8,1)," ",M1615+L1736)</f>
        <v>0</v>
      </c>
      <c r="N1736" s="210">
        <f ca="1" t="shared" ref="N1736:N1750" si="1638">IF($S$1&lt;DATE(2025,9,1)," ",N1615+M1736)</f>
        <v>0</v>
      </c>
      <c r="O1736" s="210">
        <f ca="1" t="shared" ref="O1736:O1750" si="1639">IF($S$1&lt;DATE(2025,10,1)," ",O1615+N1736)</f>
        <v>0</v>
      </c>
      <c r="P1736" s="210">
        <f ca="1" t="shared" ref="P1736:P1750" si="1640">IF($S$1&lt;DATE(2025,11,1)," ",P1615+O1736)</f>
        <v>0</v>
      </c>
      <c r="Q1736" s="210">
        <f ca="1" t="shared" ref="Q1736:Q1750" si="1641">IF($S$1&lt;DATE(2025,12,1)," ",Q1615+P1736)</f>
        <v>0</v>
      </c>
    </row>
    <row r="1737" ht="24" customHeight="1" spans="1:17">
      <c r="A1737" s="99" t="s">
        <v>349</v>
      </c>
      <c r="B1737" s="99" t="s">
        <v>299</v>
      </c>
      <c r="C1737" s="99" t="s">
        <v>316</v>
      </c>
      <c r="D1737" s="53" t="s">
        <v>326</v>
      </c>
      <c r="E1737" s="53" t="s">
        <v>85</v>
      </c>
      <c r="F1737" s="210">
        <f ca="1" t="shared" si="1630"/>
        <v>0</v>
      </c>
      <c r="G1737" s="210">
        <f ca="1" t="shared" si="1631"/>
        <v>0</v>
      </c>
      <c r="H1737" s="210">
        <f ca="1" t="shared" si="1632"/>
        <v>0</v>
      </c>
      <c r="I1737" s="210">
        <f ca="1" t="shared" si="1633"/>
        <v>0</v>
      </c>
      <c r="J1737" s="210">
        <f ca="1" t="shared" si="1634"/>
        <v>0</v>
      </c>
      <c r="K1737" s="210">
        <f ca="1" t="shared" si="1635"/>
        <v>0</v>
      </c>
      <c r="L1737" s="210">
        <f ca="1" t="shared" si="1636"/>
        <v>0</v>
      </c>
      <c r="M1737" s="210">
        <f ca="1" t="shared" si="1637"/>
        <v>0</v>
      </c>
      <c r="N1737" s="210">
        <f ca="1" t="shared" si="1638"/>
        <v>0</v>
      </c>
      <c r="O1737" s="210">
        <f ca="1" t="shared" si="1639"/>
        <v>0</v>
      </c>
      <c r="P1737" s="210">
        <f ca="1" t="shared" si="1640"/>
        <v>0</v>
      </c>
      <c r="Q1737" s="210">
        <f ca="1" t="shared" si="1641"/>
        <v>0</v>
      </c>
    </row>
    <row r="1738" ht="24" customHeight="1" spans="1:17">
      <c r="A1738" s="99" t="s">
        <v>349</v>
      </c>
      <c r="B1738" s="99" t="s">
        <v>299</v>
      </c>
      <c r="C1738" s="99" t="s">
        <v>316</v>
      </c>
      <c r="D1738" s="53" t="s">
        <v>326</v>
      </c>
      <c r="E1738" s="53" t="s">
        <v>81</v>
      </c>
      <c r="F1738" s="210">
        <f ca="1" t="shared" si="1630"/>
        <v>0</v>
      </c>
      <c r="G1738" s="210">
        <f ca="1" t="shared" si="1631"/>
        <v>0</v>
      </c>
      <c r="H1738" s="210">
        <f ca="1" t="shared" si="1632"/>
        <v>0</v>
      </c>
      <c r="I1738" s="210">
        <f ca="1" t="shared" si="1633"/>
        <v>0</v>
      </c>
      <c r="J1738" s="210">
        <f ca="1" t="shared" si="1634"/>
        <v>0</v>
      </c>
      <c r="K1738" s="210">
        <f ca="1" t="shared" si="1635"/>
        <v>0</v>
      </c>
      <c r="L1738" s="210">
        <f ca="1" t="shared" si="1636"/>
        <v>0</v>
      </c>
      <c r="M1738" s="210">
        <f ca="1" t="shared" si="1637"/>
        <v>0</v>
      </c>
      <c r="N1738" s="210">
        <f ca="1" t="shared" si="1638"/>
        <v>0</v>
      </c>
      <c r="O1738" s="210">
        <f ca="1" t="shared" si="1639"/>
        <v>0</v>
      </c>
      <c r="P1738" s="210">
        <f ca="1" t="shared" si="1640"/>
        <v>0</v>
      </c>
      <c r="Q1738" s="210">
        <f ca="1" t="shared" si="1641"/>
        <v>0</v>
      </c>
    </row>
    <row r="1739" ht="24" customHeight="1" spans="1:17">
      <c r="A1739" s="99" t="s">
        <v>349</v>
      </c>
      <c r="B1739" s="99" t="s">
        <v>299</v>
      </c>
      <c r="C1739" s="99" t="s">
        <v>316</v>
      </c>
      <c r="D1739" s="53" t="s">
        <v>326</v>
      </c>
      <c r="E1739" s="53" t="s">
        <v>96</v>
      </c>
      <c r="F1739" s="210">
        <f ca="1" t="shared" si="1630"/>
        <v>0</v>
      </c>
      <c r="G1739" s="210">
        <f ca="1" t="shared" si="1631"/>
        <v>0</v>
      </c>
      <c r="H1739" s="210">
        <f ca="1" t="shared" si="1632"/>
        <v>0</v>
      </c>
      <c r="I1739" s="210">
        <f ca="1" t="shared" si="1633"/>
        <v>0</v>
      </c>
      <c r="J1739" s="210">
        <f ca="1" t="shared" si="1634"/>
        <v>0</v>
      </c>
      <c r="K1739" s="210">
        <f ca="1" t="shared" si="1635"/>
        <v>0</v>
      </c>
      <c r="L1739" s="210">
        <f ca="1" t="shared" si="1636"/>
        <v>0</v>
      </c>
      <c r="M1739" s="210">
        <f ca="1" t="shared" si="1637"/>
        <v>0</v>
      </c>
      <c r="N1739" s="210">
        <f ca="1" t="shared" si="1638"/>
        <v>0</v>
      </c>
      <c r="O1739" s="210">
        <f ca="1" t="shared" si="1639"/>
        <v>0</v>
      </c>
      <c r="P1739" s="210">
        <f ca="1" t="shared" si="1640"/>
        <v>0</v>
      </c>
      <c r="Q1739" s="210">
        <f ca="1" t="shared" si="1641"/>
        <v>0</v>
      </c>
    </row>
    <row r="1740" ht="24" customHeight="1" spans="1:17">
      <c r="A1740" s="99" t="s">
        <v>349</v>
      </c>
      <c r="B1740" s="99" t="s">
        <v>299</v>
      </c>
      <c r="C1740" s="99" t="s">
        <v>316</v>
      </c>
      <c r="D1740" s="53" t="s">
        <v>326</v>
      </c>
      <c r="E1740" s="53" t="s">
        <v>160</v>
      </c>
      <c r="F1740" s="210">
        <f ca="1" t="shared" si="1630"/>
        <v>0</v>
      </c>
      <c r="G1740" s="210">
        <f ca="1" t="shared" si="1631"/>
        <v>0</v>
      </c>
      <c r="H1740" s="210">
        <f ca="1" t="shared" si="1632"/>
        <v>0</v>
      </c>
      <c r="I1740" s="210">
        <f ca="1" t="shared" si="1633"/>
        <v>0</v>
      </c>
      <c r="J1740" s="210">
        <f ca="1" t="shared" si="1634"/>
        <v>0</v>
      </c>
      <c r="K1740" s="210">
        <f ca="1" t="shared" si="1635"/>
        <v>0</v>
      </c>
      <c r="L1740" s="210">
        <f ca="1" t="shared" si="1636"/>
        <v>0</v>
      </c>
      <c r="M1740" s="210">
        <f ca="1" t="shared" si="1637"/>
        <v>0</v>
      </c>
      <c r="N1740" s="210">
        <f ca="1" t="shared" si="1638"/>
        <v>0</v>
      </c>
      <c r="O1740" s="210">
        <f ca="1" t="shared" si="1639"/>
        <v>0</v>
      </c>
      <c r="P1740" s="210">
        <f ca="1" t="shared" si="1640"/>
        <v>0</v>
      </c>
      <c r="Q1740" s="210">
        <f ca="1" t="shared" si="1641"/>
        <v>0</v>
      </c>
    </row>
    <row r="1741" ht="24" customHeight="1" spans="1:17">
      <c r="A1741" s="99" t="s">
        <v>349</v>
      </c>
      <c r="B1741" s="99" t="s">
        <v>299</v>
      </c>
      <c r="C1741" s="99" t="s">
        <v>316</v>
      </c>
      <c r="D1741" s="53" t="s">
        <v>327</v>
      </c>
      <c r="E1741" s="53" t="s">
        <v>93</v>
      </c>
      <c r="F1741" s="210">
        <f ca="1" t="shared" si="1630"/>
        <v>0</v>
      </c>
      <c r="G1741" s="210">
        <f ca="1" t="shared" si="1631"/>
        <v>0</v>
      </c>
      <c r="H1741" s="210">
        <f ca="1" t="shared" si="1632"/>
        <v>0</v>
      </c>
      <c r="I1741" s="210">
        <f ca="1" t="shared" si="1633"/>
        <v>0</v>
      </c>
      <c r="J1741" s="210">
        <f ca="1" t="shared" si="1634"/>
        <v>0</v>
      </c>
      <c r="K1741" s="210">
        <f ca="1" t="shared" si="1635"/>
        <v>0</v>
      </c>
      <c r="L1741" s="210">
        <f ca="1" t="shared" si="1636"/>
        <v>0</v>
      </c>
      <c r="M1741" s="210">
        <f ca="1" t="shared" si="1637"/>
        <v>0</v>
      </c>
      <c r="N1741" s="210">
        <f ca="1" t="shared" si="1638"/>
        <v>0</v>
      </c>
      <c r="O1741" s="210">
        <f ca="1" t="shared" si="1639"/>
        <v>0</v>
      </c>
      <c r="P1741" s="210">
        <f ca="1" t="shared" si="1640"/>
        <v>0</v>
      </c>
      <c r="Q1741" s="210">
        <f ca="1" t="shared" si="1641"/>
        <v>0</v>
      </c>
    </row>
    <row r="1742" ht="24" customHeight="1" spans="1:17">
      <c r="A1742" s="99" t="s">
        <v>349</v>
      </c>
      <c r="B1742" s="99" t="s">
        <v>299</v>
      </c>
      <c r="C1742" s="99" t="s">
        <v>316</v>
      </c>
      <c r="D1742" s="53" t="s">
        <v>327</v>
      </c>
      <c r="E1742" s="53" t="s">
        <v>85</v>
      </c>
      <c r="F1742" s="210">
        <f ca="1" t="shared" si="1630"/>
        <v>0</v>
      </c>
      <c r="G1742" s="210">
        <f ca="1" t="shared" si="1631"/>
        <v>0</v>
      </c>
      <c r="H1742" s="210">
        <f ca="1" t="shared" si="1632"/>
        <v>0</v>
      </c>
      <c r="I1742" s="210">
        <f ca="1" t="shared" si="1633"/>
        <v>0</v>
      </c>
      <c r="J1742" s="210">
        <f ca="1" t="shared" si="1634"/>
        <v>0</v>
      </c>
      <c r="K1742" s="210">
        <f ca="1" t="shared" si="1635"/>
        <v>0</v>
      </c>
      <c r="L1742" s="210">
        <f ca="1" t="shared" si="1636"/>
        <v>0</v>
      </c>
      <c r="M1742" s="210">
        <f ca="1" t="shared" si="1637"/>
        <v>0</v>
      </c>
      <c r="N1742" s="210">
        <f ca="1" t="shared" si="1638"/>
        <v>0</v>
      </c>
      <c r="O1742" s="210">
        <f ca="1" t="shared" si="1639"/>
        <v>0</v>
      </c>
      <c r="P1742" s="210">
        <f ca="1" t="shared" si="1640"/>
        <v>0</v>
      </c>
      <c r="Q1742" s="210">
        <f ca="1" t="shared" si="1641"/>
        <v>0</v>
      </c>
    </row>
    <row r="1743" ht="24" customHeight="1" spans="1:17">
      <c r="A1743" s="99" t="s">
        <v>349</v>
      </c>
      <c r="B1743" s="99" t="s">
        <v>299</v>
      </c>
      <c r="C1743" s="99" t="s">
        <v>316</v>
      </c>
      <c r="D1743" s="53" t="s">
        <v>327</v>
      </c>
      <c r="E1743" s="53" t="s">
        <v>81</v>
      </c>
      <c r="F1743" s="210">
        <f ca="1" t="shared" si="1630"/>
        <v>0</v>
      </c>
      <c r="G1743" s="210">
        <f ca="1" t="shared" si="1631"/>
        <v>0</v>
      </c>
      <c r="H1743" s="210">
        <f ca="1" t="shared" si="1632"/>
        <v>0</v>
      </c>
      <c r="I1743" s="210">
        <f ca="1" t="shared" si="1633"/>
        <v>0</v>
      </c>
      <c r="J1743" s="210">
        <f ca="1" t="shared" si="1634"/>
        <v>0</v>
      </c>
      <c r="K1743" s="210">
        <f ca="1" t="shared" si="1635"/>
        <v>0</v>
      </c>
      <c r="L1743" s="210">
        <f ca="1" t="shared" si="1636"/>
        <v>0</v>
      </c>
      <c r="M1743" s="210">
        <f ca="1" t="shared" si="1637"/>
        <v>0</v>
      </c>
      <c r="N1743" s="210">
        <f ca="1" t="shared" si="1638"/>
        <v>0</v>
      </c>
      <c r="O1743" s="210">
        <f ca="1" t="shared" si="1639"/>
        <v>0</v>
      </c>
      <c r="P1743" s="210">
        <f ca="1" t="shared" si="1640"/>
        <v>0</v>
      </c>
      <c r="Q1743" s="210">
        <f ca="1" t="shared" si="1641"/>
        <v>0</v>
      </c>
    </row>
    <row r="1744" ht="24" customHeight="1" spans="1:17">
      <c r="A1744" s="99" t="s">
        <v>349</v>
      </c>
      <c r="B1744" s="99" t="s">
        <v>299</v>
      </c>
      <c r="C1744" s="99" t="s">
        <v>316</v>
      </c>
      <c r="D1744" s="53" t="s">
        <v>327</v>
      </c>
      <c r="E1744" s="53" t="s">
        <v>96</v>
      </c>
      <c r="F1744" s="210">
        <f ca="1" t="shared" si="1630"/>
        <v>0</v>
      </c>
      <c r="G1744" s="210">
        <f ca="1" t="shared" si="1631"/>
        <v>0</v>
      </c>
      <c r="H1744" s="210">
        <f ca="1" t="shared" si="1632"/>
        <v>0</v>
      </c>
      <c r="I1744" s="210">
        <f ca="1" t="shared" si="1633"/>
        <v>0</v>
      </c>
      <c r="J1744" s="210">
        <f ca="1" t="shared" si="1634"/>
        <v>0</v>
      </c>
      <c r="K1744" s="210">
        <f ca="1" t="shared" si="1635"/>
        <v>0</v>
      </c>
      <c r="L1744" s="210">
        <f ca="1" t="shared" si="1636"/>
        <v>0</v>
      </c>
      <c r="M1744" s="210">
        <f ca="1" t="shared" si="1637"/>
        <v>0</v>
      </c>
      <c r="N1744" s="210">
        <f ca="1" t="shared" si="1638"/>
        <v>0</v>
      </c>
      <c r="O1744" s="210">
        <f ca="1" t="shared" si="1639"/>
        <v>0</v>
      </c>
      <c r="P1744" s="210">
        <f ca="1" t="shared" si="1640"/>
        <v>0</v>
      </c>
      <c r="Q1744" s="210">
        <f ca="1" t="shared" si="1641"/>
        <v>0</v>
      </c>
    </row>
    <row r="1745" ht="24" customHeight="1" spans="1:17">
      <c r="A1745" s="99" t="s">
        <v>349</v>
      </c>
      <c r="B1745" s="99" t="s">
        <v>299</v>
      </c>
      <c r="C1745" s="99" t="s">
        <v>316</v>
      </c>
      <c r="D1745" s="53" t="s">
        <v>327</v>
      </c>
      <c r="E1745" s="53" t="s">
        <v>160</v>
      </c>
      <c r="F1745" s="210">
        <f ca="1" t="shared" si="1630"/>
        <v>0</v>
      </c>
      <c r="G1745" s="210">
        <f ca="1" t="shared" si="1631"/>
        <v>0</v>
      </c>
      <c r="H1745" s="210">
        <f ca="1" t="shared" si="1632"/>
        <v>0</v>
      </c>
      <c r="I1745" s="210">
        <f ca="1" t="shared" si="1633"/>
        <v>0</v>
      </c>
      <c r="J1745" s="210">
        <f ca="1" t="shared" si="1634"/>
        <v>0</v>
      </c>
      <c r="K1745" s="210">
        <f ca="1" t="shared" si="1635"/>
        <v>0</v>
      </c>
      <c r="L1745" s="210">
        <f ca="1" t="shared" si="1636"/>
        <v>0</v>
      </c>
      <c r="M1745" s="210">
        <f ca="1" t="shared" si="1637"/>
        <v>0</v>
      </c>
      <c r="N1745" s="210">
        <f ca="1" t="shared" si="1638"/>
        <v>0</v>
      </c>
      <c r="O1745" s="210">
        <f ca="1" t="shared" si="1639"/>
        <v>0</v>
      </c>
      <c r="P1745" s="210">
        <f ca="1" t="shared" si="1640"/>
        <v>0</v>
      </c>
      <c r="Q1745" s="210">
        <f ca="1" t="shared" si="1641"/>
        <v>0</v>
      </c>
    </row>
    <row r="1746" ht="24" customHeight="1" spans="1:17">
      <c r="A1746" s="99" t="s">
        <v>349</v>
      </c>
      <c r="B1746" s="99" t="s">
        <v>299</v>
      </c>
      <c r="C1746" s="99" t="s">
        <v>316</v>
      </c>
      <c r="D1746" s="53" t="s">
        <v>328</v>
      </c>
      <c r="E1746" s="53" t="s">
        <v>93</v>
      </c>
      <c r="F1746" s="210">
        <f ca="1" t="shared" si="1630"/>
        <v>0</v>
      </c>
      <c r="G1746" s="210">
        <f ca="1" t="shared" si="1631"/>
        <v>0</v>
      </c>
      <c r="H1746" s="210">
        <f ca="1" t="shared" si="1632"/>
        <v>0</v>
      </c>
      <c r="I1746" s="210">
        <f ca="1" t="shared" si="1633"/>
        <v>0</v>
      </c>
      <c r="J1746" s="210">
        <f ca="1" t="shared" si="1634"/>
        <v>0</v>
      </c>
      <c r="K1746" s="210">
        <f ca="1" t="shared" si="1635"/>
        <v>0</v>
      </c>
      <c r="L1746" s="210">
        <f ca="1" t="shared" si="1636"/>
        <v>0</v>
      </c>
      <c r="M1746" s="210">
        <f ca="1" t="shared" si="1637"/>
        <v>1</v>
      </c>
      <c r="N1746" s="210">
        <f ca="1" t="shared" si="1638"/>
        <v>2</v>
      </c>
      <c r="O1746" s="210">
        <f ca="1" t="shared" si="1639"/>
        <v>4</v>
      </c>
      <c r="P1746" s="210">
        <f ca="1" t="shared" si="1640"/>
        <v>5</v>
      </c>
      <c r="Q1746" s="210">
        <f ca="1" t="shared" si="1641"/>
        <v>5</v>
      </c>
    </row>
    <row r="1747" ht="24" customHeight="1" spans="1:17">
      <c r="A1747" s="99" t="s">
        <v>349</v>
      </c>
      <c r="B1747" s="99" t="s">
        <v>299</v>
      </c>
      <c r="C1747" s="99" t="s">
        <v>316</v>
      </c>
      <c r="D1747" s="53" t="s">
        <v>328</v>
      </c>
      <c r="E1747" s="53" t="s">
        <v>85</v>
      </c>
      <c r="F1747" s="210">
        <f ca="1" t="shared" si="1630"/>
        <v>0</v>
      </c>
      <c r="G1747" s="210">
        <f ca="1" t="shared" si="1631"/>
        <v>0</v>
      </c>
      <c r="H1747" s="210">
        <f ca="1" t="shared" si="1632"/>
        <v>1</v>
      </c>
      <c r="I1747" s="210">
        <f ca="1" t="shared" si="1633"/>
        <v>1</v>
      </c>
      <c r="J1747" s="210">
        <f ca="1" t="shared" si="1634"/>
        <v>1</v>
      </c>
      <c r="K1747" s="210">
        <f ca="1" t="shared" si="1635"/>
        <v>1</v>
      </c>
      <c r="L1747" s="210">
        <f ca="1" t="shared" si="1636"/>
        <v>2</v>
      </c>
      <c r="M1747" s="210">
        <f ca="1" t="shared" si="1637"/>
        <v>2</v>
      </c>
      <c r="N1747" s="210">
        <f ca="1" t="shared" si="1638"/>
        <v>2</v>
      </c>
      <c r="O1747" s="210">
        <f ca="1" t="shared" si="1639"/>
        <v>2</v>
      </c>
      <c r="P1747" s="210">
        <f ca="1" t="shared" si="1640"/>
        <v>2</v>
      </c>
      <c r="Q1747" s="210">
        <f ca="1" t="shared" si="1641"/>
        <v>2</v>
      </c>
    </row>
    <row r="1748" ht="24" customHeight="1" spans="1:17">
      <c r="A1748" s="99" t="s">
        <v>349</v>
      </c>
      <c r="B1748" s="99" t="s">
        <v>299</v>
      </c>
      <c r="C1748" s="99" t="s">
        <v>316</v>
      </c>
      <c r="D1748" s="53" t="s">
        <v>328</v>
      </c>
      <c r="E1748" s="53" t="s">
        <v>81</v>
      </c>
      <c r="F1748" s="210">
        <f ca="1" t="shared" si="1630"/>
        <v>0</v>
      </c>
      <c r="G1748" s="210">
        <f ca="1" t="shared" si="1631"/>
        <v>0</v>
      </c>
      <c r="H1748" s="210">
        <f ca="1" t="shared" si="1632"/>
        <v>0</v>
      </c>
      <c r="I1748" s="210">
        <f ca="1" t="shared" si="1633"/>
        <v>0</v>
      </c>
      <c r="J1748" s="210">
        <f ca="1" t="shared" si="1634"/>
        <v>0</v>
      </c>
      <c r="K1748" s="210">
        <f ca="1" t="shared" si="1635"/>
        <v>0</v>
      </c>
      <c r="L1748" s="210">
        <f ca="1" t="shared" si="1636"/>
        <v>0</v>
      </c>
      <c r="M1748" s="210">
        <f ca="1" t="shared" si="1637"/>
        <v>1</v>
      </c>
      <c r="N1748" s="210">
        <f ca="1" t="shared" si="1638"/>
        <v>2</v>
      </c>
      <c r="O1748" s="210">
        <f ca="1" t="shared" si="1639"/>
        <v>2</v>
      </c>
      <c r="P1748" s="210">
        <f ca="1" t="shared" si="1640"/>
        <v>2</v>
      </c>
      <c r="Q1748" s="210">
        <f ca="1" t="shared" si="1641"/>
        <v>2</v>
      </c>
    </row>
    <row r="1749" ht="24" customHeight="1" spans="1:17">
      <c r="A1749" s="99" t="s">
        <v>349</v>
      </c>
      <c r="B1749" s="99" t="s">
        <v>299</v>
      </c>
      <c r="C1749" s="99" t="s">
        <v>316</v>
      </c>
      <c r="D1749" s="53" t="s">
        <v>328</v>
      </c>
      <c r="E1749" s="53" t="s">
        <v>96</v>
      </c>
      <c r="F1749" s="210">
        <f ca="1" t="shared" si="1630"/>
        <v>0</v>
      </c>
      <c r="G1749" s="210">
        <f ca="1" t="shared" si="1631"/>
        <v>0</v>
      </c>
      <c r="H1749" s="210">
        <f ca="1" t="shared" si="1632"/>
        <v>0</v>
      </c>
      <c r="I1749" s="210">
        <f ca="1" t="shared" si="1633"/>
        <v>0</v>
      </c>
      <c r="J1749" s="210">
        <f ca="1" t="shared" si="1634"/>
        <v>0</v>
      </c>
      <c r="K1749" s="210">
        <f ca="1" t="shared" si="1635"/>
        <v>0</v>
      </c>
      <c r="L1749" s="210">
        <f ca="1" t="shared" si="1636"/>
        <v>0</v>
      </c>
      <c r="M1749" s="210">
        <f ca="1" t="shared" si="1637"/>
        <v>0</v>
      </c>
      <c r="N1749" s="210">
        <f ca="1" t="shared" si="1638"/>
        <v>0</v>
      </c>
      <c r="O1749" s="210">
        <f ca="1" t="shared" si="1639"/>
        <v>0</v>
      </c>
      <c r="P1749" s="210">
        <f ca="1" t="shared" si="1640"/>
        <v>0</v>
      </c>
      <c r="Q1749" s="210">
        <f ca="1" t="shared" si="1641"/>
        <v>0</v>
      </c>
    </row>
    <row r="1750" ht="24" customHeight="1" spans="1:17">
      <c r="A1750" s="99" t="s">
        <v>349</v>
      </c>
      <c r="B1750" s="99" t="s">
        <v>299</v>
      </c>
      <c r="C1750" s="99" t="s">
        <v>316</v>
      </c>
      <c r="D1750" s="53" t="s">
        <v>328</v>
      </c>
      <c r="E1750" s="53" t="s">
        <v>160</v>
      </c>
      <c r="F1750" s="210">
        <f ca="1" t="shared" si="1630"/>
        <v>0</v>
      </c>
      <c r="G1750" s="210">
        <f ca="1" t="shared" si="1631"/>
        <v>0</v>
      </c>
      <c r="H1750" s="210">
        <f ca="1" t="shared" si="1632"/>
        <v>0</v>
      </c>
      <c r="I1750" s="210">
        <f ca="1" t="shared" si="1633"/>
        <v>0</v>
      </c>
      <c r="J1750" s="210">
        <f ca="1" t="shared" si="1634"/>
        <v>0</v>
      </c>
      <c r="K1750" s="210">
        <f ca="1" t="shared" si="1635"/>
        <v>0</v>
      </c>
      <c r="L1750" s="210">
        <f ca="1" t="shared" si="1636"/>
        <v>0</v>
      </c>
      <c r="M1750" s="210">
        <f ca="1" t="shared" si="1637"/>
        <v>0</v>
      </c>
      <c r="N1750" s="210">
        <f ca="1" t="shared" si="1638"/>
        <v>0</v>
      </c>
      <c r="O1750" s="210">
        <f ca="1" t="shared" si="1639"/>
        <v>0</v>
      </c>
      <c r="P1750" s="210">
        <f ca="1" t="shared" si="1640"/>
        <v>0</v>
      </c>
      <c r="Q1750" s="210">
        <f ca="1" t="shared" si="1641"/>
        <v>0</v>
      </c>
    </row>
    <row r="1751" ht="24" customHeight="1" spans="1:17">
      <c r="A1751" s="99" t="s">
        <v>349</v>
      </c>
      <c r="B1751" s="99" t="s">
        <v>299</v>
      </c>
      <c r="C1751" s="99" t="s">
        <v>329</v>
      </c>
      <c r="D1751" s="113" t="s">
        <v>292</v>
      </c>
      <c r="E1751" s="113" t="s">
        <v>330</v>
      </c>
      <c r="F1751" s="115" t="str">
        <f ca="1" t="shared" ref="F1751:Q1751" si="1642">IFERROR(IF(F1675=" "," ",F1697/F1675)," ")</f>
        <v> </v>
      </c>
      <c r="G1751" s="115">
        <f ca="1" t="shared" si="1642"/>
        <v>0</v>
      </c>
      <c r="H1751" s="115">
        <f ca="1" t="shared" si="1642"/>
        <v>1</v>
      </c>
      <c r="I1751" s="115">
        <f ca="1" t="shared" si="1642"/>
        <v>1</v>
      </c>
      <c r="J1751" s="115">
        <f ca="1" t="shared" si="1642"/>
        <v>1</v>
      </c>
      <c r="K1751" s="115">
        <f ca="1" t="shared" si="1642"/>
        <v>1</v>
      </c>
      <c r="L1751" s="115">
        <f ca="1" t="shared" si="1642"/>
        <v>0.666666666666667</v>
      </c>
      <c r="M1751" s="115">
        <f ca="1" t="shared" si="1642"/>
        <v>1</v>
      </c>
      <c r="N1751" s="115">
        <f ca="1" t="shared" si="1642"/>
        <v>1</v>
      </c>
      <c r="O1751" s="115">
        <f ca="1" t="shared" si="1642"/>
        <v>1</v>
      </c>
      <c r="P1751" s="115">
        <f ca="1" t="shared" si="1642"/>
        <v>1</v>
      </c>
      <c r="Q1751" s="115">
        <f ca="1" t="shared" si="1642"/>
        <v>1</v>
      </c>
    </row>
    <row r="1752" ht="24" customHeight="1" spans="1:17">
      <c r="A1752" s="99" t="s">
        <v>349</v>
      </c>
      <c r="B1752" s="99" t="s">
        <v>299</v>
      </c>
      <c r="C1752" s="99" t="s">
        <v>329</v>
      </c>
      <c r="D1752" s="48" t="s">
        <v>296</v>
      </c>
      <c r="E1752" s="116" t="s">
        <v>90</v>
      </c>
      <c r="F1752" s="117" t="str">
        <f ca="1" t="shared" ref="F1752:O1752" si="1643">IFERROR(IF(F1676=" "," ",F1698/F1676)," ")</f>
        <v> </v>
      </c>
      <c r="G1752" s="117" t="str">
        <f ca="1" t="shared" si="1643"/>
        <v> </v>
      </c>
      <c r="H1752" s="117" t="str">
        <f ca="1" t="shared" si="1643"/>
        <v> </v>
      </c>
      <c r="I1752" s="117" t="str">
        <f ca="1" t="shared" si="1643"/>
        <v> </v>
      </c>
      <c r="J1752" s="117" t="str">
        <f ca="1" t="shared" si="1643"/>
        <v> </v>
      </c>
      <c r="K1752" s="117" t="str">
        <f ca="1" t="shared" si="1643"/>
        <v> </v>
      </c>
      <c r="L1752" s="117" t="str">
        <f ca="1" t="shared" si="1643"/>
        <v> </v>
      </c>
      <c r="M1752" s="117" t="str">
        <f ca="1" t="shared" si="1643"/>
        <v> </v>
      </c>
      <c r="N1752" s="117" t="str">
        <f ca="1" t="shared" si="1643"/>
        <v> </v>
      </c>
      <c r="O1752" s="117">
        <f ca="1" t="shared" si="1643"/>
        <v>1</v>
      </c>
      <c r="P1752" s="117">
        <f ca="1" t="shared" ref="P1752:Q1752" si="1644">IF(P1676=" "," ",P1698/P1676)</f>
        <v>1</v>
      </c>
      <c r="Q1752" s="117">
        <f ca="1" t="shared" si="1644"/>
        <v>1</v>
      </c>
    </row>
    <row r="1753" ht="24" customHeight="1" spans="1:17">
      <c r="A1753" s="99" t="s">
        <v>349</v>
      </c>
      <c r="B1753" s="99" t="s">
        <v>299</v>
      </c>
      <c r="C1753" s="99" t="s">
        <v>329</v>
      </c>
      <c r="D1753" s="48" t="s">
        <v>296</v>
      </c>
      <c r="E1753" s="116" t="s">
        <v>82</v>
      </c>
      <c r="F1753" s="117" t="str">
        <f ca="1" t="shared" ref="F1753:Q1753" si="1645">IFERROR(IF(F1677=" "," ",F1699/F1677)," ")</f>
        <v> </v>
      </c>
      <c r="G1753" s="117" t="str">
        <f ca="1" t="shared" si="1645"/>
        <v> </v>
      </c>
      <c r="H1753" s="117" t="str">
        <f ca="1" t="shared" si="1645"/>
        <v> </v>
      </c>
      <c r="I1753" s="117" t="str">
        <f ca="1" t="shared" si="1645"/>
        <v> </v>
      </c>
      <c r="J1753" s="117" t="str">
        <f ca="1" t="shared" si="1645"/>
        <v> </v>
      </c>
      <c r="K1753" s="117" t="str">
        <f ca="1" t="shared" si="1645"/>
        <v> </v>
      </c>
      <c r="L1753" s="117" t="str">
        <f ca="1" t="shared" si="1645"/>
        <v> </v>
      </c>
      <c r="M1753" s="117" t="str">
        <f ca="1" t="shared" si="1645"/>
        <v> </v>
      </c>
      <c r="N1753" s="117" t="str">
        <f ca="1" t="shared" si="1645"/>
        <v> </v>
      </c>
      <c r="O1753" s="117" t="str">
        <f ca="1" t="shared" si="1645"/>
        <v> </v>
      </c>
      <c r="P1753" s="117" t="str">
        <f ca="1" t="shared" si="1645"/>
        <v> </v>
      </c>
      <c r="Q1753" s="117" t="str">
        <f ca="1" t="shared" si="1645"/>
        <v> </v>
      </c>
    </row>
    <row r="1754" ht="24" customHeight="1" spans="1:17">
      <c r="A1754" s="99" t="s">
        <v>349</v>
      </c>
      <c r="B1754" s="99" t="s">
        <v>299</v>
      </c>
      <c r="C1754" s="99" t="s">
        <v>329</v>
      </c>
      <c r="D1754" s="48" t="s">
        <v>296</v>
      </c>
      <c r="E1754" s="116" t="s">
        <v>86</v>
      </c>
      <c r="F1754" s="117" t="str">
        <f ca="1" t="shared" ref="F1754:O1754" si="1646">IFERROR(IF(F1678=" "," ",F1700/F1678)," ")</f>
        <v> </v>
      </c>
      <c r="G1754" s="117" t="str">
        <f ca="1" t="shared" si="1646"/>
        <v> </v>
      </c>
      <c r="H1754" s="117" t="str">
        <f ca="1" t="shared" si="1646"/>
        <v> </v>
      </c>
      <c r="I1754" s="117" t="str">
        <f ca="1" t="shared" si="1646"/>
        <v> </v>
      </c>
      <c r="J1754" s="117" t="str">
        <f ca="1" t="shared" si="1646"/>
        <v> </v>
      </c>
      <c r="K1754" s="117" t="str">
        <f ca="1" t="shared" si="1646"/>
        <v> </v>
      </c>
      <c r="L1754" s="117" t="str">
        <f ca="1" t="shared" si="1646"/>
        <v> </v>
      </c>
      <c r="M1754" s="117" t="str">
        <f ca="1" t="shared" si="1646"/>
        <v> </v>
      </c>
      <c r="N1754" s="117">
        <f ca="1" t="shared" si="1646"/>
        <v>1</v>
      </c>
      <c r="O1754" s="117">
        <f ca="1" t="shared" si="1646"/>
        <v>1</v>
      </c>
      <c r="P1754" s="117">
        <f ca="1" t="shared" ref="P1754:Q1754" si="1647">IF(P1678=" "," ",P1700/P1678)</f>
        <v>1</v>
      </c>
      <c r="Q1754" s="117">
        <f ca="1" t="shared" si="1647"/>
        <v>1</v>
      </c>
    </row>
    <row r="1755" ht="24" customHeight="1" spans="1:17">
      <c r="A1755" s="99" t="s">
        <v>349</v>
      </c>
      <c r="B1755" s="99" t="s">
        <v>299</v>
      </c>
      <c r="C1755" s="99" t="s">
        <v>329</v>
      </c>
      <c r="D1755" s="48" t="s">
        <v>298</v>
      </c>
      <c r="E1755" s="116" t="s">
        <v>97</v>
      </c>
      <c r="F1755" s="117" t="str">
        <f ca="1" t="shared" ref="F1755:P1755" si="1648">IFERROR(IF(F1679=" "," ",F1701/F1679)," ")</f>
        <v> </v>
      </c>
      <c r="G1755" s="117" t="str">
        <f ca="1" t="shared" si="1648"/>
        <v> </v>
      </c>
      <c r="H1755" s="117" t="str">
        <f ca="1" t="shared" si="1648"/>
        <v> </v>
      </c>
      <c r="I1755" s="117" t="str">
        <f ca="1" t="shared" si="1648"/>
        <v> </v>
      </c>
      <c r="J1755" s="117" t="str">
        <f ca="1" t="shared" si="1648"/>
        <v> </v>
      </c>
      <c r="K1755" s="117" t="str">
        <f ca="1" t="shared" si="1648"/>
        <v> </v>
      </c>
      <c r="L1755" s="117" t="str">
        <f ca="1" t="shared" si="1648"/>
        <v> </v>
      </c>
      <c r="M1755" s="117" t="str">
        <f ca="1" t="shared" si="1648"/>
        <v> </v>
      </c>
      <c r="N1755" s="117" t="str">
        <f ca="1" t="shared" si="1648"/>
        <v> </v>
      </c>
      <c r="O1755" s="117" t="str">
        <f ca="1" t="shared" si="1648"/>
        <v> </v>
      </c>
      <c r="P1755" s="117">
        <f ca="1" t="shared" si="1648"/>
        <v>1</v>
      </c>
      <c r="Q1755" s="117">
        <f ca="1">IF(Q1679=" "," ",Q1701/Q1679)</f>
        <v>1</v>
      </c>
    </row>
    <row r="1756" ht="24" customHeight="1" spans="1:17">
      <c r="A1756" s="99" t="s">
        <v>349</v>
      </c>
      <c r="B1756" s="99" t="s">
        <v>299</v>
      </c>
      <c r="C1756" s="99" t="s">
        <v>329</v>
      </c>
      <c r="D1756" s="48" t="s">
        <v>298</v>
      </c>
      <c r="E1756" s="116" t="s">
        <v>87</v>
      </c>
      <c r="F1756" s="117" t="str">
        <f ca="1" t="shared" ref="F1756:I1756" si="1649">IFERROR(IF(F1680=" "," ",F1702/F1680)," ")</f>
        <v> </v>
      </c>
      <c r="G1756" s="117">
        <f ca="1" t="shared" si="1649"/>
        <v>0</v>
      </c>
      <c r="H1756" s="117">
        <f ca="1" t="shared" si="1649"/>
        <v>1</v>
      </c>
      <c r="I1756" s="117">
        <f ca="1" t="shared" si="1649"/>
        <v>1</v>
      </c>
      <c r="J1756" s="117">
        <f ca="1" t="shared" ref="J1756:Q1756" si="1650">IF(J1680=" "," ",J1702/J1680)</f>
        <v>1</v>
      </c>
      <c r="K1756" s="117">
        <f ca="1" t="shared" si="1650"/>
        <v>1</v>
      </c>
      <c r="L1756" s="117">
        <f ca="1" t="shared" si="1650"/>
        <v>0.666666666666667</v>
      </c>
      <c r="M1756" s="117">
        <f ca="1" t="shared" si="1650"/>
        <v>1</v>
      </c>
      <c r="N1756" s="117">
        <f ca="1" t="shared" si="1650"/>
        <v>1</v>
      </c>
      <c r="O1756" s="117">
        <f ca="1" t="shared" si="1650"/>
        <v>1</v>
      </c>
      <c r="P1756" s="117">
        <f ca="1" t="shared" si="1650"/>
        <v>1</v>
      </c>
      <c r="Q1756" s="117">
        <f ca="1" t="shared" si="1650"/>
        <v>1</v>
      </c>
    </row>
    <row r="1757" ht="24" customHeight="1" spans="1:17">
      <c r="A1757" s="99" t="s">
        <v>349</v>
      </c>
      <c r="B1757" s="99" t="s">
        <v>299</v>
      </c>
      <c r="C1757" s="99" t="s">
        <v>329</v>
      </c>
      <c r="D1757" s="48" t="s">
        <v>298</v>
      </c>
      <c r="E1757" s="116" t="s">
        <v>149</v>
      </c>
      <c r="F1757" s="117" t="str">
        <f ca="1" t="shared" ref="F1757:Q1757" si="1651">IFERROR(IF(F1681=" "," ",F1703/F1681)," ")</f>
        <v> </v>
      </c>
      <c r="G1757" s="117" t="str">
        <f ca="1" t="shared" si="1651"/>
        <v> </v>
      </c>
      <c r="H1757" s="117" t="str">
        <f ca="1" t="shared" si="1651"/>
        <v> </v>
      </c>
      <c r="I1757" s="117" t="str">
        <f ca="1" t="shared" si="1651"/>
        <v> </v>
      </c>
      <c r="J1757" s="117" t="str">
        <f ca="1" t="shared" si="1651"/>
        <v> </v>
      </c>
      <c r="K1757" s="117" t="str">
        <f ca="1" t="shared" si="1651"/>
        <v> </v>
      </c>
      <c r="L1757" s="117" t="str">
        <f ca="1" t="shared" si="1651"/>
        <v> </v>
      </c>
      <c r="M1757" s="117" t="str">
        <f ca="1" t="shared" si="1651"/>
        <v> </v>
      </c>
      <c r="N1757" s="117" t="str">
        <f ca="1" t="shared" si="1651"/>
        <v> </v>
      </c>
      <c r="O1757" s="117" t="str">
        <f ca="1" t="shared" si="1651"/>
        <v> </v>
      </c>
      <c r="P1757" s="117" t="str">
        <f ca="1" t="shared" si="1651"/>
        <v> </v>
      </c>
      <c r="Q1757" s="117" t="str">
        <f ca="1" t="shared" si="1651"/>
        <v> </v>
      </c>
    </row>
    <row r="1758" ht="24" customHeight="1" spans="1:17">
      <c r="A1758" s="99" t="s">
        <v>349</v>
      </c>
      <c r="B1758" s="99" t="s">
        <v>299</v>
      </c>
      <c r="C1758" s="99" t="s">
        <v>329</v>
      </c>
      <c r="D1758" s="48" t="s">
        <v>298</v>
      </c>
      <c r="E1758" s="116" t="s">
        <v>83</v>
      </c>
      <c r="F1758" s="117" t="str">
        <f ca="1" t="shared" ref="F1758:Q1758" si="1652">IFERROR(IF(F1682=" "," ",F1704/F1682)," ")</f>
        <v> </v>
      </c>
      <c r="G1758" s="117" t="str">
        <f ca="1" t="shared" si="1652"/>
        <v> </v>
      </c>
      <c r="H1758" s="117" t="str">
        <f ca="1" t="shared" si="1652"/>
        <v> </v>
      </c>
      <c r="I1758" s="117" t="str">
        <f ca="1" t="shared" si="1652"/>
        <v> </v>
      </c>
      <c r="J1758" s="117" t="str">
        <f ca="1" t="shared" si="1652"/>
        <v> </v>
      </c>
      <c r="K1758" s="117" t="str">
        <f ca="1" t="shared" si="1652"/>
        <v> </v>
      </c>
      <c r="L1758" s="117" t="str">
        <f ca="1" t="shared" si="1652"/>
        <v> </v>
      </c>
      <c r="M1758" s="117" t="str">
        <f ca="1" t="shared" si="1652"/>
        <v> </v>
      </c>
      <c r="N1758" s="117" t="str">
        <f ca="1" t="shared" si="1652"/>
        <v> </v>
      </c>
      <c r="O1758" s="117" t="str">
        <f ca="1" t="shared" si="1652"/>
        <v> </v>
      </c>
      <c r="P1758" s="117" t="str">
        <f ca="1" t="shared" si="1652"/>
        <v> </v>
      </c>
      <c r="Q1758" s="117" t="str">
        <f ca="1" t="shared" si="1652"/>
        <v> </v>
      </c>
    </row>
    <row r="1759" ht="24" customHeight="1" spans="1:17">
      <c r="A1759" s="99" t="s">
        <v>349</v>
      </c>
      <c r="B1759" s="99" t="s">
        <v>299</v>
      </c>
      <c r="C1759" s="99" t="s">
        <v>329</v>
      </c>
      <c r="D1759" s="47" t="s">
        <v>294</v>
      </c>
      <c r="E1759" s="118" t="s">
        <v>93</v>
      </c>
      <c r="F1759" s="119" t="str">
        <f ca="1" t="shared" ref="F1759:M1759" si="1653">IFERROR(IF(F1683=" "," ",F1712/F1683)," ")</f>
        <v> </v>
      </c>
      <c r="G1759" s="119" t="str">
        <f ca="1" t="shared" si="1653"/>
        <v> </v>
      </c>
      <c r="H1759" s="119" t="str">
        <f ca="1" t="shared" si="1653"/>
        <v> </v>
      </c>
      <c r="I1759" s="119" t="str">
        <f ca="1" t="shared" si="1653"/>
        <v> </v>
      </c>
      <c r="J1759" s="119" t="str">
        <f ca="1" t="shared" si="1653"/>
        <v> </v>
      </c>
      <c r="K1759" s="119" t="str">
        <f ca="1" t="shared" si="1653"/>
        <v> </v>
      </c>
      <c r="L1759" s="119" t="str">
        <f ca="1" t="shared" si="1653"/>
        <v> </v>
      </c>
      <c r="M1759" s="119">
        <f ca="1" t="shared" si="1653"/>
        <v>0</v>
      </c>
      <c r="N1759" s="119">
        <f ca="1" t="shared" ref="N1759:Q1759" si="1654">IF(N1683=" "," ",N1712/N1683)</f>
        <v>0</v>
      </c>
      <c r="O1759" s="119">
        <f ca="1" t="shared" si="1654"/>
        <v>0</v>
      </c>
      <c r="P1759" s="119">
        <f ca="1" t="shared" si="1654"/>
        <v>0</v>
      </c>
      <c r="Q1759" s="119">
        <f ca="1" t="shared" si="1654"/>
        <v>0</v>
      </c>
    </row>
    <row r="1760" ht="24" customHeight="1" spans="1:17">
      <c r="A1760" s="99" t="s">
        <v>349</v>
      </c>
      <c r="B1760" s="99" t="s">
        <v>299</v>
      </c>
      <c r="C1760" s="99" t="s">
        <v>329</v>
      </c>
      <c r="D1760" s="47" t="s">
        <v>294</v>
      </c>
      <c r="E1760" s="118" t="s">
        <v>85</v>
      </c>
      <c r="F1760" s="119" t="str">
        <f ca="1" t="shared" ref="F1760:I1760" si="1655">IFERROR(IF(F1684=" "," ",F1713/F1684)," ")</f>
        <v> </v>
      </c>
      <c r="G1760" s="119">
        <f ca="1" t="shared" si="1655"/>
        <v>0</v>
      </c>
      <c r="H1760" s="119">
        <f ca="1" t="shared" si="1655"/>
        <v>0</v>
      </c>
      <c r="I1760" s="119">
        <f ca="1" t="shared" si="1655"/>
        <v>0</v>
      </c>
      <c r="J1760" s="119">
        <f ca="1" t="shared" ref="J1760:Q1760" si="1656">IF(J1684=" "," ",J1713/J1684)</f>
        <v>0</v>
      </c>
      <c r="K1760" s="119">
        <f ca="1" t="shared" si="1656"/>
        <v>0</v>
      </c>
      <c r="L1760" s="119">
        <f ca="1" t="shared" si="1656"/>
        <v>0</v>
      </c>
      <c r="M1760" s="119">
        <f ca="1" t="shared" si="1656"/>
        <v>0</v>
      </c>
      <c r="N1760" s="119">
        <f ca="1" t="shared" si="1656"/>
        <v>0</v>
      </c>
      <c r="O1760" s="119">
        <f ca="1" t="shared" si="1656"/>
        <v>0</v>
      </c>
      <c r="P1760" s="119">
        <f ca="1" t="shared" si="1656"/>
        <v>0</v>
      </c>
      <c r="Q1760" s="119">
        <f ca="1" t="shared" si="1656"/>
        <v>0</v>
      </c>
    </row>
    <row r="1761" ht="24" customHeight="1" spans="1:17">
      <c r="A1761" s="99" t="s">
        <v>349</v>
      </c>
      <c r="B1761" s="99" t="s">
        <v>299</v>
      </c>
      <c r="C1761" s="99" t="s">
        <v>329</v>
      </c>
      <c r="D1761" s="47" t="s">
        <v>294</v>
      </c>
      <c r="E1761" s="118" t="s">
        <v>81</v>
      </c>
      <c r="F1761" s="119" t="str">
        <f ca="1" t="shared" ref="F1761:L1761" si="1657">IFERROR(IF(F1685=" "," ",F1714/F1685)," ")</f>
        <v> </v>
      </c>
      <c r="G1761" s="119" t="str">
        <f ca="1" t="shared" si="1657"/>
        <v> </v>
      </c>
      <c r="H1761" s="119" t="str">
        <f ca="1" t="shared" si="1657"/>
        <v> </v>
      </c>
      <c r="I1761" s="119" t="str">
        <f ca="1" t="shared" si="1657"/>
        <v> </v>
      </c>
      <c r="J1761" s="119" t="str">
        <f ca="1" t="shared" si="1657"/>
        <v> </v>
      </c>
      <c r="K1761" s="119" t="str">
        <f ca="1" t="shared" si="1657"/>
        <v> </v>
      </c>
      <c r="L1761" s="119">
        <f ca="1" t="shared" si="1657"/>
        <v>0</v>
      </c>
      <c r="M1761" s="119">
        <f ca="1" t="shared" ref="M1761:Q1761" si="1658">IF(M1685=" "," ",M1714/M1685)</f>
        <v>0</v>
      </c>
      <c r="N1761" s="119">
        <f ca="1" t="shared" si="1658"/>
        <v>0</v>
      </c>
      <c r="O1761" s="119">
        <f ca="1" t="shared" si="1658"/>
        <v>0</v>
      </c>
      <c r="P1761" s="119">
        <f ca="1" t="shared" si="1658"/>
        <v>0</v>
      </c>
      <c r="Q1761" s="119">
        <f ca="1" t="shared" si="1658"/>
        <v>0</v>
      </c>
    </row>
    <row r="1762" ht="24" customHeight="1" spans="1:17">
      <c r="A1762" s="99" t="s">
        <v>349</v>
      </c>
      <c r="B1762" s="99" t="s">
        <v>299</v>
      </c>
      <c r="C1762" s="99" t="s">
        <v>329</v>
      </c>
      <c r="D1762" s="47" t="s">
        <v>294</v>
      </c>
      <c r="E1762" s="118" t="s">
        <v>96</v>
      </c>
      <c r="F1762" s="119" t="str">
        <f ca="1" t="shared" ref="F1762:Q1762" si="1659">IFERROR(IF(F1686=" "," ",F1715/F1686)," ")</f>
        <v> </v>
      </c>
      <c r="G1762" s="119" t="str">
        <f ca="1" t="shared" si="1659"/>
        <v> </v>
      </c>
      <c r="H1762" s="119" t="str">
        <f ca="1" t="shared" si="1659"/>
        <v> </v>
      </c>
      <c r="I1762" s="119" t="str">
        <f ca="1" t="shared" si="1659"/>
        <v> </v>
      </c>
      <c r="J1762" s="119" t="str">
        <f ca="1" t="shared" si="1659"/>
        <v> </v>
      </c>
      <c r="K1762" s="119" t="str">
        <f ca="1" t="shared" si="1659"/>
        <v> </v>
      </c>
      <c r="L1762" s="119" t="str">
        <f ca="1" t="shared" si="1659"/>
        <v> </v>
      </c>
      <c r="M1762" s="119" t="str">
        <f ca="1" t="shared" si="1659"/>
        <v> </v>
      </c>
      <c r="N1762" s="119" t="str">
        <f ca="1" t="shared" si="1659"/>
        <v> </v>
      </c>
      <c r="O1762" s="119" t="str">
        <f ca="1" t="shared" si="1659"/>
        <v> </v>
      </c>
      <c r="P1762" s="119" t="str">
        <f ca="1" t="shared" si="1659"/>
        <v> </v>
      </c>
      <c r="Q1762" s="119" t="str">
        <f ca="1" t="shared" si="1659"/>
        <v> </v>
      </c>
    </row>
    <row r="1763" ht="24" customHeight="1" spans="1:17">
      <c r="A1763" s="99" t="s">
        <v>349</v>
      </c>
      <c r="B1763" s="99" t="s">
        <v>299</v>
      </c>
      <c r="C1763" s="99" t="s">
        <v>329</v>
      </c>
      <c r="D1763" s="47" t="s">
        <v>294</v>
      </c>
      <c r="E1763" s="118" t="s">
        <v>160</v>
      </c>
      <c r="F1763" s="119" t="str">
        <f ca="1" t="shared" ref="F1763:Q1763" si="1660">IFERROR(IF(F1687=" "," ",F1716/F1687)," ")</f>
        <v> </v>
      </c>
      <c r="G1763" s="119" t="str">
        <f ca="1" t="shared" si="1660"/>
        <v> </v>
      </c>
      <c r="H1763" s="119" t="str">
        <f ca="1" t="shared" si="1660"/>
        <v> </v>
      </c>
      <c r="I1763" s="119" t="str">
        <f ca="1" t="shared" si="1660"/>
        <v> </v>
      </c>
      <c r="J1763" s="119" t="str">
        <f ca="1" t="shared" si="1660"/>
        <v> </v>
      </c>
      <c r="K1763" s="119" t="str">
        <f ca="1" t="shared" si="1660"/>
        <v> </v>
      </c>
      <c r="L1763" s="119" t="str">
        <f ca="1" t="shared" si="1660"/>
        <v> </v>
      </c>
      <c r="M1763" s="119" t="str">
        <f ca="1" t="shared" si="1660"/>
        <v> </v>
      </c>
      <c r="N1763" s="119" t="str">
        <f ca="1" t="shared" si="1660"/>
        <v> </v>
      </c>
      <c r="O1763" s="119" t="str">
        <f ca="1" t="shared" si="1660"/>
        <v> </v>
      </c>
      <c r="P1763" s="119" t="str">
        <f ca="1" t="shared" si="1660"/>
        <v> </v>
      </c>
      <c r="Q1763" s="119" t="str">
        <f ca="1" t="shared" si="1660"/>
        <v> </v>
      </c>
    </row>
    <row r="1764" ht="24" customHeight="1" spans="1:17">
      <c r="A1764" s="99" t="s">
        <v>349</v>
      </c>
      <c r="B1764" s="99" t="s">
        <v>299</v>
      </c>
      <c r="C1764" s="99" t="s">
        <v>329</v>
      </c>
      <c r="D1764" s="113" t="s">
        <v>292</v>
      </c>
      <c r="E1764" s="113" t="s">
        <v>331</v>
      </c>
      <c r="F1764" s="115" t="str">
        <f ca="1" t="shared" ref="F1764:Q1764" si="1661">IFERROR(IF(F1688=" "," ",F1717/F1688)," ")</f>
        <v> </v>
      </c>
      <c r="G1764" s="115" t="str">
        <f ca="1" t="shared" si="1661"/>
        <v> </v>
      </c>
      <c r="H1764" s="115" t="str">
        <f ca="1" t="shared" si="1661"/>
        <v> </v>
      </c>
      <c r="I1764" s="115" t="str">
        <f ca="1" t="shared" si="1661"/>
        <v> </v>
      </c>
      <c r="J1764" s="115" t="str">
        <f ca="1" t="shared" si="1661"/>
        <v> </v>
      </c>
      <c r="K1764" s="115" t="str">
        <f ca="1" t="shared" si="1661"/>
        <v> </v>
      </c>
      <c r="L1764" s="115" t="str">
        <f ca="1" t="shared" si="1661"/>
        <v> </v>
      </c>
      <c r="M1764" s="115" t="str">
        <f ca="1" t="shared" si="1661"/>
        <v> </v>
      </c>
      <c r="N1764" s="115">
        <f ca="1" t="shared" si="1661"/>
        <v>1</v>
      </c>
      <c r="O1764" s="115">
        <f ca="1" t="shared" si="1661"/>
        <v>1</v>
      </c>
      <c r="P1764" s="115">
        <f ca="1" t="shared" si="1661"/>
        <v>1</v>
      </c>
      <c r="Q1764" s="115">
        <f ca="1" t="shared" si="1661"/>
        <v>1</v>
      </c>
    </row>
    <row r="1765" ht="24" customHeight="1" spans="1:17">
      <c r="A1765" s="99" t="s">
        <v>349</v>
      </c>
      <c r="B1765" s="99" t="s">
        <v>299</v>
      </c>
      <c r="C1765" s="99" t="s">
        <v>329</v>
      </c>
      <c r="D1765" s="48" t="s">
        <v>296</v>
      </c>
      <c r="E1765" s="116" t="s">
        <v>90</v>
      </c>
      <c r="F1765" s="117" t="str">
        <f ca="1" t="shared" ref="F1765:O1765" si="1662">IFERROR(IF(F1689=" "," ",F1718/F1689)," ")</f>
        <v> </v>
      </c>
      <c r="G1765" s="117" t="str">
        <f ca="1" t="shared" si="1662"/>
        <v> </v>
      </c>
      <c r="H1765" s="117" t="str">
        <f ca="1" t="shared" si="1662"/>
        <v> </v>
      </c>
      <c r="I1765" s="117" t="str">
        <f ca="1" t="shared" si="1662"/>
        <v> </v>
      </c>
      <c r="J1765" s="117" t="str">
        <f ca="1" t="shared" si="1662"/>
        <v> </v>
      </c>
      <c r="K1765" s="117" t="str">
        <f ca="1" t="shared" si="1662"/>
        <v> </v>
      </c>
      <c r="L1765" s="117" t="str">
        <f ca="1" t="shared" si="1662"/>
        <v> </v>
      </c>
      <c r="M1765" s="117" t="str">
        <f ca="1" t="shared" si="1662"/>
        <v> </v>
      </c>
      <c r="N1765" s="117" t="str">
        <f ca="1" t="shared" si="1662"/>
        <v> </v>
      </c>
      <c r="O1765" s="117">
        <f ca="1" t="shared" si="1662"/>
        <v>1</v>
      </c>
      <c r="P1765" s="117">
        <f ca="1" t="shared" ref="P1765:Q1765" si="1663">IF(P1689=" "," ",P1718/P1689)</f>
        <v>1</v>
      </c>
      <c r="Q1765" s="117">
        <f ca="1" t="shared" si="1663"/>
        <v>1</v>
      </c>
    </row>
    <row r="1766" ht="24" customHeight="1" spans="1:17">
      <c r="A1766" s="99" t="s">
        <v>349</v>
      </c>
      <c r="B1766" s="99" t="s">
        <v>299</v>
      </c>
      <c r="C1766" s="99" t="s">
        <v>329</v>
      </c>
      <c r="D1766" s="48" t="s">
        <v>296</v>
      </c>
      <c r="E1766" s="116" t="s">
        <v>82</v>
      </c>
      <c r="F1766" s="117" t="str">
        <f ca="1" t="shared" ref="F1766:P1766" si="1664">IFERROR(IF(F1690=" "," ",F1719/F1690)," ")</f>
        <v> </v>
      </c>
      <c r="G1766" s="117" t="str">
        <f ca="1" t="shared" si="1664"/>
        <v> </v>
      </c>
      <c r="H1766" s="117" t="str">
        <f ca="1" t="shared" si="1664"/>
        <v> </v>
      </c>
      <c r="I1766" s="117" t="str">
        <f ca="1" t="shared" si="1664"/>
        <v> </v>
      </c>
      <c r="J1766" s="117" t="str">
        <f ca="1" t="shared" si="1664"/>
        <v> </v>
      </c>
      <c r="K1766" s="117" t="str">
        <f ca="1" t="shared" si="1664"/>
        <v> </v>
      </c>
      <c r="L1766" s="117" t="str">
        <f ca="1" t="shared" si="1664"/>
        <v> </v>
      </c>
      <c r="M1766" s="117" t="str">
        <f ca="1" t="shared" si="1664"/>
        <v> </v>
      </c>
      <c r="N1766" s="117" t="str">
        <f ca="1" t="shared" si="1664"/>
        <v> </v>
      </c>
      <c r="O1766" s="117" t="str">
        <f ca="1" t="shared" si="1664"/>
        <v> </v>
      </c>
      <c r="P1766" s="117">
        <f ca="1" t="shared" si="1664"/>
        <v>1</v>
      </c>
      <c r="Q1766" s="117">
        <f ca="1">IF(Q1690=" "," ",Q1719/Q1690)</f>
        <v>1</v>
      </c>
    </row>
    <row r="1767" ht="24" customHeight="1" spans="1:17">
      <c r="A1767" s="99" t="s">
        <v>349</v>
      </c>
      <c r="B1767" s="99" t="s">
        <v>299</v>
      </c>
      <c r="C1767" s="99" t="s">
        <v>329</v>
      </c>
      <c r="D1767" s="48" t="s">
        <v>296</v>
      </c>
      <c r="E1767" s="116" t="s">
        <v>86</v>
      </c>
      <c r="F1767" s="117" t="str">
        <f ca="1" t="shared" ref="F1767:O1767" si="1665">IFERROR(IF(F1691=" "," ",F1720/F1691)," ")</f>
        <v> </v>
      </c>
      <c r="G1767" s="117" t="str">
        <f ca="1" t="shared" si="1665"/>
        <v> </v>
      </c>
      <c r="H1767" s="117" t="str">
        <f ca="1" t="shared" si="1665"/>
        <v> </v>
      </c>
      <c r="I1767" s="117" t="str">
        <f ca="1" t="shared" si="1665"/>
        <v> </v>
      </c>
      <c r="J1767" s="117" t="str">
        <f ca="1" t="shared" si="1665"/>
        <v> </v>
      </c>
      <c r="K1767" s="117" t="str">
        <f ca="1" t="shared" si="1665"/>
        <v> </v>
      </c>
      <c r="L1767" s="117" t="str">
        <f ca="1" t="shared" si="1665"/>
        <v> </v>
      </c>
      <c r="M1767" s="117" t="str">
        <f ca="1" t="shared" si="1665"/>
        <v> </v>
      </c>
      <c r="N1767" s="117">
        <f ca="1" t="shared" si="1665"/>
        <v>1</v>
      </c>
      <c r="O1767" s="117">
        <f ca="1" t="shared" si="1665"/>
        <v>1</v>
      </c>
      <c r="P1767" s="117">
        <f ca="1" t="shared" ref="P1767:Q1767" si="1666">IF(P1691=" "," ",P1720/P1691)</f>
        <v>1</v>
      </c>
      <c r="Q1767" s="117">
        <f ca="1" t="shared" si="1666"/>
        <v>1</v>
      </c>
    </row>
    <row r="1768" ht="24" customHeight="1" spans="1:17">
      <c r="A1768" s="99" t="s">
        <v>349</v>
      </c>
      <c r="B1768" s="99" t="s">
        <v>299</v>
      </c>
      <c r="C1768" s="99" t="s">
        <v>329</v>
      </c>
      <c r="D1768" s="113" t="s">
        <v>292</v>
      </c>
      <c r="E1768" s="113" t="s">
        <v>332</v>
      </c>
      <c r="F1768" s="115" t="str">
        <f ca="1" t="shared" ref="F1768:Q1768" si="1667">IFERROR(IF(F1692=" "," ",F1724/F1692)," ")</f>
        <v> </v>
      </c>
      <c r="G1768" s="115">
        <f ca="1" t="shared" si="1667"/>
        <v>0</v>
      </c>
      <c r="H1768" s="115">
        <f ca="1" t="shared" si="1667"/>
        <v>1</v>
      </c>
      <c r="I1768" s="115">
        <f ca="1" t="shared" si="1667"/>
        <v>1</v>
      </c>
      <c r="J1768" s="115">
        <f ca="1" t="shared" si="1667"/>
        <v>1</v>
      </c>
      <c r="K1768" s="115">
        <f ca="1" t="shared" si="1667"/>
        <v>1</v>
      </c>
      <c r="L1768" s="115">
        <f ca="1" t="shared" si="1667"/>
        <v>0.666666666666667</v>
      </c>
      <c r="M1768" s="115">
        <f ca="1" t="shared" si="1667"/>
        <v>1</v>
      </c>
      <c r="N1768" s="115">
        <f ca="1" t="shared" si="1667"/>
        <v>1</v>
      </c>
      <c r="O1768" s="115">
        <f ca="1" t="shared" si="1667"/>
        <v>1</v>
      </c>
      <c r="P1768" s="115">
        <f ca="1" t="shared" si="1667"/>
        <v>1</v>
      </c>
      <c r="Q1768" s="115">
        <f ca="1" t="shared" si="1667"/>
        <v>1</v>
      </c>
    </row>
    <row r="1769" ht="24" customHeight="1" spans="1:17">
      <c r="A1769" s="99" t="s">
        <v>349</v>
      </c>
      <c r="B1769" s="99" t="s">
        <v>299</v>
      </c>
      <c r="C1769" s="99" t="s">
        <v>329</v>
      </c>
      <c r="D1769" s="48" t="s">
        <v>298</v>
      </c>
      <c r="E1769" s="116" t="s">
        <v>97</v>
      </c>
      <c r="F1769" s="117" t="str">
        <f ca="1" t="shared" ref="F1769:P1769" si="1668">IFERROR(IF(F1693=" "," ",F1725/F1693)," ")</f>
        <v> </v>
      </c>
      <c r="G1769" s="117" t="str">
        <f ca="1" t="shared" si="1668"/>
        <v> </v>
      </c>
      <c r="H1769" s="117" t="str">
        <f ca="1" t="shared" si="1668"/>
        <v> </v>
      </c>
      <c r="I1769" s="117" t="str">
        <f ca="1" t="shared" si="1668"/>
        <v> </v>
      </c>
      <c r="J1769" s="117" t="str">
        <f ca="1" t="shared" si="1668"/>
        <v> </v>
      </c>
      <c r="K1769" s="117" t="str">
        <f ca="1" t="shared" si="1668"/>
        <v> </v>
      </c>
      <c r="L1769" s="117" t="str">
        <f ca="1" t="shared" si="1668"/>
        <v> </v>
      </c>
      <c r="M1769" s="117" t="str">
        <f ca="1" t="shared" si="1668"/>
        <v> </v>
      </c>
      <c r="N1769" s="117" t="str">
        <f ca="1" t="shared" si="1668"/>
        <v> </v>
      </c>
      <c r="O1769" s="117" t="str">
        <f ca="1" t="shared" si="1668"/>
        <v> </v>
      </c>
      <c r="P1769" s="117">
        <f ca="1" t="shared" si="1668"/>
        <v>1</v>
      </c>
      <c r="Q1769" s="117">
        <f ca="1">IF(Q1693=" "," ",Q1725/Q1693)</f>
        <v>1</v>
      </c>
    </row>
    <row r="1770" ht="24" customHeight="1" spans="1:17">
      <c r="A1770" s="99" t="s">
        <v>349</v>
      </c>
      <c r="B1770" s="99" t="s">
        <v>299</v>
      </c>
      <c r="C1770" s="99" t="s">
        <v>329</v>
      </c>
      <c r="D1770" s="48" t="s">
        <v>298</v>
      </c>
      <c r="E1770" s="116" t="s">
        <v>87</v>
      </c>
      <c r="F1770" s="117" t="str">
        <f ca="1" t="shared" ref="F1770:I1770" si="1669">IFERROR(IF(F1694=" "," ",F1726/F1694)," ")</f>
        <v> </v>
      </c>
      <c r="G1770" s="117">
        <f ca="1" t="shared" si="1669"/>
        <v>0</v>
      </c>
      <c r="H1770" s="117">
        <f ca="1" t="shared" si="1669"/>
        <v>1</v>
      </c>
      <c r="I1770" s="117">
        <f ca="1" t="shared" si="1669"/>
        <v>1</v>
      </c>
      <c r="J1770" s="117">
        <f ca="1" t="shared" ref="J1770:Q1770" si="1670">IF(J1694=" "," ",J1726/J1694)</f>
        <v>1</v>
      </c>
      <c r="K1770" s="117">
        <f ca="1" t="shared" si="1670"/>
        <v>1</v>
      </c>
      <c r="L1770" s="117">
        <f ca="1" t="shared" si="1670"/>
        <v>0.666666666666667</v>
      </c>
      <c r="M1770" s="117">
        <f ca="1" t="shared" si="1670"/>
        <v>1</v>
      </c>
      <c r="N1770" s="117">
        <f ca="1" t="shared" si="1670"/>
        <v>1</v>
      </c>
      <c r="O1770" s="117">
        <f ca="1" t="shared" si="1670"/>
        <v>1</v>
      </c>
      <c r="P1770" s="117">
        <f ca="1" t="shared" si="1670"/>
        <v>1</v>
      </c>
      <c r="Q1770" s="117">
        <f ca="1" t="shared" si="1670"/>
        <v>1</v>
      </c>
    </row>
    <row r="1771" ht="24" customHeight="1" spans="1:17">
      <c r="A1771" s="99" t="s">
        <v>349</v>
      </c>
      <c r="B1771" s="99" t="s">
        <v>299</v>
      </c>
      <c r="C1771" s="99" t="s">
        <v>329</v>
      </c>
      <c r="D1771" s="48" t="s">
        <v>298</v>
      </c>
      <c r="E1771" s="116" t="s">
        <v>149</v>
      </c>
      <c r="F1771" s="117" t="str">
        <f ca="1" t="shared" ref="F1771:Q1771" si="1671">IFERROR(IF(F1695=" "," ",F1727/F1695)," ")</f>
        <v> </v>
      </c>
      <c r="G1771" s="117" t="str">
        <f ca="1" t="shared" si="1671"/>
        <v> </v>
      </c>
      <c r="H1771" s="117" t="str">
        <f ca="1" t="shared" si="1671"/>
        <v> </v>
      </c>
      <c r="I1771" s="117" t="str">
        <f ca="1" t="shared" si="1671"/>
        <v> </v>
      </c>
      <c r="J1771" s="117" t="str">
        <f ca="1" t="shared" si="1671"/>
        <v> </v>
      </c>
      <c r="K1771" s="117" t="str">
        <f ca="1" t="shared" si="1671"/>
        <v> </v>
      </c>
      <c r="L1771" s="117" t="str">
        <f ca="1" t="shared" si="1671"/>
        <v> </v>
      </c>
      <c r="M1771" s="117" t="str">
        <f ca="1" t="shared" si="1671"/>
        <v> </v>
      </c>
      <c r="N1771" s="117" t="str">
        <f ca="1" t="shared" si="1671"/>
        <v> </v>
      </c>
      <c r="O1771" s="117" t="str">
        <f ca="1" t="shared" si="1671"/>
        <v> </v>
      </c>
      <c r="P1771" s="117" t="str">
        <f ca="1" t="shared" si="1671"/>
        <v> </v>
      </c>
      <c r="Q1771" s="117" t="str">
        <f ca="1" t="shared" si="1671"/>
        <v> </v>
      </c>
    </row>
    <row r="1772" ht="24" customHeight="1" spans="1:17">
      <c r="A1772" s="99" t="s">
        <v>349</v>
      </c>
      <c r="B1772" s="99" t="s">
        <v>299</v>
      </c>
      <c r="C1772" s="99" t="s">
        <v>329</v>
      </c>
      <c r="D1772" s="48" t="s">
        <v>298</v>
      </c>
      <c r="E1772" s="116" t="s">
        <v>83</v>
      </c>
      <c r="F1772" s="117" t="str">
        <f ca="1" t="shared" ref="F1772:Q1772" si="1672">IFERROR(IF(F1696=" "," ",F1728/F1696)," ")</f>
        <v> </v>
      </c>
      <c r="G1772" s="117" t="str">
        <f ca="1" t="shared" si="1672"/>
        <v> </v>
      </c>
      <c r="H1772" s="117" t="str">
        <f ca="1" t="shared" si="1672"/>
        <v> </v>
      </c>
      <c r="I1772" s="117" t="str">
        <f ca="1" t="shared" si="1672"/>
        <v> </v>
      </c>
      <c r="J1772" s="117" t="str">
        <f ca="1" t="shared" si="1672"/>
        <v> </v>
      </c>
      <c r="K1772" s="117" t="str">
        <f ca="1" t="shared" si="1672"/>
        <v> </v>
      </c>
      <c r="L1772" s="117" t="str">
        <f ca="1" t="shared" si="1672"/>
        <v> </v>
      </c>
      <c r="M1772" s="117" t="str">
        <f ca="1" t="shared" si="1672"/>
        <v> </v>
      </c>
      <c r="N1772" s="117" t="str">
        <f ca="1" t="shared" si="1672"/>
        <v> </v>
      </c>
      <c r="O1772" s="117" t="str">
        <f ca="1" t="shared" si="1672"/>
        <v> </v>
      </c>
      <c r="P1772" s="117" t="str">
        <f ca="1" t="shared" si="1672"/>
        <v> </v>
      </c>
      <c r="Q1772" s="117" t="str">
        <f ca="1" t="shared" si="1672"/>
        <v> </v>
      </c>
    </row>
    <row r="1773" ht="24" customHeight="1" spans="1:17">
      <c r="A1773" s="99" t="s">
        <v>349</v>
      </c>
      <c r="B1773" s="99" t="s">
        <v>299</v>
      </c>
      <c r="C1773" s="99" t="s">
        <v>333</v>
      </c>
      <c r="D1773" s="114" t="s">
        <v>292</v>
      </c>
      <c r="E1773" s="114" t="s">
        <v>300</v>
      </c>
      <c r="F1773" s="215">
        <f ca="1">IF($S$1&lt;DATE(2025,1,1)," ",SUM(F1774:F1780))</f>
        <v>0</v>
      </c>
      <c r="G1773" s="215">
        <f ca="1">IF($S$1&lt;DATE(2025,2,1)," ",SUM(G1774:G1780))</f>
        <v>0</v>
      </c>
      <c r="H1773" s="215">
        <f ca="1">IF($S$1&lt;DATE(2025,3,1)," ",SUM(H1774:H1780))</f>
        <v>0.7056</v>
      </c>
      <c r="I1773" s="215">
        <f ca="1">IF($S$1&lt;DATE(2025,4,1)," ",SUM(I1774:I1780))</f>
        <v>0</v>
      </c>
      <c r="J1773" s="215">
        <f ca="1">IF($S$1&lt;DATE(2025,5,1)," ",SUM(J1774:J1780))</f>
        <v>0</v>
      </c>
      <c r="K1773" s="215">
        <f ca="1">IF($S$1&lt;DATE(2025,6,1)," ",SUM(K1774:K1780))</f>
        <v>0</v>
      </c>
      <c r="L1773" s="215">
        <f ca="1">IF($S$1&lt;DATE(2025,7,1)," ",SUM(L1774:L1780))</f>
        <v>1.1551</v>
      </c>
      <c r="M1773" s="215">
        <f ca="1">IF($S$1&lt;DATE(2025,8,1)," ",SUM(M1774:M1780))</f>
        <v>1.27542</v>
      </c>
      <c r="N1773" s="215">
        <f ca="1">IF($S$1&lt;DATE(2025,9,1)," ",SUM(N1774:N1780))</f>
        <v>1.369765</v>
      </c>
      <c r="O1773" s="215">
        <f ca="1">IF($S$1&lt;DATE(2025,10,1)," ",SUM(O1774:O1780))</f>
        <v>1.10426</v>
      </c>
      <c r="P1773" s="215">
        <f ca="1">IF($S$1&lt;DATE(2025,11,1)," ",SUM(P1774:P1780))</f>
        <v>3.944409</v>
      </c>
      <c r="Q1773" s="215">
        <f ca="1">IF($S$1&lt;DATE(2025,12,1)," ",SUM(Q1774:Q1780))</f>
        <v>0</v>
      </c>
    </row>
    <row r="1774" ht="24" customHeight="1" spans="1:17">
      <c r="A1774" s="99" t="s">
        <v>349</v>
      </c>
      <c r="B1774" s="99" t="s">
        <v>299</v>
      </c>
      <c r="C1774" s="99" t="s">
        <v>333</v>
      </c>
      <c r="D1774" s="48" t="s">
        <v>31</v>
      </c>
      <c r="E1774" s="48" t="s">
        <v>90</v>
      </c>
      <c r="F1774" s="51">
        <f ca="1">IF($S$1&lt;DATE(2025,1,1)," ",SUMIFS('2025数据'!$BR$3:$BR$181,'2025数据'!$X$3:$X$181,"&gt;="&amp;DATE(2025,1,1),'2025数据'!$X$3:$X$181,"&lt;="&amp;DATE(2025,1,31),'2025数据'!$AE$3:$AE$181,$E1774)/10000)</f>
        <v>0</v>
      </c>
      <c r="G1774" s="51">
        <f ca="1">IF($S$1&lt;DATE(2025,2,1)," ",SUMIFS('2025数据'!$BR$3:$BR$181,'2025数据'!$X$3:$X$181,"&gt;="&amp;DATE(2025,2,1),'2025数据'!$X$3:$X$181,"&lt;="&amp;DATE(2025,2,28),'2025数据'!$AE$3:$AE$181,$E1774)/10000)</f>
        <v>0</v>
      </c>
      <c r="H1774" s="51">
        <f ca="1">IF($S$1&lt;DATE(2025,3,1)," ",SUMIFS('2025数据'!$BR$3:$BR$181,'2025数据'!$X$3:$X$181,"&gt;="&amp;DATE(2025,3,1),'2025数据'!$X$3:$X$181,"&lt;="&amp;DATE(2025,3,31),'2025数据'!$AE$3:$AE$181,$E1774)/10000)</f>
        <v>0</v>
      </c>
      <c r="I1774" s="51">
        <f ca="1">IF($S$1&lt;DATE(2025,4,1)," ",SUMIFS('2025数据'!$BR$3:$BR$181,'2025数据'!$X$3:$X$181,"&gt;="&amp;DATE(2025,4,1),'2025数据'!$X$3:$X$181,"&lt;="&amp;DATE(2025,4,30),'2025数据'!$AE$3:$AE$181,$E1774)/10000)</f>
        <v>0</v>
      </c>
      <c r="J1774" s="51">
        <f ca="1">IF($S$1&lt;DATE(2025,5,1)," ",SUMIFS('2025数据'!$BR$3:$BR$181,'2025数据'!$X$3:$X$181,"&gt;="&amp;DATE(2025,5,1),'2025数据'!$X$3:$X$181,"&lt;="&amp;DATE(2025,5,31),'2025数据'!$AE$3:$AE$181,$E1774)/10000)</f>
        <v>0</v>
      </c>
      <c r="K1774" s="51">
        <f ca="1">IF($S$1&lt;DATE(2025,6,1)," ",SUMIFS('2025数据'!$BR$3:$BR$181,'2025数据'!$X$3:$X$181,"&gt;="&amp;DATE(2025,6,1),'2025数据'!$X$3:$X$181,"&lt;="&amp;DATE(2025,6,30),'2025数据'!$AE$3:$AE$181,$E1774)/10000)</f>
        <v>0</v>
      </c>
      <c r="L1774" s="51">
        <f ca="1">IF($S$1&lt;DATE(2025,7,1)," ",SUMIFS('2025数据'!$BR$3:$BR$181,'2025数据'!$X$3:$X$181,"&gt;="&amp;DATE(2025,7,1),'2025数据'!$X$3:$X$181,"&lt;="&amp;DATE(2025,7,31),'2025数据'!$AE$3:$AE$181,$E1774)/10000)</f>
        <v>0</v>
      </c>
      <c r="M1774" s="51">
        <f ca="1">IF($S$1&lt;DATE(2025,8,1)," ",SUMIFS('2025数据'!$BR$3:$BR$181,'2025数据'!$X$3:$X$181,"&gt;="&amp;DATE(2025,8,1),'2025数据'!$X$3:$X$181,"&lt;="&amp;DATE(2025,8,31),'2025数据'!$AE$3:$AE$181,$E1774)/10000)</f>
        <v>0</v>
      </c>
      <c r="N1774" s="51">
        <f ca="1">IF($S$1&lt;DATE(2025,9,1)," ",SUMIFS('2025数据'!$BR$3:$BR$181,'2025数据'!$X$3:$X$181,"&gt;="&amp;DATE(2025,9,1),'2025数据'!$X$3:$X$181,"&lt;="&amp;DATE(2025,9,30),'2025数据'!$AE$3:$AE$181,$E1774)/10000)</f>
        <v>0</v>
      </c>
      <c r="O1774" s="51">
        <f ca="1">IF($S$1&lt;DATE(2025,10,1)," ",SUMIFS('2025数据'!$BR$3:$BR$181,'2025数据'!$X$3:$X$181,"&gt;="&amp;DATE(2025,10,1),'2025数据'!$X$3:$X$181,"&lt;="&amp;DATE(2025,10,31),'2025数据'!$AE$3:$AE$181,$E1774)/10000)</f>
        <v>1.10426</v>
      </c>
      <c r="P1774" s="217">
        <f ca="1">IF($S$1&lt;DATE(2025,11,1)," ",SUMIFS('2025数据'!$BR$3:$BR$181,'2025数据'!$X$3:$X$181,"&gt;="&amp;DATE(2025,11,1),'2025数据'!$X$3:$X$181,"&lt;="&amp;DATE(2025,11,30),'2025数据'!$AE$3:$AE$181,$E1774)/10000)</f>
        <v>0</v>
      </c>
      <c r="Q1774" s="217">
        <f ca="1">IF($S$1&lt;DATE(2025,12,1)," ",SUMIFS('2025数据'!$BR$3:$BR$181,'2025数据'!$X$3:$X$181,"&gt;="&amp;DATE(2025,12,1),'2025数据'!$X$3:$X$181,"&lt;="&amp;DATE(2025,12,31),'2025数据'!$AE$3:$AE$181,$E1774)/10000)</f>
        <v>0</v>
      </c>
    </row>
    <row r="1775" ht="24" customHeight="1" spans="1:17">
      <c r="A1775" s="99" t="s">
        <v>349</v>
      </c>
      <c r="B1775" s="99" t="s">
        <v>299</v>
      </c>
      <c r="C1775" s="99" t="s">
        <v>333</v>
      </c>
      <c r="D1775" s="48" t="s">
        <v>31</v>
      </c>
      <c r="E1775" s="48" t="s">
        <v>82</v>
      </c>
      <c r="F1775" s="51">
        <f ca="1">IF($S$1&lt;DATE(2025,1,1)," ",SUMIFS('2025数据'!$BR$3:$BR$181,'2025数据'!$X$3:$X$181,"&gt;="&amp;DATE(2025,1,1),'2025数据'!$X$3:$X$181,"&lt;="&amp;DATE(2025,1,31),'2025数据'!$AE$3:$AE$181,$E1775)/10000)</f>
        <v>0</v>
      </c>
      <c r="G1775" s="51">
        <f ca="1">IF($S$1&lt;DATE(2025,2,1)," ",SUMIFS('2025数据'!$BR$3:$BR$181,'2025数据'!$X$3:$X$181,"&gt;="&amp;DATE(2025,2,1),'2025数据'!$X$3:$X$181,"&lt;="&amp;DATE(2025,2,28),'2025数据'!$AE$3:$AE$181,$E1775)/10000)</f>
        <v>0</v>
      </c>
      <c r="H1775" s="51">
        <f ca="1">IF($S$1&lt;DATE(2025,3,1)," ",SUMIFS('2025数据'!$BR$3:$BR$181,'2025数据'!$X$3:$X$181,"&gt;="&amp;DATE(2025,3,1),'2025数据'!$X$3:$X$181,"&lt;="&amp;DATE(2025,3,31),'2025数据'!$AE$3:$AE$181,$E1775)/10000)</f>
        <v>0</v>
      </c>
      <c r="I1775" s="51">
        <f ca="1">IF($S$1&lt;DATE(2025,4,1)," ",SUMIFS('2025数据'!$BR$3:$BR$181,'2025数据'!$X$3:$X$181,"&gt;="&amp;DATE(2025,4,1),'2025数据'!$X$3:$X$181,"&lt;="&amp;DATE(2025,4,30),'2025数据'!$AE$3:$AE$181,$E1775)/10000)</f>
        <v>0</v>
      </c>
      <c r="J1775" s="51">
        <f ca="1">IF($S$1&lt;DATE(2025,5,1)," ",SUMIFS('2025数据'!$BR$3:$BR$181,'2025数据'!$X$3:$X$181,"&gt;="&amp;DATE(2025,5,1),'2025数据'!$X$3:$X$181,"&lt;="&amp;DATE(2025,5,31),'2025数据'!$AE$3:$AE$181,$E1775)/10000)</f>
        <v>0</v>
      </c>
      <c r="K1775" s="51">
        <f ca="1">IF($S$1&lt;DATE(2025,6,1)," ",SUMIFS('2025数据'!$BR$3:$BR$181,'2025数据'!$X$3:$X$181,"&gt;="&amp;DATE(2025,6,1),'2025数据'!$X$3:$X$181,"&lt;="&amp;DATE(2025,6,30),'2025数据'!$AE$3:$AE$181,$E1775)/10000)</f>
        <v>0</v>
      </c>
      <c r="L1775" s="51">
        <f ca="1">IF($S$1&lt;DATE(2025,7,1)," ",SUMIFS('2025数据'!$BR$3:$BR$181,'2025数据'!$X$3:$X$181,"&gt;="&amp;DATE(2025,7,1),'2025数据'!$X$3:$X$181,"&lt;="&amp;DATE(2025,7,31),'2025数据'!$AE$3:$AE$181,$E1775)/10000)</f>
        <v>0</v>
      </c>
      <c r="M1775" s="51">
        <f ca="1">IF($S$1&lt;DATE(2025,8,1)," ",SUMIFS('2025数据'!$BR$3:$BR$181,'2025数据'!$X$3:$X$181,"&gt;="&amp;DATE(2025,8,1),'2025数据'!$X$3:$X$181,"&lt;="&amp;DATE(2025,8,31),'2025数据'!$AE$3:$AE$181,$E1775)/10000)</f>
        <v>0</v>
      </c>
      <c r="N1775" s="51">
        <f ca="1">IF($S$1&lt;DATE(2025,9,1)," ",SUMIFS('2025数据'!$BR$3:$BR$181,'2025数据'!$X$3:$X$181,"&gt;="&amp;DATE(2025,9,1),'2025数据'!$X$3:$X$181,"&lt;="&amp;DATE(2025,9,30),'2025数据'!$AE$3:$AE$181,$E1775)/10000)</f>
        <v>0</v>
      </c>
      <c r="O1775" s="51">
        <f ca="1">IF($S$1&lt;DATE(2025,10,1)," ",SUMIFS('2025数据'!$BR$3:$BR$181,'2025数据'!$X$3:$X$181,"&gt;="&amp;DATE(2025,10,1),'2025数据'!$X$3:$X$181,"&lt;="&amp;DATE(2025,10,31),'2025数据'!$AE$3:$AE$181,$E1775)/10000)</f>
        <v>0</v>
      </c>
      <c r="P1775" s="217">
        <f ca="1">IF($S$1&lt;DATE(2025,11,1)," ",SUMIFS('2025数据'!$BR$3:$BR$181,'2025数据'!$X$3:$X$181,"&gt;="&amp;DATE(2025,11,1),'2025数据'!$X$3:$X$181,"&lt;="&amp;DATE(2025,11,30),'2025数据'!$AE$3:$AE$181,$E1775)/10000)</f>
        <v>0</v>
      </c>
      <c r="Q1775" s="217">
        <f ca="1">IF($S$1&lt;DATE(2025,12,1)," ",SUMIFS('2025数据'!$BR$3:$BR$181,'2025数据'!$X$3:$X$181,"&gt;="&amp;DATE(2025,12,1),'2025数据'!$X$3:$X$181,"&lt;="&amp;DATE(2025,12,31),'2025数据'!$AE$3:$AE$181,$E1775)/10000)</f>
        <v>0</v>
      </c>
    </row>
    <row r="1776" ht="24" customHeight="1" spans="1:17">
      <c r="A1776" s="99" t="s">
        <v>349</v>
      </c>
      <c r="B1776" s="99" t="s">
        <v>299</v>
      </c>
      <c r="C1776" s="99" t="s">
        <v>333</v>
      </c>
      <c r="D1776" s="48" t="s">
        <v>31</v>
      </c>
      <c r="E1776" s="48" t="s">
        <v>86</v>
      </c>
      <c r="F1776" s="51">
        <f ca="1">IF($S$1&lt;DATE(2025,1,1)," ",SUMIFS('2025数据'!$BR$3:$BR$181,'2025数据'!$X$3:$X$181,"&gt;="&amp;DATE(2025,1,1),'2025数据'!$X$3:$X$181,"&lt;="&amp;DATE(2025,1,31),'2025数据'!$AE$3:$AE$181,$E1776)/10000)</f>
        <v>0</v>
      </c>
      <c r="G1776" s="51">
        <f ca="1">IF($S$1&lt;DATE(2025,2,1)," ",SUMIFS('2025数据'!$BR$3:$BR$181,'2025数据'!$X$3:$X$181,"&gt;="&amp;DATE(2025,2,1),'2025数据'!$X$3:$X$181,"&lt;="&amp;DATE(2025,2,28),'2025数据'!$AE$3:$AE$181,$E1776)/10000)</f>
        <v>0</v>
      </c>
      <c r="H1776" s="51">
        <f ca="1">IF($S$1&lt;DATE(2025,3,1)," ",SUMIFS('2025数据'!$BR$3:$BR$181,'2025数据'!$X$3:$X$181,"&gt;="&amp;DATE(2025,3,1),'2025数据'!$X$3:$X$181,"&lt;="&amp;DATE(2025,3,31),'2025数据'!$AE$3:$AE$181,$E1776)/10000)</f>
        <v>0</v>
      </c>
      <c r="I1776" s="51">
        <f ca="1">IF($S$1&lt;DATE(2025,4,1)," ",SUMIFS('2025数据'!$BR$3:$BR$181,'2025数据'!$X$3:$X$181,"&gt;="&amp;DATE(2025,4,1),'2025数据'!$X$3:$X$181,"&lt;="&amp;DATE(2025,4,30),'2025数据'!$AE$3:$AE$181,$E1776)/10000)</f>
        <v>0</v>
      </c>
      <c r="J1776" s="51">
        <f ca="1">IF($S$1&lt;DATE(2025,5,1)," ",SUMIFS('2025数据'!$BR$3:$BR$181,'2025数据'!$X$3:$X$181,"&gt;="&amp;DATE(2025,5,1),'2025数据'!$X$3:$X$181,"&lt;="&amp;DATE(2025,5,31),'2025数据'!$AE$3:$AE$181,$E1776)/10000)</f>
        <v>0</v>
      </c>
      <c r="K1776" s="51">
        <f ca="1">IF($S$1&lt;DATE(2025,6,1)," ",SUMIFS('2025数据'!$BR$3:$BR$181,'2025数据'!$X$3:$X$181,"&gt;="&amp;DATE(2025,6,1),'2025数据'!$X$3:$X$181,"&lt;="&amp;DATE(2025,6,30),'2025数据'!$AE$3:$AE$181,$E1776)/10000)</f>
        <v>0</v>
      </c>
      <c r="L1776" s="51">
        <f ca="1">IF($S$1&lt;DATE(2025,7,1)," ",SUMIFS('2025数据'!$BR$3:$BR$181,'2025数据'!$X$3:$X$181,"&gt;="&amp;DATE(2025,7,1),'2025数据'!$X$3:$X$181,"&lt;="&amp;DATE(2025,7,31),'2025数据'!$AE$3:$AE$181,$E1776)/10000)</f>
        <v>0</v>
      </c>
      <c r="M1776" s="51">
        <f ca="1">IF($S$1&lt;DATE(2025,8,1)," ",SUMIFS('2025数据'!$BR$3:$BR$181,'2025数据'!$X$3:$X$181,"&gt;="&amp;DATE(2025,8,1),'2025数据'!$X$3:$X$181,"&lt;="&amp;DATE(2025,8,31),'2025数据'!$AE$3:$AE$181,$E1776)/10000)</f>
        <v>0</v>
      </c>
      <c r="N1776" s="51">
        <f ca="1">IF($S$1&lt;DATE(2025,9,1)," ",SUMIFS('2025数据'!$BR$3:$BR$181,'2025数据'!$X$3:$X$181,"&gt;="&amp;DATE(2025,9,1),'2025数据'!$X$3:$X$181,"&lt;="&amp;DATE(2025,9,30),'2025数据'!$AE$3:$AE$181,$E1776)/10000)</f>
        <v>0.469865</v>
      </c>
      <c r="O1776" s="51">
        <f ca="1">IF($S$1&lt;DATE(2025,10,1)," ",SUMIFS('2025数据'!$BR$3:$BR$181,'2025数据'!$X$3:$X$181,"&gt;="&amp;DATE(2025,10,1),'2025数据'!$X$3:$X$181,"&lt;="&amp;DATE(2025,10,31),'2025数据'!$AE$3:$AE$181,$E1776)/10000)</f>
        <v>0</v>
      </c>
      <c r="P1776" s="217">
        <f ca="1">IF($S$1&lt;DATE(2025,11,1)," ",SUMIFS('2025数据'!$BR$3:$BR$181,'2025数据'!$X$3:$X$181,"&gt;="&amp;DATE(2025,11,1),'2025数据'!$X$3:$X$181,"&lt;="&amp;DATE(2025,11,30),'2025数据'!$AE$3:$AE$181,$E1776)/10000)</f>
        <v>0</v>
      </c>
      <c r="Q1776" s="217">
        <f ca="1">IF($S$1&lt;DATE(2025,12,1)," ",SUMIFS('2025数据'!$BR$3:$BR$181,'2025数据'!$X$3:$X$181,"&gt;="&amp;DATE(2025,12,1),'2025数据'!$X$3:$X$181,"&lt;="&amp;DATE(2025,12,31),'2025数据'!$AE$3:$AE$181,$E1776)/10000)</f>
        <v>0</v>
      </c>
    </row>
    <row r="1777" ht="24" customHeight="1" spans="1:17">
      <c r="A1777" s="99" t="s">
        <v>349</v>
      </c>
      <c r="B1777" s="99" t="s">
        <v>299</v>
      </c>
      <c r="C1777" s="99" t="s">
        <v>333</v>
      </c>
      <c r="D1777" s="48" t="s">
        <v>31</v>
      </c>
      <c r="E1777" s="48" t="s">
        <v>97</v>
      </c>
      <c r="F1777" s="51">
        <f ca="1">IF($S$1&lt;DATE(2025,1,1)," ",SUMIFS('2025数据'!$BR$3:$BR$181,'2025数据'!$X$3:$X$181,"&gt;="&amp;DATE(2025,1,1),'2025数据'!$X$3:$X$181,"&lt;="&amp;DATE(2025,1,31),'2025数据'!$AE$3:$AE$181,$E1777)/10000)</f>
        <v>0</v>
      </c>
      <c r="G1777" s="51">
        <f ca="1">IF($S$1&lt;DATE(2025,2,1)," ",SUMIFS('2025数据'!$BR$3:$BR$181,'2025数据'!$X$3:$X$181,"&gt;="&amp;DATE(2025,2,1),'2025数据'!$X$3:$X$181,"&lt;="&amp;DATE(2025,2,28),'2025数据'!$AE$3:$AE$181,$E1777)/10000)</f>
        <v>0</v>
      </c>
      <c r="H1777" s="51">
        <f ca="1">IF($S$1&lt;DATE(2025,3,1)," ",SUMIFS('2025数据'!$BR$3:$BR$181,'2025数据'!$X$3:$X$181,"&gt;="&amp;DATE(2025,3,1),'2025数据'!$X$3:$X$181,"&lt;="&amp;DATE(2025,3,31),'2025数据'!$AE$3:$AE$181,$E1777)/10000)</f>
        <v>0</v>
      </c>
      <c r="I1777" s="51">
        <f ca="1">IF($S$1&lt;DATE(2025,4,1)," ",SUMIFS('2025数据'!$BR$3:$BR$181,'2025数据'!$X$3:$X$181,"&gt;="&amp;DATE(2025,4,1),'2025数据'!$X$3:$X$181,"&lt;="&amp;DATE(2025,4,30),'2025数据'!$AE$3:$AE$181,$E1777)/10000)</f>
        <v>0</v>
      </c>
      <c r="J1777" s="51">
        <f ca="1">IF($S$1&lt;DATE(2025,5,1)," ",SUMIFS('2025数据'!$BR$3:$BR$181,'2025数据'!$X$3:$X$181,"&gt;="&amp;DATE(2025,5,1),'2025数据'!$X$3:$X$181,"&lt;="&amp;DATE(2025,5,31),'2025数据'!$AE$3:$AE$181,$E1777)/10000)</f>
        <v>0</v>
      </c>
      <c r="K1777" s="51">
        <f ca="1">IF($S$1&lt;DATE(2025,6,1)," ",SUMIFS('2025数据'!$BR$3:$BR$181,'2025数据'!$X$3:$X$181,"&gt;="&amp;DATE(2025,6,1),'2025数据'!$X$3:$X$181,"&lt;="&amp;DATE(2025,6,30),'2025数据'!$AE$3:$AE$181,$E1777)/10000)</f>
        <v>0</v>
      </c>
      <c r="L1777" s="51">
        <f ca="1">IF($S$1&lt;DATE(2025,7,1)," ",SUMIFS('2025数据'!$BR$3:$BR$181,'2025数据'!$X$3:$X$181,"&gt;="&amp;DATE(2025,7,1),'2025数据'!$X$3:$X$181,"&lt;="&amp;DATE(2025,7,31),'2025数据'!$AE$3:$AE$181,$E1777)/10000)</f>
        <v>0</v>
      </c>
      <c r="M1777" s="51">
        <f ca="1">IF($S$1&lt;DATE(2025,8,1)," ",SUMIFS('2025数据'!$BR$3:$BR$181,'2025数据'!$X$3:$X$181,"&gt;="&amp;DATE(2025,8,1),'2025数据'!$X$3:$X$181,"&lt;="&amp;DATE(2025,8,31),'2025数据'!$AE$3:$AE$181,$E1777)/10000)</f>
        <v>0</v>
      </c>
      <c r="N1777" s="51">
        <f ca="1">IF($S$1&lt;DATE(2025,9,1)," ",SUMIFS('2025数据'!$BR$3:$BR$181,'2025数据'!$X$3:$X$181,"&gt;="&amp;DATE(2025,9,1),'2025数据'!$X$3:$X$181,"&lt;="&amp;DATE(2025,9,30),'2025数据'!$AE$3:$AE$181,$E1777)/10000)</f>
        <v>0</v>
      </c>
      <c r="O1777" s="51">
        <f ca="1">IF($S$1&lt;DATE(2025,10,1)," ",SUMIFS('2025数据'!$BR$3:$BR$181,'2025数据'!$X$3:$X$181,"&gt;="&amp;DATE(2025,10,1),'2025数据'!$X$3:$X$181,"&lt;="&amp;DATE(2025,10,31),'2025数据'!$AE$3:$AE$181,$E1777)/10000)</f>
        <v>0</v>
      </c>
      <c r="P1777" s="217">
        <f ca="1">IF($S$1&lt;DATE(2025,11,1)," ",SUMIFS('2025数据'!$BR$3:$BR$181,'2025数据'!$X$3:$X$181,"&gt;="&amp;DATE(2025,11,1),'2025数据'!$X$3:$X$181,"&lt;="&amp;DATE(2025,11,30),'2025数据'!$AE$3:$AE$181,$E1777)/10000)</f>
        <v>3.944409</v>
      </c>
      <c r="Q1777" s="217">
        <f ca="1">IF($S$1&lt;DATE(2025,12,1)," ",SUMIFS('2025数据'!$BR$3:$BR$181,'2025数据'!$X$3:$X$181,"&gt;="&amp;DATE(2025,12,1),'2025数据'!$X$3:$X$181,"&lt;="&amp;DATE(2025,12,31),'2025数据'!$AE$3:$AE$181,$E1777)/10000)</f>
        <v>0</v>
      </c>
    </row>
    <row r="1778" ht="24" customHeight="1" spans="1:17">
      <c r="A1778" s="99" t="s">
        <v>349</v>
      </c>
      <c r="B1778" s="99" t="s">
        <v>299</v>
      </c>
      <c r="C1778" s="99" t="s">
        <v>333</v>
      </c>
      <c r="D1778" s="48" t="s">
        <v>31</v>
      </c>
      <c r="E1778" s="48" t="s">
        <v>87</v>
      </c>
      <c r="F1778" s="51">
        <f ca="1">IF($S$1&lt;DATE(2025,1,1)," ",SUMIFS('2025数据'!$BR$3:$BR$181,'2025数据'!$X$3:$X$181,"&gt;="&amp;DATE(2025,1,1),'2025数据'!$X$3:$X$181,"&lt;="&amp;DATE(2025,1,31),'2025数据'!$AE$3:$AE$181,$E1778)/10000)</f>
        <v>0</v>
      </c>
      <c r="G1778" s="51">
        <f ca="1">IF($S$1&lt;DATE(2025,2,1)," ",SUMIFS('2025数据'!$BR$3:$BR$181,'2025数据'!$X$3:$X$181,"&gt;="&amp;DATE(2025,2,1),'2025数据'!$X$3:$X$181,"&lt;="&amp;DATE(2025,2,28),'2025数据'!$AE$3:$AE$181,$E1778)/10000)</f>
        <v>0</v>
      </c>
      <c r="H1778" s="51">
        <f ca="1">IF($S$1&lt;DATE(2025,3,1)," ",SUMIFS('2025数据'!$BR$3:$BR$181,'2025数据'!$X$3:$X$181,"&gt;="&amp;DATE(2025,3,1),'2025数据'!$X$3:$X$181,"&lt;="&amp;DATE(2025,3,31),'2025数据'!$AE$3:$AE$181,$E1778)/10000)</f>
        <v>0.7056</v>
      </c>
      <c r="I1778" s="51">
        <f ca="1">IF($S$1&lt;DATE(2025,4,1)," ",SUMIFS('2025数据'!$BR$3:$BR$181,'2025数据'!$X$3:$X$181,"&gt;="&amp;DATE(2025,4,1),'2025数据'!$X$3:$X$181,"&lt;="&amp;DATE(2025,4,30),'2025数据'!$AE$3:$AE$181,$E1778)/10000)</f>
        <v>0</v>
      </c>
      <c r="J1778" s="51">
        <f ca="1">IF($S$1&lt;DATE(2025,5,1)," ",SUMIFS('2025数据'!$BR$3:$BR$181,'2025数据'!$X$3:$X$181,"&gt;="&amp;DATE(2025,5,1),'2025数据'!$X$3:$X$181,"&lt;="&amp;DATE(2025,5,31),'2025数据'!$AE$3:$AE$181,$E1778)/10000)</f>
        <v>0</v>
      </c>
      <c r="K1778" s="51">
        <f ca="1">IF($S$1&lt;DATE(2025,6,1)," ",SUMIFS('2025数据'!$BR$3:$BR$181,'2025数据'!$X$3:$X$181,"&gt;="&amp;DATE(2025,6,1),'2025数据'!$X$3:$X$181,"&lt;="&amp;DATE(2025,6,30),'2025数据'!$AE$3:$AE$181,$E1778)/10000)</f>
        <v>0</v>
      </c>
      <c r="L1778" s="51">
        <f ca="1">IF($S$1&lt;DATE(2025,7,1)," ",SUMIFS('2025数据'!$BR$3:$BR$181,'2025数据'!$X$3:$X$181,"&gt;="&amp;DATE(2025,7,1),'2025数据'!$X$3:$X$181,"&lt;="&amp;DATE(2025,7,31),'2025数据'!$AE$3:$AE$181,$E1778)/10000)</f>
        <v>1.1551</v>
      </c>
      <c r="M1778" s="51">
        <f ca="1">IF($S$1&lt;DATE(2025,8,1)," ",SUMIFS('2025数据'!$BR$3:$BR$181,'2025数据'!$X$3:$X$181,"&gt;="&amp;DATE(2025,8,1),'2025数据'!$X$3:$X$181,"&lt;="&amp;DATE(2025,8,31),'2025数据'!$AE$3:$AE$181,$E1778)/10000)</f>
        <v>1.27542</v>
      </c>
      <c r="N1778" s="51">
        <f ca="1">IF($S$1&lt;DATE(2025,9,1)," ",SUMIFS('2025数据'!$BR$3:$BR$181,'2025数据'!$X$3:$X$181,"&gt;="&amp;DATE(2025,9,1),'2025数据'!$X$3:$X$181,"&lt;="&amp;DATE(2025,9,30),'2025数据'!$AE$3:$AE$181,$E1778)/10000)</f>
        <v>0.8999</v>
      </c>
      <c r="O1778" s="51">
        <f ca="1">IF($S$1&lt;DATE(2025,10,1)," ",SUMIFS('2025数据'!$BR$3:$BR$181,'2025数据'!$X$3:$X$181,"&gt;="&amp;DATE(2025,10,1),'2025数据'!$X$3:$X$181,"&lt;="&amp;DATE(2025,10,31),'2025数据'!$AE$3:$AE$181,$E1778)/10000)</f>
        <v>0</v>
      </c>
      <c r="P1778" s="217">
        <f ca="1">IF($S$1&lt;DATE(2025,11,1)," ",SUMIFS('2025数据'!$BR$3:$BR$181,'2025数据'!$X$3:$X$181,"&gt;="&amp;DATE(2025,11,1),'2025数据'!$X$3:$X$181,"&lt;="&amp;DATE(2025,11,30),'2025数据'!$AE$3:$AE$181,$E1778)/10000)</f>
        <v>0</v>
      </c>
      <c r="Q1778" s="217">
        <f ca="1">IF($S$1&lt;DATE(2025,12,1)," ",SUMIFS('2025数据'!$BR$3:$BR$181,'2025数据'!$X$3:$X$181,"&gt;="&amp;DATE(2025,12,1),'2025数据'!$X$3:$X$181,"&lt;="&amp;DATE(2025,12,31),'2025数据'!$AE$3:$AE$181,$E1778)/10000)</f>
        <v>0</v>
      </c>
    </row>
    <row r="1779" ht="24" customHeight="1" spans="1:17">
      <c r="A1779" s="99" t="s">
        <v>349</v>
      </c>
      <c r="B1779" s="99" t="s">
        <v>299</v>
      </c>
      <c r="C1779" s="99" t="s">
        <v>333</v>
      </c>
      <c r="D1779" s="48" t="s">
        <v>31</v>
      </c>
      <c r="E1779" s="48" t="s">
        <v>149</v>
      </c>
      <c r="F1779" s="51">
        <f ca="1">IF($S$1&lt;DATE(2025,1,1)," ",SUMIFS('2025数据'!$BR$3:$BR$181,'2025数据'!$X$3:$X$181,"&gt;="&amp;DATE(2025,1,1),'2025数据'!$X$3:$X$181,"&lt;="&amp;DATE(2025,1,31),'2025数据'!$AE$3:$AE$181,$E1779)/10000)</f>
        <v>0</v>
      </c>
      <c r="G1779" s="51">
        <f ca="1">IF($S$1&lt;DATE(2025,2,1)," ",SUMIFS('2025数据'!$BR$3:$BR$181,'2025数据'!$X$3:$X$181,"&gt;="&amp;DATE(2025,2,1),'2025数据'!$X$3:$X$181,"&lt;="&amp;DATE(2025,2,28),'2025数据'!$AE$3:$AE$181,$E1779)/10000)</f>
        <v>0</v>
      </c>
      <c r="H1779" s="51">
        <f ca="1">IF($S$1&lt;DATE(2025,3,1)," ",SUMIFS('2025数据'!$BR$3:$BR$181,'2025数据'!$X$3:$X$181,"&gt;="&amp;DATE(2025,3,1),'2025数据'!$X$3:$X$181,"&lt;="&amp;DATE(2025,3,31),'2025数据'!$AE$3:$AE$181,$E1779)/10000)</f>
        <v>0</v>
      </c>
      <c r="I1779" s="51">
        <f ca="1">IF($S$1&lt;DATE(2025,4,1)," ",SUMIFS('2025数据'!$BR$3:$BR$181,'2025数据'!$X$3:$X$181,"&gt;="&amp;DATE(2025,4,1),'2025数据'!$X$3:$X$181,"&lt;="&amp;DATE(2025,4,30),'2025数据'!$AE$3:$AE$181,$E1779)/10000)</f>
        <v>0</v>
      </c>
      <c r="J1779" s="51">
        <f ca="1">IF($S$1&lt;DATE(2025,5,1)," ",SUMIFS('2025数据'!$BR$3:$BR$181,'2025数据'!$X$3:$X$181,"&gt;="&amp;DATE(2025,5,1),'2025数据'!$X$3:$X$181,"&lt;="&amp;DATE(2025,5,31),'2025数据'!$AE$3:$AE$181,$E1779)/10000)</f>
        <v>0</v>
      </c>
      <c r="K1779" s="51">
        <f ca="1">IF($S$1&lt;DATE(2025,6,1)," ",SUMIFS('2025数据'!$BR$3:$BR$181,'2025数据'!$X$3:$X$181,"&gt;="&amp;DATE(2025,6,1),'2025数据'!$X$3:$X$181,"&lt;="&amp;DATE(2025,6,30),'2025数据'!$AE$3:$AE$181,$E1779)/10000)</f>
        <v>0</v>
      </c>
      <c r="L1779" s="51">
        <f ca="1">IF($S$1&lt;DATE(2025,7,1)," ",SUMIFS('2025数据'!$BR$3:$BR$181,'2025数据'!$X$3:$X$181,"&gt;="&amp;DATE(2025,7,1),'2025数据'!$X$3:$X$181,"&lt;="&amp;DATE(2025,7,31),'2025数据'!$AE$3:$AE$181,$E1779)/10000)</f>
        <v>0</v>
      </c>
      <c r="M1779" s="51">
        <f ca="1">IF($S$1&lt;DATE(2025,8,1)," ",SUMIFS('2025数据'!$BR$3:$BR$181,'2025数据'!$X$3:$X$181,"&gt;="&amp;DATE(2025,8,1),'2025数据'!$X$3:$X$181,"&lt;="&amp;DATE(2025,8,31),'2025数据'!$AE$3:$AE$181,$E1779)/10000)</f>
        <v>0</v>
      </c>
      <c r="N1779" s="51">
        <f ca="1">IF($S$1&lt;DATE(2025,9,1)," ",SUMIFS('2025数据'!$BR$3:$BR$181,'2025数据'!$X$3:$X$181,"&gt;="&amp;DATE(2025,9,1),'2025数据'!$X$3:$X$181,"&lt;="&amp;DATE(2025,9,30),'2025数据'!$AE$3:$AE$181,$E1779)/10000)</f>
        <v>0</v>
      </c>
      <c r="O1779" s="51">
        <f ca="1">IF($S$1&lt;DATE(2025,10,1)," ",SUMIFS('2025数据'!$BR$3:$BR$181,'2025数据'!$X$3:$X$181,"&gt;="&amp;DATE(2025,10,1),'2025数据'!$X$3:$X$181,"&lt;="&amp;DATE(2025,10,31),'2025数据'!$AE$3:$AE$181,$E1779)/10000)</f>
        <v>0</v>
      </c>
      <c r="P1779" s="217">
        <f ca="1">IF($S$1&lt;DATE(2025,11,1)," ",SUMIFS('2025数据'!$BR$3:$BR$181,'2025数据'!$X$3:$X$181,"&gt;="&amp;DATE(2025,11,1),'2025数据'!$X$3:$X$181,"&lt;="&amp;DATE(2025,11,30),'2025数据'!$AE$3:$AE$181,$E1779)/10000)</f>
        <v>0</v>
      </c>
      <c r="Q1779" s="217">
        <f ca="1">IF($S$1&lt;DATE(2025,12,1)," ",SUMIFS('2025数据'!$BR$3:$BR$181,'2025数据'!$X$3:$X$181,"&gt;="&amp;DATE(2025,12,1),'2025数据'!$X$3:$X$181,"&lt;="&amp;DATE(2025,12,31),'2025数据'!$AE$3:$AE$181,$E1779)/10000)</f>
        <v>0</v>
      </c>
    </row>
    <row r="1780" ht="24" customHeight="1" spans="1:17">
      <c r="A1780" s="99" t="s">
        <v>349</v>
      </c>
      <c r="B1780" s="99" t="s">
        <v>299</v>
      </c>
      <c r="C1780" s="99" t="s">
        <v>333</v>
      </c>
      <c r="D1780" s="48" t="s">
        <v>31</v>
      </c>
      <c r="E1780" s="48" t="s">
        <v>83</v>
      </c>
      <c r="F1780" s="51">
        <f ca="1">IF($S$1&lt;DATE(2025,1,1)," ",SUMIFS('2025数据'!$BR$3:$BR$181,'2025数据'!$X$3:$X$181,"&gt;="&amp;DATE(2025,1,1),'2025数据'!$X$3:$X$181,"&lt;="&amp;DATE(2025,1,31),'2025数据'!$AE$3:$AE$181,$E1780)/10000)</f>
        <v>0</v>
      </c>
      <c r="G1780" s="51">
        <f ca="1">IF($S$1&lt;DATE(2025,2,1)," ",SUMIFS('2025数据'!$BR$3:$BR$181,'2025数据'!$X$3:$X$181,"&gt;="&amp;DATE(2025,2,1),'2025数据'!$X$3:$X$181,"&lt;="&amp;DATE(2025,2,28),'2025数据'!$AE$3:$AE$181,$E1780)/10000)</f>
        <v>0</v>
      </c>
      <c r="H1780" s="51">
        <f ca="1">IF($S$1&lt;DATE(2025,3,1)," ",SUMIFS('2025数据'!$BR$3:$BR$181,'2025数据'!$X$3:$X$181,"&gt;="&amp;DATE(2025,3,1),'2025数据'!$X$3:$X$181,"&lt;="&amp;DATE(2025,3,31),'2025数据'!$AE$3:$AE$181,$E1780)/10000)</f>
        <v>0</v>
      </c>
      <c r="I1780" s="51">
        <f ca="1">IF($S$1&lt;DATE(2025,4,1)," ",SUMIFS('2025数据'!$BR$3:$BR$181,'2025数据'!$X$3:$X$181,"&gt;="&amp;DATE(2025,4,1),'2025数据'!$X$3:$X$181,"&lt;="&amp;DATE(2025,4,30),'2025数据'!$AE$3:$AE$181,$E1780)/10000)</f>
        <v>0</v>
      </c>
      <c r="J1780" s="51">
        <f ca="1">IF($S$1&lt;DATE(2025,5,1)," ",SUMIFS('2025数据'!$BR$3:$BR$181,'2025数据'!$X$3:$X$181,"&gt;="&amp;DATE(2025,5,1),'2025数据'!$X$3:$X$181,"&lt;="&amp;DATE(2025,5,31),'2025数据'!$AE$3:$AE$181,$E1780)/10000)</f>
        <v>0</v>
      </c>
      <c r="K1780" s="51">
        <f ca="1">IF($S$1&lt;DATE(2025,6,1)," ",SUMIFS('2025数据'!$BR$3:$BR$181,'2025数据'!$X$3:$X$181,"&gt;="&amp;DATE(2025,6,1),'2025数据'!$X$3:$X$181,"&lt;="&amp;DATE(2025,6,30),'2025数据'!$AE$3:$AE$181,$E1780)/10000)</f>
        <v>0</v>
      </c>
      <c r="L1780" s="51">
        <f ca="1">IF($S$1&lt;DATE(2025,7,1)," ",SUMIFS('2025数据'!$BR$3:$BR$181,'2025数据'!$X$3:$X$181,"&gt;="&amp;DATE(2025,7,1),'2025数据'!$X$3:$X$181,"&lt;="&amp;DATE(2025,7,31),'2025数据'!$AE$3:$AE$181,$E1780)/10000)</f>
        <v>0</v>
      </c>
      <c r="M1780" s="51">
        <f ca="1">IF($S$1&lt;DATE(2025,8,1)," ",SUMIFS('2025数据'!$BR$3:$BR$181,'2025数据'!$X$3:$X$181,"&gt;="&amp;DATE(2025,8,1),'2025数据'!$X$3:$X$181,"&lt;="&amp;DATE(2025,8,31),'2025数据'!$AE$3:$AE$181,$E1780)/10000)</f>
        <v>0</v>
      </c>
      <c r="N1780" s="51">
        <f ca="1">IF($S$1&lt;DATE(2025,9,1)," ",SUMIFS('2025数据'!$BR$3:$BR$181,'2025数据'!$X$3:$X$181,"&gt;="&amp;DATE(2025,9,1),'2025数据'!$X$3:$X$181,"&lt;="&amp;DATE(2025,9,30),'2025数据'!$AE$3:$AE$181,$E1780)/10000)</f>
        <v>0</v>
      </c>
      <c r="O1780" s="51">
        <f ca="1">IF($S$1&lt;DATE(2025,10,1)," ",SUMIFS('2025数据'!$BR$3:$BR$181,'2025数据'!$X$3:$X$181,"&gt;="&amp;DATE(2025,10,1),'2025数据'!$X$3:$X$181,"&lt;="&amp;DATE(2025,10,31),'2025数据'!$AE$3:$AE$181,$E1780)/10000)</f>
        <v>0</v>
      </c>
      <c r="P1780" s="217">
        <f ca="1">IF($S$1&lt;DATE(2025,11,1)," ",SUMIFS('2025数据'!$BR$3:$BR$181,'2025数据'!$X$3:$X$181,"&gt;="&amp;DATE(2025,11,1),'2025数据'!$X$3:$X$181,"&lt;="&amp;DATE(2025,11,30),'2025数据'!$AE$3:$AE$181,$E1780)/10000)</f>
        <v>0</v>
      </c>
      <c r="Q1780" s="217">
        <f ca="1">IF($S$1&lt;DATE(2025,12,1)," ",SUMIFS('2025数据'!$BR$3:$BR$181,'2025数据'!$X$3:$X$181,"&gt;="&amp;DATE(2025,12,1),'2025数据'!$X$3:$X$181,"&lt;="&amp;DATE(2025,12,31),'2025数据'!$AE$3:$AE$181,$E1780)/10000)</f>
        <v>0</v>
      </c>
    </row>
    <row r="1781" ht="24" customHeight="1" spans="1:17">
      <c r="A1781" s="99" t="s">
        <v>349</v>
      </c>
      <c r="B1781" s="99" t="s">
        <v>299</v>
      </c>
      <c r="C1781" s="99" t="s">
        <v>333</v>
      </c>
      <c r="D1781" s="47" t="s">
        <v>294</v>
      </c>
      <c r="E1781" s="47" t="s">
        <v>93</v>
      </c>
      <c r="F1781" s="51">
        <f ca="1">IF($S$1&lt;DATE(2025,1,1)," ",SUMIFS('2025数据'!$BR$3:$BR$181,'2025数据'!$X$3:$X$181,"&gt;="&amp;DATE(2025,1,1),'2025数据'!$X$3:$X$181,"&lt;="&amp;DATE(2025,1,31),'2025数据'!$B$3:$B$181,$E1781)/10000)</f>
        <v>0</v>
      </c>
      <c r="G1781" s="51">
        <f ca="1">IF($S$1&lt;DATE(2025,2,1)," ",SUMIFS('2025数据'!$BR$3:$BR$181,'2025数据'!$X$3:$X$181,"&gt;="&amp;DATE(2025,2,1),'2025数据'!$X$3:$X$181,"&lt;="&amp;DATE(2025,2,28),'2025数据'!$B$3:$B$181,$E1781)/10000)</f>
        <v>0</v>
      </c>
      <c r="H1781" s="51">
        <f ca="1">IF($S$1&lt;DATE(2025,3,1)," ",SUMIFS('2025数据'!$BR$3:$BR$181,'2025数据'!$X$3:$X$181,"&gt;="&amp;DATE(2025,3,1),'2025数据'!$X$3:$X$181,"&lt;="&amp;DATE(2025,3,31),'2025数据'!$B$3:$B$181,$E1781)/10000)</f>
        <v>0</v>
      </c>
      <c r="I1781" s="51">
        <f ca="1">IF($S$1&lt;DATE(2025,4,1)," ",SUMIFS('2025数据'!$BR$3:$BR$181,'2025数据'!$X$3:$X$181,"&gt;="&amp;DATE(2025,4,1),'2025数据'!$X$3:$X$181,"&lt;="&amp;DATE(2025,4,30),'2025数据'!$B$3:$B$181,$E1781)/10000)</f>
        <v>0</v>
      </c>
      <c r="J1781" s="51">
        <f ca="1">IF($S$1&lt;DATE(2025,5,1)," ",SUMIFS('2025数据'!$BR$3:$BR$181,'2025数据'!$X$3:$X$181,"&gt;="&amp;DATE(2025,5,1),'2025数据'!$X$3:$X$181,"&lt;="&amp;DATE(2025,5,31),'2025数据'!$B$3:$B$181,$E1781)/10000)</f>
        <v>0</v>
      </c>
      <c r="K1781" s="51">
        <f ca="1">IF($S$1&lt;DATE(2025,6,1)," ",SUMIFS('2025数据'!$BR$3:$BR$181,'2025数据'!$X$3:$X$181,"&gt;="&amp;DATE(2025,6,1),'2025数据'!$X$3:$X$181,"&lt;="&amp;DATE(2025,6,30),'2025数据'!$B$3:$B$181,$E1781)/10000)</f>
        <v>0</v>
      </c>
      <c r="L1781" s="51">
        <f ca="1">IF($S$1&lt;DATE(2025,7,1)," ",SUMIFS('2025数据'!$BR$3:$BR$181,'2025数据'!$X$3:$X$181,"&gt;="&amp;DATE(2025,7,1),'2025数据'!$X$3:$X$181,"&lt;="&amp;DATE(2025,7,31),'2025数据'!$B$3:$B$181,$E1781)/10000)</f>
        <v>0</v>
      </c>
      <c r="M1781" s="51">
        <f ca="1">IF($S$1&lt;DATE(2025,8,1)," ",SUMIFS('2025数据'!$BR$3:$BR$181,'2025数据'!$X$3:$X$181,"&gt;="&amp;DATE(2025,8,1),'2025数据'!$X$3:$X$181,"&lt;="&amp;DATE(2025,8,31),'2025数据'!$B$3:$B$181,$E1781)/10000)</f>
        <v>0.0889</v>
      </c>
      <c r="N1781" s="51">
        <f ca="1">IF($S$1&lt;DATE(2025,9,1)," ",SUMIFS('2025数据'!$BR$3:$BR$181,'2025数据'!$X$3:$X$181,"&gt;="&amp;DATE(2025,9,1),'2025数据'!$X$3:$X$181,"&lt;="&amp;DATE(2025,9,30),'2025数据'!$B$3:$B$181,$E1781)/10000)</f>
        <v>0.8999</v>
      </c>
      <c r="O1781" s="51">
        <f ca="1">IF($S$1&lt;DATE(2025,10,1)," ",SUMIFS('2025数据'!$BR$3:$BR$181,'2025数据'!$X$3:$X$181,"&gt;="&amp;DATE(2025,10,1),'2025数据'!$X$3:$X$181,"&lt;="&amp;DATE(2025,10,31),'2025数据'!$B$3:$B$181,$E1781)/10000)</f>
        <v>1.10426</v>
      </c>
      <c r="P1781" s="217">
        <f ca="1">IF($S$1&lt;DATE(2025,11,1)," ",SUMIFS('2025数据'!$BR$3:$BR$181,'2025数据'!$X$3:$X$181,"&gt;="&amp;DATE(2025,11,1),'2025数据'!$X$3:$X$181,"&lt;="&amp;DATE(2025,11,30),'2025数据'!$B$3:$B$181,$E1781)/10000)</f>
        <v>3.944409</v>
      </c>
      <c r="Q1781" s="217">
        <f ca="1">IF($S$1&lt;DATE(2025,12,1)," ",SUMIFS('2025数据'!$BR$3:$BR$181,'2025数据'!$X$3:$X$181,"&gt;="&amp;DATE(2025,12,1),'2025数据'!$X$3:$X$181,"&lt;="&amp;DATE(2025,12,31),'2025数据'!$B$3:$B$181,$E1781)/10000)</f>
        <v>0</v>
      </c>
    </row>
    <row r="1782" ht="24" customHeight="1" spans="1:17">
      <c r="A1782" s="99" t="s">
        <v>349</v>
      </c>
      <c r="B1782" s="99" t="s">
        <v>299</v>
      </c>
      <c r="C1782" s="99" t="s">
        <v>333</v>
      </c>
      <c r="D1782" s="47" t="s">
        <v>294</v>
      </c>
      <c r="E1782" s="47" t="s">
        <v>85</v>
      </c>
      <c r="F1782" s="51">
        <f ca="1">IF($S$1&lt;DATE(2025,1,1)," ",SUMIFS('2025数据'!$BR$3:$BR$181,'2025数据'!$X$3:$X$181,"&gt;="&amp;DATE(2025,1,1),'2025数据'!$X$3:$X$181,"&lt;="&amp;DATE(2025,1,31),'2025数据'!$B$3:$B$181,$E1782)/10000)</f>
        <v>0</v>
      </c>
      <c r="G1782" s="51">
        <f ca="1">IF($S$1&lt;DATE(2025,2,1)," ",SUMIFS('2025数据'!$BR$3:$BR$181,'2025数据'!$X$3:$X$181,"&gt;="&amp;DATE(2025,2,1),'2025数据'!$X$3:$X$181,"&lt;="&amp;DATE(2025,2,28),'2025数据'!$B$3:$B$181,$E1782)/10000)</f>
        <v>0</v>
      </c>
      <c r="H1782" s="51">
        <f ca="1">IF($S$1&lt;DATE(2025,3,1)," ",SUMIFS('2025数据'!$BR$3:$BR$181,'2025数据'!$X$3:$X$181,"&gt;="&amp;DATE(2025,3,1),'2025数据'!$X$3:$X$181,"&lt;="&amp;DATE(2025,3,31),'2025数据'!$B$3:$B$181,$E1782)/10000)</f>
        <v>0.7056</v>
      </c>
      <c r="I1782" s="51">
        <f ca="1">IF($S$1&lt;DATE(2025,4,1)," ",SUMIFS('2025数据'!$BR$3:$BR$181,'2025数据'!$X$3:$X$181,"&gt;="&amp;DATE(2025,4,1),'2025数据'!$X$3:$X$181,"&lt;="&amp;DATE(2025,4,30),'2025数据'!$B$3:$B$181,$E1782)/10000)</f>
        <v>0</v>
      </c>
      <c r="J1782" s="51">
        <f ca="1">IF($S$1&lt;DATE(2025,5,1)," ",SUMIFS('2025数据'!$BR$3:$BR$181,'2025数据'!$X$3:$X$181,"&gt;="&amp;DATE(2025,5,1),'2025数据'!$X$3:$X$181,"&lt;="&amp;DATE(2025,5,31),'2025数据'!$B$3:$B$181,$E1782)/10000)</f>
        <v>0</v>
      </c>
      <c r="K1782" s="51">
        <f ca="1">IF($S$1&lt;DATE(2025,6,1)," ",SUMIFS('2025数据'!$BR$3:$BR$181,'2025数据'!$X$3:$X$181,"&gt;="&amp;DATE(2025,6,1),'2025数据'!$X$3:$X$181,"&lt;="&amp;DATE(2025,6,30),'2025数据'!$B$3:$B$181,$E1782)/10000)</f>
        <v>0</v>
      </c>
      <c r="L1782" s="51">
        <f ca="1">IF($S$1&lt;DATE(2025,7,1)," ",SUMIFS('2025数据'!$BR$3:$BR$181,'2025数据'!$X$3:$X$181,"&gt;="&amp;DATE(2025,7,1),'2025数据'!$X$3:$X$181,"&lt;="&amp;DATE(2025,7,31),'2025数据'!$B$3:$B$181,$E1782)/10000)</f>
        <v>1.1551</v>
      </c>
      <c r="M1782" s="51">
        <f ca="1">IF($S$1&lt;DATE(2025,8,1)," ",SUMIFS('2025数据'!$BR$3:$BR$181,'2025数据'!$X$3:$X$181,"&gt;="&amp;DATE(2025,8,1),'2025数据'!$X$3:$X$181,"&lt;="&amp;DATE(2025,8,31),'2025数据'!$B$3:$B$181,$E1782)/10000)</f>
        <v>0</v>
      </c>
      <c r="N1782" s="51">
        <f ca="1">IF($S$1&lt;DATE(2025,9,1)," ",SUMIFS('2025数据'!$BR$3:$BR$181,'2025数据'!$X$3:$X$181,"&gt;="&amp;DATE(2025,9,1),'2025数据'!$X$3:$X$181,"&lt;="&amp;DATE(2025,9,30),'2025数据'!$B$3:$B$181,$E1782)/10000)</f>
        <v>0</v>
      </c>
      <c r="O1782" s="51">
        <f ca="1">IF($S$1&lt;DATE(2025,10,1)," ",SUMIFS('2025数据'!$BR$3:$BR$181,'2025数据'!$X$3:$X$181,"&gt;="&amp;DATE(2025,10,1),'2025数据'!$X$3:$X$181,"&lt;="&amp;DATE(2025,10,31),'2025数据'!$B$3:$B$181,$E1782)/10000)</f>
        <v>0</v>
      </c>
      <c r="P1782" s="217">
        <f ca="1">IF($S$1&lt;DATE(2025,11,1)," ",SUMIFS('2025数据'!$BR$3:$BR$181,'2025数据'!$X$3:$X$181,"&gt;="&amp;DATE(2025,11,1),'2025数据'!$X$3:$X$181,"&lt;="&amp;DATE(2025,11,30),'2025数据'!$B$3:$B$181,$E1782)/10000)</f>
        <v>0</v>
      </c>
      <c r="Q1782" s="217">
        <f ca="1">IF($S$1&lt;DATE(2025,12,1)," ",SUMIFS('2025数据'!$BR$3:$BR$181,'2025数据'!$X$3:$X$181,"&gt;="&amp;DATE(2025,12,1),'2025数据'!$X$3:$X$181,"&lt;="&amp;DATE(2025,12,31),'2025数据'!$B$3:$B$181,$E1782)/10000)</f>
        <v>0</v>
      </c>
    </row>
    <row r="1783" ht="24" customHeight="1" spans="1:17">
      <c r="A1783" s="99" t="s">
        <v>349</v>
      </c>
      <c r="B1783" s="99" t="s">
        <v>299</v>
      </c>
      <c r="C1783" s="99" t="s">
        <v>333</v>
      </c>
      <c r="D1783" s="47" t="s">
        <v>294</v>
      </c>
      <c r="E1783" s="47" t="s">
        <v>81</v>
      </c>
      <c r="F1783" s="51">
        <f ca="1">IF($S$1&lt;DATE(2025,1,1)," ",SUMIFS('2025数据'!$BR$3:$BR$181,'2025数据'!$X$3:$X$181,"&gt;="&amp;DATE(2025,1,1),'2025数据'!$X$3:$X$181,"&lt;="&amp;DATE(2025,1,31),'2025数据'!$B$3:$B$181,$E1783)/10000)</f>
        <v>0</v>
      </c>
      <c r="G1783" s="51">
        <f ca="1">IF($S$1&lt;DATE(2025,2,1)," ",SUMIFS('2025数据'!$BR$3:$BR$181,'2025数据'!$X$3:$X$181,"&gt;="&amp;DATE(2025,2,1),'2025数据'!$X$3:$X$181,"&lt;="&amp;DATE(2025,2,28),'2025数据'!$B$3:$B$181,$E1783)/10000)</f>
        <v>0</v>
      </c>
      <c r="H1783" s="51">
        <f ca="1">IF($S$1&lt;DATE(2025,3,1)," ",SUMIFS('2025数据'!$BR$3:$BR$181,'2025数据'!$X$3:$X$181,"&gt;="&amp;DATE(2025,3,1),'2025数据'!$X$3:$X$181,"&lt;="&amp;DATE(2025,3,31),'2025数据'!$B$3:$B$181,$E1783)/10000)</f>
        <v>0</v>
      </c>
      <c r="I1783" s="51">
        <f ca="1">IF($S$1&lt;DATE(2025,4,1)," ",SUMIFS('2025数据'!$BR$3:$BR$181,'2025数据'!$X$3:$X$181,"&gt;="&amp;DATE(2025,4,1),'2025数据'!$X$3:$X$181,"&lt;="&amp;DATE(2025,4,30),'2025数据'!$B$3:$B$181,$E1783)/10000)</f>
        <v>0</v>
      </c>
      <c r="J1783" s="51">
        <f ca="1">IF($S$1&lt;DATE(2025,5,1)," ",SUMIFS('2025数据'!$BR$3:$BR$181,'2025数据'!$X$3:$X$181,"&gt;="&amp;DATE(2025,5,1),'2025数据'!$X$3:$X$181,"&lt;="&amp;DATE(2025,5,31),'2025数据'!$B$3:$B$181,$E1783)/10000)</f>
        <v>0</v>
      </c>
      <c r="K1783" s="51">
        <f ca="1">IF($S$1&lt;DATE(2025,6,1)," ",SUMIFS('2025数据'!$BR$3:$BR$181,'2025数据'!$X$3:$X$181,"&gt;="&amp;DATE(2025,6,1),'2025数据'!$X$3:$X$181,"&lt;="&amp;DATE(2025,6,30),'2025数据'!$B$3:$B$181,$E1783)/10000)</f>
        <v>0</v>
      </c>
      <c r="L1783" s="51">
        <f ca="1">IF($S$1&lt;DATE(2025,7,1)," ",SUMIFS('2025数据'!$BR$3:$BR$181,'2025数据'!$X$3:$X$181,"&gt;="&amp;DATE(2025,7,1),'2025数据'!$X$3:$X$181,"&lt;="&amp;DATE(2025,7,31),'2025数据'!$B$3:$B$181,$E1783)/10000)</f>
        <v>0</v>
      </c>
      <c r="M1783" s="51">
        <f ca="1">IF($S$1&lt;DATE(2025,8,1)," ",SUMIFS('2025数据'!$BR$3:$BR$181,'2025数据'!$X$3:$X$181,"&gt;="&amp;DATE(2025,8,1),'2025数据'!$X$3:$X$181,"&lt;="&amp;DATE(2025,8,31),'2025数据'!$B$3:$B$181,$E1783)/10000)</f>
        <v>1.18652</v>
      </c>
      <c r="N1783" s="51">
        <f ca="1">IF($S$1&lt;DATE(2025,9,1)," ",SUMIFS('2025数据'!$BR$3:$BR$181,'2025数据'!$X$3:$X$181,"&gt;="&amp;DATE(2025,9,1),'2025数据'!$X$3:$X$181,"&lt;="&amp;DATE(2025,9,30),'2025数据'!$B$3:$B$181,$E1783)/10000)</f>
        <v>0.469865</v>
      </c>
      <c r="O1783" s="51">
        <f ca="1">IF($S$1&lt;DATE(2025,10,1)," ",SUMIFS('2025数据'!$BR$3:$BR$181,'2025数据'!$X$3:$X$181,"&gt;="&amp;DATE(2025,10,1),'2025数据'!$X$3:$X$181,"&lt;="&amp;DATE(2025,10,31),'2025数据'!$B$3:$B$181,$E1783)/10000)</f>
        <v>0</v>
      </c>
      <c r="P1783" s="217">
        <f ca="1">IF($S$1&lt;DATE(2025,11,1)," ",SUMIFS('2025数据'!$BR$3:$BR$181,'2025数据'!$X$3:$X$181,"&gt;="&amp;DATE(2025,11,1),'2025数据'!$X$3:$X$181,"&lt;="&amp;DATE(2025,11,30),'2025数据'!$B$3:$B$181,$E1783)/10000)</f>
        <v>0</v>
      </c>
      <c r="Q1783" s="217">
        <f ca="1">IF($S$1&lt;DATE(2025,12,1)," ",SUMIFS('2025数据'!$BR$3:$BR$181,'2025数据'!$X$3:$X$181,"&gt;="&amp;DATE(2025,12,1),'2025数据'!$X$3:$X$181,"&lt;="&amp;DATE(2025,12,31),'2025数据'!$B$3:$B$181,$E1783)/10000)</f>
        <v>0</v>
      </c>
    </row>
    <row r="1784" ht="24" customHeight="1" spans="1:17">
      <c r="A1784" s="99" t="s">
        <v>349</v>
      </c>
      <c r="B1784" s="99" t="s">
        <v>299</v>
      </c>
      <c r="C1784" s="99" t="s">
        <v>333</v>
      </c>
      <c r="D1784" s="47" t="s">
        <v>294</v>
      </c>
      <c r="E1784" s="47" t="s">
        <v>96</v>
      </c>
      <c r="F1784" s="51">
        <f ca="1">IF($S$1&lt;DATE(2025,1,1)," ",SUMIFS('2025数据'!$BR$3:$BR$181,'2025数据'!$X$3:$X$181,"&gt;="&amp;DATE(2025,1,1),'2025数据'!$X$3:$X$181,"&lt;="&amp;DATE(2025,1,31),'2025数据'!$B$3:$B$181,$E1784)/10000)</f>
        <v>0</v>
      </c>
      <c r="G1784" s="51">
        <f ca="1">IF($S$1&lt;DATE(2025,2,1)," ",SUMIFS('2025数据'!$BR$3:$BR$181,'2025数据'!$X$3:$X$181,"&gt;="&amp;DATE(2025,2,1),'2025数据'!$X$3:$X$181,"&lt;="&amp;DATE(2025,2,28),'2025数据'!$B$3:$B$181,$E1784)/10000)</f>
        <v>0</v>
      </c>
      <c r="H1784" s="51">
        <f ca="1">IF($S$1&lt;DATE(2025,3,1)," ",SUMIFS('2025数据'!$BR$3:$BR$181,'2025数据'!$X$3:$X$181,"&gt;="&amp;DATE(2025,3,1),'2025数据'!$X$3:$X$181,"&lt;="&amp;DATE(2025,3,31),'2025数据'!$B$3:$B$181,$E1784)/10000)</f>
        <v>0</v>
      </c>
      <c r="I1784" s="51">
        <f ca="1">IF($S$1&lt;DATE(2025,4,1)," ",SUMIFS('2025数据'!$BR$3:$BR$181,'2025数据'!$X$3:$X$181,"&gt;="&amp;DATE(2025,4,1),'2025数据'!$X$3:$X$181,"&lt;="&amp;DATE(2025,4,30),'2025数据'!$B$3:$B$181,$E1784)/10000)</f>
        <v>0</v>
      </c>
      <c r="J1784" s="51">
        <f ca="1">IF($S$1&lt;DATE(2025,5,1)," ",SUMIFS('2025数据'!$BR$3:$BR$181,'2025数据'!$X$3:$X$181,"&gt;="&amp;DATE(2025,5,1),'2025数据'!$X$3:$X$181,"&lt;="&amp;DATE(2025,5,31),'2025数据'!$B$3:$B$181,$E1784)/10000)</f>
        <v>0</v>
      </c>
      <c r="K1784" s="51">
        <f ca="1">IF($S$1&lt;DATE(2025,6,1)," ",SUMIFS('2025数据'!$BR$3:$BR$181,'2025数据'!$X$3:$X$181,"&gt;="&amp;DATE(2025,6,1),'2025数据'!$X$3:$X$181,"&lt;="&amp;DATE(2025,6,30),'2025数据'!$B$3:$B$181,$E1784)/10000)</f>
        <v>0</v>
      </c>
      <c r="L1784" s="51">
        <f ca="1">IF($S$1&lt;DATE(2025,7,1)," ",SUMIFS('2025数据'!$BR$3:$BR$181,'2025数据'!$X$3:$X$181,"&gt;="&amp;DATE(2025,7,1),'2025数据'!$X$3:$X$181,"&lt;="&amp;DATE(2025,7,31),'2025数据'!$B$3:$B$181,$E1784)/10000)</f>
        <v>0</v>
      </c>
      <c r="M1784" s="51">
        <f ca="1">IF($S$1&lt;DATE(2025,8,1)," ",SUMIFS('2025数据'!$BR$3:$BR$181,'2025数据'!$X$3:$X$181,"&gt;="&amp;DATE(2025,8,1),'2025数据'!$X$3:$X$181,"&lt;="&amp;DATE(2025,8,31),'2025数据'!$B$3:$B$181,$E1784)/10000)</f>
        <v>0</v>
      </c>
      <c r="N1784" s="51">
        <f ca="1">IF($S$1&lt;DATE(2025,9,1)," ",SUMIFS('2025数据'!$BR$3:$BR$181,'2025数据'!$X$3:$X$181,"&gt;="&amp;DATE(2025,9,1),'2025数据'!$X$3:$X$181,"&lt;="&amp;DATE(2025,9,30),'2025数据'!$B$3:$B$181,$E1784)/10000)</f>
        <v>0</v>
      </c>
      <c r="O1784" s="51">
        <f ca="1">IF($S$1&lt;DATE(2025,10,1)," ",SUMIFS('2025数据'!$BR$3:$BR$181,'2025数据'!$X$3:$X$181,"&gt;="&amp;DATE(2025,10,1),'2025数据'!$X$3:$X$181,"&lt;="&amp;DATE(2025,10,31),'2025数据'!$B$3:$B$181,$E1784)/10000)</f>
        <v>0</v>
      </c>
      <c r="P1784" s="217">
        <f ca="1">IF($S$1&lt;DATE(2025,11,1)," ",SUMIFS('2025数据'!$BR$3:$BR$181,'2025数据'!$X$3:$X$181,"&gt;="&amp;DATE(2025,11,1),'2025数据'!$X$3:$X$181,"&lt;="&amp;DATE(2025,11,30),'2025数据'!$B$3:$B$181,$E1784)/10000)</f>
        <v>0</v>
      </c>
      <c r="Q1784" s="217">
        <f ca="1">IF($S$1&lt;DATE(2025,12,1)," ",SUMIFS('2025数据'!$BR$3:$BR$181,'2025数据'!$X$3:$X$181,"&gt;="&amp;DATE(2025,12,1),'2025数据'!$X$3:$X$181,"&lt;="&amp;DATE(2025,12,31),'2025数据'!$B$3:$B$181,$E1784)/10000)</f>
        <v>0</v>
      </c>
    </row>
    <row r="1785" ht="24" customHeight="1" spans="1:17">
      <c r="A1785" s="99" t="s">
        <v>349</v>
      </c>
      <c r="B1785" s="99" t="s">
        <v>299</v>
      </c>
      <c r="C1785" s="99" t="s">
        <v>333</v>
      </c>
      <c r="D1785" s="47" t="s">
        <v>294</v>
      </c>
      <c r="E1785" s="47" t="s">
        <v>160</v>
      </c>
      <c r="F1785" s="51">
        <f ca="1">IF($S$1&lt;DATE(2025,1,1)," ",SUMIFS('2025数据'!$BR$3:$BR$181,'2025数据'!$X$3:$X$181,"&gt;="&amp;DATE(2025,1,1),'2025数据'!$X$3:$X$181,"&lt;="&amp;DATE(2025,1,31),'2025数据'!$B$3:$B$181,$E1785)/10000)</f>
        <v>0</v>
      </c>
      <c r="G1785" s="51">
        <f ca="1">IF($S$1&lt;DATE(2025,2,1)," ",SUMIFS('2025数据'!$BR$3:$BR$181,'2025数据'!$X$3:$X$181,"&gt;="&amp;DATE(2025,2,1),'2025数据'!$X$3:$X$181,"&lt;="&amp;DATE(2025,2,28),'2025数据'!$B$3:$B$181,$E1785)/10000)</f>
        <v>0</v>
      </c>
      <c r="H1785" s="51">
        <f ca="1">IF($S$1&lt;DATE(2025,3,1)," ",SUMIFS('2025数据'!$BR$3:$BR$181,'2025数据'!$X$3:$X$181,"&gt;="&amp;DATE(2025,3,1),'2025数据'!$X$3:$X$181,"&lt;="&amp;DATE(2025,3,31),'2025数据'!$B$3:$B$181,$E1785)/10000)</f>
        <v>0</v>
      </c>
      <c r="I1785" s="51">
        <f ca="1">IF($S$1&lt;DATE(2025,4,1)," ",SUMIFS('2025数据'!$BR$3:$BR$181,'2025数据'!$X$3:$X$181,"&gt;="&amp;DATE(2025,4,1),'2025数据'!$X$3:$X$181,"&lt;="&amp;DATE(2025,4,30),'2025数据'!$B$3:$B$181,$E1785)/10000)</f>
        <v>0</v>
      </c>
      <c r="J1785" s="51">
        <f ca="1">IF($S$1&lt;DATE(2025,5,1)," ",SUMIFS('2025数据'!$BR$3:$BR$181,'2025数据'!$X$3:$X$181,"&gt;="&amp;DATE(2025,5,1),'2025数据'!$X$3:$X$181,"&lt;="&amp;DATE(2025,5,31),'2025数据'!$B$3:$B$181,$E1785)/10000)</f>
        <v>0</v>
      </c>
      <c r="K1785" s="51">
        <f ca="1">IF($S$1&lt;DATE(2025,6,1)," ",SUMIFS('2025数据'!$BR$3:$BR$181,'2025数据'!$X$3:$X$181,"&gt;="&amp;DATE(2025,6,1),'2025数据'!$X$3:$X$181,"&lt;="&amp;DATE(2025,6,30),'2025数据'!$B$3:$B$181,$E1785)/10000)</f>
        <v>0</v>
      </c>
      <c r="L1785" s="51">
        <f ca="1">IF($S$1&lt;DATE(2025,7,1)," ",SUMIFS('2025数据'!$BR$3:$BR$181,'2025数据'!$X$3:$X$181,"&gt;="&amp;DATE(2025,7,1),'2025数据'!$X$3:$X$181,"&lt;="&amp;DATE(2025,7,31),'2025数据'!$B$3:$B$181,$E1785)/10000)</f>
        <v>0</v>
      </c>
      <c r="M1785" s="51">
        <f ca="1">IF($S$1&lt;DATE(2025,8,1)," ",SUMIFS('2025数据'!$BR$3:$BR$181,'2025数据'!$X$3:$X$181,"&gt;="&amp;DATE(2025,8,1),'2025数据'!$X$3:$X$181,"&lt;="&amp;DATE(2025,8,31),'2025数据'!$B$3:$B$181,$E1785)/10000)</f>
        <v>0</v>
      </c>
      <c r="N1785" s="51">
        <f ca="1">IF($S$1&lt;DATE(2025,9,1)," ",SUMIFS('2025数据'!$BR$3:$BR$181,'2025数据'!$X$3:$X$181,"&gt;="&amp;DATE(2025,9,1),'2025数据'!$X$3:$X$181,"&lt;="&amp;DATE(2025,9,30),'2025数据'!$B$3:$B$181,$E1785)/10000)</f>
        <v>0</v>
      </c>
      <c r="O1785" s="51">
        <f ca="1">IF($S$1&lt;DATE(2025,10,1)," ",SUMIFS('2025数据'!$BR$3:$BR$181,'2025数据'!$X$3:$X$181,"&gt;="&amp;DATE(2025,10,1),'2025数据'!$X$3:$X$181,"&lt;="&amp;DATE(2025,10,31),'2025数据'!$B$3:$B$181,$E1785)/10000)</f>
        <v>0</v>
      </c>
      <c r="P1785" s="217">
        <f ca="1">IF($S$1&lt;DATE(2025,11,1)," ",SUMIFS('2025数据'!$BR$3:$BR$181,'2025数据'!$X$3:$X$181,"&gt;="&amp;DATE(2025,11,1),'2025数据'!$X$3:$X$181,"&lt;="&amp;DATE(2025,11,30),'2025数据'!$B$3:$B$181,$E1785)/10000)</f>
        <v>0</v>
      </c>
      <c r="Q1785" s="217">
        <f ca="1">IF($S$1&lt;DATE(2025,12,1)," ",SUMIFS('2025数据'!$BR$3:$BR$181,'2025数据'!$X$3:$X$181,"&gt;="&amp;DATE(2025,12,1),'2025数据'!$X$3:$X$181,"&lt;="&amp;DATE(2025,12,31),'2025数据'!$B$3:$B$181,$E1785)/10000)</f>
        <v>0</v>
      </c>
    </row>
    <row r="1786" ht="24" customHeight="1" spans="1:17">
      <c r="A1786" s="99" t="s">
        <v>349</v>
      </c>
      <c r="B1786" s="99" t="s">
        <v>299</v>
      </c>
      <c r="C1786" s="99" t="s">
        <v>334</v>
      </c>
      <c r="D1786" s="213" t="s">
        <v>292</v>
      </c>
      <c r="E1786" s="213" t="s">
        <v>300</v>
      </c>
      <c r="F1786" s="216">
        <f ca="1">IF($S$1&lt;DATE(2025,1,1)," ",SUM(F1787:F1791))</f>
        <v>0</v>
      </c>
      <c r="G1786" s="216">
        <f ca="1">IF($S$1&lt;DATE(2025,2,1)," ",SUM(G1787:G1791))</f>
        <v>0</v>
      </c>
      <c r="H1786" s="216">
        <f ca="1">IF($S$1&lt;DATE(2025,3,1)," ",SUM(H1787:H1791))</f>
        <v>0.7056</v>
      </c>
      <c r="I1786" s="216">
        <f ca="1">IF($S$1&lt;DATE(2025,4,1)," ",SUM(I1787:I1791))</f>
        <v>0</v>
      </c>
      <c r="J1786" s="216">
        <f ca="1">IF($S$1&lt;DATE(2025,5,1)," ",SUM(J1787:J1791))</f>
        <v>0</v>
      </c>
      <c r="K1786" s="216">
        <f ca="1">IF($S$1&lt;DATE(2025,6,1)," ",SUM(K1787:K1791))</f>
        <v>0</v>
      </c>
      <c r="L1786" s="216">
        <f ca="1">IF($S$1&lt;DATE(2025,7,1)," ",SUM(L1787:L1791))</f>
        <v>1.1551</v>
      </c>
      <c r="M1786" s="216">
        <f ca="1">IF($S$1&lt;DATE(2025,8,1)," ",SUM(M1787:M1791))</f>
        <v>1.27542</v>
      </c>
      <c r="N1786" s="216">
        <f ca="1">IF($S$1&lt;DATE(2025,9,1)," ",SUM(N1787:N1791))</f>
        <v>1.369765</v>
      </c>
      <c r="O1786" s="216">
        <f ca="1">IF($S$1&lt;DATE(2025,10,1)," ",SUM(O1787:O1791))</f>
        <v>1.10426</v>
      </c>
      <c r="P1786" s="216">
        <f ca="1">IF($S$1&lt;DATE(2025,11,1)," ",SUM(P1787:P1791))</f>
        <v>3.944409</v>
      </c>
      <c r="Q1786" s="216">
        <f ca="1">IF($S$1&lt;DATE(2025,12,1)," ",SUM(Q1787:Q1791))</f>
        <v>0</v>
      </c>
    </row>
    <row r="1787" ht="24" customHeight="1" spans="1:17">
      <c r="A1787" s="99" t="s">
        <v>349</v>
      </c>
      <c r="B1787" s="99" t="s">
        <v>299</v>
      </c>
      <c r="C1787" s="99" t="s">
        <v>334</v>
      </c>
      <c r="D1787" s="214" t="s">
        <v>294</v>
      </c>
      <c r="E1787" s="214" t="s">
        <v>93</v>
      </c>
      <c r="F1787" s="51">
        <f ca="1">IF($S$1&lt;DATE(2025,1,1)," ",SUMIFS('2025数据'!$BQ$3:$BQ$181,'2025数据'!$X$3:$X$181,"&gt;="&amp;DATE(2025,1,1),'2025数据'!$X$3:$X$181,"&lt;="&amp;DATE(2025,1,31),'2025数据'!$B$3:$B$181,$E1787)/10000)</f>
        <v>0</v>
      </c>
      <c r="G1787" s="51">
        <f ca="1">IF($S$1&lt;DATE(2025,2,1)," ",SUMIFS('2025数据'!$BQ$3:$BQ$181,'2025数据'!$X$3:$X$181,"&gt;="&amp;DATE(2025,2,1),'2025数据'!$X$3:$X$181,"&lt;="&amp;DATE(2025,2,28),'2025数据'!$B$3:$B$181,$E1787)/10000)</f>
        <v>0</v>
      </c>
      <c r="H1787" s="51">
        <f ca="1">IF($S$1&lt;DATE(2025,3,1)," ",SUMIFS('2025数据'!$BQ$3:$BQ$181,'2025数据'!$X$3:$X$181,"&gt;="&amp;DATE(2025,3,1),'2025数据'!$X$3:$X$181,"&lt;="&amp;DATE(2025,3,31),'2025数据'!$B$3:$B$181,$E1787)/10000)</f>
        <v>0</v>
      </c>
      <c r="I1787" s="51">
        <f ca="1">IF($S$1&lt;DATE(2025,4,1)," ",SUMIFS('2025数据'!$BQ$3:$BQ$181,'2025数据'!$X$3:$X$181,"&gt;="&amp;DATE(2025,4,1),'2025数据'!$X$3:$X$181,"&lt;="&amp;DATE(2025,4,30),'2025数据'!$B$3:$B$181,$E1787)/10000)</f>
        <v>0</v>
      </c>
      <c r="J1787" s="51">
        <f ca="1">IF($S$1&lt;DATE(2025,5,1)," ",SUMIFS('2025数据'!$BQ$3:$BQ$181,'2025数据'!$X$3:$X$181,"&gt;="&amp;DATE(2025,5,1),'2025数据'!$X$3:$X$181,"&lt;="&amp;DATE(2025,5,31),'2025数据'!$B$3:$B$181,$E1787)/10000)</f>
        <v>0</v>
      </c>
      <c r="K1787" s="51">
        <f ca="1">IF($S$1&lt;DATE(2025,6,1)," ",SUMIFS('2025数据'!$BQ$3:$BQ$181,'2025数据'!$X$3:$X$181,"&gt;="&amp;DATE(2025,6,1),'2025数据'!$X$3:$X$181,"&lt;="&amp;DATE(2025,6,30),'2025数据'!$B$3:$B$181,$E1787)/10000)</f>
        <v>0</v>
      </c>
      <c r="L1787" s="51">
        <f ca="1">IF($S$1&lt;DATE(2025,7,1)," ",SUMIFS('2025数据'!$BQ$3:$BQ$181,'2025数据'!$X$3:$X$181,"&gt;="&amp;DATE(2025,7,1),'2025数据'!$X$3:$X$181,"&lt;="&amp;DATE(2025,7,31),'2025数据'!$B$3:$B$181,$E1787)/10000)</f>
        <v>0</v>
      </c>
      <c r="M1787" s="51">
        <f ca="1">IF($S$1&lt;DATE(2025,8,1)," ",SUMIFS('2025数据'!$BQ$3:$BQ$181,'2025数据'!$X$3:$X$181,"&gt;="&amp;DATE(2025,8,1),'2025数据'!$X$3:$X$181,"&lt;="&amp;DATE(2025,8,31),'2025数据'!$B$3:$B$181,$E1787)/10000)</f>
        <v>0.0889</v>
      </c>
      <c r="N1787" s="51">
        <f ca="1">IF($S$1&lt;DATE(2025,9,1)," ",SUMIFS('2025数据'!$BQ$3:$BQ$181,'2025数据'!$X$3:$X$181,"&gt;="&amp;DATE(2025,9,1),'2025数据'!$X$3:$X$181,"&lt;="&amp;DATE(2025,9,30),'2025数据'!$B$3:$B$181,$E1787)/10000)</f>
        <v>0.8999</v>
      </c>
      <c r="O1787" s="51">
        <f ca="1">IF($S$1&lt;DATE(2025,10,1)," ",SUMIFS('2025数据'!$BQ$3:$BQ$181,'2025数据'!$X$3:$X$181,"&gt;="&amp;DATE(2025,10,1),'2025数据'!$X$3:$X$181,"&lt;="&amp;DATE(2025,10,31),'2025数据'!$B$3:$B$181,$E1787)/10000)</f>
        <v>1.10426</v>
      </c>
      <c r="P1787" s="217">
        <f ca="1">IF($S$1&lt;DATE(2025,11,1)," ",SUMIFS('2025数据'!$BQ$3:$BQ$181,'2025数据'!$X$3:$X$181,"&gt;="&amp;DATE(2025,11,1),'2025数据'!$X$3:$X$181,"&lt;="&amp;DATE(2025,11,30),'2025数据'!$B$3:$B$181,$E1787)/10000)</f>
        <v>3.944409</v>
      </c>
      <c r="Q1787" s="217">
        <f ca="1">IF($S$1&lt;DATE(2025,12,1)," ",SUMIFS('2025数据'!$BQ$3:$BQ$181,'2025数据'!$X$3:$X$181,"&gt;="&amp;DATE(2025,12,1),'2025数据'!$X$3:$X$181,"&lt;="&amp;DATE(2025,12,31),'2025数据'!$B$3:$B$181,$E1787)/10000)</f>
        <v>0</v>
      </c>
    </row>
    <row r="1788" ht="24" customHeight="1" spans="1:17">
      <c r="A1788" s="99" t="s">
        <v>349</v>
      </c>
      <c r="B1788" s="99" t="s">
        <v>299</v>
      </c>
      <c r="C1788" s="99" t="s">
        <v>334</v>
      </c>
      <c r="D1788" s="214" t="s">
        <v>294</v>
      </c>
      <c r="E1788" s="214" t="s">
        <v>85</v>
      </c>
      <c r="F1788" s="51">
        <f ca="1">IF($S$1&lt;DATE(2025,1,1)," ",SUMIFS('2025数据'!$BQ$3:$BQ$181,'2025数据'!$X$3:$X$181,"&gt;="&amp;DATE(2025,1,1),'2025数据'!$X$3:$X$181,"&lt;="&amp;DATE(2025,1,31),'2025数据'!$B$3:$B$181,$E1788)/10000)</f>
        <v>0</v>
      </c>
      <c r="G1788" s="51">
        <f ca="1">IF($S$1&lt;DATE(2025,2,1)," ",SUMIFS('2025数据'!$BQ$3:$BQ$181,'2025数据'!$X$3:$X$181,"&gt;="&amp;DATE(2025,2,1),'2025数据'!$X$3:$X$181,"&lt;="&amp;DATE(2025,2,28),'2025数据'!$B$3:$B$181,$E1788)/10000)</f>
        <v>0</v>
      </c>
      <c r="H1788" s="51">
        <f ca="1">IF($S$1&lt;DATE(2025,3,1)," ",SUMIFS('2025数据'!$BQ$3:$BQ$181,'2025数据'!$X$3:$X$181,"&gt;="&amp;DATE(2025,3,1),'2025数据'!$X$3:$X$181,"&lt;="&amp;DATE(2025,3,31),'2025数据'!$B$3:$B$181,$E1788)/10000)</f>
        <v>0.7056</v>
      </c>
      <c r="I1788" s="51">
        <f ca="1">IF($S$1&lt;DATE(2025,4,1)," ",SUMIFS('2025数据'!$BQ$3:$BQ$181,'2025数据'!$X$3:$X$181,"&gt;="&amp;DATE(2025,4,1),'2025数据'!$X$3:$X$181,"&lt;="&amp;DATE(2025,4,30),'2025数据'!$B$3:$B$181,$E1788)/10000)</f>
        <v>0</v>
      </c>
      <c r="J1788" s="51">
        <f ca="1">IF($S$1&lt;DATE(2025,5,1)," ",SUMIFS('2025数据'!$BQ$3:$BQ$181,'2025数据'!$X$3:$X$181,"&gt;="&amp;DATE(2025,5,1),'2025数据'!$X$3:$X$181,"&lt;="&amp;DATE(2025,5,31),'2025数据'!$B$3:$B$181,$E1788)/10000)</f>
        <v>0</v>
      </c>
      <c r="K1788" s="51">
        <f ca="1">IF($S$1&lt;DATE(2025,6,1)," ",SUMIFS('2025数据'!$BQ$3:$BQ$181,'2025数据'!$X$3:$X$181,"&gt;="&amp;DATE(2025,6,1),'2025数据'!$X$3:$X$181,"&lt;="&amp;DATE(2025,6,30),'2025数据'!$B$3:$B$181,$E1788)/10000)</f>
        <v>0</v>
      </c>
      <c r="L1788" s="51">
        <f ca="1">IF($S$1&lt;DATE(2025,7,1)," ",SUMIFS('2025数据'!$BQ$3:$BQ$181,'2025数据'!$X$3:$X$181,"&gt;="&amp;DATE(2025,7,1),'2025数据'!$X$3:$X$181,"&lt;="&amp;DATE(2025,7,31),'2025数据'!$B$3:$B$181,$E1788)/10000)</f>
        <v>1.1551</v>
      </c>
      <c r="M1788" s="51">
        <f ca="1">IF($S$1&lt;DATE(2025,8,1)," ",SUMIFS('2025数据'!$BQ$3:$BQ$181,'2025数据'!$X$3:$X$181,"&gt;="&amp;DATE(2025,8,1),'2025数据'!$X$3:$X$181,"&lt;="&amp;DATE(2025,8,31),'2025数据'!$B$3:$B$181,$E1788)/10000)</f>
        <v>0</v>
      </c>
      <c r="N1788" s="51">
        <f ca="1">IF($S$1&lt;DATE(2025,9,1)," ",SUMIFS('2025数据'!$BQ$3:$BQ$181,'2025数据'!$X$3:$X$181,"&gt;="&amp;DATE(2025,9,1),'2025数据'!$X$3:$X$181,"&lt;="&amp;DATE(2025,9,30),'2025数据'!$B$3:$B$181,$E1788)/10000)</f>
        <v>0</v>
      </c>
      <c r="O1788" s="51">
        <f ca="1">IF($S$1&lt;DATE(2025,10,1)," ",SUMIFS('2025数据'!$BQ$3:$BQ$181,'2025数据'!$X$3:$X$181,"&gt;="&amp;DATE(2025,10,1),'2025数据'!$X$3:$X$181,"&lt;="&amp;DATE(2025,10,31),'2025数据'!$B$3:$B$181,$E1788)/10000)</f>
        <v>0</v>
      </c>
      <c r="P1788" s="217">
        <f ca="1">IF($S$1&lt;DATE(2025,11,1)," ",SUMIFS('2025数据'!$BQ$3:$BQ$181,'2025数据'!$X$3:$X$181,"&gt;="&amp;DATE(2025,11,1),'2025数据'!$X$3:$X$181,"&lt;="&amp;DATE(2025,11,30),'2025数据'!$B$3:$B$181,$E1788)/10000)</f>
        <v>0</v>
      </c>
      <c r="Q1788" s="217">
        <f ca="1">IF($S$1&lt;DATE(2025,12,1)," ",SUMIFS('2025数据'!$BQ$3:$BQ$181,'2025数据'!$X$3:$X$181,"&gt;="&amp;DATE(2025,12,1),'2025数据'!$X$3:$X$181,"&lt;="&amp;DATE(2025,12,31),'2025数据'!$B$3:$B$181,$E1788)/10000)</f>
        <v>0</v>
      </c>
    </row>
    <row r="1789" ht="24" customHeight="1" spans="1:17">
      <c r="A1789" s="99" t="s">
        <v>349</v>
      </c>
      <c r="B1789" s="99" t="s">
        <v>299</v>
      </c>
      <c r="C1789" s="99" t="s">
        <v>334</v>
      </c>
      <c r="D1789" s="214" t="s">
        <v>294</v>
      </c>
      <c r="E1789" s="214" t="s">
        <v>81</v>
      </c>
      <c r="F1789" s="51">
        <f ca="1">IF($S$1&lt;DATE(2025,1,1)," ",SUMIFS('2025数据'!$BQ$3:$BQ$181,'2025数据'!$X$3:$X$181,"&gt;="&amp;DATE(2025,1,1),'2025数据'!$X$3:$X$181,"&lt;="&amp;DATE(2025,1,31),'2025数据'!$B$3:$B$181,$E1789)/10000)</f>
        <v>0</v>
      </c>
      <c r="G1789" s="51">
        <f ca="1">IF($S$1&lt;DATE(2025,2,1)," ",SUMIFS('2025数据'!$BQ$3:$BQ$181,'2025数据'!$X$3:$X$181,"&gt;="&amp;DATE(2025,2,1),'2025数据'!$X$3:$X$181,"&lt;="&amp;DATE(2025,2,28),'2025数据'!$B$3:$B$181,$E1789)/10000)</f>
        <v>0</v>
      </c>
      <c r="H1789" s="51">
        <f ca="1">IF($S$1&lt;DATE(2025,3,1)," ",SUMIFS('2025数据'!$BQ$3:$BQ$181,'2025数据'!$X$3:$X$181,"&gt;="&amp;DATE(2025,3,1),'2025数据'!$X$3:$X$181,"&lt;="&amp;DATE(2025,3,31),'2025数据'!$B$3:$B$181,$E1789)/10000)</f>
        <v>0</v>
      </c>
      <c r="I1789" s="51">
        <f ca="1">IF($S$1&lt;DATE(2025,4,1)," ",SUMIFS('2025数据'!$BQ$3:$BQ$181,'2025数据'!$X$3:$X$181,"&gt;="&amp;DATE(2025,4,1),'2025数据'!$X$3:$X$181,"&lt;="&amp;DATE(2025,4,30),'2025数据'!$B$3:$B$181,$E1789)/10000)</f>
        <v>0</v>
      </c>
      <c r="J1789" s="51">
        <f ca="1">IF($S$1&lt;DATE(2025,5,1)," ",SUMIFS('2025数据'!$BQ$3:$BQ$181,'2025数据'!$X$3:$X$181,"&gt;="&amp;DATE(2025,5,1),'2025数据'!$X$3:$X$181,"&lt;="&amp;DATE(2025,5,31),'2025数据'!$B$3:$B$181,$E1789)/10000)</f>
        <v>0</v>
      </c>
      <c r="K1789" s="51">
        <f ca="1">IF($S$1&lt;DATE(2025,6,1)," ",SUMIFS('2025数据'!$BQ$3:$BQ$181,'2025数据'!$X$3:$X$181,"&gt;="&amp;DATE(2025,6,1),'2025数据'!$X$3:$X$181,"&lt;="&amp;DATE(2025,6,30),'2025数据'!$B$3:$B$181,$E1789)/10000)</f>
        <v>0</v>
      </c>
      <c r="L1789" s="51">
        <f ca="1">IF($S$1&lt;DATE(2025,7,1)," ",SUMIFS('2025数据'!$BQ$3:$BQ$181,'2025数据'!$X$3:$X$181,"&gt;="&amp;DATE(2025,7,1),'2025数据'!$X$3:$X$181,"&lt;="&amp;DATE(2025,7,31),'2025数据'!$B$3:$B$181,$E1789)/10000)</f>
        <v>0</v>
      </c>
      <c r="M1789" s="51">
        <f ca="1">IF($S$1&lt;DATE(2025,8,1)," ",SUMIFS('2025数据'!$BQ$3:$BQ$181,'2025数据'!$X$3:$X$181,"&gt;="&amp;DATE(2025,8,1),'2025数据'!$X$3:$X$181,"&lt;="&amp;DATE(2025,8,31),'2025数据'!$B$3:$B$181,$E1789)/10000)</f>
        <v>1.18652</v>
      </c>
      <c r="N1789" s="51">
        <f ca="1">IF($S$1&lt;DATE(2025,9,1)," ",SUMIFS('2025数据'!$BQ$3:$BQ$181,'2025数据'!$X$3:$X$181,"&gt;="&amp;DATE(2025,9,1),'2025数据'!$X$3:$X$181,"&lt;="&amp;DATE(2025,9,30),'2025数据'!$B$3:$B$181,$E1789)/10000)</f>
        <v>0.469865</v>
      </c>
      <c r="O1789" s="51">
        <f ca="1">IF($S$1&lt;DATE(2025,10,1)," ",SUMIFS('2025数据'!$BQ$3:$BQ$181,'2025数据'!$X$3:$X$181,"&gt;="&amp;DATE(2025,10,1),'2025数据'!$X$3:$X$181,"&lt;="&amp;DATE(2025,10,31),'2025数据'!$B$3:$B$181,$E1789)/10000)</f>
        <v>0</v>
      </c>
      <c r="P1789" s="217">
        <f ca="1">IF($S$1&lt;DATE(2025,11,1)," ",SUMIFS('2025数据'!$BQ$3:$BQ$181,'2025数据'!$X$3:$X$181,"&gt;="&amp;DATE(2025,11,1),'2025数据'!$X$3:$X$181,"&lt;="&amp;DATE(2025,11,30),'2025数据'!$B$3:$B$181,$E1789)/10000)</f>
        <v>0</v>
      </c>
      <c r="Q1789" s="217">
        <f ca="1">IF($S$1&lt;DATE(2025,12,1)," ",SUMIFS('2025数据'!$BQ$3:$BQ$181,'2025数据'!$X$3:$X$181,"&gt;="&amp;DATE(2025,12,1),'2025数据'!$X$3:$X$181,"&lt;="&amp;DATE(2025,12,31),'2025数据'!$B$3:$B$181,$E1789)/10000)</f>
        <v>0</v>
      </c>
    </row>
    <row r="1790" ht="24" customHeight="1" spans="1:17">
      <c r="A1790" s="99" t="s">
        <v>349</v>
      </c>
      <c r="B1790" s="99" t="s">
        <v>299</v>
      </c>
      <c r="C1790" s="99" t="s">
        <v>334</v>
      </c>
      <c r="D1790" s="214" t="s">
        <v>294</v>
      </c>
      <c r="E1790" s="214" t="s">
        <v>96</v>
      </c>
      <c r="F1790" s="51">
        <f ca="1">IF($S$1&lt;DATE(2025,1,1)," ",SUMIFS('2025数据'!$BQ$3:$BQ$181,'2025数据'!$X$3:$X$181,"&gt;="&amp;DATE(2025,1,1),'2025数据'!$X$3:$X$181,"&lt;="&amp;DATE(2025,1,31),'2025数据'!$B$3:$B$181,$E1790)/10000)</f>
        <v>0</v>
      </c>
      <c r="G1790" s="51">
        <f ca="1">IF($S$1&lt;DATE(2025,2,1)," ",SUMIFS('2025数据'!$BQ$3:$BQ$181,'2025数据'!$X$3:$X$181,"&gt;="&amp;DATE(2025,2,1),'2025数据'!$X$3:$X$181,"&lt;="&amp;DATE(2025,2,28),'2025数据'!$B$3:$B$181,$E1790)/10000)</f>
        <v>0</v>
      </c>
      <c r="H1790" s="51">
        <f ca="1">IF($S$1&lt;DATE(2025,3,1)," ",SUMIFS('2025数据'!$BQ$3:$BQ$181,'2025数据'!$X$3:$X$181,"&gt;="&amp;DATE(2025,3,1),'2025数据'!$X$3:$X$181,"&lt;="&amp;DATE(2025,3,31),'2025数据'!$B$3:$B$181,$E1790)/10000)</f>
        <v>0</v>
      </c>
      <c r="I1790" s="51">
        <f ca="1">IF($S$1&lt;DATE(2025,4,1)," ",SUMIFS('2025数据'!$BQ$3:$BQ$181,'2025数据'!$X$3:$X$181,"&gt;="&amp;DATE(2025,4,1),'2025数据'!$X$3:$X$181,"&lt;="&amp;DATE(2025,4,30),'2025数据'!$B$3:$B$181,$E1790)/10000)</f>
        <v>0</v>
      </c>
      <c r="J1790" s="51">
        <f ca="1">IF($S$1&lt;DATE(2025,5,1)," ",SUMIFS('2025数据'!$BQ$3:$BQ$181,'2025数据'!$X$3:$X$181,"&gt;="&amp;DATE(2025,5,1),'2025数据'!$X$3:$X$181,"&lt;="&amp;DATE(2025,5,31),'2025数据'!$B$3:$B$181,$E1790)/10000)</f>
        <v>0</v>
      </c>
      <c r="K1790" s="51">
        <f ca="1">IF($S$1&lt;DATE(2025,6,1)," ",SUMIFS('2025数据'!$BQ$3:$BQ$181,'2025数据'!$X$3:$X$181,"&gt;="&amp;DATE(2025,6,1),'2025数据'!$X$3:$X$181,"&lt;="&amp;DATE(2025,6,30),'2025数据'!$B$3:$B$181,$E1790)/10000)</f>
        <v>0</v>
      </c>
      <c r="L1790" s="51">
        <f ca="1">IF($S$1&lt;DATE(2025,7,1)," ",SUMIFS('2025数据'!$BQ$3:$BQ$181,'2025数据'!$X$3:$X$181,"&gt;="&amp;DATE(2025,7,1),'2025数据'!$X$3:$X$181,"&lt;="&amp;DATE(2025,7,31),'2025数据'!$B$3:$B$181,$E1790)/10000)</f>
        <v>0</v>
      </c>
      <c r="M1790" s="51">
        <f ca="1">IF($S$1&lt;DATE(2025,8,1)," ",SUMIFS('2025数据'!$BQ$3:$BQ$181,'2025数据'!$X$3:$X$181,"&gt;="&amp;DATE(2025,8,1),'2025数据'!$X$3:$X$181,"&lt;="&amp;DATE(2025,8,31),'2025数据'!$B$3:$B$181,$E1790)/10000)</f>
        <v>0</v>
      </c>
      <c r="N1790" s="51">
        <f ca="1">IF($S$1&lt;DATE(2025,9,1)," ",SUMIFS('2025数据'!$BQ$3:$BQ$181,'2025数据'!$X$3:$X$181,"&gt;="&amp;DATE(2025,9,1),'2025数据'!$X$3:$X$181,"&lt;="&amp;DATE(2025,9,30),'2025数据'!$B$3:$B$181,$E1790)/10000)</f>
        <v>0</v>
      </c>
      <c r="O1790" s="51">
        <f ca="1">IF($S$1&lt;DATE(2025,10,1)," ",SUMIFS('2025数据'!$BQ$3:$BQ$181,'2025数据'!$X$3:$X$181,"&gt;="&amp;DATE(2025,10,1),'2025数据'!$X$3:$X$181,"&lt;="&amp;DATE(2025,10,31),'2025数据'!$B$3:$B$181,$E1790)/10000)</f>
        <v>0</v>
      </c>
      <c r="P1790" s="217">
        <f ca="1">IF($S$1&lt;DATE(2025,11,1)," ",SUMIFS('2025数据'!$BQ$3:$BQ$181,'2025数据'!$X$3:$X$181,"&gt;="&amp;DATE(2025,11,1),'2025数据'!$X$3:$X$181,"&lt;="&amp;DATE(2025,11,30),'2025数据'!$B$3:$B$181,$E1790)/10000)</f>
        <v>0</v>
      </c>
      <c r="Q1790" s="217">
        <f ca="1">IF($S$1&lt;DATE(2025,12,1)," ",SUMIFS('2025数据'!$BQ$3:$BQ$181,'2025数据'!$X$3:$X$181,"&gt;="&amp;DATE(2025,12,1),'2025数据'!$X$3:$X$181,"&lt;="&amp;DATE(2025,12,31),'2025数据'!$B$3:$B$181,$E1790)/10000)</f>
        <v>0</v>
      </c>
    </row>
    <row r="1791" ht="24" customHeight="1" spans="1:17">
      <c r="A1791" s="99" t="s">
        <v>349</v>
      </c>
      <c r="B1791" s="99" t="s">
        <v>299</v>
      </c>
      <c r="C1791" s="99" t="s">
        <v>334</v>
      </c>
      <c r="D1791" s="214" t="s">
        <v>294</v>
      </c>
      <c r="E1791" s="214" t="s">
        <v>160</v>
      </c>
      <c r="F1791" s="51">
        <f ca="1">IF($S$1&lt;DATE(2025,1,1)," ",SUMIFS('2025数据'!$BQ$3:$BQ$181,'2025数据'!$X$3:$X$181,"&gt;="&amp;DATE(2025,1,1),'2025数据'!$X$3:$X$181,"&lt;="&amp;DATE(2025,1,31),'2025数据'!$B$3:$B$181,$E1791)/10000)</f>
        <v>0</v>
      </c>
      <c r="G1791" s="51">
        <f ca="1">IF($S$1&lt;DATE(2025,2,1)," ",SUMIFS('2025数据'!$BQ$3:$BQ$181,'2025数据'!$X$3:$X$181,"&gt;="&amp;DATE(2025,2,1),'2025数据'!$X$3:$X$181,"&lt;="&amp;DATE(2025,2,28),'2025数据'!$B$3:$B$181,$E1791)/10000)</f>
        <v>0</v>
      </c>
      <c r="H1791" s="51">
        <f ca="1">IF($S$1&lt;DATE(2025,3,1)," ",SUMIFS('2025数据'!$BQ$3:$BQ$181,'2025数据'!$X$3:$X$181,"&gt;="&amp;DATE(2025,3,1),'2025数据'!$X$3:$X$181,"&lt;="&amp;DATE(2025,3,31),'2025数据'!$B$3:$B$181,$E1791)/10000)</f>
        <v>0</v>
      </c>
      <c r="I1791" s="51">
        <f ca="1">IF($S$1&lt;DATE(2025,4,1)," ",SUMIFS('2025数据'!$BQ$3:$BQ$181,'2025数据'!$X$3:$X$181,"&gt;="&amp;DATE(2025,4,1),'2025数据'!$X$3:$X$181,"&lt;="&amp;DATE(2025,4,30),'2025数据'!$B$3:$B$181,$E1791)/10000)</f>
        <v>0</v>
      </c>
      <c r="J1791" s="51">
        <f ca="1">IF($S$1&lt;DATE(2025,5,1)," ",SUMIFS('2025数据'!$BQ$3:$BQ$181,'2025数据'!$X$3:$X$181,"&gt;="&amp;DATE(2025,5,1),'2025数据'!$X$3:$X$181,"&lt;="&amp;DATE(2025,5,31),'2025数据'!$B$3:$B$181,$E1791)/10000)</f>
        <v>0</v>
      </c>
      <c r="K1791" s="51">
        <f ca="1">IF($S$1&lt;DATE(2025,6,1)," ",SUMIFS('2025数据'!$BQ$3:$BQ$181,'2025数据'!$X$3:$X$181,"&gt;="&amp;DATE(2025,6,1),'2025数据'!$X$3:$X$181,"&lt;="&amp;DATE(2025,6,30),'2025数据'!$B$3:$B$181,$E1791)/10000)</f>
        <v>0</v>
      </c>
      <c r="L1791" s="51">
        <f ca="1">IF($S$1&lt;DATE(2025,7,1)," ",SUMIFS('2025数据'!$BQ$3:$BQ$181,'2025数据'!$X$3:$X$181,"&gt;="&amp;DATE(2025,7,1),'2025数据'!$X$3:$X$181,"&lt;="&amp;DATE(2025,7,31),'2025数据'!$B$3:$B$181,$E1791)/10000)</f>
        <v>0</v>
      </c>
      <c r="M1791" s="51">
        <f ca="1">IF($S$1&lt;DATE(2025,8,1)," ",SUMIFS('2025数据'!$BQ$3:$BQ$181,'2025数据'!$X$3:$X$181,"&gt;="&amp;DATE(2025,8,1),'2025数据'!$X$3:$X$181,"&lt;="&amp;DATE(2025,8,31),'2025数据'!$B$3:$B$181,$E1791)/10000)</f>
        <v>0</v>
      </c>
      <c r="N1791" s="51">
        <f ca="1">IF($S$1&lt;DATE(2025,9,1)," ",SUMIFS('2025数据'!$BQ$3:$BQ$181,'2025数据'!$X$3:$X$181,"&gt;="&amp;DATE(2025,9,1),'2025数据'!$X$3:$X$181,"&lt;="&amp;DATE(2025,9,30),'2025数据'!$B$3:$B$181,$E1791)/10000)</f>
        <v>0</v>
      </c>
      <c r="O1791" s="51">
        <f ca="1">IF($S$1&lt;DATE(2025,10,1)," ",SUMIFS('2025数据'!$BQ$3:$BQ$181,'2025数据'!$X$3:$X$181,"&gt;="&amp;DATE(2025,10,1),'2025数据'!$X$3:$X$181,"&lt;="&amp;DATE(2025,10,31),'2025数据'!$B$3:$B$181,$E1791)/10000)</f>
        <v>0</v>
      </c>
      <c r="P1791" s="217">
        <f ca="1">IF($S$1&lt;DATE(2025,11,1)," ",SUMIFS('2025数据'!$BQ$3:$BQ$181,'2025数据'!$X$3:$X$181,"&gt;="&amp;DATE(2025,11,1),'2025数据'!$X$3:$X$181,"&lt;="&amp;DATE(2025,11,30),'2025数据'!$B$3:$B$181,$E1791)/10000)</f>
        <v>0</v>
      </c>
      <c r="Q1791" s="217">
        <f ca="1">IF($S$1&lt;DATE(2025,12,1)," ",SUMIFS('2025数据'!$BQ$3:$BQ$181,'2025数据'!$X$3:$X$181,"&gt;="&amp;DATE(2025,12,1),'2025数据'!$X$3:$X$181,"&lt;="&amp;DATE(2025,12,31),'2025数据'!$B$3:$B$181,$E1791)/10000)</f>
        <v>0</v>
      </c>
    </row>
    <row r="1792" ht="24" customHeight="1" spans="1:17">
      <c r="A1792" s="99" t="s">
        <v>349</v>
      </c>
      <c r="B1792" s="99" t="s">
        <v>299</v>
      </c>
      <c r="C1792" s="99" t="s">
        <v>335</v>
      </c>
      <c r="D1792" s="213" t="s">
        <v>292</v>
      </c>
      <c r="E1792" s="213" t="s">
        <v>300</v>
      </c>
      <c r="F1792" s="216">
        <f ca="1">IF($S$1&lt;DATE(2025,1,1)," ",F1786)</f>
        <v>0</v>
      </c>
      <c r="G1792" s="216">
        <f ca="1">IF($S$1&lt;DATE(2025,2,1)," ",F1792+G1786)</f>
        <v>0</v>
      </c>
      <c r="H1792" s="216">
        <f ca="1">IF($S$1&lt;DATE(2025,3,1)," ",G1792+H1786)</f>
        <v>0.7056</v>
      </c>
      <c r="I1792" s="216">
        <f ca="1">IF($S$1&lt;DATE(2025,4,1)," ",H1792+I1786)</f>
        <v>0.7056</v>
      </c>
      <c r="J1792" s="216">
        <f ca="1">IF($S$1&lt;DATE(2025,5,1)," ",I1792+J1786)</f>
        <v>0.7056</v>
      </c>
      <c r="K1792" s="216">
        <f ca="1">IF($S$1&lt;DATE(2025,6,1)," ",J1792+K1786)</f>
        <v>0.7056</v>
      </c>
      <c r="L1792" s="216">
        <f ca="1">IF($S$1&lt;DATE(2025,7,1)," ",K1792+L1786)</f>
        <v>1.8607</v>
      </c>
      <c r="M1792" s="216">
        <f ca="1">IF($S$1&lt;DATE(2025,8,1)," ",L1792+M1786)</f>
        <v>3.13612</v>
      </c>
      <c r="N1792" s="216">
        <f ca="1">IF($S$1&lt;DATE(2025,9,1)," ",M1792+N1786)</f>
        <v>4.505885</v>
      </c>
      <c r="O1792" s="216">
        <f ca="1">IF($S$1&lt;DATE(2025,10,1)," ",N1792+O1786)</f>
        <v>5.610145</v>
      </c>
      <c r="P1792" s="216">
        <f ca="1">IF($S$1&lt;DATE(2025,11,1)," ",O1792+P1786)</f>
        <v>9.554554</v>
      </c>
      <c r="Q1792" s="216">
        <f ca="1">IF($S$1&lt;DATE(2025,12,1)," ",P1792+Q1786)</f>
        <v>9.554554</v>
      </c>
    </row>
    <row r="1793" ht="24" customHeight="1" spans="1:17">
      <c r="A1793" s="99" t="s">
        <v>349</v>
      </c>
      <c r="B1793" s="99" t="s">
        <v>299</v>
      </c>
      <c r="C1793" s="99" t="s">
        <v>336</v>
      </c>
      <c r="D1793" s="114" t="s">
        <v>292</v>
      </c>
      <c r="E1793" s="114" t="s">
        <v>300</v>
      </c>
      <c r="F1793" s="215">
        <f ca="1">IF($S$1&lt;DATE(2025,1,1)," ",SUM(F1794:F1800))</f>
        <v>0</v>
      </c>
      <c r="G1793" s="215">
        <f ca="1">IF($S$1&lt;DATE(2025,2,1)," ",SUM(G1794:G1800))</f>
        <v>0</v>
      </c>
      <c r="H1793" s="215">
        <f ca="1">IF($S$1&lt;DATE(2025,3,1)," ",SUM(H1794:H1800))</f>
        <v>0.7179</v>
      </c>
      <c r="I1793" s="215">
        <f ca="1">IF($S$1&lt;DATE(2025,4,1)," ",SUM(I1794:I1800))</f>
        <v>0</v>
      </c>
      <c r="J1793" s="215">
        <f ca="1">IF($S$1&lt;DATE(2025,5,1)," ",SUM(J1794:J1800))</f>
        <v>0</v>
      </c>
      <c r="K1793" s="215">
        <f ca="1">IF($S$1&lt;DATE(2025,6,1)," ",SUM(K1794:K1800))</f>
        <v>0</v>
      </c>
      <c r="L1793" s="215">
        <f ca="1">IF($S$1&lt;DATE(2025,7,1)," ",SUM(L1794:L1800))</f>
        <v>1.1729</v>
      </c>
      <c r="M1793" s="215">
        <f ca="1">IF($S$1&lt;DATE(2025,8,1)," ",SUM(M1794:M1800))</f>
        <v>1.29703</v>
      </c>
      <c r="N1793" s="215">
        <f ca="1">IF($S$1&lt;DATE(2025,9,1)," ",SUM(N1794:N1800))</f>
        <v>1.392651</v>
      </c>
      <c r="O1793" s="215">
        <f ca="1">IF($S$1&lt;DATE(2025,10,1)," ",SUM(O1794:O1800))</f>
        <v>1.12064</v>
      </c>
      <c r="P1793" s="215">
        <f ca="1">IF($S$1&lt;DATE(2025,11,1)," ",SUM(P1794:P1800))</f>
        <v>4.008997</v>
      </c>
      <c r="Q1793" s="215">
        <f ca="1">IF($S$1&lt;DATE(2025,12,1)," ",SUM(Q1794:Q1800))</f>
        <v>0</v>
      </c>
    </row>
    <row r="1794" ht="24" customHeight="1" spans="1:17">
      <c r="A1794" s="99" t="s">
        <v>349</v>
      </c>
      <c r="B1794" s="99" t="s">
        <v>299</v>
      </c>
      <c r="C1794" s="99" t="s">
        <v>336</v>
      </c>
      <c r="D1794" s="48" t="s">
        <v>31</v>
      </c>
      <c r="E1794" s="48" t="s">
        <v>90</v>
      </c>
      <c r="F1794" s="51">
        <f ca="1">IF($S$1&lt;DATE(2025,1,1)," ",SUMIFS('2025数据'!$BP$3:$BP$181,'2025数据'!$X$3:$X$181,"&gt;="&amp;DATE(2025,1,1),'2025数据'!$X$3:$X$181,"&lt;="&amp;DATE(2025,1,31),'2025数据'!$AE$3:$AE$181,$E1794)/10000)</f>
        <v>0</v>
      </c>
      <c r="G1794" s="51">
        <f ca="1">IF($S$1&lt;DATE(2025,2,1)," ",SUMIFS('2025数据'!$BP$3:$BP$181,'2025数据'!$X$3:$X$181,"&gt;="&amp;DATE(2025,2,1),'2025数据'!$X$3:$X$181,"&lt;="&amp;DATE(2025,2,28),'2025数据'!$AE$3:$AE$181,$E1794)/10000)</f>
        <v>0</v>
      </c>
      <c r="H1794" s="51">
        <f ca="1">IF($S$1&lt;DATE(2025,3,1)," ",SUMIFS('2025数据'!$BP$3:$BP$181,'2025数据'!$X$3:$X$181,"&gt;="&amp;DATE(2025,3,1),'2025数据'!$X$3:$X$181,"&lt;="&amp;DATE(2025,3,31),'2025数据'!$AE$3:$AE$181,$E1794)/10000)</f>
        <v>0</v>
      </c>
      <c r="I1794" s="51">
        <f ca="1">IF($S$1&lt;DATE(2025,4,1)," ",SUMIFS('2025数据'!$BP$3:$BP$181,'2025数据'!$X$3:$X$181,"&gt;="&amp;DATE(2025,4,1),'2025数据'!$X$3:$X$181,"&lt;="&amp;DATE(2025,4,30),'2025数据'!$AE$3:$AE$181,$E1794)/10000)</f>
        <v>0</v>
      </c>
      <c r="J1794" s="51">
        <f ca="1">IF($S$1&lt;DATE(2025,5,1)," ",SUMIFS('2025数据'!$BP$3:$BP$181,'2025数据'!$X$3:$X$181,"&gt;="&amp;DATE(2025,5,1),'2025数据'!$X$3:$X$181,"&lt;="&amp;DATE(2025,5,31),'2025数据'!$AE$3:$AE$181,$E1794)/10000)</f>
        <v>0</v>
      </c>
      <c r="K1794" s="51">
        <f ca="1">IF($S$1&lt;DATE(2025,6,1)," ",SUMIFS('2025数据'!$BP$3:$BP$181,'2025数据'!$X$3:$X$181,"&gt;="&amp;DATE(2025,6,1),'2025数据'!$X$3:$X$181,"&lt;="&amp;DATE(2025,6,30),'2025数据'!$AE$3:$AE$181,$E1794)/10000)</f>
        <v>0</v>
      </c>
      <c r="L1794" s="51">
        <f ca="1">IF($S$1&lt;DATE(2025,7,1)," ",SUMIFS('2025数据'!$BP$3:$BP$181,'2025数据'!$X$3:$X$181,"&gt;="&amp;DATE(2025,7,1),'2025数据'!$X$3:$X$181,"&lt;="&amp;DATE(2025,7,31),'2025数据'!$AE$3:$AE$181,$E1794)/10000)</f>
        <v>0</v>
      </c>
      <c r="M1794" s="51">
        <f ca="1">IF($S$1&lt;DATE(2025,8,1)," ",SUMIFS('2025数据'!$BP$3:$BP$181,'2025数据'!$X$3:$X$181,"&gt;="&amp;DATE(2025,8,1),'2025数据'!$X$3:$X$181,"&lt;="&amp;DATE(2025,8,31),'2025数据'!$AE$3:$AE$181,$E1794)/10000)</f>
        <v>0</v>
      </c>
      <c r="N1794" s="51">
        <f ca="1">IF($S$1&lt;DATE(2025,9,1)," ",SUMIFS('2025数据'!$BP$3:$BP$181,'2025数据'!$X$3:$X$181,"&gt;="&amp;DATE(2025,9,1),'2025数据'!$X$3:$X$181,"&lt;="&amp;DATE(2025,9,30),'2025数据'!$AE$3:$AE$181,$E1794)/10000)</f>
        <v>0</v>
      </c>
      <c r="O1794" s="51">
        <f ca="1">IF($S$1&lt;DATE(2025,10,1)," ",SUMIFS('2025数据'!$BP$3:$BP$181,'2025数据'!$X$3:$X$181,"&gt;="&amp;DATE(2025,10,1),'2025数据'!$X$3:$X$181,"&lt;="&amp;DATE(2025,10,31),'2025数据'!$AE$3:$AE$181,$E1794)/10000)</f>
        <v>1.12064</v>
      </c>
      <c r="P1794" s="217">
        <f ca="1">IF($S$1&lt;DATE(2025,11,1)," ",SUMIFS('2025数据'!$BP$3:$BP$181,'2025数据'!$X$3:$X$181,"&gt;="&amp;DATE(2025,11,1),'2025数据'!$X$3:$X$181,"&lt;="&amp;DATE(2025,11,30),'2025数据'!$AE$3:$AE$181,$E1794)/10000)</f>
        <v>0</v>
      </c>
      <c r="Q1794" s="217">
        <f ca="1">IF($S$1&lt;DATE(2025,12,1)," ",SUMIFS('2025数据'!$BP$3:$BP$181,'2025数据'!$X$3:$X$181,"&gt;="&amp;DATE(2025,12,1),'2025数据'!$X$3:$X$181,"&lt;="&amp;DATE(2025,12,31),'2025数据'!$AE$3:$AE$181,$E1794)/10000)</f>
        <v>0</v>
      </c>
    </row>
    <row r="1795" ht="24" customHeight="1" spans="1:17">
      <c r="A1795" s="99" t="s">
        <v>349</v>
      </c>
      <c r="B1795" s="99" t="s">
        <v>299</v>
      </c>
      <c r="C1795" s="99" t="s">
        <v>336</v>
      </c>
      <c r="D1795" s="48" t="s">
        <v>31</v>
      </c>
      <c r="E1795" s="48" t="s">
        <v>82</v>
      </c>
      <c r="F1795" s="51">
        <f ca="1">IF($S$1&lt;DATE(2025,1,1)," ",SUMIFS('2025数据'!$BP$3:$BP$181,'2025数据'!$X$3:$X$181,"&gt;="&amp;DATE(2025,1,1),'2025数据'!$X$3:$X$181,"&lt;="&amp;DATE(2025,1,31),'2025数据'!$AE$3:$AE$181,$E1795)/10000)</f>
        <v>0</v>
      </c>
      <c r="G1795" s="51">
        <f ca="1">IF($S$1&lt;DATE(2025,2,1)," ",SUMIFS('2025数据'!$BP$3:$BP$181,'2025数据'!$X$3:$X$181,"&gt;="&amp;DATE(2025,2,1),'2025数据'!$X$3:$X$181,"&lt;="&amp;DATE(2025,2,28),'2025数据'!$AE$3:$AE$181,$E1795)/10000)</f>
        <v>0</v>
      </c>
      <c r="H1795" s="51">
        <f ca="1">IF($S$1&lt;DATE(2025,3,1)," ",SUMIFS('2025数据'!$BP$3:$BP$181,'2025数据'!$X$3:$X$181,"&gt;="&amp;DATE(2025,3,1),'2025数据'!$X$3:$X$181,"&lt;="&amp;DATE(2025,3,31),'2025数据'!$AE$3:$AE$181,$E1795)/10000)</f>
        <v>0</v>
      </c>
      <c r="I1795" s="51">
        <f ca="1">IF($S$1&lt;DATE(2025,4,1)," ",SUMIFS('2025数据'!$BP$3:$BP$181,'2025数据'!$X$3:$X$181,"&gt;="&amp;DATE(2025,4,1),'2025数据'!$X$3:$X$181,"&lt;="&amp;DATE(2025,4,30),'2025数据'!$AE$3:$AE$181,$E1795)/10000)</f>
        <v>0</v>
      </c>
      <c r="J1795" s="51">
        <f ca="1">IF($S$1&lt;DATE(2025,5,1)," ",SUMIFS('2025数据'!$BP$3:$BP$181,'2025数据'!$X$3:$X$181,"&gt;="&amp;DATE(2025,5,1),'2025数据'!$X$3:$X$181,"&lt;="&amp;DATE(2025,5,31),'2025数据'!$AE$3:$AE$181,$E1795)/10000)</f>
        <v>0</v>
      </c>
      <c r="K1795" s="51">
        <f ca="1">IF($S$1&lt;DATE(2025,6,1)," ",SUMIFS('2025数据'!$BP$3:$BP$181,'2025数据'!$X$3:$X$181,"&gt;="&amp;DATE(2025,6,1),'2025数据'!$X$3:$X$181,"&lt;="&amp;DATE(2025,6,30),'2025数据'!$AE$3:$AE$181,$E1795)/10000)</f>
        <v>0</v>
      </c>
      <c r="L1795" s="51">
        <f ca="1">IF($S$1&lt;DATE(2025,7,1)," ",SUMIFS('2025数据'!$BP$3:$BP$181,'2025数据'!$X$3:$X$181,"&gt;="&amp;DATE(2025,7,1),'2025数据'!$X$3:$X$181,"&lt;="&amp;DATE(2025,7,31),'2025数据'!$AE$3:$AE$181,$E1795)/10000)</f>
        <v>0</v>
      </c>
      <c r="M1795" s="51">
        <f ca="1">IF($S$1&lt;DATE(2025,8,1)," ",SUMIFS('2025数据'!$BP$3:$BP$181,'2025数据'!$X$3:$X$181,"&gt;="&amp;DATE(2025,8,1),'2025数据'!$X$3:$X$181,"&lt;="&amp;DATE(2025,8,31),'2025数据'!$AE$3:$AE$181,$E1795)/10000)</f>
        <v>0</v>
      </c>
      <c r="N1795" s="51">
        <f ca="1">IF($S$1&lt;DATE(2025,9,1)," ",SUMIFS('2025数据'!$BP$3:$BP$181,'2025数据'!$X$3:$X$181,"&gt;="&amp;DATE(2025,9,1),'2025数据'!$X$3:$X$181,"&lt;="&amp;DATE(2025,9,30),'2025数据'!$AE$3:$AE$181,$E1795)/10000)</f>
        <v>0</v>
      </c>
      <c r="O1795" s="51">
        <f ca="1">IF($S$1&lt;DATE(2025,10,1)," ",SUMIFS('2025数据'!$BP$3:$BP$181,'2025数据'!$X$3:$X$181,"&gt;="&amp;DATE(2025,10,1),'2025数据'!$X$3:$X$181,"&lt;="&amp;DATE(2025,10,31),'2025数据'!$AE$3:$AE$181,$E1795)/10000)</f>
        <v>0</v>
      </c>
      <c r="P1795" s="217">
        <f ca="1">IF($S$1&lt;DATE(2025,11,1)," ",SUMIFS('2025数据'!$BP$3:$BP$181,'2025数据'!$X$3:$X$181,"&gt;="&amp;DATE(2025,11,1),'2025数据'!$X$3:$X$181,"&lt;="&amp;DATE(2025,11,30),'2025数据'!$AE$3:$AE$181,$E1795)/10000)</f>
        <v>0</v>
      </c>
      <c r="Q1795" s="217">
        <f ca="1">IF($S$1&lt;DATE(2025,12,1)," ",SUMIFS('2025数据'!$BP$3:$BP$181,'2025数据'!$X$3:$X$181,"&gt;="&amp;DATE(2025,12,1),'2025数据'!$X$3:$X$181,"&lt;="&amp;DATE(2025,12,31),'2025数据'!$AE$3:$AE$181,$E1795)/10000)</f>
        <v>0</v>
      </c>
    </row>
    <row r="1796" ht="24" customHeight="1" spans="1:17">
      <c r="A1796" s="99" t="s">
        <v>349</v>
      </c>
      <c r="B1796" s="99" t="s">
        <v>299</v>
      </c>
      <c r="C1796" s="99" t="s">
        <v>336</v>
      </c>
      <c r="D1796" s="48" t="s">
        <v>31</v>
      </c>
      <c r="E1796" s="48" t="s">
        <v>86</v>
      </c>
      <c r="F1796" s="51">
        <f ca="1">IF($S$1&lt;DATE(2025,1,1)," ",SUMIFS('2025数据'!$BP$3:$BP$181,'2025数据'!$X$3:$X$181,"&gt;="&amp;DATE(2025,1,1),'2025数据'!$X$3:$X$181,"&lt;="&amp;DATE(2025,1,31),'2025数据'!$AE$3:$AE$181,$E1796)/10000)</f>
        <v>0</v>
      </c>
      <c r="G1796" s="51">
        <f ca="1">IF($S$1&lt;DATE(2025,2,1)," ",SUMIFS('2025数据'!$BP$3:$BP$181,'2025数据'!$X$3:$X$181,"&gt;="&amp;DATE(2025,2,1),'2025数据'!$X$3:$X$181,"&lt;="&amp;DATE(2025,2,28),'2025数据'!$AE$3:$AE$181,$E1796)/10000)</f>
        <v>0</v>
      </c>
      <c r="H1796" s="51">
        <f ca="1">IF($S$1&lt;DATE(2025,3,1)," ",SUMIFS('2025数据'!$BP$3:$BP$181,'2025数据'!$X$3:$X$181,"&gt;="&amp;DATE(2025,3,1),'2025数据'!$X$3:$X$181,"&lt;="&amp;DATE(2025,3,31),'2025数据'!$AE$3:$AE$181,$E1796)/10000)</f>
        <v>0</v>
      </c>
      <c r="I1796" s="51">
        <f ca="1">IF($S$1&lt;DATE(2025,4,1)," ",SUMIFS('2025数据'!$BP$3:$BP$181,'2025数据'!$X$3:$X$181,"&gt;="&amp;DATE(2025,4,1),'2025数据'!$X$3:$X$181,"&lt;="&amp;DATE(2025,4,30),'2025数据'!$AE$3:$AE$181,$E1796)/10000)</f>
        <v>0</v>
      </c>
      <c r="J1796" s="51">
        <f ca="1">IF($S$1&lt;DATE(2025,5,1)," ",SUMIFS('2025数据'!$BP$3:$BP$181,'2025数据'!$X$3:$X$181,"&gt;="&amp;DATE(2025,5,1),'2025数据'!$X$3:$X$181,"&lt;="&amp;DATE(2025,5,31),'2025数据'!$AE$3:$AE$181,$E1796)/10000)</f>
        <v>0</v>
      </c>
      <c r="K1796" s="51">
        <f ca="1">IF($S$1&lt;DATE(2025,6,1)," ",SUMIFS('2025数据'!$BP$3:$BP$181,'2025数据'!$X$3:$X$181,"&gt;="&amp;DATE(2025,6,1),'2025数据'!$X$3:$X$181,"&lt;="&amp;DATE(2025,6,30),'2025数据'!$AE$3:$AE$181,$E1796)/10000)</f>
        <v>0</v>
      </c>
      <c r="L1796" s="51">
        <f ca="1">IF($S$1&lt;DATE(2025,7,1)," ",SUMIFS('2025数据'!$BP$3:$BP$181,'2025数据'!$X$3:$X$181,"&gt;="&amp;DATE(2025,7,1),'2025数据'!$X$3:$X$181,"&lt;="&amp;DATE(2025,7,31),'2025数据'!$AE$3:$AE$181,$E1796)/10000)</f>
        <v>0</v>
      </c>
      <c r="M1796" s="51">
        <f ca="1">IF($S$1&lt;DATE(2025,8,1)," ",SUMIFS('2025数据'!$BP$3:$BP$181,'2025数据'!$X$3:$X$181,"&gt;="&amp;DATE(2025,8,1),'2025数据'!$X$3:$X$181,"&lt;="&amp;DATE(2025,8,31),'2025数据'!$AE$3:$AE$181,$E1796)/10000)</f>
        <v>0</v>
      </c>
      <c r="N1796" s="51">
        <f ca="1">IF($S$1&lt;DATE(2025,9,1)," ",SUMIFS('2025数据'!$BP$3:$BP$181,'2025数据'!$X$3:$X$181,"&gt;="&amp;DATE(2025,9,1),'2025数据'!$X$3:$X$181,"&lt;="&amp;DATE(2025,9,30),'2025数据'!$AE$3:$AE$181,$E1796)/10000)</f>
        <v>0.477251</v>
      </c>
      <c r="O1796" s="51">
        <f ca="1">IF($S$1&lt;DATE(2025,10,1)," ",SUMIFS('2025数据'!$BP$3:$BP$181,'2025数据'!$X$3:$X$181,"&gt;="&amp;DATE(2025,10,1),'2025数据'!$X$3:$X$181,"&lt;="&amp;DATE(2025,10,31),'2025数据'!$AE$3:$AE$181,$E1796)/10000)</f>
        <v>0</v>
      </c>
      <c r="P1796" s="217">
        <f ca="1">IF($S$1&lt;DATE(2025,11,1)," ",SUMIFS('2025数据'!$BP$3:$BP$181,'2025数据'!$X$3:$X$181,"&gt;="&amp;DATE(2025,11,1),'2025数据'!$X$3:$X$181,"&lt;="&amp;DATE(2025,11,30),'2025数据'!$AE$3:$AE$181,$E1796)/10000)</f>
        <v>0</v>
      </c>
      <c r="Q1796" s="217">
        <f ca="1">IF($S$1&lt;DATE(2025,12,1)," ",SUMIFS('2025数据'!$BP$3:$BP$181,'2025数据'!$X$3:$X$181,"&gt;="&amp;DATE(2025,12,1),'2025数据'!$X$3:$X$181,"&lt;="&amp;DATE(2025,12,31),'2025数据'!$AE$3:$AE$181,$E1796)/10000)</f>
        <v>0</v>
      </c>
    </row>
    <row r="1797" ht="24" customHeight="1" spans="1:17">
      <c r="A1797" s="99" t="s">
        <v>349</v>
      </c>
      <c r="B1797" s="99" t="s">
        <v>299</v>
      </c>
      <c r="C1797" s="99" t="s">
        <v>336</v>
      </c>
      <c r="D1797" s="48" t="s">
        <v>31</v>
      </c>
      <c r="E1797" s="48" t="s">
        <v>97</v>
      </c>
      <c r="F1797" s="51">
        <f ca="1">IF($S$1&lt;DATE(2025,1,1)," ",SUMIFS('2025数据'!$BP$3:$BP$181,'2025数据'!$X$3:$X$181,"&gt;="&amp;DATE(2025,1,1),'2025数据'!$X$3:$X$181,"&lt;="&amp;DATE(2025,1,31),'2025数据'!$AE$3:$AE$181,$E1797)/10000)</f>
        <v>0</v>
      </c>
      <c r="G1797" s="51">
        <f ca="1">IF($S$1&lt;DATE(2025,2,1)," ",SUMIFS('2025数据'!$BP$3:$BP$181,'2025数据'!$X$3:$X$181,"&gt;="&amp;DATE(2025,2,1),'2025数据'!$X$3:$X$181,"&lt;="&amp;DATE(2025,2,28),'2025数据'!$AE$3:$AE$181,$E1797)/10000)</f>
        <v>0</v>
      </c>
      <c r="H1797" s="51">
        <f ca="1">IF($S$1&lt;DATE(2025,3,1)," ",SUMIFS('2025数据'!$BP$3:$BP$181,'2025数据'!$X$3:$X$181,"&gt;="&amp;DATE(2025,3,1),'2025数据'!$X$3:$X$181,"&lt;="&amp;DATE(2025,3,31),'2025数据'!$AE$3:$AE$181,$E1797)/10000)</f>
        <v>0</v>
      </c>
      <c r="I1797" s="51">
        <f ca="1">IF($S$1&lt;DATE(2025,4,1)," ",SUMIFS('2025数据'!$BP$3:$BP$181,'2025数据'!$X$3:$X$181,"&gt;="&amp;DATE(2025,4,1),'2025数据'!$X$3:$X$181,"&lt;="&amp;DATE(2025,4,30),'2025数据'!$AE$3:$AE$181,$E1797)/10000)</f>
        <v>0</v>
      </c>
      <c r="J1797" s="51">
        <f ca="1">IF($S$1&lt;DATE(2025,5,1)," ",SUMIFS('2025数据'!$BP$3:$BP$181,'2025数据'!$X$3:$X$181,"&gt;="&amp;DATE(2025,5,1),'2025数据'!$X$3:$X$181,"&lt;="&amp;DATE(2025,5,31),'2025数据'!$AE$3:$AE$181,$E1797)/10000)</f>
        <v>0</v>
      </c>
      <c r="K1797" s="51">
        <f ca="1">IF($S$1&lt;DATE(2025,6,1)," ",SUMIFS('2025数据'!$BP$3:$BP$181,'2025数据'!$X$3:$X$181,"&gt;="&amp;DATE(2025,6,1),'2025数据'!$X$3:$X$181,"&lt;="&amp;DATE(2025,6,30),'2025数据'!$AE$3:$AE$181,$E1797)/10000)</f>
        <v>0</v>
      </c>
      <c r="L1797" s="51">
        <f ca="1">IF($S$1&lt;DATE(2025,7,1)," ",SUMIFS('2025数据'!$BP$3:$BP$181,'2025数据'!$X$3:$X$181,"&gt;="&amp;DATE(2025,7,1),'2025数据'!$X$3:$X$181,"&lt;="&amp;DATE(2025,7,31),'2025数据'!$AE$3:$AE$181,$E1797)/10000)</f>
        <v>0</v>
      </c>
      <c r="M1797" s="51">
        <f ca="1">IF($S$1&lt;DATE(2025,8,1)," ",SUMIFS('2025数据'!$BP$3:$BP$181,'2025数据'!$X$3:$X$181,"&gt;="&amp;DATE(2025,8,1),'2025数据'!$X$3:$X$181,"&lt;="&amp;DATE(2025,8,31),'2025数据'!$AE$3:$AE$181,$E1797)/10000)</f>
        <v>0</v>
      </c>
      <c r="N1797" s="51">
        <f ca="1">IF($S$1&lt;DATE(2025,9,1)," ",SUMIFS('2025数据'!$BP$3:$BP$181,'2025数据'!$X$3:$X$181,"&gt;="&amp;DATE(2025,9,1),'2025数据'!$X$3:$X$181,"&lt;="&amp;DATE(2025,9,30),'2025数据'!$AE$3:$AE$181,$E1797)/10000)</f>
        <v>0</v>
      </c>
      <c r="O1797" s="51">
        <f ca="1">IF($S$1&lt;DATE(2025,10,1)," ",SUMIFS('2025数据'!$BP$3:$BP$181,'2025数据'!$X$3:$X$181,"&gt;="&amp;DATE(2025,10,1),'2025数据'!$X$3:$X$181,"&lt;="&amp;DATE(2025,10,31),'2025数据'!$AE$3:$AE$181,$E1797)/10000)</f>
        <v>0</v>
      </c>
      <c r="P1797" s="217">
        <f ca="1">IF($S$1&lt;DATE(2025,11,1)," ",SUMIFS('2025数据'!$BP$3:$BP$181,'2025数据'!$X$3:$X$181,"&gt;="&amp;DATE(2025,11,1),'2025数据'!$X$3:$X$181,"&lt;="&amp;DATE(2025,11,30),'2025数据'!$AE$3:$AE$181,$E1797)/10000)</f>
        <v>4.008997</v>
      </c>
      <c r="Q1797" s="217">
        <f ca="1">IF($S$1&lt;DATE(2025,12,1)," ",SUMIFS('2025数据'!$BP$3:$BP$181,'2025数据'!$X$3:$X$181,"&gt;="&amp;DATE(2025,12,1),'2025数据'!$X$3:$X$181,"&lt;="&amp;DATE(2025,12,31),'2025数据'!$AE$3:$AE$181,$E1797)/10000)</f>
        <v>0</v>
      </c>
    </row>
    <row r="1798" ht="24" customHeight="1" spans="1:17">
      <c r="A1798" s="99" t="s">
        <v>349</v>
      </c>
      <c r="B1798" s="99" t="s">
        <v>299</v>
      </c>
      <c r="C1798" s="99" t="s">
        <v>336</v>
      </c>
      <c r="D1798" s="48" t="s">
        <v>31</v>
      </c>
      <c r="E1798" s="48" t="s">
        <v>87</v>
      </c>
      <c r="F1798" s="51">
        <f ca="1">IF($S$1&lt;DATE(2025,1,1)," ",SUMIFS('2025数据'!$BP$3:$BP$181,'2025数据'!$X$3:$X$181,"&gt;="&amp;DATE(2025,1,1),'2025数据'!$X$3:$X$181,"&lt;="&amp;DATE(2025,1,31),'2025数据'!$AE$3:$AE$181,$E1798)/10000)</f>
        <v>0</v>
      </c>
      <c r="G1798" s="51">
        <f ca="1">IF($S$1&lt;DATE(2025,2,1)," ",SUMIFS('2025数据'!$BP$3:$BP$181,'2025数据'!$X$3:$X$181,"&gt;="&amp;DATE(2025,2,1),'2025数据'!$X$3:$X$181,"&lt;="&amp;DATE(2025,2,28),'2025数据'!$AE$3:$AE$181,$E1798)/10000)</f>
        <v>0</v>
      </c>
      <c r="H1798" s="51">
        <f ca="1">IF($S$1&lt;DATE(2025,3,1)," ",SUMIFS('2025数据'!$BP$3:$BP$181,'2025数据'!$X$3:$X$181,"&gt;="&amp;DATE(2025,3,1),'2025数据'!$X$3:$X$181,"&lt;="&amp;DATE(2025,3,31),'2025数据'!$AE$3:$AE$181,$E1798)/10000)</f>
        <v>0.7179</v>
      </c>
      <c r="I1798" s="51">
        <f ca="1">IF($S$1&lt;DATE(2025,4,1)," ",SUMIFS('2025数据'!$BP$3:$BP$181,'2025数据'!$X$3:$X$181,"&gt;="&amp;DATE(2025,4,1),'2025数据'!$X$3:$X$181,"&lt;="&amp;DATE(2025,4,30),'2025数据'!$AE$3:$AE$181,$E1798)/10000)</f>
        <v>0</v>
      </c>
      <c r="J1798" s="51">
        <f ca="1">IF($S$1&lt;DATE(2025,5,1)," ",SUMIFS('2025数据'!$BP$3:$BP$181,'2025数据'!$X$3:$X$181,"&gt;="&amp;DATE(2025,5,1),'2025数据'!$X$3:$X$181,"&lt;="&amp;DATE(2025,5,31),'2025数据'!$AE$3:$AE$181,$E1798)/10000)</f>
        <v>0</v>
      </c>
      <c r="K1798" s="51">
        <f ca="1">IF($S$1&lt;DATE(2025,6,1)," ",SUMIFS('2025数据'!$BP$3:$BP$181,'2025数据'!$X$3:$X$181,"&gt;="&amp;DATE(2025,6,1),'2025数据'!$X$3:$X$181,"&lt;="&amp;DATE(2025,6,30),'2025数据'!$AE$3:$AE$181,$E1798)/10000)</f>
        <v>0</v>
      </c>
      <c r="L1798" s="51">
        <f ca="1">IF($S$1&lt;DATE(2025,7,1)," ",SUMIFS('2025数据'!$BP$3:$BP$181,'2025数据'!$X$3:$X$181,"&gt;="&amp;DATE(2025,7,1),'2025数据'!$X$3:$X$181,"&lt;="&amp;DATE(2025,7,31),'2025数据'!$AE$3:$AE$181,$E1798)/10000)</f>
        <v>1.1729</v>
      </c>
      <c r="M1798" s="51">
        <f ca="1">IF($S$1&lt;DATE(2025,8,1)," ",SUMIFS('2025数据'!$BP$3:$BP$181,'2025数据'!$X$3:$X$181,"&gt;="&amp;DATE(2025,8,1),'2025数据'!$X$3:$X$181,"&lt;="&amp;DATE(2025,8,31),'2025数据'!$AE$3:$AE$181,$E1798)/10000)</f>
        <v>1.29703</v>
      </c>
      <c r="N1798" s="51">
        <f ca="1">IF($S$1&lt;DATE(2025,9,1)," ",SUMIFS('2025数据'!$BP$3:$BP$181,'2025数据'!$X$3:$X$181,"&gt;="&amp;DATE(2025,9,1),'2025数据'!$X$3:$X$181,"&lt;="&amp;DATE(2025,9,30),'2025数据'!$AE$3:$AE$181,$E1798)/10000)</f>
        <v>0.9154</v>
      </c>
      <c r="O1798" s="51">
        <f ca="1">IF($S$1&lt;DATE(2025,10,1)," ",SUMIFS('2025数据'!$BP$3:$BP$181,'2025数据'!$X$3:$X$181,"&gt;="&amp;DATE(2025,10,1),'2025数据'!$X$3:$X$181,"&lt;="&amp;DATE(2025,10,31),'2025数据'!$AE$3:$AE$181,$E1798)/10000)</f>
        <v>0</v>
      </c>
      <c r="P1798" s="217">
        <f ca="1">IF($S$1&lt;DATE(2025,11,1)," ",SUMIFS('2025数据'!$BP$3:$BP$181,'2025数据'!$X$3:$X$181,"&gt;="&amp;DATE(2025,11,1),'2025数据'!$X$3:$X$181,"&lt;="&amp;DATE(2025,11,30),'2025数据'!$AE$3:$AE$181,$E1798)/10000)</f>
        <v>0</v>
      </c>
      <c r="Q1798" s="217">
        <f ca="1">IF($S$1&lt;DATE(2025,12,1)," ",SUMIFS('2025数据'!$BP$3:$BP$181,'2025数据'!$X$3:$X$181,"&gt;="&amp;DATE(2025,12,1),'2025数据'!$X$3:$X$181,"&lt;="&amp;DATE(2025,12,31),'2025数据'!$AE$3:$AE$181,$E1798)/10000)</f>
        <v>0</v>
      </c>
    </row>
    <row r="1799" ht="24" customHeight="1" spans="1:17">
      <c r="A1799" s="99" t="s">
        <v>349</v>
      </c>
      <c r="B1799" s="99" t="s">
        <v>299</v>
      </c>
      <c r="C1799" s="99" t="s">
        <v>336</v>
      </c>
      <c r="D1799" s="48" t="s">
        <v>31</v>
      </c>
      <c r="E1799" s="48" t="s">
        <v>149</v>
      </c>
      <c r="F1799" s="51">
        <f ca="1">IF($S$1&lt;DATE(2025,1,1)," ",SUMIFS('2025数据'!$BP$3:$BP$181,'2025数据'!$X$3:$X$181,"&gt;="&amp;DATE(2025,1,1),'2025数据'!$X$3:$X$181,"&lt;="&amp;DATE(2025,1,31),'2025数据'!$AE$3:$AE$181,$E1799)/10000)</f>
        <v>0</v>
      </c>
      <c r="G1799" s="51">
        <f ca="1">IF($S$1&lt;DATE(2025,2,1)," ",SUMIFS('2025数据'!$BP$3:$BP$181,'2025数据'!$X$3:$X$181,"&gt;="&amp;DATE(2025,2,1),'2025数据'!$X$3:$X$181,"&lt;="&amp;DATE(2025,2,28),'2025数据'!$AE$3:$AE$181,$E1799)/10000)</f>
        <v>0</v>
      </c>
      <c r="H1799" s="51">
        <f ca="1">IF($S$1&lt;DATE(2025,3,1)," ",SUMIFS('2025数据'!$BP$3:$BP$181,'2025数据'!$X$3:$X$181,"&gt;="&amp;DATE(2025,3,1),'2025数据'!$X$3:$X$181,"&lt;="&amp;DATE(2025,3,31),'2025数据'!$AE$3:$AE$181,$E1799)/10000)</f>
        <v>0</v>
      </c>
      <c r="I1799" s="51">
        <f ca="1">IF($S$1&lt;DATE(2025,4,1)," ",SUMIFS('2025数据'!$BP$3:$BP$181,'2025数据'!$X$3:$X$181,"&gt;="&amp;DATE(2025,4,1),'2025数据'!$X$3:$X$181,"&lt;="&amp;DATE(2025,4,30),'2025数据'!$AE$3:$AE$181,$E1799)/10000)</f>
        <v>0</v>
      </c>
      <c r="J1799" s="51">
        <f ca="1">IF($S$1&lt;DATE(2025,5,1)," ",SUMIFS('2025数据'!$BP$3:$BP$181,'2025数据'!$X$3:$X$181,"&gt;="&amp;DATE(2025,5,1),'2025数据'!$X$3:$X$181,"&lt;="&amp;DATE(2025,5,31),'2025数据'!$AE$3:$AE$181,$E1799)/10000)</f>
        <v>0</v>
      </c>
      <c r="K1799" s="51">
        <f ca="1">IF($S$1&lt;DATE(2025,6,1)," ",SUMIFS('2025数据'!$BP$3:$BP$181,'2025数据'!$X$3:$X$181,"&gt;="&amp;DATE(2025,6,1),'2025数据'!$X$3:$X$181,"&lt;="&amp;DATE(2025,6,30),'2025数据'!$AE$3:$AE$181,$E1799)/10000)</f>
        <v>0</v>
      </c>
      <c r="L1799" s="51">
        <f ca="1">IF($S$1&lt;DATE(2025,7,1)," ",SUMIFS('2025数据'!$BP$3:$BP$181,'2025数据'!$X$3:$X$181,"&gt;="&amp;DATE(2025,7,1),'2025数据'!$X$3:$X$181,"&lt;="&amp;DATE(2025,7,31),'2025数据'!$AE$3:$AE$181,$E1799)/10000)</f>
        <v>0</v>
      </c>
      <c r="M1799" s="51">
        <f ca="1">IF($S$1&lt;DATE(2025,8,1)," ",SUMIFS('2025数据'!$BP$3:$BP$181,'2025数据'!$X$3:$X$181,"&gt;="&amp;DATE(2025,8,1),'2025数据'!$X$3:$X$181,"&lt;="&amp;DATE(2025,8,31),'2025数据'!$AE$3:$AE$181,$E1799)/10000)</f>
        <v>0</v>
      </c>
      <c r="N1799" s="51">
        <f ca="1">IF($S$1&lt;DATE(2025,9,1)," ",SUMIFS('2025数据'!$BP$3:$BP$181,'2025数据'!$X$3:$X$181,"&gt;="&amp;DATE(2025,9,1),'2025数据'!$X$3:$X$181,"&lt;="&amp;DATE(2025,9,30),'2025数据'!$AE$3:$AE$181,$E1799)/10000)</f>
        <v>0</v>
      </c>
      <c r="O1799" s="51">
        <f ca="1">IF($S$1&lt;DATE(2025,10,1)," ",SUMIFS('2025数据'!$BP$3:$BP$181,'2025数据'!$X$3:$X$181,"&gt;="&amp;DATE(2025,10,1),'2025数据'!$X$3:$X$181,"&lt;="&amp;DATE(2025,10,31),'2025数据'!$AE$3:$AE$181,$E1799)/10000)</f>
        <v>0</v>
      </c>
      <c r="P1799" s="217">
        <f ca="1">IF($S$1&lt;DATE(2025,11,1)," ",SUMIFS('2025数据'!$BP$3:$BP$181,'2025数据'!$X$3:$X$181,"&gt;="&amp;DATE(2025,11,1),'2025数据'!$X$3:$X$181,"&lt;="&amp;DATE(2025,11,30),'2025数据'!$AE$3:$AE$181,$E1799)/10000)</f>
        <v>0</v>
      </c>
      <c r="Q1799" s="217">
        <f ca="1">IF($S$1&lt;DATE(2025,12,1)," ",SUMIFS('2025数据'!$BP$3:$BP$181,'2025数据'!$X$3:$X$181,"&gt;="&amp;DATE(2025,12,1),'2025数据'!$X$3:$X$181,"&lt;="&amp;DATE(2025,12,31),'2025数据'!$AE$3:$AE$181,$E1799)/10000)</f>
        <v>0</v>
      </c>
    </row>
    <row r="1800" ht="24" customHeight="1" spans="1:17">
      <c r="A1800" s="99" t="s">
        <v>349</v>
      </c>
      <c r="B1800" s="99" t="s">
        <v>299</v>
      </c>
      <c r="C1800" s="99" t="s">
        <v>336</v>
      </c>
      <c r="D1800" s="48" t="s">
        <v>31</v>
      </c>
      <c r="E1800" s="48" t="s">
        <v>83</v>
      </c>
      <c r="F1800" s="51">
        <f ca="1">IF($S$1&lt;DATE(2025,1,1)," ",SUMIFS('2025数据'!$BP$3:$BP$181,'2025数据'!$X$3:$X$181,"&gt;="&amp;DATE(2025,1,1),'2025数据'!$X$3:$X$181,"&lt;="&amp;DATE(2025,1,31),'2025数据'!$AE$3:$AE$181,$E1800)/10000)</f>
        <v>0</v>
      </c>
      <c r="G1800" s="51">
        <f ca="1">IF($S$1&lt;DATE(2025,2,1)," ",SUMIFS('2025数据'!$BP$3:$BP$181,'2025数据'!$X$3:$X$181,"&gt;="&amp;DATE(2025,2,1),'2025数据'!$X$3:$X$181,"&lt;="&amp;DATE(2025,2,28),'2025数据'!$AE$3:$AE$181,$E1800)/10000)</f>
        <v>0</v>
      </c>
      <c r="H1800" s="51">
        <f ca="1">IF($S$1&lt;DATE(2025,3,1)," ",SUMIFS('2025数据'!$BP$3:$BP$181,'2025数据'!$X$3:$X$181,"&gt;="&amp;DATE(2025,3,1),'2025数据'!$X$3:$X$181,"&lt;="&amp;DATE(2025,3,31),'2025数据'!$AE$3:$AE$181,$E1800)/10000)</f>
        <v>0</v>
      </c>
      <c r="I1800" s="51">
        <f ca="1">IF($S$1&lt;DATE(2025,4,1)," ",SUMIFS('2025数据'!$BP$3:$BP$181,'2025数据'!$X$3:$X$181,"&gt;="&amp;DATE(2025,4,1),'2025数据'!$X$3:$X$181,"&lt;="&amp;DATE(2025,4,30),'2025数据'!$AE$3:$AE$181,$E1800)/10000)</f>
        <v>0</v>
      </c>
      <c r="J1800" s="51">
        <f ca="1">IF($S$1&lt;DATE(2025,5,1)," ",SUMIFS('2025数据'!$BP$3:$BP$181,'2025数据'!$X$3:$X$181,"&gt;="&amp;DATE(2025,5,1),'2025数据'!$X$3:$X$181,"&lt;="&amp;DATE(2025,5,31),'2025数据'!$AE$3:$AE$181,$E1800)/10000)</f>
        <v>0</v>
      </c>
      <c r="K1800" s="51">
        <f ca="1">IF($S$1&lt;DATE(2025,6,1)," ",SUMIFS('2025数据'!$BP$3:$BP$181,'2025数据'!$X$3:$X$181,"&gt;="&amp;DATE(2025,6,1),'2025数据'!$X$3:$X$181,"&lt;="&amp;DATE(2025,6,30),'2025数据'!$AE$3:$AE$181,$E1800)/10000)</f>
        <v>0</v>
      </c>
      <c r="L1800" s="51">
        <f ca="1">IF($S$1&lt;DATE(2025,7,1)," ",SUMIFS('2025数据'!$BP$3:$BP$181,'2025数据'!$X$3:$X$181,"&gt;="&amp;DATE(2025,7,1),'2025数据'!$X$3:$X$181,"&lt;="&amp;DATE(2025,7,31),'2025数据'!$AE$3:$AE$181,$E1800)/10000)</f>
        <v>0</v>
      </c>
      <c r="M1800" s="51">
        <f ca="1">IF($S$1&lt;DATE(2025,8,1)," ",SUMIFS('2025数据'!$BP$3:$BP$181,'2025数据'!$X$3:$X$181,"&gt;="&amp;DATE(2025,8,1),'2025数据'!$X$3:$X$181,"&lt;="&amp;DATE(2025,8,31),'2025数据'!$AE$3:$AE$181,$E1800)/10000)</f>
        <v>0</v>
      </c>
      <c r="N1800" s="51">
        <f ca="1">IF($S$1&lt;DATE(2025,9,1)," ",SUMIFS('2025数据'!$BP$3:$BP$181,'2025数据'!$X$3:$X$181,"&gt;="&amp;DATE(2025,9,1),'2025数据'!$X$3:$X$181,"&lt;="&amp;DATE(2025,9,30),'2025数据'!$AE$3:$AE$181,$E1800)/10000)</f>
        <v>0</v>
      </c>
      <c r="O1800" s="51">
        <f ca="1">IF($S$1&lt;DATE(2025,10,1)," ",SUMIFS('2025数据'!$BP$3:$BP$181,'2025数据'!$X$3:$X$181,"&gt;="&amp;DATE(2025,10,1),'2025数据'!$X$3:$X$181,"&lt;="&amp;DATE(2025,10,31),'2025数据'!$AE$3:$AE$181,$E1800)/10000)</f>
        <v>0</v>
      </c>
      <c r="P1800" s="217">
        <f ca="1">IF($S$1&lt;DATE(2025,11,1)," ",SUMIFS('2025数据'!$BP$3:$BP$181,'2025数据'!$X$3:$X$181,"&gt;="&amp;DATE(2025,11,1),'2025数据'!$X$3:$X$181,"&lt;="&amp;DATE(2025,11,30),'2025数据'!$AE$3:$AE$181,$E1800)/10000)</f>
        <v>0</v>
      </c>
      <c r="Q1800" s="217">
        <f ca="1">IF($S$1&lt;DATE(2025,12,1)," ",SUMIFS('2025数据'!$BP$3:$BP$181,'2025数据'!$X$3:$X$181,"&gt;="&amp;DATE(2025,12,1),'2025数据'!$X$3:$X$181,"&lt;="&amp;DATE(2025,12,31),'2025数据'!$AE$3:$AE$181,$E1800)/10000)</f>
        <v>0</v>
      </c>
    </row>
    <row r="1801" ht="24" customHeight="1" spans="1:17">
      <c r="A1801" s="99" t="s">
        <v>349</v>
      </c>
      <c r="B1801" s="99" t="s">
        <v>299</v>
      </c>
      <c r="C1801" s="99" t="s">
        <v>336</v>
      </c>
      <c r="D1801" s="47" t="s">
        <v>294</v>
      </c>
      <c r="E1801" s="47" t="s">
        <v>93</v>
      </c>
      <c r="F1801" s="51">
        <f ca="1">IF($S$1&lt;DATE(2025,1,1)," ",SUMIFS('2025数据'!$BP$3:$BP$181,'2025数据'!$X$3:$X$181,"&gt;="&amp;DATE(2025,1,1),'2025数据'!$X$3:$X$181,"&lt;="&amp;DATE(2025,1,31),'2025数据'!$B$3:$B$181,$E1801)/10000)</f>
        <v>0</v>
      </c>
      <c r="G1801" s="51">
        <f ca="1">IF($S$1&lt;DATE(2025,2,1)," ",SUMIFS('2025数据'!$BP$3:$BP$181,'2025数据'!$X$3:$X$181,"&gt;="&amp;DATE(2025,2,1),'2025数据'!$X$3:$X$181,"&lt;="&amp;DATE(2025,2,28),'2025数据'!$B$3:$B$181,$E1801)/10000)</f>
        <v>0</v>
      </c>
      <c r="H1801" s="51">
        <f ca="1">IF($S$1&lt;DATE(2025,3,1)," ",SUMIFS('2025数据'!$BP$3:$BP$181,'2025数据'!$X$3:$X$181,"&gt;="&amp;DATE(2025,3,1),'2025数据'!$X$3:$X$181,"&lt;="&amp;DATE(2025,3,31),'2025数据'!$B$3:$B$181,$E1801)/10000)</f>
        <v>0</v>
      </c>
      <c r="I1801" s="51">
        <f ca="1">IF($S$1&lt;DATE(2025,4,1)," ",SUMIFS('2025数据'!$BP$3:$BP$181,'2025数据'!$X$3:$X$181,"&gt;="&amp;DATE(2025,4,1),'2025数据'!$X$3:$X$181,"&lt;="&amp;DATE(2025,4,30),'2025数据'!$B$3:$B$181,$E1801)/10000)</f>
        <v>0</v>
      </c>
      <c r="J1801" s="51">
        <f ca="1">IF($S$1&lt;DATE(2025,5,1)," ",SUMIFS('2025数据'!$BP$3:$BP$181,'2025数据'!$X$3:$X$181,"&gt;="&amp;DATE(2025,5,1),'2025数据'!$X$3:$X$181,"&lt;="&amp;DATE(2025,5,31),'2025数据'!$B$3:$B$181,$E1801)/10000)</f>
        <v>0</v>
      </c>
      <c r="K1801" s="51">
        <f ca="1">IF($S$1&lt;DATE(2025,6,1)," ",SUMIFS('2025数据'!$BP$3:$BP$181,'2025数据'!$X$3:$X$181,"&gt;="&amp;DATE(2025,6,1),'2025数据'!$X$3:$X$181,"&lt;="&amp;DATE(2025,6,30),'2025数据'!$B$3:$B$181,$E1801)/10000)</f>
        <v>0</v>
      </c>
      <c r="L1801" s="51">
        <f ca="1">IF($S$1&lt;DATE(2025,7,1)," ",SUMIFS('2025数据'!$BP$3:$BP$181,'2025数据'!$X$3:$X$181,"&gt;="&amp;DATE(2025,7,1),'2025数据'!$X$3:$X$181,"&lt;="&amp;DATE(2025,7,31),'2025数据'!$B$3:$B$181,$E1801)/10000)</f>
        <v>0</v>
      </c>
      <c r="M1801" s="51">
        <f ca="1">IF($S$1&lt;DATE(2025,8,1)," ",SUMIFS('2025数据'!$BP$3:$BP$181,'2025数据'!$X$3:$X$181,"&gt;="&amp;DATE(2025,8,1),'2025数据'!$X$3:$X$181,"&lt;="&amp;DATE(2025,8,31),'2025数据'!$B$3:$B$181,$E1801)/10000)</f>
        <v>0.0903</v>
      </c>
      <c r="N1801" s="51">
        <f ca="1">IF($S$1&lt;DATE(2025,9,1)," ",SUMIFS('2025数据'!$BP$3:$BP$181,'2025数据'!$X$3:$X$181,"&gt;="&amp;DATE(2025,9,1),'2025数据'!$X$3:$X$181,"&lt;="&amp;DATE(2025,9,30),'2025数据'!$B$3:$B$181,$E1801)/10000)</f>
        <v>0.9154</v>
      </c>
      <c r="O1801" s="51">
        <f ca="1">IF($S$1&lt;DATE(2025,10,1)," ",SUMIFS('2025数据'!$BP$3:$BP$181,'2025数据'!$X$3:$X$181,"&gt;="&amp;DATE(2025,10,1),'2025数据'!$X$3:$X$181,"&lt;="&amp;DATE(2025,10,31),'2025数据'!$B$3:$B$181,$E1801)/10000)</f>
        <v>1.12064</v>
      </c>
      <c r="P1801" s="217">
        <f ca="1">IF($S$1&lt;DATE(2025,11,1)," ",SUMIFS('2025数据'!$BP$3:$BP$181,'2025数据'!$X$3:$X$181,"&gt;="&amp;DATE(2025,11,1),'2025数据'!$X$3:$X$181,"&lt;="&amp;DATE(2025,11,30),'2025数据'!$B$3:$B$181,$E1801)/10000)</f>
        <v>4.008997</v>
      </c>
      <c r="Q1801" s="217">
        <f ca="1">IF($S$1&lt;DATE(2025,12,1)," ",SUMIFS('2025数据'!$BP$3:$BP$181,'2025数据'!$X$3:$X$181,"&gt;="&amp;DATE(2025,12,1),'2025数据'!$X$3:$X$181,"&lt;="&amp;DATE(2025,12,31),'2025数据'!$B$3:$B$181,$E1801)/10000)</f>
        <v>0</v>
      </c>
    </row>
    <row r="1802" ht="24" customHeight="1" spans="1:17">
      <c r="A1802" s="99" t="s">
        <v>349</v>
      </c>
      <c r="B1802" s="99" t="s">
        <v>299</v>
      </c>
      <c r="C1802" s="99" t="s">
        <v>336</v>
      </c>
      <c r="D1802" s="47" t="s">
        <v>294</v>
      </c>
      <c r="E1802" s="47" t="s">
        <v>85</v>
      </c>
      <c r="F1802" s="51">
        <f ca="1">IF($S$1&lt;DATE(2025,1,1)," ",SUMIFS('2025数据'!$BP$3:$BP$181,'2025数据'!$X$3:$X$181,"&gt;="&amp;DATE(2025,1,1),'2025数据'!$X$3:$X$181,"&lt;="&amp;DATE(2025,1,31),'2025数据'!$B$3:$B$181,$E1802)/10000)</f>
        <v>0</v>
      </c>
      <c r="G1802" s="51">
        <f ca="1">IF($S$1&lt;DATE(2025,2,1)," ",SUMIFS('2025数据'!$BP$3:$BP$181,'2025数据'!$X$3:$X$181,"&gt;="&amp;DATE(2025,2,1),'2025数据'!$X$3:$X$181,"&lt;="&amp;DATE(2025,2,28),'2025数据'!$B$3:$B$181,$E1802)/10000)</f>
        <v>0</v>
      </c>
      <c r="H1802" s="51">
        <f ca="1">IF($S$1&lt;DATE(2025,3,1)," ",SUMIFS('2025数据'!$BP$3:$BP$181,'2025数据'!$X$3:$X$181,"&gt;="&amp;DATE(2025,3,1),'2025数据'!$X$3:$X$181,"&lt;="&amp;DATE(2025,3,31),'2025数据'!$B$3:$B$181,$E1802)/10000)</f>
        <v>0.7179</v>
      </c>
      <c r="I1802" s="51">
        <f ca="1">IF($S$1&lt;DATE(2025,4,1)," ",SUMIFS('2025数据'!$BP$3:$BP$181,'2025数据'!$X$3:$X$181,"&gt;="&amp;DATE(2025,4,1),'2025数据'!$X$3:$X$181,"&lt;="&amp;DATE(2025,4,30),'2025数据'!$B$3:$B$181,$E1802)/10000)</f>
        <v>0</v>
      </c>
      <c r="J1802" s="51">
        <f ca="1">IF($S$1&lt;DATE(2025,5,1)," ",SUMIFS('2025数据'!$BP$3:$BP$181,'2025数据'!$X$3:$X$181,"&gt;="&amp;DATE(2025,5,1),'2025数据'!$X$3:$X$181,"&lt;="&amp;DATE(2025,5,31),'2025数据'!$B$3:$B$181,$E1802)/10000)</f>
        <v>0</v>
      </c>
      <c r="K1802" s="51">
        <f ca="1">IF($S$1&lt;DATE(2025,6,1)," ",SUMIFS('2025数据'!$BP$3:$BP$181,'2025数据'!$X$3:$X$181,"&gt;="&amp;DATE(2025,6,1),'2025数据'!$X$3:$X$181,"&lt;="&amp;DATE(2025,6,30),'2025数据'!$B$3:$B$181,$E1802)/10000)</f>
        <v>0</v>
      </c>
      <c r="L1802" s="51">
        <f ca="1">IF($S$1&lt;DATE(2025,7,1)," ",SUMIFS('2025数据'!$BP$3:$BP$181,'2025数据'!$X$3:$X$181,"&gt;="&amp;DATE(2025,7,1),'2025数据'!$X$3:$X$181,"&lt;="&amp;DATE(2025,7,31),'2025数据'!$B$3:$B$181,$E1802)/10000)</f>
        <v>1.1729</v>
      </c>
      <c r="M1802" s="51">
        <f ca="1">IF($S$1&lt;DATE(2025,8,1)," ",SUMIFS('2025数据'!$BP$3:$BP$181,'2025数据'!$X$3:$X$181,"&gt;="&amp;DATE(2025,8,1),'2025数据'!$X$3:$X$181,"&lt;="&amp;DATE(2025,8,31),'2025数据'!$B$3:$B$181,$E1802)/10000)</f>
        <v>0</v>
      </c>
      <c r="N1802" s="51">
        <f ca="1">IF($S$1&lt;DATE(2025,9,1)," ",SUMIFS('2025数据'!$BP$3:$BP$181,'2025数据'!$X$3:$X$181,"&gt;="&amp;DATE(2025,9,1),'2025数据'!$X$3:$X$181,"&lt;="&amp;DATE(2025,9,30),'2025数据'!$B$3:$B$181,$E1802)/10000)</f>
        <v>0</v>
      </c>
      <c r="O1802" s="51">
        <f ca="1">IF($S$1&lt;DATE(2025,10,1)," ",SUMIFS('2025数据'!$BP$3:$BP$181,'2025数据'!$X$3:$X$181,"&gt;="&amp;DATE(2025,10,1),'2025数据'!$X$3:$X$181,"&lt;="&amp;DATE(2025,10,31),'2025数据'!$B$3:$B$181,$E1802)/10000)</f>
        <v>0</v>
      </c>
      <c r="P1802" s="217">
        <f ca="1">IF($S$1&lt;DATE(2025,11,1)," ",SUMIFS('2025数据'!$BP$3:$BP$181,'2025数据'!$X$3:$X$181,"&gt;="&amp;DATE(2025,11,1),'2025数据'!$X$3:$X$181,"&lt;="&amp;DATE(2025,11,30),'2025数据'!$B$3:$B$181,$E1802)/10000)</f>
        <v>0</v>
      </c>
      <c r="Q1802" s="217">
        <f ca="1">IF($S$1&lt;DATE(2025,12,1)," ",SUMIFS('2025数据'!$BP$3:$BP$181,'2025数据'!$X$3:$X$181,"&gt;="&amp;DATE(2025,12,1),'2025数据'!$X$3:$X$181,"&lt;="&amp;DATE(2025,12,31),'2025数据'!$B$3:$B$181,$E1802)/10000)</f>
        <v>0</v>
      </c>
    </row>
    <row r="1803" ht="24" customHeight="1" spans="1:17">
      <c r="A1803" s="99" t="s">
        <v>349</v>
      </c>
      <c r="B1803" s="99" t="s">
        <v>299</v>
      </c>
      <c r="C1803" s="99" t="s">
        <v>336</v>
      </c>
      <c r="D1803" s="47" t="s">
        <v>294</v>
      </c>
      <c r="E1803" s="47" t="s">
        <v>81</v>
      </c>
      <c r="F1803" s="51">
        <f ca="1">IF($S$1&lt;DATE(2025,1,1)," ",SUMIFS('2025数据'!$BP$3:$BP$181,'2025数据'!$X$3:$X$181,"&gt;="&amp;DATE(2025,1,1),'2025数据'!$X$3:$X$181,"&lt;="&amp;DATE(2025,1,31),'2025数据'!$B$3:$B$181,$E1803)/10000)</f>
        <v>0</v>
      </c>
      <c r="G1803" s="51">
        <f ca="1">IF($S$1&lt;DATE(2025,2,1)," ",SUMIFS('2025数据'!$BP$3:$BP$181,'2025数据'!$X$3:$X$181,"&gt;="&amp;DATE(2025,2,1),'2025数据'!$X$3:$X$181,"&lt;="&amp;DATE(2025,2,28),'2025数据'!$B$3:$B$181,$E1803)/10000)</f>
        <v>0</v>
      </c>
      <c r="H1803" s="51">
        <f ca="1">IF($S$1&lt;DATE(2025,3,1)," ",SUMIFS('2025数据'!$BP$3:$BP$181,'2025数据'!$X$3:$X$181,"&gt;="&amp;DATE(2025,3,1),'2025数据'!$X$3:$X$181,"&lt;="&amp;DATE(2025,3,31),'2025数据'!$B$3:$B$181,$E1803)/10000)</f>
        <v>0</v>
      </c>
      <c r="I1803" s="51">
        <f ca="1">IF($S$1&lt;DATE(2025,4,1)," ",SUMIFS('2025数据'!$BP$3:$BP$181,'2025数据'!$X$3:$X$181,"&gt;="&amp;DATE(2025,4,1),'2025数据'!$X$3:$X$181,"&lt;="&amp;DATE(2025,4,30),'2025数据'!$B$3:$B$181,$E1803)/10000)</f>
        <v>0</v>
      </c>
      <c r="J1803" s="51">
        <f ca="1">IF($S$1&lt;DATE(2025,5,1)," ",SUMIFS('2025数据'!$BP$3:$BP$181,'2025数据'!$X$3:$X$181,"&gt;="&amp;DATE(2025,5,1),'2025数据'!$X$3:$X$181,"&lt;="&amp;DATE(2025,5,31),'2025数据'!$B$3:$B$181,$E1803)/10000)</f>
        <v>0</v>
      </c>
      <c r="K1803" s="51">
        <f ca="1">IF($S$1&lt;DATE(2025,6,1)," ",SUMIFS('2025数据'!$BP$3:$BP$181,'2025数据'!$X$3:$X$181,"&gt;="&amp;DATE(2025,6,1),'2025数据'!$X$3:$X$181,"&lt;="&amp;DATE(2025,6,30),'2025数据'!$B$3:$B$181,$E1803)/10000)</f>
        <v>0</v>
      </c>
      <c r="L1803" s="51">
        <f ca="1">IF($S$1&lt;DATE(2025,7,1)," ",SUMIFS('2025数据'!$BP$3:$BP$181,'2025数据'!$X$3:$X$181,"&gt;="&amp;DATE(2025,7,1),'2025数据'!$X$3:$X$181,"&lt;="&amp;DATE(2025,7,31),'2025数据'!$B$3:$B$181,$E1803)/10000)</f>
        <v>0</v>
      </c>
      <c r="M1803" s="51">
        <f ca="1">IF($S$1&lt;DATE(2025,8,1)," ",SUMIFS('2025数据'!$BP$3:$BP$181,'2025数据'!$X$3:$X$181,"&gt;="&amp;DATE(2025,8,1),'2025数据'!$X$3:$X$181,"&lt;="&amp;DATE(2025,8,31),'2025数据'!$B$3:$B$181,$E1803)/10000)</f>
        <v>1.20673</v>
      </c>
      <c r="N1803" s="51">
        <f ca="1">IF($S$1&lt;DATE(2025,9,1)," ",SUMIFS('2025数据'!$BP$3:$BP$181,'2025数据'!$X$3:$X$181,"&gt;="&amp;DATE(2025,9,1),'2025数据'!$X$3:$X$181,"&lt;="&amp;DATE(2025,9,30),'2025数据'!$B$3:$B$181,$E1803)/10000)</f>
        <v>0.477251</v>
      </c>
      <c r="O1803" s="51">
        <f ca="1">IF($S$1&lt;DATE(2025,10,1)," ",SUMIFS('2025数据'!$BP$3:$BP$181,'2025数据'!$X$3:$X$181,"&gt;="&amp;DATE(2025,10,1),'2025数据'!$X$3:$X$181,"&lt;="&amp;DATE(2025,10,31),'2025数据'!$B$3:$B$181,$E1803)/10000)</f>
        <v>0</v>
      </c>
      <c r="P1803" s="217">
        <f ca="1">IF($S$1&lt;DATE(2025,11,1)," ",SUMIFS('2025数据'!$BP$3:$BP$181,'2025数据'!$X$3:$X$181,"&gt;="&amp;DATE(2025,11,1),'2025数据'!$X$3:$X$181,"&lt;="&amp;DATE(2025,11,30),'2025数据'!$B$3:$B$181,$E1803)/10000)</f>
        <v>0</v>
      </c>
      <c r="Q1803" s="217">
        <f ca="1">IF($S$1&lt;DATE(2025,12,1)," ",SUMIFS('2025数据'!$BP$3:$BP$181,'2025数据'!$X$3:$X$181,"&gt;="&amp;DATE(2025,12,1),'2025数据'!$X$3:$X$181,"&lt;="&amp;DATE(2025,12,31),'2025数据'!$B$3:$B$181,$E1803)/10000)</f>
        <v>0</v>
      </c>
    </row>
    <row r="1804" ht="24" customHeight="1" spans="1:17">
      <c r="A1804" s="99" t="s">
        <v>349</v>
      </c>
      <c r="B1804" s="99" t="s">
        <v>299</v>
      </c>
      <c r="C1804" s="99" t="s">
        <v>336</v>
      </c>
      <c r="D1804" s="47" t="s">
        <v>294</v>
      </c>
      <c r="E1804" s="47" t="s">
        <v>96</v>
      </c>
      <c r="F1804" s="51">
        <f ca="1">IF($S$1&lt;DATE(2025,1,1)," ",SUMIFS('2025数据'!$BP$3:$BP$181,'2025数据'!$X$3:$X$181,"&gt;="&amp;DATE(2025,1,1),'2025数据'!$X$3:$X$181,"&lt;="&amp;DATE(2025,1,31),'2025数据'!$B$3:$B$181,$E1804)/10000)</f>
        <v>0</v>
      </c>
      <c r="G1804" s="51">
        <f ca="1">IF($S$1&lt;DATE(2025,2,1)," ",SUMIFS('2025数据'!$BP$3:$BP$181,'2025数据'!$X$3:$X$181,"&gt;="&amp;DATE(2025,2,1),'2025数据'!$X$3:$X$181,"&lt;="&amp;DATE(2025,2,28),'2025数据'!$B$3:$B$181,$E1804)/10000)</f>
        <v>0</v>
      </c>
      <c r="H1804" s="51">
        <f ca="1">IF($S$1&lt;DATE(2025,3,1)," ",SUMIFS('2025数据'!$BP$3:$BP$181,'2025数据'!$X$3:$X$181,"&gt;="&amp;DATE(2025,3,1),'2025数据'!$X$3:$X$181,"&lt;="&amp;DATE(2025,3,31),'2025数据'!$B$3:$B$181,$E1804)/10000)</f>
        <v>0</v>
      </c>
      <c r="I1804" s="51">
        <f ca="1">IF($S$1&lt;DATE(2025,4,1)," ",SUMIFS('2025数据'!$BP$3:$BP$181,'2025数据'!$X$3:$X$181,"&gt;="&amp;DATE(2025,4,1),'2025数据'!$X$3:$X$181,"&lt;="&amp;DATE(2025,4,30),'2025数据'!$B$3:$B$181,$E1804)/10000)</f>
        <v>0</v>
      </c>
      <c r="J1804" s="51">
        <f ca="1">IF($S$1&lt;DATE(2025,5,1)," ",SUMIFS('2025数据'!$BP$3:$BP$181,'2025数据'!$X$3:$X$181,"&gt;="&amp;DATE(2025,5,1),'2025数据'!$X$3:$X$181,"&lt;="&amp;DATE(2025,5,31),'2025数据'!$B$3:$B$181,$E1804)/10000)</f>
        <v>0</v>
      </c>
      <c r="K1804" s="51">
        <f ca="1">IF($S$1&lt;DATE(2025,6,1)," ",SUMIFS('2025数据'!$BP$3:$BP$181,'2025数据'!$X$3:$X$181,"&gt;="&amp;DATE(2025,6,1),'2025数据'!$X$3:$X$181,"&lt;="&amp;DATE(2025,6,30),'2025数据'!$B$3:$B$181,$E1804)/10000)</f>
        <v>0</v>
      </c>
      <c r="L1804" s="51">
        <f ca="1">IF($S$1&lt;DATE(2025,7,1)," ",SUMIFS('2025数据'!$BP$3:$BP$181,'2025数据'!$X$3:$X$181,"&gt;="&amp;DATE(2025,7,1),'2025数据'!$X$3:$X$181,"&lt;="&amp;DATE(2025,7,31),'2025数据'!$B$3:$B$181,$E1804)/10000)</f>
        <v>0</v>
      </c>
      <c r="M1804" s="51">
        <f ca="1">IF($S$1&lt;DATE(2025,8,1)," ",SUMIFS('2025数据'!$BP$3:$BP$181,'2025数据'!$X$3:$X$181,"&gt;="&amp;DATE(2025,8,1),'2025数据'!$X$3:$X$181,"&lt;="&amp;DATE(2025,8,31),'2025数据'!$B$3:$B$181,$E1804)/10000)</f>
        <v>0</v>
      </c>
      <c r="N1804" s="51">
        <f ca="1">IF($S$1&lt;DATE(2025,9,1)," ",SUMIFS('2025数据'!$BP$3:$BP$181,'2025数据'!$X$3:$X$181,"&gt;="&amp;DATE(2025,9,1),'2025数据'!$X$3:$X$181,"&lt;="&amp;DATE(2025,9,30),'2025数据'!$B$3:$B$181,$E1804)/10000)</f>
        <v>0</v>
      </c>
      <c r="O1804" s="51">
        <f ca="1">IF($S$1&lt;DATE(2025,10,1)," ",SUMIFS('2025数据'!$BP$3:$BP$181,'2025数据'!$X$3:$X$181,"&gt;="&amp;DATE(2025,10,1),'2025数据'!$X$3:$X$181,"&lt;="&amp;DATE(2025,10,31),'2025数据'!$B$3:$B$181,$E1804)/10000)</f>
        <v>0</v>
      </c>
      <c r="P1804" s="217">
        <f ca="1">IF($S$1&lt;DATE(2025,11,1)," ",SUMIFS('2025数据'!$BP$3:$BP$181,'2025数据'!$X$3:$X$181,"&gt;="&amp;DATE(2025,11,1),'2025数据'!$X$3:$X$181,"&lt;="&amp;DATE(2025,11,30),'2025数据'!$B$3:$B$181,$E1804)/10000)</f>
        <v>0</v>
      </c>
      <c r="Q1804" s="217">
        <f ca="1">IF($S$1&lt;DATE(2025,12,1)," ",SUMIFS('2025数据'!$BP$3:$BP$181,'2025数据'!$X$3:$X$181,"&gt;="&amp;DATE(2025,12,1),'2025数据'!$X$3:$X$181,"&lt;="&amp;DATE(2025,12,31),'2025数据'!$B$3:$B$181,$E1804)/10000)</f>
        <v>0</v>
      </c>
    </row>
    <row r="1805" ht="24" customHeight="1" spans="1:17">
      <c r="A1805" s="99" t="s">
        <v>349</v>
      </c>
      <c r="B1805" s="99" t="s">
        <v>299</v>
      </c>
      <c r="C1805" s="99" t="s">
        <v>336</v>
      </c>
      <c r="D1805" s="47" t="s">
        <v>294</v>
      </c>
      <c r="E1805" s="47" t="s">
        <v>160</v>
      </c>
      <c r="F1805" s="51">
        <f ca="1">IF($S$1&lt;DATE(2025,1,1)," ",SUMIFS('2025数据'!$BP$3:$BP$181,'2025数据'!$X$3:$X$181,"&gt;="&amp;DATE(2025,1,1),'2025数据'!$X$3:$X$181,"&lt;="&amp;DATE(2025,1,31),'2025数据'!$B$3:$B$181,$E1805)/10000)</f>
        <v>0</v>
      </c>
      <c r="G1805" s="51">
        <f ca="1">IF($S$1&lt;DATE(2025,2,1)," ",SUMIFS('2025数据'!$BP$3:$BP$181,'2025数据'!$X$3:$X$181,"&gt;="&amp;DATE(2025,2,1),'2025数据'!$X$3:$X$181,"&lt;="&amp;DATE(2025,2,28),'2025数据'!$B$3:$B$181,$E1805)/10000)</f>
        <v>0</v>
      </c>
      <c r="H1805" s="51">
        <f ca="1">IF($S$1&lt;DATE(2025,3,1)," ",SUMIFS('2025数据'!$BP$3:$BP$181,'2025数据'!$X$3:$X$181,"&gt;="&amp;DATE(2025,3,1),'2025数据'!$X$3:$X$181,"&lt;="&amp;DATE(2025,3,31),'2025数据'!$B$3:$B$181,$E1805)/10000)</f>
        <v>0</v>
      </c>
      <c r="I1805" s="51">
        <f ca="1">IF($S$1&lt;DATE(2025,4,1)," ",SUMIFS('2025数据'!$BP$3:$BP$181,'2025数据'!$X$3:$X$181,"&gt;="&amp;DATE(2025,4,1),'2025数据'!$X$3:$X$181,"&lt;="&amp;DATE(2025,4,30),'2025数据'!$B$3:$B$181,$E1805)/10000)</f>
        <v>0</v>
      </c>
      <c r="J1805" s="51">
        <f ca="1">IF($S$1&lt;DATE(2025,5,1)," ",SUMIFS('2025数据'!$BP$3:$BP$181,'2025数据'!$X$3:$X$181,"&gt;="&amp;DATE(2025,5,1),'2025数据'!$X$3:$X$181,"&lt;="&amp;DATE(2025,5,31),'2025数据'!$B$3:$B$181,$E1805)/10000)</f>
        <v>0</v>
      </c>
      <c r="K1805" s="51">
        <f ca="1">IF($S$1&lt;DATE(2025,6,1)," ",SUMIFS('2025数据'!$BP$3:$BP$181,'2025数据'!$X$3:$X$181,"&gt;="&amp;DATE(2025,6,1),'2025数据'!$X$3:$X$181,"&lt;="&amp;DATE(2025,6,30),'2025数据'!$B$3:$B$181,$E1805)/10000)</f>
        <v>0</v>
      </c>
      <c r="L1805" s="51">
        <f ca="1">IF($S$1&lt;DATE(2025,7,1)," ",SUMIFS('2025数据'!$BP$3:$BP$181,'2025数据'!$X$3:$X$181,"&gt;="&amp;DATE(2025,7,1),'2025数据'!$X$3:$X$181,"&lt;="&amp;DATE(2025,7,31),'2025数据'!$B$3:$B$181,$E1805)/10000)</f>
        <v>0</v>
      </c>
      <c r="M1805" s="51">
        <f ca="1">IF($S$1&lt;DATE(2025,8,1)," ",SUMIFS('2025数据'!$BP$3:$BP$181,'2025数据'!$X$3:$X$181,"&gt;="&amp;DATE(2025,8,1),'2025数据'!$X$3:$X$181,"&lt;="&amp;DATE(2025,8,31),'2025数据'!$B$3:$B$181,$E1805)/10000)</f>
        <v>0</v>
      </c>
      <c r="N1805" s="51">
        <f ca="1">IF($S$1&lt;DATE(2025,9,1)," ",SUMIFS('2025数据'!$BP$3:$BP$181,'2025数据'!$X$3:$X$181,"&gt;="&amp;DATE(2025,9,1),'2025数据'!$X$3:$X$181,"&lt;="&amp;DATE(2025,9,30),'2025数据'!$B$3:$B$181,$E1805)/10000)</f>
        <v>0</v>
      </c>
      <c r="O1805" s="51">
        <f ca="1">IF($S$1&lt;DATE(2025,10,1)," ",SUMIFS('2025数据'!$BP$3:$BP$181,'2025数据'!$X$3:$X$181,"&gt;="&amp;DATE(2025,10,1),'2025数据'!$X$3:$X$181,"&lt;="&amp;DATE(2025,10,31),'2025数据'!$B$3:$B$181,$E1805)/10000)</f>
        <v>0</v>
      </c>
      <c r="P1805" s="217">
        <f ca="1">IF($S$1&lt;DATE(2025,11,1)," ",SUMIFS('2025数据'!$BP$3:$BP$181,'2025数据'!$X$3:$X$181,"&gt;="&amp;DATE(2025,11,1),'2025数据'!$X$3:$X$181,"&lt;="&amp;DATE(2025,11,30),'2025数据'!$B$3:$B$181,$E1805)/10000)</f>
        <v>0</v>
      </c>
      <c r="Q1805" s="217">
        <f ca="1">IF($S$1&lt;DATE(2025,12,1)," ",SUMIFS('2025数据'!$BP$3:$BP$181,'2025数据'!$X$3:$X$181,"&gt;="&amp;DATE(2025,12,1),'2025数据'!$X$3:$X$181,"&lt;="&amp;DATE(2025,12,31),'2025数据'!$B$3:$B$181,$E1805)/10000)</f>
        <v>0</v>
      </c>
    </row>
    <row r="1806" ht="24" customHeight="1" spans="1:17">
      <c r="A1806" s="99" t="s">
        <v>349</v>
      </c>
      <c r="B1806" s="99" t="s">
        <v>299</v>
      </c>
      <c r="C1806" s="99" t="s">
        <v>333</v>
      </c>
      <c r="D1806" s="114" t="s">
        <v>292</v>
      </c>
      <c r="E1806" s="53" t="s">
        <v>337</v>
      </c>
      <c r="F1806" s="219">
        <f ca="1">IF($S$1&lt;DATE(2025,1,1)," ",SUMIFS('2025数据'!$BT$3:$BT$181,'2025数据'!$X$3:$X$181,"&gt;="&amp;DATE(2025,1,1),'2025数据'!$X$3:$X$181,"&lt;="&amp;DATE(2025,1,31),'2025数据'!$BS$3:$BS$181,$E37)/10000)</f>
        <v>0</v>
      </c>
      <c r="G1806" s="219">
        <f ca="1">IF($S$1&lt;DATE(2025,2,1)," ",SUMIFS('2025数据'!$BT$3:$BT$181,'2025数据'!$X$3:$X$181,"&gt;="&amp;DATE(2025,2,1),'2025数据'!$X$3:$X$181,"&lt;="&amp;DATE(2025,2,28),'2025数据'!$BS$3:$BS$181,$E37)/10000)</f>
        <v>0</v>
      </c>
      <c r="H1806" s="219">
        <f ca="1">IF($S$1&lt;DATE(2025,3,1)," ",SUMIFS('2025数据'!$BT$3:$BT$181,'2025数据'!$X$3:$X$181,"&gt;="&amp;DATE(2025,3,1),'2025数据'!$X$3:$X$181,"&lt;="&amp;DATE(2025,3,31),'2025数据'!$BS$3:$BS$181,$E37)/10000)</f>
        <v>0</v>
      </c>
      <c r="I1806" s="219">
        <f ca="1">IF($S$1&lt;DATE(2025,4,1)," ",SUMIFS('2025数据'!$BT$3:$BT$181,'2025数据'!$X$3:$X$181,"&gt;="&amp;DATE(2025,4,1),'2025数据'!$X$3:$X$181,"&lt;="&amp;DATE(2025,4,30),'2025数据'!$BS$3:$BS$181,$E37)/10000)</f>
        <v>0</v>
      </c>
      <c r="J1806" s="219">
        <f ca="1">IF($S$1&lt;DATE(2025,5,1)," ",SUMIFS('2025数据'!$BT$3:$BT$181,'2025数据'!$X$3:$X$181,"&gt;="&amp;DATE(2025,5,1),'2025数据'!$X$3:$X$181,"&lt;="&amp;DATE(2025,5,31),'2025数据'!$BS$3:$BS$181,$E37)/10000)</f>
        <v>0</v>
      </c>
      <c r="K1806" s="219">
        <f ca="1">IF($S$1&lt;DATE(2025,6,1)," ",SUMIFS('2025数据'!$BT$3:$BT$181,'2025数据'!$X$3:$X$181,"&gt;="&amp;DATE(2025,6,1),'2025数据'!$X$3:$X$181,"&lt;="&amp;DATE(2025,6,30),'2025数据'!$BS$3:$BS$181,$E37)/10000)</f>
        <v>0</v>
      </c>
      <c r="L1806" s="219">
        <f ca="1">IF($S$1&lt;DATE(2025,7,1)," ",SUMIFS('2025数据'!$BT$3:$BT$181,'2025数据'!$X$3:$X$181,"&gt;="&amp;DATE(2025,7,1),'2025数据'!$X$3:$X$181,"&lt;="&amp;DATE(2025,7,31),'2025数据'!$BS$3:$BS$181,$E37)/10000)</f>
        <v>0</v>
      </c>
      <c r="M1806" s="219">
        <f ca="1">IF($S$1&lt;DATE(2025,8,1)," ",SUMIFS('2025数据'!$BT$3:$BT$181,'2025数据'!$X$3:$X$181,"&gt;="&amp;DATE(2025,8,1),'2025数据'!$X$3:$X$181,"&lt;="&amp;DATE(2025,8,31),'2025数据'!$BS$3:$BS$181,$E37)/10000)</f>
        <v>0</v>
      </c>
      <c r="N1806" s="219">
        <f ca="1">IF($S$1&lt;DATE(2025,9,1)," ",SUMIFS('2025数据'!$BT$3:$BT$181,'2025数据'!$X$3:$X$181,"&gt;="&amp;DATE(2025,9,1),'2025数据'!$X$3:$X$181,"&lt;="&amp;DATE(2025,9,30),'2025数据'!$BS$3:$BS$181,$E37)/10000)</f>
        <v>0</v>
      </c>
      <c r="O1806" s="219">
        <f ca="1">IF($S$1&lt;DATE(2025,10,1)," ",SUMIFS('2025数据'!$BT$3:$BT$181,'2025数据'!$X$3:$X$181,"&gt;="&amp;DATE(2025,10,1),'2025数据'!$X$3:$X$181,"&lt;="&amp;DATE(2025,10,31),'2025数据'!$BS$3:$BS$181,$E37)/10000)</f>
        <v>0</v>
      </c>
      <c r="P1806" s="224">
        <f ca="1">IF($S$1&lt;DATE(2025,11,1)," ",SUMIFS('2025数据'!$BT$3:$BT$181,'2025数据'!$X$3:$X$181,"&gt;="&amp;DATE(2025,11,1),'2025数据'!$X$3:$X$181,"&lt;="&amp;DATE(2025,11,30),'2025数据'!$BS$3:$BS$181,$E37)/10000)</f>
        <v>0</v>
      </c>
      <c r="Q1806" s="224">
        <f ca="1">IF($S$1&lt;DATE(2025,12,1)," ",SUMIFS('2025数据'!$BT$3:$BT$181,'2025数据'!$X$3:$X$181,"&gt;="&amp;DATE(2025,12,1),'2025数据'!$X$3:$X$181,"&lt;="&amp;DATE(2025,12,31),'2025数据'!$BS$3:$BS$181,$E37)/10000)</f>
        <v>0</v>
      </c>
    </row>
    <row r="1807" ht="24" customHeight="1" spans="1:17">
      <c r="A1807" s="99" t="s">
        <v>349</v>
      </c>
      <c r="B1807" s="99" t="s">
        <v>299</v>
      </c>
      <c r="C1807" s="99" t="s">
        <v>333</v>
      </c>
      <c r="D1807" s="114" t="s">
        <v>292</v>
      </c>
      <c r="E1807" s="53" t="s">
        <v>338</v>
      </c>
      <c r="F1807" s="219">
        <f ca="1">IF($S$1&lt;DATE(2025,1,1)," ",SUMIFS('2025数据'!$BT$3:$BT$181,'2025数据'!$X$3:$X$181,"&gt;="&amp;DATE(2025,1,1),'2025数据'!$X$3:$X$181,"&lt;="&amp;DATE(2025,1,31),'2025数据'!$BS$3:$BS$181,$E38)/10000)</f>
        <v>0</v>
      </c>
      <c r="G1807" s="219">
        <f ca="1">IF($S$1&lt;DATE(2025,2,1)," ",SUMIFS('2025数据'!$BT$3:$BT$181,'2025数据'!$X$3:$X$181,"&gt;="&amp;DATE(2025,2,1),'2025数据'!$X$3:$X$181,"&lt;="&amp;DATE(2025,2,28),'2025数据'!$BS$3:$BS$181,$E38)/10000)</f>
        <v>0</v>
      </c>
      <c r="H1807" s="219">
        <f ca="1">IF($S$1&lt;DATE(2025,3,1)," ",SUMIFS('2025数据'!$BT$3:$BT$181,'2025数据'!$X$3:$X$181,"&gt;="&amp;DATE(2025,3,1),'2025数据'!$X$3:$X$181,"&lt;="&amp;DATE(2025,3,31),'2025数据'!$BS$3:$BS$181,$E38)/10000)</f>
        <v>0</v>
      </c>
      <c r="I1807" s="219">
        <f ca="1">IF($S$1&lt;DATE(2025,4,1)," ",SUMIFS('2025数据'!$BT$3:$BT$181,'2025数据'!$X$3:$X$181,"&gt;="&amp;DATE(2025,4,1),'2025数据'!$X$3:$X$181,"&lt;="&amp;DATE(2025,4,30),'2025数据'!$BS$3:$BS$181,$E38)/10000)</f>
        <v>0</v>
      </c>
      <c r="J1807" s="219">
        <f ca="1">IF($S$1&lt;DATE(2025,5,1)," ",SUMIFS('2025数据'!$BT$3:$BT$181,'2025数据'!$X$3:$X$181,"&gt;="&amp;DATE(2025,5,1),'2025数据'!$X$3:$X$181,"&lt;="&amp;DATE(2025,5,31),'2025数据'!$BS$3:$BS$181,$E38)/10000)</f>
        <v>0</v>
      </c>
      <c r="K1807" s="219">
        <f ca="1">IF($S$1&lt;DATE(2025,6,1)," ",SUMIFS('2025数据'!$BT$3:$BT$181,'2025数据'!$X$3:$X$181,"&gt;="&amp;DATE(2025,6,1),'2025数据'!$X$3:$X$181,"&lt;="&amp;DATE(2025,6,30),'2025数据'!$BS$3:$BS$181,$E38)/10000)</f>
        <v>0</v>
      </c>
      <c r="L1807" s="219">
        <f ca="1">IF($S$1&lt;DATE(2025,7,1)," ",SUMIFS('2025数据'!$BT$3:$BT$181,'2025数据'!$X$3:$X$181,"&gt;="&amp;DATE(2025,7,1),'2025数据'!$X$3:$X$181,"&lt;="&amp;DATE(2025,7,31),'2025数据'!$BS$3:$BS$181,$E38)/10000)</f>
        <v>0</v>
      </c>
      <c r="M1807" s="219">
        <f ca="1">IF($S$1&lt;DATE(2025,8,1)," ",SUMIFS('2025数据'!$BT$3:$BT$181,'2025数据'!$X$3:$X$181,"&gt;="&amp;DATE(2025,8,1),'2025数据'!$X$3:$X$181,"&lt;="&amp;DATE(2025,8,31),'2025数据'!$BS$3:$BS$181,$E38)/10000)</f>
        <v>0</v>
      </c>
      <c r="N1807" s="219">
        <f ca="1">IF($S$1&lt;DATE(2025,9,1)," ",SUMIFS('2025数据'!$BT$3:$BT$181,'2025数据'!$X$3:$X$181,"&gt;="&amp;DATE(2025,9,1),'2025数据'!$X$3:$X$181,"&lt;="&amp;DATE(2025,9,30),'2025数据'!$BS$3:$BS$181,$E38)/10000)</f>
        <v>0</v>
      </c>
      <c r="O1807" s="219">
        <f ca="1">IF($S$1&lt;DATE(2025,10,1)," ",SUMIFS('2025数据'!$BT$3:$BT$181,'2025数据'!$X$3:$X$181,"&gt;="&amp;DATE(2025,10,1),'2025数据'!$X$3:$X$181,"&lt;="&amp;DATE(2025,10,31),'2025数据'!$BS$3:$BS$181,$E38)/10000)</f>
        <v>0</v>
      </c>
      <c r="P1807" s="224">
        <f ca="1">IF($S$1&lt;DATE(2025,11,1)," ",SUMIFS('2025数据'!$BT$3:$BT$181,'2025数据'!$X$3:$X$181,"&gt;="&amp;DATE(2025,11,1),'2025数据'!$X$3:$X$181,"&lt;="&amp;DATE(2025,11,30),'2025数据'!$BS$3:$BS$181,$E38)/10000)</f>
        <v>0</v>
      </c>
      <c r="Q1807" s="224">
        <f ca="1">IF($S$1&lt;DATE(2025,12,1)," ",SUMIFS('2025数据'!$BT$3:$BT$181,'2025数据'!$X$3:$X$181,"&gt;="&amp;DATE(2025,12,1),'2025数据'!$X$3:$X$181,"&lt;="&amp;DATE(2025,12,31),'2025数据'!$BS$3:$BS$181,$E38)/10000)</f>
        <v>0</v>
      </c>
    </row>
    <row r="1808" ht="24" customHeight="1" spans="1:17">
      <c r="A1808" s="99" t="s">
        <v>349</v>
      </c>
      <c r="B1808" s="99" t="s">
        <v>299</v>
      </c>
      <c r="C1808" s="99" t="s">
        <v>333</v>
      </c>
      <c r="D1808" s="114" t="s">
        <v>292</v>
      </c>
      <c r="E1808" s="53" t="s">
        <v>339</v>
      </c>
      <c r="F1808" s="219">
        <f ca="1">IF($S$1&lt;DATE(2025,1,1)," ",SUMIFS('2025数据'!$BT$3:$BT$181,'2025数据'!$X$3:$X$181,"&gt;="&amp;DATE(2025,1,1),'2025数据'!$X$3:$X$181,"&lt;="&amp;DATE(2025,1,31),'2025数据'!$BS$3:$BS$181,$E39)/10000)</f>
        <v>0</v>
      </c>
      <c r="G1808" s="219">
        <f ca="1">IF($S$1&lt;DATE(2025,2,1)," ",SUMIFS('2025数据'!$BT$3:$BT$181,'2025数据'!$X$3:$X$181,"&gt;="&amp;DATE(2025,2,1),'2025数据'!$X$3:$X$181,"&lt;="&amp;DATE(2025,2,28),'2025数据'!$BS$3:$BS$181,$E39)/10000)</f>
        <v>0</v>
      </c>
      <c r="H1808" s="219">
        <f ca="1">IF($S$1&lt;DATE(2025,3,1)," ",SUMIFS('2025数据'!$BT$3:$BT$181,'2025数据'!$X$3:$X$181,"&gt;="&amp;DATE(2025,3,1),'2025数据'!$X$3:$X$181,"&lt;="&amp;DATE(2025,3,31),'2025数据'!$BS$3:$BS$181,$E39)/10000)</f>
        <v>0</v>
      </c>
      <c r="I1808" s="219">
        <f ca="1">IF($S$1&lt;DATE(2025,4,1)," ",SUMIFS('2025数据'!$BT$3:$BT$181,'2025数据'!$X$3:$X$181,"&gt;="&amp;DATE(2025,4,1),'2025数据'!$X$3:$X$181,"&lt;="&amp;DATE(2025,4,30),'2025数据'!$BS$3:$BS$181,$E39)/10000)</f>
        <v>0</v>
      </c>
      <c r="J1808" s="219">
        <f ca="1">IF($S$1&lt;DATE(2025,5,1)," ",SUMIFS('2025数据'!$BT$3:$BT$181,'2025数据'!$X$3:$X$181,"&gt;="&amp;DATE(2025,5,1),'2025数据'!$X$3:$X$181,"&lt;="&amp;DATE(2025,5,31),'2025数据'!$BS$3:$BS$181,$E39)/10000)</f>
        <v>0</v>
      </c>
      <c r="K1808" s="219">
        <f ca="1">IF($S$1&lt;DATE(2025,6,1)," ",SUMIFS('2025数据'!$BT$3:$BT$181,'2025数据'!$X$3:$X$181,"&gt;="&amp;DATE(2025,6,1),'2025数据'!$X$3:$X$181,"&lt;="&amp;DATE(2025,6,30),'2025数据'!$BS$3:$BS$181,$E39)/10000)</f>
        <v>0</v>
      </c>
      <c r="L1808" s="219">
        <f ca="1">IF($S$1&lt;DATE(2025,7,1)," ",SUMIFS('2025数据'!$BT$3:$BT$181,'2025数据'!$X$3:$X$181,"&gt;="&amp;DATE(2025,7,1),'2025数据'!$X$3:$X$181,"&lt;="&amp;DATE(2025,7,31),'2025数据'!$BS$3:$BS$181,$E39)/10000)</f>
        <v>0</v>
      </c>
      <c r="M1808" s="219">
        <f ca="1">IF($S$1&lt;DATE(2025,8,1)," ",SUMIFS('2025数据'!$BT$3:$BT$181,'2025数据'!$X$3:$X$181,"&gt;="&amp;DATE(2025,8,1),'2025数据'!$X$3:$X$181,"&lt;="&amp;DATE(2025,8,31),'2025数据'!$BS$3:$BS$181,$E39)/10000)</f>
        <v>0</v>
      </c>
      <c r="N1808" s="219">
        <f ca="1">IF($S$1&lt;DATE(2025,9,1)," ",SUMIFS('2025数据'!$BT$3:$BT$181,'2025数据'!$X$3:$X$181,"&gt;="&amp;DATE(2025,9,1),'2025数据'!$X$3:$X$181,"&lt;="&amp;DATE(2025,9,30),'2025数据'!$BS$3:$BS$181,$E39)/10000)</f>
        <v>0</v>
      </c>
      <c r="O1808" s="219">
        <f ca="1">IF($S$1&lt;DATE(2025,10,1)," ",SUMIFS('2025数据'!$BT$3:$BT$181,'2025数据'!$X$3:$X$181,"&gt;="&amp;DATE(2025,10,1),'2025数据'!$X$3:$X$181,"&lt;="&amp;DATE(2025,10,31),'2025数据'!$BS$3:$BS$181,$E39)/10000)</f>
        <v>0</v>
      </c>
      <c r="P1808" s="224">
        <f ca="1">IF($S$1&lt;DATE(2025,11,1)," ",SUMIFS('2025数据'!$BT$3:$BT$181,'2025数据'!$X$3:$X$181,"&gt;="&amp;DATE(2025,11,1),'2025数据'!$X$3:$X$181,"&lt;="&amp;DATE(2025,11,30),'2025数据'!$BS$3:$BS$181,$E39)/10000)</f>
        <v>0</v>
      </c>
      <c r="Q1808" s="224">
        <f ca="1">IF($S$1&lt;DATE(2025,12,1)," ",SUMIFS('2025数据'!$BT$3:$BT$181,'2025数据'!$X$3:$X$181,"&gt;="&amp;DATE(2025,12,1),'2025数据'!$X$3:$X$181,"&lt;="&amp;DATE(2025,12,31),'2025数据'!$BS$3:$BS$181,$E39)/10000)</f>
        <v>0</v>
      </c>
    </row>
    <row r="1809" ht="24" customHeight="1" spans="1:17">
      <c r="A1809" s="99" t="s">
        <v>349</v>
      </c>
      <c r="B1809" s="99" t="s">
        <v>299</v>
      </c>
      <c r="C1809" s="99" t="s">
        <v>333</v>
      </c>
      <c r="D1809" s="53" t="s">
        <v>303</v>
      </c>
      <c r="E1809" s="53" t="s">
        <v>93</v>
      </c>
      <c r="F1809" s="219">
        <f ca="1">IF($S$1&lt;DATE(2025,1,1)," ",SUMIFS('2025数据'!$BT$3:$BT$181,'2025数据'!$X$3:$X$181,"&gt;="&amp;DATE(2025,1,1),'2025数据'!$X$3:$X$181,"&lt;="&amp;DATE(2025,1,31),'2025数据'!$BS$3:$BS$181,$E$37,'2025数据'!$B$3:$B$181,E1809)/10000)</f>
        <v>0</v>
      </c>
      <c r="G1809" s="219">
        <f ca="1">IF($S$1&lt;DATE(2025,2,1)," ",SUMIFS('2025数据'!$BT$3:$BT$181,'2025数据'!$X$3:$X$181,"&gt;="&amp;DATE(2025,2,1),'2025数据'!$X$3:$X$181,"&lt;="&amp;DATE(2025,2,28),'2025数据'!$BS$3:$BS$181,$E$37,'2025数据'!$B$3:$B$181,E1809)/10000)</f>
        <v>0</v>
      </c>
      <c r="H1809" s="219">
        <f ca="1">IF($S$1&lt;DATE(2025,3,1)," ",SUMIFS('2025数据'!$BT$3:$BT$181,'2025数据'!$X$3:$X$181,"&gt;="&amp;DATE(2025,3,1),'2025数据'!$X$3:$X$181,"&lt;="&amp;DATE(2025,3,31),'2025数据'!$BS$3:$BS$181,$E$37,'2025数据'!$B$3:$B$181,E1809)/10000)</f>
        <v>0</v>
      </c>
      <c r="I1809" s="219">
        <f ca="1">IF($S$1&lt;DATE(2025,4,1)," ",SUMIFS('2025数据'!$BT$3:$BT$181,'2025数据'!$X$3:$X$181,"&gt;="&amp;DATE(2025,4,1),'2025数据'!$X$3:$X$181,"&lt;="&amp;DATE(2025,4,30),'2025数据'!$BS$3:$BS$181,$E$37,'2025数据'!$B$3:$B$181,E1809)/10000)</f>
        <v>0</v>
      </c>
      <c r="J1809" s="219">
        <f ca="1">IF($S$1&lt;DATE(2025,5,1)," ",SUMIFS('2025数据'!$BT$3:$BT$181,'2025数据'!$X$3:$X$181,"&gt;="&amp;DATE(2025,5,1),'2025数据'!$X$3:$X$181,"&lt;="&amp;DATE(2025,5,31),'2025数据'!$BS$3:$BS$181,$E$37,'2025数据'!$B$3:$B$181,E1809)/10000)</f>
        <v>0</v>
      </c>
      <c r="K1809" s="219">
        <f ca="1">IF($S$1&lt;DATE(2025,6,1)," ",SUMIFS('2025数据'!$BT$3:$BT$181,'2025数据'!$X$3:$X$181,"&gt;="&amp;DATE(2025,6,1),'2025数据'!$X$3:$X$181,"&lt;="&amp;DATE(2025,6,30),'2025数据'!$BS$3:$BS$181,$E$37,'2025数据'!$B$3:$B$181,E1809)/10000)</f>
        <v>0</v>
      </c>
      <c r="L1809" s="219">
        <f ca="1">IF($S$1&lt;DATE(2025,7,1)," ",SUMIFS('2025数据'!$BT$3:$BT$181,'2025数据'!$X$3:$X$181,"&gt;="&amp;DATE(2025,7,1),'2025数据'!$X$3:$X$181,"&lt;="&amp;DATE(2025,7,31),'2025数据'!$BS$3:$BS$181,$E$37,'2025数据'!$B$3:$B$181,E1809)/10000)</f>
        <v>0</v>
      </c>
      <c r="M1809" s="219">
        <f ca="1">IF($S$1&lt;DATE(2025,8,1)," ",SUMIFS('2025数据'!$BT$3:$BT$181,'2025数据'!$X$3:$X$181,"&gt;="&amp;DATE(2025,8,1),'2025数据'!$X$3:$X$181,"&lt;="&amp;DATE(2025,8,31),'2025数据'!$BS$3:$BS$181,$E$37,'2025数据'!$B$3:$B$181,E1809)/10000)</f>
        <v>0</v>
      </c>
      <c r="N1809" s="219">
        <f ca="1">IF($S$1&lt;DATE(2025,9,1)," ",SUMIFS('2025数据'!$BT$3:$BT$181,'2025数据'!$X$3:$X$181,"&gt;="&amp;DATE(2025,9,1),'2025数据'!$X$3:$X$181,"&lt;="&amp;DATE(2025,9,30),'2025数据'!$BS$3:$BS$181,$E$37,'2025数据'!$B$3:$B$181,E1809)/10000)</f>
        <v>0</v>
      </c>
      <c r="O1809" s="219">
        <f ca="1">IF($S$1&lt;DATE(2025,10,1)," ",SUMIFS('2025数据'!$BT$3:$BT$181,'2025数据'!$X$3:$X$181,"&gt;="&amp;DATE(2025,10,1),'2025数据'!$X$3:$X$181,"&lt;="&amp;DATE(2025,10,31),'2025数据'!$BS$3:$BS$181,$E$37,'2025数据'!$B$3:$B$181,E1809)/10000)</f>
        <v>0</v>
      </c>
      <c r="P1809" s="224">
        <f ca="1">IF($S$1&lt;DATE(2025,11,1)," ",SUMIFS('2025数据'!$BT$3:$BT$181,'2025数据'!$X$3:$X$181,"&gt;="&amp;DATE(2025,11,1),'2025数据'!$X$3:$X$181,"&lt;="&amp;DATE(2025,11,30),'2025数据'!$BS$3:$BS$181,$E$37,'2025数据'!$B$3:$B$181,E1809)/10000)</f>
        <v>0</v>
      </c>
      <c r="Q1809" s="224">
        <f ca="1">IF($S$1&lt;DATE(2025,12,1)," ",SUMIFS('2025数据'!$BT$3:$BT$181,'2025数据'!$X$3:$X$181,"&gt;="&amp;DATE(2025,12,1),'2025数据'!$X$3:$X$181,"&lt;="&amp;DATE(2025,12,31),'2025数据'!$BS$3:$BS$181,$E$37,'2025数据'!$B$3:$B$181,E1809)/10000)</f>
        <v>0</v>
      </c>
    </row>
    <row r="1810" ht="24" customHeight="1" spans="1:17">
      <c r="A1810" s="99" t="s">
        <v>349</v>
      </c>
      <c r="B1810" s="99" t="s">
        <v>299</v>
      </c>
      <c r="C1810" s="99" t="s">
        <v>333</v>
      </c>
      <c r="D1810" s="53" t="s">
        <v>303</v>
      </c>
      <c r="E1810" s="53" t="s">
        <v>85</v>
      </c>
      <c r="F1810" s="219">
        <f ca="1">IF($S$1&lt;DATE(2025,1,1)," ",SUMIFS('2025数据'!$BT$3:$BT$181,'2025数据'!$X$3:$X$181,"&gt;="&amp;DATE(2025,1,1),'2025数据'!$X$3:$X$181,"&lt;="&amp;DATE(2025,1,31),'2025数据'!$BS$3:$BS$181,$E$37,'2025数据'!$B$3:$B$181,E1810)/10000)</f>
        <v>0</v>
      </c>
      <c r="G1810" s="219">
        <f ca="1">IF($S$1&lt;DATE(2025,2,1)," ",SUMIFS('2025数据'!$BT$3:$BT$181,'2025数据'!$X$3:$X$181,"&gt;="&amp;DATE(2025,2,1),'2025数据'!$X$3:$X$181,"&lt;="&amp;DATE(2025,2,28),'2025数据'!$BS$3:$BS$181,$E$37,'2025数据'!$B$3:$B$181,E1810)/10000)</f>
        <v>0</v>
      </c>
      <c r="H1810" s="219">
        <f ca="1">IF($S$1&lt;DATE(2025,3,1)," ",SUMIFS('2025数据'!$BT$3:$BT$181,'2025数据'!$X$3:$X$181,"&gt;="&amp;DATE(2025,3,1),'2025数据'!$X$3:$X$181,"&lt;="&amp;DATE(2025,3,31),'2025数据'!$BS$3:$BS$181,$E$37,'2025数据'!$B$3:$B$181,E1810)/10000)</f>
        <v>0</v>
      </c>
      <c r="I1810" s="219">
        <f ca="1">IF($S$1&lt;DATE(2025,4,1)," ",SUMIFS('2025数据'!$BT$3:$BT$181,'2025数据'!$X$3:$X$181,"&gt;="&amp;DATE(2025,4,1),'2025数据'!$X$3:$X$181,"&lt;="&amp;DATE(2025,4,30),'2025数据'!$BS$3:$BS$181,$E$37,'2025数据'!$B$3:$B$181,E1810)/10000)</f>
        <v>0</v>
      </c>
      <c r="J1810" s="219">
        <f ca="1">IF($S$1&lt;DATE(2025,5,1)," ",SUMIFS('2025数据'!$BT$3:$BT$181,'2025数据'!$X$3:$X$181,"&gt;="&amp;DATE(2025,5,1),'2025数据'!$X$3:$X$181,"&lt;="&amp;DATE(2025,5,31),'2025数据'!$BS$3:$BS$181,$E$37,'2025数据'!$B$3:$B$181,E1810)/10000)</f>
        <v>0</v>
      </c>
      <c r="K1810" s="219">
        <f ca="1">IF($S$1&lt;DATE(2025,6,1)," ",SUMIFS('2025数据'!$BT$3:$BT$181,'2025数据'!$X$3:$X$181,"&gt;="&amp;DATE(2025,6,1),'2025数据'!$X$3:$X$181,"&lt;="&amp;DATE(2025,6,30),'2025数据'!$BS$3:$BS$181,$E$37,'2025数据'!$B$3:$B$181,E1810)/10000)</f>
        <v>0</v>
      </c>
      <c r="L1810" s="219">
        <f ca="1">IF($S$1&lt;DATE(2025,7,1)," ",SUMIFS('2025数据'!$BT$3:$BT$181,'2025数据'!$X$3:$X$181,"&gt;="&amp;DATE(2025,7,1),'2025数据'!$X$3:$X$181,"&lt;="&amp;DATE(2025,7,31),'2025数据'!$BS$3:$BS$181,$E$37,'2025数据'!$B$3:$B$181,E1810)/10000)</f>
        <v>0</v>
      </c>
      <c r="M1810" s="219">
        <f ca="1">IF($S$1&lt;DATE(2025,8,1)," ",SUMIFS('2025数据'!$BT$3:$BT$181,'2025数据'!$X$3:$X$181,"&gt;="&amp;DATE(2025,8,1),'2025数据'!$X$3:$X$181,"&lt;="&amp;DATE(2025,8,31),'2025数据'!$BS$3:$BS$181,$E$37,'2025数据'!$B$3:$B$181,E1810)/10000)</f>
        <v>0</v>
      </c>
      <c r="N1810" s="219">
        <f ca="1">IF($S$1&lt;DATE(2025,9,1)," ",SUMIFS('2025数据'!$BT$3:$BT$181,'2025数据'!$X$3:$X$181,"&gt;="&amp;DATE(2025,9,1),'2025数据'!$X$3:$X$181,"&lt;="&amp;DATE(2025,9,30),'2025数据'!$BS$3:$BS$181,$E$37,'2025数据'!$B$3:$B$181,E1810)/10000)</f>
        <v>0</v>
      </c>
      <c r="O1810" s="219">
        <f ca="1">IF($S$1&lt;DATE(2025,10,1)," ",SUMIFS('2025数据'!$BT$3:$BT$181,'2025数据'!$X$3:$X$181,"&gt;="&amp;DATE(2025,10,1),'2025数据'!$X$3:$X$181,"&lt;="&amp;DATE(2025,10,31),'2025数据'!$BS$3:$BS$181,$E$37,'2025数据'!$B$3:$B$181,E1810)/10000)</f>
        <v>0</v>
      </c>
      <c r="P1810" s="224">
        <f ca="1">IF($S$1&lt;DATE(2025,11,1)," ",SUMIFS('2025数据'!$BT$3:$BT$181,'2025数据'!$X$3:$X$181,"&gt;="&amp;DATE(2025,11,1),'2025数据'!$X$3:$X$181,"&lt;="&amp;DATE(2025,11,30),'2025数据'!$BS$3:$BS$181,$E$37,'2025数据'!$B$3:$B$181,E1810)/10000)</f>
        <v>0</v>
      </c>
      <c r="Q1810" s="224">
        <f ca="1">IF($S$1&lt;DATE(2025,12,1)," ",SUMIFS('2025数据'!$BT$3:$BT$181,'2025数据'!$X$3:$X$181,"&gt;="&amp;DATE(2025,12,1),'2025数据'!$X$3:$X$181,"&lt;="&amp;DATE(2025,12,31),'2025数据'!$BS$3:$BS$181,$E$37,'2025数据'!$B$3:$B$181,E1810)/10000)</f>
        <v>0</v>
      </c>
    </row>
    <row r="1811" ht="24" customHeight="1" spans="1:17">
      <c r="A1811" s="99" t="s">
        <v>349</v>
      </c>
      <c r="B1811" s="99" t="s">
        <v>299</v>
      </c>
      <c r="C1811" s="99" t="s">
        <v>333</v>
      </c>
      <c r="D1811" s="53" t="s">
        <v>303</v>
      </c>
      <c r="E1811" s="53" t="s">
        <v>81</v>
      </c>
      <c r="F1811" s="219">
        <f ca="1">IF($S$1&lt;DATE(2025,1,1)," ",SUMIFS('2025数据'!$BT$3:$BT$181,'2025数据'!$X$3:$X$181,"&gt;="&amp;DATE(2025,1,1),'2025数据'!$X$3:$X$181,"&lt;="&amp;DATE(2025,1,31),'2025数据'!$BS$3:$BS$181,$E$37,'2025数据'!$B$3:$B$181,E1811)/10000)</f>
        <v>0</v>
      </c>
      <c r="G1811" s="219">
        <f ca="1">IF($S$1&lt;DATE(2025,2,1)," ",SUMIFS('2025数据'!$BT$3:$BT$181,'2025数据'!$X$3:$X$181,"&gt;="&amp;DATE(2025,2,1),'2025数据'!$X$3:$X$181,"&lt;="&amp;DATE(2025,2,28),'2025数据'!$BS$3:$BS$181,$E$37,'2025数据'!$B$3:$B$181,E1811)/10000)</f>
        <v>0</v>
      </c>
      <c r="H1811" s="219">
        <f ca="1">IF($S$1&lt;DATE(2025,3,1)," ",SUMIFS('2025数据'!$BT$3:$BT$181,'2025数据'!$X$3:$X$181,"&gt;="&amp;DATE(2025,3,1),'2025数据'!$X$3:$X$181,"&lt;="&amp;DATE(2025,3,31),'2025数据'!$BS$3:$BS$181,$E$37,'2025数据'!$B$3:$B$181,E1811)/10000)</f>
        <v>0</v>
      </c>
      <c r="I1811" s="219">
        <f ca="1">IF($S$1&lt;DATE(2025,4,1)," ",SUMIFS('2025数据'!$BT$3:$BT$181,'2025数据'!$X$3:$X$181,"&gt;="&amp;DATE(2025,4,1),'2025数据'!$X$3:$X$181,"&lt;="&amp;DATE(2025,4,30),'2025数据'!$BS$3:$BS$181,$E$37,'2025数据'!$B$3:$B$181,E1811)/10000)</f>
        <v>0</v>
      </c>
      <c r="J1811" s="219">
        <f ca="1">IF($S$1&lt;DATE(2025,5,1)," ",SUMIFS('2025数据'!$BT$3:$BT$181,'2025数据'!$X$3:$X$181,"&gt;="&amp;DATE(2025,5,1),'2025数据'!$X$3:$X$181,"&lt;="&amp;DATE(2025,5,31),'2025数据'!$BS$3:$BS$181,$E$37,'2025数据'!$B$3:$B$181,E1811)/10000)</f>
        <v>0</v>
      </c>
      <c r="K1811" s="219">
        <f ca="1">IF($S$1&lt;DATE(2025,6,1)," ",SUMIFS('2025数据'!$BT$3:$BT$181,'2025数据'!$X$3:$X$181,"&gt;="&amp;DATE(2025,6,1),'2025数据'!$X$3:$X$181,"&lt;="&amp;DATE(2025,6,30),'2025数据'!$BS$3:$BS$181,$E$37,'2025数据'!$B$3:$B$181,E1811)/10000)</f>
        <v>0</v>
      </c>
      <c r="L1811" s="219">
        <f ca="1">IF($S$1&lt;DATE(2025,7,1)," ",SUMIFS('2025数据'!$BT$3:$BT$181,'2025数据'!$X$3:$X$181,"&gt;="&amp;DATE(2025,7,1),'2025数据'!$X$3:$X$181,"&lt;="&amp;DATE(2025,7,31),'2025数据'!$BS$3:$BS$181,$E$37,'2025数据'!$B$3:$B$181,E1811)/10000)</f>
        <v>0</v>
      </c>
      <c r="M1811" s="219">
        <f ca="1">IF($S$1&lt;DATE(2025,8,1)," ",SUMIFS('2025数据'!$BT$3:$BT$181,'2025数据'!$X$3:$X$181,"&gt;="&amp;DATE(2025,8,1),'2025数据'!$X$3:$X$181,"&lt;="&amp;DATE(2025,8,31),'2025数据'!$BS$3:$BS$181,$E$37,'2025数据'!$B$3:$B$181,E1811)/10000)</f>
        <v>0</v>
      </c>
      <c r="N1811" s="219">
        <f ca="1">IF($S$1&lt;DATE(2025,9,1)," ",SUMIFS('2025数据'!$BT$3:$BT$181,'2025数据'!$X$3:$X$181,"&gt;="&amp;DATE(2025,9,1),'2025数据'!$X$3:$X$181,"&lt;="&amp;DATE(2025,9,30),'2025数据'!$BS$3:$BS$181,$E$37,'2025数据'!$B$3:$B$181,E1811)/10000)</f>
        <v>0</v>
      </c>
      <c r="O1811" s="219">
        <f ca="1">IF($S$1&lt;DATE(2025,10,1)," ",SUMIFS('2025数据'!$BT$3:$BT$181,'2025数据'!$X$3:$X$181,"&gt;="&amp;DATE(2025,10,1),'2025数据'!$X$3:$X$181,"&lt;="&amp;DATE(2025,10,31),'2025数据'!$BS$3:$BS$181,$E$37,'2025数据'!$B$3:$B$181,E1811)/10000)</f>
        <v>0</v>
      </c>
      <c r="P1811" s="224">
        <f ca="1">IF($S$1&lt;DATE(2025,11,1)," ",SUMIFS('2025数据'!$BT$3:$BT$181,'2025数据'!$X$3:$X$181,"&gt;="&amp;DATE(2025,11,1),'2025数据'!$X$3:$X$181,"&lt;="&amp;DATE(2025,11,30),'2025数据'!$BS$3:$BS$181,$E$37,'2025数据'!$B$3:$B$181,E1811)/10000)</f>
        <v>0</v>
      </c>
      <c r="Q1811" s="224">
        <f ca="1">IF($S$1&lt;DATE(2025,12,1)," ",SUMIFS('2025数据'!$BT$3:$BT$181,'2025数据'!$X$3:$X$181,"&gt;="&amp;DATE(2025,12,1),'2025数据'!$X$3:$X$181,"&lt;="&amp;DATE(2025,12,31),'2025数据'!$BS$3:$BS$181,$E$37,'2025数据'!$B$3:$B$181,E1811)/10000)</f>
        <v>0</v>
      </c>
    </row>
    <row r="1812" ht="24" customHeight="1" spans="1:17">
      <c r="A1812" s="99" t="s">
        <v>349</v>
      </c>
      <c r="B1812" s="99" t="s">
        <v>299</v>
      </c>
      <c r="C1812" s="99" t="s">
        <v>333</v>
      </c>
      <c r="D1812" s="53" t="s">
        <v>303</v>
      </c>
      <c r="E1812" s="53" t="s">
        <v>96</v>
      </c>
      <c r="F1812" s="219">
        <f ca="1">IF($S$1&lt;DATE(2025,1,1)," ",SUMIFS('2025数据'!$BT$3:$BT$181,'2025数据'!$X$3:$X$181,"&gt;="&amp;DATE(2025,1,1),'2025数据'!$X$3:$X$181,"&lt;="&amp;DATE(2025,1,31),'2025数据'!$BS$3:$BS$181,$E$37,'2025数据'!$B$3:$B$181,E1812)/10000)</f>
        <v>0</v>
      </c>
      <c r="G1812" s="219">
        <f ca="1">IF($S$1&lt;DATE(2025,2,1)," ",SUMIFS('2025数据'!$BT$3:$BT$181,'2025数据'!$X$3:$X$181,"&gt;="&amp;DATE(2025,2,1),'2025数据'!$X$3:$X$181,"&lt;="&amp;DATE(2025,2,28),'2025数据'!$BS$3:$BS$181,$E$37,'2025数据'!$B$3:$B$181,E1812)/10000)</f>
        <v>0</v>
      </c>
      <c r="H1812" s="219">
        <f ca="1">IF($S$1&lt;DATE(2025,3,1)," ",SUMIFS('2025数据'!$BT$3:$BT$181,'2025数据'!$X$3:$X$181,"&gt;="&amp;DATE(2025,3,1),'2025数据'!$X$3:$X$181,"&lt;="&amp;DATE(2025,3,31),'2025数据'!$BS$3:$BS$181,$E$37,'2025数据'!$B$3:$B$181,E1812)/10000)</f>
        <v>0</v>
      </c>
      <c r="I1812" s="219">
        <f ca="1">IF($S$1&lt;DATE(2025,4,1)," ",SUMIFS('2025数据'!$BT$3:$BT$181,'2025数据'!$X$3:$X$181,"&gt;="&amp;DATE(2025,4,1),'2025数据'!$X$3:$X$181,"&lt;="&amp;DATE(2025,4,30),'2025数据'!$BS$3:$BS$181,$E$37,'2025数据'!$B$3:$B$181,E1812)/10000)</f>
        <v>0</v>
      </c>
      <c r="J1812" s="219">
        <f ca="1">IF($S$1&lt;DATE(2025,5,1)," ",SUMIFS('2025数据'!$BT$3:$BT$181,'2025数据'!$X$3:$X$181,"&gt;="&amp;DATE(2025,5,1),'2025数据'!$X$3:$X$181,"&lt;="&amp;DATE(2025,5,31),'2025数据'!$BS$3:$BS$181,$E$37,'2025数据'!$B$3:$B$181,E1812)/10000)</f>
        <v>0</v>
      </c>
      <c r="K1812" s="219">
        <f ca="1">IF($S$1&lt;DATE(2025,6,1)," ",SUMIFS('2025数据'!$BT$3:$BT$181,'2025数据'!$X$3:$X$181,"&gt;="&amp;DATE(2025,6,1),'2025数据'!$X$3:$X$181,"&lt;="&amp;DATE(2025,6,30),'2025数据'!$BS$3:$BS$181,$E$37,'2025数据'!$B$3:$B$181,E1812)/10000)</f>
        <v>0</v>
      </c>
      <c r="L1812" s="219">
        <f ca="1">IF($S$1&lt;DATE(2025,7,1)," ",SUMIFS('2025数据'!$BT$3:$BT$181,'2025数据'!$X$3:$X$181,"&gt;="&amp;DATE(2025,7,1),'2025数据'!$X$3:$X$181,"&lt;="&amp;DATE(2025,7,31),'2025数据'!$BS$3:$BS$181,$E$37,'2025数据'!$B$3:$B$181,E1812)/10000)</f>
        <v>0</v>
      </c>
      <c r="M1812" s="219">
        <f ca="1">IF($S$1&lt;DATE(2025,8,1)," ",SUMIFS('2025数据'!$BT$3:$BT$181,'2025数据'!$X$3:$X$181,"&gt;="&amp;DATE(2025,8,1),'2025数据'!$X$3:$X$181,"&lt;="&amp;DATE(2025,8,31),'2025数据'!$BS$3:$BS$181,$E$37,'2025数据'!$B$3:$B$181,E1812)/10000)</f>
        <v>0</v>
      </c>
      <c r="N1812" s="219">
        <f ca="1">IF($S$1&lt;DATE(2025,9,1)," ",SUMIFS('2025数据'!$BT$3:$BT$181,'2025数据'!$X$3:$X$181,"&gt;="&amp;DATE(2025,9,1),'2025数据'!$X$3:$X$181,"&lt;="&amp;DATE(2025,9,30),'2025数据'!$BS$3:$BS$181,$E$37,'2025数据'!$B$3:$B$181,E1812)/10000)</f>
        <v>0</v>
      </c>
      <c r="O1812" s="219">
        <f ca="1">IF($S$1&lt;DATE(2025,10,1)," ",SUMIFS('2025数据'!$BT$3:$BT$181,'2025数据'!$X$3:$X$181,"&gt;="&amp;DATE(2025,10,1),'2025数据'!$X$3:$X$181,"&lt;="&amp;DATE(2025,10,31),'2025数据'!$BS$3:$BS$181,$E$37,'2025数据'!$B$3:$B$181,E1812)/10000)</f>
        <v>0</v>
      </c>
      <c r="P1812" s="224">
        <f ca="1">IF($S$1&lt;DATE(2025,11,1)," ",SUMIFS('2025数据'!$BT$3:$BT$181,'2025数据'!$X$3:$X$181,"&gt;="&amp;DATE(2025,11,1),'2025数据'!$X$3:$X$181,"&lt;="&amp;DATE(2025,11,30),'2025数据'!$BS$3:$BS$181,$E$37,'2025数据'!$B$3:$B$181,E1812)/10000)</f>
        <v>0</v>
      </c>
      <c r="Q1812" s="224">
        <f ca="1">IF($S$1&lt;DATE(2025,12,1)," ",SUMIFS('2025数据'!$BT$3:$BT$181,'2025数据'!$X$3:$X$181,"&gt;="&amp;DATE(2025,12,1),'2025数据'!$X$3:$X$181,"&lt;="&amp;DATE(2025,12,31),'2025数据'!$BS$3:$BS$181,$E$37,'2025数据'!$B$3:$B$181,E1812)/10000)</f>
        <v>0</v>
      </c>
    </row>
    <row r="1813" ht="24" customHeight="1" spans="1:17">
      <c r="A1813" s="99" t="s">
        <v>349</v>
      </c>
      <c r="B1813" s="99" t="s">
        <v>299</v>
      </c>
      <c r="C1813" s="99" t="s">
        <v>333</v>
      </c>
      <c r="D1813" s="53" t="s">
        <v>303</v>
      </c>
      <c r="E1813" s="53" t="s">
        <v>160</v>
      </c>
      <c r="F1813" s="219">
        <f ca="1">IF($S$1&lt;DATE(2025,1,1)," ",SUMIFS('2025数据'!$BT$3:$BT$181,'2025数据'!$X$3:$X$181,"&gt;="&amp;DATE(2025,1,1),'2025数据'!$X$3:$X$181,"&lt;="&amp;DATE(2025,1,31),'2025数据'!$BS$3:$BS$181,$E$37,'2025数据'!$B$3:$B$181,E1813)/10000)</f>
        <v>0</v>
      </c>
      <c r="G1813" s="219">
        <f ca="1">IF($S$1&lt;DATE(2025,2,1)," ",SUMIFS('2025数据'!$BT$3:$BT$181,'2025数据'!$X$3:$X$181,"&gt;="&amp;DATE(2025,2,1),'2025数据'!$X$3:$X$181,"&lt;="&amp;DATE(2025,2,28),'2025数据'!$BS$3:$BS$181,$E$37,'2025数据'!$B$3:$B$181,E1813)/10000)</f>
        <v>0</v>
      </c>
      <c r="H1813" s="219">
        <f ca="1">IF($S$1&lt;DATE(2025,3,1)," ",SUMIFS('2025数据'!$BT$3:$BT$181,'2025数据'!$X$3:$X$181,"&gt;="&amp;DATE(2025,3,1),'2025数据'!$X$3:$X$181,"&lt;="&amp;DATE(2025,3,31),'2025数据'!$BS$3:$BS$181,$E$37,'2025数据'!$B$3:$B$181,E1813)/10000)</f>
        <v>0</v>
      </c>
      <c r="I1813" s="219">
        <f ca="1">IF($S$1&lt;DATE(2025,4,1)," ",SUMIFS('2025数据'!$BT$3:$BT$181,'2025数据'!$X$3:$X$181,"&gt;="&amp;DATE(2025,4,1),'2025数据'!$X$3:$X$181,"&lt;="&amp;DATE(2025,4,30),'2025数据'!$BS$3:$BS$181,$E$37,'2025数据'!$B$3:$B$181,E1813)/10000)</f>
        <v>0</v>
      </c>
      <c r="J1813" s="219">
        <f ca="1">IF($S$1&lt;DATE(2025,5,1)," ",SUMIFS('2025数据'!$BT$3:$BT$181,'2025数据'!$X$3:$X$181,"&gt;="&amp;DATE(2025,5,1),'2025数据'!$X$3:$X$181,"&lt;="&amp;DATE(2025,5,31),'2025数据'!$BS$3:$BS$181,$E$37,'2025数据'!$B$3:$B$181,E1813)/10000)</f>
        <v>0</v>
      </c>
      <c r="K1813" s="219">
        <f ca="1">IF($S$1&lt;DATE(2025,6,1)," ",SUMIFS('2025数据'!$BT$3:$BT$181,'2025数据'!$X$3:$X$181,"&gt;="&amp;DATE(2025,6,1),'2025数据'!$X$3:$X$181,"&lt;="&amp;DATE(2025,6,30),'2025数据'!$BS$3:$BS$181,$E$37,'2025数据'!$B$3:$B$181,E1813)/10000)</f>
        <v>0</v>
      </c>
      <c r="L1813" s="219">
        <f ca="1">IF($S$1&lt;DATE(2025,7,1)," ",SUMIFS('2025数据'!$BT$3:$BT$181,'2025数据'!$X$3:$X$181,"&gt;="&amp;DATE(2025,7,1),'2025数据'!$X$3:$X$181,"&lt;="&amp;DATE(2025,7,31),'2025数据'!$BS$3:$BS$181,$E$37,'2025数据'!$B$3:$B$181,E1813)/10000)</f>
        <v>0</v>
      </c>
      <c r="M1813" s="219">
        <f ca="1">IF($S$1&lt;DATE(2025,8,1)," ",SUMIFS('2025数据'!$BT$3:$BT$181,'2025数据'!$X$3:$X$181,"&gt;="&amp;DATE(2025,8,1),'2025数据'!$X$3:$X$181,"&lt;="&amp;DATE(2025,8,31),'2025数据'!$BS$3:$BS$181,$E$37,'2025数据'!$B$3:$B$181,E1813)/10000)</f>
        <v>0</v>
      </c>
      <c r="N1813" s="219">
        <f ca="1">IF($S$1&lt;DATE(2025,9,1)," ",SUMIFS('2025数据'!$BT$3:$BT$181,'2025数据'!$X$3:$X$181,"&gt;="&amp;DATE(2025,9,1),'2025数据'!$X$3:$X$181,"&lt;="&amp;DATE(2025,9,30),'2025数据'!$BS$3:$BS$181,$E$37,'2025数据'!$B$3:$B$181,E1813)/10000)</f>
        <v>0</v>
      </c>
      <c r="O1813" s="219">
        <f ca="1">IF($S$1&lt;DATE(2025,10,1)," ",SUMIFS('2025数据'!$BT$3:$BT$181,'2025数据'!$X$3:$X$181,"&gt;="&amp;DATE(2025,10,1),'2025数据'!$X$3:$X$181,"&lt;="&amp;DATE(2025,10,31),'2025数据'!$BS$3:$BS$181,$E$37,'2025数据'!$B$3:$B$181,E1813)/10000)</f>
        <v>0</v>
      </c>
      <c r="P1813" s="224">
        <f ca="1">IF($S$1&lt;DATE(2025,11,1)," ",SUMIFS('2025数据'!$BT$3:$BT$181,'2025数据'!$X$3:$X$181,"&gt;="&amp;DATE(2025,11,1),'2025数据'!$X$3:$X$181,"&lt;="&amp;DATE(2025,11,30),'2025数据'!$BS$3:$BS$181,$E$37,'2025数据'!$B$3:$B$181,E1813)/10000)</f>
        <v>0</v>
      </c>
      <c r="Q1813" s="224">
        <f ca="1">IF($S$1&lt;DATE(2025,12,1)," ",SUMIFS('2025数据'!$BT$3:$BT$181,'2025数据'!$X$3:$X$181,"&gt;="&amp;DATE(2025,12,1),'2025数据'!$X$3:$X$181,"&lt;="&amp;DATE(2025,12,31),'2025数据'!$BS$3:$BS$181,$E$37,'2025数据'!$B$3:$B$181,E1813)/10000)</f>
        <v>0</v>
      </c>
    </row>
    <row r="1814" ht="24" customHeight="1" spans="1:17">
      <c r="A1814" s="99" t="s">
        <v>349</v>
      </c>
      <c r="B1814" s="99" t="s">
        <v>299</v>
      </c>
      <c r="C1814" s="99" t="s">
        <v>333</v>
      </c>
      <c r="D1814" s="53" t="s">
        <v>304</v>
      </c>
      <c r="E1814" s="53" t="s">
        <v>93</v>
      </c>
      <c r="F1814" s="219">
        <f ca="1">IF($S$1&lt;DATE(2025,1,1)," ",SUMIFS('2025数据'!$BT$3:$BT$181,'2025数据'!$X$3:$X$181,"&gt;="&amp;DATE(2025,1,1),'2025数据'!$X$3:$X$181,"&lt;="&amp;DATE(2025,1,31),'2025数据'!$BS$3:$BS$181,$E$38,'2025数据'!$B$3:$B$181,E1814)/10000)</f>
        <v>0</v>
      </c>
      <c r="G1814" s="219">
        <f ca="1">IF($S$1&lt;DATE(2025,2,1)," ",SUMIFS('2025数据'!$BT$3:$BT$181,'2025数据'!$X$3:$X$181,"&gt;="&amp;DATE(2025,2,1),'2025数据'!$X$3:$X$181,"&lt;="&amp;DATE(2025,2,28),'2025数据'!$BS$3:$BS$181,$E$38,'2025数据'!$B$3:$B$181,E1814)/10000)</f>
        <v>0</v>
      </c>
      <c r="H1814" s="219">
        <f ca="1">IF($S$1&lt;DATE(2025,3,1)," ",SUMIFS('2025数据'!$BT$3:$BT$181,'2025数据'!$X$3:$X$181,"&gt;="&amp;DATE(2025,3,1),'2025数据'!$X$3:$X$181,"&lt;="&amp;DATE(2025,3,31),'2025数据'!$BS$3:$BS$181,$E$38,'2025数据'!$B$3:$B$181,E1814)/10000)</f>
        <v>0</v>
      </c>
      <c r="I1814" s="219">
        <f ca="1">IF($S$1&lt;DATE(2025,4,1)," ",SUMIFS('2025数据'!$BT$3:$BT$181,'2025数据'!$X$3:$X$181,"&gt;="&amp;DATE(2025,4,1),'2025数据'!$X$3:$X$181,"&lt;="&amp;DATE(2025,4,30),'2025数据'!$BS$3:$BS$181,$E$38,'2025数据'!$B$3:$B$181,E1814)/10000)</f>
        <v>0</v>
      </c>
      <c r="J1814" s="219">
        <f ca="1">IF($S$1&lt;DATE(2025,5,1)," ",SUMIFS('2025数据'!$BT$3:$BT$181,'2025数据'!$X$3:$X$181,"&gt;="&amp;DATE(2025,5,1),'2025数据'!$X$3:$X$181,"&lt;="&amp;DATE(2025,5,31),'2025数据'!$BS$3:$BS$181,$E$38,'2025数据'!$B$3:$B$181,E1814)/10000)</f>
        <v>0</v>
      </c>
      <c r="K1814" s="219">
        <f ca="1">IF($S$1&lt;DATE(2025,6,1)," ",SUMIFS('2025数据'!$BT$3:$BT$181,'2025数据'!$X$3:$X$181,"&gt;="&amp;DATE(2025,6,1),'2025数据'!$X$3:$X$181,"&lt;="&amp;DATE(2025,6,30),'2025数据'!$BS$3:$BS$181,$E$38,'2025数据'!$B$3:$B$181,E1814)/10000)</f>
        <v>0</v>
      </c>
      <c r="L1814" s="219">
        <f ca="1">IF($S$1&lt;DATE(2025,7,1)," ",SUMIFS('2025数据'!$BT$3:$BT$181,'2025数据'!$X$3:$X$181,"&gt;="&amp;DATE(2025,7,1),'2025数据'!$X$3:$X$181,"&lt;="&amp;DATE(2025,7,31),'2025数据'!$BS$3:$BS$181,$E$38,'2025数据'!$B$3:$B$181,E1814)/10000)</f>
        <v>0</v>
      </c>
      <c r="M1814" s="219">
        <f ca="1">IF($S$1&lt;DATE(2025,8,1)," ",SUMIFS('2025数据'!$BT$3:$BT$181,'2025数据'!$X$3:$X$181,"&gt;="&amp;DATE(2025,8,1),'2025数据'!$X$3:$X$181,"&lt;="&amp;DATE(2025,8,31),'2025数据'!$BS$3:$BS$181,$E$38,'2025数据'!$B$3:$B$181,E1814)/10000)</f>
        <v>0</v>
      </c>
      <c r="N1814" s="219">
        <f ca="1">IF($S$1&lt;DATE(2025,9,1)," ",SUMIFS('2025数据'!$BT$3:$BT$181,'2025数据'!$X$3:$X$181,"&gt;="&amp;DATE(2025,9,1),'2025数据'!$X$3:$X$181,"&lt;="&amp;DATE(2025,9,30),'2025数据'!$BS$3:$BS$181,$E$38,'2025数据'!$B$3:$B$181,E1814)/10000)</f>
        <v>0</v>
      </c>
      <c r="O1814" s="219">
        <f ca="1">IF($S$1&lt;DATE(2025,10,1)," ",SUMIFS('2025数据'!$BT$3:$BT$181,'2025数据'!$X$3:$X$181,"&gt;="&amp;DATE(2025,10,1),'2025数据'!$X$3:$X$181,"&lt;="&amp;DATE(2025,10,31),'2025数据'!$BS$3:$BS$181,$E$38,'2025数据'!$B$3:$B$181,E1814)/10000)</f>
        <v>0</v>
      </c>
      <c r="P1814" s="224">
        <f ca="1">IF($S$1&lt;DATE(2025,11,1)," ",SUMIFS('2025数据'!$BT$3:$BT$181,'2025数据'!$X$3:$X$181,"&gt;="&amp;DATE(2025,11,1),'2025数据'!$X$3:$X$181,"&lt;="&amp;DATE(2025,11,30),'2025数据'!$BS$3:$BS$181,$E$38,'2025数据'!$B$3:$B$181,E1814)/10000)</f>
        <v>0</v>
      </c>
      <c r="Q1814" s="224">
        <f ca="1">IF($S$1&lt;DATE(2025,12,1)," ",SUMIFS('2025数据'!$BT$3:$BT$181,'2025数据'!$X$3:$X$181,"&gt;="&amp;DATE(2025,12,1),'2025数据'!$X$3:$X$181,"&lt;="&amp;DATE(2025,12,31),'2025数据'!$BS$3:$BS$181,$E$38,'2025数据'!$B$3:$B$181,E1814)/10000)</f>
        <v>0</v>
      </c>
    </row>
    <row r="1815" ht="24" customHeight="1" spans="1:17">
      <c r="A1815" s="99" t="s">
        <v>349</v>
      </c>
      <c r="B1815" s="99" t="s">
        <v>299</v>
      </c>
      <c r="C1815" s="99" t="s">
        <v>333</v>
      </c>
      <c r="D1815" s="53" t="s">
        <v>304</v>
      </c>
      <c r="E1815" s="53" t="s">
        <v>85</v>
      </c>
      <c r="F1815" s="219">
        <f ca="1">IF($S$1&lt;DATE(2025,1,1)," ",SUMIFS('2025数据'!$BT$3:$BT$181,'2025数据'!$X$3:$X$181,"&gt;="&amp;DATE(2025,1,1),'2025数据'!$X$3:$X$181,"&lt;="&amp;DATE(2025,1,31),'2025数据'!$BS$3:$BS$181,$E$38,'2025数据'!$B$3:$B$181,E1815)/10000)</f>
        <v>0</v>
      </c>
      <c r="G1815" s="219">
        <f ca="1">IF($S$1&lt;DATE(2025,2,1)," ",SUMIFS('2025数据'!$BT$3:$BT$181,'2025数据'!$X$3:$X$181,"&gt;="&amp;DATE(2025,2,1),'2025数据'!$X$3:$X$181,"&lt;="&amp;DATE(2025,2,28),'2025数据'!$BS$3:$BS$181,$E$38,'2025数据'!$B$3:$B$181,E1815)/10000)</f>
        <v>0</v>
      </c>
      <c r="H1815" s="219">
        <f ca="1">IF($S$1&lt;DATE(2025,3,1)," ",SUMIFS('2025数据'!$BT$3:$BT$181,'2025数据'!$X$3:$X$181,"&gt;="&amp;DATE(2025,3,1),'2025数据'!$X$3:$X$181,"&lt;="&amp;DATE(2025,3,31),'2025数据'!$BS$3:$BS$181,$E$38,'2025数据'!$B$3:$B$181,E1815)/10000)</f>
        <v>0</v>
      </c>
      <c r="I1815" s="219">
        <f ca="1">IF($S$1&lt;DATE(2025,4,1)," ",SUMIFS('2025数据'!$BT$3:$BT$181,'2025数据'!$X$3:$X$181,"&gt;="&amp;DATE(2025,4,1),'2025数据'!$X$3:$X$181,"&lt;="&amp;DATE(2025,4,30),'2025数据'!$BS$3:$BS$181,$E$38,'2025数据'!$B$3:$B$181,E1815)/10000)</f>
        <v>0</v>
      </c>
      <c r="J1815" s="219">
        <f ca="1">IF($S$1&lt;DATE(2025,5,1)," ",SUMIFS('2025数据'!$BT$3:$BT$181,'2025数据'!$X$3:$X$181,"&gt;="&amp;DATE(2025,5,1),'2025数据'!$X$3:$X$181,"&lt;="&amp;DATE(2025,5,31),'2025数据'!$BS$3:$BS$181,$E$38,'2025数据'!$B$3:$B$181,E1815)/10000)</f>
        <v>0</v>
      </c>
      <c r="K1815" s="219">
        <f ca="1">IF($S$1&lt;DATE(2025,6,1)," ",SUMIFS('2025数据'!$BT$3:$BT$181,'2025数据'!$X$3:$X$181,"&gt;="&amp;DATE(2025,6,1),'2025数据'!$X$3:$X$181,"&lt;="&amp;DATE(2025,6,30),'2025数据'!$BS$3:$BS$181,$E$38,'2025数据'!$B$3:$B$181,E1815)/10000)</f>
        <v>0</v>
      </c>
      <c r="L1815" s="219">
        <f ca="1">IF($S$1&lt;DATE(2025,7,1)," ",SUMIFS('2025数据'!$BT$3:$BT$181,'2025数据'!$X$3:$X$181,"&gt;="&amp;DATE(2025,7,1),'2025数据'!$X$3:$X$181,"&lt;="&amp;DATE(2025,7,31),'2025数据'!$BS$3:$BS$181,$E$38,'2025数据'!$B$3:$B$181,E1815)/10000)</f>
        <v>0</v>
      </c>
      <c r="M1815" s="219">
        <f ca="1">IF($S$1&lt;DATE(2025,8,1)," ",SUMIFS('2025数据'!$BT$3:$BT$181,'2025数据'!$X$3:$X$181,"&gt;="&amp;DATE(2025,8,1),'2025数据'!$X$3:$X$181,"&lt;="&amp;DATE(2025,8,31),'2025数据'!$BS$3:$BS$181,$E$38,'2025数据'!$B$3:$B$181,E1815)/10000)</f>
        <v>0</v>
      </c>
      <c r="N1815" s="219">
        <f ca="1">IF($S$1&lt;DATE(2025,9,1)," ",SUMIFS('2025数据'!$BT$3:$BT$181,'2025数据'!$X$3:$X$181,"&gt;="&amp;DATE(2025,9,1),'2025数据'!$X$3:$X$181,"&lt;="&amp;DATE(2025,9,30),'2025数据'!$BS$3:$BS$181,$E$38,'2025数据'!$B$3:$B$181,E1815)/10000)</f>
        <v>0</v>
      </c>
      <c r="O1815" s="219">
        <f ca="1">IF($S$1&lt;DATE(2025,10,1)," ",SUMIFS('2025数据'!$BT$3:$BT$181,'2025数据'!$X$3:$X$181,"&gt;="&amp;DATE(2025,10,1),'2025数据'!$X$3:$X$181,"&lt;="&amp;DATE(2025,10,31),'2025数据'!$BS$3:$BS$181,$E$38,'2025数据'!$B$3:$B$181,E1815)/10000)</f>
        <v>0</v>
      </c>
      <c r="P1815" s="224">
        <f ca="1">IF($S$1&lt;DATE(2025,11,1)," ",SUMIFS('2025数据'!$BT$3:$BT$181,'2025数据'!$X$3:$X$181,"&gt;="&amp;DATE(2025,11,1),'2025数据'!$X$3:$X$181,"&lt;="&amp;DATE(2025,11,30),'2025数据'!$BS$3:$BS$181,$E$38,'2025数据'!$B$3:$B$181,E1815)/10000)</f>
        <v>0</v>
      </c>
      <c r="Q1815" s="224">
        <f ca="1">IF($S$1&lt;DATE(2025,12,1)," ",SUMIFS('2025数据'!$BT$3:$BT$181,'2025数据'!$X$3:$X$181,"&gt;="&amp;DATE(2025,12,1),'2025数据'!$X$3:$X$181,"&lt;="&amp;DATE(2025,12,31),'2025数据'!$BS$3:$BS$181,$E$38,'2025数据'!$B$3:$B$181,E1815)/10000)</f>
        <v>0</v>
      </c>
    </row>
    <row r="1816" ht="24" customHeight="1" spans="1:17">
      <c r="A1816" s="99" t="s">
        <v>349</v>
      </c>
      <c r="B1816" s="99" t="s">
        <v>299</v>
      </c>
      <c r="C1816" s="99" t="s">
        <v>333</v>
      </c>
      <c r="D1816" s="53" t="s">
        <v>304</v>
      </c>
      <c r="E1816" s="53" t="s">
        <v>81</v>
      </c>
      <c r="F1816" s="219">
        <f ca="1">IF($S$1&lt;DATE(2025,1,1)," ",SUMIFS('2025数据'!$BT$3:$BT$181,'2025数据'!$X$3:$X$181,"&gt;="&amp;DATE(2025,1,1),'2025数据'!$X$3:$X$181,"&lt;="&amp;DATE(2025,1,31),'2025数据'!$BS$3:$BS$181,$E$38,'2025数据'!$B$3:$B$181,E1816)/10000)</f>
        <v>0</v>
      </c>
      <c r="G1816" s="219">
        <f ca="1">IF($S$1&lt;DATE(2025,2,1)," ",SUMIFS('2025数据'!$BT$3:$BT$181,'2025数据'!$X$3:$X$181,"&gt;="&amp;DATE(2025,2,1),'2025数据'!$X$3:$X$181,"&lt;="&amp;DATE(2025,2,28),'2025数据'!$BS$3:$BS$181,$E$38,'2025数据'!$B$3:$B$181,E1816)/10000)</f>
        <v>0</v>
      </c>
      <c r="H1816" s="219">
        <f ca="1">IF($S$1&lt;DATE(2025,3,1)," ",SUMIFS('2025数据'!$BT$3:$BT$181,'2025数据'!$X$3:$X$181,"&gt;="&amp;DATE(2025,3,1),'2025数据'!$X$3:$X$181,"&lt;="&amp;DATE(2025,3,31),'2025数据'!$BS$3:$BS$181,$E$38,'2025数据'!$B$3:$B$181,E1816)/10000)</f>
        <v>0</v>
      </c>
      <c r="I1816" s="219">
        <f ca="1">IF($S$1&lt;DATE(2025,4,1)," ",SUMIFS('2025数据'!$BT$3:$BT$181,'2025数据'!$X$3:$X$181,"&gt;="&amp;DATE(2025,4,1),'2025数据'!$X$3:$X$181,"&lt;="&amp;DATE(2025,4,30),'2025数据'!$BS$3:$BS$181,$E$38,'2025数据'!$B$3:$B$181,E1816)/10000)</f>
        <v>0</v>
      </c>
      <c r="J1816" s="219">
        <f ca="1">IF($S$1&lt;DATE(2025,5,1)," ",SUMIFS('2025数据'!$BT$3:$BT$181,'2025数据'!$X$3:$X$181,"&gt;="&amp;DATE(2025,5,1),'2025数据'!$X$3:$X$181,"&lt;="&amp;DATE(2025,5,31),'2025数据'!$BS$3:$BS$181,$E$38,'2025数据'!$B$3:$B$181,E1816)/10000)</f>
        <v>0</v>
      </c>
      <c r="K1816" s="219">
        <f ca="1">IF($S$1&lt;DATE(2025,6,1)," ",SUMIFS('2025数据'!$BT$3:$BT$181,'2025数据'!$X$3:$X$181,"&gt;="&amp;DATE(2025,6,1),'2025数据'!$X$3:$X$181,"&lt;="&amp;DATE(2025,6,30),'2025数据'!$BS$3:$BS$181,$E$38,'2025数据'!$B$3:$B$181,E1816)/10000)</f>
        <v>0</v>
      </c>
      <c r="L1816" s="219">
        <f ca="1">IF($S$1&lt;DATE(2025,7,1)," ",SUMIFS('2025数据'!$BT$3:$BT$181,'2025数据'!$X$3:$X$181,"&gt;="&amp;DATE(2025,7,1),'2025数据'!$X$3:$X$181,"&lt;="&amp;DATE(2025,7,31),'2025数据'!$BS$3:$BS$181,$E$38,'2025数据'!$B$3:$B$181,E1816)/10000)</f>
        <v>0</v>
      </c>
      <c r="M1816" s="219">
        <f ca="1">IF($S$1&lt;DATE(2025,8,1)," ",SUMIFS('2025数据'!$BT$3:$BT$181,'2025数据'!$X$3:$X$181,"&gt;="&amp;DATE(2025,8,1),'2025数据'!$X$3:$X$181,"&lt;="&amp;DATE(2025,8,31),'2025数据'!$BS$3:$BS$181,$E$38,'2025数据'!$B$3:$B$181,E1816)/10000)</f>
        <v>0</v>
      </c>
      <c r="N1816" s="219">
        <f ca="1">IF($S$1&lt;DATE(2025,9,1)," ",SUMIFS('2025数据'!$BT$3:$BT$181,'2025数据'!$X$3:$X$181,"&gt;="&amp;DATE(2025,9,1),'2025数据'!$X$3:$X$181,"&lt;="&amp;DATE(2025,9,30),'2025数据'!$BS$3:$BS$181,$E$38,'2025数据'!$B$3:$B$181,E1816)/10000)</f>
        <v>0</v>
      </c>
      <c r="O1816" s="219">
        <f ca="1">IF($S$1&lt;DATE(2025,10,1)," ",SUMIFS('2025数据'!$BT$3:$BT$181,'2025数据'!$X$3:$X$181,"&gt;="&amp;DATE(2025,10,1),'2025数据'!$X$3:$X$181,"&lt;="&amp;DATE(2025,10,31),'2025数据'!$BS$3:$BS$181,$E$38,'2025数据'!$B$3:$B$181,E1816)/10000)</f>
        <v>0</v>
      </c>
      <c r="P1816" s="224">
        <f ca="1">IF($S$1&lt;DATE(2025,11,1)," ",SUMIFS('2025数据'!$BT$3:$BT$181,'2025数据'!$X$3:$X$181,"&gt;="&amp;DATE(2025,11,1),'2025数据'!$X$3:$X$181,"&lt;="&amp;DATE(2025,11,30),'2025数据'!$BS$3:$BS$181,$E$38,'2025数据'!$B$3:$B$181,E1816)/10000)</f>
        <v>0</v>
      </c>
      <c r="Q1816" s="224">
        <f ca="1">IF($S$1&lt;DATE(2025,12,1)," ",SUMIFS('2025数据'!$BT$3:$BT$181,'2025数据'!$X$3:$X$181,"&gt;="&amp;DATE(2025,12,1),'2025数据'!$X$3:$X$181,"&lt;="&amp;DATE(2025,12,31),'2025数据'!$BS$3:$BS$181,$E$38,'2025数据'!$B$3:$B$181,E1816)/10000)</f>
        <v>0</v>
      </c>
    </row>
    <row r="1817" ht="24" customHeight="1" spans="1:17">
      <c r="A1817" s="99" t="s">
        <v>349</v>
      </c>
      <c r="B1817" s="99" t="s">
        <v>299</v>
      </c>
      <c r="C1817" s="99" t="s">
        <v>333</v>
      </c>
      <c r="D1817" s="53" t="s">
        <v>304</v>
      </c>
      <c r="E1817" s="53" t="s">
        <v>96</v>
      </c>
      <c r="F1817" s="219">
        <f ca="1">IF($S$1&lt;DATE(2025,1,1)," ",SUMIFS('2025数据'!$BT$3:$BT$181,'2025数据'!$X$3:$X$181,"&gt;="&amp;DATE(2025,1,1),'2025数据'!$X$3:$X$181,"&lt;="&amp;DATE(2025,1,31),'2025数据'!$BS$3:$BS$181,$E$38,'2025数据'!$B$3:$B$181,E1817)/10000)</f>
        <v>0</v>
      </c>
      <c r="G1817" s="219">
        <f ca="1">IF($S$1&lt;DATE(2025,2,1)," ",SUMIFS('2025数据'!$BT$3:$BT$181,'2025数据'!$X$3:$X$181,"&gt;="&amp;DATE(2025,2,1),'2025数据'!$X$3:$X$181,"&lt;="&amp;DATE(2025,2,28),'2025数据'!$BS$3:$BS$181,$E$38,'2025数据'!$B$3:$B$181,E1817)/10000)</f>
        <v>0</v>
      </c>
      <c r="H1817" s="219">
        <f ca="1">IF($S$1&lt;DATE(2025,3,1)," ",SUMIFS('2025数据'!$BT$3:$BT$181,'2025数据'!$X$3:$X$181,"&gt;="&amp;DATE(2025,3,1),'2025数据'!$X$3:$X$181,"&lt;="&amp;DATE(2025,3,31),'2025数据'!$BS$3:$BS$181,$E$38,'2025数据'!$B$3:$B$181,E1817)/10000)</f>
        <v>0</v>
      </c>
      <c r="I1817" s="219">
        <f ca="1">IF($S$1&lt;DATE(2025,4,1)," ",SUMIFS('2025数据'!$BT$3:$BT$181,'2025数据'!$X$3:$X$181,"&gt;="&amp;DATE(2025,4,1),'2025数据'!$X$3:$X$181,"&lt;="&amp;DATE(2025,4,30),'2025数据'!$BS$3:$BS$181,$E$38,'2025数据'!$B$3:$B$181,E1817)/10000)</f>
        <v>0</v>
      </c>
      <c r="J1817" s="219">
        <f ca="1">IF($S$1&lt;DATE(2025,5,1)," ",SUMIFS('2025数据'!$BT$3:$BT$181,'2025数据'!$X$3:$X$181,"&gt;="&amp;DATE(2025,5,1),'2025数据'!$X$3:$X$181,"&lt;="&amp;DATE(2025,5,31),'2025数据'!$BS$3:$BS$181,$E$38,'2025数据'!$B$3:$B$181,E1817)/10000)</f>
        <v>0</v>
      </c>
      <c r="K1817" s="219">
        <f ca="1">IF($S$1&lt;DATE(2025,6,1)," ",SUMIFS('2025数据'!$BT$3:$BT$181,'2025数据'!$X$3:$X$181,"&gt;="&amp;DATE(2025,6,1),'2025数据'!$X$3:$X$181,"&lt;="&amp;DATE(2025,6,30),'2025数据'!$BS$3:$BS$181,$E$38,'2025数据'!$B$3:$B$181,E1817)/10000)</f>
        <v>0</v>
      </c>
      <c r="L1817" s="219">
        <f ca="1">IF($S$1&lt;DATE(2025,7,1)," ",SUMIFS('2025数据'!$BT$3:$BT$181,'2025数据'!$X$3:$X$181,"&gt;="&amp;DATE(2025,7,1),'2025数据'!$X$3:$X$181,"&lt;="&amp;DATE(2025,7,31),'2025数据'!$BS$3:$BS$181,$E$38,'2025数据'!$B$3:$B$181,E1817)/10000)</f>
        <v>0</v>
      </c>
      <c r="M1817" s="219">
        <f ca="1">IF($S$1&lt;DATE(2025,8,1)," ",SUMIFS('2025数据'!$BT$3:$BT$181,'2025数据'!$X$3:$X$181,"&gt;="&amp;DATE(2025,8,1),'2025数据'!$X$3:$X$181,"&lt;="&amp;DATE(2025,8,31),'2025数据'!$BS$3:$BS$181,$E$38,'2025数据'!$B$3:$B$181,E1817)/10000)</f>
        <v>0</v>
      </c>
      <c r="N1817" s="219">
        <f ca="1">IF($S$1&lt;DATE(2025,9,1)," ",SUMIFS('2025数据'!$BT$3:$BT$181,'2025数据'!$X$3:$X$181,"&gt;="&amp;DATE(2025,9,1),'2025数据'!$X$3:$X$181,"&lt;="&amp;DATE(2025,9,30),'2025数据'!$BS$3:$BS$181,$E$38,'2025数据'!$B$3:$B$181,E1817)/10000)</f>
        <v>0</v>
      </c>
      <c r="O1817" s="219">
        <f ca="1">IF($S$1&lt;DATE(2025,10,1)," ",SUMIFS('2025数据'!$BT$3:$BT$181,'2025数据'!$X$3:$X$181,"&gt;="&amp;DATE(2025,10,1),'2025数据'!$X$3:$X$181,"&lt;="&amp;DATE(2025,10,31),'2025数据'!$BS$3:$BS$181,$E$38,'2025数据'!$B$3:$B$181,E1817)/10000)</f>
        <v>0</v>
      </c>
      <c r="P1817" s="224">
        <f ca="1">IF($S$1&lt;DATE(2025,11,1)," ",SUMIFS('2025数据'!$BT$3:$BT$181,'2025数据'!$X$3:$X$181,"&gt;="&amp;DATE(2025,11,1),'2025数据'!$X$3:$X$181,"&lt;="&amp;DATE(2025,11,30),'2025数据'!$BS$3:$BS$181,$E$38,'2025数据'!$B$3:$B$181,E1817)/10000)</f>
        <v>0</v>
      </c>
      <c r="Q1817" s="224">
        <f ca="1">IF($S$1&lt;DATE(2025,12,1)," ",SUMIFS('2025数据'!$BT$3:$BT$181,'2025数据'!$X$3:$X$181,"&gt;="&amp;DATE(2025,12,1),'2025数据'!$X$3:$X$181,"&lt;="&amp;DATE(2025,12,31),'2025数据'!$BS$3:$BS$181,$E$38,'2025数据'!$B$3:$B$181,E1817)/10000)</f>
        <v>0</v>
      </c>
    </row>
    <row r="1818" ht="24" customHeight="1" spans="1:17">
      <c r="A1818" s="99" t="s">
        <v>349</v>
      </c>
      <c r="B1818" s="99" t="s">
        <v>299</v>
      </c>
      <c r="C1818" s="99" t="s">
        <v>333</v>
      </c>
      <c r="D1818" s="53" t="s">
        <v>304</v>
      </c>
      <c r="E1818" s="53" t="s">
        <v>160</v>
      </c>
      <c r="F1818" s="219">
        <f ca="1">IF($S$1&lt;DATE(2025,1,1)," ",SUMIFS('2025数据'!$BT$3:$BT$181,'2025数据'!$X$3:$X$181,"&gt;="&amp;DATE(2025,1,1),'2025数据'!$X$3:$X$181,"&lt;="&amp;DATE(2025,1,31),'2025数据'!$BS$3:$BS$181,$E$38,'2025数据'!$B$3:$B$181,E1818)/10000)</f>
        <v>0</v>
      </c>
      <c r="G1818" s="219">
        <f ca="1">IF($S$1&lt;DATE(2025,2,1)," ",SUMIFS('2025数据'!$BT$3:$BT$181,'2025数据'!$X$3:$X$181,"&gt;="&amp;DATE(2025,2,1),'2025数据'!$X$3:$X$181,"&lt;="&amp;DATE(2025,2,28),'2025数据'!$BS$3:$BS$181,$E$38,'2025数据'!$B$3:$B$181,E1818)/10000)</f>
        <v>0</v>
      </c>
      <c r="H1818" s="219">
        <f ca="1">IF($S$1&lt;DATE(2025,3,1)," ",SUMIFS('2025数据'!$BT$3:$BT$181,'2025数据'!$X$3:$X$181,"&gt;="&amp;DATE(2025,3,1),'2025数据'!$X$3:$X$181,"&lt;="&amp;DATE(2025,3,31),'2025数据'!$BS$3:$BS$181,$E$38,'2025数据'!$B$3:$B$181,E1818)/10000)</f>
        <v>0</v>
      </c>
      <c r="I1818" s="219">
        <f ca="1">IF($S$1&lt;DATE(2025,4,1)," ",SUMIFS('2025数据'!$BT$3:$BT$181,'2025数据'!$X$3:$X$181,"&gt;="&amp;DATE(2025,4,1),'2025数据'!$X$3:$X$181,"&lt;="&amp;DATE(2025,4,30),'2025数据'!$BS$3:$BS$181,$E$38,'2025数据'!$B$3:$B$181,E1818)/10000)</f>
        <v>0</v>
      </c>
      <c r="J1818" s="219">
        <f ca="1">IF($S$1&lt;DATE(2025,5,1)," ",SUMIFS('2025数据'!$BT$3:$BT$181,'2025数据'!$X$3:$X$181,"&gt;="&amp;DATE(2025,5,1),'2025数据'!$X$3:$X$181,"&lt;="&amp;DATE(2025,5,31),'2025数据'!$BS$3:$BS$181,$E$38,'2025数据'!$B$3:$B$181,E1818)/10000)</f>
        <v>0</v>
      </c>
      <c r="K1818" s="219">
        <f ca="1">IF($S$1&lt;DATE(2025,6,1)," ",SUMIFS('2025数据'!$BT$3:$BT$181,'2025数据'!$X$3:$X$181,"&gt;="&amp;DATE(2025,6,1),'2025数据'!$X$3:$X$181,"&lt;="&amp;DATE(2025,6,30),'2025数据'!$BS$3:$BS$181,$E$38,'2025数据'!$B$3:$B$181,E1818)/10000)</f>
        <v>0</v>
      </c>
      <c r="L1818" s="219">
        <f ca="1">IF($S$1&lt;DATE(2025,7,1)," ",SUMIFS('2025数据'!$BT$3:$BT$181,'2025数据'!$X$3:$X$181,"&gt;="&amp;DATE(2025,7,1),'2025数据'!$X$3:$X$181,"&lt;="&amp;DATE(2025,7,31),'2025数据'!$BS$3:$BS$181,$E$38,'2025数据'!$B$3:$B$181,E1818)/10000)</f>
        <v>0</v>
      </c>
      <c r="M1818" s="219">
        <f ca="1">IF($S$1&lt;DATE(2025,8,1)," ",SUMIFS('2025数据'!$BT$3:$BT$181,'2025数据'!$X$3:$X$181,"&gt;="&amp;DATE(2025,8,1),'2025数据'!$X$3:$X$181,"&lt;="&amp;DATE(2025,8,31),'2025数据'!$BS$3:$BS$181,$E$38,'2025数据'!$B$3:$B$181,E1818)/10000)</f>
        <v>0</v>
      </c>
      <c r="N1818" s="219">
        <f ca="1">IF($S$1&lt;DATE(2025,9,1)," ",SUMIFS('2025数据'!$BT$3:$BT$181,'2025数据'!$X$3:$X$181,"&gt;="&amp;DATE(2025,9,1),'2025数据'!$X$3:$X$181,"&lt;="&amp;DATE(2025,9,30),'2025数据'!$BS$3:$BS$181,$E$38,'2025数据'!$B$3:$B$181,E1818)/10000)</f>
        <v>0</v>
      </c>
      <c r="O1818" s="219">
        <f ca="1">IF($S$1&lt;DATE(2025,10,1)," ",SUMIFS('2025数据'!$BT$3:$BT$181,'2025数据'!$X$3:$X$181,"&gt;="&amp;DATE(2025,10,1),'2025数据'!$X$3:$X$181,"&lt;="&amp;DATE(2025,10,31),'2025数据'!$BS$3:$BS$181,$E$38,'2025数据'!$B$3:$B$181,E1818)/10000)</f>
        <v>0</v>
      </c>
      <c r="P1818" s="224">
        <f ca="1">IF($S$1&lt;DATE(2025,11,1)," ",SUMIFS('2025数据'!$BT$3:$BT$181,'2025数据'!$X$3:$X$181,"&gt;="&amp;DATE(2025,11,1),'2025数据'!$X$3:$X$181,"&lt;="&amp;DATE(2025,11,30),'2025数据'!$BS$3:$BS$181,$E$38,'2025数据'!$B$3:$B$181,E1818)/10000)</f>
        <v>0</v>
      </c>
      <c r="Q1818" s="224">
        <f ca="1">IF($S$1&lt;DATE(2025,12,1)," ",SUMIFS('2025数据'!$BT$3:$BT$181,'2025数据'!$X$3:$X$181,"&gt;="&amp;DATE(2025,12,1),'2025数据'!$X$3:$X$181,"&lt;="&amp;DATE(2025,12,31),'2025数据'!$BS$3:$BS$181,$E$38,'2025数据'!$B$3:$B$181,E1818)/10000)</f>
        <v>0</v>
      </c>
    </row>
    <row r="1819" ht="24" customHeight="1" spans="1:17">
      <c r="A1819" s="99" t="s">
        <v>349</v>
      </c>
      <c r="B1819" s="99" t="s">
        <v>299</v>
      </c>
      <c r="C1819" s="99" t="s">
        <v>333</v>
      </c>
      <c r="D1819" s="218" t="s">
        <v>292</v>
      </c>
      <c r="E1819" s="220" t="s">
        <v>340</v>
      </c>
      <c r="F1819" s="221">
        <f ca="1">IF($S$1&lt;DATE(2025,1,1)," ",SUMIFS('2025数据'!$BQ$3:$BQ$181,'2025数据'!$X$3:$X$181,"&gt;="&amp;DATE(2025,1,1),'2025数据'!$X$3:$X$181,"&lt;="&amp;DATE(2025,1,31),'2025数据'!$BS$3:$BS$181,$E37)/10000)</f>
        <v>0</v>
      </c>
      <c r="G1819" s="221">
        <f ca="1">IF($S$1&lt;DATE(2025,2,1)," ",SUMIFS('2025数据'!$BQ$3:$BQ$181,'2025数据'!$X$3:$X$181,"&gt;="&amp;DATE(2025,2,1),'2025数据'!$X$3:$X$181,"&lt;="&amp;DATE(2025,2,28),'2025数据'!$BS$3:$BS$181,$E37)/10000)</f>
        <v>0</v>
      </c>
      <c r="H1819" s="221">
        <f ca="1">IF($S$1&lt;DATE(2025,3,1)," ",SUMIFS('2025数据'!$BQ$3:$BQ$181,'2025数据'!$X$3:$X$181,"&gt;="&amp;DATE(2025,3,1),'2025数据'!$X$3:$X$181,"&lt;="&amp;DATE(2025,3,31),'2025数据'!$BS$3:$BS$181,$E37)/10000)</f>
        <v>0</v>
      </c>
      <c r="I1819" s="221">
        <f ca="1">IF($S$1&lt;DATE(2025,4,1)," ",SUMIFS('2025数据'!$BQ$3:$BQ$181,'2025数据'!$X$3:$X$181,"&gt;="&amp;DATE(2025,4,1),'2025数据'!$X$3:$X$181,"&lt;="&amp;DATE(2025,4,30),'2025数据'!$BS$3:$BS$181,$E37)/10000)</f>
        <v>0</v>
      </c>
      <c r="J1819" s="221">
        <f ca="1">IF($S$1&lt;DATE(2025,5,1)," ",SUMIFS('2025数据'!$BQ$3:$BQ$181,'2025数据'!$X$3:$X$181,"&gt;="&amp;DATE(2025,5,1),'2025数据'!$X$3:$X$181,"&lt;="&amp;DATE(2025,5,31),'2025数据'!$BS$3:$BS$181,$E37)/10000)</f>
        <v>0</v>
      </c>
      <c r="K1819" s="221">
        <f ca="1">IF($S$1&lt;DATE(2025,6,1)," ",SUMIFS('2025数据'!$BQ$3:$BQ$181,'2025数据'!$X$3:$X$181,"&gt;="&amp;DATE(2025,6,1),'2025数据'!$X$3:$X$181,"&lt;="&amp;DATE(2025,6,30),'2025数据'!$BS$3:$BS$181,$E37)/10000)</f>
        <v>0</v>
      </c>
      <c r="L1819" s="221">
        <f ca="1">IF($S$1&lt;DATE(2025,7,1)," ",SUMIFS('2025数据'!$BQ$3:$BQ$181,'2025数据'!$X$3:$X$181,"&gt;="&amp;DATE(2025,7,1),'2025数据'!$X$3:$X$181,"&lt;="&amp;DATE(2025,7,31),'2025数据'!$BS$3:$BS$181,$E37)/10000)</f>
        <v>0</v>
      </c>
      <c r="M1819" s="221">
        <f ca="1">IF($S$1&lt;DATE(2025,8,1)," ",SUMIFS('2025数据'!$BQ$3:$BQ$181,'2025数据'!$X$3:$X$181,"&gt;="&amp;DATE(2025,8,1),'2025数据'!$X$3:$X$181,"&lt;="&amp;DATE(2025,8,31),'2025数据'!$BS$3:$BS$181,$E37)/10000)</f>
        <v>0</v>
      </c>
      <c r="N1819" s="221">
        <f ca="1">IF($S$1&lt;DATE(2025,9,1)," ",SUMIFS('2025数据'!$BQ$3:$BQ$181,'2025数据'!$X$3:$X$181,"&gt;="&amp;DATE(2025,9,1),'2025数据'!$X$3:$X$181,"&lt;="&amp;DATE(2025,9,30),'2025数据'!$BS$3:$BS$181,$E37)/10000)</f>
        <v>0</v>
      </c>
      <c r="O1819" s="221">
        <f ca="1">IF($S$1&lt;DATE(2025,10,1)," ",SUMIFS('2025数据'!$BQ$3:$BQ$181,'2025数据'!$X$3:$X$181,"&gt;="&amp;DATE(2025,10,1),'2025数据'!$X$3:$X$181,"&lt;="&amp;DATE(2025,10,31),'2025数据'!$BS$3:$BS$181,$E37)/10000)</f>
        <v>0</v>
      </c>
      <c r="P1819" s="225">
        <f ca="1">IF($S$1&lt;DATE(2025,11,1)," ",SUMIFS('2025数据'!$BQ$3:$BQ$181,'2025数据'!$X$3:$X$181,"&gt;="&amp;DATE(2025,11,1),'2025数据'!$X$3:$X$181,"&lt;="&amp;DATE(2025,11,30),'2025数据'!$BS$3:$BS$181,$E37)/10000)</f>
        <v>0</v>
      </c>
      <c r="Q1819" s="225">
        <f ca="1">IF($S$1&lt;DATE(2025,12,1)," ",SUMIFS('2025数据'!$BQ$3:$BQ$181,'2025数据'!$X$3:$X$181,"&gt;="&amp;DATE(2025,12,1),'2025数据'!$X$3:$X$181,"&lt;="&amp;DATE(2025,12,31),'2025数据'!$BS$3:$BS$181,$E37)/10000)</f>
        <v>0</v>
      </c>
    </row>
    <row r="1820" ht="24" customHeight="1" spans="1:17">
      <c r="A1820" s="99" t="s">
        <v>349</v>
      </c>
      <c r="B1820" s="99" t="s">
        <v>299</v>
      </c>
      <c r="C1820" s="99" t="s">
        <v>333</v>
      </c>
      <c r="D1820" s="218" t="s">
        <v>292</v>
      </c>
      <c r="E1820" s="220" t="s">
        <v>341</v>
      </c>
      <c r="F1820" s="221">
        <f ca="1">IF($S$1&lt;DATE(2025,1,1)," ",SUMIFS('2025数据'!$BQ$3:$BQ$181,'2025数据'!$X$3:$X$181,"&gt;="&amp;DATE(2025,1,1),'2025数据'!$X$3:$X$181,"&lt;="&amp;DATE(2025,1,31),'2025数据'!$BS$3:$BS$181,$E38)/10000)</f>
        <v>0</v>
      </c>
      <c r="G1820" s="221">
        <f ca="1">IF($S$1&lt;DATE(2025,2,1)," ",SUMIFS('2025数据'!$BQ$3:$BQ$181,'2025数据'!$X$3:$X$181,"&gt;="&amp;DATE(2025,2,1),'2025数据'!$X$3:$X$181,"&lt;="&amp;DATE(2025,2,28),'2025数据'!$BS$3:$BS$181,$E38)/10000)</f>
        <v>0</v>
      </c>
      <c r="H1820" s="221">
        <f ca="1">IF($S$1&lt;DATE(2025,3,1)," ",SUMIFS('2025数据'!$BQ$3:$BQ$181,'2025数据'!$X$3:$X$181,"&gt;="&amp;DATE(2025,3,1),'2025数据'!$X$3:$X$181,"&lt;="&amp;DATE(2025,3,31),'2025数据'!$BS$3:$BS$181,$E38)/10000)</f>
        <v>0</v>
      </c>
      <c r="I1820" s="221">
        <f ca="1">IF($S$1&lt;DATE(2025,4,1)," ",SUMIFS('2025数据'!$BQ$3:$BQ$181,'2025数据'!$X$3:$X$181,"&gt;="&amp;DATE(2025,4,1),'2025数据'!$X$3:$X$181,"&lt;="&amp;DATE(2025,4,30),'2025数据'!$BS$3:$BS$181,$E38)/10000)</f>
        <v>0</v>
      </c>
      <c r="J1820" s="221">
        <f ca="1">IF($S$1&lt;DATE(2025,5,1)," ",SUMIFS('2025数据'!$BQ$3:$BQ$181,'2025数据'!$X$3:$X$181,"&gt;="&amp;DATE(2025,5,1),'2025数据'!$X$3:$X$181,"&lt;="&amp;DATE(2025,5,31),'2025数据'!$BS$3:$BS$181,$E38)/10000)</f>
        <v>0</v>
      </c>
      <c r="K1820" s="221">
        <f ca="1">IF($S$1&lt;DATE(2025,6,1)," ",SUMIFS('2025数据'!$BQ$3:$BQ$181,'2025数据'!$X$3:$X$181,"&gt;="&amp;DATE(2025,6,1),'2025数据'!$X$3:$X$181,"&lt;="&amp;DATE(2025,6,30),'2025数据'!$BS$3:$BS$181,$E38)/10000)</f>
        <v>0</v>
      </c>
      <c r="L1820" s="221">
        <f ca="1">IF($S$1&lt;DATE(2025,7,1)," ",SUMIFS('2025数据'!$BQ$3:$BQ$181,'2025数据'!$X$3:$X$181,"&gt;="&amp;DATE(2025,7,1),'2025数据'!$X$3:$X$181,"&lt;="&amp;DATE(2025,7,31),'2025数据'!$BS$3:$BS$181,$E38)/10000)</f>
        <v>0</v>
      </c>
      <c r="M1820" s="221">
        <f ca="1">IF($S$1&lt;DATE(2025,8,1)," ",SUMIFS('2025数据'!$BQ$3:$BQ$181,'2025数据'!$X$3:$X$181,"&gt;="&amp;DATE(2025,8,1),'2025数据'!$X$3:$X$181,"&lt;="&amp;DATE(2025,8,31),'2025数据'!$BS$3:$BS$181,$E38)/10000)</f>
        <v>0</v>
      </c>
      <c r="N1820" s="221">
        <f ca="1">IF($S$1&lt;DATE(2025,9,1)," ",SUMIFS('2025数据'!$BQ$3:$BQ$181,'2025数据'!$X$3:$X$181,"&gt;="&amp;DATE(2025,9,1),'2025数据'!$X$3:$X$181,"&lt;="&amp;DATE(2025,9,30),'2025数据'!$BS$3:$BS$181,$E38)/10000)</f>
        <v>0</v>
      </c>
      <c r="O1820" s="221">
        <f ca="1">IF($S$1&lt;DATE(2025,10,1)," ",SUMIFS('2025数据'!$BQ$3:$BQ$181,'2025数据'!$X$3:$X$181,"&gt;="&amp;DATE(2025,10,1),'2025数据'!$X$3:$X$181,"&lt;="&amp;DATE(2025,10,31),'2025数据'!$BS$3:$BS$181,$E38)/10000)</f>
        <v>0</v>
      </c>
      <c r="P1820" s="225">
        <f ca="1">IF($S$1&lt;DATE(2025,11,1)," ",SUMIFS('2025数据'!$BQ$3:$BQ$181,'2025数据'!$X$3:$X$181,"&gt;="&amp;DATE(2025,11,1),'2025数据'!$X$3:$X$181,"&lt;="&amp;DATE(2025,11,30),'2025数据'!$BS$3:$BS$181,$E38)/10000)</f>
        <v>0</v>
      </c>
      <c r="Q1820" s="225">
        <f ca="1">IF($S$1&lt;DATE(2025,12,1)," ",SUMIFS('2025数据'!$BQ$3:$BQ$181,'2025数据'!$X$3:$X$181,"&gt;="&amp;DATE(2025,12,1),'2025数据'!$X$3:$X$181,"&lt;="&amp;DATE(2025,12,31),'2025数据'!$BS$3:$BS$181,$E38)/10000)</f>
        <v>0</v>
      </c>
    </row>
    <row r="1821" ht="24" customHeight="1" spans="1:17">
      <c r="A1821" s="99" t="s">
        <v>349</v>
      </c>
      <c r="B1821" s="99" t="s">
        <v>299</v>
      </c>
      <c r="C1821" s="99" t="s">
        <v>333</v>
      </c>
      <c r="D1821" s="218" t="s">
        <v>292</v>
      </c>
      <c r="E1821" s="220" t="s">
        <v>342</v>
      </c>
      <c r="F1821" s="221">
        <f ca="1">IF($S$1&lt;DATE(2025,1,1)," ",SUMIFS('2025数据'!$BQ$3:$BQ$181,'2025数据'!$X$3:$X$181,"&gt;="&amp;DATE(2025,1,1),'2025数据'!$X$3:$X$181,"&lt;="&amp;DATE(2025,1,31),'2025数据'!$BS$3:$BS$181,$E39)/10000)</f>
        <v>0</v>
      </c>
      <c r="G1821" s="221">
        <f ca="1">IF($S$1&lt;DATE(2025,2,1)," ",SUMIFS('2025数据'!$BQ$3:$BQ$181,'2025数据'!$X$3:$X$181,"&gt;="&amp;DATE(2025,2,1),'2025数据'!$X$3:$X$181,"&lt;="&amp;DATE(2025,2,28),'2025数据'!$BS$3:$BS$181,$E39)/10000)</f>
        <v>0</v>
      </c>
      <c r="H1821" s="221">
        <f ca="1">IF($S$1&lt;DATE(2025,3,1)," ",SUMIFS('2025数据'!$BQ$3:$BQ$181,'2025数据'!$X$3:$X$181,"&gt;="&amp;DATE(2025,3,1),'2025数据'!$X$3:$X$181,"&lt;="&amp;DATE(2025,3,31),'2025数据'!$BS$3:$BS$181,$E39)/10000)</f>
        <v>0.7056</v>
      </c>
      <c r="I1821" s="221">
        <f ca="1">IF($S$1&lt;DATE(2025,4,1)," ",SUMIFS('2025数据'!$BQ$3:$BQ$181,'2025数据'!$X$3:$X$181,"&gt;="&amp;DATE(2025,4,1),'2025数据'!$X$3:$X$181,"&lt;="&amp;DATE(2025,4,30),'2025数据'!$BS$3:$BS$181,$E39)/10000)</f>
        <v>0</v>
      </c>
      <c r="J1821" s="221">
        <f ca="1">IF($S$1&lt;DATE(2025,5,1)," ",SUMIFS('2025数据'!$BQ$3:$BQ$181,'2025数据'!$X$3:$X$181,"&gt;="&amp;DATE(2025,5,1),'2025数据'!$X$3:$X$181,"&lt;="&amp;DATE(2025,5,31),'2025数据'!$BS$3:$BS$181,$E39)/10000)</f>
        <v>0</v>
      </c>
      <c r="K1821" s="221">
        <f ca="1">IF($S$1&lt;DATE(2025,6,1)," ",SUMIFS('2025数据'!$BQ$3:$BQ$181,'2025数据'!$X$3:$X$181,"&gt;="&amp;DATE(2025,6,1),'2025数据'!$X$3:$X$181,"&lt;="&amp;DATE(2025,6,30),'2025数据'!$BS$3:$BS$181,$E39)/10000)</f>
        <v>0</v>
      </c>
      <c r="L1821" s="221">
        <f ca="1">IF($S$1&lt;DATE(2025,7,1)," ",SUMIFS('2025数据'!$BQ$3:$BQ$181,'2025数据'!$X$3:$X$181,"&gt;="&amp;DATE(2025,7,1),'2025数据'!$X$3:$X$181,"&lt;="&amp;DATE(2025,7,31),'2025数据'!$BS$3:$BS$181,$E39)/10000)</f>
        <v>1.1551</v>
      </c>
      <c r="M1821" s="221">
        <f ca="1">IF($S$1&lt;DATE(2025,8,1)," ",SUMIFS('2025数据'!$BQ$3:$BQ$181,'2025数据'!$X$3:$X$181,"&gt;="&amp;DATE(2025,8,1),'2025数据'!$X$3:$X$181,"&lt;="&amp;DATE(2025,8,31),'2025数据'!$BS$3:$BS$181,$E39)/10000)</f>
        <v>1.27542</v>
      </c>
      <c r="N1821" s="221">
        <f ca="1">IF($S$1&lt;DATE(2025,9,1)," ",SUMIFS('2025数据'!$BQ$3:$BQ$181,'2025数据'!$X$3:$X$181,"&gt;="&amp;DATE(2025,9,1),'2025数据'!$X$3:$X$181,"&lt;="&amp;DATE(2025,9,30),'2025数据'!$BS$3:$BS$181,$E39)/10000)</f>
        <v>1.369765</v>
      </c>
      <c r="O1821" s="221">
        <f ca="1">IF($S$1&lt;DATE(2025,10,1)," ",SUMIFS('2025数据'!$BQ$3:$BQ$181,'2025数据'!$X$3:$X$181,"&gt;="&amp;DATE(2025,10,1),'2025数据'!$X$3:$X$181,"&lt;="&amp;DATE(2025,10,31),'2025数据'!$BS$3:$BS$181,$E39)/10000)</f>
        <v>1.10426</v>
      </c>
      <c r="P1821" s="225">
        <f ca="1">IF($S$1&lt;DATE(2025,11,1)," ",SUMIFS('2025数据'!$BQ$3:$BQ$181,'2025数据'!$X$3:$X$181,"&gt;="&amp;DATE(2025,11,1),'2025数据'!$X$3:$X$181,"&lt;="&amp;DATE(2025,11,30),'2025数据'!$BS$3:$BS$181,$E39)/10000)</f>
        <v>3.944409</v>
      </c>
      <c r="Q1821" s="225">
        <f ca="1">IF($S$1&lt;DATE(2025,12,1)," ",SUMIFS('2025数据'!$BQ$3:$BQ$181,'2025数据'!$X$3:$X$181,"&gt;="&amp;DATE(2025,12,1),'2025数据'!$X$3:$X$181,"&lt;="&amp;DATE(2025,12,31),'2025数据'!$BS$3:$BS$181,$E39)/10000)</f>
        <v>0</v>
      </c>
    </row>
    <row r="1822" ht="24" customHeight="1" spans="1:17">
      <c r="A1822" s="99" t="s">
        <v>349</v>
      </c>
      <c r="B1822" s="99" t="s">
        <v>299</v>
      </c>
      <c r="C1822" s="99" t="s">
        <v>343</v>
      </c>
      <c r="D1822" s="218" t="s">
        <v>292</v>
      </c>
      <c r="E1822" s="220" t="s">
        <v>340</v>
      </c>
      <c r="F1822" s="222">
        <f ca="1" t="shared" ref="F1822:F1824" si="1673">IF($S$1&lt;DATE(2025,1,1)," ",F1819)</f>
        <v>0</v>
      </c>
      <c r="G1822" s="222">
        <f ca="1" t="shared" ref="G1822:G1824" si="1674">IF($S$1&lt;DATE(2025,2,1)," ",F1822+G1819)</f>
        <v>0</v>
      </c>
      <c r="H1822" s="222">
        <f ca="1" t="shared" ref="H1822:H1824" si="1675">IF($S$1&lt;DATE(2025,3,1)," ",G1822+H1819)</f>
        <v>0</v>
      </c>
      <c r="I1822" s="222">
        <f ca="1" t="shared" ref="I1822:I1824" si="1676">IF($S$1&lt;DATE(2025,4,1)," ",H1822+I1819)</f>
        <v>0</v>
      </c>
      <c r="J1822" s="222">
        <f ca="1" t="shared" ref="J1822:J1824" si="1677">IF($S$1&lt;DATE(2025,5,1)," ",I1822+J1819)</f>
        <v>0</v>
      </c>
      <c r="K1822" s="222">
        <f ca="1" t="shared" ref="K1822:K1824" si="1678">IF($S$1&lt;DATE(2025,6,1)," ",J1822+K1819)</f>
        <v>0</v>
      </c>
      <c r="L1822" s="222">
        <f ca="1" t="shared" ref="L1822:L1824" si="1679">IF($S$1&lt;DATE(2025,7,1)," ",K1822+L1819)</f>
        <v>0</v>
      </c>
      <c r="M1822" s="222">
        <f ca="1" t="shared" ref="M1822:M1824" si="1680">IF($S$1&lt;DATE(2025,8,1)," ",L1822+M1819)</f>
        <v>0</v>
      </c>
      <c r="N1822" s="222">
        <f ca="1" t="shared" ref="N1822:N1824" si="1681">IF($S$1&lt;DATE(2025,9,1)," ",M1822+N1819)</f>
        <v>0</v>
      </c>
      <c r="O1822" s="222">
        <f ca="1" t="shared" ref="O1822:O1824" si="1682">IF($S$1&lt;DATE(2025,10,1)," ",N1822+O1819)</f>
        <v>0</v>
      </c>
      <c r="P1822" s="222">
        <f ca="1" t="shared" ref="P1822:P1824" si="1683">IF($S$1&lt;DATE(2025,11,1)," ",O1822+P1819)</f>
        <v>0</v>
      </c>
      <c r="Q1822" s="222">
        <f ca="1" t="shared" ref="Q1822:Q1824" si="1684">IF($S$1&lt;DATE(2025,12,1)," ",P1822+Q1819)</f>
        <v>0</v>
      </c>
    </row>
    <row r="1823" ht="24" customHeight="1" spans="1:17">
      <c r="A1823" s="99" t="s">
        <v>349</v>
      </c>
      <c r="B1823" s="99" t="s">
        <v>299</v>
      </c>
      <c r="C1823" s="99" t="s">
        <v>343</v>
      </c>
      <c r="D1823" s="218" t="s">
        <v>292</v>
      </c>
      <c r="E1823" s="220" t="s">
        <v>341</v>
      </c>
      <c r="F1823" s="222">
        <f ca="1" t="shared" si="1673"/>
        <v>0</v>
      </c>
      <c r="G1823" s="222">
        <f ca="1" t="shared" si="1674"/>
        <v>0</v>
      </c>
      <c r="H1823" s="222">
        <f ca="1" t="shared" si="1675"/>
        <v>0</v>
      </c>
      <c r="I1823" s="222">
        <f ca="1" t="shared" si="1676"/>
        <v>0</v>
      </c>
      <c r="J1823" s="222">
        <f ca="1" t="shared" si="1677"/>
        <v>0</v>
      </c>
      <c r="K1823" s="222">
        <f ca="1" t="shared" si="1678"/>
        <v>0</v>
      </c>
      <c r="L1823" s="222">
        <f ca="1" t="shared" si="1679"/>
        <v>0</v>
      </c>
      <c r="M1823" s="222">
        <f ca="1" t="shared" si="1680"/>
        <v>0</v>
      </c>
      <c r="N1823" s="222">
        <f ca="1" t="shared" si="1681"/>
        <v>0</v>
      </c>
      <c r="O1823" s="222">
        <f ca="1" t="shared" si="1682"/>
        <v>0</v>
      </c>
      <c r="P1823" s="222">
        <f ca="1" t="shared" si="1683"/>
        <v>0</v>
      </c>
      <c r="Q1823" s="222">
        <f ca="1" t="shared" si="1684"/>
        <v>0</v>
      </c>
    </row>
    <row r="1824" ht="24" customHeight="1" spans="1:17">
      <c r="A1824" s="99" t="s">
        <v>349</v>
      </c>
      <c r="B1824" s="99" t="s">
        <v>299</v>
      </c>
      <c r="C1824" s="99" t="s">
        <v>343</v>
      </c>
      <c r="D1824" s="218" t="s">
        <v>292</v>
      </c>
      <c r="E1824" s="220" t="s">
        <v>342</v>
      </c>
      <c r="F1824" s="222">
        <f ca="1" t="shared" si="1673"/>
        <v>0</v>
      </c>
      <c r="G1824" s="222">
        <f ca="1" t="shared" si="1674"/>
        <v>0</v>
      </c>
      <c r="H1824" s="222">
        <f ca="1" t="shared" si="1675"/>
        <v>0.7056</v>
      </c>
      <c r="I1824" s="222">
        <f ca="1" t="shared" si="1676"/>
        <v>0.7056</v>
      </c>
      <c r="J1824" s="222">
        <f ca="1" t="shared" si="1677"/>
        <v>0.7056</v>
      </c>
      <c r="K1824" s="222">
        <f ca="1" t="shared" si="1678"/>
        <v>0.7056</v>
      </c>
      <c r="L1824" s="222">
        <f ca="1" t="shared" si="1679"/>
        <v>1.8607</v>
      </c>
      <c r="M1824" s="222">
        <f ca="1" t="shared" si="1680"/>
        <v>3.13612</v>
      </c>
      <c r="N1824" s="222">
        <f ca="1" t="shared" si="1681"/>
        <v>4.505885</v>
      </c>
      <c r="O1824" s="222">
        <f ca="1" t="shared" si="1682"/>
        <v>5.610145</v>
      </c>
      <c r="P1824" s="222">
        <f ca="1" t="shared" si="1683"/>
        <v>9.554554</v>
      </c>
      <c r="Q1824" s="222">
        <f ca="1" t="shared" si="1684"/>
        <v>9.554554</v>
      </c>
    </row>
    <row r="1825" ht="24" customHeight="1" spans="1:17">
      <c r="A1825" s="99" t="s">
        <v>349</v>
      </c>
      <c r="B1825" s="99" t="s">
        <v>299</v>
      </c>
      <c r="C1825" s="99" t="s">
        <v>343</v>
      </c>
      <c r="D1825" s="114" t="s">
        <v>292</v>
      </c>
      <c r="E1825" s="114" t="s">
        <v>320</v>
      </c>
      <c r="F1825" s="215">
        <f ca="1">IF($S$1&lt;DATE(2025,1,1)," ",IF(SUM(F1826:F1832)&lt;&gt;SUM(F1840:F1844),"ERR",SUM(F1826:F1832)))</f>
        <v>0</v>
      </c>
      <c r="G1825" s="215">
        <f ca="1">IF($S$1&lt;DATE(2025,2,1)," ",IF(SUM(G1826:G1832)&lt;&gt;SUM(G1840:G1844),"ERR",SUM(G1826:G1832)))</f>
        <v>0</v>
      </c>
      <c r="H1825" s="215">
        <f ca="1">IF($S$1&lt;DATE(2025,3,1)," ",IF(SUM(H1826:H1832)&lt;&gt;SUM(H1840:H1844),"ERR",SUM(H1826:H1832)))</f>
        <v>0.7056</v>
      </c>
      <c r="I1825" s="215">
        <f ca="1">IF($S$1&lt;DATE(2025,4,1)," ",IF(SUM(I1826:I1832)&lt;&gt;SUM(I1840:I1844),"ERR",SUM(I1826:I1832)))</f>
        <v>0.7056</v>
      </c>
      <c r="J1825" s="215">
        <f ca="1">IF($S$1&lt;DATE(2025,5,1)," ",IF(SUM(J1826:J1832)&lt;&gt;SUM(J1840:J1844),"ERR",SUM(J1826:J1832)))</f>
        <v>0.7056</v>
      </c>
      <c r="K1825" s="215">
        <f ca="1">IF($S$1&lt;DATE(2025,6,1)," ",IF(SUM(K1826:K1832)&lt;&gt;SUM(K1840:K1844),"ERR",SUM(K1826:K1832)))</f>
        <v>0.7056</v>
      </c>
      <c r="L1825" s="215">
        <f ca="1">IF($S$1&lt;DATE(2025,7,1)," ",IF(SUM(L1826:L1832)&lt;&gt;SUM(L1840:L1844),"ERR",SUM(L1826:L1832)))</f>
        <v>1.8607</v>
      </c>
      <c r="M1825" s="215">
        <f ca="1">IF($S$1&lt;DATE(2025,8,1)," ",IF(SUM(M1826:M1832)&lt;&gt;SUM(M1840:M1844),"ERR",SUM(M1826:M1832)))</f>
        <v>3.13612</v>
      </c>
      <c r="N1825" s="215">
        <f ca="1">IF($S$1&lt;DATE(2025,9,1)," ",IF(SUM(N1826:N1832)&lt;&gt;SUM(N1840:N1844),"ERR",SUM(N1826:N1832)))</f>
        <v>4.505885</v>
      </c>
      <c r="O1825" s="215">
        <f ca="1">IF($S$1&lt;DATE(2025,10,1)," ",IF(SUM(O1826:O1832)&lt;&gt;SUM(O1840:O1844),"ERR",SUM(O1826:O1832)))</f>
        <v>5.610145</v>
      </c>
      <c r="P1825" s="215">
        <f ca="1">IF($S$1&lt;DATE(2025,11,1)," ",IF(SUM(P1826:P1832)&lt;&gt;SUM(P1840:P1844),"ERR",SUM(P1826:P1832)))</f>
        <v>9.554554</v>
      </c>
      <c r="Q1825" s="215">
        <f ca="1">IF($S$1&lt;DATE(2025,12,1)," ",IF(SUM(Q1826:Q1832)&lt;&gt;SUM(Q1840:Q1844),"ERR",SUM(Q1826:Q1832)))</f>
        <v>9.554554</v>
      </c>
    </row>
    <row r="1826" ht="24" customHeight="1" spans="1:17">
      <c r="A1826" s="99" t="s">
        <v>349</v>
      </c>
      <c r="B1826" s="99" t="s">
        <v>299</v>
      </c>
      <c r="C1826" s="99" t="s">
        <v>343</v>
      </c>
      <c r="D1826" s="48" t="s">
        <v>31</v>
      </c>
      <c r="E1826" s="48" t="s">
        <v>90</v>
      </c>
      <c r="F1826" s="51">
        <f ca="1" t="shared" ref="F1826:F1832" si="1685">IF($S$1&lt;DATE(2025,1,1)," ",F1774)</f>
        <v>0</v>
      </c>
      <c r="G1826" s="51">
        <f ca="1" t="shared" ref="G1826:G1832" si="1686">IF($S$1&lt;DATE(2025,2,1)," ",G1774+F1826)</f>
        <v>0</v>
      </c>
      <c r="H1826" s="51">
        <f ca="1" t="shared" ref="H1826:H1832" si="1687">IF($S$1&lt;DATE(2025,3,1)," ",H1774+G1826)</f>
        <v>0</v>
      </c>
      <c r="I1826" s="51">
        <f ca="1" t="shared" ref="I1826:I1832" si="1688">IF($S$1&lt;DATE(2025,4,1)," ",I1774+H1826)</f>
        <v>0</v>
      </c>
      <c r="J1826" s="51">
        <f ca="1" t="shared" ref="J1826:J1832" si="1689">IF($S$1&lt;DATE(2025,5,1)," ",J1774+I1826)</f>
        <v>0</v>
      </c>
      <c r="K1826" s="51">
        <f ca="1" t="shared" ref="K1826:K1832" si="1690">IF($S$1&lt;DATE(2025,6,1)," ",K1774+J1826)</f>
        <v>0</v>
      </c>
      <c r="L1826" s="51">
        <f ca="1" t="shared" ref="L1826:L1832" si="1691">IF($S$1&lt;DATE(2025,7,1)," ",L1774+K1826)</f>
        <v>0</v>
      </c>
      <c r="M1826" s="51">
        <f ca="1" t="shared" ref="M1826:M1832" si="1692">IF($S$1&lt;DATE(2025,8,1)," ",M1774+L1826)</f>
        <v>0</v>
      </c>
      <c r="N1826" s="51">
        <f ca="1" t="shared" ref="N1826:N1832" si="1693">IF($S$1&lt;DATE(2025,9,1)," ",N1774+M1826)</f>
        <v>0</v>
      </c>
      <c r="O1826" s="51">
        <f ca="1" t="shared" ref="O1826:O1832" si="1694">IF($S$1&lt;DATE(2025,10,1)," ",O1774+N1826)</f>
        <v>1.10426</v>
      </c>
      <c r="P1826" s="51">
        <f ca="1" t="shared" ref="P1826:P1832" si="1695">IF($S$1&lt;DATE(2025,11,1)," ",P1774+O1826)</f>
        <v>1.10426</v>
      </c>
      <c r="Q1826" s="51">
        <f ca="1" t="shared" ref="Q1826:Q1832" si="1696">IF($S$1&lt;DATE(2025,12,1)," ",Q1774+P1826)</f>
        <v>1.10426</v>
      </c>
    </row>
    <row r="1827" ht="24" customHeight="1" spans="1:17">
      <c r="A1827" s="99" t="s">
        <v>349</v>
      </c>
      <c r="B1827" s="99" t="s">
        <v>299</v>
      </c>
      <c r="C1827" s="99" t="s">
        <v>343</v>
      </c>
      <c r="D1827" s="48" t="s">
        <v>31</v>
      </c>
      <c r="E1827" s="48" t="s">
        <v>82</v>
      </c>
      <c r="F1827" s="51">
        <f ca="1" t="shared" si="1685"/>
        <v>0</v>
      </c>
      <c r="G1827" s="51">
        <f ca="1" t="shared" si="1686"/>
        <v>0</v>
      </c>
      <c r="H1827" s="51">
        <f ca="1" t="shared" si="1687"/>
        <v>0</v>
      </c>
      <c r="I1827" s="51">
        <f ca="1" t="shared" si="1688"/>
        <v>0</v>
      </c>
      <c r="J1827" s="51">
        <f ca="1" t="shared" si="1689"/>
        <v>0</v>
      </c>
      <c r="K1827" s="51">
        <f ca="1" t="shared" si="1690"/>
        <v>0</v>
      </c>
      <c r="L1827" s="51">
        <f ca="1" t="shared" si="1691"/>
        <v>0</v>
      </c>
      <c r="M1827" s="51">
        <f ca="1" t="shared" si="1692"/>
        <v>0</v>
      </c>
      <c r="N1827" s="51">
        <f ca="1" t="shared" si="1693"/>
        <v>0</v>
      </c>
      <c r="O1827" s="51">
        <f ca="1" t="shared" si="1694"/>
        <v>0</v>
      </c>
      <c r="P1827" s="51">
        <f ca="1" t="shared" si="1695"/>
        <v>0</v>
      </c>
      <c r="Q1827" s="51">
        <f ca="1" t="shared" si="1696"/>
        <v>0</v>
      </c>
    </row>
    <row r="1828" ht="24" customHeight="1" spans="1:17">
      <c r="A1828" s="99" t="s">
        <v>349</v>
      </c>
      <c r="B1828" s="99" t="s">
        <v>299</v>
      </c>
      <c r="C1828" s="99" t="s">
        <v>343</v>
      </c>
      <c r="D1828" s="48" t="s">
        <v>31</v>
      </c>
      <c r="E1828" s="48" t="s">
        <v>86</v>
      </c>
      <c r="F1828" s="51">
        <f ca="1" t="shared" si="1685"/>
        <v>0</v>
      </c>
      <c r="G1828" s="51">
        <f ca="1" t="shared" si="1686"/>
        <v>0</v>
      </c>
      <c r="H1828" s="51">
        <f ca="1" t="shared" si="1687"/>
        <v>0</v>
      </c>
      <c r="I1828" s="51">
        <f ca="1" t="shared" si="1688"/>
        <v>0</v>
      </c>
      <c r="J1828" s="51">
        <f ca="1" t="shared" si="1689"/>
        <v>0</v>
      </c>
      <c r="K1828" s="51">
        <f ca="1" t="shared" si="1690"/>
        <v>0</v>
      </c>
      <c r="L1828" s="51">
        <f ca="1" t="shared" si="1691"/>
        <v>0</v>
      </c>
      <c r="M1828" s="51">
        <f ca="1" t="shared" si="1692"/>
        <v>0</v>
      </c>
      <c r="N1828" s="51">
        <f ca="1" t="shared" si="1693"/>
        <v>0.469865</v>
      </c>
      <c r="O1828" s="51">
        <f ca="1" t="shared" si="1694"/>
        <v>0.469865</v>
      </c>
      <c r="P1828" s="51">
        <f ca="1" t="shared" si="1695"/>
        <v>0.469865</v>
      </c>
      <c r="Q1828" s="51">
        <f ca="1" t="shared" si="1696"/>
        <v>0.469865</v>
      </c>
    </row>
    <row r="1829" ht="24" customHeight="1" spans="1:17">
      <c r="A1829" s="99" t="s">
        <v>349</v>
      </c>
      <c r="B1829" s="99" t="s">
        <v>299</v>
      </c>
      <c r="C1829" s="99" t="s">
        <v>343</v>
      </c>
      <c r="D1829" s="48" t="s">
        <v>31</v>
      </c>
      <c r="E1829" s="48" t="s">
        <v>97</v>
      </c>
      <c r="F1829" s="51">
        <f ca="1" t="shared" si="1685"/>
        <v>0</v>
      </c>
      <c r="G1829" s="51">
        <f ca="1" t="shared" si="1686"/>
        <v>0</v>
      </c>
      <c r="H1829" s="51">
        <f ca="1" t="shared" si="1687"/>
        <v>0</v>
      </c>
      <c r="I1829" s="51">
        <f ca="1" t="shared" si="1688"/>
        <v>0</v>
      </c>
      <c r="J1829" s="51">
        <f ca="1" t="shared" si="1689"/>
        <v>0</v>
      </c>
      <c r="K1829" s="51">
        <f ca="1" t="shared" si="1690"/>
        <v>0</v>
      </c>
      <c r="L1829" s="51">
        <f ca="1" t="shared" si="1691"/>
        <v>0</v>
      </c>
      <c r="M1829" s="51">
        <f ca="1" t="shared" si="1692"/>
        <v>0</v>
      </c>
      <c r="N1829" s="51">
        <f ca="1" t="shared" si="1693"/>
        <v>0</v>
      </c>
      <c r="O1829" s="51">
        <f ca="1" t="shared" si="1694"/>
        <v>0</v>
      </c>
      <c r="P1829" s="51">
        <f ca="1" t="shared" si="1695"/>
        <v>3.944409</v>
      </c>
      <c r="Q1829" s="51">
        <f ca="1" t="shared" si="1696"/>
        <v>3.944409</v>
      </c>
    </row>
    <row r="1830" ht="24" customHeight="1" spans="1:17">
      <c r="A1830" s="99" t="s">
        <v>349</v>
      </c>
      <c r="B1830" s="99" t="s">
        <v>299</v>
      </c>
      <c r="C1830" s="99" t="s">
        <v>343</v>
      </c>
      <c r="D1830" s="48" t="s">
        <v>31</v>
      </c>
      <c r="E1830" s="48" t="s">
        <v>87</v>
      </c>
      <c r="F1830" s="51">
        <f ca="1" t="shared" si="1685"/>
        <v>0</v>
      </c>
      <c r="G1830" s="51">
        <f ca="1" t="shared" si="1686"/>
        <v>0</v>
      </c>
      <c r="H1830" s="51">
        <f ca="1" t="shared" si="1687"/>
        <v>0.7056</v>
      </c>
      <c r="I1830" s="51">
        <f ca="1" t="shared" si="1688"/>
        <v>0.7056</v>
      </c>
      <c r="J1830" s="51">
        <f ca="1" t="shared" si="1689"/>
        <v>0.7056</v>
      </c>
      <c r="K1830" s="51">
        <f ca="1" t="shared" si="1690"/>
        <v>0.7056</v>
      </c>
      <c r="L1830" s="51">
        <f ca="1" t="shared" si="1691"/>
        <v>1.8607</v>
      </c>
      <c r="M1830" s="51">
        <f ca="1" t="shared" si="1692"/>
        <v>3.13612</v>
      </c>
      <c r="N1830" s="51">
        <f ca="1" t="shared" si="1693"/>
        <v>4.03602</v>
      </c>
      <c r="O1830" s="51">
        <f ca="1" t="shared" si="1694"/>
        <v>4.03602</v>
      </c>
      <c r="P1830" s="51">
        <f ca="1" t="shared" si="1695"/>
        <v>4.03602</v>
      </c>
      <c r="Q1830" s="51">
        <f ca="1" t="shared" si="1696"/>
        <v>4.03602</v>
      </c>
    </row>
    <row r="1831" ht="24" customHeight="1" spans="1:17">
      <c r="A1831" s="99" t="s">
        <v>349</v>
      </c>
      <c r="B1831" s="99" t="s">
        <v>299</v>
      </c>
      <c r="C1831" s="99" t="s">
        <v>343</v>
      </c>
      <c r="D1831" s="48" t="s">
        <v>31</v>
      </c>
      <c r="E1831" s="48" t="s">
        <v>149</v>
      </c>
      <c r="F1831" s="51">
        <f ca="1" t="shared" si="1685"/>
        <v>0</v>
      </c>
      <c r="G1831" s="51">
        <f ca="1" t="shared" si="1686"/>
        <v>0</v>
      </c>
      <c r="H1831" s="51">
        <f ca="1" t="shared" si="1687"/>
        <v>0</v>
      </c>
      <c r="I1831" s="51">
        <f ca="1" t="shared" si="1688"/>
        <v>0</v>
      </c>
      <c r="J1831" s="51">
        <f ca="1" t="shared" si="1689"/>
        <v>0</v>
      </c>
      <c r="K1831" s="51">
        <f ca="1" t="shared" si="1690"/>
        <v>0</v>
      </c>
      <c r="L1831" s="51">
        <f ca="1" t="shared" si="1691"/>
        <v>0</v>
      </c>
      <c r="M1831" s="51">
        <f ca="1" t="shared" si="1692"/>
        <v>0</v>
      </c>
      <c r="N1831" s="51">
        <f ca="1" t="shared" si="1693"/>
        <v>0</v>
      </c>
      <c r="O1831" s="51">
        <f ca="1" t="shared" si="1694"/>
        <v>0</v>
      </c>
      <c r="P1831" s="51">
        <f ca="1" t="shared" si="1695"/>
        <v>0</v>
      </c>
      <c r="Q1831" s="51">
        <f ca="1" t="shared" si="1696"/>
        <v>0</v>
      </c>
    </row>
    <row r="1832" ht="24" customHeight="1" spans="1:17">
      <c r="A1832" s="99" t="s">
        <v>349</v>
      </c>
      <c r="B1832" s="99" t="s">
        <v>299</v>
      </c>
      <c r="C1832" s="99" t="s">
        <v>343</v>
      </c>
      <c r="D1832" s="48" t="s">
        <v>31</v>
      </c>
      <c r="E1832" s="48" t="s">
        <v>83</v>
      </c>
      <c r="F1832" s="51">
        <f ca="1" t="shared" si="1685"/>
        <v>0</v>
      </c>
      <c r="G1832" s="51">
        <f ca="1" t="shared" si="1686"/>
        <v>0</v>
      </c>
      <c r="H1832" s="51">
        <f ca="1" t="shared" si="1687"/>
        <v>0</v>
      </c>
      <c r="I1832" s="51">
        <f ca="1" t="shared" si="1688"/>
        <v>0</v>
      </c>
      <c r="J1832" s="51">
        <f ca="1" t="shared" si="1689"/>
        <v>0</v>
      </c>
      <c r="K1832" s="51">
        <f ca="1" t="shared" si="1690"/>
        <v>0</v>
      </c>
      <c r="L1832" s="51">
        <f ca="1" t="shared" si="1691"/>
        <v>0</v>
      </c>
      <c r="M1832" s="51">
        <f ca="1" t="shared" si="1692"/>
        <v>0</v>
      </c>
      <c r="N1832" s="51">
        <f ca="1" t="shared" si="1693"/>
        <v>0</v>
      </c>
      <c r="O1832" s="51">
        <f ca="1" t="shared" si="1694"/>
        <v>0</v>
      </c>
      <c r="P1832" s="51">
        <f ca="1" t="shared" si="1695"/>
        <v>0</v>
      </c>
      <c r="Q1832" s="51">
        <f ca="1" t="shared" si="1696"/>
        <v>0</v>
      </c>
    </row>
    <row r="1833" ht="24" customHeight="1" spans="1:17">
      <c r="A1833" s="99" t="s">
        <v>349</v>
      </c>
      <c r="B1833" s="99" t="s">
        <v>299</v>
      </c>
      <c r="C1833" s="99" t="s">
        <v>343</v>
      </c>
      <c r="D1833" s="48" t="s">
        <v>321</v>
      </c>
      <c r="E1833" s="48" t="s">
        <v>90</v>
      </c>
      <c r="F1833" s="112" t="str">
        <f ca="1" t="shared" ref="F1833:Q1833" si="1697">IFERROR(F1826/F1825," ")</f>
        <v> </v>
      </c>
      <c r="G1833" s="112" t="str">
        <f ca="1" t="shared" si="1697"/>
        <v> </v>
      </c>
      <c r="H1833" s="112">
        <f ca="1" t="shared" si="1697"/>
        <v>0</v>
      </c>
      <c r="I1833" s="112">
        <f ca="1" t="shared" si="1697"/>
        <v>0</v>
      </c>
      <c r="J1833" s="112">
        <f ca="1" t="shared" si="1697"/>
        <v>0</v>
      </c>
      <c r="K1833" s="112">
        <f ca="1" t="shared" si="1697"/>
        <v>0</v>
      </c>
      <c r="L1833" s="112">
        <f ca="1" t="shared" si="1697"/>
        <v>0</v>
      </c>
      <c r="M1833" s="112">
        <f ca="1" t="shared" si="1697"/>
        <v>0</v>
      </c>
      <c r="N1833" s="112">
        <f ca="1" t="shared" si="1697"/>
        <v>0</v>
      </c>
      <c r="O1833" s="112">
        <f ca="1" t="shared" si="1697"/>
        <v>0.196832702185059</v>
      </c>
      <c r="P1833" s="112">
        <f ca="1" t="shared" si="1697"/>
        <v>0.115574206812793</v>
      </c>
      <c r="Q1833" s="112">
        <f ca="1" t="shared" si="1697"/>
        <v>0.115574206812793</v>
      </c>
    </row>
    <row r="1834" ht="24" customHeight="1" spans="1:17">
      <c r="A1834" s="99" t="s">
        <v>349</v>
      </c>
      <c r="B1834" s="99" t="s">
        <v>299</v>
      </c>
      <c r="C1834" s="99" t="s">
        <v>343</v>
      </c>
      <c r="D1834" s="48" t="s">
        <v>321</v>
      </c>
      <c r="E1834" s="48" t="s">
        <v>82</v>
      </c>
      <c r="F1834" s="112" t="str">
        <f ca="1" t="shared" ref="F1834:Q1834" si="1698">IFERROR(F1827/F1825," ")</f>
        <v> </v>
      </c>
      <c r="G1834" s="112" t="str">
        <f ca="1" t="shared" si="1698"/>
        <v> </v>
      </c>
      <c r="H1834" s="112">
        <f ca="1" t="shared" si="1698"/>
        <v>0</v>
      </c>
      <c r="I1834" s="112">
        <f ca="1" t="shared" si="1698"/>
        <v>0</v>
      </c>
      <c r="J1834" s="112">
        <f ca="1" t="shared" si="1698"/>
        <v>0</v>
      </c>
      <c r="K1834" s="112">
        <f ca="1" t="shared" si="1698"/>
        <v>0</v>
      </c>
      <c r="L1834" s="112">
        <f ca="1" t="shared" si="1698"/>
        <v>0</v>
      </c>
      <c r="M1834" s="112">
        <f ca="1" t="shared" si="1698"/>
        <v>0</v>
      </c>
      <c r="N1834" s="112">
        <f ca="1" t="shared" si="1698"/>
        <v>0</v>
      </c>
      <c r="O1834" s="112">
        <f ca="1" t="shared" si="1698"/>
        <v>0</v>
      </c>
      <c r="P1834" s="112">
        <f ca="1" t="shared" si="1698"/>
        <v>0</v>
      </c>
      <c r="Q1834" s="112">
        <f ca="1" t="shared" si="1698"/>
        <v>0</v>
      </c>
    </row>
    <row r="1835" ht="24" customHeight="1" spans="1:17">
      <c r="A1835" s="99" t="s">
        <v>349</v>
      </c>
      <c r="B1835" s="99" t="s">
        <v>299</v>
      </c>
      <c r="C1835" s="99" t="s">
        <v>343</v>
      </c>
      <c r="D1835" s="48" t="s">
        <v>321</v>
      </c>
      <c r="E1835" s="48" t="s">
        <v>86</v>
      </c>
      <c r="F1835" s="112" t="str">
        <f ca="1" t="shared" ref="F1835:Q1835" si="1699">IFERROR(F1828/F1825," ")</f>
        <v> </v>
      </c>
      <c r="G1835" s="112" t="str">
        <f ca="1" t="shared" si="1699"/>
        <v> </v>
      </c>
      <c r="H1835" s="112">
        <f ca="1" t="shared" si="1699"/>
        <v>0</v>
      </c>
      <c r="I1835" s="112">
        <f ca="1" t="shared" si="1699"/>
        <v>0</v>
      </c>
      <c r="J1835" s="112">
        <f ca="1" t="shared" si="1699"/>
        <v>0</v>
      </c>
      <c r="K1835" s="112">
        <f ca="1" t="shared" si="1699"/>
        <v>0</v>
      </c>
      <c r="L1835" s="112">
        <f ca="1" t="shared" si="1699"/>
        <v>0</v>
      </c>
      <c r="M1835" s="112">
        <f ca="1" t="shared" si="1699"/>
        <v>0</v>
      </c>
      <c r="N1835" s="112">
        <f ca="1" t="shared" si="1699"/>
        <v>0.104278071899305</v>
      </c>
      <c r="O1835" s="112">
        <f ca="1" t="shared" si="1699"/>
        <v>0.0837527372287169</v>
      </c>
      <c r="P1835" s="112">
        <f ca="1" t="shared" si="1699"/>
        <v>0.0491770730480983</v>
      </c>
      <c r="Q1835" s="112">
        <f ca="1" t="shared" si="1699"/>
        <v>0.0491770730480983</v>
      </c>
    </row>
    <row r="1836" ht="24" customHeight="1" spans="1:17">
      <c r="A1836" s="99" t="s">
        <v>349</v>
      </c>
      <c r="B1836" s="99" t="s">
        <v>299</v>
      </c>
      <c r="C1836" s="99" t="s">
        <v>343</v>
      </c>
      <c r="D1836" s="48" t="s">
        <v>321</v>
      </c>
      <c r="E1836" s="48" t="s">
        <v>97</v>
      </c>
      <c r="F1836" s="112" t="str">
        <f ca="1" t="shared" ref="F1836:Q1836" si="1700">IFERROR(F1829/F1825," ")</f>
        <v> </v>
      </c>
      <c r="G1836" s="112" t="str">
        <f ca="1" t="shared" si="1700"/>
        <v> </v>
      </c>
      <c r="H1836" s="112">
        <f ca="1" t="shared" si="1700"/>
        <v>0</v>
      </c>
      <c r="I1836" s="112">
        <f ca="1" t="shared" si="1700"/>
        <v>0</v>
      </c>
      <c r="J1836" s="112">
        <f ca="1" t="shared" si="1700"/>
        <v>0</v>
      </c>
      <c r="K1836" s="112">
        <f ca="1" t="shared" si="1700"/>
        <v>0</v>
      </c>
      <c r="L1836" s="112">
        <f ca="1" t="shared" si="1700"/>
        <v>0</v>
      </c>
      <c r="M1836" s="112">
        <f ca="1" t="shared" si="1700"/>
        <v>0</v>
      </c>
      <c r="N1836" s="112">
        <f ca="1" t="shared" si="1700"/>
        <v>0</v>
      </c>
      <c r="O1836" s="112">
        <f ca="1" t="shared" si="1700"/>
        <v>0</v>
      </c>
      <c r="P1836" s="112">
        <f ca="1" t="shared" si="1700"/>
        <v>0.412830258743632</v>
      </c>
      <c r="Q1836" s="112">
        <f ca="1" t="shared" si="1700"/>
        <v>0.412830258743632</v>
      </c>
    </row>
    <row r="1837" ht="24" customHeight="1" spans="1:17">
      <c r="A1837" s="99" t="s">
        <v>349</v>
      </c>
      <c r="B1837" s="99" t="s">
        <v>299</v>
      </c>
      <c r="C1837" s="99" t="s">
        <v>343</v>
      </c>
      <c r="D1837" s="48" t="s">
        <v>321</v>
      </c>
      <c r="E1837" s="48" t="s">
        <v>87</v>
      </c>
      <c r="F1837" s="112" t="str">
        <f ca="1" t="shared" ref="F1837:Q1837" si="1701">IFERROR(F1830/F1825," ")</f>
        <v> </v>
      </c>
      <c r="G1837" s="112" t="str">
        <f ca="1" t="shared" si="1701"/>
        <v> </v>
      </c>
      <c r="H1837" s="112">
        <f ca="1" t="shared" si="1701"/>
        <v>1</v>
      </c>
      <c r="I1837" s="112">
        <f ca="1" t="shared" si="1701"/>
        <v>1</v>
      </c>
      <c r="J1837" s="112">
        <f ca="1" t="shared" si="1701"/>
        <v>1</v>
      </c>
      <c r="K1837" s="112">
        <f ca="1" t="shared" si="1701"/>
        <v>1</v>
      </c>
      <c r="L1837" s="112">
        <f ca="1" t="shared" si="1701"/>
        <v>1</v>
      </c>
      <c r="M1837" s="112">
        <f ca="1" t="shared" si="1701"/>
        <v>1</v>
      </c>
      <c r="N1837" s="112">
        <f ca="1" t="shared" si="1701"/>
        <v>0.895721928100695</v>
      </c>
      <c r="O1837" s="112">
        <f ca="1" t="shared" si="1701"/>
        <v>0.719414560586224</v>
      </c>
      <c r="P1837" s="112">
        <f ca="1" t="shared" si="1701"/>
        <v>0.422418461395477</v>
      </c>
      <c r="Q1837" s="112">
        <f ca="1" t="shared" si="1701"/>
        <v>0.422418461395477</v>
      </c>
    </row>
    <row r="1838" ht="24" customHeight="1" spans="1:17">
      <c r="A1838" s="99" t="s">
        <v>349</v>
      </c>
      <c r="B1838" s="99" t="s">
        <v>299</v>
      </c>
      <c r="C1838" s="99" t="s">
        <v>343</v>
      </c>
      <c r="D1838" s="48" t="s">
        <v>321</v>
      </c>
      <c r="E1838" s="48" t="s">
        <v>149</v>
      </c>
      <c r="F1838" s="112" t="str">
        <f ca="1" t="shared" ref="F1838:Q1838" si="1702">IFERROR(F1831/F1825," ")</f>
        <v> </v>
      </c>
      <c r="G1838" s="112" t="str">
        <f ca="1" t="shared" si="1702"/>
        <v> </v>
      </c>
      <c r="H1838" s="112">
        <f ca="1" t="shared" si="1702"/>
        <v>0</v>
      </c>
      <c r="I1838" s="112">
        <f ca="1" t="shared" si="1702"/>
        <v>0</v>
      </c>
      <c r="J1838" s="112">
        <f ca="1" t="shared" si="1702"/>
        <v>0</v>
      </c>
      <c r="K1838" s="112">
        <f ca="1" t="shared" si="1702"/>
        <v>0</v>
      </c>
      <c r="L1838" s="112">
        <f ca="1" t="shared" si="1702"/>
        <v>0</v>
      </c>
      <c r="M1838" s="112">
        <f ca="1" t="shared" si="1702"/>
        <v>0</v>
      </c>
      <c r="N1838" s="112">
        <f ca="1" t="shared" si="1702"/>
        <v>0</v>
      </c>
      <c r="O1838" s="112">
        <f ca="1" t="shared" si="1702"/>
        <v>0</v>
      </c>
      <c r="P1838" s="112">
        <f ca="1" t="shared" si="1702"/>
        <v>0</v>
      </c>
      <c r="Q1838" s="112">
        <f ca="1" t="shared" si="1702"/>
        <v>0</v>
      </c>
    </row>
    <row r="1839" ht="24" customHeight="1" spans="1:17">
      <c r="A1839" s="99" t="s">
        <v>349</v>
      </c>
      <c r="B1839" s="99" t="s">
        <v>299</v>
      </c>
      <c r="C1839" s="99" t="s">
        <v>343</v>
      </c>
      <c r="D1839" s="48" t="s">
        <v>321</v>
      </c>
      <c r="E1839" s="48" t="s">
        <v>83</v>
      </c>
      <c r="F1839" s="112" t="str">
        <f ca="1" t="shared" ref="F1839:Q1839" si="1703">IFERROR(F1832/F1825," ")</f>
        <v> </v>
      </c>
      <c r="G1839" s="112" t="str">
        <f ca="1" t="shared" si="1703"/>
        <v> </v>
      </c>
      <c r="H1839" s="112">
        <f ca="1" t="shared" si="1703"/>
        <v>0</v>
      </c>
      <c r="I1839" s="112">
        <f ca="1" t="shared" si="1703"/>
        <v>0</v>
      </c>
      <c r="J1839" s="112">
        <f ca="1" t="shared" si="1703"/>
        <v>0</v>
      </c>
      <c r="K1839" s="112">
        <f ca="1" t="shared" si="1703"/>
        <v>0</v>
      </c>
      <c r="L1839" s="112">
        <f ca="1" t="shared" si="1703"/>
        <v>0</v>
      </c>
      <c r="M1839" s="112">
        <f ca="1" t="shared" si="1703"/>
        <v>0</v>
      </c>
      <c r="N1839" s="112">
        <f ca="1" t="shared" si="1703"/>
        <v>0</v>
      </c>
      <c r="O1839" s="112">
        <f ca="1" t="shared" si="1703"/>
        <v>0</v>
      </c>
      <c r="P1839" s="112">
        <f ca="1" t="shared" si="1703"/>
        <v>0</v>
      </c>
      <c r="Q1839" s="112">
        <f ca="1" t="shared" si="1703"/>
        <v>0</v>
      </c>
    </row>
    <row r="1840" ht="24" customHeight="1" spans="1:17">
      <c r="A1840" s="99" t="s">
        <v>349</v>
      </c>
      <c r="B1840" s="99" t="s">
        <v>299</v>
      </c>
      <c r="C1840" s="99" t="s">
        <v>343</v>
      </c>
      <c r="D1840" s="47" t="s">
        <v>294</v>
      </c>
      <c r="E1840" s="47" t="s">
        <v>93</v>
      </c>
      <c r="F1840" s="64">
        <f ca="1" t="shared" ref="F1840:F1844" si="1704">IF($S$1&lt;DATE(2025,1,1)," ",F1781)</f>
        <v>0</v>
      </c>
      <c r="G1840" s="64">
        <f ca="1" t="shared" ref="G1840:G1844" si="1705">IF($S$1&lt;DATE(2025,2,1)," ",G1781+F1840)</f>
        <v>0</v>
      </c>
      <c r="H1840" s="64">
        <f ca="1" t="shared" ref="H1840:H1844" si="1706">IF($S$1&lt;DATE(2025,3,1)," ",H1781+G1840)</f>
        <v>0</v>
      </c>
      <c r="I1840" s="64">
        <f ca="1" t="shared" ref="I1840:I1844" si="1707">IF($S$1&lt;DATE(2025,4,1)," ",I1781+H1840)</f>
        <v>0</v>
      </c>
      <c r="J1840" s="64">
        <f ca="1" t="shared" ref="J1840:J1844" si="1708">IF($S$1&lt;DATE(2025,5,1)," ",J1781+I1840)</f>
        <v>0</v>
      </c>
      <c r="K1840" s="64">
        <f ca="1" t="shared" ref="K1840:K1844" si="1709">IF($S$1&lt;DATE(2025,6,1)," ",K1781+J1840)</f>
        <v>0</v>
      </c>
      <c r="L1840" s="64">
        <f ca="1" t="shared" ref="L1840:L1844" si="1710">IF($S$1&lt;DATE(2025,7,1)," ",L1781+K1840)</f>
        <v>0</v>
      </c>
      <c r="M1840" s="64">
        <f ca="1" t="shared" ref="M1840:M1844" si="1711">IF($S$1&lt;DATE(2025,8,1)," ",M1781+L1840)</f>
        <v>0.0889</v>
      </c>
      <c r="N1840" s="64">
        <f ca="1" t="shared" ref="N1840:N1844" si="1712">IF($S$1&lt;DATE(2025,9,1)," ",N1781+M1840)</f>
        <v>0.9888</v>
      </c>
      <c r="O1840" s="64">
        <f ca="1" t="shared" ref="O1840:O1844" si="1713">IF($S$1&lt;DATE(2025,10,1)," ",O1781+N1840)</f>
        <v>2.09306</v>
      </c>
      <c r="P1840" s="64">
        <f ca="1" t="shared" ref="P1840:P1844" si="1714">IF($S$1&lt;DATE(2025,11,1)," ",P1781+O1840)</f>
        <v>6.037469</v>
      </c>
      <c r="Q1840" s="64">
        <f ca="1" t="shared" ref="Q1840:Q1844" si="1715">IF($S$1&lt;DATE(2025,12,1)," ",Q1781+P1840)</f>
        <v>6.037469</v>
      </c>
    </row>
    <row r="1841" ht="24" customHeight="1" spans="1:17">
      <c r="A1841" s="99" t="s">
        <v>349</v>
      </c>
      <c r="B1841" s="99" t="s">
        <v>299</v>
      </c>
      <c r="C1841" s="99" t="s">
        <v>343</v>
      </c>
      <c r="D1841" s="47" t="s">
        <v>294</v>
      </c>
      <c r="E1841" s="47" t="s">
        <v>85</v>
      </c>
      <c r="F1841" s="64">
        <f ca="1" t="shared" si="1704"/>
        <v>0</v>
      </c>
      <c r="G1841" s="64">
        <f ca="1" t="shared" si="1705"/>
        <v>0</v>
      </c>
      <c r="H1841" s="64">
        <f ca="1" t="shared" si="1706"/>
        <v>0.7056</v>
      </c>
      <c r="I1841" s="64">
        <f ca="1" t="shared" si="1707"/>
        <v>0.7056</v>
      </c>
      <c r="J1841" s="64">
        <f ca="1" t="shared" si="1708"/>
        <v>0.7056</v>
      </c>
      <c r="K1841" s="64">
        <f ca="1" t="shared" si="1709"/>
        <v>0.7056</v>
      </c>
      <c r="L1841" s="64">
        <f ca="1" t="shared" si="1710"/>
        <v>1.8607</v>
      </c>
      <c r="M1841" s="64">
        <f ca="1" t="shared" si="1711"/>
        <v>1.8607</v>
      </c>
      <c r="N1841" s="64">
        <f ca="1" t="shared" si="1712"/>
        <v>1.8607</v>
      </c>
      <c r="O1841" s="64">
        <f ca="1" t="shared" si="1713"/>
        <v>1.8607</v>
      </c>
      <c r="P1841" s="64">
        <f ca="1" t="shared" si="1714"/>
        <v>1.8607</v>
      </c>
      <c r="Q1841" s="64">
        <f ca="1" t="shared" si="1715"/>
        <v>1.8607</v>
      </c>
    </row>
    <row r="1842" ht="24" customHeight="1" spans="1:17">
      <c r="A1842" s="99" t="s">
        <v>349</v>
      </c>
      <c r="B1842" s="99" t="s">
        <v>299</v>
      </c>
      <c r="C1842" s="99" t="s">
        <v>343</v>
      </c>
      <c r="D1842" s="47" t="s">
        <v>294</v>
      </c>
      <c r="E1842" s="47" t="s">
        <v>81</v>
      </c>
      <c r="F1842" s="64">
        <f ca="1" t="shared" si="1704"/>
        <v>0</v>
      </c>
      <c r="G1842" s="64">
        <f ca="1" t="shared" si="1705"/>
        <v>0</v>
      </c>
      <c r="H1842" s="64">
        <f ca="1" t="shared" si="1706"/>
        <v>0</v>
      </c>
      <c r="I1842" s="64">
        <f ca="1" t="shared" si="1707"/>
        <v>0</v>
      </c>
      <c r="J1842" s="64">
        <f ca="1" t="shared" si="1708"/>
        <v>0</v>
      </c>
      <c r="K1842" s="64">
        <f ca="1" t="shared" si="1709"/>
        <v>0</v>
      </c>
      <c r="L1842" s="64">
        <f ca="1" t="shared" si="1710"/>
        <v>0</v>
      </c>
      <c r="M1842" s="64">
        <f ca="1" t="shared" si="1711"/>
        <v>1.18652</v>
      </c>
      <c r="N1842" s="64">
        <f ca="1" t="shared" si="1712"/>
        <v>1.656385</v>
      </c>
      <c r="O1842" s="64">
        <f ca="1" t="shared" si="1713"/>
        <v>1.656385</v>
      </c>
      <c r="P1842" s="64">
        <f ca="1" t="shared" si="1714"/>
        <v>1.656385</v>
      </c>
      <c r="Q1842" s="64">
        <f ca="1" t="shared" si="1715"/>
        <v>1.656385</v>
      </c>
    </row>
    <row r="1843" ht="24" customHeight="1" spans="1:17">
      <c r="A1843" s="99" t="s">
        <v>349</v>
      </c>
      <c r="B1843" s="99" t="s">
        <v>299</v>
      </c>
      <c r="C1843" s="99" t="s">
        <v>343</v>
      </c>
      <c r="D1843" s="47" t="s">
        <v>294</v>
      </c>
      <c r="E1843" s="47" t="s">
        <v>96</v>
      </c>
      <c r="F1843" s="64">
        <f ca="1" t="shared" si="1704"/>
        <v>0</v>
      </c>
      <c r="G1843" s="64">
        <f ca="1" t="shared" si="1705"/>
        <v>0</v>
      </c>
      <c r="H1843" s="64">
        <f ca="1" t="shared" si="1706"/>
        <v>0</v>
      </c>
      <c r="I1843" s="64">
        <f ca="1" t="shared" si="1707"/>
        <v>0</v>
      </c>
      <c r="J1843" s="64">
        <f ca="1" t="shared" si="1708"/>
        <v>0</v>
      </c>
      <c r="K1843" s="64">
        <f ca="1" t="shared" si="1709"/>
        <v>0</v>
      </c>
      <c r="L1843" s="64">
        <f ca="1" t="shared" si="1710"/>
        <v>0</v>
      </c>
      <c r="M1843" s="64">
        <f ca="1" t="shared" si="1711"/>
        <v>0</v>
      </c>
      <c r="N1843" s="64">
        <f ca="1" t="shared" si="1712"/>
        <v>0</v>
      </c>
      <c r="O1843" s="64">
        <f ca="1" t="shared" si="1713"/>
        <v>0</v>
      </c>
      <c r="P1843" s="64">
        <f ca="1" t="shared" si="1714"/>
        <v>0</v>
      </c>
      <c r="Q1843" s="64">
        <f ca="1" t="shared" si="1715"/>
        <v>0</v>
      </c>
    </row>
    <row r="1844" ht="24" customHeight="1" spans="1:17">
      <c r="A1844" s="99" t="s">
        <v>349</v>
      </c>
      <c r="B1844" s="99" t="s">
        <v>299</v>
      </c>
      <c r="C1844" s="99" t="s">
        <v>343</v>
      </c>
      <c r="D1844" s="47" t="s">
        <v>294</v>
      </c>
      <c r="E1844" s="47" t="s">
        <v>160</v>
      </c>
      <c r="F1844" s="64">
        <f ca="1" t="shared" si="1704"/>
        <v>0</v>
      </c>
      <c r="G1844" s="64">
        <f ca="1" t="shared" si="1705"/>
        <v>0</v>
      </c>
      <c r="H1844" s="64">
        <f ca="1" t="shared" si="1706"/>
        <v>0</v>
      </c>
      <c r="I1844" s="64">
        <f ca="1" t="shared" si="1707"/>
        <v>0</v>
      </c>
      <c r="J1844" s="64">
        <f ca="1" t="shared" si="1708"/>
        <v>0</v>
      </c>
      <c r="K1844" s="64">
        <f ca="1" t="shared" si="1709"/>
        <v>0</v>
      </c>
      <c r="L1844" s="64">
        <f ca="1" t="shared" si="1710"/>
        <v>0</v>
      </c>
      <c r="M1844" s="64">
        <f ca="1" t="shared" si="1711"/>
        <v>0</v>
      </c>
      <c r="N1844" s="64">
        <f ca="1" t="shared" si="1712"/>
        <v>0</v>
      </c>
      <c r="O1844" s="64">
        <f ca="1" t="shared" si="1713"/>
        <v>0</v>
      </c>
      <c r="P1844" s="64">
        <f ca="1" t="shared" si="1714"/>
        <v>0</v>
      </c>
      <c r="Q1844" s="64">
        <f ca="1" t="shared" si="1715"/>
        <v>0</v>
      </c>
    </row>
    <row r="1845" ht="24" customHeight="1" spans="1:17">
      <c r="A1845" s="99" t="s">
        <v>349</v>
      </c>
      <c r="B1845" s="99" t="s">
        <v>299</v>
      </c>
      <c r="C1845" s="99" t="s">
        <v>343</v>
      </c>
      <c r="D1845" s="47" t="s">
        <v>321</v>
      </c>
      <c r="E1845" s="47" t="s">
        <v>93</v>
      </c>
      <c r="F1845" s="126" t="str">
        <f ca="1" t="shared" ref="F1845:Q1845" si="1716">IFERROR(F1840/F1825," ")</f>
        <v> </v>
      </c>
      <c r="G1845" s="126" t="str">
        <f ca="1" t="shared" si="1716"/>
        <v> </v>
      </c>
      <c r="H1845" s="126">
        <f ca="1" t="shared" si="1716"/>
        <v>0</v>
      </c>
      <c r="I1845" s="126">
        <f ca="1" t="shared" si="1716"/>
        <v>0</v>
      </c>
      <c r="J1845" s="126">
        <f ca="1" t="shared" si="1716"/>
        <v>0</v>
      </c>
      <c r="K1845" s="126">
        <f ca="1" t="shared" si="1716"/>
        <v>0</v>
      </c>
      <c r="L1845" s="126">
        <f ca="1" t="shared" si="1716"/>
        <v>0</v>
      </c>
      <c r="M1845" s="126">
        <f ca="1" t="shared" si="1716"/>
        <v>0.0283471295741234</v>
      </c>
      <c r="N1845" s="126">
        <f ca="1" t="shared" si="1716"/>
        <v>0.219446346278256</v>
      </c>
      <c r="O1845" s="126">
        <f ca="1" t="shared" si="1716"/>
        <v>0.373084831140728</v>
      </c>
      <c r="P1845" s="126">
        <f ca="1" t="shared" si="1716"/>
        <v>0.631894382511209</v>
      </c>
      <c r="Q1845" s="126">
        <f ca="1" t="shared" si="1716"/>
        <v>0.631894382511209</v>
      </c>
    </row>
    <row r="1846" ht="24" customHeight="1" spans="1:17">
      <c r="A1846" s="99" t="s">
        <v>349</v>
      </c>
      <c r="B1846" s="99" t="s">
        <v>299</v>
      </c>
      <c r="C1846" s="99" t="s">
        <v>343</v>
      </c>
      <c r="D1846" s="47" t="s">
        <v>321</v>
      </c>
      <c r="E1846" s="47" t="s">
        <v>85</v>
      </c>
      <c r="F1846" s="126" t="str">
        <f ca="1" t="shared" ref="F1846:Q1846" si="1717">IFERROR(F1841/F1825," ")</f>
        <v> </v>
      </c>
      <c r="G1846" s="126" t="str">
        <f ca="1" t="shared" si="1717"/>
        <v> </v>
      </c>
      <c r="H1846" s="126">
        <f ca="1" t="shared" si="1717"/>
        <v>1</v>
      </c>
      <c r="I1846" s="126">
        <f ca="1" t="shared" si="1717"/>
        <v>1</v>
      </c>
      <c r="J1846" s="126">
        <f ca="1" t="shared" si="1717"/>
        <v>1</v>
      </c>
      <c r="K1846" s="126">
        <f ca="1" t="shared" si="1717"/>
        <v>1</v>
      </c>
      <c r="L1846" s="126">
        <f ca="1" t="shared" si="1717"/>
        <v>1</v>
      </c>
      <c r="M1846" s="126">
        <f ca="1" t="shared" si="1717"/>
        <v>0.593312755889443</v>
      </c>
      <c r="N1846" s="126">
        <f ca="1" t="shared" si="1717"/>
        <v>0.412948843567912</v>
      </c>
      <c r="O1846" s="126">
        <f ca="1" t="shared" si="1717"/>
        <v>0.331667006824244</v>
      </c>
      <c r="P1846" s="126">
        <f ca="1" t="shared" si="1717"/>
        <v>0.194744830580266</v>
      </c>
      <c r="Q1846" s="126">
        <f ca="1" t="shared" si="1717"/>
        <v>0.194744830580266</v>
      </c>
    </row>
    <row r="1847" ht="24" customHeight="1" spans="1:17">
      <c r="A1847" s="99" t="s">
        <v>349</v>
      </c>
      <c r="B1847" s="99" t="s">
        <v>299</v>
      </c>
      <c r="C1847" s="99" t="s">
        <v>343</v>
      </c>
      <c r="D1847" s="47" t="s">
        <v>321</v>
      </c>
      <c r="E1847" s="47" t="s">
        <v>81</v>
      </c>
      <c r="F1847" s="126" t="str">
        <f ca="1" t="shared" ref="F1847:Q1847" si="1718">IFERROR(F1842/F1825," ")</f>
        <v> </v>
      </c>
      <c r="G1847" s="126" t="str">
        <f ca="1" t="shared" si="1718"/>
        <v> </v>
      </c>
      <c r="H1847" s="126">
        <f ca="1" t="shared" si="1718"/>
        <v>0</v>
      </c>
      <c r="I1847" s="126">
        <f ca="1" t="shared" si="1718"/>
        <v>0</v>
      </c>
      <c r="J1847" s="126">
        <f ca="1" t="shared" si="1718"/>
        <v>0</v>
      </c>
      <c r="K1847" s="126">
        <f ca="1" t="shared" si="1718"/>
        <v>0</v>
      </c>
      <c r="L1847" s="126">
        <f ca="1" t="shared" si="1718"/>
        <v>0</v>
      </c>
      <c r="M1847" s="126">
        <f ca="1" t="shared" si="1718"/>
        <v>0.378340114536434</v>
      </c>
      <c r="N1847" s="126">
        <f ca="1" t="shared" si="1718"/>
        <v>0.367604810153832</v>
      </c>
      <c r="O1847" s="126">
        <f ca="1" t="shared" si="1718"/>
        <v>0.295248162035028</v>
      </c>
      <c r="P1847" s="126">
        <f ca="1" t="shared" si="1718"/>
        <v>0.173360786908526</v>
      </c>
      <c r="Q1847" s="126">
        <f ca="1" t="shared" si="1718"/>
        <v>0.173360786908526</v>
      </c>
    </row>
    <row r="1848" ht="24" customHeight="1" spans="1:17">
      <c r="A1848" s="99" t="s">
        <v>349</v>
      </c>
      <c r="B1848" s="99" t="s">
        <v>299</v>
      </c>
      <c r="C1848" s="99" t="s">
        <v>343</v>
      </c>
      <c r="D1848" s="47" t="s">
        <v>321</v>
      </c>
      <c r="E1848" s="47" t="s">
        <v>96</v>
      </c>
      <c r="F1848" s="126" t="str">
        <f ca="1" t="shared" ref="F1848:Q1848" si="1719">IFERROR(F1843/F1825," ")</f>
        <v> </v>
      </c>
      <c r="G1848" s="126" t="str">
        <f ca="1" t="shared" si="1719"/>
        <v> </v>
      </c>
      <c r="H1848" s="126">
        <f ca="1" t="shared" si="1719"/>
        <v>0</v>
      </c>
      <c r="I1848" s="126">
        <f ca="1" t="shared" si="1719"/>
        <v>0</v>
      </c>
      <c r="J1848" s="126">
        <f ca="1" t="shared" si="1719"/>
        <v>0</v>
      </c>
      <c r="K1848" s="126">
        <f ca="1" t="shared" si="1719"/>
        <v>0</v>
      </c>
      <c r="L1848" s="126">
        <f ca="1" t="shared" si="1719"/>
        <v>0</v>
      </c>
      <c r="M1848" s="126">
        <f ca="1" t="shared" si="1719"/>
        <v>0</v>
      </c>
      <c r="N1848" s="126">
        <f ca="1" t="shared" si="1719"/>
        <v>0</v>
      </c>
      <c r="O1848" s="126">
        <f ca="1" t="shared" si="1719"/>
        <v>0</v>
      </c>
      <c r="P1848" s="126">
        <f ca="1" t="shared" si="1719"/>
        <v>0</v>
      </c>
      <c r="Q1848" s="126">
        <f ca="1" t="shared" si="1719"/>
        <v>0</v>
      </c>
    </row>
    <row r="1849" ht="24" customHeight="1" spans="1:17">
      <c r="A1849" s="99" t="s">
        <v>349</v>
      </c>
      <c r="B1849" s="99" t="s">
        <v>299</v>
      </c>
      <c r="C1849" s="99" t="s">
        <v>343</v>
      </c>
      <c r="D1849" s="47" t="s">
        <v>321</v>
      </c>
      <c r="E1849" s="47" t="s">
        <v>160</v>
      </c>
      <c r="F1849" s="126" t="str">
        <f ca="1" t="shared" ref="F1849:Q1849" si="1720">IFERROR(F1844/F1825," ")</f>
        <v> </v>
      </c>
      <c r="G1849" s="126" t="str">
        <f ca="1" t="shared" si="1720"/>
        <v> </v>
      </c>
      <c r="H1849" s="126">
        <f ca="1" t="shared" si="1720"/>
        <v>0</v>
      </c>
      <c r="I1849" s="126">
        <f ca="1" t="shared" si="1720"/>
        <v>0</v>
      </c>
      <c r="J1849" s="126">
        <f ca="1" t="shared" si="1720"/>
        <v>0</v>
      </c>
      <c r="K1849" s="126">
        <f ca="1" t="shared" si="1720"/>
        <v>0</v>
      </c>
      <c r="L1849" s="126">
        <f ca="1" t="shared" si="1720"/>
        <v>0</v>
      </c>
      <c r="M1849" s="126">
        <f ca="1" t="shared" si="1720"/>
        <v>0</v>
      </c>
      <c r="N1849" s="126">
        <f ca="1" t="shared" si="1720"/>
        <v>0</v>
      </c>
      <c r="O1849" s="126">
        <f ca="1" t="shared" si="1720"/>
        <v>0</v>
      </c>
      <c r="P1849" s="126">
        <f ca="1" t="shared" si="1720"/>
        <v>0</v>
      </c>
      <c r="Q1849" s="126">
        <f ca="1" t="shared" si="1720"/>
        <v>0</v>
      </c>
    </row>
    <row r="1850" ht="24" customHeight="1" spans="1:17">
      <c r="A1850" s="99" t="s">
        <v>349</v>
      </c>
      <c r="B1850" s="99" t="s">
        <v>299</v>
      </c>
      <c r="C1850" s="99" t="s">
        <v>344</v>
      </c>
      <c r="D1850" s="114" t="s">
        <v>292</v>
      </c>
      <c r="E1850" s="114" t="s">
        <v>320</v>
      </c>
      <c r="F1850" s="215">
        <f ca="1">IF($S$1&lt;DATE(2025,1,1)," ",IF(SUM(F1851:F1857)&lt;&gt;SUM(F1865:F1869),"ERR",SUM(F1851:F1857)))</f>
        <v>0</v>
      </c>
      <c r="G1850" s="215">
        <f ca="1">IF($S$1&lt;DATE(2025,2,1)," ",IF(SUM(G1851:G1857)&lt;&gt;SUM(G1865:G1869),"ERR",SUM(G1851:G1857)))</f>
        <v>0</v>
      </c>
      <c r="H1850" s="215">
        <f ca="1">IF($S$1&lt;DATE(2025,3,1)," ",IF(SUM(H1851:H1857)&lt;&gt;SUM(H1865:H1869),"ERR",SUM(H1851:H1857)))</f>
        <v>0.7179</v>
      </c>
      <c r="I1850" s="215">
        <f ca="1">IF($S$1&lt;DATE(2025,4,1)," ",IF(SUM(I1851:I1857)&lt;&gt;SUM(I1865:I1869),"ERR",SUM(I1851:I1857)))</f>
        <v>0.7179</v>
      </c>
      <c r="J1850" s="215">
        <f ca="1">IF($S$1&lt;DATE(2025,5,1)," ",IF(SUM(J1851:J1857)&lt;&gt;SUM(J1865:J1869),"ERR",SUM(J1851:J1857)))</f>
        <v>0.7179</v>
      </c>
      <c r="K1850" s="215">
        <f ca="1">IF($S$1&lt;DATE(2025,6,1)," ",IF(SUM(K1851:K1857)&lt;&gt;SUM(K1865:K1869),"ERR",SUM(K1851:K1857)))</f>
        <v>0.7179</v>
      </c>
      <c r="L1850" s="215">
        <f ca="1">IF($S$1&lt;DATE(2025,7,1)," ",IF(SUM(L1851:L1857)&lt;&gt;SUM(L1865:L1869),"ERR",SUM(L1851:L1857)))</f>
        <v>1.8908</v>
      </c>
      <c r="M1850" s="215">
        <f ca="1">IF($S$1&lt;DATE(2025,8,1)," ",IF(SUM(M1851:M1857)&lt;&gt;SUM(M1865:M1869),"ERR",SUM(M1851:M1857)))</f>
        <v>3.18783</v>
      </c>
      <c r="N1850" s="215">
        <f ca="1">IF($S$1&lt;DATE(2025,9,1)," ",IF(SUM(N1851:N1857)&lt;&gt;SUM(N1865:N1869),"ERR",SUM(N1851:N1857)))</f>
        <v>4.580481</v>
      </c>
      <c r="O1850" s="215">
        <f ca="1">IF($S$1&lt;DATE(2025,10,1)," ",IF(SUM(O1851:O1857)&lt;&gt;SUM(O1865:O1869),"ERR",SUM(O1851:O1857)))</f>
        <v>5.701121</v>
      </c>
      <c r="P1850" s="215">
        <f ca="1">IF($S$1&lt;DATE(2025,11,1)," ",IF(SUM(P1851:P1857)&lt;&gt;SUM(P1865:P1869),"ERR",SUM(P1851:P1857)))</f>
        <v>9.710118</v>
      </c>
      <c r="Q1850" s="215">
        <f ca="1">IF($S$1&lt;DATE(2025,12,1)," ",IF(SUM(Q1851:Q1857)&lt;&gt;SUM(Q1865:Q1869),"ERR",SUM(Q1851:Q1857)))</f>
        <v>9.710118</v>
      </c>
    </row>
    <row r="1851" ht="24" customHeight="1" spans="1:17">
      <c r="A1851" s="99" t="s">
        <v>349</v>
      </c>
      <c r="B1851" s="99" t="s">
        <v>299</v>
      </c>
      <c r="C1851" s="99" t="s">
        <v>344</v>
      </c>
      <c r="D1851" s="48" t="s">
        <v>31</v>
      </c>
      <c r="E1851" s="48" t="s">
        <v>90</v>
      </c>
      <c r="F1851" s="51">
        <f ca="1" t="shared" ref="F1851:F1857" si="1721">IF($S$1&lt;DATE(2025,1,1)," ",F1794)</f>
        <v>0</v>
      </c>
      <c r="G1851" s="51">
        <f ca="1" t="shared" ref="G1851:G1857" si="1722">IF($S$1&lt;DATE(2025,2,1)," ",G1794+F1851)</f>
        <v>0</v>
      </c>
      <c r="H1851" s="51">
        <f ca="1" t="shared" ref="H1851:H1857" si="1723">IF($S$1&lt;DATE(2025,3,1)," ",H1794+G1851)</f>
        <v>0</v>
      </c>
      <c r="I1851" s="51">
        <f ca="1" t="shared" ref="I1851:I1857" si="1724">IF($S$1&lt;DATE(2025,4,1)," ",I1794+H1851)</f>
        <v>0</v>
      </c>
      <c r="J1851" s="51">
        <f ca="1" t="shared" ref="J1851:J1857" si="1725">IF($S$1&lt;DATE(2025,5,1)," ",J1794+I1851)</f>
        <v>0</v>
      </c>
      <c r="K1851" s="51">
        <f ca="1" t="shared" ref="K1851:K1857" si="1726">IF($S$1&lt;DATE(2025,6,1)," ",K1794+J1851)</f>
        <v>0</v>
      </c>
      <c r="L1851" s="51">
        <f ca="1" t="shared" ref="L1851:L1857" si="1727">IF($S$1&lt;DATE(2025,7,1)," ",L1794+K1851)</f>
        <v>0</v>
      </c>
      <c r="M1851" s="51">
        <f ca="1" t="shared" ref="M1851:M1857" si="1728">IF($S$1&lt;DATE(2025,8,1)," ",M1794+L1851)</f>
        <v>0</v>
      </c>
      <c r="N1851" s="51">
        <f ca="1" t="shared" ref="N1851:N1857" si="1729">IF($S$1&lt;DATE(2025,9,1)," ",N1794+M1851)</f>
        <v>0</v>
      </c>
      <c r="O1851" s="51">
        <f ca="1" t="shared" ref="O1851:O1857" si="1730">IF($S$1&lt;DATE(2025,10,1)," ",O1794+N1851)</f>
        <v>1.12064</v>
      </c>
      <c r="P1851" s="51">
        <f ca="1" t="shared" ref="P1851:P1857" si="1731">IF($S$1&lt;DATE(2025,11,1)," ",P1794+O1851)</f>
        <v>1.12064</v>
      </c>
      <c r="Q1851" s="51">
        <f ca="1" t="shared" ref="Q1851:Q1857" si="1732">IF($S$1&lt;DATE(2025,12,1)," ",Q1794+P1851)</f>
        <v>1.12064</v>
      </c>
    </row>
    <row r="1852" ht="24" customHeight="1" spans="1:17">
      <c r="A1852" s="99" t="s">
        <v>349</v>
      </c>
      <c r="B1852" s="99" t="s">
        <v>299</v>
      </c>
      <c r="C1852" s="99" t="s">
        <v>344</v>
      </c>
      <c r="D1852" s="48" t="s">
        <v>31</v>
      </c>
      <c r="E1852" s="48" t="s">
        <v>82</v>
      </c>
      <c r="F1852" s="51">
        <f ca="1" t="shared" si="1721"/>
        <v>0</v>
      </c>
      <c r="G1852" s="51">
        <f ca="1" t="shared" si="1722"/>
        <v>0</v>
      </c>
      <c r="H1852" s="51">
        <f ca="1" t="shared" si="1723"/>
        <v>0</v>
      </c>
      <c r="I1852" s="51">
        <f ca="1" t="shared" si="1724"/>
        <v>0</v>
      </c>
      <c r="J1852" s="51">
        <f ca="1" t="shared" si="1725"/>
        <v>0</v>
      </c>
      <c r="K1852" s="51">
        <f ca="1" t="shared" si="1726"/>
        <v>0</v>
      </c>
      <c r="L1852" s="51">
        <f ca="1" t="shared" si="1727"/>
        <v>0</v>
      </c>
      <c r="M1852" s="51">
        <f ca="1" t="shared" si="1728"/>
        <v>0</v>
      </c>
      <c r="N1852" s="51">
        <f ca="1" t="shared" si="1729"/>
        <v>0</v>
      </c>
      <c r="O1852" s="51">
        <f ca="1" t="shared" si="1730"/>
        <v>0</v>
      </c>
      <c r="P1852" s="51">
        <f ca="1" t="shared" si="1731"/>
        <v>0</v>
      </c>
      <c r="Q1852" s="51">
        <f ca="1" t="shared" si="1732"/>
        <v>0</v>
      </c>
    </row>
    <row r="1853" ht="24" customHeight="1" spans="1:17">
      <c r="A1853" s="99" t="s">
        <v>349</v>
      </c>
      <c r="B1853" s="99" t="s">
        <v>299</v>
      </c>
      <c r="C1853" s="99" t="s">
        <v>344</v>
      </c>
      <c r="D1853" s="48" t="s">
        <v>31</v>
      </c>
      <c r="E1853" s="48" t="s">
        <v>86</v>
      </c>
      <c r="F1853" s="51">
        <f ca="1" t="shared" si="1721"/>
        <v>0</v>
      </c>
      <c r="G1853" s="51">
        <f ca="1" t="shared" si="1722"/>
        <v>0</v>
      </c>
      <c r="H1853" s="51">
        <f ca="1" t="shared" si="1723"/>
        <v>0</v>
      </c>
      <c r="I1853" s="51">
        <f ca="1" t="shared" si="1724"/>
        <v>0</v>
      </c>
      <c r="J1853" s="51">
        <f ca="1" t="shared" si="1725"/>
        <v>0</v>
      </c>
      <c r="K1853" s="51">
        <f ca="1" t="shared" si="1726"/>
        <v>0</v>
      </c>
      <c r="L1853" s="51">
        <f ca="1" t="shared" si="1727"/>
        <v>0</v>
      </c>
      <c r="M1853" s="51">
        <f ca="1" t="shared" si="1728"/>
        <v>0</v>
      </c>
      <c r="N1853" s="51">
        <f ca="1" t="shared" si="1729"/>
        <v>0.477251</v>
      </c>
      <c r="O1853" s="51">
        <f ca="1" t="shared" si="1730"/>
        <v>0.477251</v>
      </c>
      <c r="P1853" s="51">
        <f ca="1" t="shared" si="1731"/>
        <v>0.477251</v>
      </c>
      <c r="Q1853" s="51">
        <f ca="1" t="shared" si="1732"/>
        <v>0.477251</v>
      </c>
    </row>
    <row r="1854" ht="24" customHeight="1" spans="1:17">
      <c r="A1854" s="99" t="s">
        <v>349</v>
      </c>
      <c r="B1854" s="99" t="s">
        <v>299</v>
      </c>
      <c r="C1854" s="99" t="s">
        <v>344</v>
      </c>
      <c r="D1854" s="48" t="s">
        <v>31</v>
      </c>
      <c r="E1854" s="48" t="s">
        <v>97</v>
      </c>
      <c r="F1854" s="51">
        <f ca="1" t="shared" si="1721"/>
        <v>0</v>
      </c>
      <c r="G1854" s="51">
        <f ca="1" t="shared" si="1722"/>
        <v>0</v>
      </c>
      <c r="H1854" s="51">
        <f ca="1" t="shared" si="1723"/>
        <v>0</v>
      </c>
      <c r="I1854" s="51">
        <f ca="1" t="shared" si="1724"/>
        <v>0</v>
      </c>
      <c r="J1854" s="51">
        <f ca="1" t="shared" si="1725"/>
        <v>0</v>
      </c>
      <c r="K1854" s="51">
        <f ca="1" t="shared" si="1726"/>
        <v>0</v>
      </c>
      <c r="L1854" s="51">
        <f ca="1" t="shared" si="1727"/>
        <v>0</v>
      </c>
      <c r="M1854" s="51">
        <f ca="1" t="shared" si="1728"/>
        <v>0</v>
      </c>
      <c r="N1854" s="51">
        <f ca="1" t="shared" si="1729"/>
        <v>0</v>
      </c>
      <c r="O1854" s="51">
        <f ca="1" t="shared" si="1730"/>
        <v>0</v>
      </c>
      <c r="P1854" s="51">
        <f ca="1" t="shared" si="1731"/>
        <v>4.008997</v>
      </c>
      <c r="Q1854" s="51">
        <f ca="1" t="shared" si="1732"/>
        <v>4.008997</v>
      </c>
    </row>
    <row r="1855" ht="24" customHeight="1" spans="1:17">
      <c r="A1855" s="99" t="s">
        <v>349</v>
      </c>
      <c r="B1855" s="99" t="s">
        <v>299</v>
      </c>
      <c r="C1855" s="99" t="s">
        <v>344</v>
      </c>
      <c r="D1855" s="48" t="s">
        <v>31</v>
      </c>
      <c r="E1855" s="48" t="s">
        <v>87</v>
      </c>
      <c r="F1855" s="51">
        <f ca="1" t="shared" si="1721"/>
        <v>0</v>
      </c>
      <c r="G1855" s="51">
        <f ca="1" t="shared" si="1722"/>
        <v>0</v>
      </c>
      <c r="H1855" s="51">
        <f ca="1" t="shared" si="1723"/>
        <v>0.7179</v>
      </c>
      <c r="I1855" s="51">
        <f ca="1" t="shared" si="1724"/>
        <v>0.7179</v>
      </c>
      <c r="J1855" s="51">
        <f ca="1" t="shared" si="1725"/>
        <v>0.7179</v>
      </c>
      <c r="K1855" s="51">
        <f ca="1" t="shared" si="1726"/>
        <v>0.7179</v>
      </c>
      <c r="L1855" s="51">
        <f ca="1" t="shared" si="1727"/>
        <v>1.8908</v>
      </c>
      <c r="M1855" s="51">
        <f ca="1" t="shared" si="1728"/>
        <v>3.18783</v>
      </c>
      <c r="N1855" s="51">
        <f ca="1" t="shared" si="1729"/>
        <v>4.10323</v>
      </c>
      <c r="O1855" s="51">
        <f ca="1" t="shared" si="1730"/>
        <v>4.10323</v>
      </c>
      <c r="P1855" s="51">
        <f ca="1" t="shared" si="1731"/>
        <v>4.10323</v>
      </c>
      <c r="Q1855" s="51">
        <f ca="1" t="shared" si="1732"/>
        <v>4.10323</v>
      </c>
    </row>
    <row r="1856" ht="24" customHeight="1" spans="1:17">
      <c r="A1856" s="99" t="s">
        <v>349</v>
      </c>
      <c r="B1856" s="99" t="s">
        <v>299</v>
      </c>
      <c r="C1856" s="99" t="s">
        <v>344</v>
      </c>
      <c r="D1856" s="48" t="s">
        <v>31</v>
      </c>
      <c r="E1856" s="48" t="s">
        <v>149</v>
      </c>
      <c r="F1856" s="51">
        <f ca="1" t="shared" si="1721"/>
        <v>0</v>
      </c>
      <c r="G1856" s="51">
        <f ca="1" t="shared" si="1722"/>
        <v>0</v>
      </c>
      <c r="H1856" s="51">
        <f ca="1" t="shared" si="1723"/>
        <v>0</v>
      </c>
      <c r="I1856" s="51">
        <f ca="1" t="shared" si="1724"/>
        <v>0</v>
      </c>
      <c r="J1856" s="51">
        <f ca="1" t="shared" si="1725"/>
        <v>0</v>
      </c>
      <c r="K1856" s="51">
        <f ca="1" t="shared" si="1726"/>
        <v>0</v>
      </c>
      <c r="L1856" s="51">
        <f ca="1" t="shared" si="1727"/>
        <v>0</v>
      </c>
      <c r="M1856" s="51">
        <f ca="1" t="shared" si="1728"/>
        <v>0</v>
      </c>
      <c r="N1856" s="51">
        <f ca="1" t="shared" si="1729"/>
        <v>0</v>
      </c>
      <c r="O1856" s="51">
        <f ca="1" t="shared" si="1730"/>
        <v>0</v>
      </c>
      <c r="P1856" s="51">
        <f ca="1" t="shared" si="1731"/>
        <v>0</v>
      </c>
      <c r="Q1856" s="51">
        <f ca="1" t="shared" si="1732"/>
        <v>0</v>
      </c>
    </row>
    <row r="1857" ht="24" customHeight="1" spans="1:17">
      <c r="A1857" s="99" t="s">
        <v>349</v>
      </c>
      <c r="B1857" s="99" t="s">
        <v>299</v>
      </c>
      <c r="C1857" s="99" t="s">
        <v>344</v>
      </c>
      <c r="D1857" s="48" t="s">
        <v>31</v>
      </c>
      <c r="E1857" s="48" t="s">
        <v>83</v>
      </c>
      <c r="F1857" s="51">
        <f ca="1" t="shared" si="1721"/>
        <v>0</v>
      </c>
      <c r="G1857" s="51">
        <f ca="1" t="shared" si="1722"/>
        <v>0</v>
      </c>
      <c r="H1857" s="51">
        <f ca="1" t="shared" si="1723"/>
        <v>0</v>
      </c>
      <c r="I1857" s="51">
        <f ca="1" t="shared" si="1724"/>
        <v>0</v>
      </c>
      <c r="J1857" s="51">
        <f ca="1" t="shared" si="1725"/>
        <v>0</v>
      </c>
      <c r="K1857" s="51">
        <f ca="1" t="shared" si="1726"/>
        <v>0</v>
      </c>
      <c r="L1857" s="51">
        <f ca="1" t="shared" si="1727"/>
        <v>0</v>
      </c>
      <c r="M1857" s="51">
        <f ca="1" t="shared" si="1728"/>
        <v>0</v>
      </c>
      <c r="N1857" s="51">
        <f ca="1" t="shared" si="1729"/>
        <v>0</v>
      </c>
      <c r="O1857" s="51">
        <f ca="1" t="shared" si="1730"/>
        <v>0</v>
      </c>
      <c r="P1857" s="51">
        <f ca="1" t="shared" si="1731"/>
        <v>0</v>
      </c>
      <c r="Q1857" s="51">
        <f ca="1" t="shared" si="1732"/>
        <v>0</v>
      </c>
    </row>
    <row r="1858" ht="24" customHeight="1" spans="1:17">
      <c r="A1858" s="99" t="s">
        <v>349</v>
      </c>
      <c r="B1858" s="99" t="s">
        <v>299</v>
      </c>
      <c r="C1858" s="99" t="s">
        <v>344</v>
      </c>
      <c r="D1858" s="48" t="s">
        <v>321</v>
      </c>
      <c r="E1858" s="48" t="s">
        <v>90</v>
      </c>
      <c r="F1858" s="112" t="str">
        <f ca="1" t="shared" ref="F1858:Q1858" si="1733">IFERROR(F1851/F1850," ")</f>
        <v> </v>
      </c>
      <c r="G1858" s="112" t="str">
        <f ca="1" t="shared" si="1733"/>
        <v> </v>
      </c>
      <c r="H1858" s="112">
        <f ca="1" t="shared" si="1733"/>
        <v>0</v>
      </c>
      <c r="I1858" s="112">
        <f ca="1" t="shared" si="1733"/>
        <v>0</v>
      </c>
      <c r="J1858" s="112">
        <f ca="1" t="shared" si="1733"/>
        <v>0</v>
      </c>
      <c r="K1858" s="112">
        <f ca="1" t="shared" si="1733"/>
        <v>0</v>
      </c>
      <c r="L1858" s="112">
        <f ca="1" t="shared" si="1733"/>
        <v>0</v>
      </c>
      <c r="M1858" s="112">
        <f ca="1" t="shared" si="1733"/>
        <v>0</v>
      </c>
      <c r="N1858" s="112">
        <f ca="1" t="shared" si="1733"/>
        <v>0</v>
      </c>
      <c r="O1858" s="112">
        <f ca="1" t="shared" si="1733"/>
        <v>0.196564851017896</v>
      </c>
      <c r="P1858" s="112">
        <f ca="1" t="shared" si="1733"/>
        <v>0.115409514075936</v>
      </c>
      <c r="Q1858" s="112">
        <f ca="1" t="shared" si="1733"/>
        <v>0.115409514075936</v>
      </c>
    </row>
    <row r="1859" ht="24" customHeight="1" spans="1:17">
      <c r="A1859" s="99" t="s">
        <v>349</v>
      </c>
      <c r="B1859" s="99" t="s">
        <v>299</v>
      </c>
      <c r="C1859" s="99" t="s">
        <v>344</v>
      </c>
      <c r="D1859" s="48" t="s">
        <v>321</v>
      </c>
      <c r="E1859" s="48" t="s">
        <v>82</v>
      </c>
      <c r="F1859" s="112" t="str">
        <f ca="1" t="shared" ref="F1859:Q1859" si="1734">IFERROR(F1852/F1850," ")</f>
        <v> </v>
      </c>
      <c r="G1859" s="112" t="str">
        <f ca="1" t="shared" si="1734"/>
        <v> </v>
      </c>
      <c r="H1859" s="112">
        <f ca="1" t="shared" si="1734"/>
        <v>0</v>
      </c>
      <c r="I1859" s="112">
        <f ca="1" t="shared" si="1734"/>
        <v>0</v>
      </c>
      <c r="J1859" s="112">
        <f ca="1" t="shared" si="1734"/>
        <v>0</v>
      </c>
      <c r="K1859" s="112">
        <f ca="1" t="shared" si="1734"/>
        <v>0</v>
      </c>
      <c r="L1859" s="112">
        <f ca="1" t="shared" si="1734"/>
        <v>0</v>
      </c>
      <c r="M1859" s="112">
        <f ca="1" t="shared" si="1734"/>
        <v>0</v>
      </c>
      <c r="N1859" s="112">
        <f ca="1" t="shared" si="1734"/>
        <v>0</v>
      </c>
      <c r="O1859" s="112">
        <f ca="1" t="shared" si="1734"/>
        <v>0</v>
      </c>
      <c r="P1859" s="112">
        <f ca="1" t="shared" si="1734"/>
        <v>0</v>
      </c>
      <c r="Q1859" s="112">
        <f ca="1" t="shared" si="1734"/>
        <v>0</v>
      </c>
    </row>
    <row r="1860" ht="24" customHeight="1" spans="1:17">
      <c r="A1860" s="99" t="s">
        <v>349</v>
      </c>
      <c r="B1860" s="99" t="s">
        <v>299</v>
      </c>
      <c r="C1860" s="99" t="s">
        <v>344</v>
      </c>
      <c r="D1860" s="48" t="s">
        <v>321</v>
      </c>
      <c r="E1860" s="48" t="s">
        <v>86</v>
      </c>
      <c r="F1860" s="112" t="str">
        <f ca="1" t="shared" ref="F1860:Q1860" si="1735">IFERROR(F1853/F1850," ")</f>
        <v> </v>
      </c>
      <c r="G1860" s="112" t="str">
        <f ca="1" t="shared" si="1735"/>
        <v> </v>
      </c>
      <c r="H1860" s="112">
        <f ca="1" t="shared" si="1735"/>
        <v>0</v>
      </c>
      <c r="I1860" s="112">
        <f ca="1" t="shared" si="1735"/>
        <v>0</v>
      </c>
      <c r="J1860" s="112">
        <f ca="1" t="shared" si="1735"/>
        <v>0</v>
      </c>
      <c r="K1860" s="112">
        <f ca="1" t="shared" si="1735"/>
        <v>0</v>
      </c>
      <c r="L1860" s="112">
        <f ca="1" t="shared" si="1735"/>
        <v>0</v>
      </c>
      <c r="M1860" s="112">
        <f ca="1" t="shared" si="1735"/>
        <v>0</v>
      </c>
      <c r="N1860" s="112">
        <f ca="1" t="shared" si="1735"/>
        <v>0.104192332639301</v>
      </c>
      <c r="O1860" s="112">
        <f ca="1" t="shared" si="1735"/>
        <v>0.0837117822968501</v>
      </c>
      <c r="P1860" s="112">
        <f ca="1" t="shared" si="1735"/>
        <v>0.0491498661499273</v>
      </c>
      <c r="Q1860" s="112">
        <f ca="1" t="shared" si="1735"/>
        <v>0.0491498661499273</v>
      </c>
    </row>
    <row r="1861" ht="24" customHeight="1" spans="1:17">
      <c r="A1861" s="99" t="s">
        <v>349</v>
      </c>
      <c r="B1861" s="99" t="s">
        <v>299</v>
      </c>
      <c r="C1861" s="99" t="s">
        <v>344</v>
      </c>
      <c r="D1861" s="48" t="s">
        <v>321</v>
      </c>
      <c r="E1861" s="48" t="s">
        <v>97</v>
      </c>
      <c r="F1861" s="112" t="str">
        <f ca="1" t="shared" ref="F1861:Q1861" si="1736">IFERROR(F1854/F1850," ")</f>
        <v> </v>
      </c>
      <c r="G1861" s="112" t="str">
        <f ca="1" t="shared" si="1736"/>
        <v> </v>
      </c>
      <c r="H1861" s="112">
        <f ca="1" t="shared" si="1736"/>
        <v>0</v>
      </c>
      <c r="I1861" s="112">
        <f ca="1" t="shared" si="1736"/>
        <v>0</v>
      </c>
      <c r="J1861" s="112">
        <f ca="1" t="shared" si="1736"/>
        <v>0</v>
      </c>
      <c r="K1861" s="112">
        <f ca="1" t="shared" si="1736"/>
        <v>0</v>
      </c>
      <c r="L1861" s="112">
        <f ca="1" t="shared" si="1736"/>
        <v>0</v>
      </c>
      <c r="M1861" s="112">
        <f ca="1" t="shared" si="1736"/>
        <v>0</v>
      </c>
      <c r="N1861" s="112">
        <f ca="1" t="shared" si="1736"/>
        <v>0</v>
      </c>
      <c r="O1861" s="112">
        <f ca="1" t="shared" si="1736"/>
        <v>0</v>
      </c>
      <c r="P1861" s="112">
        <f ca="1" t="shared" si="1736"/>
        <v>0.412868000162305</v>
      </c>
      <c r="Q1861" s="112">
        <f ca="1" t="shared" si="1736"/>
        <v>0.412868000162305</v>
      </c>
    </row>
    <row r="1862" ht="24" customHeight="1" spans="1:17">
      <c r="A1862" s="99" t="s">
        <v>349</v>
      </c>
      <c r="B1862" s="99" t="s">
        <v>299</v>
      </c>
      <c r="C1862" s="99" t="s">
        <v>344</v>
      </c>
      <c r="D1862" s="48" t="s">
        <v>321</v>
      </c>
      <c r="E1862" s="48" t="s">
        <v>87</v>
      </c>
      <c r="F1862" s="112" t="str">
        <f ca="1" t="shared" ref="F1862:Q1862" si="1737">IFERROR(F1855/F1850," ")</f>
        <v> </v>
      </c>
      <c r="G1862" s="112" t="str">
        <f ca="1" t="shared" si="1737"/>
        <v> </v>
      </c>
      <c r="H1862" s="112">
        <f ca="1" t="shared" si="1737"/>
        <v>1</v>
      </c>
      <c r="I1862" s="112">
        <f ca="1" t="shared" si="1737"/>
        <v>1</v>
      </c>
      <c r="J1862" s="112">
        <f ca="1" t="shared" si="1737"/>
        <v>1</v>
      </c>
      <c r="K1862" s="112">
        <f ca="1" t="shared" si="1737"/>
        <v>1</v>
      </c>
      <c r="L1862" s="112">
        <f ca="1" t="shared" si="1737"/>
        <v>1</v>
      </c>
      <c r="M1862" s="112">
        <f ca="1" t="shared" si="1737"/>
        <v>1</v>
      </c>
      <c r="N1862" s="112">
        <f ca="1" t="shared" si="1737"/>
        <v>0.895807667360699</v>
      </c>
      <c r="O1862" s="112">
        <f ca="1" t="shared" si="1737"/>
        <v>0.719723366685254</v>
      </c>
      <c r="P1862" s="112">
        <f ca="1" t="shared" si="1737"/>
        <v>0.422572619611832</v>
      </c>
      <c r="Q1862" s="112">
        <f ca="1" t="shared" si="1737"/>
        <v>0.422572619611832</v>
      </c>
    </row>
    <row r="1863" ht="24" customHeight="1" spans="1:17">
      <c r="A1863" s="99" t="s">
        <v>349</v>
      </c>
      <c r="B1863" s="99" t="s">
        <v>299</v>
      </c>
      <c r="C1863" s="99" t="s">
        <v>344</v>
      </c>
      <c r="D1863" s="48" t="s">
        <v>321</v>
      </c>
      <c r="E1863" s="48" t="s">
        <v>149</v>
      </c>
      <c r="F1863" s="112" t="str">
        <f ca="1" t="shared" ref="F1863:Q1863" si="1738">IFERROR(F1856/F1850," ")</f>
        <v> </v>
      </c>
      <c r="G1863" s="112" t="str">
        <f ca="1" t="shared" si="1738"/>
        <v> </v>
      </c>
      <c r="H1863" s="112">
        <f ca="1" t="shared" si="1738"/>
        <v>0</v>
      </c>
      <c r="I1863" s="112">
        <f ca="1" t="shared" si="1738"/>
        <v>0</v>
      </c>
      <c r="J1863" s="112">
        <f ca="1" t="shared" si="1738"/>
        <v>0</v>
      </c>
      <c r="K1863" s="112">
        <f ca="1" t="shared" si="1738"/>
        <v>0</v>
      </c>
      <c r="L1863" s="112">
        <f ca="1" t="shared" si="1738"/>
        <v>0</v>
      </c>
      <c r="M1863" s="112">
        <f ca="1" t="shared" si="1738"/>
        <v>0</v>
      </c>
      <c r="N1863" s="112">
        <f ca="1" t="shared" si="1738"/>
        <v>0</v>
      </c>
      <c r="O1863" s="112">
        <f ca="1" t="shared" si="1738"/>
        <v>0</v>
      </c>
      <c r="P1863" s="112">
        <f ca="1" t="shared" si="1738"/>
        <v>0</v>
      </c>
      <c r="Q1863" s="112">
        <f ca="1" t="shared" si="1738"/>
        <v>0</v>
      </c>
    </row>
    <row r="1864" ht="24" customHeight="1" spans="1:17">
      <c r="A1864" s="99" t="s">
        <v>349</v>
      </c>
      <c r="B1864" s="99" t="s">
        <v>299</v>
      </c>
      <c r="C1864" s="99" t="s">
        <v>344</v>
      </c>
      <c r="D1864" s="48" t="s">
        <v>321</v>
      </c>
      <c r="E1864" s="48" t="s">
        <v>83</v>
      </c>
      <c r="F1864" s="112" t="str">
        <f ca="1" t="shared" ref="F1864:Q1864" si="1739">IFERROR(F1857/F1850," ")</f>
        <v> </v>
      </c>
      <c r="G1864" s="112" t="str">
        <f ca="1" t="shared" si="1739"/>
        <v> </v>
      </c>
      <c r="H1864" s="112">
        <f ca="1" t="shared" si="1739"/>
        <v>0</v>
      </c>
      <c r="I1864" s="112">
        <f ca="1" t="shared" si="1739"/>
        <v>0</v>
      </c>
      <c r="J1864" s="112">
        <f ca="1" t="shared" si="1739"/>
        <v>0</v>
      </c>
      <c r="K1864" s="112">
        <f ca="1" t="shared" si="1739"/>
        <v>0</v>
      </c>
      <c r="L1864" s="112">
        <f ca="1" t="shared" si="1739"/>
        <v>0</v>
      </c>
      <c r="M1864" s="112">
        <f ca="1" t="shared" si="1739"/>
        <v>0</v>
      </c>
      <c r="N1864" s="112">
        <f ca="1" t="shared" si="1739"/>
        <v>0</v>
      </c>
      <c r="O1864" s="112">
        <f ca="1" t="shared" si="1739"/>
        <v>0</v>
      </c>
      <c r="P1864" s="112">
        <f ca="1" t="shared" si="1739"/>
        <v>0</v>
      </c>
      <c r="Q1864" s="112">
        <f ca="1" t="shared" si="1739"/>
        <v>0</v>
      </c>
    </row>
    <row r="1865" ht="24" customHeight="1" spans="1:17">
      <c r="A1865" s="99" t="s">
        <v>349</v>
      </c>
      <c r="B1865" s="99" t="s">
        <v>299</v>
      </c>
      <c r="C1865" s="99" t="s">
        <v>344</v>
      </c>
      <c r="D1865" s="47" t="s">
        <v>294</v>
      </c>
      <c r="E1865" s="47" t="s">
        <v>93</v>
      </c>
      <c r="F1865" s="64">
        <f ca="1" t="shared" ref="F1865:F1869" si="1740">IF($S$1&lt;DATE(2025,1,1)," ",F1801)</f>
        <v>0</v>
      </c>
      <c r="G1865" s="64">
        <f ca="1" t="shared" ref="G1865:G1869" si="1741">IF($S$1&lt;DATE(2025,2,1)," ",G1801+F1865)</f>
        <v>0</v>
      </c>
      <c r="H1865" s="64">
        <f ca="1" t="shared" ref="H1865:H1869" si="1742">IF($S$1&lt;DATE(2025,3,1)," ",H1801+G1865)</f>
        <v>0</v>
      </c>
      <c r="I1865" s="64">
        <f ca="1" t="shared" ref="I1865:I1869" si="1743">IF($S$1&lt;DATE(2025,4,1)," ",I1801+H1865)</f>
        <v>0</v>
      </c>
      <c r="J1865" s="64">
        <f ca="1" t="shared" ref="J1865:J1869" si="1744">IF($S$1&lt;DATE(2025,5,1)," ",J1801+I1865)</f>
        <v>0</v>
      </c>
      <c r="K1865" s="64">
        <f ca="1" t="shared" ref="K1865:K1869" si="1745">IF($S$1&lt;DATE(2025,6,1)," ",K1801+J1865)</f>
        <v>0</v>
      </c>
      <c r="L1865" s="64">
        <f ca="1" t="shared" ref="L1865:L1869" si="1746">IF($S$1&lt;DATE(2025,7,1)," ",L1801+K1865)</f>
        <v>0</v>
      </c>
      <c r="M1865" s="64">
        <f ca="1" t="shared" ref="M1865:M1869" si="1747">IF($S$1&lt;DATE(2025,8,1)," ",M1801+L1865)</f>
        <v>0.0903</v>
      </c>
      <c r="N1865" s="64">
        <f ca="1" t="shared" ref="N1865:N1869" si="1748">IF($S$1&lt;DATE(2025,9,1)," ",N1801+M1865)</f>
        <v>1.0057</v>
      </c>
      <c r="O1865" s="64">
        <f ca="1" t="shared" ref="O1865:O1869" si="1749">IF($S$1&lt;DATE(2025,10,1)," ",O1801+N1865)</f>
        <v>2.12634</v>
      </c>
      <c r="P1865" s="64">
        <f ca="1" t="shared" ref="P1865:P1869" si="1750">IF($S$1&lt;DATE(2025,11,1)," ",P1801+O1865)</f>
        <v>6.135337</v>
      </c>
      <c r="Q1865" s="64">
        <f ca="1" t="shared" ref="Q1865:Q1869" si="1751">IF($S$1&lt;DATE(2025,12,1)," ",Q1801+P1865)</f>
        <v>6.135337</v>
      </c>
    </row>
    <row r="1866" ht="24" customHeight="1" spans="1:17">
      <c r="A1866" s="99" t="s">
        <v>349</v>
      </c>
      <c r="B1866" s="99" t="s">
        <v>299</v>
      </c>
      <c r="C1866" s="99" t="s">
        <v>344</v>
      </c>
      <c r="D1866" s="47" t="s">
        <v>294</v>
      </c>
      <c r="E1866" s="47" t="s">
        <v>85</v>
      </c>
      <c r="F1866" s="64">
        <f ca="1" t="shared" si="1740"/>
        <v>0</v>
      </c>
      <c r="G1866" s="64">
        <f ca="1" t="shared" si="1741"/>
        <v>0</v>
      </c>
      <c r="H1866" s="64">
        <f ca="1" t="shared" si="1742"/>
        <v>0.7179</v>
      </c>
      <c r="I1866" s="64">
        <f ca="1" t="shared" si="1743"/>
        <v>0.7179</v>
      </c>
      <c r="J1866" s="64">
        <f ca="1" t="shared" si="1744"/>
        <v>0.7179</v>
      </c>
      <c r="K1866" s="64">
        <f ca="1" t="shared" si="1745"/>
        <v>0.7179</v>
      </c>
      <c r="L1866" s="64">
        <f ca="1" t="shared" si="1746"/>
        <v>1.8908</v>
      </c>
      <c r="M1866" s="64">
        <f ca="1" t="shared" si="1747"/>
        <v>1.8908</v>
      </c>
      <c r="N1866" s="64">
        <f ca="1" t="shared" si="1748"/>
        <v>1.8908</v>
      </c>
      <c r="O1866" s="64">
        <f ca="1" t="shared" si="1749"/>
        <v>1.8908</v>
      </c>
      <c r="P1866" s="64">
        <f ca="1" t="shared" si="1750"/>
        <v>1.8908</v>
      </c>
      <c r="Q1866" s="64">
        <f ca="1" t="shared" si="1751"/>
        <v>1.8908</v>
      </c>
    </row>
    <row r="1867" ht="24" customHeight="1" spans="1:17">
      <c r="A1867" s="99" t="s">
        <v>349</v>
      </c>
      <c r="B1867" s="99" t="s">
        <v>299</v>
      </c>
      <c r="C1867" s="99" t="s">
        <v>344</v>
      </c>
      <c r="D1867" s="47" t="s">
        <v>294</v>
      </c>
      <c r="E1867" s="47" t="s">
        <v>81</v>
      </c>
      <c r="F1867" s="64">
        <f ca="1" t="shared" si="1740"/>
        <v>0</v>
      </c>
      <c r="G1867" s="64">
        <f ca="1" t="shared" si="1741"/>
        <v>0</v>
      </c>
      <c r="H1867" s="64">
        <f ca="1" t="shared" si="1742"/>
        <v>0</v>
      </c>
      <c r="I1867" s="64">
        <f ca="1" t="shared" si="1743"/>
        <v>0</v>
      </c>
      <c r="J1867" s="64">
        <f ca="1" t="shared" si="1744"/>
        <v>0</v>
      </c>
      <c r="K1867" s="64">
        <f ca="1" t="shared" si="1745"/>
        <v>0</v>
      </c>
      <c r="L1867" s="64">
        <f ca="1" t="shared" si="1746"/>
        <v>0</v>
      </c>
      <c r="M1867" s="64">
        <f ca="1" t="shared" si="1747"/>
        <v>1.20673</v>
      </c>
      <c r="N1867" s="64">
        <f ca="1" t="shared" si="1748"/>
        <v>1.683981</v>
      </c>
      <c r="O1867" s="64">
        <f ca="1" t="shared" si="1749"/>
        <v>1.683981</v>
      </c>
      <c r="P1867" s="64">
        <f ca="1" t="shared" si="1750"/>
        <v>1.683981</v>
      </c>
      <c r="Q1867" s="64">
        <f ca="1" t="shared" si="1751"/>
        <v>1.683981</v>
      </c>
    </row>
    <row r="1868" ht="24" customHeight="1" spans="1:17">
      <c r="A1868" s="99" t="s">
        <v>349</v>
      </c>
      <c r="B1868" s="99" t="s">
        <v>299</v>
      </c>
      <c r="C1868" s="99" t="s">
        <v>344</v>
      </c>
      <c r="D1868" s="47" t="s">
        <v>294</v>
      </c>
      <c r="E1868" s="47" t="s">
        <v>96</v>
      </c>
      <c r="F1868" s="64">
        <f ca="1" t="shared" si="1740"/>
        <v>0</v>
      </c>
      <c r="G1868" s="64">
        <f ca="1" t="shared" si="1741"/>
        <v>0</v>
      </c>
      <c r="H1868" s="64">
        <f ca="1" t="shared" si="1742"/>
        <v>0</v>
      </c>
      <c r="I1868" s="64">
        <f ca="1" t="shared" si="1743"/>
        <v>0</v>
      </c>
      <c r="J1868" s="64">
        <f ca="1" t="shared" si="1744"/>
        <v>0</v>
      </c>
      <c r="K1868" s="64">
        <f ca="1" t="shared" si="1745"/>
        <v>0</v>
      </c>
      <c r="L1868" s="64">
        <f ca="1" t="shared" si="1746"/>
        <v>0</v>
      </c>
      <c r="M1868" s="64">
        <f ca="1" t="shared" si="1747"/>
        <v>0</v>
      </c>
      <c r="N1868" s="64">
        <f ca="1" t="shared" si="1748"/>
        <v>0</v>
      </c>
      <c r="O1868" s="64">
        <f ca="1" t="shared" si="1749"/>
        <v>0</v>
      </c>
      <c r="P1868" s="64">
        <f ca="1" t="shared" si="1750"/>
        <v>0</v>
      </c>
      <c r="Q1868" s="64">
        <f ca="1" t="shared" si="1751"/>
        <v>0</v>
      </c>
    </row>
    <row r="1869" ht="24" customHeight="1" spans="1:17">
      <c r="A1869" s="99" t="s">
        <v>349</v>
      </c>
      <c r="B1869" s="99" t="s">
        <v>299</v>
      </c>
      <c r="C1869" s="99" t="s">
        <v>344</v>
      </c>
      <c r="D1869" s="47" t="s">
        <v>294</v>
      </c>
      <c r="E1869" s="47" t="s">
        <v>160</v>
      </c>
      <c r="F1869" s="64">
        <f ca="1" t="shared" si="1740"/>
        <v>0</v>
      </c>
      <c r="G1869" s="64">
        <f ca="1" t="shared" si="1741"/>
        <v>0</v>
      </c>
      <c r="H1869" s="64">
        <f ca="1" t="shared" si="1742"/>
        <v>0</v>
      </c>
      <c r="I1869" s="64">
        <f ca="1" t="shared" si="1743"/>
        <v>0</v>
      </c>
      <c r="J1869" s="64">
        <f ca="1" t="shared" si="1744"/>
        <v>0</v>
      </c>
      <c r="K1869" s="64">
        <f ca="1" t="shared" si="1745"/>
        <v>0</v>
      </c>
      <c r="L1869" s="64">
        <f ca="1" t="shared" si="1746"/>
        <v>0</v>
      </c>
      <c r="M1869" s="64">
        <f ca="1" t="shared" si="1747"/>
        <v>0</v>
      </c>
      <c r="N1869" s="64">
        <f ca="1" t="shared" si="1748"/>
        <v>0</v>
      </c>
      <c r="O1869" s="64">
        <f ca="1" t="shared" si="1749"/>
        <v>0</v>
      </c>
      <c r="P1869" s="64">
        <f ca="1" t="shared" si="1750"/>
        <v>0</v>
      </c>
      <c r="Q1869" s="64">
        <f ca="1" t="shared" si="1751"/>
        <v>0</v>
      </c>
    </row>
    <row r="1870" ht="24" customHeight="1" spans="1:17">
      <c r="A1870" s="99" t="s">
        <v>349</v>
      </c>
      <c r="B1870" s="99" t="s">
        <v>299</v>
      </c>
      <c r="C1870" s="99" t="s">
        <v>344</v>
      </c>
      <c r="D1870" s="47" t="s">
        <v>321</v>
      </c>
      <c r="E1870" s="47" t="s">
        <v>93</v>
      </c>
      <c r="F1870" s="126" t="str">
        <f ca="1" t="shared" ref="F1870:Q1870" si="1752">IFERROR(F1865/F1850," ")</f>
        <v> </v>
      </c>
      <c r="G1870" s="126" t="str">
        <f ca="1" t="shared" si="1752"/>
        <v> </v>
      </c>
      <c r="H1870" s="126">
        <f ca="1" t="shared" si="1752"/>
        <v>0</v>
      </c>
      <c r="I1870" s="126">
        <f ca="1" t="shared" si="1752"/>
        <v>0</v>
      </c>
      <c r="J1870" s="126">
        <f ca="1" t="shared" si="1752"/>
        <v>0</v>
      </c>
      <c r="K1870" s="126">
        <f ca="1" t="shared" si="1752"/>
        <v>0</v>
      </c>
      <c r="L1870" s="126">
        <f ca="1" t="shared" si="1752"/>
        <v>0</v>
      </c>
      <c r="M1870" s="126">
        <f ca="1" t="shared" si="1752"/>
        <v>0.0283264791409831</v>
      </c>
      <c r="N1870" s="126">
        <f ca="1" t="shared" si="1752"/>
        <v>0.219562094024623</v>
      </c>
      <c r="O1870" s="126">
        <f ca="1" t="shared" si="1752"/>
        <v>0.372968754741392</v>
      </c>
      <c r="P1870" s="126">
        <f ca="1" t="shared" si="1752"/>
        <v>0.631849891010593</v>
      </c>
      <c r="Q1870" s="126">
        <f ca="1" t="shared" si="1752"/>
        <v>0.631849891010593</v>
      </c>
    </row>
    <row r="1871" ht="24" customHeight="1" spans="1:17">
      <c r="A1871" s="99" t="s">
        <v>349</v>
      </c>
      <c r="B1871" s="99" t="s">
        <v>299</v>
      </c>
      <c r="C1871" s="99" t="s">
        <v>344</v>
      </c>
      <c r="D1871" s="47" t="s">
        <v>321</v>
      </c>
      <c r="E1871" s="47" t="s">
        <v>85</v>
      </c>
      <c r="F1871" s="126" t="str">
        <f ca="1" t="shared" ref="F1871:Q1871" si="1753">IFERROR(F1866/F1850," ")</f>
        <v> </v>
      </c>
      <c r="G1871" s="126" t="str">
        <f ca="1" t="shared" si="1753"/>
        <v> </v>
      </c>
      <c r="H1871" s="126">
        <f ca="1" t="shared" si="1753"/>
        <v>1</v>
      </c>
      <c r="I1871" s="126">
        <f ca="1" t="shared" si="1753"/>
        <v>1</v>
      </c>
      <c r="J1871" s="126">
        <f ca="1" t="shared" si="1753"/>
        <v>1</v>
      </c>
      <c r="K1871" s="126">
        <f ca="1" t="shared" si="1753"/>
        <v>1</v>
      </c>
      <c r="L1871" s="126">
        <f ca="1" t="shared" si="1753"/>
        <v>1</v>
      </c>
      <c r="M1871" s="126">
        <f ca="1" t="shared" si="1753"/>
        <v>0.593130750385058</v>
      </c>
      <c r="N1871" s="126">
        <f ca="1" t="shared" si="1753"/>
        <v>0.412795075451683</v>
      </c>
      <c r="O1871" s="126">
        <f ca="1" t="shared" si="1753"/>
        <v>0.331654072944602</v>
      </c>
      <c r="P1871" s="126">
        <f ca="1" t="shared" si="1753"/>
        <v>0.194724719102281</v>
      </c>
      <c r="Q1871" s="126">
        <f ca="1" t="shared" si="1753"/>
        <v>0.194724719102281</v>
      </c>
    </row>
    <row r="1872" ht="24" customHeight="1" spans="1:17">
      <c r="A1872" s="99" t="s">
        <v>349</v>
      </c>
      <c r="B1872" s="99" t="s">
        <v>299</v>
      </c>
      <c r="C1872" s="99" t="s">
        <v>344</v>
      </c>
      <c r="D1872" s="47" t="s">
        <v>321</v>
      </c>
      <c r="E1872" s="47" t="s">
        <v>81</v>
      </c>
      <c r="F1872" s="126" t="str">
        <f ca="1" t="shared" ref="F1872:Q1872" si="1754">IFERROR(F1867/F1850," ")</f>
        <v> </v>
      </c>
      <c r="G1872" s="126" t="str">
        <f ca="1" t="shared" si="1754"/>
        <v> </v>
      </c>
      <c r="H1872" s="126">
        <f ca="1" t="shared" si="1754"/>
        <v>0</v>
      </c>
      <c r="I1872" s="126">
        <f ca="1" t="shared" si="1754"/>
        <v>0</v>
      </c>
      <c r="J1872" s="126">
        <f ca="1" t="shared" si="1754"/>
        <v>0</v>
      </c>
      <c r="K1872" s="126">
        <f ca="1" t="shared" si="1754"/>
        <v>0</v>
      </c>
      <c r="L1872" s="126">
        <f ca="1" t="shared" si="1754"/>
        <v>0</v>
      </c>
      <c r="M1872" s="126">
        <f ca="1" t="shared" si="1754"/>
        <v>0.378542770473959</v>
      </c>
      <c r="N1872" s="126">
        <f ca="1" t="shared" si="1754"/>
        <v>0.367642830523694</v>
      </c>
      <c r="O1872" s="126">
        <f ca="1" t="shared" si="1754"/>
        <v>0.295377172314006</v>
      </c>
      <c r="P1872" s="126">
        <f ca="1" t="shared" si="1754"/>
        <v>0.173425389887126</v>
      </c>
      <c r="Q1872" s="126">
        <f ca="1" t="shared" si="1754"/>
        <v>0.173425389887126</v>
      </c>
    </row>
    <row r="1873" ht="24" customHeight="1" spans="1:17">
      <c r="A1873" s="99" t="s">
        <v>349</v>
      </c>
      <c r="B1873" s="99" t="s">
        <v>299</v>
      </c>
      <c r="C1873" s="99" t="s">
        <v>344</v>
      </c>
      <c r="D1873" s="47" t="s">
        <v>321</v>
      </c>
      <c r="E1873" s="47" t="s">
        <v>96</v>
      </c>
      <c r="F1873" s="126" t="str">
        <f ca="1" t="shared" ref="F1873:Q1873" si="1755">IFERROR(F1868/F1850," ")</f>
        <v> </v>
      </c>
      <c r="G1873" s="126" t="str">
        <f ca="1" t="shared" si="1755"/>
        <v> </v>
      </c>
      <c r="H1873" s="126">
        <f ca="1" t="shared" si="1755"/>
        <v>0</v>
      </c>
      <c r="I1873" s="126">
        <f ca="1" t="shared" si="1755"/>
        <v>0</v>
      </c>
      <c r="J1873" s="126">
        <f ca="1" t="shared" si="1755"/>
        <v>0</v>
      </c>
      <c r="K1873" s="126">
        <f ca="1" t="shared" si="1755"/>
        <v>0</v>
      </c>
      <c r="L1873" s="126">
        <f ca="1" t="shared" si="1755"/>
        <v>0</v>
      </c>
      <c r="M1873" s="126">
        <f ca="1" t="shared" si="1755"/>
        <v>0</v>
      </c>
      <c r="N1873" s="126">
        <f ca="1" t="shared" si="1755"/>
        <v>0</v>
      </c>
      <c r="O1873" s="126">
        <f ca="1" t="shared" si="1755"/>
        <v>0</v>
      </c>
      <c r="P1873" s="126">
        <f ca="1" t="shared" si="1755"/>
        <v>0</v>
      </c>
      <c r="Q1873" s="126">
        <f ca="1" t="shared" si="1755"/>
        <v>0</v>
      </c>
    </row>
    <row r="1874" ht="24" customHeight="1" spans="1:17">
      <c r="A1874" s="99" t="s">
        <v>349</v>
      </c>
      <c r="B1874" s="99" t="s">
        <v>299</v>
      </c>
      <c r="C1874" s="99" t="s">
        <v>344</v>
      </c>
      <c r="D1874" s="47" t="s">
        <v>321</v>
      </c>
      <c r="E1874" s="47" t="s">
        <v>160</v>
      </c>
      <c r="F1874" s="126" t="str">
        <f ca="1" t="shared" ref="F1874:Q1874" si="1756">IFERROR(F1869/F1850," ")</f>
        <v> </v>
      </c>
      <c r="G1874" s="126" t="str">
        <f ca="1" t="shared" si="1756"/>
        <v> </v>
      </c>
      <c r="H1874" s="126">
        <f ca="1" t="shared" si="1756"/>
        <v>0</v>
      </c>
      <c r="I1874" s="126">
        <f ca="1" t="shared" si="1756"/>
        <v>0</v>
      </c>
      <c r="J1874" s="126">
        <f ca="1" t="shared" si="1756"/>
        <v>0</v>
      </c>
      <c r="K1874" s="126">
        <f ca="1" t="shared" si="1756"/>
        <v>0</v>
      </c>
      <c r="L1874" s="126">
        <f ca="1" t="shared" si="1756"/>
        <v>0</v>
      </c>
      <c r="M1874" s="126">
        <f ca="1" t="shared" si="1756"/>
        <v>0</v>
      </c>
      <c r="N1874" s="126">
        <f ca="1" t="shared" si="1756"/>
        <v>0</v>
      </c>
      <c r="O1874" s="126">
        <f ca="1" t="shared" si="1756"/>
        <v>0</v>
      </c>
      <c r="P1874" s="126">
        <f ca="1" t="shared" si="1756"/>
        <v>0</v>
      </c>
      <c r="Q1874" s="126">
        <f ca="1" t="shared" si="1756"/>
        <v>0</v>
      </c>
    </row>
    <row r="1875" ht="24" customHeight="1" spans="1:17">
      <c r="A1875" s="99" t="s">
        <v>349</v>
      </c>
      <c r="B1875" s="99" t="s">
        <v>299</v>
      </c>
      <c r="C1875" s="99" t="s">
        <v>343</v>
      </c>
      <c r="D1875" s="114" t="s">
        <v>292</v>
      </c>
      <c r="E1875" s="53" t="s">
        <v>326</v>
      </c>
      <c r="F1875" s="219">
        <f ca="1">IF($S$1&lt;DATE(2025,1,1)," ",IF((F1806-F1877-F1878-F1879-F1880-F1881)&lt;&gt;0,"ERR",F1806))</f>
        <v>0</v>
      </c>
      <c r="G1875" s="219">
        <f ca="1">IF($S$1&lt;DATE(2025,2,1)," ",IF((G1806+F1875-G1877-G1878-G1879-G1880-G1881)&lt;&gt;0,"ERR",G1806+F1875))</f>
        <v>0</v>
      </c>
      <c r="H1875" s="219">
        <f ca="1">IF($S$1&lt;DATE(2025,3,1)," ",IF((H1806+G1875-H1877-H1878-H1879-H1880-H1881)&lt;&gt;0,"ERR",H1806+G1875))</f>
        <v>0</v>
      </c>
      <c r="I1875" s="219">
        <f ca="1">IF($S$1&lt;DATE(2025,4,1)," ",IF((I1806+H1875-I1877-I1878-I1879-I1880-I1881)&lt;&gt;0,"ERR",I1806+H1875))</f>
        <v>0</v>
      </c>
      <c r="J1875" s="219">
        <f ca="1">IF($S$1&lt;DATE(2025,5,1)," ",IF((J1806+I1875-J1877-J1878-J1879-J1880-J1881)&lt;&gt;0,"ERR",J1806+I1875))</f>
        <v>0</v>
      </c>
      <c r="K1875" s="219">
        <f ca="1">IF($S$1&lt;DATE(2025,6,1)," ",IF((K1806+J1875-K1877-K1878-K1879-K1880-K1881)&lt;&gt;0,"ERR",K1806+J1875))</f>
        <v>0</v>
      </c>
      <c r="L1875" s="219">
        <f ca="1">IF($S$1&lt;DATE(2025,7,1)," ",IF((L1806+K1875-L1877-L1878-L1879-L1880-L1881)&lt;&gt;0,"ERR",L1806+K1875))</f>
        <v>0</v>
      </c>
      <c r="M1875" s="219">
        <f ca="1">IF($S$1&lt;DATE(2025,8,1)," ",IF((M1806+L1875-M1877-M1878-M1879-M1880-M1881)&lt;&gt;0,"ERR",M1806+L1875))</f>
        <v>0</v>
      </c>
      <c r="N1875" s="219">
        <f ca="1">IF($S$1&lt;DATE(2025,9,1)," ",IF((N1806+M1875-N1877-N1878-N1879-N1880-N1881)&lt;&gt;0,"ERR",N1806+M1875))</f>
        <v>0</v>
      </c>
      <c r="O1875" s="219">
        <f ca="1">IF($S$1&lt;DATE(2025,10,1)," ",IF((O1806+N1875-O1877-O1878-O1879-O1880-O1881)&lt;&gt;0,"ERR",O1806+N1875))</f>
        <v>0</v>
      </c>
      <c r="P1875" s="219">
        <f ca="1">IF($S$1&lt;DATE(2025,11,1)," ",IF((P1806+O1875-P1877-P1878-P1879-P1880-P1881)&lt;&gt;0,"ERR",P1806+O1875))</f>
        <v>0</v>
      </c>
      <c r="Q1875" s="219">
        <f ca="1">IF($S$1&lt;DATE(2025,12,1)," ",IF((Q1806+P1875-Q1877-Q1878-Q1879-Q1880-Q1881)&lt;&gt;0,"ERR",Q1806+P1875))</f>
        <v>0</v>
      </c>
    </row>
    <row r="1876" ht="24" customHeight="1" spans="1:17">
      <c r="A1876" s="99" t="s">
        <v>349</v>
      </c>
      <c r="B1876" s="99" t="s">
        <v>299</v>
      </c>
      <c r="C1876" s="99" t="s">
        <v>343</v>
      </c>
      <c r="D1876" s="114" t="s">
        <v>292</v>
      </c>
      <c r="E1876" s="53" t="s">
        <v>327</v>
      </c>
      <c r="F1876" s="219">
        <f ca="1">IF($S$1&lt;DATE(2025,1,1)," ",IF((F1807-F1882-F1883-F1884-F1885-F1886)&lt;&gt;0,"ERR",F1807))</f>
        <v>0</v>
      </c>
      <c r="G1876" s="219">
        <f ca="1">IF($S$1&lt;DATE(2025,2,1)," ",IF((G1807+F1876-SUM(G1882:G1886))&lt;&gt;0,"ERR",G1807+F1876))</f>
        <v>0</v>
      </c>
      <c r="H1876" s="219">
        <f ca="1">IF($S$1&lt;DATE(2025,3,1)," ",IF((H1807+G1876-SUM(H1882:H1886))&lt;&gt;0,"ERR",H1807+G1876))</f>
        <v>0</v>
      </c>
      <c r="I1876" s="219">
        <f ca="1">IF($S$1&lt;DATE(2025,4,1)," ",IF((I1807+H1876-SUM(I1882:I1886))&lt;&gt;0,"ERR",I1807+H1876))</f>
        <v>0</v>
      </c>
      <c r="J1876" s="219">
        <f ca="1">IF($S$1&lt;DATE(2025,5,1)," ",IF((J1807+I1876-SUM(J1882:J1886))&lt;&gt;0,"ERR",J1807+I1876))</f>
        <v>0</v>
      </c>
      <c r="K1876" s="219">
        <f ca="1">IF($S$1&lt;DATE(2025,6,1)," ",IF((K1807+J1876-SUM(K1882:K1886))&lt;&gt;0,"ERR",K1807+J1876))</f>
        <v>0</v>
      </c>
      <c r="L1876" s="219">
        <f ca="1">IF($S$1&lt;DATE(2025,7,1)," ",IF((L1807+K1876-SUM(L1882:L1886))&lt;&gt;0,"ERR",L1807+K1876))</f>
        <v>0</v>
      </c>
      <c r="M1876" s="219">
        <f ca="1">IF($S$1&lt;DATE(2025,8,1)," ",IF((M1807+L1876-SUM(M1882:M1886))&lt;&gt;0,"ERR",M1807+L1876))</f>
        <v>0</v>
      </c>
      <c r="N1876" s="219">
        <f ca="1">IF($S$1&lt;DATE(2025,9,1)," ",IF((N1807+M1876-SUM(N1882:N1886))&lt;&gt;0,"ERR",N1807+M1876))</f>
        <v>0</v>
      </c>
      <c r="O1876" s="219">
        <f ca="1">IF($S$1&lt;DATE(2025,10,1)," ",IF((O1807+N1876-SUM(O1882:O1886))&lt;&gt;0,"ERR",O1807+N1876))</f>
        <v>0</v>
      </c>
      <c r="P1876" s="219">
        <f ca="1">IF($S$1&lt;DATE(2025,11,1)," ",IF((P1807+O1876-SUM(P1882:P1886))&lt;&gt;0,"ERR",P1807+O1876))</f>
        <v>0</v>
      </c>
      <c r="Q1876" s="219">
        <f ca="1">IF($S$1&lt;DATE(2025,12,1)," ",IF((Q1807+P1876-SUM(Q1882:Q1886))&lt;&gt;0,"ERR",Q1807+P1876))</f>
        <v>0</v>
      </c>
    </row>
    <row r="1877" ht="24" customHeight="1" spans="1:17">
      <c r="A1877" s="99" t="s">
        <v>349</v>
      </c>
      <c r="B1877" s="99" t="s">
        <v>299</v>
      </c>
      <c r="C1877" s="99" t="s">
        <v>343</v>
      </c>
      <c r="D1877" s="53" t="s">
        <v>326</v>
      </c>
      <c r="E1877" s="53" t="s">
        <v>93</v>
      </c>
      <c r="F1877" s="219">
        <f ca="1" t="shared" ref="F1877:F1886" si="1757">IF($S$1&lt;DATE(2025,1,1)," ",F1809)</f>
        <v>0</v>
      </c>
      <c r="G1877" s="219">
        <f ca="1" t="shared" ref="G1877:G1886" si="1758">IF($S$1&lt;DATE(2025,2,1)," ",G1809+F1877)</f>
        <v>0</v>
      </c>
      <c r="H1877" s="219">
        <f ca="1" t="shared" ref="H1877:H1886" si="1759">IF($S$1&lt;DATE(2025,3,1)," ",H1809+G1877)</f>
        <v>0</v>
      </c>
      <c r="I1877" s="219">
        <f ca="1" t="shared" ref="I1877:I1886" si="1760">IF($S$1&lt;DATE(2025,4,1)," ",I1809+H1877)</f>
        <v>0</v>
      </c>
      <c r="J1877" s="219">
        <f ca="1" t="shared" ref="J1877:J1886" si="1761">IF($S$1&lt;DATE(2025,5,1)," ",J1809+I1877)</f>
        <v>0</v>
      </c>
      <c r="K1877" s="219">
        <f ca="1" t="shared" ref="K1877:K1886" si="1762">IF($S$1&lt;DATE(2025,6,1)," ",K1809+J1877)</f>
        <v>0</v>
      </c>
      <c r="L1877" s="219">
        <f ca="1" t="shared" ref="L1877:L1886" si="1763">IF($S$1&lt;DATE(2025,7,1)," ",L1809+K1877)</f>
        <v>0</v>
      </c>
      <c r="M1877" s="219">
        <f ca="1" t="shared" ref="M1877:M1886" si="1764">IF($S$1&lt;DATE(2025,8,1)," ",M1809+L1877)</f>
        <v>0</v>
      </c>
      <c r="N1877" s="219">
        <f ca="1" t="shared" ref="N1877:N1886" si="1765">IF($S$1&lt;DATE(2025,9,1)," ",N1809+M1877)</f>
        <v>0</v>
      </c>
      <c r="O1877" s="219">
        <f ca="1" t="shared" ref="O1877:O1886" si="1766">IF($S$1&lt;DATE(2025,10,1)," ",O1809+N1877)</f>
        <v>0</v>
      </c>
      <c r="P1877" s="219">
        <f ca="1" t="shared" ref="P1877:P1886" si="1767">IF($S$1&lt;DATE(2025,11,1)," ",P1809+O1877)</f>
        <v>0</v>
      </c>
      <c r="Q1877" s="219">
        <f ca="1" t="shared" ref="Q1877:Q1886" si="1768">IF($S$1&lt;DATE(2025,12,1)," ",Q1809+P1877)</f>
        <v>0</v>
      </c>
    </row>
    <row r="1878" ht="24" customHeight="1" spans="1:17">
      <c r="A1878" s="99" t="s">
        <v>349</v>
      </c>
      <c r="B1878" s="99" t="s">
        <v>299</v>
      </c>
      <c r="C1878" s="99" t="s">
        <v>343</v>
      </c>
      <c r="D1878" s="53" t="s">
        <v>326</v>
      </c>
      <c r="E1878" s="53" t="s">
        <v>85</v>
      </c>
      <c r="F1878" s="219">
        <f ca="1" t="shared" si="1757"/>
        <v>0</v>
      </c>
      <c r="G1878" s="219">
        <f ca="1" t="shared" si="1758"/>
        <v>0</v>
      </c>
      <c r="H1878" s="219">
        <f ca="1" t="shared" si="1759"/>
        <v>0</v>
      </c>
      <c r="I1878" s="219">
        <f ca="1" t="shared" si="1760"/>
        <v>0</v>
      </c>
      <c r="J1878" s="219">
        <f ca="1" t="shared" si="1761"/>
        <v>0</v>
      </c>
      <c r="K1878" s="219">
        <f ca="1" t="shared" si="1762"/>
        <v>0</v>
      </c>
      <c r="L1878" s="219">
        <f ca="1" t="shared" si="1763"/>
        <v>0</v>
      </c>
      <c r="M1878" s="219">
        <f ca="1" t="shared" si="1764"/>
        <v>0</v>
      </c>
      <c r="N1878" s="219">
        <f ca="1" t="shared" si="1765"/>
        <v>0</v>
      </c>
      <c r="O1878" s="219">
        <f ca="1" t="shared" si="1766"/>
        <v>0</v>
      </c>
      <c r="P1878" s="219">
        <f ca="1" t="shared" si="1767"/>
        <v>0</v>
      </c>
      <c r="Q1878" s="219">
        <f ca="1" t="shared" si="1768"/>
        <v>0</v>
      </c>
    </row>
    <row r="1879" ht="24" customHeight="1" spans="1:17">
      <c r="A1879" s="99" t="s">
        <v>349</v>
      </c>
      <c r="B1879" s="99" t="s">
        <v>299</v>
      </c>
      <c r="C1879" s="99" t="s">
        <v>343</v>
      </c>
      <c r="D1879" s="53" t="s">
        <v>326</v>
      </c>
      <c r="E1879" s="53" t="s">
        <v>81</v>
      </c>
      <c r="F1879" s="219">
        <f ca="1" t="shared" si="1757"/>
        <v>0</v>
      </c>
      <c r="G1879" s="219">
        <f ca="1" t="shared" si="1758"/>
        <v>0</v>
      </c>
      <c r="H1879" s="219">
        <f ca="1" t="shared" si="1759"/>
        <v>0</v>
      </c>
      <c r="I1879" s="219">
        <f ca="1" t="shared" si="1760"/>
        <v>0</v>
      </c>
      <c r="J1879" s="219">
        <f ca="1" t="shared" si="1761"/>
        <v>0</v>
      </c>
      <c r="K1879" s="219">
        <f ca="1" t="shared" si="1762"/>
        <v>0</v>
      </c>
      <c r="L1879" s="219">
        <f ca="1" t="shared" si="1763"/>
        <v>0</v>
      </c>
      <c r="M1879" s="219">
        <f ca="1" t="shared" si="1764"/>
        <v>0</v>
      </c>
      <c r="N1879" s="219">
        <f ca="1" t="shared" si="1765"/>
        <v>0</v>
      </c>
      <c r="O1879" s="219">
        <f ca="1" t="shared" si="1766"/>
        <v>0</v>
      </c>
      <c r="P1879" s="219">
        <f ca="1" t="shared" si="1767"/>
        <v>0</v>
      </c>
      <c r="Q1879" s="219">
        <f ca="1" t="shared" si="1768"/>
        <v>0</v>
      </c>
    </row>
    <row r="1880" ht="24" customHeight="1" spans="1:17">
      <c r="A1880" s="99" t="s">
        <v>349</v>
      </c>
      <c r="B1880" s="99" t="s">
        <v>299</v>
      </c>
      <c r="C1880" s="99" t="s">
        <v>343</v>
      </c>
      <c r="D1880" s="53" t="s">
        <v>326</v>
      </c>
      <c r="E1880" s="53" t="s">
        <v>96</v>
      </c>
      <c r="F1880" s="219">
        <f ca="1" t="shared" si="1757"/>
        <v>0</v>
      </c>
      <c r="G1880" s="219">
        <f ca="1" t="shared" si="1758"/>
        <v>0</v>
      </c>
      <c r="H1880" s="219">
        <f ca="1" t="shared" si="1759"/>
        <v>0</v>
      </c>
      <c r="I1880" s="219">
        <f ca="1" t="shared" si="1760"/>
        <v>0</v>
      </c>
      <c r="J1880" s="219">
        <f ca="1" t="shared" si="1761"/>
        <v>0</v>
      </c>
      <c r="K1880" s="219">
        <f ca="1" t="shared" si="1762"/>
        <v>0</v>
      </c>
      <c r="L1880" s="219">
        <f ca="1" t="shared" si="1763"/>
        <v>0</v>
      </c>
      <c r="M1880" s="219">
        <f ca="1" t="shared" si="1764"/>
        <v>0</v>
      </c>
      <c r="N1880" s="219">
        <f ca="1" t="shared" si="1765"/>
        <v>0</v>
      </c>
      <c r="O1880" s="219">
        <f ca="1" t="shared" si="1766"/>
        <v>0</v>
      </c>
      <c r="P1880" s="219">
        <f ca="1" t="shared" si="1767"/>
        <v>0</v>
      </c>
      <c r="Q1880" s="219">
        <f ca="1" t="shared" si="1768"/>
        <v>0</v>
      </c>
    </row>
    <row r="1881" ht="24" customHeight="1" spans="1:17">
      <c r="A1881" s="99" t="s">
        <v>349</v>
      </c>
      <c r="B1881" s="99" t="s">
        <v>299</v>
      </c>
      <c r="C1881" s="99" t="s">
        <v>343</v>
      </c>
      <c r="D1881" s="53" t="s">
        <v>326</v>
      </c>
      <c r="E1881" s="53" t="s">
        <v>160</v>
      </c>
      <c r="F1881" s="219">
        <f ca="1" t="shared" si="1757"/>
        <v>0</v>
      </c>
      <c r="G1881" s="219">
        <f ca="1" t="shared" si="1758"/>
        <v>0</v>
      </c>
      <c r="H1881" s="219">
        <f ca="1" t="shared" si="1759"/>
        <v>0</v>
      </c>
      <c r="I1881" s="219">
        <f ca="1" t="shared" si="1760"/>
        <v>0</v>
      </c>
      <c r="J1881" s="219">
        <f ca="1" t="shared" si="1761"/>
        <v>0</v>
      </c>
      <c r="K1881" s="219">
        <f ca="1" t="shared" si="1762"/>
        <v>0</v>
      </c>
      <c r="L1881" s="219">
        <f ca="1" t="shared" si="1763"/>
        <v>0</v>
      </c>
      <c r="M1881" s="219">
        <f ca="1" t="shared" si="1764"/>
        <v>0</v>
      </c>
      <c r="N1881" s="219">
        <f ca="1" t="shared" si="1765"/>
        <v>0</v>
      </c>
      <c r="O1881" s="219">
        <f ca="1" t="shared" si="1766"/>
        <v>0</v>
      </c>
      <c r="P1881" s="219">
        <f ca="1" t="shared" si="1767"/>
        <v>0</v>
      </c>
      <c r="Q1881" s="219">
        <f ca="1" t="shared" si="1768"/>
        <v>0</v>
      </c>
    </row>
    <row r="1882" ht="24" customHeight="1" spans="1:17">
      <c r="A1882" s="99" t="s">
        <v>349</v>
      </c>
      <c r="B1882" s="99" t="s">
        <v>299</v>
      </c>
      <c r="C1882" s="99" t="s">
        <v>343</v>
      </c>
      <c r="D1882" s="53" t="s">
        <v>327</v>
      </c>
      <c r="E1882" s="53" t="s">
        <v>93</v>
      </c>
      <c r="F1882" s="219">
        <f ca="1" t="shared" si="1757"/>
        <v>0</v>
      </c>
      <c r="G1882" s="219">
        <f ca="1" t="shared" si="1758"/>
        <v>0</v>
      </c>
      <c r="H1882" s="219">
        <f ca="1" t="shared" si="1759"/>
        <v>0</v>
      </c>
      <c r="I1882" s="219">
        <f ca="1" t="shared" si="1760"/>
        <v>0</v>
      </c>
      <c r="J1882" s="219">
        <f ca="1" t="shared" si="1761"/>
        <v>0</v>
      </c>
      <c r="K1882" s="219">
        <f ca="1" t="shared" si="1762"/>
        <v>0</v>
      </c>
      <c r="L1882" s="219">
        <f ca="1" t="shared" si="1763"/>
        <v>0</v>
      </c>
      <c r="M1882" s="219">
        <f ca="1" t="shared" si="1764"/>
        <v>0</v>
      </c>
      <c r="N1882" s="219">
        <f ca="1" t="shared" si="1765"/>
        <v>0</v>
      </c>
      <c r="O1882" s="219">
        <f ca="1" t="shared" si="1766"/>
        <v>0</v>
      </c>
      <c r="P1882" s="219">
        <f ca="1" t="shared" si="1767"/>
        <v>0</v>
      </c>
      <c r="Q1882" s="219">
        <f ca="1" t="shared" si="1768"/>
        <v>0</v>
      </c>
    </row>
    <row r="1883" ht="24" customHeight="1" spans="1:17">
      <c r="A1883" s="99" t="s">
        <v>349</v>
      </c>
      <c r="B1883" s="99" t="s">
        <v>299</v>
      </c>
      <c r="C1883" s="99" t="s">
        <v>343</v>
      </c>
      <c r="D1883" s="53" t="s">
        <v>327</v>
      </c>
      <c r="E1883" s="53" t="s">
        <v>85</v>
      </c>
      <c r="F1883" s="219">
        <f ca="1" t="shared" si="1757"/>
        <v>0</v>
      </c>
      <c r="G1883" s="219">
        <f ca="1" t="shared" si="1758"/>
        <v>0</v>
      </c>
      <c r="H1883" s="219">
        <f ca="1" t="shared" si="1759"/>
        <v>0</v>
      </c>
      <c r="I1883" s="219">
        <f ca="1" t="shared" si="1760"/>
        <v>0</v>
      </c>
      <c r="J1883" s="219">
        <f ca="1" t="shared" si="1761"/>
        <v>0</v>
      </c>
      <c r="K1883" s="219">
        <f ca="1" t="shared" si="1762"/>
        <v>0</v>
      </c>
      <c r="L1883" s="219">
        <f ca="1" t="shared" si="1763"/>
        <v>0</v>
      </c>
      <c r="M1883" s="219">
        <f ca="1" t="shared" si="1764"/>
        <v>0</v>
      </c>
      <c r="N1883" s="219">
        <f ca="1" t="shared" si="1765"/>
        <v>0</v>
      </c>
      <c r="O1883" s="219">
        <f ca="1" t="shared" si="1766"/>
        <v>0</v>
      </c>
      <c r="P1883" s="219">
        <f ca="1" t="shared" si="1767"/>
        <v>0</v>
      </c>
      <c r="Q1883" s="219">
        <f ca="1" t="shared" si="1768"/>
        <v>0</v>
      </c>
    </row>
    <row r="1884" ht="24" customHeight="1" spans="1:17">
      <c r="A1884" s="99" t="s">
        <v>349</v>
      </c>
      <c r="B1884" s="99" t="s">
        <v>299</v>
      </c>
      <c r="C1884" s="99" t="s">
        <v>343</v>
      </c>
      <c r="D1884" s="53" t="s">
        <v>327</v>
      </c>
      <c r="E1884" s="53" t="s">
        <v>81</v>
      </c>
      <c r="F1884" s="219">
        <f ca="1" t="shared" si="1757"/>
        <v>0</v>
      </c>
      <c r="G1884" s="219">
        <f ca="1" t="shared" si="1758"/>
        <v>0</v>
      </c>
      <c r="H1884" s="219">
        <f ca="1" t="shared" si="1759"/>
        <v>0</v>
      </c>
      <c r="I1884" s="219">
        <f ca="1" t="shared" si="1760"/>
        <v>0</v>
      </c>
      <c r="J1884" s="219">
        <f ca="1" t="shared" si="1761"/>
        <v>0</v>
      </c>
      <c r="K1884" s="219">
        <f ca="1" t="shared" si="1762"/>
        <v>0</v>
      </c>
      <c r="L1884" s="219">
        <f ca="1" t="shared" si="1763"/>
        <v>0</v>
      </c>
      <c r="M1884" s="219">
        <f ca="1" t="shared" si="1764"/>
        <v>0</v>
      </c>
      <c r="N1884" s="219">
        <f ca="1" t="shared" si="1765"/>
        <v>0</v>
      </c>
      <c r="O1884" s="219">
        <f ca="1" t="shared" si="1766"/>
        <v>0</v>
      </c>
      <c r="P1884" s="219">
        <f ca="1" t="shared" si="1767"/>
        <v>0</v>
      </c>
      <c r="Q1884" s="219">
        <f ca="1" t="shared" si="1768"/>
        <v>0</v>
      </c>
    </row>
    <row r="1885" ht="24" customHeight="1" spans="1:17">
      <c r="A1885" s="99" t="s">
        <v>349</v>
      </c>
      <c r="B1885" s="99" t="s">
        <v>299</v>
      </c>
      <c r="C1885" s="99" t="s">
        <v>343</v>
      </c>
      <c r="D1885" s="53" t="s">
        <v>327</v>
      </c>
      <c r="E1885" s="53" t="s">
        <v>96</v>
      </c>
      <c r="F1885" s="219">
        <f ca="1" t="shared" si="1757"/>
        <v>0</v>
      </c>
      <c r="G1885" s="219">
        <f ca="1" t="shared" si="1758"/>
        <v>0</v>
      </c>
      <c r="H1885" s="219">
        <f ca="1" t="shared" si="1759"/>
        <v>0</v>
      </c>
      <c r="I1885" s="219">
        <f ca="1" t="shared" si="1760"/>
        <v>0</v>
      </c>
      <c r="J1885" s="219">
        <f ca="1" t="shared" si="1761"/>
        <v>0</v>
      </c>
      <c r="K1885" s="219">
        <f ca="1" t="shared" si="1762"/>
        <v>0</v>
      </c>
      <c r="L1885" s="219">
        <f ca="1" t="shared" si="1763"/>
        <v>0</v>
      </c>
      <c r="M1885" s="219">
        <f ca="1" t="shared" si="1764"/>
        <v>0</v>
      </c>
      <c r="N1885" s="219">
        <f ca="1" t="shared" si="1765"/>
        <v>0</v>
      </c>
      <c r="O1885" s="219">
        <f ca="1" t="shared" si="1766"/>
        <v>0</v>
      </c>
      <c r="P1885" s="219">
        <f ca="1" t="shared" si="1767"/>
        <v>0</v>
      </c>
      <c r="Q1885" s="219">
        <f ca="1" t="shared" si="1768"/>
        <v>0</v>
      </c>
    </row>
    <row r="1886" ht="24" customHeight="1" spans="1:17">
      <c r="A1886" s="99" t="s">
        <v>349</v>
      </c>
      <c r="B1886" s="99" t="s">
        <v>299</v>
      </c>
      <c r="C1886" s="99" t="s">
        <v>343</v>
      </c>
      <c r="D1886" s="53" t="s">
        <v>327</v>
      </c>
      <c r="E1886" s="53" t="s">
        <v>160</v>
      </c>
      <c r="F1886" s="219">
        <f ca="1" t="shared" si="1757"/>
        <v>0</v>
      </c>
      <c r="G1886" s="219">
        <f ca="1" t="shared" si="1758"/>
        <v>0</v>
      </c>
      <c r="H1886" s="219">
        <f ca="1" t="shared" si="1759"/>
        <v>0</v>
      </c>
      <c r="I1886" s="219">
        <f ca="1" t="shared" si="1760"/>
        <v>0</v>
      </c>
      <c r="J1886" s="219">
        <f ca="1" t="shared" si="1761"/>
        <v>0</v>
      </c>
      <c r="K1886" s="219">
        <f ca="1" t="shared" si="1762"/>
        <v>0</v>
      </c>
      <c r="L1886" s="219">
        <f ca="1" t="shared" si="1763"/>
        <v>0</v>
      </c>
      <c r="M1886" s="219">
        <f ca="1" t="shared" si="1764"/>
        <v>0</v>
      </c>
      <c r="N1886" s="219">
        <f ca="1" t="shared" si="1765"/>
        <v>0</v>
      </c>
      <c r="O1886" s="219">
        <f ca="1" t="shared" si="1766"/>
        <v>0</v>
      </c>
      <c r="P1886" s="219">
        <f ca="1" t="shared" si="1767"/>
        <v>0</v>
      </c>
      <c r="Q1886" s="219">
        <f ca="1" t="shared" si="1768"/>
        <v>0</v>
      </c>
    </row>
    <row r="1887" ht="24" customHeight="1" spans="1:17">
      <c r="A1887" s="99" t="s">
        <v>350</v>
      </c>
      <c r="B1887" s="99" t="s">
        <v>290</v>
      </c>
      <c r="C1887" s="99" t="s">
        <v>291</v>
      </c>
      <c r="D1887" s="100" t="s">
        <v>292</v>
      </c>
      <c r="E1887" s="100" t="s">
        <v>293</v>
      </c>
      <c r="F1887" s="204">
        <f ca="1">IF($S$1&lt;DATE(2025,1,1)," ",IF((SUM(F1888:F1894)-MAX(F1900,F1904))&lt;0,"ERR",SUM(F1888:F1894)))</f>
        <v>1</v>
      </c>
      <c r="G1887" s="204">
        <f ca="1">IF($S$1&lt;DATE(2025,2,1)," ",IF((SUM(G1888:G1894)-MAX(G1900,G1904))&lt;0,"ERR",SUM(G1888:G1894)))</f>
        <v>3</v>
      </c>
      <c r="H1887" s="204">
        <f ca="1">IF($S$1&lt;DATE(2025,3,1)," ",IF((SUM(H1888:H1894)-MAX(H1900,H1904))&lt;0,"ERR",SUM(H1888:H1894)))</f>
        <v>4</v>
      </c>
      <c r="I1887" s="204">
        <f ca="1">IF($S$1&lt;DATE(2025,4,1)," ",IF((SUM(I1888:I1894)-MAX(I1900,I1904))&lt;0,"ERR",SUM(I1888:I1894)))</f>
        <v>1</v>
      </c>
      <c r="J1887" s="204">
        <f ca="1">IF($S$1&lt;DATE(2025,5,1)," ",IF((SUM(J1888:J1894)-MAX(J1900,J1904))&lt;0,"ERR",SUM(J1888:J1894)))</f>
        <v>3</v>
      </c>
      <c r="K1887" s="204">
        <f ca="1">IF($S$1&lt;DATE(2025,6,1)," ",IF((SUM(K1888:K1894)-MAX(K1900,K1904))&lt;0,"ERR",SUM(K1888:K1894)))</f>
        <v>0</v>
      </c>
      <c r="L1887" s="204">
        <f ca="1">IF($S$1&lt;DATE(2025,7,1)," ",IF((SUM(L1888:L1894)-MAX(L1900,L1904))&lt;0,"ERR",SUM(L1888:L1894)))</f>
        <v>1</v>
      </c>
      <c r="M1887" s="204">
        <f ca="1">IF($S$1&lt;DATE(2025,8,1)," ",IF((SUM(M1888:M1894)-MAX(M1900,M1904))&lt;0,"ERR",SUM(M1888:M1894)))</f>
        <v>3</v>
      </c>
      <c r="N1887" s="204">
        <f ca="1">IF($S$1&lt;DATE(2025,9,1)," ",IF((SUM(N1888:N1894)-MAX(N1900,N1904))&lt;0,"ERR",SUM(N1888:N1894)))</f>
        <v>4</v>
      </c>
      <c r="O1887" s="204">
        <f ca="1">IF($S$1&lt;DATE(2025,10,1)," ",IF((SUM(O1888:O1894)-MAX(O1900,O1904))&lt;0,"ERR",SUM(O1888:O1894)))</f>
        <v>1</v>
      </c>
      <c r="P1887" s="204">
        <f ca="1">IF($S$1&lt;DATE(2025,11,1)," ",IF((SUM(P1888:P1894)-MAX(P1900,P1904))&lt;0,"ERR",SUM(P1888:P1894)))</f>
        <v>2</v>
      </c>
      <c r="Q1887" s="204">
        <f ca="1">IF($S$1&lt;DATE(2025,12,1)," ",IF((SUM(Q1888:Q1894)-MAX(Q1900,Q1904))&lt;0,"ERR",SUM(Q1888:Q1894)))</f>
        <v>1</v>
      </c>
    </row>
    <row r="1888" ht="24" customHeight="1" spans="1:35">
      <c r="A1888" s="99" t="s">
        <v>350</v>
      </c>
      <c r="B1888" s="99" t="s">
        <v>290</v>
      </c>
      <c r="C1888" s="99" t="s">
        <v>291</v>
      </c>
      <c r="D1888" s="48" t="s">
        <v>31</v>
      </c>
      <c r="E1888" s="48" t="s">
        <v>90</v>
      </c>
      <c r="F1888" s="205">
        <f ca="1">IF($S$1&lt;DATE(2025,1,1)," ",COUNTIFS('2025数据'!$AA$3:$AA$181,"&gt;="&amp;DATE(2024,1,1),'2025数据'!$AA$3:$AA$181,"&lt;="&amp;DATE(2025,1,31),'2025数据'!$AE$3:$AE$181,$E1888))</f>
        <v>1</v>
      </c>
      <c r="G1888" s="205">
        <f ca="1">IF($S$1&lt;DATE(2025,2,1)," ",COUNTIFS('2025数据'!$AA$3:$AA$181,"&gt;="&amp;DATE(2025,2,1),'2025数据'!$AA$3:$AA$181,"&lt;="&amp;DATE(2025,2,28),'2025数据'!$AE$3:$AE$181,$E1888))</f>
        <v>0</v>
      </c>
      <c r="H1888" s="205">
        <f ca="1">IF($S$1&lt;DATE(2025,3,1)," ",COUNTIFS('2025数据'!$AA$3:$AA$181,"&gt;="&amp;DATE(2025,3,1),'2025数据'!$AA$3:$AA$181,"&lt;="&amp;DATE(2025,3,31),'2025数据'!$AE$3:$AE$181,$E1888))</f>
        <v>0</v>
      </c>
      <c r="I1888" s="205">
        <f ca="1">IF($S$1&lt;DATE(2025,4,1)," ",COUNTIFS('2025数据'!$AA$3:$AA$181,"&gt;="&amp;DATE(2025,4,1),'2025数据'!$AA$3:$AA$181,"&lt;="&amp;DATE(2025,4,30),'2025数据'!$AE$3:$AE$181,$E1888))</f>
        <v>0</v>
      </c>
      <c r="J1888" s="205">
        <f ca="1">IF($S$1&lt;DATE(2025,5,1)," ",COUNTIFS('2025数据'!$AA$3:$AA$181,"&gt;="&amp;DATE(2025,5,1),'2025数据'!$AA$3:$AA$181,"&lt;="&amp;DATE(2025,5,31),'2025数据'!$AE$3:$AE$181,$E1888))</f>
        <v>1</v>
      </c>
      <c r="K1888" s="205">
        <f ca="1">IF($S$1&lt;DATE(2025,6,1)," ",COUNTIFS('2025数据'!$AA$3:$AA$181,"&gt;="&amp;DATE(2025,6,1),'2025数据'!$AA$3:$AA$181,"&lt;="&amp;DATE(2025,6,30),'2025数据'!$AE$3:$AE$181,$E1888))</f>
        <v>0</v>
      </c>
      <c r="L1888" s="205">
        <f ca="1">IF($S$1&lt;DATE(2025,7,1)," ",COUNTIFS('2025数据'!$AA$3:$AA$181,"&gt;="&amp;DATE(2025,7,1),'2025数据'!$AA$3:$AA$181,"&lt;="&amp;DATE(2025,7,31),'2025数据'!$AE$3:$AE$181,$E1888))</f>
        <v>0</v>
      </c>
      <c r="M1888" s="205">
        <f ca="1">IF($S$1&lt;DATE(2025,8,1)," ",COUNTIFS('2025数据'!$AA$3:$AA$181,"&gt;="&amp;DATE(2025,8,1),'2025数据'!$AA$3:$AA$181,"&lt;="&amp;DATE(2025,8,31),'2025数据'!$AE$3:$AE$181,$E1888))</f>
        <v>0</v>
      </c>
      <c r="N1888" s="205">
        <f ca="1">IF($S$1&lt;DATE(2025,9,1)," ",COUNTIFS('2025数据'!$AA$3:$AA$181,"&gt;="&amp;DATE(2025,9,1),'2025数据'!$AA$3:$AA$181,"&lt;="&amp;DATE(2025,9,30),'2025数据'!$AE$3:$AE$181,$E1888))</f>
        <v>1</v>
      </c>
      <c r="O1888" s="205">
        <f ca="1">IF($S$1&lt;DATE(2025,10,1)," ",COUNTIFS('2025数据'!$AA$3:$AA$181,"&gt;="&amp;DATE(2025,10,1),'2025数据'!$AA$3:$AA$181,"&lt;="&amp;DATE(2025,10,31),'2025数据'!$AE$3:$AE$181,$E1888))</f>
        <v>0</v>
      </c>
      <c r="P1888" s="207">
        <f ca="1">IF($S$1&lt;DATE(2025,11,1)," ",COUNTIFS('2025数据'!$AA$3:$AA$181,"&gt;="&amp;DATE(2025,11,1),'2025数据'!$AA$3:$AA$181,"&lt;="&amp;DATE(2025,11,30),'2025数据'!$AE$3:$AE$181,$E1888))</f>
        <v>0</v>
      </c>
      <c r="Q1888" s="207">
        <f ca="1">IF($S$1&lt;DATE(2025,12,1)," ",COUNTIFS('2025数据'!$AA$3:$AA$181,"&gt;="&amp;DATE(2025,12,1),'2025数据'!$AA$3:$AA$181,"&lt;="&amp;DATE(2025,12,31),'2025数据'!$AE$3:$AE$181,$E1888))</f>
        <v>0</v>
      </c>
      <c r="S1888" s="108" t="s">
        <v>272</v>
      </c>
      <c r="T1888" s="108" t="s">
        <v>273</v>
      </c>
      <c r="U1888" s="108" t="s">
        <v>274</v>
      </c>
      <c r="V1888" s="98" t="s">
        <v>275</v>
      </c>
      <c r="W1888" s="98" t="s">
        <v>276</v>
      </c>
      <c r="X1888" s="102" t="s">
        <v>277</v>
      </c>
      <c r="Y1888" s="103" t="s">
        <v>278</v>
      </c>
      <c r="Z1888" s="102" t="s">
        <v>279</v>
      </c>
      <c r="AA1888" s="103" t="s">
        <v>280</v>
      </c>
      <c r="AB1888" s="102" t="s">
        <v>281</v>
      </c>
      <c r="AC1888" s="103" t="s">
        <v>282</v>
      </c>
      <c r="AD1888" s="102" t="s">
        <v>283</v>
      </c>
      <c r="AE1888" s="103" t="s">
        <v>284</v>
      </c>
      <c r="AF1888" s="102" t="s">
        <v>285</v>
      </c>
      <c r="AG1888" s="103" t="s">
        <v>286</v>
      </c>
      <c r="AH1888" s="102" t="s">
        <v>287</v>
      </c>
      <c r="AI1888" s="107" t="s">
        <v>288</v>
      </c>
    </row>
    <row r="1889" ht="24" customHeight="1" spans="1:17">
      <c r="A1889" s="99" t="s">
        <v>350</v>
      </c>
      <c r="B1889" s="99" t="s">
        <v>290</v>
      </c>
      <c r="C1889" s="99" t="s">
        <v>291</v>
      </c>
      <c r="D1889" s="48" t="s">
        <v>31</v>
      </c>
      <c r="E1889" s="48" t="s">
        <v>82</v>
      </c>
      <c r="F1889" s="205">
        <f ca="1">IF($S$1&lt;DATE(2025,1,1)," ",COUNTIFS('2025数据'!$AA$3:$AA$181,"&gt;="&amp;DATE(2024,1,1),'2025数据'!$AA$3:$AA$181,"&lt;="&amp;DATE(2025,1,31),'2025数据'!$AE$3:$AE$181,$E1889))</f>
        <v>0</v>
      </c>
      <c r="G1889" s="205">
        <f ca="1">IF($S$1&lt;DATE(2025,2,1)," ",COUNTIFS('2025数据'!$AA$3:$AA$181,"&gt;="&amp;DATE(2025,2,1),'2025数据'!$AA$3:$AA$181,"&lt;="&amp;DATE(2025,2,28),'2025数据'!$AE$3:$AE$181,$E1889))</f>
        <v>1</v>
      </c>
      <c r="H1889" s="205">
        <f ca="1">IF($S$1&lt;DATE(2025,3,1)," ",COUNTIFS('2025数据'!$AA$3:$AA$181,"&gt;="&amp;DATE(2025,3,1),'2025数据'!$AA$3:$AA$181,"&lt;="&amp;DATE(2025,3,31),'2025数据'!$AE$3:$AE$181,$E1889))</f>
        <v>1</v>
      </c>
      <c r="I1889" s="205">
        <f ca="1">IF($S$1&lt;DATE(2025,4,1)," ",COUNTIFS('2025数据'!$AA$3:$AA$181,"&gt;="&amp;DATE(2025,4,1),'2025数据'!$AA$3:$AA$181,"&lt;="&amp;DATE(2025,4,30),'2025数据'!$AE$3:$AE$181,$E1889))</f>
        <v>0</v>
      </c>
      <c r="J1889" s="205">
        <f ca="1">IF($S$1&lt;DATE(2025,5,1)," ",COUNTIFS('2025数据'!$AA$3:$AA$181,"&gt;="&amp;DATE(2025,5,1),'2025数据'!$AA$3:$AA$181,"&lt;="&amp;DATE(2025,5,31),'2025数据'!$AE$3:$AE$181,$E1889))</f>
        <v>0</v>
      </c>
      <c r="K1889" s="205">
        <f ca="1">IF($S$1&lt;DATE(2025,6,1)," ",COUNTIFS('2025数据'!$AA$3:$AA$181,"&gt;="&amp;DATE(2025,6,1),'2025数据'!$AA$3:$AA$181,"&lt;="&amp;DATE(2025,6,30),'2025数据'!$AE$3:$AE$181,$E1889))</f>
        <v>0</v>
      </c>
      <c r="L1889" s="205">
        <f ca="1">IF($S$1&lt;DATE(2025,7,1)," ",COUNTIFS('2025数据'!$AA$3:$AA$181,"&gt;="&amp;DATE(2025,7,1),'2025数据'!$AA$3:$AA$181,"&lt;="&amp;DATE(2025,7,31),'2025数据'!$AE$3:$AE$181,$E1889))</f>
        <v>1</v>
      </c>
      <c r="M1889" s="205">
        <f ca="1">IF($S$1&lt;DATE(2025,8,1)," ",COUNTIFS('2025数据'!$AA$3:$AA$181,"&gt;="&amp;DATE(2025,8,1),'2025数据'!$AA$3:$AA$181,"&lt;="&amp;DATE(2025,8,31),'2025数据'!$AE$3:$AE$181,$E1889))</f>
        <v>2</v>
      </c>
      <c r="N1889" s="205">
        <f ca="1">IF($S$1&lt;DATE(2025,9,1)," ",COUNTIFS('2025数据'!$AA$3:$AA$181,"&gt;="&amp;DATE(2025,9,1),'2025数据'!$AA$3:$AA$181,"&lt;="&amp;DATE(2025,9,30),'2025数据'!$AE$3:$AE$181,$E1889))</f>
        <v>1</v>
      </c>
      <c r="O1889" s="205">
        <f ca="1">IF($S$1&lt;DATE(2025,10,1)," ",COUNTIFS('2025数据'!$AA$3:$AA$181,"&gt;="&amp;DATE(2025,10,1),'2025数据'!$AA$3:$AA$181,"&lt;="&amp;DATE(2025,10,31),'2025数据'!$AE$3:$AE$181,$E1889))</f>
        <v>0</v>
      </c>
      <c r="P1889" s="207">
        <f ca="1">IF($S$1&lt;DATE(2025,11,1)," ",COUNTIFS('2025数据'!$AA$3:$AA$181,"&gt;="&amp;DATE(2025,11,1),'2025数据'!$AA$3:$AA$181,"&lt;="&amp;DATE(2025,11,30),'2025数据'!$AE$3:$AE$181,$E1889))</f>
        <v>1</v>
      </c>
      <c r="Q1889" s="207">
        <f ca="1">IF($S$1&lt;DATE(2025,12,1)," ",COUNTIFS('2025数据'!$AA$3:$AA$181,"&gt;="&amp;DATE(2025,12,1),'2025数据'!$AA$3:$AA$181,"&lt;="&amp;DATE(2025,12,31),'2025数据'!$AE$3:$AE$181,$E1889))</f>
        <v>0</v>
      </c>
    </row>
    <row r="1890" ht="24" customHeight="1" spans="1:17">
      <c r="A1890" s="99" t="s">
        <v>350</v>
      </c>
      <c r="B1890" s="99" t="s">
        <v>290</v>
      </c>
      <c r="C1890" s="99" t="s">
        <v>291</v>
      </c>
      <c r="D1890" s="48" t="s">
        <v>31</v>
      </c>
      <c r="E1890" s="48" t="s">
        <v>86</v>
      </c>
      <c r="F1890" s="205">
        <f ca="1">IF($S$1&lt;DATE(2025,1,1)," ",COUNTIFS('2025数据'!$AA$3:$AA$181,"&gt;="&amp;DATE(2024,1,1),'2025数据'!$AA$3:$AA$181,"&lt;="&amp;DATE(2025,1,31),'2025数据'!$AE$3:$AE$181,$E1890))</f>
        <v>0</v>
      </c>
      <c r="G1890" s="205">
        <f ca="1">IF($S$1&lt;DATE(2025,2,1)," ",COUNTIFS('2025数据'!$AA$3:$AA$181,"&gt;="&amp;DATE(2025,2,1),'2025数据'!$AA$3:$AA$181,"&lt;="&amp;DATE(2025,2,28),'2025数据'!$AE$3:$AE$181,$E1890))</f>
        <v>0</v>
      </c>
      <c r="H1890" s="205">
        <f ca="1">IF($S$1&lt;DATE(2025,3,1)," ",COUNTIFS('2025数据'!$AA$3:$AA$181,"&gt;="&amp;DATE(2025,3,1),'2025数据'!$AA$3:$AA$181,"&lt;="&amp;DATE(2025,3,31),'2025数据'!$AE$3:$AE$181,$E1890))</f>
        <v>0</v>
      </c>
      <c r="I1890" s="205">
        <f ca="1">IF($S$1&lt;DATE(2025,4,1)," ",COUNTIFS('2025数据'!$AA$3:$AA$181,"&gt;="&amp;DATE(2025,4,1),'2025数据'!$AA$3:$AA$181,"&lt;="&amp;DATE(2025,4,30),'2025数据'!$AE$3:$AE$181,$E1890))</f>
        <v>0</v>
      </c>
      <c r="J1890" s="205">
        <f ca="1">IF($S$1&lt;DATE(2025,5,1)," ",COUNTIFS('2025数据'!$AA$3:$AA$181,"&gt;="&amp;DATE(2025,5,1),'2025数据'!$AA$3:$AA$181,"&lt;="&amp;DATE(2025,5,31),'2025数据'!$AE$3:$AE$181,$E1890))</f>
        <v>0</v>
      </c>
      <c r="K1890" s="205">
        <f ca="1">IF($S$1&lt;DATE(2025,6,1)," ",COUNTIFS('2025数据'!$AA$3:$AA$181,"&gt;="&amp;DATE(2025,6,1),'2025数据'!$AA$3:$AA$181,"&lt;="&amp;DATE(2025,6,30),'2025数据'!$AE$3:$AE$181,$E1890))</f>
        <v>0</v>
      </c>
      <c r="L1890" s="205">
        <f ca="1">IF($S$1&lt;DATE(2025,7,1)," ",COUNTIFS('2025数据'!$AA$3:$AA$181,"&gt;="&amp;DATE(2025,7,1),'2025数据'!$AA$3:$AA$181,"&lt;="&amp;DATE(2025,7,31),'2025数据'!$AE$3:$AE$181,$E1890))</f>
        <v>0</v>
      </c>
      <c r="M1890" s="205">
        <f ca="1">IF($S$1&lt;DATE(2025,8,1)," ",COUNTIFS('2025数据'!$AA$3:$AA$181,"&gt;="&amp;DATE(2025,8,1),'2025数据'!$AA$3:$AA$181,"&lt;="&amp;DATE(2025,8,31),'2025数据'!$AE$3:$AE$181,$E1890))</f>
        <v>0</v>
      </c>
      <c r="N1890" s="205">
        <f ca="1">IF($S$1&lt;DATE(2025,9,1)," ",COUNTIFS('2025数据'!$AA$3:$AA$181,"&gt;="&amp;DATE(2025,9,1),'2025数据'!$AA$3:$AA$181,"&lt;="&amp;DATE(2025,9,30),'2025数据'!$AE$3:$AE$181,$E1890))</f>
        <v>0</v>
      </c>
      <c r="O1890" s="205">
        <f ca="1">IF($S$1&lt;DATE(2025,10,1)," ",COUNTIFS('2025数据'!$AA$3:$AA$181,"&gt;="&amp;DATE(2025,10,1),'2025数据'!$AA$3:$AA$181,"&lt;="&amp;DATE(2025,10,31),'2025数据'!$AE$3:$AE$181,$E1890))</f>
        <v>0</v>
      </c>
      <c r="P1890" s="207">
        <f ca="1">IF($S$1&lt;DATE(2025,11,1)," ",COUNTIFS('2025数据'!$AA$3:$AA$181,"&gt;="&amp;DATE(2025,11,1),'2025数据'!$AA$3:$AA$181,"&lt;="&amp;DATE(2025,11,30),'2025数据'!$AE$3:$AE$181,$E1890))</f>
        <v>0</v>
      </c>
      <c r="Q1890" s="207">
        <f ca="1">IF($S$1&lt;DATE(2025,12,1)," ",COUNTIFS('2025数据'!$AA$3:$AA$181,"&gt;="&amp;DATE(2025,12,1),'2025数据'!$AA$3:$AA$181,"&lt;="&amp;DATE(2025,12,31),'2025数据'!$AE$3:$AE$181,$E1890))</f>
        <v>0</v>
      </c>
    </row>
    <row r="1891" ht="24" customHeight="1" spans="1:17">
      <c r="A1891" s="99" t="s">
        <v>350</v>
      </c>
      <c r="B1891" s="99" t="s">
        <v>290</v>
      </c>
      <c r="C1891" s="99" t="s">
        <v>291</v>
      </c>
      <c r="D1891" s="48" t="s">
        <v>31</v>
      </c>
      <c r="E1891" s="48" t="s">
        <v>97</v>
      </c>
      <c r="F1891" s="205">
        <f ca="1">IF($S$1&lt;DATE(2025,1,1)," ",COUNTIFS('2025数据'!$AA$3:$AA$181,"&gt;="&amp;DATE(2024,1,1),'2025数据'!$AA$3:$AA$181,"&lt;="&amp;DATE(2025,1,31),'2025数据'!$AE$3:$AE$181,$E1891))</f>
        <v>0</v>
      </c>
      <c r="G1891" s="205">
        <f ca="1">IF($S$1&lt;DATE(2025,2,1)," ",COUNTIFS('2025数据'!$AA$3:$AA$181,"&gt;="&amp;DATE(2025,2,1),'2025数据'!$AA$3:$AA$181,"&lt;="&amp;DATE(2025,2,28),'2025数据'!$AE$3:$AE$181,$E1891))</f>
        <v>2</v>
      </c>
      <c r="H1891" s="205">
        <f ca="1">IF($S$1&lt;DATE(2025,3,1)," ",COUNTIFS('2025数据'!$AA$3:$AA$181,"&gt;="&amp;DATE(2025,3,1),'2025数据'!$AA$3:$AA$181,"&lt;="&amp;DATE(2025,3,31),'2025数据'!$AE$3:$AE$181,$E1891))</f>
        <v>1</v>
      </c>
      <c r="I1891" s="205">
        <f ca="1">IF($S$1&lt;DATE(2025,4,1)," ",COUNTIFS('2025数据'!$AA$3:$AA$181,"&gt;="&amp;DATE(2025,4,1),'2025数据'!$AA$3:$AA$181,"&lt;="&amp;DATE(2025,4,30),'2025数据'!$AE$3:$AE$181,$E1891))</f>
        <v>0</v>
      </c>
      <c r="J1891" s="205">
        <f ca="1">IF($S$1&lt;DATE(2025,5,1)," ",COUNTIFS('2025数据'!$AA$3:$AA$181,"&gt;="&amp;DATE(2025,5,1),'2025数据'!$AA$3:$AA$181,"&lt;="&amp;DATE(2025,5,31),'2025数据'!$AE$3:$AE$181,$E1891))</f>
        <v>2</v>
      </c>
      <c r="K1891" s="205">
        <f ca="1">IF($S$1&lt;DATE(2025,6,1)," ",COUNTIFS('2025数据'!$AA$3:$AA$181,"&gt;="&amp;DATE(2025,6,1),'2025数据'!$AA$3:$AA$181,"&lt;="&amp;DATE(2025,6,30),'2025数据'!$AE$3:$AE$181,$E1891))</f>
        <v>0</v>
      </c>
      <c r="L1891" s="205">
        <f ca="1">IF($S$1&lt;DATE(2025,7,1)," ",COUNTIFS('2025数据'!$AA$3:$AA$181,"&gt;="&amp;DATE(2025,7,1),'2025数据'!$AA$3:$AA$181,"&lt;="&amp;DATE(2025,7,31),'2025数据'!$AE$3:$AE$181,$E1891))</f>
        <v>0</v>
      </c>
      <c r="M1891" s="205">
        <f ca="1">IF($S$1&lt;DATE(2025,8,1)," ",COUNTIFS('2025数据'!$AA$3:$AA$181,"&gt;="&amp;DATE(2025,8,1),'2025数据'!$AA$3:$AA$181,"&lt;="&amp;DATE(2025,8,31),'2025数据'!$AE$3:$AE$181,$E1891))</f>
        <v>0</v>
      </c>
      <c r="N1891" s="205">
        <f ca="1">IF($S$1&lt;DATE(2025,9,1)," ",COUNTIFS('2025数据'!$AA$3:$AA$181,"&gt;="&amp;DATE(2025,9,1),'2025数据'!$AA$3:$AA$181,"&lt;="&amp;DATE(2025,9,30),'2025数据'!$AE$3:$AE$181,$E1891))</f>
        <v>0</v>
      </c>
      <c r="O1891" s="205">
        <f ca="1">IF($S$1&lt;DATE(2025,10,1)," ",COUNTIFS('2025数据'!$AA$3:$AA$181,"&gt;="&amp;DATE(2025,10,1),'2025数据'!$AA$3:$AA$181,"&lt;="&amp;DATE(2025,10,31),'2025数据'!$AE$3:$AE$181,$E1891))</f>
        <v>1</v>
      </c>
      <c r="P1891" s="207">
        <f ca="1">IF($S$1&lt;DATE(2025,11,1)," ",COUNTIFS('2025数据'!$AA$3:$AA$181,"&gt;="&amp;DATE(2025,11,1),'2025数据'!$AA$3:$AA$181,"&lt;="&amp;DATE(2025,11,30),'2025数据'!$AE$3:$AE$181,$E1891))</f>
        <v>1</v>
      </c>
      <c r="Q1891" s="207">
        <f ca="1">IF($S$1&lt;DATE(2025,12,1)," ",COUNTIFS('2025数据'!$AA$3:$AA$181,"&gt;="&amp;DATE(2025,12,1),'2025数据'!$AA$3:$AA$181,"&lt;="&amp;DATE(2025,12,31),'2025数据'!$AE$3:$AE$181,$E1891))</f>
        <v>0</v>
      </c>
    </row>
    <row r="1892" ht="24" customHeight="1" spans="1:17">
      <c r="A1892" s="99" t="s">
        <v>350</v>
      </c>
      <c r="B1892" s="99" t="s">
        <v>290</v>
      </c>
      <c r="C1892" s="99" t="s">
        <v>291</v>
      </c>
      <c r="D1892" s="48" t="s">
        <v>31</v>
      </c>
      <c r="E1892" s="48" t="s">
        <v>87</v>
      </c>
      <c r="F1892" s="205">
        <f ca="1">IF($S$1&lt;DATE(2025,1,1)," ",COUNTIFS('2025数据'!$AA$3:$AA$181,"&gt;="&amp;DATE(2024,1,1),'2025数据'!$AA$3:$AA$181,"&lt;="&amp;DATE(2025,1,31),'2025数据'!$AE$3:$AE$181,$E1892))</f>
        <v>0</v>
      </c>
      <c r="G1892" s="205">
        <f ca="1">IF($S$1&lt;DATE(2025,2,1)," ",COUNTIFS('2025数据'!$AA$3:$AA$181,"&gt;="&amp;DATE(2025,2,1),'2025数据'!$AA$3:$AA$181,"&lt;="&amp;DATE(2025,2,28),'2025数据'!$AE$3:$AE$181,$E1892))</f>
        <v>0</v>
      </c>
      <c r="H1892" s="205">
        <f ca="1">IF($S$1&lt;DATE(2025,3,1)," ",COUNTIFS('2025数据'!$AA$3:$AA$181,"&gt;="&amp;DATE(2025,3,1),'2025数据'!$AA$3:$AA$181,"&lt;="&amp;DATE(2025,3,31),'2025数据'!$AE$3:$AE$181,$E1892))</f>
        <v>0</v>
      </c>
      <c r="I1892" s="205">
        <f ca="1">IF($S$1&lt;DATE(2025,4,1)," ",COUNTIFS('2025数据'!$AA$3:$AA$181,"&gt;="&amp;DATE(2025,4,1),'2025数据'!$AA$3:$AA$181,"&lt;="&amp;DATE(2025,4,30),'2025数据'!$AE$3:$AE$181,$E1892))</f>
        <v>0</v>
      </c>
      <c r="J1892" s="205">
        <f ca="1">IF($S$1&lt;DATE(2025,5,1)," ",COUNTIFS('2025数据'!$AA$3:$AA$181,"&gt;="&amp;DATE(2025,5,1),'2025数据'!$AA$3:$AA$181,"&lt;="&amp;DATE(2025,5,31),'2025数据'!$AE$3:$AE$181,$E1892))</f>
        <v>0</v>
      </c>
      <c r="K1892" s="205">
        <f ca="1">IF($S$1&lt;DATE(2025,6,1)," ",COUNTIFS('2025数据'!$AA$3:$AA$181,"&gt;="&amp;DATE(2025,6,1),'2025数据'!$AA$3:$AA$181,"&lt;="&amp;DATE(2025,6,30),'2025数据'!$AE$3:$AE$181,$E1892))</f>
        <v>0</v>
      </c>
      <c r="L1892" s="205">
        <f ca="1">IF($S$1&lt;DATE(2025,7,1)," ",COUNTIFS('2025数据'!$AA$3:$AA$181,"&gt;="&amp;DATE(2025,7,1),'2025数据'!$AA$3:$AA$181,"&lt;="&amp;DATE(2025,7,31),'2025数据'!$AE$3:$AE$181,$E1892))</f>
        <v>0</v>
      </c>
      <c r="M1892" s="205">
        <f ca="1">IF($S$1&lt;DATE(2025,8,1)," ",COUNTIFS('2025数据'!$AA$3:$AA$181,"&gt;="&amp;DATE(2025,8,1),'2025数据'!$AA$3:$AA$181,"&lt;="&amp;DATE(2025,8,31),'2025数据'!$AE$3:$AE$181,$E1892))</f>
        <v>1</v>
      </c>
      <c r="N1892" s="205">
        <f ca="1">IF($S$1&lt;DATE(2025,9,1)," ",COUNTIFS('2025数据'!$AA$3:$AA$181,"&gt;="&amp;DATE(2025,9,1),'2025数据'!$AA$3:$AA$181,"&lt;="&amp;DATE(2025,9,30),'2025数据'!$AE$3:$AE$181,$E1892))</f>
        <v>0</v>
      </c>
      <c r="O1892" s="205">
        <f ca="1">IF($S$1&lt;DATE(2025,10,1)," ",COUNTIFS('2025数据'!$AA$3:$AA$181,"&gt;="&amp;DATE(2025,10,1),'2025数据'!$AA$3:$AA$181,"&lt;="&amp;DATE(2025,10,31),'2025数据'!$AE$3:$AE$181,$E1892))</f>
        <v>0</v>
      </c>
      <c r="P1892" s="207">
        <f ca="1">IF($S$1&lt;DATE(2025,11,1)," ",COUNTIFS('2025数据'!$AA$3:$AA$181,"&gt;="&amp;DATE(2025,11,1),'2025数据'!$AA$3:$AA$181,"&lt;="&amp;DATE(2025,11,30),'2025数据'!$AE$3:$AE$181,$E1892))</f>
        <v>0</v>
      </c>
      <c r="Q1892" s="207">
        <f ca="1">IF($S$1&lt;DATE(2025,12,1)," ",COUNTIFS('2025数据'!$AA$3:$AA$181,"&gt;="&amp;DATE(2025,12,1),'2025数据'!$AA$3:$AA$181,"&lt;="&amp;DATE(2025,12,31),'2025数据'!$AE$3:$AE$181,$E1892))</f>
        <v>0</v>
      </c>
    </row>
    <row r="1893" ht="24" customHeight="1" spans="1:17">
      <c r="A1893" s="99" t="s">
        <v>350</v>
      </c>
      <c r="B1893" s="99" t="s">
        <v>290</v>
      </c>
      <c r="C1893" s="99" t="s">
        <v>291</v>
      </c>
      <c r="D1893" s="48" t="s">
        <v>31</v>
      </c>
      <c r="E1893" s="48" t="s">
        <v>149</v>
      </c>
      <c r="F1893" s="205">
        <f ca="1">IF($S$1&lt;DATE(2025,1,1)," ",COUNTIFS('2025数据'!$AA$3:$AA$181,"&gt;="&amp;DATE(2024,1,1),'2025数据'!$AA$3:$AA$181,"&lt;="&amp;DATE(2025,1,31),'2025数据'!$AE$3:$AE$181,$E1893))</f>
        <v>0</v>
      </c>
      <c r="G1893" s="205">
        <f ca="1">IF($S$1&lt;DATE(2025,2,1)," ",COUNTIFS('2025数据'!$AA$3:$AA$181,"&gt;="&amp;DATE(2025,2,1),'2025数据'!$AA$3:$AA$181,"&lt;="&amp;DATE(2025,2,28),'2025数据'!$AE$3:$AE$181,$E1893))</f>
        <v>0</v>
      </c>
      <c r="H1893" s="205">
        <f ca="1">IF($S$1&lt;DATE(2025,3,1)," ",COUNTIFS('2025数据'!$AA$3:$AA$181,"&gt;="&amp;DATE(2025,3,1),'2025数据'!$AA$3:$AA$181,"&lt;="&amp;DATE(2025,3,31),'2025数据'!$AE$3:$AE$181,$E1893))</f>
        <v>2</v>
      </c>
      <c r="I1893" s="205">
        <f ca="1">IF($S$1&lt;DATE(2025,4,1)," ",COUNTIFS('2025数据'!$AA$3:$AA$181,"&gt;="&amp;DATE(2025,4,1),'2025数据'!$AA$3:$AA$181,"&lt;="&amp;DATE(2025,4,30),'2025数据'!$AE$3:$AE$181,$E1893))</f>
        <v>0</v>
      </c>
      <c r="J1893" s="205">
        <f ca="1">IF($S$1&lt;DATE(2025,5,1)," ",COUNTIFS('2025数据'!$AA$3:$AA$181,"&gt;="&amp;DATE(2025,5,1),'2025数据'!$AA$3:$AA$181,"&lt;="&amp;DATE(2025,5,31),'2025数据'!$AE$3:$AE$181,$E1893))</f>
        <v>0</v>
      </c>
      <c r="K1893" s="205">
        <f ca="1">IF($S$1&lt;DATE(2025,6,1)," ",COUNTIFS('2025数据'!$AA$3:$AA$181,"&gt;="&amp;DATE(2025,6,1),'2025数据'!$AA$3:$AA$181,"&lt;="&amp;DATE(2025,6,30),'2025数据'!$AE$3:$AE$181,$E1893))</f>
        <v>0</v>
      </c>
      <c r="L1893" s="205">
        <f ca="1">IF($S$1&lt;DATE(2025,7,1)," ",COUNTIFS('2025数据'!$AA$3:$AA$181,"&gt;="&amp;DATE(2025,7,1),'2025数据'!$AA$3:$AA$181,"&lt;="&amp;DATE(2025,7,31),'2025数据'!$AE$3:$AE$181,$E1893))</f>
        <v>0</v>
      </c>
      <c r="M1893" s="205">
        <f ca="1">IF($S$1&lt;DATE(2025,8,1)," ",COUNTIFS('2025数据'!$AA$3:$AA$181,"&gt;="&amp;DATE(2025,8,1),'2025数据'!$AA$3:$AA$181,"&lt;="&amp;DATE(2025,8,31),'2025数据'!$AE$3:$AE$181,$E1893))</f>
        <v>0</v>
      </c>
      <c r="N1893" s="205">
        <f ca="1">IF($S$1&lt;DATE(2025,9,1)," ",COUNTIFS('2025数据'!$AA$3:$AA$181,"&gt;="&amp;DATE(2025,9,1),'2025数据'!$AA$3:$AA$181,"&lt;="&amp;DATE(2025,9,30),'2025数据'!$AE$3:$AE$181,$E1893))</f>
        <v>0</v>
      </c>
      <c r="O1893" s="205">
        <f ca="1">IF($S$1&lt;DATE(2025,10,1)," ",COUNTIFS('2025数据'!$AA$3:$AA$181,"&gt;="&amp;DATE(2025,10,1),'2025数据'!$AA$3:$AA$181,"&lt;="&amp;DATE(2025,10,31),'2025数据'!$AE$3:$AE$181,$E1893))</f>
        <v>0</v>
      </c>
      <c r="P1893" s="207">
        <f ca="1">IF($S$1&lt;DATE(2025,11,1)," ",COUNTIFS('2025数据'!$AA$3:$AA$181,"&gt;="&amp;DATE(2025,11,1),'2025数据'!$AA$3:$AA$181,"&lt;="&amp;DATE(2025,11,30),'2025数据'!$AE$3:$AE$181,$E1893))</f>
        <v>0</v>
      </c>
      <c r="Q1893" s="207">
        <f ca="1">IF($S$1&lt;DATE(2025,12,1)," ",COUNTIFS('2025数据'!$AA$3:$AA$181,"&gt;="&amp;DATE(2025,12,1),'2025数据'!$AA$3:$AA$181,"&lt;="&amp;DATE(2025,12,31),'2025数据'!$AE$3:$AE$181,$E1893))</f>
        <v>0</v>
      </c>
    </row>
    <row r="1894" ht="24" customHeight="1" spans="1:17">
      <c r="A1894" s="99" t="s">
        <v>350</v>
      </c>
      <c r="B1894" s="99" t="s">
        <v>290</v>
      </c>
      <c r="C1894" s="99" t="s">
        <v>291</v>
      </c>
      <c r="D1894" s="48" t="s">
        <v>31</v>
      </c>
      <c r="E1894" s="48" t="s">
        <v>83</v>
      </c>
      <c r="F1894" s="205">
        <f ca="1">IF($S$1&lt;DATE(2025,1,1)," ",COUNTIFS('2025数据'!$AA$3:$AA$181,"&gt;="&amp;DATE(2024,1,1),'2025数据'!$AA$3:$AA$181,"&lt;="&amp;DATE(2025,1,31),'2025数据'!$AE$3:$AE$181,$E1894))</f>
        <v>0</v>
      </c>
      <c r="G1894" s="205">
        <f ca="1">IF($S$1&lt;DATE(2025,2,1)," ",COUNTIFS('2025数据'!$AA$3:$AA$181,"&gt;="&amp;DATE(2025,2,1),'2025数据'!$AA$3:$AA$181,"&lt;="&amp;DATE(2025,2,28),'2025数据'!$AE$3:$AE$181,$E1894))</f>
        <v>0</v>
      </c>
      <c r="H1894" s="205">
        <f ca="1">IF($S$1&lt;DATE(2025,3,1)," ",COUNTIFS('2025数据'!$AA$3:$AA$181,"&gt;="&amp;DATE(2025,3,1),'2025数据'!$AA$3:$AA$181,"&lt;="&amp;DATE(2025,3,31),'2025数据'!$AE$3:$AE$181,$E1894))</f>
        <v>0</v>
      </c>
      <c r="I1894" s="205">
        <f ca="1">IF($S$1&lt;DATE(2025,4,1)," ",COUNTIFS('2025数据'!$AA$3:$AA$181,"&gt;="&amp;DATE(2025,4,1),'2025数据'!$AA$3:$AA$181,"&lt;="&amp;DATE(2025,4,30),'2025数据'!$AE$3:$AE$181,$E1894))</f>
        <v>1</v>
      </c>
      <c r="J1894" s="205">
        <f ca="1">IF($S$1&lt;DATE(2025,5,1)," ",COUNTIFS('2025数据'!$AA$3:$AA$181,"&gt;="&amp;DATE(2025,5,1),'2025数据'!$AA$3:$AA$181,"&lt;="&amp;DATE(2025,5,31),'2025数据'!$AE$3:$AE$181,$E1894))</f>
        <v>0</v>
      </c>
      <c r="K1894" s="205">
        <f ca="1">IF($S$1&lt;DATE(2025,6,1)," ",COUNTIFS('2025数据'!$AA$3:$AA$181,"&gt;="&amp;DATE(2025,6,1),'2025数据'!$AA$3:$AA$181,"&lt;="&amp;DATE(2025,6,30),'2025数据'!$AE$3:$AE$181,$E1894))</f>
        <v>0</v>
      </c>
      <c r="L1894" s="205">
        <f ca="1">IF($S$1&lt;DATE(2025,7,1)," ",COUNTIFS('2025数据'!$AA$3:$AA$181,"&gt;="&amp;DATE(2025,7,1),'2025数据'!$AA$3:$AA$181,"&lt;="&amp;DATE(2025,7,31),'2025数据'!$AE$3:$AE$181,$E1894))</f>
        <v>0</v>
      </c>
      <c r="M1894" s="205">
        <f ca="1">IF($S$1&lt;DATE(2025,8,1)," ",COUNTIFS('2025数据'!$AA$3:$AA$181,"&gt;="&amp;DATE(2025,8,1),'2025数据'!$AA$3:$AA$181,"&lt;="&amp;DATE(2025,8,31),'2025数据'!$AE$3:$AE$181,$E1894))</f>
        <v>0</v>
      </c>
      <c r="N1894" s="205">
        <f ca="1">IF($S$1&lt;DATE(2025,9,1)," ",COUNTIFS('2025数据'!$AA$3:$AA$181,"&gt;="&amp;DATE(2025,9,1),'2025数据'!$AA$3:$AA$181,"&lt;="&amp;DATE(2025,9,30),'2025数据'!$AE$3:$AE$181,$E1894))</f>
        <v>2</v>
      </c>
      <c r="O1894" s="205">
        <f ca="1">IF($S$1&lt;DATE(2025,10,1)," ",COUNTIFS('2025数据'!$AA$3:$AA$181,"&gt;="&amp;DATE(2025,10,1),'2025数据'!$AA$3:$AA$181,"&lt;="&amp;DATE(2025,10,31),'2025数据'!$AE$3:$AE$181,$E1894))</f>
        <v>0</v>
      </c>
      <c r="P1894" s="207">
        <f ca="1">IF($S$1&lt;DATE(2025,11,1)," ",COUNTIFS('2025数据'!$AA$3:$AA$181,"&gt;="&amp;DATE(2025,11,1),'2025数据'!$AA$3:$AA$181,"&lt;="&amp;DATE(2025,11,30),'2025数据'!$AE$3:$AE$181,$E1894))</f>
        <v>0</v>
      </c>
      <c r="Q1894" s="207">
        <f ca="1">IF($S$1&lt;DATE(2025,12,1)," ",COUNTIFS('2025数据'!$AA$3:$AA$181,"&gt;="&amp;DATE(2025,12,1),'2025数据'!$AA$3:$AA$181,"&lt;="&amp;DATE(2025,12,31),'2025数据'!$AE$3:$AE$181,$E1894))</f>
        <v>1</v>
      </c>
    </row>
    <row r="1895" ht="24" customHeight="1" spans="1:17">
      <c r="A1895" s="99" t="s">
        <v>350</v>
      </c>
      <c r="B1895" s="99" t="s">
        <v>290</v>
      </c>
      <c r="C1895" s="99" t="s">
        <v>291</v>
      </c>
      <c r="D1895" s="47" t="s">
        <v>294</v>
      </c>
      <c r="E1895" s="47" t="s">
        <v>93</v>
      </c>
      <c r="F1895" s="206">
        <f ca="1">IF($S$1&lt;DATE(2025,1,1)," ",COUNTIFS('2025数据'!$AA$3:$AA$181,"&gt;="&amp;DATE(2024,1,1),'2025数据'!$AA$3:$AA$181,"&lt;="&amp;DATE(2025,1,31),'2025数据'!$B$3:$B$181,$E1895))</f>
        <v>0</v>
      </c>
      <c r="G1895" s="206">
        <f ca="1">IF($S$1&lt;DATE(2025,2,1)," ",COUNTIFS('2025数据'!$AA$3:$AA$181,"&gt;="&amp;DATE(2025,2,1),'2025数据'!$AA$3:$AA$181,"&lt;="&amp;DATE(2025,2,28),'2025数据'!$B$3:$B$181,$E1895))</f>
        <v>2</v>
      </c>
      <c r="H1895" s="206">
        <f ca="1">IF($S$1&lt;DATE(2025,3,1)," ",COUNTIFS('2025数据'!$AA$3:$AA$181,"&gt;="&amp;DATE(2025,3,1),'2025数据'!$AA$3:$AA$181,"&lt;="&amp;DATE(2025,3,31),'2025数据'!$B$3:$B$181,$E1895))</f>
        <v>3</v>
      </c>
      <c r="I1895" s="206">
        <f ca="1">IF($S$1&lt;DATE(2025,4,1)," ",COUNTIFS('2025数据'!$AA$3:$AA$181,"&gt;="&amp;DATE(2025,4,1),'2025数据'!$AA$3:$AA$181,"&lt;="&amp;DATE(2025,4,30),'2025数据'!$B$3:$B$181,$E1895))</f>
        <v>0</v>
      </c>
      <c r="J1895" s="206">
        <f ca="1">IF($S$1&lt;DATE(2025,5,1)," ",COUNTIFS('2025数据'!$AA$3:$AA$181,"&gt;="&amp;DATE(2025,5,1),'2025数据'!$AA$3:$AA$181,"&lt;="&amp;DATE(2025,5,31),'2025数据'!$B$3:$B$181,$E1895))</f>
        <v>2</v>
      </c>
      <c r="K1895" s="206">
        <f ca="1">IF($S$1&lt;DATE(2025,6,1)," ",COUNTIFS('2025数据'!$AA$3:$AA$181,"&gt;="&amp;DATE(2025,6,1),'2025数据'!$AA$3:$AA$181,"&lt;="&amp;DATE(2025,6,30),'2025数据'!$B$3:$B$181,$E1895))</f>
        <v>0</v>
      </c>
      <c r="L1895" s="206">
        <f ca="1">IF($S$1&lt;DATE(2025,7,1)," ",COUNTIFS('2025数据'!$AA$3:$AA$181,"&gt;="&amp;DATE(2025,7,1),'2025数据'!$AA$3:$AA$181,"&lt;="&amp;DATE(2025,7,31),'2025数据'!$B$3:$B$181,$E1895))</f>
        <v>0</v>
      </c>
      <c r="M1895" s="206">
        <f ca="1">IF($S$1&lt;DATE(2025,8,1)," ",COUNTIFS('2025数据'!$AA$3:$AA$181,"&gt;="&amp;DATE(2025,8,1),'2025数据'!$AA$3:$AA$181,"&lt;="&amp;DATE(2025,8,31),'2025数据'!$B$3:$B$181,$E1895))</f>
        <v>1</v>
      </c>
      <c r="N1895" s="206">
        <f ca="1">IF($S$1&lt;DATE(2025,9,1)," ",COUNTIFS('2025数据'!$AA$3:$AA$181,"&gt;="&amp;DATE(2025,9,1),'2025数据'!$AA$3:$AA$181,"&lt;="&amp;DATE(2025,9,30),'2025数据'!$B$3:$B$181,$E1895))</f>
        <v>3</v>
      </c>
      <c r="O1895" s="206">
        <f ca="1">IF($S$1&lt;DATE(2025,10,1)," ",COUNTIFS('2025数据'!$AA$3:$AA$181,"&gt;="&amp;DATE(2025,10,1),'2025数据'!$AA$3:$AA$181,"&lt;="&amp;DATE(2025,10,31),'2025数据'!$B$3:$B$181,$E1895))</f>
        <v>1</v>
      </c>
      <c r="P1895" s="208">
        <f ca="1">IF($S$1&lt;DATE(2025,11,1)," ",COUNTIFS('2025数据'!$AA$3:$AA$181,"&gt;="&amp;DATE(2025,11,1),'2025数据'!$AA$3:$AA$181,"&lt;="&amp;DATE(2025,11,30),'2025数据'!$B$3:$B$181,$E1895))</f>
        <v>2</v>
      </c>
      <c r="Q1895" s="208">
        <f ca="1">IF($S$1&lt;DATE(2025,12,1)," ",COUNTIFS('2025数据'!$AA$3:$AA$181,"&gt;="&amp;DATE(2025,12,1),'2025数据'!$AA$3:$AA$181,"&lt;="&amp;DATE(2025,12,31),'2025数据'!$B$3:$B$181,$E1895))</f>
        <v>0</v>
      </c>
    </row>
    <row r="1896" ht="24" customHeight="1" spans="1:17">
      <c r="A1896" s="99" t="s">
        <v>350</v>
      </c>
      <c r="B1896" s="99" t="s">
        <v>290</v>
      </c>
      <c r="C1896" s="99" t="s">
        <v>291</v>
      </c>
      <c r="D1896" s="47" t="s">
        <v>294</v>
      </c>
      <c r="E1896" s="47" t="s">
        <v>85</v>
      </c>
      <c r="F1896" s="206">
        <f ca="1">IF($S$1&lt;DATE(2025,1,1)," ",COUNTIFS('2025数据'!$AA$3:$AA$181,"&gt;="&amp;DATE(2024,1,1),'2025数据'!$AA$3:$AA$181,"&lt;="&amp;DATE(2025,1,31),'2025数据'!$B$3:$B$181,$E1896))</f>
        <v>1</v>
      </c>
      <c r="G1896" s="206">
        <f ca="1">IF($S$1&lt;DATE(2025,2,1)," ",COUNTIFS('2025数据'!$AA$3:$AA$181,"&gt;="&amp;DATE(2025,2,1),'2025数据'!$AA$3:$AA$181,"&lt;="&amp;DATE(2025,2,28),'2025数据'!$B$3:$B$181,$E1896))</f>
        <v>0</v>
      </c>
      <c r="H1896" s="206">
        <f ca="1">IF($S$1&lt;DATE(2025,3,1)," ",COUNTIFS('2025数据'!$AA$3:$AA$181,"&gt;="&amp;DATE(2025,3,1),'2025数据'!$AA$3:$AA$181,"&lt;="&amp;DATE(2025,3,31),'2025数据'!$B$3:$B$181,$E1896))</f>
        <v>0</v>
      </c>
      <c r="I1896" s="206">
        <f ca="1">IF($S$1&lt;DATE(2025,4,1)," ",COUNTIFS('2025数据'!$AA$3:$AA$181,"&gt;="&amp;DATE(2025,4,1),'2025数据'!$AA$3:$AA$181,"&lt;="&amp;DATE(2025,4,30),'2025数据'!$B$3:$B$181,$E1896))</f>
        <v>1</v>
      </c>
      <c r="J1896" s="206">
        <f ca="1">IF($S$1&lt;DATE(2025,5,1)," ",COUNTIFS('2025数据'!$AA$3:$AA$181,"&gt;="&amp;DATE(2025,5,1),'2025数据'!$AA$3:$AA$181,"&lt;="&amp;DATE(2025,5,31),'2025数据'!$B$3:$B$181,$E1896))</f>
        <v>0</v>
      </c>
      <c r="K1896" s="206">
        <f ca="1">IF($S$1&lt;DATE(2025,6,1)," ",COUNTIFS('2025数据'!$AA$3:$AA$181,"&gt;="&amp;DATE(2025,6,1),'2025数据'!$AA$3:$AA$181,"&lt;="&amp;DATE(2025,6,30),'2025数据'!$B$3:$B$181,$E1896))</f>
        <v>0</v>
      </c>
      <c r="L1896" s="206">
        <f ca="1">IF($S$1&lt;DATE(2025,7,1)," ",COUNTIFS('2025数据'!$AA$3:$AA$181,"&gt;="&amp;DATE(2025,7,1),'2025数据'!$AA$3:$AA$181,"&lt;="&amp;DATE(2025,7,31),'2025数据'!$B$3:$B$181,$E1896))</f>
        <v>0</v>
      </c>
      <c r="M1896" s="206">
        <f ca="1">IF($S$1&lt;DATE(2025,8,1)," ",COUNTIFS('2025数据'!$AA$3:$AA$181,"&gt;="&amp;DATE(2025,8,1),'2025数据'!$AA$3:$AA$181,"&lt;="&amp;DATE(2025,8,31),'2025数据'!$B$3:$B$181,$E1896))</f>
        <v>2</v>
      </c>
      <c r="N1896" s="206">
        <f ca="1">IF($S$1&lt;DATE(2025,9,1)," ",COUNTIFS('2025数据'!$AA$3:$AA$181,"&gt;="&amp;DATE(2025,9,1),'2025数据'!$AA$3:$AA$181,"&lt;="&amp;DATE(2025,9,30),'2025数据'!$B$3:$B$181,$E1896))</f>
        <v>1</v>
      </c>
      <c r="O1896" s="206">
        <f ca="1">IF($S$1&lt;DATE(2025,10,1)," ",COUNTIFS('2025数据'!$AA$3:$AA$181,"&gt;="&amp;DATE(2025,10,1),'2025数据'!$AA$3:$AA$181,"&lt;="&amp;DATE(2025,10,31),'2025数据'!$B$3:$B$181,$E1896))</f>
        <v>0</v>
      </c>
      <c r="P1896" s="208">
        <f ca="1">IF($S$1&lt;DATE(2025,11,1)," ",COUNTIFS('2025数据'!$AA$3:$AA$181,"&gt;="&amp;DATE(2025,11,1),'2025数据'!$AA$3:$AA$181,"&lt;="&amp;DATE(2025,11,30),'2025数据'!$B$3:$B$181,$E1896))</f>
        <v>0</v>
      </c>
      <c r="Q1896" s="208">
        <f ca="1">IF($S$1&lt;DATE(2025,12,1)," ",COUNTIFS('2025数据'!$AA$3:$AA$181,"&gt;="&amp;DATE(2025,12,1),'2025数据'!$AA$3:$AA$181,"&lt;="&amp;DATE(2025,12,31),'2025数据'!$B$3:$B$181,$E1896))</f>
        <v>1</v>
      </c>
    </row>
    <row r="1897" ht="24" customHeight="1" spans="1:17">
      <c r="A1897" s="99" t="s">
        <v>350</v>
      </c>
      <c r="B1897" s="99" t="s">
        <v>290</v>
      </c>
      <c r="C1897" s="99" t="s">
        <v>291</v>
      </c>
      <c r="D1897" s="47" t="s">
        <v>294</v>
      </c>
      <c r="E1897" s="47" t="s">
        <v>81</v>
      </c>
      <c r="F1897" s="206">
        <f ca="1">IF($S$1&lt;DATE(2025,1,1)," ",COUNTIFS('2025数据'!$AA$3:$AA$181,"&gt;="&amp;DATE(2024,1,1),'2025数据'!$AA$3:$AA$181,"&lt;="&amp;DATE(2025,1,31),'2025数据'!$B$3:$B$181,$E1897))</f>
        <v>0</v>
      </c>
      <c r="G1897" s="206">
        <f ca="1">IF($S$1&lt;DATE(2025,2,1)," ",COUNTIFS('2025数据'!$AA$3:$AA$181,"&gt;="&amp;DATE(2025,2,1),'2025数据'!$AA$3:$AA$181,"&lt;="&amp;DATE(2025,2,28),'2025数据'!$B$3:$B$181,$E1897))</f>
        <v>0</v>
      </c>
      <c r="H1897" s="206">
        <f ca="1">IF($S$1&lt;DATE(2025,3,1)," ",COUNTIFS('2025数据'!$AA$3:$AA$181,"&gt;="&amp;DATE(2025,3,1),'2025数据'!$AA$3:$AA$181,"&lt;="&amp;DATE(2025,3,31),'2025数据'!$B$3:$B$181,$E1897))</f>
        <v>1</v>
      </c>
      <c r="I1897" s="206">
        <f ca="1">IF($S$1&lt;DATE(2025,4,1)," ",COUNTIFS('2025数据'!$AA$3:$AA$181,"&gt;="&amp;DATE(2025,4,1),'2025数据'!$AA$3:$AA$181,"&lt;="&amp;DATE(2025,4,30),'2025数据'!$B$3:$B$181,$E1897))</f>
        <v>0</v>
      </c>
      <c r="J1897" s="206">
        <f ca="1">IF($S$1&lt;DATE(2025,5,1)," ",COUNTIFS('2025数据'!$AA$3:$AA$181,"&gt;="&amp;DATE(2025,5,1),'2025数据'!$AA$3:$AA$181,"&lt;="&amp;DATE(2025,5,31),'2025数据'!$B$3:$B$181,$E1897))</f>
        <v>1</v>
      </c>
      <c r="K1897" s="206">
        <f ca="1">IF($S$1&lt;DATE(2025,6,1)," ",COUNTIFS('2025数据'!$AA$3:$AA$181,"&gt;="&amp;DATE(2025,6,1),'2025数据'!$AA$3:$AA$181,"&lt;="&amp;DATE(2025,6,30),'2025数据'!$B$3:$B$181,$E1897))</f>
        <v>0</v>
      </c>
      <c r="L1897" s="206">
        <f ca="1">IF($S$1&lt;DATE(2025,7,1)," ",COUNTIFS('2025数据'!$AA$3:$AA$181,"&gt;="&amp;DATE(2025,7,1),'2025数据'!$AA$3:$AA$181,"&lt;="&amp;DATE(2025,7,31),'2025数据'!$B$3:$B$181,$E1897))</f>
        <v>1</v>
      </c>
      <c r="M1897" s="206">
        <f ca="1">IF($S$1&lt;DATE(2025,8,1)," ",COUNTIFS('2025数据'!$AA$3:$AA$181,"&gt;="&amp;DATE(2025,8,1),'2025数据'!$AA$3:$AA$181,"&lt;="&amp;DATE(2025,8,31),'2025数据'!$B$3:$B$181,$E1897))</f>
        <v>0</v>
      </c>
      <c r="N1897" s="206">
        <f ca="1">IF($S$1&lt;DATE(2025,9,1)," ",COUNTIFS('2025数据'!$AA$3:$AA$181,"&gt;="&amp;DATE(2025,9,1),'2025数据'!$AA$3:$AA$181,"&lt;="&amp;DATE(2025,9,30),'2025数据'!$B$3:$B$181,$E1897))</f>
        <v>0</v>
      </c>
      <c r="O1897" s="206">
        <f ca="1">IF($S$1&lt;DATE(2025,10,1)," ",COUNTIFS('2025数据'!$AA$3:$AA$181,"&gt;="&amp;DATE(2025,10,1),'2025数据'!$AA$3:$AA$181,"&lt;="&amp;DATE(2025,10,31),'2025数据'!$B$3:$B$181,$E1897))</f>
        <v>0</v>
      </c>
      <c r="P1897" s="208">
        <f ca="1">IF($S$1&lt;DATE(2025,11,1)," ",COUNTIFS('2025数据'!$AA$3:$AA$181,"&gt;="&amp;DATE(2025,11,1),'2025数据'!$AA$3:$AA$181,"&lt;="&amp;DATE(2025,11,30),'2025数据'!$B$3:$B$181,$E1897))</f>
        <v>0</v>
      </c>
      <c r="Q1897" s="208">
        <f ca="1">IF($S$1&lt;DATE(2025,12,1)," ",COUNTIFS('2025数据'!$AA$3:$AA$181,"&gt;="&amp;DATE(2025,12,1),'2025数据'!$AA$3:$AA$181,"&lt;="&amp;DATE(2025,12,31),'2025数据'!$B$3:$B$181,$E1897))</f>
        <v>0</v>
      </c>
    </row>
    <row r="1898" ht="24" customHeight="1" spans="1:17">
      <c r="A1898" s="99" t="s">
        <v>350</v>
      </c>
      <c r="B1898" s="99" t="s">
        <v>290</v>
      </c>
      <c r="C1898" s="99" t="s">
        <v>291</v>
      </c>
      <c r="D1898" s="47" t="s">
        <v>294</v>
      </c>
      <c r="E1898" s="47" t="s">
        <v>96</v>
      </c>
      <c r="F1898" s="206">
        <f ca="1">IF($S$1&lt;DATE(2025,1,1)," ",COUNTIFS('2025数据'!$AA$3:$AA$181,"&gt;="&amp;DATE(2024,1,1),'2025数据'!$AA$3:$AA$181,"&lt;="&amp;DATE(2025,1,31),'2025数据'!$B$3:$B$181,$E1898))</f>
        <v>0</v>
      </c>
      <c r="G1898" s="206">
        <f ca="1">IF($S$1&lt;DATE(2025,2,1)," ",COUNTIFS('2025数据'!$AA$3:$AA$181,"&gt;="&amp;DATE(2025,2,1),'2025数据'!$AA$3:$AA$181,"&lt;="&amp;DATE(2025,2,28),'2025数据'!$B$3:$B$181,$E1898))</f>
        <v>1</v>
      </c>
      <c r="H1898" s="206">
        <f ca="1">IF($S$1&lt;DATE(2025,3,1)," ",COUNTIFS('2025数据'!$AA$3:$AA$181,"&gt;="&amp;DATE(2025,3,1),'2025数据'!$AA$3:$AA$181,"&lt;="&amp;DATE(2025,3,31),'2025数据'!$B$3:$B$181,$E1898))</f>
        <v>0</v>
      </c>
      <c r="I1898" s="206">
        <f ca="1">IF($S$1&lt;DATE(2025,4,1)," ",COUNTIFS('2025数据'!$AA$3:$AA$181,"&gt;="&amp;DATE(2025,4,1),'2025数据'!$AA$3:$AA$181,"&lt;="&amp;DATE(2025,4,30),'2025数据'!$B$3:$B$181,$E1898))</f>
        <v>0</v>
      </c>
      <c r="J1898" s="206">
        <f ca="1">IF($S$1&lt;DATE(2025,5,1)," ",COUNTIFS('2025数据'!$AA$3:$AA$181,"&gt;="&amp;DATE(2025,5,1),'2025数据'!$AA$3:$AA$181,"&lt;="&amp;DATE(2025,5,31),'2025数据'!$B$3:$B$181,$E1898))</f>
        <v>0</v>
      </c>
      <c r="K1898" s="206">
        <f ca="1">IF($S$1&lt;DATE(2025,6,1)," ",COUNTIFS('2025数据'!$AA$3:$AA$181,"&gt;="&amp;DATE(2025,6,1),'2025数据'!$AA$3:$AA$181,"&lt;="&amp;DATE(2025,6,30),'2025数据'!$B$3:$B$181,$E1898))</f>
        <v>0</v>
      </c>
      <c r="L1898" s="206">
        <f ca="1">IF($S$1&lt;DATE(2025,7,1)," ",COUNTIFS('2025数据'!$AA$3:$AA$181,"&gt;="&amp;DATE(2025,7,1),'2025数据'!$AA$3:$AA$181,"&lt;="&amp;DATE(2025,7,31),'2025数据'!$B$3:$B$181,$E1898))</f>
        <v>0</v>
      </c>
      <c r="M1898" s="206">
        <f ca="1">IF($S$1&lt;DATE(2025,8,1)," ",COUNTIFS('2025数据'!$AA$3:$AA$181,"&gt;="&amp;DATE(2025,8,1),'2025数据'!$AA$3:$AA$181,"&lt;="&amp;DATE(2025,8,31),'2025数据'!$B$3:$B$181,$E1898))</f>
        <v>0</v>
      </c>
      <c r="N1898" s="206">
        <f ca="1">IF($S$1&lt;DATE(2025,9,1)," ",COUNTIFS('2025数据'!$AA$3:$AA$181,"&gt;="&amp;DATE(2025,9,1),'2025数据'!$AA$3:$AA$181,"&lt;="&amp;DATE(2025,9,30),'2025数据'!$B$3:$B$181,$E1898))</f>
        <v>0</v>
      </c>
      <c r="O1898" s="206">
        <f ca="1">IF($S$1&lt;DATE(2025,10,1)," ",COUNTIFS('2025数据'!$AA$3:$AA$181,"&gt;="&amp;DATE(2025,10,1),'2025数据'!$AA$3:$AA$181,"&lt;="&amp;DATE(2025,10,31),'2025数据'!$B$3:$B$181,$E1898))</f>
        <v>0</v>
      </c>
      <c r="P1898" s="208">
        <f ca="1">IF($S$1&lt;DATE(2025,11,1)," ",COUNTIFS('2025数据'!$AA$3:$AA$181,"&gt;="&amp;DATE(2025,11,1),'2025数据'!$AA$3:$AA$181,"&lt;="&amp;DATE(2025,11,30),'2025数据'!$B$3:$B$181,$E1898))</f>
        <v>0</v>
      </c>
      <c r="Q1898" s="208">
        <f ca="1">IF($S$1&lt;DATE(2025,12,1)," ",COUNTIFS('2025数据'!$AA$3:$AA$181,"&gt;="&amp;DATE(2025,12,1),'2025数据'!$AA$3:$AA$181,"&lt;="&amp;DATE(2025,12,31),'2025数据'!$B$3:$B$181,$E1898))</f>
        <v>0</v>
      </c>
    </row>
    <row r="1899" ht="24" customHeight="1" spans="1:17">
      <c r="A1899" s="99" t="s">
        <v>350</v>
      </c>
      <c r="B1899" s="99" t="s">
        <v>290</v>
      </c>
      <c r="C1899" s="99" t="s">
        <v>291</v>
      </c>
      <c r="D1899" s="47" t="s">
        <v>294</v>
      </c>
      <c r="E1899" s="47" t="s">
        <v>160</v>
      </c>
      <c r="F1899" s="206">
        <f ca="1">IF($S$1&lt;DATE(2025,1,1)," ",COUNTIFS('2025数据'!$AA$3:$AA$181,"&gt;="&amp;DATE(2024,1,1),'2025数据'!$AA$3:$AA$181,"&lt;="&amp;DATE(2025,1,31),'2025数据'!$B$3:$B$181,$E1899))</f>
        <v>0</v>
      </c>
      <c r="G1899" s="206">
        <f ca="1">IF($S$1&lt;DATE(2025,2,1)," ",COUNTIFS('2025数据'!$AA$3:$AA$181,"&gt;="&amp;DATE(2025,2,1),'2025数据'!$AA$3:$AA$181,"&lt;="&amp;DATE(2025,2,28),'2025数据'!$B$3:$B$181,$E1899))</f>
        <v>0</v>
      </c>
      <c r="H1899" s="206">
        <f ca="1">IF($S$1&lt;DATE(2025,3,1)," ",COUNTIFS('2025数据'!$AA$3:$AA$181,"&gt;="&amp;DATE(2025,3,1),'2025数据'!$AA$3:$AA$181,"&lt;="&amp;DATE(2025,3,31),'2025数据'!$B$3:$B$181,$E1899))</f>
        <v>0</v>
      </c>
      <c r="I1899" s="206">
        <f ca="1">IF($S$1&lt;DATE(2025,4,1)," ",COUNTIFS('2025数据'!$AA$3:$AA$181,"&gt;="&amp;DATE(2025,4,1),'2025数据'!$AA$3:$AA$181,"&lt;="&amp;DATE(2025,4,30),'2025数据'!$B$3:$B$181,$E1899))</f>
        <v>0</v>
      </c>
      <c r="J1899" s="206">
        <f ca="1">IF($S$1&lt;DATE(2025,5,1)," ",COUNTIFS('2025数据'!$AA$3:$AA$181,"&gt;="&amp;DATE(2025,5,1),'2025数据'!$AA$3:$AA$181,"&lt;="&amp;DATE(2025,5,31),'2025数据'!$B$3:$B$181,$E1899))</f>
        <v>0</v>
      </c>
      <c r="K1899" s="206">
        <f ca="1">IF($S$1&lt;DATE(2025,6,1)," ",COUNTIFS('2025数据'!$AA$3:$AA$181,"&gt;="&amp;DATE(2025,6,1),'2025数据'!$AA$3:$AA$181,"&lt;="&amp;DATE(2025,6,30),'2025数据'!$B$3:$B$181,$E1899))</f>
        <v>0</v>
      </c>
      <c r="L1899" s="206">
        <f ca="1">IF($S$1&lt;DATE(2025,7,1)," ",COUNTIFS('2025数据'!$AA$3:$AA$181,"&gt;="&amp;DATE(2025,7,1),'2025数据'!$AA$3:$AA$181,"&lt;="&amp;DATE(2025,7,31),'2025数据'!$B$3:$B$181,$E1899))</f>
        <v>0</v>
      </c>
      <c r="M1899" s="206">
        <f ca="1">IF($S$1&lt;DATE(2025,8,1)," ",COUNTIFS('2025数据'!$AA$3:$AA$181,"&gt;="&amp;DATE(2025,8,1),'2025数据'!$AA$3:$AA$181,"&lt;="&amp;DATE(2025,8,31),'2025数据'!$B$3:$B$181,$E1899))</f>
        <v>0</v>
      </c>
      <c r="N1899" s="206">
        <f ca="1">IF($S$1&lt;DATE(2025,9,1)," ",COUNTIFS('2025数据'!$AA$3:$AA$181,"&gt;="&amp;DATE(2025,9,1),'2025数据'!$AA$3:$AA$181,"&lt;="&amp;DATE(2025,9,30),'2025数据'!$B$3:$B$181,$E1899))</f>
        <v>0</v>
      </c>
      <c r="O1899" s="206">
        <f ca="1">IF($S$1&lt;DATE(2025,10,1)," ",COUNTIFS('2025数据'!$AA$3:$AA$181,"&gt;="&amp;DATE(2025,10,1),'2025数据'!$AA$3:$AA$181,"&lt;="&amp;DATE(2025,10,31),'2025数据'!$B$3:$B$181,$E1899))</f>
        <v>0</v>
      </c>
      <c r="P1899" s="208">
        <f ca="1">IF($S$1&lt;DATE(2025,11,1)," ",COUNTIFS('2025数据'!$AA$3:$AA$181,"&gt;="&amp;DATE(2025,11,1),'2025数据'!$AA$3:$AA$181,"&lt;="&amp;DATE(2025,11,30),'2025数据'!$B$3:$B$181,$E1899))</f>
        <v>0</v>
      </c>
      <c r="Q1899" s="208">
        <f ca="1">IF($S$1&lt;DATE(2025,12,1)," ",COUNTIFS('2025数据'!$AA$3:$AA$181,"&gt;="&amp;DATE(2025,12,1),'2025数据'!$AA$3:$AA$181,"&lt;="&amp;DATE(2025,12,31),'2025数据'!$B$3:$B$181,$E1899))</f>
        <v>0</v>
      </c>
    </row>
    <row r="1900" ht="24" customHeight="1" spans="1:17">
      <c r="A1900" s="99" t="s">
        <v>350</v>
      </c>
      <c r="B1900" s="99" t="s">
        <v>290</v>
      </c>
      <c r="C1900" s="99" t="s">
        <v>291</v>
      </c>
      <c r="D1900" s="100" t="s">
        <v>292</v>
      </c>
      <c r="E1900" s="100" t="s">
        <v>295</v>
      </c>
      <c r="F1900" s="204">
        <f ca="1">IF($S$1&lt;DATE(2025,1,1)," ",SUM(F1901:F1903))</f>
        <v>1</v>
      </c>
      <c r="G1900" s="204">
        <f ca="1">IF($S$1&lt;DATE(2025,2,1)," ",SUM(G1901:G1903))</f>
        <v>1</v>
      </c>
      <c r="H1900" s="204">
        <f ca="1">IF($S$1&lt;DATE(2025,3,1)," ",SUM(H1901:H1903))</f>
        <v>3</v>
      </c>
      <c r="I1900" s="204">
        <f ca="1">IF($S$1&lt;DATE(2025,4,1)," ",SUM(I1901:I1903))</f>
        <v>0</v>
      </c>
      <c r="J1900" s="204">
        <f ca="1">IF($S$1&lt;DATE(2025,5,1)," ",SUM(J1901:J1903))</f>
        <v>3</v>
      </c>
      <c r="K1900" s="204">
        <f ca="1">IF($S$1&lt;DATE(2025,6,1)," ",SUM(K1901:K1903))</f>
        <v>0</v>
      </c>
      <c r="L1900" s="204">
        <f ca="1">IF($S$1&lt;DATE(2025,7,1)," ",SUM(L1901:L1903))</f>
        <v>1</v>
      </c>
      <c r="M1900" s="204">
        <f ca="1">IF($S$1&lt;DATE(2025,8,1)," ",SUM(M1901:M1903))</f>
        <v>3</v>
      </c>
      <c r="N1900" s="204">
        <f ca="1">IF($S$1&lt;DATE(2025,9,1)," ",SUM(N1901:N1903))</f>
        <v>3</v>
      </c>
      <c r="O1900" s="204">
        <f ca="1">IF($S$1&lt;DATE(2025,10,1)," ",SUM(O1901:O1903))</f>
        <v>0</v>
      </c>
      <c r="P1900" s="204">
        <f ca="1">IF($S$1&lt;DATE(2025,11,1)," ",SUM(P1901:P1903))</f>
        <v>1</v>
      </c>
      <c r="Q1900" s="204">
        <f ca="1">IF($S$1&lt;DATE(2025,12,1)," ",SUM(Q1901:Q1903))</f>
        <v>0</v>
      </c>
    </row>
    <row r="1901" ht="24" customHeight="1" spans="1:17">
      <c r="A1901" s="99" t="s">
        <v>350</v>
      </c>
      <c r="B1901" s="99" t="s">
        <v>290</v>
      </c>
      <c r="C1901" s="99" t="s">
        <v>291</v>
      </c>
      <c r="D1901" s="48" t="s">
        <v>296</v>
      </c>
      <c r="E1901" s="48" t="s">
        <v>90</v>
      </c>
      <c r="F1901" s="205">
        <f ca="1">IF($S$1&lt;DATE(2025,1,1)," ",COUNTIFS('2025数据'!$AA$3:$AA$181,"&gt;="&amp;DATE(2024,1,1),'2025数据'!$AA$3:$AA$181,"&lt;="&amp;DATE(2025,1,31),'2025数据'!$AF$3:$AF$181,$E1901))</f>
        <v>1</v>
      </c>
      <c r="G1901" s="205">
        <f ca="1">IF($S$1&lt;DATE(2025,2,1)," ",COUNTIFS('2025数据'!$AA$3:$AA$181,"&gt;="&amp;DATE(2025,2,1),'2025数据'!$AA$3:$AA$181,"&lt;="&amp;DATE(2025,2,28),'2025数据'!$AF$3:$AF$181,$E1901))</f>
        <v>0</v>
      </c>
      <c r="H1901" s="205">
        <f ca="1">IF($S$1&lt;DATE(2025,3,1)," ",COUNTIFS('2025数据'!$AA$3:$AA$181,"&gt;="&amp;DATE(2025,3,1),'2025数据'!$AA$3:$AA$181,"&lt;="&amp;DATE(2025,3,31),'2025数据'!$AF$3:$AF$181,$E1901))</f>
        <v>1</v>
      </c>
      <c r="I1901" s="205">
        <f ca="1">IF($S$1&lt;DATE(2025,4,1)," ",COUNTIFS('2025数据'!$AA$3:$AA$181,"&gt;="&amp;DATE(2025,4,1),'2025数据'!$AA$3:$AA$181,"&lt;="&amp;DATE(2025,4,30),'2025数据'!$AF$3:$AF$181,$E1901))</f>
        <v>0</v>
      </c>
      <c r="J1901" s="205">
        <f ca="1">IF($S$1&lt;DATE(2025,5,1)," ",COUNTIFS('2025数据'!$AA$3:$AA$181,"&gt;="&amp;DATE(2025,5,1),'2025数据'!$AA$3:$AA$181,"&lt;="&amp;DATE(2025,5,31),'2025数据'!$AF$3:$AF$181,$E1901))</f>
        <v>2</v>
      </c>
      <c r="K1901" s="205">
        <f ca="1">IF($S$1&lt;DATE(2025,6,1)," ",COUNTIFS('2025数据'!$AA$3:$AA$181,"&gt;="&amp;DATE(2025,6,1),'2025数据'!$AA$3:$AA$181,"&lt;="&amp;DATE(2025,6,30),'2025数据'!$AF$3:$AF$181,$E1901))</f>
        <v>0</v>
      </c>
      <c r="L1901" s="205">
        <f ca="1">IF($S$1&lt;DATE(2025,7,1)," ",COUNTIFS('2025数据'!$AA$3:$AA$181,"&gt;="&amp;DATE(2025,7,1),'2025数据'!$AA$3:$AA$181,"&lt;="&amp;DATE(2025,7,31),'2025数据'!$AF$3:$AF$181,$E1901))</f>
        <v>0</v>
      </c>
      <c r="M1901" s="205">
        <f ca="1">IF($S$1&lt;DATE(2025,8,1)," ",COUNTIFS('2025数据'!$AA$3:$AA$181,"&gt;="&amp;DATE(2025,8,1),'2025数据'!$AA$3:$AA$181,"&lt;="&amp;DATE(2025,8,31),'2025数据'!$AF$3:$AF$181,$E1901))</f>
        <v>0</v>
      </c>
      <c r="N1901" s="205">
        <f ca="1">IF($S$1&lt;DATE(2025,9,1)," ",COUNTIFS('2025数据'!$AA$3:$AA$181,"&gt;="&amp;DATE(2025,9,1),'2025数据'!$AA$3:$AA$181,"&lt;="&amp;DATE(2025,9,30),'2025数据'!$AF$3:$AF$181,$E1901))</f>
        <v>1</v>
      </c>
      <c r="O1901" s="205">
        <f ca="1">IF($S$1&lt;DATE(2025,10,1)," ",COUNTIFS('2025数据'!$AA$3:$AA$181,"&gt;="&amp;DATE(2025,10,1),'2025数据'!$AA$3:$AA$181,"&lt;="&amp;DATE(2025,10,31),'2025数据'!$AF$3:$AF$181,$E1901))</f>
        <v>0</v>
      </c>
      <c r="P1901" s="207">
        <f ca="1">IF($S$1&lt;DATE(2025,11,1)," ",COUNTIFS('2025数据'!$AA$3:$AA$181,"&gt;="&amp;DATE(2025,11,1),'2025数据'!$AA$3:$AA$181,"&lt;="&amp;DATE(2025,11,30),'2025数据'!$AF$3:$AF$181,$E1901))</f>
        <v>0</v>
      </c>
      <c r="Q1901" s="207">
        <f ca="1">IF($S$1&lt;DATE(2025,12,1)," ",COUNTIFS('2025数据'!$AA$3:$AA$181,"&gt;="&amp;DATE(2025,12,1),'2025数据'!$AA$3:$AA$181,"&lt;="&amp;DATE(2025,12,31),'2025数据'!$AF$3:$AF$181,$E1901))</f>
        <v>0</v>
      </c>
    </row>
    <row r="1902" ht="24" customHeight="1" spans="1:17">
      <c r="A1902" s="99" t="s">
        <v>350</v>
      </c>
      <c r="B1902" s="99" t="s">
        <v>290</v>
      </c>
      <c r="C1902" s="99" t="s">
        <v>291</v>
      </c>
      <c r="D1902" s="48" t="s">
        <v>296</v>
      </c>
      <c r="E1902" s="48" t="s">
        <v>82</v>
      </c>
      <c r="F1902" s="205">
        <f ca="1">IF($S$1&lt;DATE(2025,1,1)," ",COUNTIFS('2025数据'!$AA$3:$AA$181,"&gt;="&amp;DATE(2024,1,1),'2025数据'!$AA$3:$AA$181,"&lt;="&amp;DATE(2025,1,31),'2025数据'!$AF$3:$AF$181,$E1902))</f>
        <v>0</v>
      </c>
      <c r="G1902" s="205">
        <f ca="1">IF($S$1&lt;DATE(2025,2,1)," ",COUNTIFS('2025数据'!$AA$3:$AA$181,"&gt;="&amp;DATE(2025,2,1),'2025数据'!$AA$3:$AA$181,"&lt;="&amp;DATE(2025,2,28),'2025数据'!$AF$3:$AF$181,$E1902))</f>
        <v>1</v>
      </c>
      <c r="H1902" s="205">
        <f ca="1">IF($S$1&lt;DATE(2025,3,1)," ",COUNTIFS('2025数据'!$AA$3:$AA$181,"&gt;="&amp;DATE(2025,3,1),'2025数据'!$AA$3:$AA$181,"&lt;="&amp;DATE(2025,3,31),'2025数据'!$AF$3:$AF$181,$E1902))</f>
        <v>2</v>
      </c>
      <c r="I1902" s="205">
        <f ca="1">IF($S$1&lt;DATE(2025,4,1)," ",COUNTIFS('2025数据'!$AA$3:$AA$181,"&gt;="&amp;DATE(2025,4,1),'2025数据'!$AA$3:$AA$181,"&lt;="&amp;DATE(2025,4,30),'2025数据'!$AF$3:$AF$181,$E1902))</f>
        <v>0</v>
      </c>
      <c r="J1902" s="205">
        <f ca="1">IF($S$1&lt;DATE(2025,5,1)," ",COUNTIFS('2025数据'!$AA$3:$AA$181,"&gt;="&amp;DATE(2025,5,1),'2025数据'!$AA$3:$AA$181,"&lt;="&amp;DATE(2025,5,31),'2025数据'!$AF$3:$AF$181,$E1902))</f>
        <v>1</v>
      </c>
      <c r="K1902" s="205">
        <f ca="1">IF($S$1&lt;DATE(2025,6,1)," ",COUNTIFS('2025数据'!$AA$3:$AA$181,"&gt;="&amp;DATE(2025,6,1),'2025数据'!$AA$3:$AA$181,"&lt;="&amp;DATE(2025,6,30),'2025数据'!$AF$3:$AF$181,$E1902))</f>
        <v>0</v>
      </c>
      <c r="L1902" s="205">
        <f ca="1">IF($S$1&lt;DATE(2025,7,1)," ",COUNTIFS('2025数据'!$AA$3:$AA$181,"&gt;="&amp;DATE(2025,7,1),'2025数据'!$AA$3:$AA$181,"&lt;="&amp;DATE(2025,7,31),'2025数据'!$AF$3:$AF$181,$E1902))</f>
        <v>1</v>
      </c>
      <c r="M1902" s="205">
        <f ca="1">IF($S$1&lt;DATE(2025,8,1)," ",COUNTIFS('2025数据'!$AA$3:$AA$181,"&gt;="&amp;DATE(2025,8,1),'2025数据'!$AA$3:$AA$181,"&lt;="&amp;DATE(2025,8,31),'2025数据'!$AF$3:$AF$181,$E1902))</f>
        <v>3</v>
      </c>
      <c r="N1902" s="205">
        <f ca="1">IF($S$1&lt;DATE(2025,9,1)," ",COUNTIFS('2025数据'!$AA$3:$AA$181,"&gt;="&amp;DATE(2025,9,1),'2025数据'!$AA$3:$AA$181,"&lt;="&amp;DATE(2025,9,30),'2025数据'!$AF$3:$AF$181,$E1902))</f>
        <v>2</v>
      </c>
      <c r="O1902" s="205">
        <f ca="1">IF($S$1&lt;DATE(2025,10,1)," ",COUNTIFS('2025数据'!$AA$3:$AA$181,"&gt;="&amp;DATE(2025,10,1),'2025数据'!$AA$3:$AA$181,"&lt;="&amp;DATE(2025,10,31),'2025数据'!$AF$3:$AF$181,$E1902))</f>
        <v>0</v>
      </c>
      <c r="P1902" s="207">
        <f ca="1">IF($S$1&lt;DATE(2025,11,1)," ",COUNTIFS('2025数据'!$AA$3:$AA$181,"&gt;="&amp;DATE(2025,11,1),'2025数据'!$AA$3:$AA$181,"&lt;="&amp;DATE(2025,11,30),'2025数据'!$AF$3:$AF$181,$E1902))</f>
        <v>1</v>
      </c>
      <c r="Q1902" s="207">
        <f ca="1">IF($S$1&lt;DATE(2025,12,1)," ",COUNTIFS('2025数据'!$AA$3:$AA$181,"&gt;="&amp;DATE(2025,12,1),'2025数据'!$AA$3:$AA$181,"&lt;="&amp;DATE(2025,12,31),'2025数据'!$AF$3:$AF$181,$E1902))</f>
        <v>0</v>
      </c>
    </row>
    <row r="1903" ht="24" customHeight="1" spans="1:17">
      <c r="A1903" s="99" t="s">
        <v>350</v>
      </c>
      <c r="B1903" s="99" t="s">
        <v>290</v>
      </c>
      <c r="C1903" s="99" t="s">
        <v>291</v>
      </c>
      <c r="D1903" s="48" t="s">
        <v>296</v>
      </c>
      <c r="E1903" s="48" t="s">
        <v>86</v>
      </c>
      <c r="F1903" s="205">
        <f ca="1">IF($S$1&lt;DATE(2025,1,1)," ",COUNTIFS('2025数据'!$AA$3:$AA$181,"&gt;="&amp;DATE(2024,1,1),'2025数据'!$AA$3:$AA$181,"&lt;="&amp;DATE(2025,1,31),'2025数据'!$AF$3:$AF$181,$E1903))</f>
        <v>0</v>
      </c>
      <c r="G1903" s="205">
        <f ca="1">IF($S$1&lt;DATE(2025,2,1)," ",COUNTIFS('2025数据'!$AA$3:$AA$181,"&gt;="&amp;DATE(2025,2,1),'2025数据'!$AA$3:$AA$181,"&lt;="&amp;DATE(2025,2,28),'2025数据'!$AF$3:$AF$181,$E1903))</f>
        <v>0</v>
      </c>
      <c r="H1903" s="205">
        <f ca="1">IF($S$1&lt;DATE(2025,3,1)," ",COUNTIFS('2025数据'!$AA$3:$AA$181,"&gt;="&amp;DATE(2025,3,1),'2025数据'!$AA$3:$AA$181,"&lt;="&amp;DATE(2025,3,31),'2025数据'!$AF$3:$AF$181,$E1903))</f>
        <v>0</v>
      </c>
      <c r="I1903" s="205">
        <f ca="1">IF($S$1&lt;DATE(2025,4,1)," ",COUNTIFS('2025数据'!$AA$3:$AA$181,"&gt;="&amp;DATE(2025,4,1),'2025数据'!$AA$3:$AA$181,"&lt;="&amp;DATE(2025,4,30),'2025数据'!$AF$3:$AF$181,$E1903))</f>
        <v>0</v>
      </c>
      <c r="J1903" s="205">
        <f ca="1">IF($S$1&lt;DATE(2025,5,1)," ",COUNTIFS('2025数据'!$AA$3:$AA$181,"&gt;="&amp;DATE(2025,5,1),'2025数据'!$AA$3:$AA$181,"&lt;="&amp;DATE(2025,5,31),'2025数据'!$AF$3:$AF$181,$E1903))</f>
        <v>0</v>
      </c>
      <c r="K1903" s="205">
        <f ca="1">IF($S$1&lt;DATE(2025,6,1)," ",COUNTIFS('2025数据'!$AA$3:$AA$181,"&gt;="&amp;DATE(2025,6,1),'2025数据'!$AA$3:$AA$181,"&lt;="&amp;DATE(2025,6,30),'2025数据'!$AF$3:$AF$181,$E1903))</f>
        <v>0</v>
      </c>
      <c r="L1903" s="205">
        <f ca="1">IF($S$1&lt;DATE(2025,7,1)," ",COUNTIFS('2025数据'!$AA$3:$AA$181,"&gt;="&amp;DATE(2025,7,1),'2025数据'!$AA$3:$AA$181,"&lt;="&amp;DATE(2025,7,31),'2025数据'!$AF$3:$AF$181,$E1903))</f>
        <v>0</v>
      </c>
      <c r="M1903" s="205">
        <f ca="1">IF($S$1&lt;DATE(2025,8,1)," ",COUNTIFS('2025数据'!$AA$3:$AA$181,"&gt;="&amp;DATE(2025,8,1),'2025数据'!$AA$3:$AA$181,"&lt;="&amp;DATE(2025,8,31),'2025数据'!$AF$3:$AF$181,$E1903))</f>
        <v>0</v>
      </c>
      <c r="N1903" s="205">
        <f ca="1">IF($S$1&lt;DATE(2025,9,1)," ",COUNTIFS('2025数据'!$AA$3:$AA$181,"&gt;="&amp;DATE(2025,9,1),'2025数据'!$AA$3:$AA$181,"&lt;="&amp;DATE(2025,9,30),'2025数据'!$AF$3:$AF$181,$E1903))</f>
        <v>0</v>
      </c>
      <c r="O1903" s="205">
        <f ca="1">IF($S$1&lt;DATE(2025,10,1)," ",COUNTIFS('2025数据'!$AA$3:$AA$181,"&gt;="&amp;DATE(2025,10,1),'2025数据'!$AA$3:$AA$181,"&lt;="&amp;DATE(2025,10,31),'2025数据'!$AF$3:$AF$181,$E1903))</f>
        <v>0</v>
      </c>
      <c r="P1903" s="207">
        <f ca="1">IF($S$1&lt;DATE(2025,11,1)," ",COUNTIFS('2025数据'!$AA$3:$AA$181,"&gt;="&amp;DATE(2025,11,1),'2025数据'!$AA$3:$AA$181,"&lt;="&amp;DATE(2025,11,30),'2025数据'!$AF$3:$AF$181,$E1903))</f>
        <v>0</v>
      </c>
      <c r="Q1903" s="207">
        <f ca="1">IF($S$1&lt;DATE(2025,12,1)," ",COUNTIFS('2025数据'!$AA$3:$AA$181,"&gt;="&amp;DATE(2025,12,1),'2025数据'!$AA$3:$AA$181,"&lt;="&amp;DATE(2025,12,31),'2025数据'!$AF$3:$AF$181,$E1903))</f>
        <v>0</v>
      </c>
    </row>
    <row r="1904" ht="24" customHeight="1" spans="1:17">
      <c r="A1904" s="99" t="s">
        <v>350</v>
      </c>
      <c r="B1904" s="99" t="s">
        <v>290</v>
      </c>
      <c r="C1904" s="99" t="s">
        <v>291</v>
      </c>
      <c r="D1904" s="100" t="s">
        <v>292</v>
      </c>
      <c r="E1904" s="100" t="s">
        <v>297</v>
      </c>
      <c r="F1904" s="204">
        <f ca="1">IF($S$1&lt;DATE(2025,1,1)," ",SUM(F1905:F1908))</f>
        <v>1</v>
      </c>
      <c r="G1904" s="204">
        <f ca="1">IF($S$1&lt;DATE(2025,2,1)," ",SUM(G1905:G1908))</f>
        <v>2</v>
      </c>
      <c r="H1904" s="204">
        <f ca="1">IF($S$1&lt;DATE(2025,3,1)," ",SUM(H1905:H1908))</f>
        <v>4</v>
      </c>
      <c r="I1904" s="204">
        <f ca="1">IF($S$1&lt;DATE(2025,4,1)," ",SUM(I1905:I1908))</f>
        <v>1</v>
      </c>
      <c r="J1904" s="204">
        <f ca="1">IF($S$1&lt;DATE(2025,5,1)," ",SUM(J1905:J1908))</f>
        <v>3</v>
      </c>
      <c r="K1904" s="204">
        <f ca="1">IF($S$1&lt;DATE(2025,6,1)," ",SUM(K1905:K1908))</f>
        <v>0</v>
      </c>
      <c r="L1904" s="204">
        <f ca="1">IF($S$1&lt;DATE(2025,7,1)," ",SUM(L1905:L1908))</f>
        <v>1</v>
      </c>
      <c r="M1904" s="204">
        <f ca="1">IF($S$1&lt;DATE(2025,8,1)," ",SUM(M1905:M1908))</f>
        <v>3</v>
      </c>
      <c r="N1904" s="204">
        <f ca="1">IF($S$1&lt;DATE(2025,9,1)," ",SUM(N1905:N1908))</f>
        <v>4</v>
      </c>
      <c r="O1904" s="204">
        <f ca="1">IF($S$1&lt;DATE(2025,10,1)," ",SUM(O1905:O1908))</f>
        <v>1</v>
      </c>
      <c r="P1904" s="204">
        <f ca="1">IF($S$1&lt;DATE(2025,11,1)," ",SUM(P1905:P1908))</f>
        <v>2</v>
      </c>
      <c r="Q1904" s="204">
        <f ca="1">IF($S$1&lt;DATE(2025,12,1)," ",SUM(Q1905:Q1908))</f>
        <v>1</v>
      </c>
    </row>
    <row r="1905" ht="24" customHeight="1" spans="1:17">
      <c r="A1905" s="99" t="s">
        <v>350</v>
      </c>
      <c r="B1905" s="99" t="s">
        <v>290</v>
      </c>
      <c r="C1905" s="99" t="s">
        <v>291</v>
      </c>
      <c r="D1905" s="48" t="s">
        <v>298</v>
      </c>
      <c r="E1905" s="48" t="s">
        <v>97</v>
      </c>
      <c r="F1905" s="205">
        <f ca="1">IF($S$1&lt;DATE(2025,1,1)," ",COUNTIFS('2025数据'!$AA$3:$AA$181,"&gt;="&amp;DATE(2024,1,1),'2025数据'!$AA$3:$AA$181,"&lt;="&amp;DATE(2025,1,31),'2025数据'!$AG$3:$AG$181,$E1905))</f>
        <v>0</v>
      </c>
      <c r="G1905" s="205">
        <f ca="1">IF($S$1&lt;DATE(2025,2,1)," ",COUNTIFS('2025数据'!$AA$3:$AA$181,"&gt;="&amp;DATE(2025,2,1),'2025数据'!$AA$3:$AA$181,"&lt;="&amp;DATE(2025,2,28),'2025数据'!$AG$3:$AG$181,$E1905))</f>
        <v>2</v>
      </c>
      <c r="H1905" s="205">
        <f ca="1">IF($S$1&lt;DATE(2025,3,1)," ",COUNTIFS('2025数据'!$AA$3:$AA$181,"&gt;="&amp;DATE(2025,3,1),'2025数据'!$AA$3:$AA$181,"&lt;="&amp;DATE(2025,3,31),'2025数据'!$AG$3:$AG$181,$E1905))</f>
        <v>1</v>
      </c>
      <c r="I1905" s="205">
        <f ca="1">IF($S$1&lt;DATE(2025,4,1)," ",COUNTIFS('2025数据'!$AA$3:$AA$181,"&gt;="&amp;DATE(2025,4,1),'2025数据'!$AA$3:$AA$181,"&lt;="&amp;DATE(2025,4,30),'2025数据'!$AG$3:$AG$181,$E1905))</f>
        <v>0</v>
      </c>
      <c r="J1905" s="205">
        <f ca="1">IF($S$1&lt;DATE(2025,5,1)," ",COUNTIFS('2025数据'!$AA$3:$AA$181,"&gt;="&amp;DATE(2025,5,1),'2025数据'!$AA$3:$AA$181,"&lt;="&amp;DATE(2025,5,31),'2025数据'!$AG$3:$AG$181,$E1905))</f>
        <v>2</v>
      </c>
      <c r="K1905" s="205">
        <f ca="1">IF($S$1&lt;DATE(2025,6,1)," ",COUNTIFS('2025数据'!$AA$3:$AA$181,"&gt;="&amp;DATE(2025,6,1),'2025数据'!$AA$3:$AA$181,"&lt;="&amp;DATE(2025,6,30),'2025数据'!$AG$3:$AG$181,$E1905))</f>
        <v>0</v>
      </c>
      <c r="L1905" s="205">
        <f ca="1">IF($S$1&lt;DATE(2025,7,1)," ",COUNTIFS('2025数据'!$AA$3:$AA$181,"&gt;="&amp;DATE(2025,7,1),'2025数据'!$AA$3:$AA$181,"&lt;="&amp;DATE(2025,7,31),'2025数据'!$AG$3:$AG$181,$E1905))</f>
        <v>0</v>
      </c>
      <c r="M1905" s="205">
        <f ca="1">IF($S$1&lt;DATE(2025,8,1)," ",COUNTIFS('2025数据'!$AA$3:$AA$181,"&gt;="&amp;DATE(2025,8,1),'2025数据'!$AA$3:$AA$181,"&lt;="&amp;DATE(2025,8,31),'2025数据'!$AG$3:$AG$181,$E1905))</f>
        <v>1</v>
      </c>
      <c r="N1905" s="205">
        <f ca="1">IF($S$1&lt;DATE(2025,9,1)," ",COUNTIFS('2025数据'!$AA$3:$AA$181,"&gt;="&amp;DATE(2025,9,1),'2025数据'!$AA$3:$AA$181,"&lt;="&amp;DATE(2025,9,30),'2025数据'!$AG$3:$AG$181,$E1905))</f>
        <v>1</v>
      </c>
      <c r="O1905" s="205">
        <f ca="1">IF($S$1&lt;DATE(2025,10,1)," ",COUNTIFS('2025数据'!$AA$3:$AA$181,"&gt;="&amp;DATE(2025,10,1),'2025数据'!$AA$3:$AA$181,"&lt;="&amp;DATE(2025,10,31),'2025数据'!$AG$3:$AG$181,$E1905))</f>
        <v>1</v>
      </c>
      <c r="P1905" s="207">
        <f ca="1">IF($S$1&lt;DATE(2025,11,1)," ",COUNTIFS('2025数据'!$AA$3:$AA$181,"&gt;="&amp;DATE(2025,11,1),'2025数据'!$AA$3:$AA$181,"&lt;="&amp;DATE(2025,11,30),'2025数据'!$AG$3:$AG$181,$E1905))</f>
        <v>1</v>
      </c>
      <c r="Q1905" s="207">
        <f ca="1">IF($S$1&lt;DATE(2025,12,1)," ",COUNTIFS('2025数据'!$AA$3:$AA$181,"&gt;="&amp;DATE(2025,12,1),'2025数据'!$AA$3:$AA$181,"&lt;="&amp;DATE(2025,12,31),'2025数据'!$AG$3:$AG$181,$E1905))</f>
        <v>0</v>
      </c>
    </row>
    <row r="1906" ht="24" customHeight="1" spans="1:17">
      <c r="A1906" s="99" t="s">
        <v>350</v>
      </c>
      <c r="B1906" s="99" t="s">
        <v>290</v>
      </c>
      <c r="C1906" s="99" t="s">
        <v>291</v>
      </c>
      <c r="D1906" s="48" t="s">
        <v>298</v>
      </c>
      <c r="E1906" s="48" t="s">
        <v>87</v>
      </c>
      <c r="F1906" s="205">
        <f ca="1">IF($S$1&lt;DATE(2025,1,1)," ",COUNTIFS('2025数据'!$AA$3:$AA$181,"&gt;="&amp;DATE(2024,1,1),'2025数据'!$AA$3:$AA$181,"&lt;="&amp;DATE(2025,1,31),'2025数据'!$AG$3:$AG$181,$E1906))</f>
        <v>0</v>
      </c>
      <c r="G1906" s="205">
        <f ca="1">IF($S$1&lt;DATE(2025,2,1)," ",COUNTIFS('2025数据'!$AA$3:$AA$181,"&gt;="&amp;DATE(2025,2,1),'2025数据'!$AA$3:$AA$181,"&lt;="&amp;DATE(2025,2,28),'2025数据'!$AG$3:$AG$181,$E1906))</f>
        <v>0</v>
      </c>
      <c r="H1906" s="205">
        <f ca="1">IF($S$1&lt;DATE(2025,3,1)," ",COUNTIFS('2025数据'!$AA$3:$AA$181,"&gt;="&amp;DATE(2025,3,1),'2025数据'!$AA$3:$AA$181,"&lt;="&amp;DATE(2025,3,31),'2025数据'!$AG$3:$AG$181,$E1906))</f>
        <v>1</v>
      </c>
      <c r="I1906" s="205">
        <f ca="1">IF($S$1&lt;DATE(2025,4,1)," ",COUNTIFS('2025数据'!$AA$3:$AA$181,"&gt;="&amp;DATE(2025,4,1),'2025数据'!$AA$3:$AA$181,"&lt;="&amp;DATE(2025,4,30),'2025数据'!$AG$3:$AG$181,$E1906))</f>
        <v>0</v>
      </c>
      <c r="J1906" s="205">
        <f ca="1">IF($S$1&lt;DATE(2025,5,1)," ",COUNTIFS('2025数据'!$AA$3:$AA$181,"&gt;="&amp;DATE(2025,5,1),'2025数据'!$AA$3:$AA$181,"&lt;="&amp;DATE(2025,5,31),'2025数据'!$AG$3:$AG$181,$E1906))</f>
        <v>1</v>
      </c>
      <c r="K1906" s="205">
        <f ca="1">IF($S$1&lt;DATE(2025,6,1)," ",COUNTIFS('2025数据'!$AA$3:$AA$181,"&gt;="&amp;DATE(2025,6,1),'2025数据'!$AA$3:$AA$181,"&lt;="&amp;DATE(2025,6,30),'2025数据'!$AG$3:$AG$181,$E1906))</f>
        <v>0</v>
      </c>
      <c r="L1906" s="205">
        <f ca="1">IF($S$1&lt;DATE(2025,7,1)," ",COUNTIFS('2025数据'!$AA$3:$AA$181,"&gt;="&amp;DATE(2025,7,1),'2025数据'!$AA$3:$AA$181,"&lt;="&amp;DATE(2025,7,31),'2025数据'!$AG$3:$AG$181,$E1906))</f>
        <v>1</v>
      </c>
      <c r="M1906" s="205">
        <f ca="1">IF($S$1&lt;DATE(2025,8,1)," ",COUNTIFS('2025数据'!$AA$3:$AA$181,"&gt;="&amp;DATE(2025,8,1),'2025数据'!$AA$3:$AA$181,"&lt;="&amp;DATE(2025,8,31),'2025数据'!$AG$3:$AG$181,$E1906))</f>
        <v>2</v>
      </c>
      <c r="N1906" s="205">
        <f ca="1">IF($S$1&lt;DATE(2025,9,1)," ",COUNTIFS('2025数据'!$AA$3:$AA$181,"&gt;="&amp;DATE(2025,9,1),'2025数据'!$AA$3:$AA$181,"&lt;="&amp;DATE(2025,9,30),'2025数据'!$AG$3:$AG$181,$E1906))</f>
        <v>1</v>
      </c>
      <c r="O1906" s="205">
        <f ca="1">IF($S$1&lt;DATE(2025,10,1)," ",COUNTIFS('2025数据'!$AA$3:$AA$181,"&gt;="&amp;DATE(2025,10,1),'2025数据'!$AA$3:$AA$181,"&lt;="&amp;DATE(2025,10,31),'2025数据'!$AG$3:$AG$181,$E1906))</f>
        <v>0</v>
      </c>
      <c r="P1906" s="207">
        <f ca="1">IF($S$1&lt;DATE(2025,11,1)," ",COUNTIFS('2025数据'!$AA$3:$AA$181,"&gt;="&amp;DATE(2025,11,1),'2025数据'!$AA$3:$AA$181,"&lt;="&amp;DATE(2025,11,30),'2025数据'!$AG$3:$AG$181,$E1906))</f>
        <v>1</v>
      </c>
      <c r="Q1906" s="207">
        <f ca="1">IF($S$1&lt;DATE(2025,12,1)," ",COUNTIFS('2025数据'!$AA$3:$AA$181,"&gt;="&amp;DATE(2025,12,1),'2025数据'!$AA$3:$AA$181,"&lt;="&amp;DATE(2025,12,31),'2025数据'!$AG$3:$AG$181,$E1906))</f>
        <v>0</v>
      </c>
    </row>
    <row r="1907" ht="24" customHeight="1" spans="1:17">
      <c r="A1907" s="99" t="s">
        <v>350</v>
      </c>
      <c r="B1907" s="99" t="s">
        <v>290</v>
      </c>
      <c r="C1907" s="99" t="s">
        <v>291</v>
      </c>
      <c r="D1907" s="48" t="s">
        <v>298</v>
      </c>
      <c r="E1907" s="48" t="s">
        <v>149</v>
      </c>
      <c r="F1907" s="205">
        <f ca="1">IF($S$1&lt;DATE(2025,1,1)," ",COUNTIFS('2025数据'!$AA$3:$AA$181,"&gt;="&amp;DATE(2024,1,1),'2025数据'!$AA$3:$AA$181,"&lt;="&amp;DATE(2025,1,31),'2025数据'!$AG$3:$AG$181,$E1907))</f>
        <v>0</v>
      </c>
      <c r="G1907" s="205">
        <f ca="1">IF($S$1&lt;DATE(2025,2,1)," ",COUNTIFS('2025数据'!$AA$3:$AA$181,"&gt;="&amp;DATE(2025,2,1),'2025数据'!$AA$3:$AA$181,"&lt;="&amp;DATE(2025,2,28),'2025数据'!$AG$3:$AG$181,$E1907))</f>
        <v>0</v>
      </c>
      <c r="H1907" s="205">
        <f ca="1">IF($S$1&lt;DATE(2025,3,1)," ",COUNTIFS('2025数据'!$AA$3:$AA$181,"&gt;="&amp;DATE(2025,3,1),'2025数据'!$AA$3:$AA$181,"&lt;="&amp;DATE(2025,3,31),'2025数据'!$AG$3:$AG$181,$E1907))</f>
        <v>2</v>
      </c>
      <c r="I1907" s="205">
        <f ca="1">IF($S$1&lt;DATE(2025,4,1)," ",COUNTIFS('2025数据'!$AA$3:$AA$181,"&gt;="&amp;DATE(2025,4,1),'2025数据'!$AA$3:$AA$181,"&lt;="&amp;DATE(2025,4,30),'2025数据'!$AG$3:$AG$181,$E1907))</f>
        <v>0</v>
      </c>
      <c r="J1907" s="205">
        <f ca="1">IF($S$1&lt;DATE(2025,5,1)," ",COUNTIFS('2025数据'!$AA$3:$AA$181,"&gt;="&amp;DATE(2025,5,1),'2025数据'!$AA$3:$AA$181,"&lt;="&amp;DATE(2025,5,31),'2025数据'!$AG$3:$AG$181,$E1907))</f>
        <v>0</v>
      </c>
      <c r="K1907" s="205">
        <f ca="1">IF($S$1&lt;DATE(2025,6,1)," ",COUNTIFS('2025数据'!$AA$3:$AA$181,"&gt;="&amp;DATE(2025,6,1),'2025数据'!$AA$3:$AA$181,"&lt;="&amp;DATE(2025,6,30),'2025数据'!$AG$3:$AG$181,$E1907))</f>
        <v>0</v>
      </c>
      <c r="L1907" s="205">
        <f ca="1">IF($S$1&lt;DATE(2025,7,1)," ",COUNTIFS('2025数据'!$AA$3:$AA$181,"&gt;="&amp;DATE(2025,7,1),'2025数据'!$AA$3:$AA$181,"&lt;="&amp;DATE(2025,7,31),'2025数据'!$AG$3:$AG$181,$E1907))</f>
        <v>0</v>
      </c>
      <c r="M1907" s="205">
        <f ca="1">IF($S$1&lt;DATE(2025,8,1)," ",COUNTIFS('2025数据'!$AA$3:$AA$181,"&gt;="&amp;DATE(2025,8,1),'2025数据'!$AA$3:$AA$181,"&lt;="&amp;DATE(2025,8,31),'2025数据'!$AG$3:$AG$181,$E1907))</f>
        <v>0</v>
      </c>
      <c r="N1907" s="205">
        <f ca="1">IF($S$1&lt;DATE(2025,9,1)," ",COUNTIFS('2025数据'!$AA$3:$AA$181,"&gt;="&amp;DATE(2025,9,1),'2025数据'!$AA$3:$AA$181,"&lt;="&amp;DATE(2025,9,30),'2025数据'!$AG$3:$AG$181,$E1907))</f>
        <v>0</v>
      </c>
      <c r="O1907" s="205">
        <f ca="1">IF($S$1&lt;DATE(2025,10,1)," ",COUNTIFS('2025数据'!$AA$3:$AA$181,"&gt;="&amp;DATE(2025,10,1),'2025数据'!$AA$3:$AA$181,"&lt;="&amp;DATE(2025,10,31),'2025数据'!$AG$3:$AG$181,$E1907))</f>
        <v>0</v>
      </c>
      <c r="P1907" s="207">
        <f ca="1">IF($S$1&lt;DATE(2025,11,1)," ",COUNTIFS('2025数据'!$AA$3:$AA$181,"&gt;="&amp;DATE(2025,11,1),'2025数据'!$AA$3:$AA$181,"&lt;="&amp;DATE(2025,11,30),'2025数据'!$AG$3:$AG$181,$E1907))</f>
        <v>0</v>
      </c>
      <c r="Q1907" s="207">
        <f ca="1">IF($S$1&lt;DATE(2025,12,1)," ",COUNTIFS('2025数据'!$AA$3:$AA$181,"&gt;="&amp;DATE(2025,12,1),'2025数据'!$AA$3:$AA$181,"&lt;="&amp;DATE(2025,12,31),'2025数据'!$AG$3:$AG$181,$E1907))</f>
        <v>0</v>
      </c>
    </row>
    <row r="1908" ht="24" customHeight="1" spans="1:17">
      <c r="A1908" s="99" t="s">
        <v>350</v>
      </c>
      <c r="B1908" s="99" t="s">
        <v>290</v>
      </c>
      <c r="C1908" s="99" t="s">
        <v>291</v>
      </c>
      <c r="D1908" s="48" t="s">
        <v>298</v>
      </c>
      <c r="E1908" s="48" t="s">
        <v>83</v>
      </c>
      <c r="F1908" s="205">
        <f ca="1">IF($S$1&lt;DATE(2025,1,1)," ",COUNTIFS('2025数据'!$AA$3:$AA$181,"&gt;="&amp;DATE(2024,1,1),'2025数据'!$AA$3:$AA$181,"&lt;="&amp;DATE(2025,1,31),'2025数据'!$AG$3:$AG$181,$E1908))</f>
        <v>1</v>
      </c>
      <c r="G1908" s="205">
        <f ca="1">IF($S$1&lt;DATE(2025,2,1)," ",COUNTIFS('2025数据'!$AA$3:$AA$181,"&gt;="&amp;DATE(2025,2,1),'2025数据'!$AA$3:$AA$181,"&lt;="&amp;DATE(2025,2,28),'2025数据'!$AG$3:$AG$181,$E1908))</f>
        <v>0</v>
      </c>
      <c r="H1908" s="205">
        <f ca="1">IF($S$1&lt;DATE(2025,3,1)," ",COUNTIFS('2025数据'!$AA$3:$AA$181,"&gt;="&amp;DATE(2025,3,1),'2025数据'!$AA$3:$AA$181,"&lt;="&amp;DATE(2025,3,31),'2025数据'!$AG$3:$AG$181,$E1908))</f>
        <v>0</v>
      </c>
      <c r="I1908" s="205">
        <f ca="1">IF($S$1&lt;DATE(2025,4,1)," ",COUNTIFS('2025数据'!$AA$3:$AA$181,"&gt;="&amp;DATE(2025,4,1),'2025数据'!$AA$3:$AA$181,"&lt;="&amp;DATE(2025,4,30),'2025数据'!$AG$3:$AG$181,$E1908))</f>
        <v>1</v>
      </c>
      <c r="J1908" s="205">
        <f ca="1">IF($S$1&lt;DATE(2025,5,1)," ",COUNTIFS('2025数据'!$AA$3:$AA$181,"&gt;="&amp;DATE(2025,5,1),'2025数据'!$AA$3:$AA$181,"&lt;="&amp;DATE(2025,5,31),'2025数据'!$AG$3:$AG$181,$E1908))</f>
        <v>0</v>
      </c>
      <c r="K1908" s="205">
        <f ca="1">IF($S$1&lt;DATE(2025,6,1)," ",COUNTIFS('2025数据'!$AA$3:$AA$181,"&gt;="&amp;DATE(2025,6,1),'2025数据'!$AA$3:$AA$181,"&lt;="&amp;DATE(2025,6,30),'2025数据'!$AG$3:$AG$181,$E1908))</f>
        <v>0</v>
      </c>
      <c r="L1908" s="205">
        <f ca="1">IF($S$1&lt;DATE(2025,7,1)," ",COUNTIFS('2025数据'!$AA$3:$AA$181,"&gt;="&amp;DATE(2025,7,1),'2025数据'!$AA$3:$AA$181,"&lt;="&amp;DATE(2025,7,31),'2025数据'!$AG$3:$AG$181,$E1908))</f>
        <v>0</v>
      </c>
      <c r="M1908" s="205">
        <f ca="1">IF($S$1&lt;DATE(2025,8,1)," ",COUNTIFS('2025数据'!$AA$3:$AA$181,"&gt;="&amp;DATE(2025,8,1),'2025数据'!$AA$3:$AA$181,"&lt;="&amp;DATE(2025,8,31),'2025数据'!$AG$3:$AG$181,$E1908))</f>
        <v>0</v>
      </c>
      <c r="N1908" s="205">
        <f ca="1">IF($S$1&lt;DATE(2025,9,1)," ",COUNTIFS('2025数据'!$AA$3:$AA$181,"&gt;="&amp;DATE(2025,9,1),'2025数据'!$AA$3:$AA$181,"&lt;="&amp;DATE(2025,9,30),'2025数据'!$AG$3:$AG$181,$E1908))</f>
        <v>2</v>
      </c>
      <c r="O1908" s="205">
        <f ca="1">IF($S$1&lt;DATE(2025,10,1)," ",COUNTIFS('2025数据'!$AA$3:$AA$181,"&gt;="&amp;DATE(2025,10,1),'2025数据'!$AA$3:$AA$181,"&lt;="&amp;DATE(2025,10,31),'2025数据'!$AG$3:$AG$181,$E1908))</f>
        <v>0</v>
      </c>
      <c r="P1908" s="207">
        <f ca="1">IF($S$1&lt;DATE(2025,11,1)," ",COUNTIFS('2025数据'!$AA$3:$AA$181,"&gt;="&amp;DATE(2025,11,1),'2025数据'!$AA$3:$AA$181,"&lt;="&amp;DATE(2025,11,30),'2025数据'!$AG$3:$AG$181,$E1908))</f>
        <v>0</v>
      </c>
      <c r="Q1908" s="207">
        <f ca="1">IF($S$1&lt;DATE(2025,12,1)," ",COUNTIFS('2025数据'!$AA$3:$AA$181,"&gt;="&amp;DATE(2025,12,1),'2025数据'!$AA$3:$AA$181,"&lt;="&amp;DATE(2025,12,31),'2025数据'!$AG$3:$AG$181,$E1908))</f>
        <v>1</v>
      </c>
    </row>
    <row r="1909" ht="24" customHeight="1" spans="1:17">
      <c r="A1909" s="99" t="s">
        <v>350</v>
      </c>
      <c r="B1909" s="99" t="s">
        <v>299</v>
      </c>
      <c r="C1909" s="99" t="s">
        <v>291</v>
      </c>
      <c r="D1909" s="100" t="s">
        <v>292</v>
      </c>
      <c r="E1909" s="100" t="s">
        <v>300</v>
      </c>
      <c r="F1909" s="204">
        <f ca="1">IF($S$1&lt;DATE(2025,1,1)," ",IF((SUM(F1910:F1916)-MAX(F1940,F1944))&lt;0,"ERR",SUM(F1910:F1916)))</f>
        <v>1</v>
      </c>
      <c r="G1909" s="204">
        <f ca="1">IF($S$1&lt;DATE(2025,2,1)," ",IF((SUM(G1910:G1916)-MAX(G1940,G1944))&lt;0,"ERR",SUM(G1910:G1916)))</f>
        <v>1</v>
      </c>
      <c r="H1909" s="204">
        <f ca="1">IF($S$1&lt;DATE(2025,3,1)," ",IF((SUM(H1910:H1916)-MAX(H1940,H1944))&lt;0,"ERR",SUM(H1910:H1916)))</f>
        <v>6</v>
      </c>
      <c r="I1909" s="204">
        <f ca="1">IF($S$1&lt;DATE(2025,4,1)," ",IF((SUM(I1910:I1916)-MAX(I1940,I1944))&lt;0,"ERR",SUM(I1910:I1916)))</f>
        <v>1</v>
      </c>
      <c r="J1909" s="204">
        <f ca="1">IF($S$1&lt;DATE(2025,5,1)," ",IF((SUM(J1910:J1916)-MAX(J1940,J1944))&lt;0,"ERR",SUM(J1910:J1916)))</f>
        <v>2</v>
      </c>
      <c r="K1909" s="204">
        <f ca="1">IF($S$1&lt;DATE(2025,6,1)," ",IF((SUM(K1910:K1916)-MAX(K1940,K1944))&lt;0,"ERR",SUM(K1910:K1916)))</f>
        <v>1</v>
      </c>
      <c r="L1909" s="204">
        <f ca="1">IF($S$1&lt;DATE(2025,7,1)," ",IF((SUM(L1910:L1916)-MAX(L1940,L1944))&lt;0,"ERR",SUM(L1910:L1916)))</f>
        <v>1</v>
      </c>
      <c r="M1909" s="204">
        <f ca="1">IF($S$1&lt;DATE(2025,8,1)," ",IF((SUM(M1910:M1916)-MAX(M1940,M1944))&lt;0,"ERR",SUM(M1910:M1916)))</f>
        <v>3</v>
      </c>
      <c r="N1909" s="204">
        <f ca="1">IF($S$1&lt;DATE(2025,9,1)," ",IF((SUM(N1910:N1916)-MAX(N1940,N1944))&lt;0,"ERR",SUM(N1910:N1916)))</f>
        <v>0</v>
      </c>
      <c r="O1909" s="204">
        <f ca="1">IF($S$1&lt;DATE(2025,10,1)," ",IF((SUM(O1910:O1916)-MAX(O1940,O1944))&lt;0,"ERR",SUM(O1910:O1916)))</f>
        <v>3</v>
      </c>
      <c r="P1909" s="204">
        <f ca="1">IF($S$1&lt;DATE(2025,11,1)," ",IF((SUM(P1910:P1916)-MAX(P1940,P1944))&lt;0,"ERR",SUM(P1910:P1916)))</f>
        <v>2</v>
      </c>
      <c r="Q1909" s="204">
        <f ca="1">IF($S$1&lt;DATE(2025,12,1)," ",IF((SUM(Q1910:Q1916)-MAX(Q1940,Q1944))&lt;0,"ERR",SUM(Q1910:Q1916)))</f>
        <v>0</v>
      </c>
    </row>
    <row r="1910" ht="24" customHeight="1" spans="1:17">
      <c r="A1910" s="99" t="s">
        <v>350</v>
      </c>
      <c r="B1910" s="99" t="s">
        <v>299</v>
      </c>
      <c r="C1910" s="99" t="s">
        <v>291</v>
      </c>
      <c r="D1910" s="48" t="s">
        <v>31</v>
      </c>
      <c r="E1910" s="48" t="s">
        <v>90</v>
      </c>
      <c r="F1910" s="205">
        <f ca="1">IF($S$1&lt;DATE(2025,1,1)," ",COUNTIFS('2025数据'!$AB$3:$AB$181,"&gt;="&amp;DATE(2024,1,1),'2025数据'!$AB$3:$AB$181,"&lt;="&amp;DATE(2025,1,31),'2025数据'!$AE$3:$AE$181,$E1910))</f>
        <v>1</v>
      </c>
      <c r="G1910" s="205">
        <f ca="1">IF($S$1&lt;DATE(2025,2,1)," ",COUNTIFS('2025数据'!$AB$3:$AB$181,"&gt;="&amp;DATE(2025,2,1),'2025数据'!$AB$3:$AB$181,"&lt;="&amp;DATE(2025,2,28),'2025数据'!$AE$3:$AE$181,$E1910))</f>
        <v>0</v>
      </c>
      <c r="H1910" s="205">
        <f ca="1">IF($S$1&lt;DATE(2025,3,1)," ",COUNTIFS('2025数据'!$AB$3:$AB$181,"&gt;="&amp;DATE(2025,3,1),'2025数据'!$AB$3:$AB$181,"&lt;="&amp;DATE(2025,3,31),'2025数据'!$AE$3:$AE$181,$E1910))</f>
        <v>0</v>
      </c>
      <c r="I1910" s="205">
        <f ca="1">IF($S$1&lt;DATE(2025,4,1)," ",COUNTIFS('2025数据'!$AB$3:$AB$181,"&gt;="&amp;DATE(2025,4,1),'2025数据'!$AB$3:$AB$181,"&lt;="&amp;DATE(2025,4,30),'2025数据'!$AE$3:$AE$181,$E1910))</f>
        <v>0</v>
      </c>
      <c r="J1910" s="205">
        <f ca="1">IF($S$1&lt;DATE(2025,5,1)," ",COUNTIFS('2025数据'!$AB$3:$AB$181,"&gt;="&amp;DATE(2025,5,1),'2025数据'!$AB$3:$AB$181,"&lt;="&amp;DATE(2025,5,31),'2025数据'!$AE$3:$AE$181,$E1910))</f>
        <v>1</v>
      </c>
      <c r="K1910" s="205">
        <f ca="1">IF($S$1&lt;DATE(2025,6,1)," ",COUNTIFS('2025数据'!$AB$3:$AB$181,"&gt;="&amp;DATE(2025,6,1),'2025数据'!$AB$3:$AB$181,"&lt;="&amp;DATE(2025,6,30),'2025数据'!$AE$3:$AE$181,$E1910))</f>
        <v>0</v>
      </c>
      <c r="L1910" s="205">
        <f ca="1">IF($S$1&lt;DATE(2025,7,1)," ",COUNTIFS('2025数据'!$AB$3:$AB$181,"&gt;="&amp;DATE(2025,7,1),'2025数据'!$AB$3:$AB$181,"&lt;="&amp;DATE(2025,7,31),'2025数据'!$AE$3:$AE$181,$E1910))</f>
        <v>0</v>
      </c>
      <c r="M1910" s="205">
        <f ca="1">IF($S$1&lt;DATE(2025,8,1)," ",COUNTIFS('2025数据'!$AB$3:$AB$181,"&gt;="&amp;DATE(2025,8,1),'2025数据'!$AB$3:$AB$181,"&lt;="&amp;DATE(2025,8,31),'2025数据'!$AE$3:$AE$181,$E1910))</f>
        <v>0</v>
      </c>
      <c r="N1910" s="205">
        <f ca="1">IF($S$1&lt;DATE(2025,9,1)," ",COUNTIFS('2025数据'!$AB$3:$AB$181,"&gt;="&amp;DATE(2025,9,1),'2025数据'!$AB$3:$AB$181,"&lt;="&amp;DATE(2025,9,30),'2025数据'!$AE$3:$AE$181,$E1910))</f>
        <v>0</v>
      </c>
      <c r="O1910" s="205">
        <f ca="1">IF($S$1&lt;DATE(2025,10,1)," ",COUNTIFS('2025数据'!$AB$3:$AB$181,"&gt;="&amp;DATE(2025,10,1),'2025数据'!$AB$3:$AB$181,"&lt;="&amp;DATE(2025,10,31),'2025数据'!$AE$3:$AE$181,$E1910))</f>
        <v>1</v>
      </c>
      <c r="P1910" s="207">
        <f ca="1">IF($S$1&lt;DATE(2025,11,1)," ",COUNTIFS('2025数据'!$AB$3:$AB$181,"&gt;="&amp;DATE(2025,11,1),'2025数据'!$AB$3:$AB$181,"&lt;="&amp;DATE(2025,11,30),'2025数据'!$AE$3:$AE$181,$E1910))</f>
        <v>0</v>
      </c>
      <c r="Q1910" s="207">
        <f ca="1">IF($S$1&lt;DATE(2025,12,1)," ",COUNTIFS('2025数据'!$AB$3:$AB$181,"&gt;="&amp;DATE(2025,12,1),'2025数据'!$AB$3:$AB$181,"&lt;="&amp;DATE(2025,12,31),'2025数据'!$AE$3:$AE$181,$E1910))</f>
        <v>0</v>
      </c>
    </row>
    <row r="1911" ht="24" customHeight="1" spans="1:17">
      <c r="A1911" s="99" t="s">
        <v>350</v>
      </c>
      <c r="B1911" s="99" t="s">
        <v>299</v>
      </c>
      <c r="C1911" s="99" t="s">
        <v>291</v>
      </c>
      <c r="D1911" s="48" t="s">
        <v>31</v>
      </c>
      <c r="E1911" s="48" t="s">
        <v>82</v>
      </c>
      <c r="F1911" s="205">
        <f ca="1">IF($S$1&lt;DATE(2025,1,1)," ",COUNTIFS('2025数据'!$AB$3:$AB$181,"&gt;="&amp;DATE(2024,1,1),'2025数据'!$AB$3:$AB$181,"&lt;="&amp;DATE(2025,1,31),'2025数据'!$AE$3:$AE$181,$E1911))</f>
        <v>0</v>
      </c>
      <c r="G1911" s="205">
        <f ca="1">IF($S$1&lt;DATE(2025,2,1)," ",COUNTIFS('2025数据'!$AB$3:$AB$181,"&gt;="&amp;DATE(2025,2,1),'2025数据'!$AB$3:$AB$181,"&lt;="&amp;DATE(2025,2,28),'2025数据'!$AE$3:$AE$181,$E1911))</f>
        <v>1</v>
      </c>
      <c r="H1911" s="205">
        <f ca="1">IF($S$1&lt;DATE(2025,3,1)," ",COUNTIFS('2025数据'!$AB$3:$AB$181,"&gt;="&amp;DATE(2025,3,1),'2025数据'!$AB$3:$AB$181,"&lt;="&amp;DATE(2025,3,31),'2025数据'!$AE$3:$AE$181,$E1911))</f>
        <v>1</v>
      </c>
      <c r="I1911" s="205">
        <f ca="1">IF($S$1&lt;DATE(2025,4,1)," ",COUNTIFS('2025数据'!$AB$3:$AB$181,"&gt;="&amp;DATE(2025,4,1),'2025数据'!$AB$3:$AB$181,"&lt;="&amp;DATE(2025,4,30),'2025数据'!$AE$3:$AE$181,$E1911))</f>
        <v>0</v>
      </c>
      <c r="J1911" s="205">
        <f ca="1">IF($S$1&lt;DATE(2025,5,1)," ",COUNTIFS('2025数据'!$AB$3:$AB$181,"&gt;="&amp;DATE(2025,5,1),'2025数据'!$AB$3:$AB$181,"&lt;="&amp;DATE(2025,5,31),'2025数据'!$AE$3:$AE$181,$E1911))</f>
        <v>0</v>
      </c>
      <c r="K1911" s="205">
        <f ca="1">IF($S$1&lt;DATE(2025,6,1)," ",COUNTIFS('2025数据'!$AB$3:$AB$181,"&gt;="&amp;DATE(2025,6,1),'2025数据'!$AB$3:$AB$181,"&lt;="&amp;DATE(2025,6,30),'2025数据'!$AE$3:$AE$181,$E1911))</f>
        <v>0</v>
      </c>
      <c r="L1911" s="205">
        <f ca="1">IF($S$1&lt;DATE(2025,7,1)," ",COUNTIFS('2025数据'!$AB$3:$AB$181,"&gt;="&amp;DATE(2025,7,1),'2025数据'!$AB$3:$AB$181,"&lt;="&amp;DATE(2025,7,31),'2025数据'!$AE$3:$AE$181,$E1911))</f>
        <v>1</v>
      </c>
      <c r="M1911" s="205">
        <f ca="1">IF($S$1&lt;DATE(2025,8,1)," ",COUNTIFS('2025数据'!$AB$3:$AB$181,"&gt;="&amp;DATE(2025,8,1),'2025数据'!$AB$3:$AB$181,"&lt;="&amp;DATE(2025,8,31),'2025数据'!$AE$3:$AE$181,$E1911))</f>
        <v>2</v>
      </c>
      <c r="N1911" s="205">
        <f ca="1">IF($S$1&lt;DATE(2025,9,1)," ",COUNTIFS('2025数据'!$AB$3:$AB$181,"&gt;="&amp;DATE(2025,9,1),'2025数据'!$AB$3:$AB$181,"&lt;="&amp;DATE(2025,9,30),'2025数据'!$AE$3:$AE$181,$E1911))</f>
        <v>0</v>
      </c>
      <c r="O1911" s="205">
        <f ca="1">IF($S$1&lt;DATE(2025,10,1)," ",COUNTIFS('2025数据'!$AB$3:$AB$181,"&gt;="&amp;DATE(2025,10,1),'2025数据'!$AB$3:$AB$181,"&lt;="&amp;DATE(2025,10,31),'2025数据'!$AE$3:$AE$181,$E1911))</f>
        <v>0</v>
      </c>
      <c r="P1911" s="207">
        <f ca="1">IF($S$1&lt;DATE(2025,11,1)," ",COUNTIFS('2025数据'!$AB$3:$AB$181,"&gt;="&amp;DATE(2025,11,1),'2025数据'!$AB$3:$AB$181,"&lt;="&amp;DATE(2025,11,30),'2025数据'!$AE$3:$AE$181,$E1911))</f>
        <v>0</v>
      </c>
      <c r="Q1911" s="207">
        <f ca="1">IF($S$1&lt;DATE(2025,12,1)," ",COUNTIFS('2025数据'!$AB$3:$AB$181,"&gt;="&amp;DATE(2025,12,1),'2025数据'!$AB$3:$AB$181,"&lt;="&amp;DATE(2025,12,31),'2025数据'!$AE$3:$AE$181,$E1911))</f>
        <v>0</v>
      </c>
    </row>
    <row r="1912" ht="24" customHeight="1" spans="1:17">
      <c r="A1912" s="99" t="s">
        <v>350</v>
      </c>
      <c r="B1912" s="99" t="s">
        <v>299</v>
      </c>
      <c r="C1912" s="99" t="s">
        <v>291</v>
      </c>
      <c r="D1912" s="48" t="s">
        <v>31</v>
      </c>
      <c r="E1912" s="48" t="s">
        <v>86</v>
      </c>
      <c r="F1912" s="205">
        <f ca="1">IF($S$1&lt;DATE(2025,1,1)," ",COUNTIFS('2025数据'!$AB$3:$AB$181,"&gt;="&amp;DATE(2024,1,1),'2025数据'!$AB$3:$AB$181,"&lt;="&amp;DATE(2025,1,31),'2025数据'!$AE$3:$AE$181,$E1912))</f>
        <v>0</v>
      </c>
      <c r="G1912" s="205">
        <f ca="1">IF($S$1&lt;DATE(2025,2,1)," ",COUNTIFS('2025数据'!$AB$3:$AB$181,"&gt;="&amp;DATE(2025,2,1),'2025数据'!$AB$3:$AB$181,"&lt;="&amp;DATE(2025,2,28),'2025数据'!$AE$3:$AE$181,$E1912))</f>
        <v>0</v>
      </c>
      <c r="H1912" s="205">
        <f ca="1">IF($S$1&lt;DATE(2025,3,1)," ",COUNTIFS('2025数据'!$AB$3:$AB$181,"&gt;="&amp;DATE(2025,3,1),'2025数据'!$AB$3:$AB$181,"&lt;="&amp;DATE(2025,3,31),'2025数据'!$AE$3:$AE$181,$E1912))</f>
        <v>0</v>
      </c>
      <c r="I1912" s="205">
        <f ca="1">IF($S$1&lt;DATE(2025,4,1)," ",COUNTIFS('2025数据'!$AB$3:$AB$181,"&gt;="&amp;DATE(2025,4,1),'2025数据'!$AB$3:$AB$181,"&lt;="&amp;DATE(2025,4,30),'2025数据'!$AE$3:$AE$181,$E1912))</f>
        <v>0</v>
      </c>
      <c r="J1912" s="205">
        <f ca="1">IF($S$1&lt;DATE(2025,5,1)," ",COUNTIFS('2025数据'!$AB$3:$AB$181,"&gt;="&amp;DATE(2025,5,1),'2025数据'!$AB$3:$AB$181,"&lt;="&amp;DATE(2025,5,31),'2025数据'!$AE$3:$AE$181,$E1912))</f>
        <v>0</v>
      </c>
      <c r="K1912" s="205">
        <f ca="1">IF($S$1&lt;DATE(2025,6,1)," ",COUNTIFS('2025数据'!$AB$3:$AB$181,"&gt;="&amp;DATE(2025,6,1),'2025数据'!$AB$3:$AB$181,"&lt;="&amp;DATE(2025,6,30),'2025数据'!$AE$3:$AE$181,$E1912))</f>
        <v>0</v>
      </c>
      <c r="L1912" s="205">
        <f ca="1">IF($S$1&lt;DATE(2025,7,1)," ",COUNTIFS('2025数据'!$AB$3:$AB$181,"&gt;="&amp;DATE(2025,7,1),'2025数据'!$AB$3:$AB$181,"&lt;="&amp;DATE(2025,7,31),'2025数据'!$AE$3:$AE$181,$E1912))</f>
        <v>0</v>
      </c>
      <c r="M1912" s="205">
        <f ca="1">IF($S$1&lt;DATE(2025,8,1)," ",COUNTIFS('2025数据'!$AB$3:$AB$181,"&gt;="&amp;DATE(2025,8,1),'2025数据'!$AB$3:$AB$181,"&lt;="&amp;DATE(2025,8,31),'2025数据'!$AE$3:$AE$181,$E1912))</f>
        <v>0</v>
      </c>
      <c r="N1912" s="205">
        <f ca="1">IF($S$1&lt;DATE(2025,9,1)," ",COUNTIFS('2025数据'!$AB$3:$AB$181,"&gt;="&amp;DATE(2025,9,1),'2025数据'!$AB$3:$AB$181,"&lt;="&amp;DATE(2025,9,30),'2025数据'!$AE$3:$AE$181,$E1912))</f>
        <v>0</v>
      </c>
      <c r="O1912" s="205">
        <f ca="1">IF($S$1&lt;DATE(2025,10,1)," ",COUNTIFS('2025数据'!$AB$3:$AB$181,"&gt;="&amp;DATE(2025,10,1),'2025数据'!$AB$3:$AB$181,"&lt;="&amp;DATE(2025,10,31),'2025数据'!$AE$3:$AE$181,$E1912))</f>
        <v>0</v>
      </c>
      <c r="P1912" s="207">
        <f ca="1">IF($S$1&lt;DATE(2025,11,1)," ",COUNTIFS('2025数据'!$AB$3:$AB$181,"&gt;="&amp;DATE(2025,11,1),'2025数据'!$AB$3:$AB$181,"&lt;="&amp;DATE(2025,11,30),'2025数据'!$AE$3:$AE$181,$E1912))</f>
        <v>0</v>
      </c>
      <c r="Q1912" s="207">
        <f ca="1">IF($S$1&lt;DATE(2025,12,1)," ",COUNTIFS('2025数据'!$AB$3:$AB$181,"&gt;="&amp;DATE(2025,12,1),'2025数据'!$AB$3:$AB$181,"&lt;="&amp;DATE(2025,12,31),'2025数据'!$AE$3:$AE$181,$E1912))</f>
        <v>0</v>
      </c>
    </row>
    <row r="1913" ht="24" customHeight="1" spans="1:17">
      <c r="A1913" s="99" t="s">
        <v>350</v>
      </c>
      <c r="B1913" s="99" t="s">
        <v>299</v>
      </c>
      <c r="C1913" s="99" t="s">
        <v>291</v>
      </c>
      <c r="D1913" s="48" t="s">
        <v>31</v>
      </c>
      <c r="E1913" s="48" t="s">
        <v>97</v>
      </c>
      <c r="F1913" s="205">
        <f ca="1">IF($S$1&lt;DATE(2025,1,1)," ",COUNTIFS('2025数据'!$AB$3:$AB$181,"&gt;="&amp;DATE(2024,1,1),'2025数据'!$AB$3:$AB$181,"&lt;="&amp;DATE(2025,1,31),'2025数据'!$AE$3:$AE$181,$E1913))</f>
        <v>0</v>
      </c>
      <c r="G1913" s="205">
        <f ca="1">IF($S$1&lt;DATE(2025,2,1)," ",COUNTIFS('2025数据'!$AB$3:$AB$181,"&gt;="&amp;DATE(2025,2,1),'2025数据'!$AB$3:$AB$181,"&lt;="&amp;DATE(2025,2,28),'2025数据'!$AE$3:$AE$181,$E1913))</f>
        <v>0</v>
      </c>
      <c r="H1913" s="205">
        <f ca="1">IF($S$1&lt;DATE(2025,3,1)," ",COUNTIFS('2025数据'!$AB$3:$AB$181,"&gt;="&amp;DATE(2025,3,1),'2025数据'!$AB$3:$AB$181,"&lt;="&amp;DATE(2025,3,31),'2025数据'!$AE$3:$AE$181,$E1913))</f>
        <v>3</v>
      </c>
      <c r="I1913" s="205">
        <f ca="1">IF($S$1&lt;DATE(2025,4,1)," ",COUNTIFS('2025数据'!$AB$3:$AB$181,"&gt;="&amp;DATE(2025,4,1),'2025数据'!$AB$3:$AB$181,"&lt;="&amp;DATE(2025,4,30),'2025数据'!$AE$3:$AE$181,$E1913))</f>
        <v>0</v>
      </c>
      <c r="J1913" s="205">
        <f ca="1">IF($S$1&lt;DATE(2025,5,1)," ",COUNTIFS('2025数据'!$AB$3:$AB$181,"&gt;="&amp;DATE(2025,5,1),'2025数据'!$AB$3:$AB$181,"&lt;="&amp;DATE(2025,5,31),'2025数据'!$AE$3:$AE$181,$E1913))</f>
        <v>1</v>
      </c>
      <c r="K1913" s="205">
        <f ca="1">IF($S$1&lt;DATE(2025,6,1)," ",COUNTIFS('2025数据'!$AB$3:$AB$181,"&gt;="&amp;DATE(2025,6,1),'2025数据'!$AB$3:$AB$181,"&lt;="&amp;DATE(2025,6,30),'2025数据'!$AE$3:$AE$181,$E1913))</f>
        <v>1</v>
      </c>
      <c r="L1913" s="205">
        <f ca="1">IF($S$1&lt;DATE(2025,7,1)," ",COUNTIFS('2025数据'!$AB$3:$AB$181,"&gt;="&amp;DATE(2025,7,1),'2025数据'!$AB$3:$AB$181,"&lt;="&amp;DATE(2025,7,31),'2025数据'!$AE$3:$AE$181,$E1913))</f>
        <v>0</v>
      </c>
      <c r="M1913" s="205">
        <f ca="1">IF($S$1&lt;DATE(2025,8,1)," ",COUNTIFS('2025数据'!$AB$3:$AB$181,"&gt;="&amp;DATE(2025,8,1),'2025数据'!$AB$3:$AB$181,"&lt;="&amp;DATE(2025,8,31),'2025数据'!$AE$3:$AE$181,$E1913))</f>
        <v>0</v>
      </c>
      <c r="N1913" s="205">
        <f ca="1">IF($S$1&lt;DATE(2025,9,1)," ",COUNTIFS('2025数据'!$AB$3:$AB$181,"&gt;="&amp;DATE(2025,9,1),'2025数据'!$AB$3:$AB$181,"&lt;="&amp;DATE(2025,9,30),'2025数据'!$AE$3:$AE$181,$E1913))</f>
        <v>0</v>
      </c>
      <c r="O1913" s="205">
        <f ca="1">IF($S$1&lt;DATE(2025,10,1)," ",COUNTIFS('2025数据'!$AB$3:$AB$181,"&gt;="&amp;DATE(2025,10,1),'2025数据'!$AB$3:$AB$181,"&lt;="&amp;DATE(2025,10,31),'2025数据'!$AE$3:$AE$181,$E1913))</f>
        <v>0</v>
      </c>
      <c r="P1913" s="207">
        <f ca="1">IF($S$1&lt;DATE(2025,11,1)," ",COUNTIFS('2025数据'!$AB$3:$AB$181,"&gt;="&amp;DATE(2025,11,1),'2025数据'!$AB$3:$AB$181,"&lt;="&amp;DATE(2025,11,30),'2025数据'!$AE$3:$AE$181,$E1913))</f>
        <v>2</v>
      </c>
      <c r="Q1913" s="207">
        <f ca="1">IF($S$1&lt;DATE(2025,12,1)," ",COUNTIFS('2025数据'!$AB$3:$AB$181,"&gt;="&amp;DATE(2025,12,1),'2025数据'!$AB$3:$AB$181,"&lt;="&amp;DATE(2025,12,31),'2025数据'!$AE$3:$AE$181,$E1913))</f>
        <v>0</v>
      </c>
    </row>
    <row r="1914" ht="24" customHeight="1" spans="1:17">
      <c r="A1914" s="99" t="s">
        <v>350</v>
      </c>
      <c r="B1914" s="99" t="s">
        <v>299</v>
      </c>
      <c r="C1914" s="99" t="s">
        <v>291</v>
      </c>
      <c r="D1914" s="48" t="s">
        <v>31</v>
      </c>
      <c r="E1914" s="48" t="s">
        <v>87</v>
      </c>
      <c r="F1914" s="205">
        <f ca="1">IF($S$1&lt;DATE(2025,1,1)," ",COUNTIFS('2025数据'!$AB$3:$AB$181,"&gt;="&amp;DATE(2024,1,1),'2025数据'!$AB$3:$AB$181,"&lt;="&amp;DATE(2025,1,31),'2025数据'!$AE$3:$AE$181,$E1914))</f>
        <v>0</v>
      </c>
      <c r="G1914" s="205">
        <f ca="1">IF($S$1&lt;DATE(2025,2,1)," ",COUNTIFS('2025数据'!$AB$3:$AB$181,"&gt;="&amp;DATE(2025,2,1),'2025数据'!$AB$3:$AB$181,"&lt;="&amp;DATE(2025,2,28),'2025数据'!$AE$3:$AE$181,$E1914))</f>
        <v>0</v>
      </c>
      <c r="H1914" s="205">
        <f ca="1">IF($S$1&lt;DATE(2025,3,1)," ",COUNTIFS('2025数据'!$AB$3:$AB$181,"&gt;="&amp;DATE(2025,3,1),'2025数据'!$AB$3:$AB$181,"&lt;="&amp;DATE(2025,3,31),'2025数据'!$AE$3:$AE$181,$E1914))</f>
        <v>0</v>
      </c>
      <c r="I1914" s="205">
        <f ca="1">IF($S$1&lt;DATE(2025,4,1)," ",COUNTIFS('2025数据'!$AB$3:$AB$181,"&gt;="&amp;DATE(2025,4,1),'2025数据'!$AB$3:$AB$181,"&lt;="&amp;DATE(2025,4,30),'2025数据'!$AE$3:$AE$181,$E1914))</f>
        <v>0</v>
      </c>
      <c r="J1914" s="205">
        <f ca="1">IF($S$1&lt;DATE(2025,5,1)," ",COUNTIFS('2025数据'!$AB$3:$AB$181,"&gt;="&amp;DATE(2025,5,1),'2025数据'!$AB$3:$AB$181,"&lt;="&amp;DATE(2025,5,31),'2025数据'!$AE$3:$AE$181,$E1914))</f>
        <v>0</v>
      </c>
      <c r="K1914" s="205">
        <f ca="1">IF($S$1&lt;DATE(2025,6,1)," ",COUNTIFS('2025数据'!$AB$3:$AB$181,"&gt;="&amp;DATE(2025,6,1),'2025数据'!$AB$3:$AB$181,"&lt;="&amp;DATE(2025,6,30),'2025数据'!$AE$3:$AE$181,$E1914))</f>
        <v>0</v>
      </c>
      <c r="L1914" s="205">
        <f ca="1">IF($S$1&lt;DATE(2025,7,1)," ",COUNTIFS('2025数据'!$AB$3:$AB$181,"&gt;="&amp;DATE(2025,7,1),'2025数据'!$AB$3:$AB$181,"&lt;="&amp;DATE(2025,7,31),'2025数据'!$AE$3:$AE$181,$E1914))</f>
        <v>0</v>
      </c>
      <c r="M1914" s="205">
        <f ca="1">IF($S$1&lt;DATE(2025,8,1)," ",COUNTIFS('2025数据'!$AB$3:$AB$181,"&gt;="&amp;DATE(2025,8,1),'2025数据'!$AB$3:$AB$181,"&lt;="&amp;DATE(2025,8,31),'2025数据'!$AE$3:$AE$181,$E1914))</f>
        <v>1</v>
      </c>
      <c r="N1914" s="205">
        <f ca="1">IF($S$1&lt;DATE(2025,9,1)," ",COUNTIFS('2025数据'!$AB$3:$AB$181,"&gt;="&amp;DATE(2025,9,1),'2025数据'!$AB$3:$AB$181,"&lt;="&amp;DATE(2025,9,30),'2025数据'!$AE$3:$AE$181,$E1914))</f>
        <v>0</v>
      </c>
      <c r="O1914" s="205">
        <f ca="1">IF($S$1&lt;DATE(2025,10,1)," ",COUNTIFS('2025数据'!$AB$3:$AB$181,"&gt;="&amp;DATE(2025,10,1),'2025数据'!$AB$3:$AB$181,"&lt;="&amp;DATE(2025,10,31),'2025数据'!$AE$3:$AE$181,$E1914))</f>
        <v>0</v>
      </c>
      <c r="P1914" s="207">
        <f ca="1">IF($S$1&lt;DATE(2025,11,1)," ",COUNTIFS('2025数据'!$AB$3:$AB$181,"&gt;="&amp;DATE(2025,11,1),'2025数据'!$AB$3:$AB$181,"&lt;="&amp;DATE(2025,11,30),'2025数据'!$AE$3:$AE$181,$E1914))</f>
        <v>0</v>
      </c>
      <c r="Q1914" s="207">
        <f ca="1">IF($S$1&lt;DATE(2025,12,1)," ",COUNTIFS('2025数据'!$AB$3:$AB$181,"&gt;="&amp;DATE(2025,12,1),'2025数据'!$AB$3:$AB$181,"&lt;="&amp;DATE(2025,12,31),'2025数据'!$AE$3:$AE$181,$E1914))</f>
        <v>0</v>
      </c>
    </row>
    <row r="1915" ht="24" customHeight="1" spans="1:17">
      <c r="A1915" s="99" t="s">
        <v>350</v>
      </c>
      <c r="B1915" s="99" t="s">
        <v>299</v>
      </c>
      <c r="C1915" s="99" t="s">
        <v>291</v>
      </c>
      <c r="D1915" s="48" t="s">
        <v>31</v>
      </c>
      <c r="E1915" s="48" t="s">
        <v>149</v>
      </c>
      <c r="F1915" s="205">
        <f ca="1">IF($S$1&lt;DATE(2025,1,1)," ",COUNTIFS('2025数据'!$AB$3:$AB$181,"&gt;="&amp;DATE(2024,1,1),'2025数据'!$AB$3:$AB$181,"&lt;="&amp;DATE(2025,1,31),'2025数据'!$AE$3:$AE$181,$E1915))</f>
        <v>0</v>
      </c>
      <c r="G1915" s="205">
        <f ca="1">IF($S$1&lt;DATE(2025,2,1)," ",COUNTIFS('2025数据'!$AB$3:$AB$181,"&gt;="&amp;DATE(2025,2,1),'2025数据'!$AB$3:$AB$181,"&lt;="&amp;DATE(2025,2,28),'2025数据'!$AE$3:$AE$181,$E1915))</f>
        <v>0</v>
      </c>
      <c r="H1915" s="205">
        <f ca="1">IF($S$1&lt;DATE(2025,3,1)," ",COUNTIFS('2025数据'!$AB$3:$AB$181,"&gt;="&amp;DATE(2025,3,1),'2025数据'!$AB$3:$AB$181,"&lt;="&amp;DATE(2025,3,31),'2025数据'!$AE$3:$AE$181,$E1915))</f>
        <v>2</v>
      </c>
      <c r="I1915" s="205">
        <f ca="1">IF($S$1&lt;DATE(2025,4,1)," ",COUNTIFS('2025数据'!$AB$3:$AB$181,"&gt;="&amp;DATE(2025,4,1),'2025数据'!$AB$3:$AB$181,"&lt;="&amp;DATE(2025,4,30),'2025数据'!$AE$3:$AE$181,$E1915))</f>
        <v>0</v>
      </c>
      <c r="J1915" s="205">
        <f ca="1">IF($S$1&lt;DATE(2025,5,1)," ",COUNTIFS('2025数据'!$AB$3:$AB$181,"&gt;="&amp;DATE(2025,5,1),'2025数据'!$AB$3:$AB$181,"&lt;="&amp;DATE(2025,5,31),'2025数据'!$AE$3:$AE$181,$E1915))</f>
        <v>0</v>
      </c>
      <c r="K1915" s="205">
        <f ca="1">IF($S$1&lt;DATE(2025,6,1)," ",COUNTIFS('2025数据'!$AB$3:$AB$181,"&gt;="&amp;DATE(2025,6,1),'2025数据'!$AB$3:$AB$181,"&lt;="&amp;DATE(2025,6,30),'2025数据'!$AE$3:$AE$181,$E1915))</f>
        <v>0</v>
      </c>
      <c r="L1915" s="205">
        <f ca="1">IF($S$1&lt;DATE(2025,7,1)," ",COUNTIFS('2025数据'!$AB$3:$AB$181,"&gt;="&amp;DATE(2025,7,1),'2025数据'!$AB$3:$AB$181,"&lt;="&amp;DATE(2025,7,31),'2025数据'!$AE$3:$AE$181,$E1915))</f>
        <v>0</v>
      </c>
      <c r="M1915" s="205">
        <f ca="1">IF($S$1&lt;DATE(2025,8,1)," ",COUNTIFS('2025数据'!$AB$3:$AB$181,"&gt;="&amp;DATE(2025,8,1),'2025数据'!$AB$3:$AB$181,"&lt;="&amp;DATE(2025,8,31),'2025数据'!$AE$3:$AE$181,$E1915))</f>
        <v>0</v>
      </c>
      <c r="N1915" s="205">
        <f ca="1">IF($S$1&lt;DATE(2025,9,1)," ",COUNTIFS('2025数据'!$AB$3:$AB$181,"&gt;="&amp;DATE(2025,9,1),'2025数据'!$AB$3:$AB$181,"&lt;="&amp;DATE(2025,9,30),'2025数据'!$AE$3:$AE$181,$E1915))</f>
        <v>0</v>
      </c>
      <c r="O1915" s="205">
        <f ca="1">IF($S$1&lt;DATE(2025,10,1)," ",COUNTIFS('2025数据'!$AB$3:$AB$181,"&gt;="&amp;DATE(2025,10,1),'2025数据'!$AB$3:$AB$181,"&lt;="&amp;DATE(2025,10,31),'2025数据'!$AE$3:$AE$181,$E1915))</f>
        <v>0</v>
      </c>
      <c r="P1915" s="207">
        <f ca="1">IF($S$1&lt;DATE(2025,11,1)," ",COUNTIFS('2025数据'!$AB$3:$AB$181,"&gt;="&amp;DATE(2025,11,1),'2025数据'!$AB$3:$AB$181,"&lt;="&amp;DATE(2025,11,30),'2025数据'!$AE$3:$AE$181,$E1915))</f>
        <v>0</v>
      </c>
      <c r="Q1915" s="207">
        <f ca="1">IF($S$1&lt;DATE(2025,12,1)," ",COUNTIFS('2025数据'!$AB$3:$AB$181,"&gt;="&amp;DATE(2025,12,1),'2025数据'!$AB$3:$AB$181,"&lt;="&amp;DATE(2025,12,31),'2025数据'!$AE$3:$AE$181,$E1915))</f>
        <v>0</v>
      </c>
    </row>
    <row r="1916" ht="24" customHeight="1" spans="1:17">
      <c r="A1916" s="99" t="s">
        <v>350</v>
      </c>
      <c r="B1916" s="99" t="s">
        <v>299</v>
      </c>
      <c r="C1916" s="99" t="s">
        <v>291</v>
      </c>
      <c r="D1916" s="48" t="s">
        <v>31</v>
      </c>
      <c r="E1916" s="48" t="s">
        <v>83</v>
      </c>
      <c r="F1916" s="205">
        <f ca="1">IF($S$1&lt;DATE(2025,1,1)," ",COUNTIFS('2025数据'!$AB$3:$AB$181,"&gt;="&amp;DATE(2024,1,1),'2025数据'!$AB$3:$AB$181,"&lt;="&amp;DATE(2025,1,31),'2025数据'!$AE$3:$AE$181,$E1916))</f>
        <v>0</v>
      </c>
      <c r="G1916" s="205">
        <f ca="1">IF($S$1&lt;DATE(2025,2,1)," ",COUNTIFS('2025数据'!$AB$3:$AB$181,"&gt;="&amp;DATE(2025,2,1),'2025数据'!$AB$3:$AB$181,"&lt;="&amp;DATE(2025,2,28),'2025数据'!$AE$3:$AE$181,$E1916))</f>
        <v>0</v>
      </c>
      <c r="H1916" s="205">
        <f ca="1">IF($S$1&lt;DATE(2025,3,1)," ",COUNTIFS('2025数据'!$AB$3:$AB$181,"&gt;="&amp;DATE(2025,3,1),'2025数据'!$AB$3:$AB$181,"&lt;="&amp;DATE(2025,3,31),'2025数据'!$AE$3:$AE$181,$E1916))</f>
        <v>0</v>
      </c>
      <c r="I1916" s="205">
        <f ca="1">IF($S$1&lt;DATE(2025,4,1)," ",COUNTIFS('2025数据'!$AB$3:$AB$181,"&gt;="&amp;DATE(2025,4,1),'2025数据'!$AB$3:$AB$181,"&lt;="&amp;DATE(2025,4,30),'2025数据'!$AE$3:$AE$181,$E1916))</f>
        <v>1</v>
      </c>
      <c r="J1916" s="205">
        <f ca="1">IF($S$1&lt;DATE(2025,5,1)," ",COUNTIFS('2025数据'!$AB$3:$AB$181,"&gt;="&amp;DATE(2025,5,1),'2025数据'!$AB$3:$AB$181,"&lt;="&amp;DATE(2025,5,31),'2025数据'!$AE$3:$AE$181,$E1916))</f>
        <v>0</v>
      </c>
      <c r="K1916" s="205">
        <f ca="1">IF($S$1&lt;DATE(2025,6,1)," ",COUNTIFS('2025数据'!$AB$3:$AB$181,"&gt;="&amp;DATE(2025,6,1),'2025数据'!$AB$3:$AB$181,"&lt;="&amp;DATE(2025,6,30),'2025数据'!$AE$3:$AE$181,$E1916))</f>
        <v>0</v>
      </c>
      <c r="L1916" s="205">
        <f ca="1">IF($S$1&lt;DATE(2025,7,1)," ",COUNTIFS('2025数据'!$AB$3:$AB$181,"&gt;="&amp;DATE(2025,7,1),'2025数据'!$AB$3:$AB$181,"&lt;="&amp;DATE(2025,7,31),'2025数据'!$AE$3:$AE$181,$E1916))</f>
        <v>0</v>
      </c>
      <c r="M1916" s="205">
        <f ca="1">IF($S$1&lt;DATE(2025,8,1)," ",COUNTIFS('2025数据'!$AB$3:$AB$181,"&gt;="&amp;DATE(2025,8,1),'2025数据'!$AB$3:$AB$181,"&lt;="&amp;DATE(2025,8,31),'2025数据'!$AE$3:$AE$181,$E1916))</f>
        <v>0</v>
      </c>
      <c r="N1916" s="205">
        <f ca="1">IF($S$1&lt;DATE(2025,9,1)," ",COUNTIFS('2025数据'!$AB$3:$AB$181,"&gt;="&amp;DATE(2025,9,1),'2025数据'!$AB$3:$AB$181,"&lt;="&amp;DATE(2025,9,30),'2025数据'!$AE$3:$AE$181,$E1916))</f>
        <v>0</v>
      </c>
      <c r="O1916" s="205">
        <f ca="1">IF($S$1&lt;DATE(2025,10,1)," ",COUNTIFS('2025数据'!$AB$3:$AB$181,"&gt;="&amp;DATE(2025,10,1),'2025数据'!$AB$3:$AB$181,"&lt;="&amp;DATE(2025,10,31),'2025数据'!$AE$3:$AE$181,$E1916))</f>
        <v>2</v>
      </c>
      <c r="P1916" s="207">
        <f ca="1">IF($S$1&lt;DATE(2025,11,1)," ",COUNTIFS('2025数据'!$AB$3:$AB$181,"&gt;="&amp;DATE(2025,11,1),'2025数据'!$AB$3:$AB$181,"&lt;="&amp;DATE(2025,11,30),'2025数据'!$AE$3:$AE$181,$E1916))</f>
        <v>0</v>
      </c>
      <c r="Q1916" s="207">
        <f ca="1">IF($S$1&lt;DATE(2025,12,1)," ",COUNTIFS('2025数据'!$AB$3:$AB$181,"&gt;="&amp;DATE(2025,12,1),'2025数据'!$AB$3:$AB$181,"&lt;="&amp;DATE(2025,12,31),'2025数据'!$AE$3:$AE$181,$E1916))</f>
        <v>0</v>
      </c>
    </row>
    <row r="1917" ht="24" customHeight="1" spans="1:17">
      <c r="A1917" s="99" t="s">
        <v>350</v>
      </c>
      <c r="B1917" s="99" t="s">
        <v>299</v>
      </c>
      <c r="C1917" s="99" t="s">
        <v>291</v>
      </c>
      <c r="D1917" s="47" t="s">
        <v>294</v>
      </c>
      <c r="E1917" s="47" t="s">
        <v>93</v>
      </c>
      <c r="F1917" s="206">
        <f ca="1">IF($S$1&lt;DATE(2025,1,1)," ",COUNTIFS('2025数据'!$AB$3:$AB$181,"&gt;="&amp;DATE(2024,1,1),'2025数据'!$AB$3:$AB$181,"&lt;="&amp;DATE(2025,1,31),'2025数据'!$B$3:$B$181,$E1917))</f>
        <v>0</v>
      </c>
      <c r="G1917" s="206">
        <f ca="1">IF($S$1&lt;DATE(2025,2,1)," ",COUNTIFS('2025数据'!$AB$3:$AB$181,"&gt;="&amp;DATE(2025,2,1),'2025数据'!$AB$3:$AB$181,"&lt;="&amp;DATE(2025,2,28),'2025数据'!$B$3:$B$181,$E1917))</f>
        <v>1</v>
      </c>
      <c r="H1917" s="206">
        <f ca="1">IF($S$1&lt;DATE(2025,3,1)," ",COUNTIFS('2025数据'!$AB$3:$AB$181,"&gt;="&amp;DATE(2025,3,1),'2025数据'!$AB$3:$AB$181,"&lt;="&amp;DATE(2025,3,31),'2025数据'!$B$3:$B$181,$E1917))</f>
        <v>4</v>
      </c>
      <c r="I1917" s="206">
        <f ca="1">IF($S$1&lt;DATE(2025,4,1)," ",COUNTIFS('2025数据'!$AB$3:$AB$181,"&gt;="&amp;DATE(2025,4,1),'2025数据'!$AB$3:$AB$181,"&lt;="&amp;DATE(2025,4,30),'2025数据'!$B$3:$B$181,$E1917))</f>
        <v>0</v>
      </c>
      <c r="J1917" s="206">
        <f ca="1">IF($S$1&lt;DATE(2025,5,1)," ",COUNTIFS('2025数据'!$AB$3:$AB$181,"&gt;="&amp;DATE(2025,5,1),'2025数据'!$AB$3:$AB$181,"&lt;="&amp;DATE(2025,5,31),'2025数据'!$B$3:$B$181,$E1917))</f>
        <v>1</v>
      </c>
      <c r="K1917" s="206">
        <f ca="1">IF($S$1&lt;DATE(2025,6,1)," ",COUNTIFS('2025数据'!$AB$3:$AB$181,"&gt;="&amp;DATE(2025,6,1),'2025数据'!$AB$3:$AB$181,"&lt;="&amp;DATE(2025,6,30),'2025数据'!$B$3:$B$181,$E1917))</f>
        <v>1</v>
      </c>
      <c r="L1917" s="206">
        <f ca="1">IF($S$1&lt;DATE(2025,7,1)," ",COUNTIFS('2025数据'!$AB$3:$AB$181,"&gt;="&amp;DATE(2025,7,1),'2025数据'!$AB$3:$AB$181,"&lt;="&amp;DATE(2025,7,31),'2025数据'!$B$3:$B$181,$E1917))</f>
        <v>0</v>
      </c>
      <c r="M1917" s="206">
        <f ca="1">IF($S$1&lt;DATE(2025,8,1)," ",COUNTIFS('2025数据'!$AB$3:$AB$181,"&gt;="&amp;DATE(2025,8,1),'2025数据'!$AB$3:$AB$181,"&lt;="&amp;DATE(2025,8,31),'2025数据'!$B$3:$B$181,$E1917))</f>
        <v>1</v>
      </c>
      <c r="N1917" s="206">
        <f ca="1">IF($S$1&lt;DATE(2025,9,1)," ",COUNTIFS('2025数据'!$AB$3:$AB$181,"&gt;="&amp;DATE(2025,9,1),'2025数据'!$AB$3:$AB$181,"&lt;="&amp;DATE(2025,9,30),'2025数据'!$B$3:$B$181,$E1917))</f>
        <v>0</v>
      </c>
      <c r="O1917" s="206">
        <f ca="1">IF($S$1&lt;DATE(2025,10,1)," ",COUNTIFS('2025数据'!$AB$3:$AB$181,"&gt;="&amp;DATE(2025,10,1),'2025数据'!$AB$3:$AB$181,"&lt;="&amp;DATE(2025,10,31),'2025数据'!$B$3:$B$181,$E1917))</f>
        <v>2</v>
      </c>
      <c r="P1917" s="208">
        <f ca="1">IF($S$1&lt;DATE(2025,11,1)," ",COUNTIFS('2025数据'!$AB$3:$AB$181,"&gt;="&amp;DATE(2025,11,1),'2025数据'!$AB$3:$AB$181,"&lt;="&amp;DATE(2025,11,30),'2025数据'!$B$3:$B$181,$E1917))</f>
        <v>2</v>
      </c>
      <c r="Q1917" s="208">
        <f ca="1">IF($S$1&lt;DATE(2025,12,1)," ",COUNTIFS('2025数据'!$AB$3:$AB$181,"&gt;="&amp;DATE(2025,12,1),'2025数据'!$AB$3:$AB$181,"&lt;="&amp;DATE(2025,12,31),'2025数据'!$B$3:$B$181,$E1917))</f>
        <v>0</v>
      </c>
    </row>
    <row r="1918" ht="24" customHeight="1" spans="1:17">
      <c r="A1918" s="99" t="s">
        <v>350</v>
      </c>
      <c r="B1918" s="99" t="s">
        <v>299</v>
      </c>
      <c r="C1918" s="99" t="s">
        <v>291</v>
      </c>
      <c r="D1918" s="47" t="s">
        <v>294</v>
      </c>
      <c r="E1918" s="47" t="s">
        <v>85</v>
      </c>
      <c r="F1918" s="206">
        <f ca="1">IF($S$1&lt;DATE(2025,1,1)," ",COUNTIFS('2025数据'!$AB$3:$AB$181,"&gt;="&amp;DATE(2024,1,1),'2025数据'!$AB$3:$AB$181,"&lt;="&amp;DATE(2025,1,31),'2025数据'!$B$3:$B$181,$E1918))</f>
        <v>1</v>
      </c>
      <c r="G1918" s="206">
        <f ca="1">IF($S$1&lt;DATE(2025,2,1)," ",COUNTIFS('2025数据'!$AB$3:$AB$181,"&gt;="&amp;DATE(2025,2,1),'2025数据'!$AB$3:$AB$181,"&lt;="&amp;DATE(2025,2,28),'2025数据'!$B$3:$B$181,$E1918))</f>
        <v>0</v>
      </c>
      <c r="H1918" s="206">
        <f ca="1">IF($S$1&lt;DATE(2025,3,1)," ",COUNTIFS('2025数据'!$AB$3:$AB$181,"&gt;="&amp;DATE(2025,3,1),'2025数据'!$AB$3:$AB$181,"&lt;="&amp;DATE(2025,3,31),'2025数据'!$B$3:$B$181,$E1918))</f>
        <v>0</v>
      </c>
      <c r="I1918" s="206">
        <f ca="1">IF($S$1&lt;DATE(2025,4,1)," ",COUNTIFS('2025数据'!$AB$3:$AB$181,"&gt;="&amp;DATE(2025,4,1),'2025数据'!$AB$3:$AB$181,"&lt;="&amp;DATE(2025,4,30),'2025数据'!$B$3:$B$181,$E1918))</f>
        <v>1</v>
      </c>
      <c r="J1918" s="206">
        <f ca="1">IF($S$1&lt;DATE(2025,5,1)," ",COUNTIFS('2025数据'!$AB$3:$AB$181,"&gt;="&amp;DATE(2025,5,1),'2025数据'!$AB$3:$AB$181,"&lt;="&amp;DATE(2025,5,31),'2025数据'!$B$3:$B$181,$E1918))</f>
        <v>0</v>
      </c>
      <c r="K1918" s="206">
        <f ca="1">IF($S$1&lt;DATE(2025,6,1)," ",COUNTIFS('2025数据'!$AB$3:$AB$181,"&gt;="&amp;DATE(2025,6,1),'2025数据'!$AB$3:$AB$181,"&lt;="&amp;DATE(2025,6,30),'2025数据'!$B$3:$B$181,$E1918))</f>
        <v>0</v>
      </c>
      <c r="L1918" s="206">
        <f ca="1">IF($S$1&lt;DATE(2025,7,1)," ",COUNTIFS('2025数据'!$AB$3:$AB$181,"&gt;="&amp;DATE(2025,7,1),'2025数据'!$AB$3:$AB$181,"&lt;="&amp;DATE(2025,7,31),'2025数据'!$B$3:$B$181,$E1918))</f>
        <v>0</v>
      </c>
      <c r="M1918" s="206">
        <f ca="1">IF($S$1&lt;DATE(2025,8,1)," ",COUNTIFS('2025数据'!$AB$3:$AB$181,"&gt;="&amp;DATE(2025,8,1),'2025数据'!$AB$3:$AB$181,"&lt;="&amp;DATE(2025,8,31),'2025数据'!$B$3:$B$181,$E1918))</f>
        <v>2</v>
      </c>
      <c r="N1918" s="206">
        <f ca="1">IF($S$1&lt;DATE(2025,9,1)," ",COUNTIFS('2025数据'!$AB$3:$AB$181,"&gt;="&amp;DATE(2025,9,1),'2025数据'!$AB$3:$AB$181,"&lt;="&amp;DATE(2025,9,30),'2025数据'!$B$3:$B$181,$E1918))</f>
        <v>0</v>
      </c>
      <c r="O1918" s="206">
        <f ca="1">IF($S$1&lt;DATE(2025,10,1)," ",COUNTIFS('2025数据'!$AB$3:$AB$181,"&gt;="&amp;DATE(2025,10,1),'2025数据'!$AB$3:$AB$181,"&lt;="&amp;DATE(2025,10,31),'2025数据'!$B$3:$B$181,$E1918))</f>
        <v>1</v>
      </c>
      <c r="P1918" s="208">
        <f ca="1">IF($S$1&lt;DATE(2025,11,1)," ",COUNTIFS('2025数据'!$AB$3:$AB$181,"&gt;="&amp;DATE(2025,11,1),'2025数据'!$AB$3:$AB$181,"&lt;="&amp;DATE(2025,11,30),'2025数据'!$B$3:$B$181,$E1918))</f>
        <v>0</v>
      </c>
      <c r="Q1918" s="208">
        <f ca="1">IF($S$1&lt;DATE(2025,12,1)," ",COUNTIFS('2025数据'!$AB$3:$AB$181,"&gt;="&amp;DATE(2025,12,1),'2025数据'!$AB$3:$AB$181,"&lt;="&amp;DATE(2025,12,31),'2025数据'!$B$3:$B$181,$E1918))</f>
        <v>0</v>
      </c>
    </row>
    <row r="1919" ht="24" customHeight="1" spans="1:17">
      <c r="A1919" s="99" t="s">
        <v>350</v>
      </c>
      <c r="B1919" s="99" t="s">
        <v>299</v>
      </c>
      <c r="C1919" s="99" t="s">
        <v>291</v>
      </c>
      <c r="D1919" s="47" t="s">
        <v>294</v>
      </c>
      <c r="E1919" s="47" t="s">
        <v>81</v>
      </c>
      <c r="F1919" s="206">
        <f ca="1">IF($S$1&lt;DATE(2025,1,1)," ",COUNTIFS('2025数据'!$AB$3:$AB$181,"&gt;="&amp;DATE(2024,1,1),'2025数据'!$AB$3:$AB$181,"&lt;="&amp;DATE(2025,1,31),'2025数据'!$B$3:$B$181,$E1919))</f>
        <v>0</v>
      </c>
      <c r="G1919" s="206">
        <f ca="1">IF($S$1&lt;DATE(2025,2,1)," ",COUNTIFS('2025数据'!$AB$3:$AB$181,"&gt;="&amp;DATE(2025,2,1),'2025数据'!$AB$3:$AB$181,"&lt;="&amp;DATE(2025,2,28),'2025数据'!$B$3:$B$181,$E1919))</f>
        <v>0</v>
      </c>
      <c r="H1919" s="206">
        <f ca="1">IF($S$1&lt;DATE(2025,3,1)," ",COUNTIFS('2025数据'!$AB$3:$AB$181,"&gt;="&amp;DATE(2025,3,1),'2025数据'!$AB$3:$AB$181,"&lt;="&amp;DATE(2025,3,31),'2025数据'!$B$3:$B$181,$E1919))</f>
        <v>1</v>
      </c>
      <c r="I1919" s="206">
        <f ca="1">IF($S$1&lt;DATE(2025,4,1)," ",COUNTIFS('2025数据'!$AB$3:$AB$181,"&gt;="&amp;DATE(2025,4,1),'2025数据'!$AB$3:$AB$181,"&lt;="&amp;DATE(2025,4,30),'2025数据'!$B$3:$B$181,$E1919))</f>
        <v>0</v>
      </c>
      <c r="J1919" s="206">
        <f ca="1">IF($S$1&lt;DATE(2025,5,1)," ",COUNTIFS('2025数据'!$AB$3:$AB$181,"&gt;="&amp;DATE(2025,5,1),'2025数据'!$AB$3:$AB$181,"&lt;="&amp;DATE(2025,5,31),'2025数据'!$B$3:$B$181,$E1919))</f>
        <v>1</v>
      </c>
      <c r="K1919" s="206">
        <f ca="1">IF($S$1&lt;DATE(2025,6,1)," ",COUNTIFS('2025数据'!$AB$3:$AB$181,"&gt;="&amp;DATE(2025,6,1),'2025数据'!$AB$3:$AB$181,"&lt;="&amp;DATE(2025,6,30),'2025数据'!$B$3:$B$181,$E1919))</f>
        <v>0</v>
      </c>
      <c r="L1919" s="206">
        <f ca="1">IF($S$1&lt;DATE(2025,7,1)," ",COUNTIFS('2025数据'!$AB$3:$AB$181,"&gt;="&amp;DATE(2025,7,1),'2025数据'!$AB$3:$AB$181,"&lt;="&amp;DATE(2025,7,31),'2025数据'!$B$3:$B$181,$E1919))</f>
        <v>1</v>
      </c>
      <c r="M1919" s="206">
        <f ca="1">IF($S$1&lt;DATE(2025,8,1)," ",COUNTIFS('2025数据'!$AB$3:$AB$181,"&gt;="&amp;DATE(2025,8,1),'2025数据'!$AB$3:$AB$181,"&lt;="&amp;DATE(2025,8,31),'2025数据'!$B$3:$B$181,$E1919))</f>
        <v>0</v>
      </c>
      <c r="N1919" s="206">
        <f ca="1">IF($S$1&lt;DATE(2025,9,1)," ",COUNTIFS('2025数据'!$AB$3:$AB$181,"&gt;="&amp;DATE(2025,9,1),'2025数据'!$AB$3:$AB$181,"&lt;="&amp;DATE(2025,9,30),'2025数据'!$B$3:$B$181,$E1919))</f>
        <v>0</v>
      </c>
      <c r="O1919" s="206">
        <f ca="1">IF($S$1&lt;DATE(2025,10,1)," ",COUNTIFS('2025数据'!$AB$3:$AB$181,"&gt;="&amp;DATE(2025,10,1),'2025数据'!$AB$3:$AB$181,"&lt;="&amp;DATE(2025,10,31),'2025数据'!$B$3:$B$181,$E1919))</f>
        <v>0</v>
      </c>
      <c r="P1919" s="208">
        <f ca="1">IF($S$1&lt;DATE(2025,11,1)," ",COUNTIFS('2025数据'!$AB$3:$AB$181,"&gt;="&amp;DATE(2025,11,1),'2025数据'!$AB$3:$AB$181,"&lt;="&amp;DATE(2025,11,30),'2025数据'!$B$3:$B$181,$E1919))</f>
        <v>0</v>
      </c>
      <c r="Q1919" s="208">
        <f ca="1">IF($S$1&lt;DATE(2025,12,1)," ",COUNTIFS('2025数据'!$AB$3:$AB$181,"&gt;="&amp;DATE(2025,12,1),'2025数据'!$AB$3:$AB$181,"&lt;="&amp;DATE(2025,12,31),'2025数据'!$B$3:$B$181,$E1919))</f>
        <v>0</v>
      </c>
    </row>
    <row r="1920" ht="24" customHeight="1" spans="1:17">
      <c r="A1920" s="99" t="s">
        <v>350</v>
      </c>
      <c r="B1920" s="99" t="s">
        <v>299</v>
      </c>
      <c r="C1920" s="99" t="s">
        <v>291</v>
      </c>
      <c r="D1920" s="47" t="s">
        <v>294</v>
      </c>
      <c r="E1920" s="47" t="s">
        <v>96</v>
      </c>
      <c r="F1920" s="206">
        <f ca="1">IF($S$1&lt;DATE(2025,1,1)," ",COUNTIFS('2025数据'!$AB$3:$AB$181,"&gt;="&amp;DATE(2024,1,1),'2025数据'!$AB$3:$AB$181,"&lt;="&amp;DATE(2025,1,31),'2025数据'!$B$3:$B$181,$E1920))</f>
        <v>0</v>
      </c>
      <c r="G1920" s="206">
        <f ca="1">IF($S$1&lt;DATE(2025,2,1)," ",COUNTIFS('2025数据'!$AB$3:$AB$181,"&gt;="&amp;DATE(2025,2,1),'2025数据'!$AB$3:$AB$181,"&lt;="&amp;DATE(2025,2,28),'2025数据'!$B$3:$B$181,$E1920))</f>
        <v>0</v>
      </c>
      <c r="H1920" s="206">
        <f ca="1">IF($S$1&lt;DATE(2025,3,1)," ",COUNTIFS('2025数据'!$AB$3:$AB$181,"&gt;="&amp;DATE(2025,3,1),'2025数据'!$AB$3:$AB$181,"&lt;="&amp;DATE(2025,3,31),'2025数据'!$B$3:$B$181,$E1920))</f>
        <v>1</v>
      </c>
      <c r="I1920" s="206">
        <f ca="1">IF($S$1&lt;DATE(2025,4,1)," ",COUNTIFS('2025数据'!$AB$3:$AB$181,"&gt;="&amp;DATE(2025,4,1),'2025数据'!$AB$3:$AB$181,"&lt;="&amp;DATE(2025,4,30),'2025数据'!$B$3:$B$181,$E1920))</f>
        <v>0</v>
      </c>
      <c r="J1920" s="206">
        <f ca="1">IF($S$1&lt;DATE(2025,5,1)," ",COUNTIFS('2025数据'!$AB$3:$AB$181,"&gt;="&amp;DATE(2025,5,1),'2025数据'!$AB$3:$AB$181,"&lt;="&amp;DATE(2025,5,31),'2025数据'!$B$3:$B$181,$E1920))</f>
        <v>0</v>
      </c>
      <c r="K1920" s="206">
        <f ca="1">IF($S$1&lt;DATE(2025,6,1)," ",COUNTIFS('2025数据'!$AB$3:$AB$181,"&gt;="&amp;DATE(2025,6,1),'2025数据'!$AB$3:$AB$181,"&lt;="&amp;DATE(2025,6,30),'2025数据'!$B$3:$B$181,$E1920))</f>
        <v>0</v>
      </c>
      <c r="L1920" s="206">
        <f ca="1">IF($S$1&lt;DATE(2025,7,1)," ",COUNTIFS('2025数据'!$AB$3:$AB$181,"&gt;="&amp;DATE(2025,7,1),'2025数据'!$AB$3:$AB$181,"&lt;="&amp;DATE(2025,7,31),'2025数据'!$B$3:$B$181,$E1920))</f>
        <v>0</v>
      </c>
      <c r="M1920" s="206">
        <f ca="1">IF($S$1&lt;DATE(2025,8,1)," ",COUNTIFS('2025数据'!$AB$3:$AB$181,"&gt;="&amp;DATE(2025,8,1),'2025数据'!$AB$3:$AB$181,"&lt;="&amp;DATE(2025,8,31),'2025数据'!$B$3:$B$181,$E1920))</f>
        <v>0</v>
      </c>
      <c r="N1920" s="206">
        <f ca="1">IF($S$1&lt;DATE(2025,9,1)," ",COUNTIFS('2025数据'!$AB$3:$AB$181,"&gt;="&amp;DATE(2025,9,1),'2025数据'!$AB$3:$AB$181,"&lt;="&amp;DATE(2025,9,30),'2025数据'!$B$3:$B$181,$E1920))</f>
        <v>0</v>
      </c>
      <c r="O1920" s="206">
        <f ca="1">IF($S$1&lt;DATE(2025,10,1)," ",COUNTIFS('2025数据'!$AB$3:$AB$181,"&gt;="&amp;DATE(2025,10,1),'2025数据'!$AB$3:$AB$181,"&lt;="&amp;DATE(2025,10,31),'2025数据'!$B$3:$B$181,$E1920))</f>
        <v>0</v>
      </c>
      <c r="P1920" s="208">
        <f ca="1">IF($S$1&lt;DATE(2025,11,1)," ",COUNTIFS('2025数据'!$AB$3:$AB$181,"&gt;="&amp;DATE(2025,11,1),'2025数据'!$AB$3:$AB$181,"&lt;="&amp;DATE(2025,11,30),'2025数据'!$B$3:$B$181,$E1920))</f>
        <v>0</v>
      </c>
      <c r="Q1920" s="208">
        <f ca="1">IF($S$1&lt;DATE(2025,12,1)," ",COUNTIFS('2025数据'!$AB$3:$AB$181,"&gt;="&amp;DATE(2025,12,1),'2025数据'!$AB$3:$AB$181,"&lt;="&amp;DATE(2025,12,31),'2025数据'!$B$3:$B$181,$E1920))</f>
        <v>0</v>
      </c>
    </row>
    <row r="1921" ht="24" customHeight="1" spans="1:17">
      <c r="A1921" s="99" t="s">
        <v>350</v>
      </c>
      <c r="B1921" s="99" t="s">
        <v>299</v>
      </c>
      <c r="C1921" s="99" t="s">
        <v>291</v>
      </c>
      <c r="D1921" s="47" t="s">
        <v>294</v>
      </c>
      <c r="E1921" s="47" t="s">
        <v>160</v>
      </c>
      <c r="F1921" s="206">
        <f ca="1">IF($S$1&lt;DATE(2025,1,1)," ",COUNTIFS('2025数据'!$AB$3:$AB$181,"&gt;="&amp;DATE(2024,1,1),'2025数据'!$AB$3:$AB$181,"&lt;="&amp;DATE(2025,1,31),'2025数据'!$B$3:$B$181,$E1921))</f>
        <v>0</v>
      </c>
      <c r="G1921" s="206">
        <f ca="1">IF($S$1&lt;DATE(2025,2,1)," ",COUNTIFS('2025数据'!$AB$3:$AB$181,"&gt;="&amp;DATE(2025,2,1),'2025数据'!$AB$3:$AB$181,"&lt;="&amp;DATE(2025,2,28),'2025数据'!$B$3:$B$181,$E1921))</f>
        <v>0</v>
      </c>
      <c r="H1921" s="206">
        <f ca="1">IF($S$1&lt;DATE(2025,3,1)," ",COUNTIFS('2025数据'!$AB$3:$AB$181,"&gt;="&amp;DATE(2025,3,1),'2025数据'!$AB$3:$AB$181,"&lt;="&amp;DATE(2025,3,31),'2025数据'!$B$3:$B$181,$E1921))</f>
        <v>0</v>
      </c>
      <c r="I1921" s="206">
        <f ca="1">IF($S$1&lt;DATE(2025,4,1)," ",COUNTIFS('2025数据'!$AB$3:$AB$181,"&gt;="&amp;DATE(2025,4,1),'2025数据'!$AB$3:$AB$181,"&lt;="&amp;DATE(2025,4,30),'2025数据'!$B$3:$B$181,$E1921))</f>
        <v>0</v>
      </c>
      <c r="J1921" s="206">
        <f ca="1">IF($S$1&lt;DATE(2025,5,1)," ",COUNTIFS('2025数据'!$AB$3:$AB$181,"&gt;="&amp;DATE(2025,5,1),'2025数据'!$AB$3:$AB$181,"&lt;="&amp;DATE(2025,5,31),'2025数据'!$B$3:$B$181,$E1921))</f>
        <v>0</v>
      </c>
      <c r="K1921" s="206">
        <f ca="1">IF($S$1&lt;DATE(2025,6,1)," ",COUNTIFS('2025数据'!$AB$3:$AB$181,"&gt;="&amp;DATE(2025,6,1),'2025数据'!$AB$3:$AB$181,"&lt;="&amp;DATE(2025,6,30),'2025数据'!$B$3:$B$181,$E1921))</f>
        <v>0</v>
      </c>
      <c r="L1921" s="206">
        <f ca="1">IF($S$1&lt;DATE(2025,7,1)," ",COUNTIFS('2025数据'!$AB$3:$AB$181,"&gt;="&amp;DATE(2025,7,1),'2025数据'!$AB$3:$AB$181,"&lt;="&amp;DATE(2025,7,31),'2025数据'!$B$3:$B$181,$E1921))</f>
        <v>0</v>
      </c>
      <c r="M1921" s="206">
        <f ca="1">IF($S$1&lt;DATE(2025,8,1)," ",COUNTIFS('2025数据'!$AB$3:$AB$181,"&gt;="&amp;DATE(2025,8,1),'2025数据'!$AB$3:$AB$181,"&lt;="&amp;DATE(2025,8,31),'2025数据'!$B$3:$B$181,$E1921))</f>
        <v>0</v>
      </c>
      <c r="N1921" s="206">
        <f ca="1">IF($S$1&lt;DATE(2025,9,1)," ",COUNTIFS('2025数据'!$AB$3:$AB$181,"&gt;="&amp;DATE(2025,9,1),'2025数据'!$AB$3:$AB$181,"&lt;="&amp;DATE(2025,9,30),'2025数据'!$B$3:$B$181,$E1921))</f>
        <v>0</v>
      </c>
      <c r="O1921" s="206">
        <f ca="1">IF($S$1&lt;DATE(2025,10,1)," ",COUNTIFS('2025数据'!$AB$3:$AB$181,"&gt;="&amp;DATE(2025,10,1),'2025数据'!$AB$3:$AB$181,"&lt;="&amp;DATE(2025,10,31),'2025数据'!$B$3:$B$181,$E1921))</f>
        <v>0</v>
      </c>
      <c r="P1921" s="208">
        <f ca="1">IF($S$1&lt;DATE(2025,11,1)," ",COUNTIFS('2025数据'!$AB$3:$AB$181,"&gt;="&amp;DATE(2025,11,1),'2025数据'!$AB$3:$AB$181,"&lt;="&amp;DATE(2025,11,30),'2025数据'!$B$3:$B$181,$E1921))</f>
        <v>0</v>
      </c>
      <c r="Q1921" s="208">
        <f ca="1">IF($S$1&lt;DATE(2025,12,1)," ",COUNTIFS('2025数据'!$AB$3:$AB$181,"&gt;="&amp;DATE(2025,12,1),'2025数据'!$AB$3:$AB$181,"&lt;="&amp;DATE(2025,12,31),'2025数据'!$B$3:$B$181,$E1921))</f>
        <v>0</v>
      </c>
    </row>
    <row r="1922" ht="24" customHeight="1" spans="1:17">
      <c r="A1922" s="99" t="s">
        <v>350</v>
      </c>
      <c r="B1922" s="99" t="s">
        <v>299</v>
      </c>
      <c r="C1922" s="99" t="s">
        <v>291</v>
      </c>
      <c r="D1922" s="100" t="s">
        <v>292</v>
      </c>
      <c r="E1922" s="110" t="s">
        <v>301</v>
      </c>
      <c r="F1922" s="210">
        <f ca="1">IF($S$1&lt;DATE(2025,1,1)," ",COUNTIFS('2025数据'!$AB$3:$AB$181,"&gt;="&amp;DATE(2025,1,1),'2025数据'!$AB$3:$AB$181,"&lt;="&amp;DATE(2025,1,31),'2025数据'!$BY$3:$BY$181,$E1922))</f>
        <v>1</v>
      </c>
      <c r="G1922" s="210">
        <f ca="1">IF($S$1&lt;DATE(2025,2,1)," ",COUNTIFS('2025数据'!$AB$3:$AB$181,"&gt;="&amp;DATE(2025,2,1),'2025数据'!$AB$3:$AB$181,"&lt;="&amp;DATE(2025,2,28),'2025数据'!$BY$3:$BY$181,$E1922))</f>
        <v>0</v>
      </c>
      <c r="H1922" s="210">
        <f ca="1">IF($S$1&lt;DATE(2025,3,1)," ",COUNTIFS('2025数据'!$AB$3:$AB$181,"&gt;="&amp;DATE(2025,3,1),'2025数据'!$AB$3:$AB$181,"&lt;="&amp;DATE(2025,3,31),'2025数据'!$BY$3:$BY$181,$E1922))</f>
        <v>2</v>
      </c>
      <c r="I1922" s="210">
        <f ca="1">IF($S$1&lt;DATE(2025,4,1)," ",COUNTIFS('2025数据'!$AB$3:$AB$181,"&gt;="&amp;DATE(2025,4,1),'2025数据'!$AB$3:$AB$181,"&lt;="&amp;DATE(2025,4,30),'2025数据'!$BY$3:$BY$181,$E1922))</f>
        <v>1</v>
      </c>
      <c r="J1922" s="210">
        <f ca="1">IF($S$1&lt;DATE(2025,5,1)," ",COUNTIFS('2025数据'!$AB$3:$AB$181,"&gt;="&amp;DATE(2025,5,1),'2025数据'!$AB$3:$AB$181,"&lt;="&amp;DATE(2025,5,31),'2025数据'!$BY$3:$BY$181,$E1922))</f>
        <v>1</v>
      </c>
      <c r="K1922" s="210">
        <f ca="1">IF($S$1&lt;DATE(2025,6,1)," ",COUNTIFS('2025数据'!$AB$3:$AB$181,"&gt;="&amp;DATE(2025,6,1),'2025数据'!$AB$3:$AB$181,"&lt;="&amp;DATE(2025,6,30),'2025数据'!$BY$3:$BY$181,$E1922))</f>
        <v>1</v>
      </c>
      <c r="L1922" s="210">
        <f ca="1">IF($S$1&lt;DATE(2025,7,1)," ",COUNTIFS('2025数据'!$AB$3:$AB$181,"&gt;="&amp;DATE(2025,7,1),'2025数据'!$AB$3:$AB$181,"&lt;="&amp;DATE(2025,7,31),'2025数据'!$BY$3:$BY$181,$E1922))</f>
        <v>1</v>
      </c>
      <c r="M1922" s="210">
        <f ca="1">IF($S$1&lt;DATE(2025,8,1)," ",COUNTIFS('2025数据'!$AB$3:$AB$181,"&gt;="&amp;DATE(2025,8,1),'2025数据'!$AB$3:$AB$181,"&lt;="&amp;DATE(2025,8,31),'2025数据'!$BY$3:$BY$181,$E1922))</f>
        <v>3</v>
      </c>
      <c r="N1922" s="210">
        <f ca="1">IF($S$1&lt;DATE(2025,9,1)," ",COUNTIFS('2025数据'!$AB$3:$AB$181,"&gt;="&amp;DATE(2025,9,1),'2025数据'!$AB$3:$AB$181,"&lt;="&amp;DATE(2025,9,30),'2025数据'!$BY$3:$BY$181,$E1922))</f>
        <v>0</v>
      </c>
      <c r="O1922" s="210">
        <f ca="1">IF($S$1&lt;DATE(2025,10,1)," ",COUNTIFS('2025数据'!$AB$3:$AB$181,"&gt;="&amp;DATE(2025,10,1),'2025数据'!$AB$3:$AB$181,"&lt;="&amp;DATE(2025,10,31),'2025数据'!$BY$3:$BY$181,$E1922))</f>
        <v>3</v>
      </c>
      <c r="P1922" s="212">
        <f ca="1">IF($S$1&lt;DATE(2025,11,1)," ",COUNTIFS('2025数据'!$AB$3:$AB$181,"&gt;="&amp;DATE(2025,11,1),'2025数据'!$AB$3:$AB$181,"&lt;="&amp;DATE(2025,11,30),'2025数据'!$BY$3:$BY$181,$E1922))</f>
        <v>0</v>
      </c>
      <c r="Q1922" s="212">
        <f ca="1">IF($S$1&lt;DATE(2025,12,1)," ",COUNTIFS('2025数据'!$AB$3:$AB$181,"&gt;="&amp;DATE(2025,12,1),'2025数据'!$AB$3:$AB$181,"&lt;="&amp;DATE(2025,12,31),'2025数据'!$BY$3:$BY$181,$E1922))</f>
        <v>0</v>
      </c>
    </row>
    <row r="1923" ht="24" customHeight="1" spans="1:17">
      <c r="A1923" s="99" t="s">
        <v>350</v>
      </c>
      <c r="B1923" s="99" t="s">
        <v>299</v>
      </c>
      <c r="C1923" s="99" t="s">
        <v>291</v>
      </c>
      <c r="D1923" s="100" t="s">
        <v>292</v>
      </c>
      <c r="E1923" s="110" t="s">
        <v>302</v>
      </c>
      <c r="F1923" s="210">
        <f ca="1">IF($S$1&lt;DATE(2025,1,1)," ",COUNTIFS('2025数据'!$AB$3:$AB$181,"&gt;="&amp;DATE(2025,1,1),'2025数据'!$AB$3:$AB$181,"&lt;="&amp;DATE(2025,1,31),'2025数据'!$BY$3:$BY$181,$E1923))</f>
        <v>0</v>
      </c>
      <c r="G1923" s="210">
        <f ca="1">IF($S$1&lt;DATE(2025,2,1)," ",COUNTIFS('2025数据'!$AB$3:$AB$181,"&gt;="&amp;DATE(2025,2,1),'2025数据'!$AB$3:$AB$181,"&lt;="&amp;DATE(2025,2,28),'2025数据'!$BY$3:$BY$181,$E1923))</f>
        <v>0</v>
      </c>
      <c r="H1923" s="210">
        <f ca="1">IF($S$1&lt;DATE(2025,3,1)," ",COUNTIFS('2025数据'!$AB$3:$AB$181,"&gt;="&amp;DATE(2025,3,1),'2025数据'!$AB$3:$AB$181,"&lt;="&amp;DATE(2025,3,31),'2025数据'!$BY$3:$BY$181,$E1923))</f>
        <v>0</v>
      </c>
      <c r="I1923" s="210">
        <f ca="1">IF($S$1&lt;DATE(2025,4,1)," ",COUNTIFS('2025数据'!$AB$3:$AB$181,"&gt;="&amp;DATE(2025,4,1),'2025数据'!$AB$3:$AB$181,"&lt;="&amp;DATE(2025,4,30),'2025数据'!$BY$3:$BY$181,$E1923))</f>
        <v>0</v>
      </c>
      <c r="J1923" s="210">
        <f ca="1">IF($S$1&lt;DATE(2025,5,1)," ",COUNTIFS('2025数据'!$AB$3:$AB$181,"&gt;="&amp;DATE(2025,5,1),'2025数据'!$AB$3:$AB$181,"&lt;="&amp;DATE(2025,5,31),'2025数据'!$BY$3:$BY$181,$E1923))</f>
        <v>0</v>
      </c>
      <c r="K1923" s="210">
        <f ca="1">IF($S$1&lt;DATE(2025,6,1)," ",COUNTIFS('2025数据'!$AB$3:$AB$181,"&gt;="&amp;DATE(2025,6,1),'2025数据'!$AB$3:$AB$181,"&lt;="&amp;DATE(2025,6,30),'2025数据'!$BY$3:$BY$181,$E1923))</f>
        <v>0</v>
      </c>
      <c r="L1923" s="210">
        <f ca="1">IF($S$1&lt;DATE(2025,7,1)," ",COUNTIFS('2025数据'!$AB$3:$AB$181,"&gt;="&amp;DATE(2025,7,1),'2025数据'!$AB$3:$AB$181,"&lt;="&amp;DATE(2025,7,31),'2025数据'!$BY$3:$BY$181,$E1923))</f>
        <v>0</v>
      </c>
      <c r="M1923" s="210">
        <f ca="1">IF($S$1&lt;DATE(2025,8,1)," ",COUNTIFS('2025数据'!$AB$3:$AB$181,"&gt;="&amp;DATE(2025,8,1),'2025数据'!$AB$3:$AB$181,"&lt;="&amp;DATE(2025,8,31),'2025数据'!$BY$3:$BY$181,$E1923))</f>
        <v>0</v>
      </c>
      <c r="N1923" s="210">
        <f ca="1">IF($S$1&lt;DATE(2025,9,1)," ",COUNTIFS('2025数据'!$AB$3:$AB$181,"&gt;="&amp;DATE(2025,9,1),'2025数据'!$AB$3:$AB$181,"&lt;="&amp;DATE(2025,9,30),'2025数据'!$BY$3:$BY$181,$E1923))</f>
        <v>0</v>
      </c>
      <c r="O1923" s="210">
        <f ca="1">IF($S$1&lt;DATE(2025,10,1)," ",COUNTIFS('2025数据'!$AB$3:$AB$181,"&gt;="&amp;DATE(2025,10,1),'2025数据'!$AB$3:$AB$181,"&lt;="&amp;DATE(2025,10,31),'2025数据'!$BY$3:$BY$181,$E1923))</f>
        <v>0</v>
      </c>
      <c r="P1923" s="212">
        <f ca="1">IF($S$1&lt;DATE(2025,11,1)," ",COUNTIFS('2025数据'!$AB$3:$AB$181,"&gt;="&amp;DATE(2025,11,1),'2025数据'!$AB$3:$AB$181,"&lt;="&amp;DATE(2025,11,30),'2025数据'!$BY$3:$BY$181,$E1923))</f>
        <v>2</v>
      </c>
      <c r="Q1923" s="212">
        <f ca="1">IF($S$1&lt;DATE(2025,12,1)," ",COUNTIFS('2025数据'!$AB$3:$AB$181,"&gt;="&amp;DATE(2025,12,1),'2025数据'!$AB$3:$AB$181,"&lt;="&amp;DATE(2025,12,31),'2025数据'!$BY$3:$BY$181,$E1923))</f>
        <v>0</v>
      </c>
    </row>
    <row r="1924" ht="24" customHeight="1" spans="1:17">
      <c r="A1924" s="99" t="s">
        <v>350</v>
      </c>
      <c r="B1924" s="99" t="s">
        <v>299</v>
      </c>
      <c r="C1924" s="99" t="s">
        <v>291</v>
      </c>
      <c r="D1924" s="100" t="s">
        <v>292</v>
      </c>
      <c r="E1924" s="110" t="s">
        <v>150</v>
      </c>
      <c r="F1924" s="210">
        <f ca="1">IF($S$1&lt;DATE(2025,1,1)," ",COUNTIFS('2025数据'!$AB$3:$AB$181,"&gt;="&amp;DATE(2025,1,1),'2025数据'!$AB$3:$AB$181,"&lt;="&amp;DATE(2025,1,31),'2025数据'!$BY$3:$BY$181,$E1924))</f>
        <v>0</v>
      </c>
      <c r="G1924" s="210">
        <f ca="1">IF($S$1&lt;DATE(2025,2,1)," ",COUNTIFS('2025数据'!$AB$3:$AB$181,"&gt;="&amp;DATE(2025,2,1),'2025数据'!$AB$3:$AB$181,"&lt;="&amp;DATE(2025,2,28),'2025数据'!$BY$3:$BY$181,$E1924))</f>
        <v>1</v>
      </c>
      <c r="H1924" s="210">
        <f ca="1">IF($S$1&lt;DATE(2025,3,1)," ",COUNTIFS('2025数据'!$AB$3:$AB$181,"&gt;="&amp;DATE(2025,3,1),'2025数据'!$AB$3:$AB$181,"&lt;="&amp;DATE(2025,3,31),'2025数据'!$BY$3:$BY$181,$E1924))</f>
        <v>4</v>
      </c>
      <c r="I1924" s="210">
        <f ca="1">IF($S$1&lt;DATE(2025,4,1)," ",COUNTIFS('2025数据'!$AB$3:$AB$181,"&gt;="&amp;DATE(2025,4,1),'2025数据'!$AB$3:$AB$181,"&lt;="&amp;DATE(2025,4,30),'2025数据'!$BY$3:$BY$181,$E1924))</f>
        <v>0</v>
      </c>
      <c r="J1924" s="210">
        <f ca="1">IF($S$1&lt;DATE(2025,5,1)," ",COUNTIFS('2025数据'!$AB$3:$AB$181,"&gt;="&amp;DATE(2025,5,1),'2025数据'!$AB$3:$AB$181,"&lt;="&amp;DATE(2025,5,31),'2025数据'!$BY$3:$BY$181,$E1924))</f>
        <v>1</v>
      </c>
      <c r="K1924" s="210">
        <f ca="1">IF($S$1&lt;DATE(2025,6,1)," ",COUNTIFS('2025数据'!$AB$3:$AB$181,"&gt;="&amp;DATE(2025,6,1),'2025数据'!$AB$3:$AB$181,"&lt;="&amp;DATE(2025,6,30),'2025数据'!$BY$3:$BY$181,$E1924))</f>
        <v>0</v>
      </c>
      <c r="L1924" s="210">
        <f ca="1">IF($S$1&lt;DATE(2025,7,1)," ",COUNTIFS('2025数据'!$AB$3:$AB$181,"&gt;="&amp;DATE(2025,7,1),'2025数据'!$AB$3:$AB$181,"&lt;="&amp;DATE(2025,7,31),'2025数据'!$BY$3:$BY$181,$E1924))</f>
        <v>0</v>
      </c>
      <c r="M1924" s="210">
        <f ca="1">IF($S$1&lt;DATE(2025,8,1)," ",COUNTIFS('2025数据'!$AB$3:$AB$181,"&gt;="&amp;DATE(2025,8,1),'2025数据'!$AB$3:$AB$181,"&lt;="&amp;DATE(2025,8,31),'2025数据'!$BY$3:$BY$181,$E1924))</f>
        <v>0</v>
      </c>
      <c r="N1924" s="210">
        <f ca="1">IF($S$1&lt;DATE(2025,9,1)," ",COUNTIFS('2025数据'!$AB$3:$AB$181,"&gt;="&amp;DATE(2025,9,1),'2025数据'!$AB$3:$AB$181,"&lt;="&amp;DATE(2025,9,30),'2025数据'!$BY$3:$BY$181,$E1924))</f>
        <v>0</v>
      </c>
      <c r="O1924" s="210">
        <f ca="1">IF($S$1&lt;DATE(2025,10,1)," ",COUNTIFS('2025数据'!$AB$3:$AB$181,"&gt;="&amp;DATE(2025,10,1),'2025数据'!$AB$3:$AB$181,"&lt;="&amp;DATE(2025,10,31),'2025数据'!$BY$3:$BY$181,$E1924))</f>
        <v>0</v>
      </c>
      <c r="P1924" s="212">
        <f ca="1">IF($S$1&lt;DATE(2025,11,1)," ",COUNTIFS('2025数据'!$AB$3:$AB$181,"&gt;="&amp;DATE(2025,11,1),'2025数据'!$AB$3:$AB$181,"&lt;="&amp;DATE(2025,11,30),'2025数据'!$BY$3:$BY$181,$E1924))</f>
        <v>0</v>
      </c>
      <c r="Q1924" s="212">
        <f ca="1">IF($S$1&lt;DATE(2025,12,1)," ",COUNTIFS('2025数据'!$AB$3:$AB$181,"&gt;="&amp;DATE(2025,12,1),'2025数据'!$AB$3:$AB$181,"&lt;="&amp;DATE(2025,12,31),'2025数据'!$BY$3:$BY$181,$E1924))</f>
        <v>0</v>
      </c>
    </row>
    <row r="1925" ht="24" customHeight="1" spans="1:17">
      <c r="A1925" s="99" t="s">
        <v>350</v>
      </c>
      <c r="B1925" s="99" t="s">
        <v>299</v>
      </c>
      <c r="C1925" s="99" t="s">
        <v>291</v>
      </c>
      <c r="D1925" s="53" t="s">
        <v>303</v>
      </c>
      <c r="E1925" s="53" t="s">
        <v>93</v>
      </c>
      <c r="F1925" s="210">
        <f ca="1">IF($S$1&lt;DATE(2025,1,1)," ",COUNTIFS('2025数据'!$AB$3:$AB$181,"&gt;="&amp;DATE(2025,1,1),'2025数据'!$AB$3:$AB$181,"&lt;="&amp;DATE(2025,1,31),'2025数据'!$BY$3:$BY$181,$E$37,'2025数据'!$B$3:$B$181,$E1925))</f>
        <v>0</v>
      </c>
      <c r="G1925" s="210">
        <f ca="1">IF($S$1&lt;DATE(2025,2,1)," ",COUNTIFS('2025数据'!$AB$3:$AB$181,"&gt;="&amp;DATE(2025,2,1),'2025数据'!$AB$3:$AB$181,"&lt;="&amp;DATE(2025,2,28),'2025数据'!$BY$3:$BY$181,$E$37,'2025数据'!$B$3:$B$181,$E1925))</f>
        <v>0</v>
      </c>
      <c r="H1925" s="210">
        <f ca="1">IF($S$1&lt;DATE(2025,3,1)," ",COUNTIFS('2025数据'!$AB$3:$AB$181,"&gt;="&amp;DATE(2025,3,1),'2025数据'!$AB$3:$AB$181,"&lt;="&amp;DATE(2025,3,31),'2025数据'!$BY$3:$BY$181,$E$37,'2025数据'!$B$3:$B$181,$E1925))</f>
        <v>1</v>
      </c>
      <c r="I1925" s="210">
        <f ca="1">IF($S$1&lt;DATE(2025,4,1)," ",COUNTIFS('2025数据'!$AB$3:$AB$181,"&gt;="&amp;DATE(2025,4,1),'2025数据'!$AB$3:$AB$181,"&lt;="&amp;DATE(2025,4,30),'2025数据'!$BY$3:$BY$181,$E$37,'2025数据'!$B$3:$B$181,$E1925))</f>
        <v>0</v>
      </c>
      <c r="J1925" s="210">
        <f ca="1">IF($S$1&lt;DATE(2025,5,1)," ",COUNTIFS('2025数据'!$AB$3:$AB$181,"&gt;="&amp;DATE(2025,5,1),'2025数据'!$AB$3:$AB$181,"&lt;="&amp;DATE(2025,5,31),'2025数据'!$BY$3:$BY$181,$E$37,'2025数据'!$B$3:$B$181,$E1925))</f>
        <v>0</v>
      </c>
      <c r="K1925" s="210">
        <f ca="1">IF($S$1&lt;DATE(2025,6,1)," ",COUNTIFS('2025数据'!$AB$3:$AB$181,"&gt;="&amp;DATE(2025,6,1),'2025数据'!$AB$3:$AB$181,"&lt;="&amp;DATE(2025,6,30),'2025数据'!$BY$3:$BY$181,$E$37,'2025数据'!$B$3:$B$181,$E1925))</f>
        <v>1</v>
      </c>
      <c r="L1925" s="210">
        <f ca="1">IF($S$1&lt;DATE(2025,7,1)," ",COUNTIFS('2025数据'!$AB$3:$AB$181,"&gt;="&amp;DATE(2025,7,1),'2025数据'!$AB$3:$AB$181,"&lt;="&amp;DATE(2025,7,31),'2025数据'!$BY$3:$BY$181,$E$37,'2025数据'!$B$3:$B$181,$E1925))</f>
        <v>0</v>
      </c>
      <c r="M1925" s="210">
        <f ca="1">IF($S$1&lt;DATE(2025,8,1)," ",COUNTIFS('2025数据'!$AB$3:$AB$181,"&gt;="&amp;DATE(2025,8,1),'2025数据'!$AB$3:$AB$181,"&lt;="&amp;DATE(2025,8,31),'2025数据'!$BY$3:$BY$181,$E$37,'2025数据'!$B$3:$B$181,$E1925))</f>
        <v>1</v>
      </c>
      <c r="N1925" s="210">
        <f ca="1">IF($S$1&lt;DATE(2025,9,1)," ",COUNTIFS('2025数据'!$AB$3:$AB$181,"&gt;="&amp;DATE(2025,9,1),'2025数据'!$AB$3:$AB$181,"&lt;="&amp;DATE(2025,9,30),'2025数据'!$BY$3:$BY$181,$E$37,'2025数据'!$B$3:$B$181,$E1925))</f>
        <v>0</v>
      </c>
      <c r="O1925" s="210">
        <f ca="1">IF($S$1&lt;DATE(2025,10,1)," ",COUNTIFS('2025数据'!$AB$3:$AB$181,"&gt;="&amp;DATE(2025,10,1),'2025数据'!$AB$3:$AB$181,"&lt;="&amp;DATE(2025,10,31),'2025数据'!$BY$3:$BY$181,$E$37,'2025数据'!$B$3:$B$181,$E1925))</f>
        <v>2</v>
      </c>
      <c r="P1925" s="212">
        <f ca="1">IF($S$1&lt;DATE(2025,11,1)," ",COUNTIFS('2025数据'!$AB$3:$AB$181,"&gt;="&amp;DATE(2025,11,1),'2025数据'!$AB$3:$AB$181,"&lt;="&amp;DATE(2025,11,30),'2025数据'!$BY$3:$BY$181,$E$37,'2025数据'!$B$3:$B$181,$E1925))</f>
        <v>0</v>
      </c>
      <c r="Q1925" s="212">
        <f ca="1">IF($S$1&lt;DATE(2025,12,1)," ",COUNTIFS('2025数据'!$AB$3:$AB$181,"&gt;="&amp;DATE(2025,12,1),'2025数据'!$AB$3:$AB$181,"&lt;="&amp;DATE(2025,12,31),'2025数据'!$BY$3:$BY$181,$E$37,'2025数据'!$B$3:$B$181,$E1925))</f>
        <v>0</v>
      </c>
    </row>
    <row r="1926" ht="24" customHeight="1" spans="1:17">
      <c r="A1926" s="99" t="s">
        <v>350</v>
      </c>
      <c r="B1926" s="99" t="s">
        <v>299</v>
      </c>
      <c r="C1926" s="99" t="s">
        <v>291</v>
      </c>
      <c r="D1926" s="53" t="s">
        <v>303</v>
      </c>
      <c r="E1926" s="53" t="s">
        <v>85</v>
      </c>
      <c r="F1926" s="210">
        <f ca="1">IF($S$1&lt;DATE(2025,1,1)," ",COUNTIFS('2025数据'!$AB$3:$AB$181,"&gt;="&amp;DATE(2025,1,1),'2025数据'!$AB$3:$AB$181,"&lt;="&amp;DATE(2025,1,31),'2025数据'!$BY$3:$BY$181,$E$37,'2025数据'!$B$3:$B$181,$E1926))</f>
        <v>1</v>
      </c>
      <c r="G1926" s="210">
        <f ca="1">IF($S$1&lt;DATE(2025,2,1)," ",COUNTIFS('2025数据'!$AB$3:$AB$181,"&gt;="&amp;DATE(2025,2,1),'2025数据'!$AB$3:$AB$181,"&lt;="&amp;DATE(2025,2,28),'2025数据'!$BY$3:$BY$181,$E$37,'2025数据'!$B$3:$B$181,$E1926))</f>
        <v>0</v>
      </c>
      <c r="H1926" s="210">
        <f ca="1">IF($S$1&lt;DATE(2025,3,1)," ",COUNTIFS('2025数据'!$AB$3:$AB$181,"&gt;="&amp;DATE(2025,3,1),'2025数据'!$AB$3:$AB$181,"&lt;="&amp;DATE(2025,3,31),'2025数据'!$BY$3:$BY$181,$E$37,'2025数据'!$B$3:$B$181,$E1926))</f>
        <v>0</v>
      </c>
      <c r="I1926" s="210">
        <f ca="1">IF($S$1&lt;DATE(2025,4,1)," ",COUNTIFS('2025数据'!$AB$3:$AB$181,"&gt;="&amp;DATE(2025,4,1),'2025数据'!$AB$3:$AB$181,"&lt;="&amp;DATE(2025,4,30),'2025数据'!$BY$3:$BY$181,$E$37,'2025数据'!$B$3:$B$181,$E1926))</f>
        <v>1</v>
      </c>
      <c r="J1926" s="210">
        <f ca="1">IF($S$1&lt;DATE(2025,5,1)," ",COUNTIFS('2025数据'!$AB$3:$AB$181,"&gt;="&amp;DATE(2025,5,1),'2025数据'!$AB$3:$AB$181,"&lt;="&amp;DATE(2025,5,31),'2025数据'!$BY$3:$BY$181,$E$37,'2025数据'!$B$3:$B$181,$E1926))</f>
        <v>0</v>
      </c>
      <c r="K1926" s="210">
        <f ca="1">IF($S$1&lt;DATE(2025,6,1)," ",COUNTIFS('2025数据'!$AB$3:$AB$181,"&gt;="&amp;DATE(2025,6,1),'2025数据'!$AB$3:$AB$181,"&lt;="&amp;DATE(2025,6,30),'2025数据'!$BY$3:$BY$181,$E$37,'2025数据'!$B$3:$B$181,$E1926))</f>
        <v>0</v>
      </c>
      <c r="L1926" s="210">
        <f ca="1">IF($S$1&lt;DATE(2025,7,1)," ",COUNTIFS('2025数据'!$AB$3:$AB$181,"&gt;="&amp;DATE(2025,7,1),'2025数据'!$AB$3:$AB$181,"&lt;="&amp;DATE(2025,7,31),'2025数据'!$BY$3:$BY$181,$E$37,'2025数据'!$B$3:$B$181,$E1926))</f>
        <v>0</v>
      </c>
      <c r="M1926" s="210">
        <f ca="1">IF($S$1&lt;DATE(2025,8,1)," ",COUNTIFS('2025数据'!$AB$3:$AB$181,"&gt;="&amp;DATE(2025,8,1),'2025数据'!$AB$3:$AB$181,"&lt;="&amp;DATE(2025,8,31),'2025数据'!$BY$3:$BY$181,$E$37,'2025数据'!$B$3:$B$181,$E1926))</f>
        <v>2</v>
      </c>
      <c r="N1926" s="210">
        <f ca="1">IF($S$1&lt;DATE(2025,9,1)," ",COUNTIFS('2025数据'!$AB$3:$AB$181,"&gt;="&amp;DATE(2025,9,1),'2025数据'!$AB$3:$AB$181,"&lt;="&amp;DATE(2025,9,30),'2025数据'!$BY$3:$BY$181,$E$37,'2025数据'!$B$3:$B$181,$E1926))</f>
        <v>0</v>
      </c>
      <c r="O1926" s="210">
        <f ca="1">IF($S$1&lt;DATE(2025,10,1)," ",COUNTIFS('2025数据'!$AB$3:$AB$181,"&gt;="&amp;DATE(2025,10,1),'2025数据'!$AB$3:$AB$181,"&lt;="&amp;DATE(2025,10,31),'2025数据'!$BY$3:$BY$181,$E$37,'2025数据'!$B$3:$B$181,$E1926))</f>
        <v>1</v>
      </c>
      <c r="P1926" s="212">
        <f ca="1">IF($S$1&lt;DATE(2025,11,1)," ",COUNTIFS('2025数据'!$AB$3:$AB$181,"&gt;="&amp;DATE(2025,11,1),'2025数据'!$AB$3:$AB$181,"&lt;="&amp;DATE(2025,11,30),'2025数据'!$BY$3:$BY$181,$E$37,'2025数据'!$B$3:$B$181,$E1926))</f>
        <v>0</v>
      </c>
      <c r="Q1926" s="212">
        <f ca="1">IF($S$1&lt;DATE(2025,12,1)," ",COUNTIFS('2025数据'!$AB$3:$AB$181,"&gt;="&amp;DATE(2025,12,1),'2025数据'!$AB$3:$AB$181,"&lt;="&amp;DATE(2025,12,31),'2025数据'!$BY$3:$BY$181,$E$37,'2025数据'!$B$3:$B$181,$E1926))</f>
        <v>0</v>
      </c>
    </row>
    <row r="1927" ht="24" customHeight="1" spans="1:17">
      <c r="A1927" s="99" t="s">
        <v>350</v>
      </c>
      <c r="B1927" s="99" t="s">
        <v>299</v>
      </c>
      <c r="C1927" s="99" t="s">
        <v>291</v>
      </c>
      <c r="D1927" s="53" t="s">
        <v>303</v>
      </c>
      <c r="E1927" s="53" t="s">
        <v>81</v>
      </c>
      <c r="F1927" s="210">
        <f ca="1">IF($S$1&lt;DATE(2025,1,1)," ",COUNTIFS('2025数据'!$AB$3:$AB$181,"&gt;="&amp;DATE(2025,1,1),'2025数据'!$AB$3:$AB$181,"&lt;="&amp;DATE(2025,1,31),'2025数据'!$BY$3:$BY$181,$E$37,'2025数据'!$B$3:$B$181,$E1927))</f>
        <v>0</v>
      </c>
      <c r="G1927" s="210">
        <f ca="1">IF($S$1&lt;DATE(2025,2,1)," ",COUNTIFS('2025数据'!$AB$3:$AB$181,"&gt;="&amp;DATE(2025,2,1),'2025数据'!$AB$3:$AB$181,"&lt;="&amp;DATE(2025,2,28),'2025数据'!$BY$3:$BY$181,$E$37,'2025数据'!$B$3:$B$181,$E1927))</f>
        <v>0</v>
      </c>
      <c r="H1927" s="210">
        <f ca="1">IF($S$1&lt;DATE(2025,3,1)," ",COUNTIFS('2025数据'!$AB$3:$AB$181,"&gt;="&amp;DATE(2025,3,1),'2025数据'!$AB$3:$AB$181,"&lt;="&amp;DATE(2025,3,31),'2025数据'!$BY$3:$BY$181,$E$37,'2025数据'!$B$3:$B$181,$E1927))</f>
        <v>0</v>
      </c>
      <c r="I1927" s="210">
        <f ca="1">IF($S$1&lt;DATE(2025,4,1)," ",COUNTIFS('2025数据'!$AB$3:$AB$181,"&gt;="&amp;DATE(2025,4,1),'2025数据'!$AB$3:$AB$181,"&lt;="&amp;DATE(2025,4,30),'2025数据'!$BY$3:$BY$181,$E$37,'2025数据'!$B$3:$B$181,$E1927))</f>
        <v>0</v>
      </c>
      <c r="J1927" s="210">
        <f ca="1">IF($S$1&lt;DATE(2025,5,1)," ",COUNTIFS('2025数据'!$AB$3:$AB$181,"&gt;="&amp;DATE(2025,5,1),'2025数据'!$AB$3:$AB$181,"&lt;="&amp;DATE(2025,5,31),'2025数据'!$BY$3:$BY$181,$E$37,'2025数据'!$B$3:$B$181,$E1927))</f>
        <v>1</v>
      </c>
      <c r="K1927" s="210">
        <f ca="1">IF($S$1&lt;DATE(2025,6,1)," ",COUNTIFS('2025数据'!$AB$3:$AB$181,"&gt;="&amp;DATE(2025,6,1),'2025数据'!$AB$3:$AB$181,"&lt;="&amp;DATE(2025,6,30),'2025数据'!$BY$3:$BY$181,$E$37,'2025数据'!$B$3:$B$181,$E1927))</f>
        <v>0</v>
      </c>
      <c r="L1927" s="210">
        <f ca="1">IF($S$1&lt;DATE(2025,7,1)," ",COUNTIFS('2025数据'!$AB$3:$AB$181,"&gt;="&amp;DATE(2025,7,1),'2025数据'!$AB$3:$AB$181,"&lt;="&amp;DATE(2025,7,31),'2025数据'!$BY$3:$BY$181,$E$37,'2025数据'!$B$3:$B$181,$E1927))</f>
        <v>1</v>
      </c>
      <c r="M1927" s="210">
        <f ca="1">IF($S$1&lt;DATE(2025,8,1)," ",COUNTIFS('2025数据'!$AB$3:$AB$181,"&gt;="&amp;DATE(2025,8,1),'2025数据'!$AB$3:$AB$181,"&lt;="&amp;DATE(2025,8,31),'2025数据'!$BY$3:$BY$181,$E$37,'2025数据'!$B$3:$B$181,$E1927))</f>
        <v>0</v>
      </c>
      <c r="N1927" s="210">
        <f ca="1">IF($S$1&lt;DATE(2025,9,1)," ",COUNTIFS('2025数据'!$AB$3:$AB$181,"&gt;="&amp;DATE(2025,9,1),'2025数据'!$AB$3:$AB$181,"&lt;="&amp;DATE(2025,9,30),'2025数据'!$BY$3:$BY$181,$E$37,'2025数据'!$B$3:$B$181,$E1927))</f>
        <v>0</v>
      </c>
      <c r="O1927" s="210">
        <f ca="1">IF($S$1&lt;DATE(2025,10,1)," ",COUNTIFS('2025数据'!$AB$3:$AB$181,"&gt;="&amp;DATE(2025,10,1),'2025数据'!$AB$3:$AB$181,"&lt;="&amp;DATE(2025,10,31),'2025数据'!$BY$3:$BY$181,$E$37,'2025数据'!$B$3:$B$181,$E1927))</f>
        <v>0</v>
      </c>
      <c r="P1927" s="212">
        <f ca="1">IF($S$1&lt;DATE(2025,11,1)," ",COUNTIFS('2025数据'!$AB$3:$AB$181,"&gt;="&amp;DATE(2025,11,1),'2025数据'!$AB$3:$AB$181,"&lt;="&amp;DATE(2025,11,30),'2025数据'!$BY$3:$BY$181,$E$37,'2025数据'!$B$3:$B$181,$E1927))</f>
        <v>0</v>
      </c>
      <c r="Q1927" s="212">
        <f ca="1">IF($S$1&lt;DATE(2025,12,1)," ",COUNTIFS('2025数据'!$AB$3:$AB$181,"&gt;="&amp;DATE(2025,12,1),'2025数据'!$AB$3:$AB$181,"&lt;="&amp;DATE(2025,12,31),'2025数据'!$BY$3:$BY$181,$E$37,'2025数据'!$B$3:$B$181,$E1927))</f>
        <v>0</v>
      </c>
    </row>
    <row r="1928" ht="24" customHeight="1" spans="1:17">
      <c r="A1928" s="99" t="s">
        <v>350</v>
      </c>
      <c r="B1928" s="99" t="s">
        <v>299</v>
      </c>
      <c r="C1928" s="99" t="s">
        <v>291</v>
      </c>
      <c r="D1928" s="53" t="s">
        <v>303</v>
      </c>
      <c r="E1928" s="53" t="s">
        <v>96</v>
      </c>
      <c r="F1928" s="210">
        <f ca="1">IF($S$1&lt;DATE(2025,1,1)," ",COUNTIFS('2025数据'!$AB$3:$AB$181,"&gt;="&amp;DATE(2025,1,1),'2025数据'!$AB$3:$AB$181,"&lt;="&amp;DATE(2025,1,31),'2025数据'!$BY$3:$BY$181,$E$37,'2025数据'!$B$3:$B$181,$E1928))</f>
        <v>0</v>
      </c>
      <c r="G1928" s="210">
        <f ca="1">IF($S$1&lt;DATE(2025,2,1)," ",COUNTIFS('2025数据'!$AB$3:$AB$181,"&gt;="&amp;DATE(2025,2,1),'2025数据'!$AB$3:$AB$181,"&lt;="&amp;DATE(2025,2,28),'2025数据'!$BY$3:$BY$181,$E$37,'2025数据'!$B$3:$B$181,$E1928))</f>
        <v>0</v>
      </c>
      <c r="H1928" s="210">
        <f ca="1">IF($S$1&lt;DATE(2025,3,1)," ",COUNTIFS('2025数据'!$AB$3:$AB$181,"&gt;="&amp;DATE(2025,3,1),'2025数据'!$AB$3:$AB$181,"&lt;="&amp;DATE(2025,3,31),'2025数据'!$BY$3:$BY$181,$E$37,'2025数据'!$B$3:$B$181,$E1928))</f>
        <v>1</v>
      </c>
      <c r="I1928" s="210">
        <f ca="1">IF($S$1&lt;DATE(2025,4,1)," ",COUNTIFS('2025数据'!$AB$3:$AB$181,"&gt;="&amp;DATE(2025,4,1),'2025数据'!$AB$3:$AB$181,"&lt;="&amp;DATE(2025,4,30),'2025数据'!$BY$3:$BY$181,$E$37,'2025数据'!$B$3:$B$181,$E1928))</f>
        <v>0</v>
      </c>
      <c r="J1928" s="210">
        <f ca="1">IF($S$1&lt;DATE(2025,5,1)," ",COUNTIFS('2025数据'!$AB$3:$AB$181,"&gt;="&amp;DATE(2025,5,1),'2025数据'!$AB$3:$AB$181,"&lt;="&amp;DATE(2025,5,31),'2025数据'!$BY$3:$BY$181,$E$37,'2025数据'!$B$3:$B$181,$E1928))</f>
        <v>0</v>
      </c>
      <c r="K1928" s="210">
        <f ca="1">IF($S$1&lt;DATE(2025,6,1)," ",COUNTIFS('2025数据'!$AB$3:$AB$181,"&gt;="&amp;DATE(2025,6,1),'2025数据'!$AB$3:$AB$181,"&lt;="&amp;DATE(2025,6,30),'2025数据'!$BY$3:$BY$181,$E$37,'2025数据'!$B$3:$B$181,$E1928))</f>
        <v>0</v>
      </c>
      <c r="L1928" s="210">
        <f ca="1">IF($S$1&lt;DATE(2025,7,1)," ",COUNTIFS('2025数据'!$AB$3:$AB$181,"&gt;="&amp;DATE(2025,7,1),'2025数据'!$AB$3:$AB$181,"&lt;="&amp;DATE(2025,7,31),'2025数据'!$BY$3:$BY$181,$E$37,'2025数据'!$B$3:$B$181,$E1928))</f>
        <v>0</v>
      </c>
      <c r="M1928" s="210">
        <f ca="1">IF($S$1&lt;DATE(2025,8,1)," ",COUNTIFS('2025数据'!$AB$3:$AB$181,"&gt;="&amp;DATE(2025,8,1),'2025数据'!$AB$3:$AB$181,"&lt;="&amp;DATE(2025,8,31),'2025数据'!$BY$3:$BY$181,$E$37,'2025数据'!$B$3:$B$181,$E1928))</f>
        <v>0</v>
      </c>
      <c r="N1928" s="210">
        <f ca="1">IF($S$1&lt;DATE(2025,9,1)," ",COUNTIFS('2025数据'!$AB$3:$AB$181,"&gt;="&amp;DATE(2025,9,1),'2025数据'!$AB$3:$AB$181,"&lt;="&amp;DATE(2025,9,30),'2025数据'!$BY$3:$BY$181,$E$37,'2025数据'!$B$3:$B$181,$E1928))</f>
        <v>0</v>
      </c>
      <c r="O1928" s="210">
        <f ca="1">IF($S$1&lt;DATE(2025,10,1)," ",COUNTIFS('2025数据'!$AB$3:$AB$181,"&gt;="&amp;DATE(2025,10,1),'2025数据'!$AB$3:$AB$181,"&lt;="&amp;DATE(2025,10,31),'2025数据'!$BY$3:$BY$181,$E$37,'2025数据'!$B$3:$B$181,$E1928))</f>
        <v>0</v>
      </c>
      <c r="P1928" s="212">
        <f ca="1">IF($S$1&lt;DATE(2025,11,1)," ",COUNTIFS('2025数据'!$AB$3:$AB$181,"&gt;="&amp;DATE(2025,11,1),'2025数据'!$AB$3:$AB$181,"&lt;="&amp;DATE(2025,11,30),'2025数据'!$BY$3:$BY$181,$E$37,'2025数据'!$B$3:$B$181,$E1928))</f>
        <v>0</v>
      </c>
      <c r="Q1928" s="212">
        <f ca="1">IF($S$1&lt;DATE(2025,12,1)," ",COUNTIFS('2025数据'!$AB$3:$AB$181,"&gt;="&amp;DATE(2025,12,1),'2025数据'!$AB$3:$AB$181,"&lt;="&amp;DATE(2025,12,31),'2025数据'!$BY$3:$BY$181,$E$37,'2025数据'!$B$3:$B$181,$E1928))</f>
        <v>0</v>
      </c>
    </row>
    <row r="1929" ht="24" customHeight="1" spans="1:17">
      <c r="A1929" s="99" t="s">
        <v>350</v>
      </c>
      <c r="B1929" s="99" t="s">
        <v>299</v>
      </c>
      <c r="C1929" s="99" t="s">
        <v>291</v>
      </c>
      <c r="D1929" s="53" t="s">
        <v>303</v>
      </c>
      <c r="E1929" s="53" t="s">
        <v>160</v>
      </c>
      <c r="F1929" s="210">
        <f ca="1">IF($S$1&lt;DATE(2025,1,1)," ",COUNTIFS('2025数据'!$AB$3:$AB$181,"&gt;="&amp;DATE(2025,1,1),'2025数据'!$AB$3:$AB$181,"&lt;="&amp;DATE(2025,1,31),'2025数据'!$BY$3:$BY$181,$E$37,'2025数据'!$B$3:$B$181,$E1929))</f>
        <v>0</v>
      </c>
      <c r="G1929" s="210">
        <f ca="1">IF($S$1&lt;DATE(2025,2,1)," ",COUNTIFS('2025数据'!$AB$3:$AB$181,"&gt;="&amp;DATE(2025,2,1),'2025数据'!$AB$3:$AB$181,"&lt;="&amp;DATE(2025,2,28),'2025数据'!$BY$3:$BY$181,$E$37,'2025数据'!$B$3:$B$181,$E1929))</f>
        <v>0</v>
      </c>
      <c r="H1929" s="210">
        <f ca="1">IF($S$1&lt;DATE(2025,3,1)," ",COUNTIFS('2025数据'!$AB$3:$AB$181,"&gt;="&amp;DATE(2025,3,1),'2025数据'!$AB$3:$AB$181,"&lt;="&amp;DATE(2025,3,31),'2025数据'!$BY$3:$BY$181,$E$37,'2025数据'!$B$3:$B$181,$E1929))</f>
        <v>0</v>
      </c>
      <c r="I1929" s="210">
        <f ca="1">IF($S$1&lt;DATE(2025,4,1)," ",COUNTIFS('2025数据'!$AB$3:$AB$181,"&gt;="&amp;DATE(2025,4,1),'2025数据'!$AB$3:$AB$181,"&lt;="&amp;DATE(2025,4,30),'2025数据'!$BY$3:$BY$181,$E$37,'2025数据'!$B$3:$B$181,$E1929))</f>
        <v>0</v>
      </c>
      <c r="J1929" s="210">
        <f ca="1">IF($S$1&lt;DATE(2025,5,1)," ",COUNTIFS('2025数据'!$AB$3:$AB$181,"&gt;="&amp;DATE(2025,5,1),'2025数据'!$AB$3:$AB$181,"&lt;="&amp;DATE(2025,5,31),'2025数据'!$BY$3:$BY$181,$E$37,'2025数据'!$B$3:$B$181,$E1929))</f>
        <v>0</v>
      </c>
      <c r="K1929" s="210">
        <f ca="1">IF($S$1&lt;DATE(2025,6,1)," ",COUNTIFS('2025数据'!$AB$3:$AB$181,"&gt;="&amp;DATE(2025,6,1),'2025数据'!$AB$3:$AB$181,"&lt;="&amp;DATE(2025,6,30),'2025数据'!$BY$3:$BY$181,$E$37,'2025数据'!$B$3:$B$181,$E1929))</f>
        <v>0</v>
      </c>
      <c r="L1929" s="210">
        <f ca="1">IF($S$1&lt;DATE(2025,7,1)," ",COUNTIFS('2025数据'!$AB$3:$AB$181,"&gt;="&amp;DATE(2025,7,1),'2025数据'!$AB$3:$AB$181,"&lt;="&amp;DATE(2025,7,31),'2025数据'!$BY$3:$BY$181,$E$37,'2025数据'!$B$3:$B$181,$E1929))</f>
        <v>0</v>
      </c>
      <c r="M1929" s="210">
        <f ca="1">IF($S$1&lt;DATE(2025,8,1)," ",COUNTIFS('2025数据'!$AB$3:$AB$181,"&gt;="&amp;DATE(2025,8,1),'2025数据'!$AB$3:$AB$181,"&lt;="&amp;DATE(2025,8,31),'2025数据'!$BY$3:$BY$181,$E$37,'2025数据'!$B$3:$B$181,$E1929))</f>
        <v>0</v>
      </c>
      <c r="N1929" s="210">
        <f ca="1">IF($S$1&lt;DATE(2025,9,1)," ",COUNTIFS('2025数据'!$AB$3:$AB$181,"&gt;="&amp;DATE(2025,9,1),'2025数据'!$AB$3:$AB$181,"&lt;="&amp;DATE(2025,9,30),'2025数据'!$BY$3:$BY$181,$E$37,'2025数据'!$B$3:$B$181,$E1929))</f>
        <v>0</v>
      </c>
      <c r="O1929" s="210">
        <f ca="1">IF($S$1&lt;DATE(2025,10,1)," ",COUNTIFS('2025数据'!$AB$3:$AB$181,"&gt;="&amp;DATE(2025,10,1),'2025数据'!$AB$3:$AB$181,"&lt;="&amp;DATE(2025,10,31),'2025数据'!$BY$3:$BY$181,$E$37,'2025数据'!$B$3:$B$181,$E1929))</f>
        <v>0</v>
      </c>
      <c r="P1929" s="212">
        <f ca="1">IF($S$1&lt;DATE(2025,11,1)," ",COUNTIFS('2025数据'!$AB$3:$AB$181,"&gt;="&amp;DATE(2025,11,1),'2025数据'!$AB$3:$AB$181,"&lt;="&amp;DATE(2025,11,30),'2025数据'!$BY$3:$BY$181,$E$37,'2025数据'!$B$3:$B$181,$E1929))</f>
        <v>0</v>
      </c>
      <c r="Q1929" s="212">
        <f ca="1">IF($S$1&lt;DATE(2025,12,1)," ",COUNTIFS('2025数据'!$AB$3:$AB$181,"&gt;="&amp;DATE(2025,12,1),'2025数据'!$AB$3:$AB$181,"&lt;="&amp;DATE(2025,12,31),'2025数据'!$BY$3:$BY$181,$E$37,'2025数据'!$B$3:$B$181,$E1929))</f>
        <v>0</v>
      </c>
    </row>
    <row r="1930" ht="24" customHeight="1" spans="1:17">
      <c r="A1930" s="99" t="s">
        <v>350</v>
      </c>
      <c r="B1930" s="99" t="s">
        <v>299</v>
      </c>
      <c r="C1930" s="99" t="s">
        <v>291</v>
      </c>
      <c r="D1930" s="53" t="s">
        <v>304</v>
      </c>
      <c r="E1930" s="53" t="s">
        <v>93</v>
      </c>
      <c r="F1930" s="210">
        <f ca="1">IF($S$1&lt;DATE(2025,1,1)," ",COUNTIFS('2025数据'!$AB$3:$AB$181,"&gt;="&amp;DATE(2025,1,1),'2025数据'!$AB$3:$AB$181,"&lt;="&amp;DATE(2025,1,31),'2025数据'!$BY$3:$BY$181,$E$38,'2025数据'!$B$3:$B$181,$E1930))</f>
        <v>0</v>
      </c>
      <c r="G1930" s="210">
        <f ca="1">IF($S$1&lt;DATE(2025,2,1)," ",COUNTIFS('2025数据'!$AB$3:$AB$181,"&gt;="&amp;DATE(2025,2,1),'2025数据'!$AB$3:$AB$181,"&lt;="&amp;DATE(2025,2,28),'2025数据'!$BY$3:$BY$181,$E$38,'2025数据'!$B$3:$B$181,$E1930))</f>
        <v>0</v>
      </c>
      <c r="H1930" s="210">
        <f ca="1">IF($S$1&lt;DATE(2025,3,1)," ",COUNTIFS('2025数据'!$AB$3:$AB$181,"&gt;="&amp;DATE(2025,3,1),'2025数据'!$AB$3:$AB$181,"&lt;="&amp;DATE(2025,3,31),'2025数据'!$BY$3:$BY$181,$E$38,'2025数据'!$B$3:$B$181,$E1930))</f>
        <v>0</v>
      </c>
      <c r="I1930" s="210">
        <f ca="1">IF($S$1&lt;DATE(2025,4,1)," ",COUNTIFS('2025数据'!$AB$3:$AB$181,"&gt;="&amp;DATE(2025,4,1),'2025数据'!$AB$3:$AB$181,"&lt;="&amp;DATE(2025,4,30),'2025数据'!$BY$3:$BY$181,$E$38,'2025数据'!$B$3:$B$181,$E1930))</f>
        <v>0</v>
      </c>
      <c r="J1930" s="210">
        <f ca="1">IF($S$1&lt;DATE(2025,5,1)," ",COUNTIFS('2025数据'!$AB$3:$AB$181,"&gt;="&amp;DATE(2025,5,1),'2025数据'!$AB$3:$AB$181,"&lt;="&amp;DATE(2025,5,31),'2025数据'!$BY$3:$BY$181,$E$38,'2025数据'!$B$3:$B$181,$E1930))</f>
        <v>0</v>
      </c>
      <c r="K1930" s="210">
        <f ca="1">IF($S$1&lt;DATE(2025,6,1)," ",COUNTIFS('2025数据'!$AB$3:$AB$181,"&gt;="&amp;DATE(2025,6,1),'2025数据'!$AB$3:$AB$181,"&lt;="&amp;DATE(2025,6,30),'2025数据'!$BY$3:$BY$181,$E$38,'2025数据'!$B$3:$B$181,$E1930))</f>
        <v>0</v>
      </c>
      <c r="L1930" s="210">
        <f ca="1">IF($S$1&lt;DATE(2025,7,1)," ",COUNTIFS('2025数据'!$AB$3:$AB$181,"&gt;="&amp;DATE(2025,7,1),'2025数据'!$AB$3:$AB$181,"&lt;="&amp;DATE(2025,7,31),'2025数据'!$BY$3:$BY$181,$E$38,'2025数据'!$B$3:$B$181,$E1930))</f>
        <v>0</v>
      </c>
      <c r="M1930" s="210">
        <f ca="1">IF($S$1&lt;DATE(2025,8,1)," ",COUNTIFS('2025数据'!$AB$3:$AB$181,"&gt;="&amp;DATE(2025,8,1),'2025数据'!$AB$3:$AB$181,"&lt;="&amp;DATE(2025,8,31),'2025数据'!$BY$3:$BY$181,$E$38,'2025数据'!$B$3:$B$181,$E1930))</f>
        <v>0</v>
      </c>
      <c r="N1930" s="210">
        <f ca="1">IF($S$1&lt;DATE(2025,9,1)," ",COUNTIFS('2025数据'!$AB$3:$AB$181,"&gt;="&amp;DATE(2025,9,1),'2025数据'!$AB$3:$AB$181,"&lt;="&amp;DATE(2025,9,30),'2025数据'!$BY$3:$BY$181,$E$38,'2025数据'!$B$3:$B$181,$E1930))</f>
        <v>0</v>
      </c>
      <c r="O1930" s="210">
        <f ca="1">IF($S$1&lt;DATE(2025,10,1)," ",COUNTIFS('2025数据'!$AB$3:$AB$181,"&gt;="&amp;DATE(2025,10,1),'2025数据'!$AB$3:$AB$181,"&lt;="&amp;DATE(2025,10,31),'2025数据'!$BY$3:$BY$181,$E$38,'2025数据'!$B$3:$B$181,$E1930))</f>
        <v>0</v>
      </c>
      <c r="P1930" s="212">
        <f ca="1">IF($S$1&lt;DATE(2025,11,1)," ",COUNTIFS('2025数据'!$AB$3:$AB$181,"&gt;="&amp;DATE(2025,11,1),'2025数据'!$AB$3:$AB$181,"&lt;="&amp;DATE(2025,11,30),'2025数据'!$BY$3:$BY$181,$E$38,'2025数据'!$B$3:$B$181,$E1930))</f>
        <v>2</v>
      </c>
      <c r="Q1930" s="212">
        <f ca="1">IF($S$1&lt;DATE(2025,12,1)," ",COUNTIFS('2025数据'!$AB$3:$AB$181,"&gt;="&amp;DATE(2025,12,1),'2025数据'!$AB$3:$AB$181,"&lt;="&amp;DATE(2025,12,31),'2025数据'!$BY$3:$BY$181,$E$38,'2025数据'!$B$3:$B$181,$E1930))</f>
        <v>0</v>
      </c>
    </row>
    <row r="1931" ht="24" customHeight="1" spans="1:17">
      <c r="A1931" s="99" t="s">
        <v>350</v>
      </c>
      <c r="B1931" s="99" t="s">
        <v>299</v>
      </c>
      <c r="C1931" s="99" t="s">
        <v>291</v>
      </c>
      <c r="D1931" s="53" t="s">
        <v>304</v>
      </c>
      <c r="E1931" s="53" t="s">
        <v>85</v>
      </c>
      <c r="F1931" s="210">
        <f ca="1">IF($S$1&lt;DATE(2025,1,1)," ",COUNTIFS('2025数据'!$AB$3:$AB$181,"&gt;="&amp;DATE(2025,1,1),'2025数据'!$AB$3:$AB$181,"&lt;="&amp;DATE(2025,1,31),'2025数据'!$BY$3:$BY$181,$E$38,'2025数据'!$B$3:$B$181,$E1931))</f>
        <v>0</v>
      </c>
      <c r="G1931" s="210">
        <f ca="1">IF($S$1&lt;DATE(2025,2,1)," ",COUNTIFS('2025数据'!$AB$3:$AB$181,"&gt;="&amp;DATE(2025,2,1),'2025数据'!$AB$3:$AB$181,"&lt;="&amp;DATE(2025,2,28),'2025数据'!$BY$3:$BY$181,$E$38,'2025数据'!$B$3:$B$181,$E1931))</f>
        <v>0</v>
      </c>
      <c r="H1931" s="210">
        <f ca="1">IF($S$1&lt;DATE(2025,3,1)," ",COUNTIFS('2025数据'!$AB$3:$AB$181,"&gt;="&amp;DATE(2025,3,1),'2025数据'!$AB$3:$AB$181,"&lt;="&amp;DATE(2025,3,31),'2025数据'!$BY$3:$BY$181,$E$38,'2025数据'!$B$3:$B$181,$E1931))</f>
        <v>0</v>
      </c>
      <c r="I1931" s="210">
        <f ca="1">IF($S$1&lt;DATE(2025,4,1)," ",COUNTIFS('2025数据'!$AB$3:$AB$181,"&gt;="&amp;DATE(2025,4,1),'2025数据'!$AB$3:$AB$181,"&lt;="&amp;DATE(2025,4,30),'2025数据'!$BY$3:$BY$181,$E$38,'2025数据'!$B$3:$B$181,$E1931))</f>
        <v>0</v>
      </c>
      <c r="J1931" s="210">
        <f ca="1">IF($S$1&lt;DATE(2025,5,1)," ",COUNTIFS('2025数据'!$AB$3:$AB$181,"&gt;="&amp;DATE(2025,5,1),'2025数据'!$AB$3:$AB$181,"&lt;="&amp;DATE(2025,5,31),'2025数据'!$BY$3:$BY$181,$E$38,'2025数据'!$B$3:$B$181,$E1931))</f>
        <v>0</v>
      </c>
      <c r="K1931" s="210">
        <f ca="1">IF($S$1&lt;DATE(2025,6,1)," ",COUNTIFS('2025数据'!$AB$3:$AB$181,"&gt;="&amp;DATE(2025,6,1),'2025数据'!$AB$3:$AB$181,"&lt;="&amp;DATE(2025,6,30),'2025数据'!$BY$3:$BY$181,$E$38,'2025数据'!$B$3:$B$181,$E1931))</f>
        <v>0</v>
      </c>
      <c r="L1931" s="210">
        <f ca="1">IF($S$1&lt;DATE(2025,7,1)," ",COUNTIFS('2025数据'!$AB$3:$AB$181,"&gt;="&amp;DATE(2025,7,1),'2025数据'!$AB$3:$AB$181,"&lt;="&amp;DATE(2025,7,31),'2025数据'!$BY$3:$BY$181,$E$38,'2025数据'!$B$3:$B$181,$E1931))</f>
        <v>0</v>
      </c>
      <c r="M1931" s="210">
        <f ca="1">IF($S$1&lt;DATE(2025,8,1)," ",COUNTIFS('2025数据'!$AB$3:$AB$181,"&gt;="&amp;DATE(2025,8,1),'2025数据'!$AB$3:$AB$181,"&lt;="&amp;DATE(2025,8,31),'2025数据'!$BY$3:$BY$181,$E$38,'2025数据'!$B$3:$B$181,$E1931))</f>
        <v>0</v>
      </c>
      <c r="N1931" s="210">
        <f ca="1">IF($S$1&lt;DATE(2025,9,1)," ",COUNTIFS('2025数据'!$AB$3:$AB$181,"&gt;="&amp;DATE(2025,9,1),'2025数据'!$AB$3:$AB$181,"&lt;="&amp;DATE(2025,9,30),'2025数据'!$BY$3:$BY$181,$E$38,'2025数据'!$B$3:$B$181,$E1931))</f>
        <v>0</v>
      </c>
      <c r="O1931" s="210">
        <f ca="1">IF($S$1&lt;DATE(2025,10,1)," ",COUNTIFS('2025数据'!$AB$3:$AB$181,"&gt;="&amp;DATE(2025,10,1),'2025数据'!$AB$3:$AB$181,"&lt;="&amp;DATE(2025,10,31),'2025数据'!$BY$3:$BY$181,$E$38,'2025数据'!$B$3:$B$181,$E1931))</f>
        <v>0</v>
      </c>
      <c r="P1931" s="212">
        <f ca="1">IF($S$1&lt;DATE(2025,11,1)," ",COUNTIFS('2025数据'!$AB$3:$AB$181,"&gt;="&amp;DATE(2025,11,1),'2025数据'!$AB$3:$AB$181,"&lt;="&amp;DATE(2025,11,30),'2025数据'!$BY$3:$BY$181,$E$38,'2025数据'!$B$3:$B$181,$E1931))</f>
        <v>0</v>
      </c>
      <c r="Q1931" s="212">
        <f ca="1">IF($S$1&lt;DATE(2025,12,1)," ",COUNTIFS('2025数据'!$AB$3:$AB$181,"&gt;="&amp;DATE(2025,12,1),'2025数据'!$AB$3:$AB$181,"&lt;="&amp;DATE(2025,12,31),'2025数据'!$BY$3:$BY$181,$E$38,'2025数据'!$B$3:$B$181,$E1931))</f>
        <v>0</v>
      </c>
    </row>
    <row r="1932" ht="24" customHeight="1" spans="1:17">
      <c r="A1932" s="99" t="s">
        <v>350</v>
      </c>
      <c r="B1932" s="99" t="s">
        <v>299</v>
      </c>
      <c r="C1932" s="99" t="s">
        <v>291</v>
      </c>
      <c r="D1932" s="53" t="s">
        <v>304</v>
      </c>
      <c r="E1932" s="53" t="s">
        <v>81</v>
      </c>
      <c r="F1932" s="210">
        <f ca="1">IF($S$1&lt;DATE(2025,1,1)," ",COUNTIFS('2025数据'!$AB$3:$AB$181,"&gt;="&amp;DATE(2025,1,1),'2025数据'!$AB$3:$AB$181,"&lt;="&amp;DATE(2025,1,31),'2025数据'!$BY$3:$BY$181,$E$38,'2025数据'!$B$3:$B$181,$E1932))</f>
        <v>0</v>
      </c>
      <c r="G1932" s="210">
        <f ca="1">IF($S$1&lt;DATE(2025,2,1)," ",COUNTIFS('2025数据'!$AB$3:$AB$181,"&gt;="&amp;DATE(2025,2,1),'2025数据'!$AB$3:$AB$181,"&lt;="&amp;DATE(2025,2,28),'2025数据'!$BY$3:$BY$181,$E$38,'2025数据'!$B$3:$B$181,$E1932))</f>
        <v>0</v>
      </c>
      <c r="H1932" s="210">
        <f ca="1">IF($S$1&lt;DATE(2025,3,1)," ",COUNTIFS('2025数据'!$AB$3:$AB$181,"&gt;="&amp;DATE(2025,3,1),'2025数据'!$AB$3:$AB$181,"&lt;="&amp;DATE(2025,3,31),'2025数据'!$BY$3:$BY$181,$E$38,'2025数据'!$B$3:$B$181,$E1932))</f>
        <v>0</v>
      </c>
      <c r="I1932" s="210">
        <f ca="1">IF($S$1&lt;DATE(2025,4,1)," ",COUNTIFS('2025数据'!$AB$3:$AB$181,"&gt;="&amp;DATE(2025,4,1),'2025数据'!$AB$3:$AB$181,"&lt;="&amp;DATE(2025,4,30),'2025数据'!$BY$3:$BY$181,$E$38,'2025数据'!$B$3:$B$181,$E1932))</f>
        <v>0</v>
      </c>
      <c r="J1932" s="210">
        <f ca="1">IF($S$1&lt;DATE(2025,5,1)," ",COUNTIFS('2025数据'!$AB$3:$AB$181,"&gt;="&amp;DATE(2025,5,1),'2025数据'!$AB$3:$AB$181,"&lt;="&amp;DATE(2025,5,31),'2025数据'!$BY$3:$BY$181,$E$38,'2025数据'!$B$3:$B$181,$E1932))</f>
        <v>0</v>
      </c>
      <c r="K1932" s="210">
        <f ca="1">IF($S$1&lt;DATE(2025,6,1)," ",COUNTIFS('2025数据'!$AB$3:$AB$181,"&gt;="&amp;DATE(2025,6,1),'2025数据'!$AB$3:$AB$181,"&lt;="&amp;DATE(2025,6,30),'2025数据'!$BY$3:$BY$181,$E$38,'2025数据'!$B$3:$B$181,$E1932))</f>
        <v>0</v>
      </c>
      <c r="L1932" s="210">
        <f ca="1">IF($S$1&lt;DATE(2025,7,1)," ",COUNTIFS('2025数据'!$AB$3:$AB$181,"&gt;="&amp;DATE(2025,7,1),'2025数据'!$AB$3:$AB$181,"&lt;="&amp;DATE(2025,7,31),'2025数据'!$BY$3:$BY$181,$E$38,'2025数据'!$B$3:$B$181,$E1932))</f>
        <v>0</v>
      </c>
      <c r="M1932" s="210">
        <f ca="1">IF($S$1&lt;DATE(2025,8,1)," ",COUNTIFS('2025数据'!$AB$3:$AB$181,"&gt;="&amp;DATE(2025,8,1),'2025数据'!$AB$3:$AB$181,"&lt;="&amp;DATE(2025,8,31),'2025数据'!$BY$3:$BY$181,$E$38,'2025数据'!$B$3:$B$181,$E1932))</f>
        <v>0</v>
      </c>
      <c r="N1932" s="210">
        <f ca="1">IF($S$1&lt;DATE(2025,9,1)," ",COUNTIFS('2025数据'!$AB$3:$AB$181,"&gt;="&amp;DATE(2025,9,1),'2025数据'!$AB$3:$AB$181,"&lt;="&amp;DATE(2025,9,30),'2025数据'!$BY$3:$BY$181,$E$38,'2025数据'!$B$3:$B$181,$E1932))</f>
        <v>0</v>
      </c>
      <c r="O1932" s="210">
        <f ca="1">IF($S$1&lt;DATE(2025,10,1)," ",COUNTIFS('2025数据'!$AB$3:$AB$181,"&gt;="&amp;DATE(2025,10,1),'2025数据'!$AB$3:$AB$181,"&lt;="&amp;DATE(2025,10,31),'2025数据'!$BY$3:$BY$181,$E$38,'2025数据'!$B$3:$B$181,$E1932))</f>
        <v>0</v>
      </c>
      <c r="P1932" s="212">
        <f ca="1">IF($S$1&lt;DATE(2025,11,1)," ",COUNTIFS('2025数据'!$AB$3:$AB$181,"&gt;="&amp;DATE(2025,11,1),'2025数据'!$AB$3:$AB$181,"&lt;="&amp;DATE(2025,11,30),'2025数据'!$BY$3:$BY$181,$E$38,'2025数据'!$B$3:$B$181,$E1932))</f>
        <v>0</v>
      </c>
      <c r="Q1932" s="212">
        <f ca="1">IF($S$1&lt;DATE(2025,12,1)," ",COUNTIFS('2025数据'!$AB$3:$AB$181,"&gt;="&amp;DATE(2025,12,1),'2025数据'!$AB$3:$AB$181,"&lt;="&amp;DATE(2025,12,31),'2025数据'!$BY$3:$BY$181,$E$38,'2025数据'!$B$3:$B$181,$E1932))</f>
        <v>0</v>
      </c>
    </row>
    <row r="1933" ht="24" customHeight="1" spans="1:17">
      <c r="A1933" s="99" t="s">
        <v>350</v>
      </c>
      <c r="B1933" s="99" t="s">
        <v>299</v>
      </c>
      <c r="C1933" s="99" t="s">
        <v>291</v>
      </c>
      <c r="D1933" s="53" t="s">
        <v>304</v>
      </c>
      <c r="E1933" s="53" t="s">
        <v>96</v>
      </c>
      <c r="F1933" s="210">
        <f ca="1">IF($S$1&lt;DATE(2025,1,1)," ",COUNTIFS('2025数据'!$AB$3:$AB$181,"&gt;="&amp;DATE(2025,1,1),'2025数据'!$AB$3:$AB$181,"&lt;="&amp;DATE(2025,1,31),'2025数据'!$BY$3:$BY$181,$E$38,'2025数据'!$B$3:$B$181,$E1933))</f>
        <v>0</v>
      </c>
      <c r="G1933" s="210">
        <f ca="1">IF($S$1&lt;DATE(2025,2,1)," ",COUNTIFS('2025数据'!$AB$3:$AB$181,"&gt;="&amp;DATE(2025,2,1),'2025数据'!$AB$3:$AB$181,"&lt;="&amp;DATE(2025,2,28),'2025数据'!$BY$3:$BY$181,$E$38,'2025数据'!$B$3:$B$181,$E1933))</f>
        <v>0</v>
      </c>
      <c r="H1933" s="210">
        <f ca="1">IF($S$1&lt;DATE(2025,3,1)," ",COUNTIFS('2025数据'!$AB$3:$AB$181,"&gt;="&amp;DATE(2025,3,1),'2025数据'!$AB$3:$AB$181,"&lt;="&amp;DATE(2025,3,31),'2025数据'!$BY$3:$BY$181,$E$38,'2025数据'!$B$3:$B$181,$E1933))</f>
        <v>0</v>
      </c>
      <c r="I1933" s="210">
        <f ca="1">IF($S$1&lt;DATE(2025,4,1)," ",COUNTIFS('2025数据'!$AB$3:$AB$181,"&gt;="&amp;DATE(2025,4,1),'2025数据'!$AB$3:$AB$181,"&lt;="&amp;DATE(2025,4,30),'2025数据'!$BY$3:$BY$181,$E$38,'2025数据'!$B$3:$B$181,$E1933))</f>
        <v>0</v>
      </c>
      <c r="J1933" s="210">
        <f ca="1">IF($S$1&lt;DATE(2025,5,1)," ",COUNTIFS('2025数据'!$AB$3:$AB$181,"&gt;="&amp;DATE(2025,5,1),'2025数据'!$AB$3:$AB$181,"&lt;="&amp;DATE(2025,5,31),'2025数据'!$BY$3:$BY$181,$E$38,'2025数据'!$B$3:$B$181,$E1933))</f>
        <v>0</v>
      </c>
      <c r="K1933" s="210">
        <f ca="1">IF($S$1&lt;DATE(2025,6,1)," ",COUNTIFS('2025数据'!$AB$3:$AB$181,"&gt;="&amp;DATE(2025,6,1),'2025数据'!$AB$3:$AB$181,"&lt;="&amp;DATE(2025,6,30),'2025数据'!$BY$3:$BY$181,$E$38,'2025数据'!$B$3:$B$181,$E1933))</f>
        <v>0</v>
      </c>
      <c r="L1933" s="210">
        <f ca="1">IF($S$1&lt;DATE(2025,7,1)," ",COUNTIFS('2025数据'!$AB$3:$AB$181,"&gt;="&amp;DATE(2025,7,1),'2025数据'!$AB$3:$AB$181,"&lt;="&amp;DATE(2025,7,31),'2025数据'!$BY$3:$BY$181,$E$38,'2025数据'!$B$3:$B$181,$E1933))</f>
        <v>0</v>
      </c>
      <c r="M1933" s="210">
        <f ca="1">IF($S$1&lt;DATE(2025,8,1)," ",COUNTIFS('2025数据'!$AB$3:$AB$181,"&gt;="&amp;DATE(2025,8,1),'2025数据'!$AB$3:$AB$181,"&lt;="&amp;DATE(2025,8,31),'2025数据'!$BY$3:$BY$181,$E$38,'2025数据'!$B$3:$B$181,$E1933))</f>
        <v>0</v>
      </c>
      <c r="N1933" s="210">
        <f ca="1">IF($S$1&lt;DATE(2025,9,1)," ",COUNTIFS('2025数据'!$AB$3:$AB$181,"&gt;="&amp;DATE(2025,9,1),'2025数据'!$AB$3:$AB$181,"&lt;="&amp;DATE(2025,9,30),'2025数据'!$BY$3:$BY$181,$E$38,'2025数据'!$B$3:$B$181,$E1933))</f>
        <v>0</v>
      </c>
      <c r="O1933" s="210">
        <f ca="1">IF($S$1&lt;DATE(2025,10,1)," ",COUNTIFS('2025数据'!$AB$3:$AB$181,"&gt;="&amp;DATE(2025,10,1),'2025数据'!$AB$3:$AB$181,"&lt;="&amp;DATE(2025,10,31),'2025数据'!$BY$3:$BY$181,$E$38,'2025数据'!$B$3:$B$181,$E1933))</f>
        <v>0</v>
      </c>
      <c r="P1933" s="212">
        <f ca="1">IF($S$1&lt;DATE(2025,11,1)," ",COUNTIFS('2025数据'!$AB$3:$AB$181,"&gt;="&amp;DATE(2025,11,1),'2025数据'!$AB$3:$AB$181,"&lt;="&amp;DATE(2025,11,30),'2025数据'!$BY$3:$BY$181,$E$38,'2025数据'!$B$3:$B$181,$E1933))</f>
        <v>0</v>
      </c>
      <c r="Q1933" s="212">
        <f ca="1">IF($S$1&lt;DATE(2025,12,1)," ",COUNTIFS('2025数据'!$AB$3:$AB$181,"&gt;="&amp;DATE(2025,12,1),'2025数据'!$AB$3:$AB$181,"&lt;="&amp;DATE(2025,12,31),'2025数据'!$BY$3:$BY$181,$E$38,'2025数据'!$B$3:$B$181,$E1933))</f>
        <v>0</v>
      </c>
    </row>
    <row r="1934" ht="24" customHeight="1" spans="1:17">
      <c r="A1934" s="99" t="s">
        <v>350</v>
      </c>
      <c r="B1934" s="99" t="s">
        <v>299</v>
      </c>
      <c r="C1934" s="99" t="s">
        <v>291</v>
      </c>
      <c r="D1934" s="53" t="s">
        <v>304</v>
      </c>
      <c r="E1934" s="53" t="s">
        <v>160</v>
      </c>
      <c r="F1934" s="210">
        <f ca="1">IF($S$1&lt;DATE(2025,1,1)," ",COUNTIFS('2025数据'!$AB$3:$AB$181,"&gt;="&amp;DATE(2025,1,1),'2025数据'!$AB$3:$AB$181,"&lt;="&amp;DATE(2025,1,31),'2025数据'!$BY$3:$BY$181,$E$38,'2025数据'!$B$3:$B$181,$E1934))</f>
        <v>0</v>
      </c>
      <c r="G1934" s="210">
        <f ca="1">IF($S$1&lt;DATE(2025,2,1)," ",COUNTIFS('2025数据'!$AB$3:$AB$181,"&gt;="&amp;DATE(2025,2,1),'2025数据'!$AB$3:$AB$181,"&lt;="&amp;DATE(2025,2,28),'2025数据'!$BY$3:$BY$181,$E$38,'2025数据'!$B$3:$B$181,$E1934))</f>
        <v>0</v>
      </c>
      <c r="H1934" s="210">
        <f ca="1">IF($S$1&lt;DATE(2025,3,1)," ",COUNTIFS('2025数据'!$AB$3:$AB$181,"&gt;="&amp;DATE(2025,3,1),'2025数据'!$AB$3:$AB$181,"&lt;="&amp;DATE(2025,3,31),'2025数据'!$BY$3:$BY$181,$E$38,'2025数据'!$B$3:$B$181,$E1934))</f>
        <v>0</v>
      </c>
      <c r="I1934" s="210">
        <f ca="1">IF($S$1&lt;DATE(2025,4,1)," ",COUNTIFS('2025数据'!$AB$3:$AB$181,"&gt;="&amp;DATE(2025,4,1),'2025数据'!$AB$3:$AB$181,"&lt;="&amp;DATE(2025,4,30),'2025数据'!$BY$3:$BY$181,$E$38,'2025数据'!$B$3:$B$181,$E1934))</f>
        <v>0</v>
      </c>
      <c r="J1934" s="210">
        <f ca="1">IF($S$1&lt;DATE(2025,5,1)," ",COUNTIFS('2025数据'!$AB$3:$AB$181,"&gt;="&amp;DATE(2025,5,1),'2025数据'!$AB$3:$AB$181,"&lt;="&amp;DATE(2025,5,31),'2025数据'!$BY$3:$BY$181,$E$38,'2025数据'!$B$3:$B$181,$E1934))</f>
        <v>0</v>
      </c>
      <c r="K1934" s="210">
        <f ca="1">IF($S$1&lt;DATE(2025,6,1)," ",COUNTIFS('2025数据'!$AB$3:$AB$181,"&gt;="&amp;DATE(2025,6,1),'2025数据'!$AB$3:$AB$181,"&lt;="&amp;DATE(2025,6,30),'2025数据'!$BY$3:$BY$181,$E$38,'2025数据'!$B$3:$B$181,$E1934))</f>
        <v>0</v>
      </c>
      <c r="L1934" s="210">
        <f ca="1">IF($S$1&lt;DATE(2025,7,1)," ",COUNTIFS('2025数据'!$AB$3:$AB$181,"&gt;="&amp;DATE(2025,7,1),'2025数据'!$AB$3:$AB$181,"&lt;="&amp;DATE(2025,7,31),'2025数据'!$BY$3:$BY$181,$E$38,'2025数据'!$B$3:$B$181,$E1934))</f>
        <v>0</v>
      </c>
      <c r="M1934" s="210">
        <f ca="1">IF($S$1&lt;DATE(2025,8,1)," ",COUNTIFS('2025数据'!$AB$3:$AB$181,"&gt;="&amp;DATE(2025,8,1),'2025数据'!$AB$3:$AB$181,"&lt;="&amp;DATE(2025,8,31),'2025数据'!$BY$3:$BY$181,$E$38,'2025数据'!$B$3:$B$181,$E1934))</f>
        <v>0</v>
      </c>
      <c r="N1934" s="210">
        <f ca="1">IF($S$1&lt;DATE(2025,9,1)," ",COUNTIFS('2025数据'!$AB$3:$AB$181,"&gt;="&amp;DATE(2025,9,1),'2025数据'!$AB$3:$AB$181,"&lt;="&amp;DATE(2025,9,30),'2025数据'!$BY$3:$BY$181,$E$38,'2025数据'!$B$3:$B$181,$E1934))</f>
        <v>0</v>
      </c>
      <c r="O1934" s="210">
        <f ca="1">IF($S$1&lt;DATE(2025,10,1)," ",COUNTIFS('2025数据'!$AB$3:$AB$181,"&gt;="&amp;DATE(2025,10,1),'2025数据'!$AB$3:$AB$181,"&lt;="&amp;DATE(2025,10,31),'2025数据'!$BY$3:$BY$181,$E$38,'2025数据'!$B$3:$B$181,$E1934))</f>
        <v>0</v>
      </c>
      <c r="P1934" s="212">
        <f ca="1">IF($S$1&lt;DATE(2025,11,1)," ",COUNTIFS('2025数据'!$AB$3:$AB$181,"&gt;="&amp;DATE(2025,11,1),'2025数据'!$AB$3:$AB$181,"&lt;="&amp;DATE(2025,11,30),'2025数据'!$BY$3:$BY$181,$E$38,'2025数据'!$B$3:$B$181,$E1934))</f>
        <v>0</v>
      </c>
      <c r="Q1934" s="212">
        <f ca="1">IF($S$1&lt;DATE(2025,12,1)," ",COUNTIFS('2025数据'!$AB$3:$AB$181,"&gt;="&amp;DATE(2025,12,1),'2025数据'!$AB$3:$AB$181,"&lt;="&amp;DATE(2025,12,31),'2025数据'!$BY$3:$BY$181,$E$38,'2025数据'!$B$3:$B$181,$E1934))</f>
        <v>0</v>
      </c>
    </row>
    <row r="1935" ht="24" customHeight="1" spans="1:17">
      <c r="A1935" s="99" t="s">
        <v>350</v>
      </c>
      <c r="B1935" s="99" t="s">
        <v>299</v>
      </c>
      <c r="C1935" s="99" t="s">
        <v>291</v>
      </c>
      <c r="D1935" s="53" t="s">
        <v>305</v>
      </c>
      <c r="E1935" s="53" t="s">
        <v>93</v>
      </c>
      <c r="F1935" s="210">
        <f ca="1">IF($S$1&lt;DATE(2025,1,1)," ",COUNTIFS('2025数据'!$AB$3:$AB$181,"&gt;="&amp;DATE(2025,1,1),'2025数据'!$AB$3:$AB$181,"&lt;="&amp;DATE(2025,1,31),'2025数据'!$BY$3:$BY$181,$E$39,'2025数据'!$B$3:$B$181,$E1935))</f>
        <v>0</v>
      </c>
      <c r="G1935" s="210">
        <f ca="1">IF($S$1&lt;DATE(2025,2,1)," ",COUNTIFS('2025数据'!$AB$3:$AB$181,"&gt;="&amp;DATE(2025,2,1),'2025数据'!$AB$3:$AB$181,"&lt;="&amp;DATE(2025,2,28),'2025数据'!$BY$3:$BY$181,$E$39,'2025数据'!$B$3:$B$181,$E1935))</f>
        <v>1</v>
      </c>
      <c r="H1935" s="210">
        <f ca="1">IF($S$1&lt;DATE(2025,3,1)," ",COUNTIFS('2025数据'!$AB$3:$AB$181,"&gt;="&amp;DATE(2025,3,1),'2025数据'!$AB$3:$AB$181,"&lt;="&amp;DATE(2025,3,31),'2025数据'!$BY$3:$BY$181,$E$39,'2025数据'!$B$3:$B$181,$E1935))</f>
        <v>3</v>
      </c>
      <c r="I1935" s="210">
        <f ca="1">IF($S$1&lt;DATE(2025,4,1)," ",COUNTIFS('2025数据'!$AB$3:$AB$181,"&gt;="&amp;DATE(2025,4,1),'2025数据'!$AB$3:$AB$181,"&lt;="&amp;DATE(2025,4,30),'2025数据'!$BY$3:$BY$181,$E$39,'2025数据'!$B$3:$B$181,$E1935))</f>
        <v>0</v>
      </c>
      <c r="J1935" s="210">
        <f ca="1">IF($S$1&lt;DATE(2025,5,1)," ",COUNTIFS('2025数据'!$AB$3:$AB$181,"&gt;="&amp;DATE(2025,5,1),'2025数据'!$AB$3:$AB$181,"&lt;="&amp;DATE(2025,5,31),'2025数据'!$BY$3:$BY$181,$E$39,'2025数据'!$B$3:$B$181,$E1935))</f>
        <v>1</v>
      </c>
      <c r="K1935" s="210">
        <f ca="1">IF($S$1&lt;DATE(2025,6,1)," ",COUNTIFS('2025数据'!$AB$3:$AB$181,"&gt;="&amp;DATE(2025,6,1),'2025数据'!$AB$3:$AB$181,"&lt;="&amp;DATE(2025,6,30),'2025数据'!$BY$3:$BY$181,$E$39,'2025数据'!$B$3:$B$181,$E1935))</f>
        <v>0</v>
      </c>
      <c r="L1935" s="210">
        <f ca="1">IF($S$1&lt;DATE(2025,7,1)," ",COUNTIFS('2025数据'!$AB$3:$AB$181,"&gt;="&amp;DATE(2025,7,1),'2025数据'!$AB$3:$AB$181,"&lt;="&amp;DATE(2025,7,31),'2025数据'!$BY$3:$BY$181,$E$39,'2025数据'!$B$3:$B$181,$E1935))</f>
        <v>0</v>
      </c>
      <c r="M1935" s="210">
        <f ca="1">IF($S$1&lt;DATE(2025,8,1)," ",COUNTIFS('2025数据'!$AB$3:$AB$181,"&gt;="&amp;DATE(2025,8,1),'2025数据'!$AB$3:$AB$181,"&lt;="&amp;DATE(2025,8,31),'2025数据'!$BY$3:$BY$181,$E$39,'2025数据'!$B$3:$B$181,$E1935))</f>
        <v>0</v>
      </c>
      <c r="N1935" s="210">
        <f ca="1">IF($S$1&lt;DATE(2025,9,1)," ",COUNTIFS('2025数据'!$AB$3:$AB$181,"&gt;="&amp;DATE(2025,9,1),'2025数据'!$AB$3:$AB$181,"&lt;="&amp;DATE(2025,9,30),'2025数据'!$BY$3:$BY$181,$E$39,'2025数据'!$B$3:$B$181,$E1935))</f>
        <v>0</v>
      </c>
      <c r="O1935" s="210">
        <f ca="1">IF($S$1&lt;DATE(2025,10,1)," ",COUNTIFS('2025数据'!$AB$3:$AB$181,"&gt;="&amp;DATE(2025,10,1),'2025数据'!$AB$3:$AB$181,"&lt;="&amp;DATE(2025,10,31),'2025数据'!$BY$3:$BY$181,$E$39,'2025数据'!$B$3:$B$181,$E1935))</f>
        <v>0</v>
      </c>
      <c r="P1935" s="212">
        <f ca="1">IF($S$1&lt;DATE(2025,11,1)," ",COUNTIFS('2025数据'!$AB$3:$AB$181,"&gt;="&amp;DATE(2025,11,1),'2025数据'!$AB$3:$AB$181,"&lt;="&amp;DATE(2025,11,30),'2025数据'!$BY$3:$BY$181,$E$39,'2025数据'!$B$3:$B$181,$E1935))</f>
        <v>0</v>
      </c>
      <c r="Q1935" s="212">
        <f ca="1">IF($S$1&lt;DATE(2025,12,1)," ",COUNTIFS('2025数据'!$AB$3:$AB$181,"&gt;="&amp;DATE(2025,12,1),'2025数据'!$AB$3:$AB$181,"&lt;="&amp;DATE(2025,12,31),'2025数据'!$BY$3:$BY$181,$E$39,'2025数据'!$B$3:$B$181,$E1935))</f>
        <v>0</v>
      </c>
    </row>
    <row r="1936" ht="24" customHeight="1" spans="1:17">
      <c r="A1936" s="99" t="s">
        <v>350</v>
      </c>
      <c r="B1936" s="99" t="s">
        <v>299</v>
      </c>
      <c r="C1936" s="99" t="s">
        <v>291</v>
      </c>
      <c r="D1936" s="53" t="s">
        <v>305</v>
      </c>
      <c r="E1936" s="53" t="s">
        <v>85</v>
      </c>
      <c r="F1936" s="210">
        <f ca="1">IF($S$1&lt;DATE(2025,1,1)," ",COUNTIFS('2025数据'!$AB$3:$AB$181,"&gt;="&amp;DATE(2025,1,1),'2025数据'!$AB$3:$AB$181,"&lt;="&amp;DATE(2025,1,31),'2025数据'!$BY$3:$BY$181,$E$39,'2025数据'!$B$3:$B$181,$E1936))</f>
        <v>0</v>
      </c>
      <c r="G1936" s="210">
        <f ca="1">IF($S$1&lt;DATE(2025,2,1)," ",COUNTIFS('2025数据'!$AB$3:$AB$181,"&gt;="&amp;DATE(2025,2,1),'2025数据'!$AB$3:$AB$181,"&lt;="&amp;DATE(2025,2,28),'2025数据'!$BY$3:$BY$181,$E$39,'2025数据'!$B$3:$B$181,$E1936))</f>
        <v>0</v>
      </c>
      <c r="H1936" s="210">
        <f ca="1">IF($S$1&lt;DATE(2025,3,1)," ",COUNTIFS('2025数据'!$AB$3:$AB$181,"&gt;="&amp;DATE(2025,3,1),'2025数据'!$AB$3:$AB$181,"&lt;="&amp;DATE(2025,3,31),'2025数据'!$BY$3:$BY$181,$E$39,'2025数据'!$B$3:$B$181,$E1936))</f>
        <v>0</v>
      </c>
      <c r="I1936" s="210">
        <f ca="1">IF($S$1&lt;DATE(2025,4,1)," ",COUNTIFS('2025数据'!$AB$3:$AB$181,"&gt;="&amp;DATE(2025,4,1),'2025数据'!$AB$3:$AB$181,"&lt;="&amp;DATE(2025,4,30),'2025数据'!$BY$3:$BY$181,$E$39,'2025数据'!$B$3:$B$181,$E1936))</f>
        <v>0</v>
      </c>
      <c r="J1936" s="210">
        <f ca="1">IF($S$1&lt;DATE(2025,5,1)," ",COUNTIFS('2025数据'!$AB$3:$AB$181,"&gt;="&amp;DATE(2025,5,1),'2025数据'!$AB$3:$AB$181,"&lt;="&amp;DATE(2025,5,31),'2025数据'!$BY$3:$BY$181,$E$39,'2025数据'!$B$3:$B$181,$E1936))</f>
        <v>0</v>
      </c>
      <c r="K1936" s="210">
        <f ca="1">IF($S$1&lt;DATE(2025,6,1)," ",COUNTIFS('2025数据'!$AB$3:$AB$181,"&gt;="&amp;DATE(2025,6,1),'2025数据'!$AB$3:$AB$181,"&lt;="&amp;DATE(2025,6,30),'2025数据'!$BY$3:$BY$181,$E$39,'2025数据'!$B$3:$B$181,$E1936))</f>
        <v>0</v>
      </c>
      <c r="L1936" s="210">
        <f ca="1">IF($S$1&lt;DATE(2025,7,1)," ",COUNTIFS('2025数据'!$AB$3:$AB$181,"&gt;="&amp;DATE(2025,7,1),'2025数据'!$AB$3:$AB$181,"&lt;="&amp;DATE(2025,7,31),'2025数据'!$BY$3:$BY$181,$E$39,'2025数据'!$B$3:$B$181,$E1936))</f>
        <v>0</v>
      </c>
      <c r="M1936" s="210">
        <f ca="1">IF($S$1&lt;DATE(2025,8,1)," ",COUNTIFS('2025数据'!$AB$3:$AB$181,"&gt;="&amp;DATE(2025,8,1),'2025数据'!$AB$3:$AB$181,"&lt;="&amp;DATE(2025,8,31),'2025数据'!$BY$3:$BY$181,$E$39,'2025数据'!$B$3:$B$181,$E1936))</f>
        <v>0</v>
      </c>
      <c r="N1936" s="210">
        <f ca="1">IF($S$1&lt;DATE(2025,9,1)," ",COUNTIFS('2025数据'!$AB$3:$AB$181,"&gt;="&amp;DATE(2025,9,1),'2025数据'!$AB$3:$AB$181,"&lt;="&amp;DATE(2025,9,30),'2025数据'!$BY$3:$BY$181,$E$39,'2025数据'!$B$3:$B$181,$E1936))</f>
        <v>0</v>
      </c>
      <c r="O1936" s="210">
        <f ca="1">IF($S$1&lt;DATE(2025,10,1)," ",COUNTIFS('2025数据'!$AB$3:$AB$181,"&gt;="&amp;DATE(2025,10,1),'2025数据'!$AB$3:$AB$181,"&lt;="&amp;DATE(2025,10,31),'2025数据'!$BY$3:$BY$181,$E$39,'2025数据'!$B$3:$B$181,$E1936))</f>
        <v>0</v>
      </c>
      <c r="P1936" s="212">
        <f ca="1">IF($S$1&lt;DATE(2025,11,1)," ",COUNTIFS('2025数据'!$AB$3:$AB$181,"&gt;="&amp;DATE(2025,11,1),'2025数据'!$AB$3:$AB$181,"&lt;="&amp;DATE(2025,11,30),'2025数据'!$BY$3:$BY$181,$E$39,'2025数据'!$B$3:$B$181,$E1936))</f>
        <v>0</v>
      </c>
      <c r="Q1936" s="212">
        <f ca="1">IF($S$1&lt;DATE(2025,12,1)," ",COUNTIFS('2025数据'!$AB$3:$AB$181,"&gt;="&amp;DATE(2025,12,1),'2025数据'!$AB$3:$AB$181,"&lt;="&amp;DATE(2025,12,31),'2025数据'!$BY$3:$BY$181,$E$39,'2025数据'!$B$3:$B$181,$E1936))</f>
        <v>0</v>
      </c>
    </row>
    <row r="1937" ht="24" customHeight="1" spans="1:17">
      <c r="A1937" s="99" t="s">
        <v>350</v>
      </c>
      <c r="B1937" s="99" t="s">
        <v>299</v>
      </c>
      <c r="C1937" s="99" t="s">
        <v>291</v>
      </c>
      <c r="D1937" s="53" t="s">
        <v>305</v>
      </c>
      <c r="E1937" s="53" t="s">
        <v>81</v>
      </c>
      <c r="F1937" s="210">
        <f ca="1">IF($S$1&lt;DATE(2025,1,1)," ",COUNTIFS('2025数据'!$AB$3:$AB$181,"&gt;="&amp;DATE(2025,1,1),'2025数据'!$AB$3:$AB$181,"&lt;="&amp;DATE(2025,1,31),'2025数据'!$BY$3:$BY$181,$E$39,'2025数据'!$B$3:$B$181,$E1937))</f>
        <v>0</v>
      </c>
      <c r="G1937" s="210">
        <f ca="1">IF($S$1&lt;DATE(2025,2,1)," ",COUNTIFS('2025数据'!$AB$3:$AB$181,"&gt;="&amp;DATE(2025,2,1),'2025数据'!$AB$3:$AB$181,"&lt;="&amp;DATE(2025,2,28),'2025数据'!$BY$3:$BY$181,$E$39,'2025数据'!$B$3:$B$181,$E1937))</f>
        <v>0</v>
      </c>
      <c r="H1937" s="210">
        <f ca="1">IF($S$1&lt;DATE(2025,3,1)," ",COUNTIFS('2025数据'!$AB$3:$AB$181,"&gt;="&amp;DATE(2025,3,1),'2025数据'!$AB$3:$AB$181,"&lt;="&amp;DATE(2025,3,31),'2025数据'!$BY$3:$BY$181,$E$39,'2025数据'!$B$3:$B$181,$E1937))</f>
        <v>1</v>
      </c>
      <c r="I1937" s="210">
        <f ca="1">IF($S$1&lt;DATE(2025,4,1)," ",COUNTIFS('2025数据'!$AB$3:$AB$181,"&gt;="&amp;DATE(2025,4,1),'2025数据'!$AB$3:$AB$181,"&lt;="&amp;DATE(2025,4,30),'2025数据'!$BY$3:$BY$181,$E$39,'2025数据'!$B$3:$B$181,$E1937))</f>
        <v>0</v>
      </c>
      <c r="J1937" s="210">
        <f ca="1">IF($S$1&lt;DATE(2025,5,1)," ",COUNTIFS('2025数据'!$AB$3:$AB$181,"&gt;="&amp;DATE(2025,5,1),'2025数据'!$AB$3:$AB$181,"&lt;="&amp;DATE(2025,5,31),'2025数据'!$BY$3:$BY$181,$E$39,'2025数据'!$B$3:$B$181,$E1937))</f>
        <v>0</v>
      </c>
      <c r="K1937" s="210">
        <f ca="1">IF($S$1&lt;DATE(2025,6,1)," ",COUNTIFS('2025数据'!$AB$3:$AB$181,"&gt;="&amp;DATE(2025,6,1),'2025数据'!$AB$3:$AB$181,"&lt;="&amp;DATE(2025,6,30),'2025数据'!$BY$3:$BY$181,$E$39,'2025数据'!$B$3:$B$181,$E1937))</f>
        <v>0</v>
      </c>
      <c r="L1937" s="210">
        <f ca="1">IF($S$1&lt;DATE(2025,7,1)," ",COUNTIFS('2025数据'!$AB$3:$AB$181,"&gt;="&amp;DATE(2025,7,1),'2025数据'!$AB$3:$AB$181,"&lt;="&amp;DATE(2025,7,31),'2025数据'!$BY$3:$BY$181,$E$39,'2025数据'!$B$3:$B$181,$E1937))</f>
        <v>0</v>
      </c>
      <c r="M1937" s="210">
        <f ca="1">IF($S$1&lt;DATE(2025,8,1)," ",COUNTIFS('2025数据'!$AB$3:$AB$181,"&gt;="&amp;DATE(2025,8,1),'2025数据'!$AB$3:$AB$181,"&lt;="&amp;DATE(2025,8,31),'2025数据'!$BY$3:$BY$181,$E$39,'2025数据'!$B$3:$B$181,$E1937))</f>
        <v>0</v>
      </c>
      <c r="N1937" s="210">
        <f ca="1">IF($S$1&lt;DATE(2025,9,1)," ",COUNTIFS('2025数据'!$AB$3:$AB$181,"&gt;="&amp;DATE(2025,9,1),'2025数据'!$AB$3:$AB$181,"&lt;="&amp;DATE(2025,9,30),'2025数据'!$BY$3:$BY$181,$E$39,'2025数据'!$B$3:$B$181,$E1937))</f>
        <v>0</v>
      </c>
      <c r="O1937" s="210">
        <f ca="1">IF($S$1&lt;DATE(2025,10,1)," ",COUNTIFS('2025数据'!$AB$3:$AB$181,"&gt;="&amp;DATE(2025,10,1),'2025数据'!$AB$3:$AB$181,"&lt;="&amp;DATE(2025,10,31),'2025数据'!$BY$3:$BY$181,$E$39,'2025数据'!$B$3:$B$181,$E1937))</f>
        <v>0</v>
      </c>
      <c r="P1937" s="212">
        <f ca="1">IF($S$1&lt;DATE(2025,11,1)," ",COUNTIFS('2025数据'!$AB$3:$AB$181,"&gt;="&amp;DATE(2025,11,1),'2025数据'!$AB$3:$AB$181,"&lt;="&amp;DATE(2025,11,30),'2025数据'!$BY$3:$BY$181,$E$39,'2025数据'!$B$3:$B$181,$E1937))</f>
        <v>0</v>
      </c>
      <c r="Q1937" s="212">
        <f ca="1">IF($S$1&lt;DATE(2025,12,1)," ",COUNTIFS('2025数据'!$AB$3:$AB$181,"&gt;="&amp;DATE(2025,12,1),'2025数据'!$AB$3:$AB$181,"&lt;="&amp;DATE(2025,12,31),'2025数据'!$BY$3:$BY$181,$E$39,'2025数据'!$B$3:$B$181,$E1937))</f>
        <v>0</v>
      </c>
    </row>
    <row r="1938" ht="24" customHeight="1" spans="1:17">
      <c r="A1938" s="99" t="s">
        <v>350</v>
      </c>
      <c r="B1938" s="99" t="s">
        <v>299</v>
      </c>
      <c r="C1938" s="99" t="s">
        <v>291</v>
      </c>
      <c r="D1938" s="53" t="s">
        <v>305</v>
      </c>
      <c r="E1938" s="53" t="s">
        <v>96</v>
      </c>
      <c r="F1938" s="210">
        <f ca="1">IF($S$1&lt;DATE(2025,1,1)," ",COUNTIFS('2025数据'!$AB$3:$AB$181,"&gt;="&amp;DATE(2025,1,1),'2025数据'!$AB$3:$AB$181,"&lt;="&amp;DATE(2025,1,31),'2025数据'!$BY$3:$BY$181,$E$39,'2025数据'!$B$3:$B$181,$E1938))</f>
        <v>0</v>
      </c>
      <c r="G1938" s="210">
        <f ca="1">IF($S$1&lt;DATE(2025,2,1)," ",COUNTIFS('2025数据'!$AB$3:$AB$181,"&gt;="&amp;DATE(2025,2,1),'2025数据'!$AB$3:$AB$181,"&lt;="&amp;DATE(2025,2,28),'2025数据'!$BY$3:$BY$181,$E$39,'2025数据'!$B$3:$B$181,$E1938))</f>
        <v>0</v>
      </c>
      <c r="H1938" s="210">
        <f ca="1">IF($S$1&lt;DATE(2025,3,1)," ",COUNTIFS('2025数据'!$AB$3:$AB$181,"&gt;="&amp;DATE(2025,3,1),'2025数据'!$AB$3:$AB$181,"&lt;="&amp;DATE(2025,3,31),'2025数据'!$BY$3:$BY$181,$E$39,'2025数据'!$B$3:$B$181,$E1938))</f>
        <v>0</v>
      </c>
      <c r="I1938" s="210">
        <f ca="1">IF($S$1&lt;DATE(2025,4,1)," ",COUNTIFS('2025数据'!$AB$3:$AB$181,"&gt;="&amp;DATE(2025,4,1),'2025数据'!$AB$3:$AB$181,"&lt;="&amp;DATE(2025,4,30),'2025数据'!$BY$3:$BY$181,$E$39,'2025数据'!$B$3:$B$181,$E1938))</f>
        <v>0</v>
      </c>
      <c r="J1938" s="210">
        <f ca="1">IF($S$1&lt;DATE(2025,5,1)," ",COUNTIFS('2025数据'!$AB$3:$AB$181,"&gt;="&amp;DATE(2025,5,1),'2025数据'!$AB$3:$AB$181,"&lt;="&amp;DATE(2025,5,31),'2025数据'!$BY$3:$BY$181,$E$39,'2025数据'!$B$3:$B$181,$E1938))</f>
        <v>0</v>
      </c>
      <c r="K1938" s="210">
        <f ca="1">IF($S$1&lt;DATE(2025,6,1)," ",COUNTIFS('2025数据'!$AB$3:$AB$181,"&gt;="&amp;DATE(2025,6,1),'2025数据'!$AB$3:$AB$181,"&lt;="&amp;DATE(2025,6,30),'2025数据'!$BY$3:$BY$181,$E$39,'2025数据'!$B$3:$B$181,$E1938))</f>
        <v>0</v>
      </c>
      <c r="L1938" s="210">
        <f ca="1">IF($S$1&lt;DATE(2025,7,1)," ",COUNTIFS('2025数据'!$AB$3:$AB$181,"&gt;="&amp;DATE(2025,7,1),'2025数据'!$AB$3:$AB$181,"&lt;="&amp;DATE(2025,7,31),'2025数据'!$BY$3:$BY$181,$E$39,'2025数据'!$B$3:$B$181,$E1938))</f>
        <v>0</v>
      </c>
      <c r="M1938" s="210">
        <f ca="1">IF($S$1&lt;DATE(2025,8,1)," ",COUNTIFS('2025数据'!$AB$3:$AB$181,"&gt;="&amp;DATE(2025,8,1),'2025数据'!$AB$3:$AB$181,"&lt;="&amp;DATE(2025,8,31),'2025数据'!$BY$3:$BY$181,$E$39,'2025数据'!$B$3:$B$181,$E1938))</f>
        <v>0</v>
      </c>
      <c r="N1938" s="210">
        <f ca="1">IF($S$1&lt;DATE(2025,9,1)," ",COUNTIFS('2025数据'!$AB$3:$AB$181,"&gt;="&amp;DATE(2025,9,1),'2025数据'!$AB$3:$AB$181,"&lt;="&amp;DATE(2025,9,30),'2025数据'!$BY$3:$BY$181,$E$39,'2025数据'!$B$3:$B$181,$E1938))</f>
        <v>0</v>
      </c>
      <c r="O1938" s="210">
        <f ca="1">IF($S$1&lt;DATE(2025,10,1)," ",COUNTIFS('2025数据'!$AB$3:$AB$181,"&gt;="&amp;DATE(2025,10,1),'2025数据'!$AB$3:$AB$181,"&lt;="&amp;DATE(2025,10,31),'2025数据'!$BY$3:$BY$181,$E$39,'2025数据'!$B$3:$B$181,$E1938))</f>
        <v>0</v>
      </c>
      <c r="P1938" s="212">
        <f ca="1">IF($S$1&lt;DATE(2025,11,1)," ",COUNTIFS('2025数据'!$AB$3:$AB$181,"&gt;="&amp;DATE(2025,11,1),'2025数据'!$AB$3:$AB$181,"&lt;="&amp;DATE(2025,11,30),'2025数据'!$BY$3:$BY$181,$E$39,'2025数据'!$B$3:$B$181,$E1938))</f>
        <v>0</v>
      </c>
      <c r="Q1938" s="212">
        <f ca="1">IF($S$1&lt;DATE(2025,12,1)," ",COUNTIFS('2025数据'!$AB$3:$AB$181,"&gt;="&amp;DATE(2025,12,1),'2025数据'!$AB$3:$AB$181,"&lt;="&amp;DATE(2025,12,31),'2025数据'!$BY$3:$BY$181,$E$39,'2025数据'!$B$3:$B$181,$E1938))</f>
        <v>0</v>
      </c>
    </row>
    <row r="1939" ht="24" customHeight="1" spans="1:17">
      <c r="A1939" s="99" t="s">
        <v>350</v>
      </c>
      <c r="B1939" s="99" t="s">
        <v>299</v>
      </c>
      <c r="C1939" s="99" t="s">
        <v>291</v>
      </c>
      <c r="D1939" s="53" t="s">
        <v>305</v>
      </c>
      <c r="E1939" s="53" t="s">
        <v>160</v>
      </c>
      <c r="F1939" s="210">
        <f ca="1">IF($S$1&lt;DATE(2025,1,1)," ",COUNTIFS('2025数据'!$AB$3:$AB$181,"&gt;="&amp;DATE(2025,1,1),'2025数据'!$AB$3:$AB$181,"&lt;="&amp;DATE(2025,1,31),'2025数据'!$BY$3:$BY$181,$E$39,'2025数据'!$B$3:$B$181,$E1939))</f>
        <v>0</v>
      </c>
      <c r="G1939" s="210">
        <f ca="1">IF($S$1&lt;DATE(2025,2,1)," ",COUNTIFS('2025数据'!$AB$3:$AB$181,"&gt;="&amp;DATE(2025,2,1),'2025数据'!$AB$3:$AB$181,"&lt;="&amp;DATE(2025,2,28),'2025数据'!$BY$3:$BY$181,$E$39,'2025数据'!$B$3:$B$181,$E1939))</f>
        <v>0</v>
      </c>
      <c r="H1939" s="210">
        <f ca="1">IF($S$1&lt;DATE(2025,3,1)," ",COUNTIFS('2025数据'!$AB$3:$AB$181,"&gt;="&amp;DATE(2025,3,1),'2025数据'!$AB$3:$AB$181,"&lt;="&amp;DATE(2025,3,31),'2025数据'!$BY$3:$BY$181,$E$39,'2025数据'!$B$3:$B$181,$E1939))</f>
        <v>0</v>
      </c>
      <c r="I1939" s="210">
        <f ca="1">IF($S$1&lt;DATE(2025,4,1)," ",COUNTIFS('2025数据'!$AB$3:$AB$181,"&gt;="&amp;DATE(2025,4,1),'2025数据'!$AB$3:$AB$181,"&lt;="&amp;DATE(2025,4,30),'2025数据'!$BY$3:$BY$181,$E$39,'2025数据'!$B$3:$B$181,$E1939))</f>
        <v>0</v>
      </c>
      <c r="J1939" s="210">
        <f ca="1">IF($S$1&lt;DATE(2025,5,1)," ",COUNTIFS('2025数据'!$AB$3:$AB$181,"&gt;="&amp;DATE(2025,5,1),'2025数据'!$AB$3:$AB$181,"&lt;="&amp;DATE(2025,5,31),'2025数据'!$BY$3:$BY$181,$E$39,'2025数据'!$B$3:$B$181,$E1939))</f>
        <v>0</v>
      </c>
      <c r="K1939" s="210">
        <f ca="1">IF($S$1&lt;DATE(2025,6,1)," ",COUNTIFS('2025数据'!$AB$3:$AB$181,"&gt;="&amp;DATE(2025,6,1),'2025数据'!$AB$3:$AB$181,"&lt;="&amp;DATE(2025,6,30),'2025数据'!$BY$3:$BY$181,$E$39,'2025数据'!$B$3:$B$181,$E1939))</f>
        <v>0</v>
      </c>
      <c r="L1939" s="210">
        <f ca="1">IF($S$1&lt;DATE(2025,7,1)," ",COUNTIFS('2025数据'!$AB$3:$AB$181,"&gt;="&amp;DATE(2025,7,1),'2025数据'!$AB$3:$AB$181,"&lt;="&amp;DATE(2025,7,31),'2025数据'!$BY$3:$BY$181,$E$39,'2025数据'!$B$3:$B$181,$E1939))</f>
        <v>0</v>
      </c>
      <c r="M1939" s="210">
        <f ca="1">IF($S$1&lt;DATE(2025,8,1)," ",COUNTIFS('2025数据'!$AB$3:$AB$181,"&gt;="&amp;DATE(2025,8,1),'2025数据'!$AB$3:$AB$181,"&lt;="&amp;DATE(2025,8,31),'2025数据'!$BY$3:$BY$181,$E$39,'2025数据'!$B$3:$B$181,$E1939))</f>
        <v>0</v>
      </c>
      <c r="N1939" s="210">
        <f ca="1">IF($S$1&lt;DATE(2025,9,1)," ",COUNTIFS('2025数据'!$AB$3:$AB$181,"&gt;="&amp;DATE(2025,9,1),'2025数据'!$AB$3:$AB$181,"&lt;="&amp;DATE(2025,9,30),'2025数据'!$BY$3:$BY$181,$E$39,'2025数据'!$B$3:$B$181,$E1939))</f>
        <v>0</v>
      </c>
      <c r="O1939" s="210">
        <f ca="1">IF($S$1&lt;DATE(2025,10,1)," ",COUNTIFS('2025数据'!$AB$3:$AB$181,"&gt;="&amp;DATE(2025,10,1),'2025数据'!$AB$3:$AB$181,"&lt;="&amp;DATE(2025,10,31),'2025数据'!$BY$3:$BY$181,$E$39,'2025数据'!$B$3:$B$181,$E1939))</f>
        <v>0</v>
      </c>
      <c r="P1939" s="212">
        <f ca="1">IF($S$1&lt;DATE(2025,11,1)," ",COUNTIFS('2025数据'!$AB$3:$AB$181,"&gt;="&amp;DATE(2025,11,1),'2025数据'!$AB$3:$AB$181,"&lt;="&amp;DATE(2025,11,30),'2025数据'!$BY$3:$BY$181,$E$39,'2025数据'!$B$3:$B$181,$E1939))</f>
        <v>0</v>
      </c>
      <c r="Q1939" s="212">
        <f ca="1">IF($S$1&lt;DATE(2025,12,1)," ",COUNTIFS('2025数据'!$AB$3:$AB$181,"&gt;="&amp;DATE(2025,12,1),'2025数据'!$AB$3:$AB$181,"&lt;="&amp;DATE(2025,12,31),'2025数据'!$BY$3:$BY$181,$E$39,'2025数据'!$B$3:$B$181,$E1939))</f>
        <v>0</v>
      </c>
    </row>
    <row r="1940" ht="24" customHeight="1" spans="1:17">
      <c r="A1940" s="99" t="s">
        <v>350</v>
      </c>
      <c r="B1940" s="99" t="s">
        <v>299</v>
      </c>
      <c r="C1940" s="99" t="s">
        <v>291</v>
      </c>
      <c r="D1940" s="100" t="s">
        <v>292</v>
      </c>
      <c r="E1940" s="100" t="s">
        <v>306</v>
      </c>
      <c r="F1940" s="204">
        <f ca="1">IF($S$1&lt;DATE(2025,1,1)," ",SUM(F1941:F1943))</f>
        <v>1</v>
      </c>
      <c r="G1940" s="204">
        <f ca="1">IF($S$1&lt;DATE(2025,2,1)," ",SUM(G1941:G1943))</f>
        <v>1</v>
      </c>
      <c r="H1940" s="204">
        <f ca="1">IF($S$1&lt;DATE(2025,3,1)," ",SUM(H1941:H1943))</f>
        <v>3</v>
      </c>
      <c r="I1940" s="204">
        <f ca="1">IF($S$1&lt;DATE(2025,4,1)," ",SUM(I1941:I1943))</f>
        <v>0</v>
      </c>
      <c r="J1940" s="204">
        <f ca="1">IF($S$1&lt;DATE(2025,5,1)," ",SUM(J1941:J1943))</f>
        <v>2</v>
      </c>
      <c r="K1940" s="204">
        <f ca="1">IF($S$1&lt;DATE(2025,6,1)," ",SUM(K1941:K1943))</f>
        <v>1</v>
      </c>
      <c r="L1940" s="204">
        <f ca="1">IF($S$1&lt;DATE(2025,7,1)," ",SUM(L1941:L1943))</f>
        <v>1</v>
      </c>
      <c r="M1940" s="204">
        <f ca="1">IF($S$1&lt;DATE(2025,8,1)," ",SUM(M1941:M1943))</f>
        <v>3</v>
      </c>
      <c r="N1940" s="204">
        <f ca="1">IF($S$1&lt;DATE(2025,9,1)," ",SUM(N1941:N1943))</f>
        <v>0</v>
      </c>
      <c r="O1940" s="204">
        <f ca="1">IF($S$1&lt;DATE(2025,10,1)," ",SUM(O1941:O1943))</f>
        <v>2</v>
      </c>
      <c r="P1940" s="204">
        <f ca="1">IF($S$1&lt;DATE(2025,11,1)," ",SUM(P1941:P1943))</f>
        <v>0</v>
      </c>
      <c r="Q1940" s="204">
        <f ca="1">IF($S$1&lt;DATE(2025,12,1)," ",SUM(Q1941:Q1943))</f>
        <v>0</v>
      </c>
    </row>
    <row r="1941" ht="24" customHeight="1" spans="1:17">
      <c r="A1941" s="99" t="s">
        <v>350</v>
      </c>
      <c r="B1941" s="99" t="s">
        <v>299</v>
      </c>
      <c r="C1941" s="99" t="s">
        <v>291</v>
      </c>
      <c r="D1941" s="48" t="s">
        <v>296</v>
      </c>
      <c r="E1941" s="48" t="s">
        <v>90</v>
      </c>
      <c r="F1941" s="205">
        <f ca="1">IF($S$1&lt;DATE(2025,1,1)," ",COUNTIFS('2025数据'!$AB$3:$AB$181,"&gt;="&amp;DATE(2024,1,1),'2025数据'!$AB$3:$AB$181,"&lt;="&amp;DATE(2025,1,31),'2025数据'!$AF$3:$AF$181,$E1941))</f>
        <v>1</v>
      </c>
      <c r="G1941" s="205">
        <f ca="1">IF($S$1&lt;DATE(2025,2,1)," ",COUNTIFS('2025数据'!$AB$3:$AB$181,"&gt;="&amp;DATE(2025,2,1),'2025数据'!$AB$3:$AB$181,"&lt;="&amp;DATE(2025,2,28),'2025数据'!$AF$3:$AF$181,$E1941))</f>
        <v>0</v>
      </c>
      <c r="H1941" s="205">
        <f ca="1">IF($S$1&lt;DATE(2025,3,1)," ",COUNTIFS('2025数据'!$AB$3:$AB$181,"&gt;="&amp;DATE(2025,3,1),'2025数据'!$AB$3:$AB$181,"&lt;="&amp;DATE(2025,3,31),'2025数据'!$AF$3:$AF$181,$E1941))</f>
        <v>1</v>
      </c>
      <c r="I1941" s="205">
        <f ca="1">IF($S$1&lt;DATE(2025,4,1)," ",COUNTIFS('2025数据'!$AB$3:$AB$181,"&gt;="&amp;DATE(2025,4,1),'2025数据'!$AB$3:$AB$181,"&lt;="&amp;DATE(2025,4,30),'2025数据'!$AF$3:$AF$181,$E1941))</f>
        <v>0</v>
      </c>
      <c r="J1941" s="205">
        <f ca="1">IF($S$1&lt;DATE(2025,5,1)," ",COUNTIFS('2025数据'!$AB$3:$AB$181,"&gt;="&amp;DATE(2025,5,1),'2025数据'!$AB$3:$AB$181,"&lt;="&amp;DATE(2025,5,31),'2025数据'!$AF$3:$AF$181,$E1941))</f>
        <v>1</v>
      </c>
      <c r="K1941" s="205">
        <f ca="1">IF($S$1&lt;DATE(2025,6,1)," ",COUNTIFS('2025数据'!$AB$3:$AB$181,"&gt;="&amp;DATE(2025,6,1),'2025数据'!$AB$3:$AB$181,"&lt;="&amp;DATE(2025,6,30),'2025数据'!$AF$3:$AF$181,$E1941))</f>
        <v>1</v>
      </c>
      <c r="L1941" s="205">
        <f ca="1">IF($S$1&lt;DATE(2025,7,1)," ",COUNTIFS('2025数据'!$AB$3:$AB$181,"&gt;="&amp;DATE(2025,7,1),'2025数据'!$AB$3:$AB$181,"&lt;="&amp;DATE(2025,7,31),'2025数据'!$AF$3:$AF$181,$E1941))</f>
        <v>0</v>
      </c>
      <c r="M1941" s="205">
        <f ca="1">IF($S$1&lt;DATE(2025,8,1)," ",COUNTIFS('2025数据'!$AB$3:$AB$181,"&gt;="&amp;DATE(2025,8,1),'2025数据'!$AB$3:$AB$181,"&lt;="&amp;DATE(2025,8,31),'2025数据'!$AF$3:$AF$181,$E1941))</f>
        <v>0</v>
      </c>
      <c r="N1941" s="205">
        <f ca="1">IF($S$1&lt;DATE(2025,9,1)," ",COUNTIFS('2025数据'!$AB$3:$AB$181,"&gt;="&amp;DATE(2025,9,1),'2025数据'!$AB$3:$AB$181,"&lt;="&amp;DATE(2025,9,30),'2025数据'!$AF$3:$AF$181,$E1941))</f>
        <v>0</v>
      </c>
      <c r="O1941" s="205">
        <f ca="1">IF($S$1&lt;DATE(2025,10,1)," ",COUNTIFS('2025数据'!$AB$3:$AB$181,"&gt;="&amp;DATE(2025,10,1),'2025数据'!$AB$3:$AB$181,"&lt;="&amp;DATE(2025,10,31),'2025数据'!$AF$3:$AF$181,$E1941))</f>
        <v>1</v>
      </c>
      <c r="P1941" s="207">
        <f ca="1">IF($S$1&lt;DATE(2025,11,1)," ",COUNTIFS('2025数据'!$AB$3:$AB$181,"&gt;="&amp;DATE(2025,11,1),'2025数据'!$AB$3:$AB$181,"&lt;="&amp;DATE(2025,11,30),'2025数据'!$AF$3:$AF$181,$E1941))</f>
        <v>0</v>
      </c>
      <c r="Q1941" s="207">
        <f ca="1">IF($S$1&lt;DATE(2025,12,1)," ",COUNTIFS('2025数据'!$AB$3:$AB$181,"&gt;="&amp;DATE(2025,12,1),'2025数据'!$AB$3:$AB$181,"&lt;="&amp;DATE(2025,12,31),'2025数据'!$AF$3:$AF$181,$E1941))</f>
        <v>0</v>
      </c>
    </row>
    <row r="1942" ht="24" customHeight="1" spans="1:17">
      <c r="A1942" s="99" t="s">
        <v>350</v>
      </c>
      <c r="B1942" s="99" t="s">
        <v>299</v>
      </c>
      <c r="C1942" s="99" t="s">
        <v>291</v>
      </c>
      <c r="D1942" s="48" t="s">
        <v>296</v>
      </c>
      <c r="E1942" s="48" t="s">
        <v>82</v>
      </c>
      <c r="F1942" s="205">
        <f ca="1">IF($S$1&lt;DATE(2025,1,1)," ",COUNTIFS('2025数据'!$AB$3:$AB$181,"&gt;="&amp;DATE(2024,1,1),'2025数据'!$AB$3:$AB$181,"&lt;="&amp;DATE(2025,1,31),'2025数据'!$AF$3:$AF$181,$E1942))</f>
        <v>0</v>
      </c>
      <c r="G1942" s="205">
        <f ca="1">IF($S$1&lt;DATE(2025,2,1)," ",COUNTIFS('2025数据'!$AB$3:$AB$181,"&gt;="&amp;DATE(2025,2,1),'2025数据'!$AB$3:$AB$181,"&lt;="&amp;DATE(2025,2,28),'2025数据'!$AF$3:$AF$181,$E1942))</f>
        <v>1</v>
      </c>
      <c r="H1942" s="205">
        <f ca="1">IF($S$1&lt;DATE(2025,3,1)," ",COUNTIFS('2025数据'!$AB$3:$AB$181,"&gt;="&amp;DATE(2025,3,1),'2025数据'!$AB$3:$AB$181,"&lt;="&amp;DATE(2025,3,31),'2025数据'!$AF$3:$AF$181,$E1942))</f>
        <v>2</v>
      </c>
      <c r="I1942" s="205">
        <f ca="1">IF($S$1&lt;DATE(2025,4,1)," ",COUNTIFS('2025数据'!$AB$3:$AB$181,"&gt;="&amp;DATE(2025,4,1),'2025数据'!$AB$3:$AB$181,"&lt;="&amp;DATE(2025,4,30),'2025数据'!$AF$3:$AF$181,$E1942))</f>
        <v>0</v>
      </c>
      <c r="J1942" s="205">
        <f ca="1">IF($S$1&lt;DATE(2025,5,1)," ",COUNTIFS('2025数据'!$AB$3:$AB$181,"&gt;="&amp;DATE(2025,5,1),'2025数据'!$AB$3:$AB$181,"&lt;="&amp;DATE(2025,5,31),'2025数据'!$AF$3:$AF$181,$E1942))</f>
        <v>1</v>
      </c>
      <c r="K1942" s="205">
        <f ca="1">IF($S$1&lt;DATE(2025,6,1)," ",COUNTIFS('2025数据'!$AB$3:$AB$181,"&gt;="&amp;DATE(2025,6,1),'2025数据'!$AB$3:$AB$181,"&lt;="&amp;DATE(2025,6,30),'2025数据'!$AF$3:$AF$181,$E1942))</f>
        <v>0</v>
      </c>
      <c r="L1942" s="205">
        <f ca="1">IF($S$1&lt;DATE(2025,7,1)," ",COUNTIFS('2025数据'!$AB$3:$AB$181,"&gt;="&amp;DATE(2025,7,1),'2025数据'!$AB$3:$AB$181,"&lt;="&amp;DATE(2025,7,31),'2025数据'!$AF$3:$AF$181,$E1942))</f>
        <v>1</v>
      </c>
      <c r="M1942" s="205">
        <f ca="1">IF($S$1&lt;DATE(2025,8,1)," ",COUNTIFS('2025数据'!$AB$3:$AB$181,"&gt;="&amp;DATE(2025,8,1),'2025数据'!$AB$3:$AB$181,"&lt;="&amp;DATE(2025,8,31),'2025数据'!$AF$3:$AF$181,$E1942))</f>
        <v>3</v>
      </c>
      <c r="N1942" s="205">
        <f ca="1">IF($S$1&lt;DATE(2025,9,1)," ",COUNTIFS('2025数据'!$AB$3:$AB$181,"&gt;="&amp;DATE(2025,9,1),'2025数据'!$AB$3:$AB$181,"&lt;="&amp;DATE(2025,9,30),'2025数据'!$AF$3:$AF$181,$E1942))</f>
        <v>0</v>
      </c>
      <c r="O1942" s="205">
        <f ca="1">IF($S$1&lt;DATE(2025,10,1)," ",COUNTIFS('2025数据'!$AB$3:$AB$181,"&gt;="&amp;DATE(2025,10,1),'2025数据'!$AB$3:$AB$181,"&lt;="&amp;DATE(2025,10,31),'2025数据'!$AF$3:$AF$181,$E1942))</f>
        <v>1</v>
      </c>
      <c r="P1942" s="207">
        <f ca="1">IF($S$1&lt;DATE(2025,11,1)," ",COUNTIFS('2025数据'!$AB$3:$AB$181,"&gt;="&amp;DATE(2025,11,1),'2025数据'!$AB$3:$AB$181,"&lt;="&amp;DATE(2025,11,30),'2025数据'!$AF$3:$AF$181,$E1942))</f>
        <v>0</v>
      </c>
      <c r="Q1942" s="207">
        <f ca="1">IF($S$1&lt;DATE(2025,12,1)," ",COUNTIFS('2025数据'!$AB$3:$AB$181,"&gt;="&amp;DATE(2025,12,1),'2025数据'!$AB$3:$AB$181,"&lt;="&amp;DATE(2025,12,31),'2025数据'!$AF$3:$AF$181,$E1942))</f>
        <v>0</v>
      </c>
    </row>
    <row r="1943" ht="24" customHeight="1" spans="1:17">
      <c r="A1943" s="99" t="s">
        <v>350</v>
      </c>
      <c r="B1943" s="99" t="s">
        <v>299</v>
      </c>
      <c r="C1943" s="99" t="s">
        <v>291</v>
      </c>
      <c r="D1943" s="48" t="s">
        <v>296</v>
      </c>
      <c r="E1943" s="48" t="s">
        <v>86</v>
      </c>
      <c r="F1943" s="205">
        <f ca="1">IF($S$1&lt;DATE(2025,1,1)," ",COUNTIFS('2025数据'!$AB$3:$AB$181,"&gt;="&amp;DATE(2024,1,1),'2025数据'!$AB$3:$AB$181,"&lt;="&amp;DATE(2025,1,31),'2025数据'!$AF$3:$AF$181,$E1943))</f>
        <v>0</v>
      </c>
      <c r="G1943" s="205">
        <f ca="1">IF($S$1&lt;DATE(2025,2,1)," ",COUNTIFS('2025数据'!$AB$3:$AB$181,"&gt;="&amp;DATE(2025,2,1),'2025数据'!$AB$3:$AB$181,"&lt;="&amp;DATE(2025,2,28),'2025数据'!$AF$3:$AF$181,$E1943))</f>
        <v>0</v>
      </c>
      <c r="H1943" s="205">
        <f ca="1">IF($S$1&lt;DATE(2025,3,1)," ",COUNTIFS('2025数据'!$AB$3:$AB$181,"&gt;="&amp;DATE(2025,3,1),'2025数据'!$AB$3:$AB$181,"&lt;="&amp;DATE(2025,3,31),'2025数据'!$AF$3:$AF$181,$E1943))</f>
        <v>0</v>
      </c>
      <c r="I1943" s="205">
        <f ca="1">IF($S$1&lt;DATE(2025,4,1)," ",COUNTIFS('2025数据'!$AB$3:$AB$181,"&gt;="&amp;DATE(2025,4,1),'2025数据'!$AB$3:$AB$181,"&lt;="&amp;DATE(2025,4,30),'2025数据'!$AF$3:$AF$181,$E1943))</f>
        <v>0</v>
      </c>
      <c r="J1943" s="205">
        <f ca="1">IF($S$1&lt;DATE(2025,5,1)," ",COUNTIFS('2025数据'!$AB$3:$AB$181,"&gt;="&amp;DATE(2025,5,1),'2025数据'!$AB$3:$AB$181,"&lt;="&amp;DATE(2025,5,31),'2025数据'!$AF$3:$AF$181,$E1943))</f>
        <v>0</v>
      </c>
      <c r="K1943" s="205">
        <f ca="1">IF($S$1&lt;DATE(2025,6,1)," ",COUNTIFS('2025数据'!$AB$3:$AB$181,"&gt;="&amp;DATE(2025,6,1),'2025数据'!$AB$3:$AB$181,"&lt;="&amp;DATE(2025,6,30),'2025数据'!$AF$3:$AF$181,$E1943))</f>
        <v>0</v>
      </c>
      <c r="L1943" s="205">
        <f ca="1">IF($S$1&lt;DATE(2025,7,1)," ",COUNTIFS('2025数据'!$AB$3:$AB$181,"&gt;="&amp;DATE(2025,7,1),'2025数据'!$AB$3:$AB$181,"&lt;="&amp;DATE(2025,7,31),'2025数据'!$AF$3:$AF$181,$E1943))</f>
        <v>0</v>
      </c>
      <c r="M1943" s="205">
        <f ca="1">IF($S$1&lt;DATE(2025,8,1)," ",COUNTIFS('2025数据'!$AB$3:$AB$181,"&gt;="&amp;DATE(2025,8,1),'2025数据'!$AB$3:$AB$181,"&lt;="&amp;DATE(2025,8,31),'2025数据'!$AF$3:$AF$181,$E1943))</f>
        <v>0</v>
      </c>
      <c r="N1943" s="205">
        <f ca="1">IF($S$1&lt;DATE(2025,9,1)," ",COUNTIFS('2025数据'!$AB$3:$AB$181,"&gt;="&amp;DATE(2025,9,1),'2025数据'!$AB$3:$AB$181,"&lt;="&amp;DATE(2025,9,30),'2025数据'!$AF$3:$AF$181,$E1943))</f>
        <v>0</v>
      </c>
      <c r="O1943" s="205">
        <f ca="1">IF($S$1&lt;DATE(2025,10,1)," ",COUNTIFS('2025数据'!$AB$3:$AB$181,"&gt;="&amp;DATE(2025,10,1),'2025数据'!$AB$3:$AB$181,"&lt;="&amp;DATE(2025,10,31),'2025数据'!$AF$3:$AF$181,$E1943))</f>
        <v>0</v>
      </c>
      <c r="P1943" s="207">
        <f ca="1">IF($S$1&lt;DATE(2025,11,1)," ",COUNTIFS('2025数据'!$AB$3:$AB$181,"&gt;="&amp;DATE(2025,11,1),'2025数据'!$AB$3:$AB$181,"&lt;="&amp;DATE(2025,11,30),'2025数据'!$AF$3:$AF$181,$E1943))</f>
        <v>0</v>
      </c>
      <c r="Q1943" s="207">
        <f ca="1">IF($S$1&lt;DATE(2025,12,1)," ",COUNTIFS('2025数据'!$AB$3:$AB$181,"&gt;="&amp;DATE(2025,12,1),'2025数据'!$AB$3:$AB$181,"&lt;="&amp;DATE(2025,12,31),'2025数据'!$AF$3:$AF$181,$E1943))</f>
        <v>0</v>
      </c>
    </row>
    <row r="1944" ht="24" customHeight="1" spans="1:17">
      <c r="A1944" s="99" t="s">
        <v>350</v>
      </c>
      <c r="B1944" s="99" t="s">
        <v>299</v>
      </c>
      <c r="C1944" s="99" t="s">
        <v>291</v>
      </c>
      <c r="D1944" s="100" t="s">
        <v>292</v>
      </c>
      <c r="E1944" s="100" t="s">
        <v>307</v>
      </c>
      <c r="F1944" s="204">
        <f ca="1">IF($S$1&lt;DATE(2025,1,1)," ",SUM(F1945:F1948))</f>
        <v>1</v>
      </c>
      <c r="G1944" s="204">
        <f ca="1">IF($S$1&lt;DATE(2025,2,1)," ",SUM(G1945:G1948))</f>
        <v>0</v>
      </c>
      <c r="H1944" s="204">
        <f ca="1">IF($S$1&lt;DATE(2025,3,1)," ",SUM(H1945:H1948))</f>
        <v>6</v>
      </c>
      <c r="I1944" s="204">
        <f ca="1">IF($S$1&lt;DATE(2025,4,1)," ",SUM(I1945:I1948))</f>
        <v>1</v>
      </c>
      <c r="J1944" s="204">
        <f ca="1">IF($S$1&lt;DATE(2025,5,1)," ",SUM(J1945:J1948))</f>
        <v>2</v>
      </c>
      <c r="K1944" s="204">
        <f ca="1">IF($S$1&lt;DATE(2025,6,1)," ",SUM(K1945:K1948))</f>
        <v>1</v>
      </c>
      <c r="L1944" s="204">
        <f ca="1">IF($S$1&lt;DATE(2025,7,1)," ",SUM(L1945:L1948))</f>
        <v>1</v>
      </c>
      <c r="M1944" s="204">
        <f ca="1">IF($S$1&lt;DATE(2025,8,1)," ",SUM(M1945:M1948))</f>
        <v>3</v>
      </c>
      <c r="N1944" s="204">
        <f ca="1">IF($S$1&lt;DATE(2025,9,1)," ",SUM(N1945:N1948))</f>
        <v>0</v>
      </c>
      <c r="O1944" s="204">
        <f ca="1">IF($S$1&lt;DATE(2025,10,1)," ",SUM(O1945:O1948))</f>
        <v>3</v>
      </c>
      <c r="P1944" s="204">
        <f ca="1">IF($S$1&lt;DATE(2025,11,1)," ",SUM(P1945:P1948))</f>
        <v>2</v>
      </c>
      <c r="Q1944" s="204">
        <f ca="1">IF($S$1&lt;DATE(2025,12,1)," ",SUM(Q1945:Q1948))</f>
        <v>0</v>
      </c>
    </row>
    <row r="1945" ht="24" customHeight="1" spans="1:17">
      <c r="A1945" s="99" t="s">
        <v>350</v>
      </c>
      <c r="B1945" s="99" t="s">
        <v>299</v>
      </c>
      <c r="C1945" s="99" t="s">
        <v>291</v>
      </c>
      <c r="D1945" s="48" t="s">
        <v>298</v>
      </c>
      <c r="E1945" s="48" t="s">
        <v>97</v>
      </c>
      <c r="F1945" s="205">
        <f ca="1">IF($S$1&lt;DATE(2025,1,1)," ",COUNTIFS('2025数据'!$AB$3:$AB$181,"&gt;="&amp;DATE(2024,1,1),'2025数据'!$AB$3:$AB$181,"&lt;="&amp;DATE(2025,1,31),'2025数据'!$AG$3:$AG$181,$E1945))</f>
        <v>0</v>
      </c>
      <c r="G1945" s="205">
        <f ca="1">IF($S$1&lt;DATE(2025,2,1)," ",COUNTIFS('2025数据'!$AB$3:$AB$181,"&gt;="&amp;DATE(2025,2,1),'2025数据'!$AB$3:$AB$181,"&lt;="&amp;DATE(2025,2,28),'2025数据'!$AG$3:$AG$181,$E1945))</f>
        <v>0</v>
      </c>
      <c r="H1945" s="205">
        <f ca="1">IF($S$1&lt;DATE(2025,3,1)," ",COUNTIFS('2025数据'!$AB$3:$AB$181,"&gt;="&amp;DATE(2025,3,1),'2025数据'!$AB$3:$AB$181,"&lt;="&amp;DATE(2025,3,31),'2025数据'!$AG$3:$AG$181,$E1945))</f>
        <v>3</v>
      </c>
      <c r="I1945" s="205">
        <f ca="1">IF($S$1&lt;DATE(2025,4,1)," ",COUNTIFS('2025数据'!$AB$3:$AB$181,"&gt;="&amp;DATE(2025,4,1),'2025数据'!$AB$3:$AB$181,"&lt;="&amp;DATE(2025,4,30),'2025数据'!$AG$3:$AG$181,$E1945))</f>
        <v>0</v>
      </c>
      <c r="J1945" s="205">
        <f ca="1">IF($S$1&lt;DATE(2025,5,1)," ",COUNTIFS('2025数据'!$AB$3:$AB$181,"&gt;="&amp;DATE(2025,5,1),'2025数据'!$AB$3:$AB$181,"&lt;="&amp;DATE(2025,5,31),'2025数据'!$AG$3:$AG$181,$E1945))</f>
        <v>1</v>
      </c>
      <c r="K1945" s="205">
        <f ca="1">IF($S$1&lt;DATE(2025,6,1)," ",COUNTIFS('2025数据'!$AB$3:$AB$181,"&gt;="&amp;DATE(2025,6,1),'2025数据'!$AB$3:$AB$181,"&lt;="&amp;DATE(2025,6,30),'2025数据'!$AG$3:$AG$181,$E1945))</f>
        <v>1</v>
      </c>
      <c r="L1945" s="205">
        <f ca="1">IF($S$1&lt;DATE(2025,7,1)," ",COUNTIFS('2025数据'!$AB$3:$AB$181,"&gt;="&amp;DATE(2025,7,1),'2025数据'!$AB$3:$AB$181,"&lt;="&amp;DATE(2025,7,31),'2025数据'!$AG$3:$AG$181,$E1945))</f>
        <v>0</v>
      </c>
      <c r="M1945" s="205">
        <f ca="1">IF($S$1&lt;DATE(2025,8,1)," ",COUNTIFS('2025数据'!$AB$3:$AB$181,"&gt;="&amp;DATE(2025,8,1),'2025数据'!$AB$3:$AB$181,"&lt;="&amp;DATE(2025,8,31),'2025数据'!$AG$3:$AG$181,$E1945))</f>
        <v>1</v>
      </c>
      <c r="N1945" s="205">
        <f ca="1">IF($S$1&lt;DATE(2025,9,1)," ",COUNTIFS('2025数据'!$AB$3:$AB$181,"&gt;="&amp;DATE(2025,9,1),'2025数据'!$AB$3:$AB$181,"&lt;="&amp;DATE(2025,9,30),'2025数据'!$AG$3:$AG$181,$E1945))</f>
        <v>0</v>
      </c>
      <c r="O1945" s="205">
        <f ca="1">IF($S$1&lt;DATE(2025,10,1)," ",COUNTIFS('2025数据'!$AB$3:$AB$181,"&gt;="&amp;DATE(2025,10,1),'2025数据'!$AB$3:$AB$181,"&lt;="&amp;DATE(2025,10,31),'2025数据'!$AG$3:$AG$181,$E1945))</f>
        <v>1</v>
      </c>
      <c r="P1945" s="207">
        <f ca="1">IF($S$1&lt;DATE(2025,11,1)," ",COUNTIFS('2025数据'!$AB$3:$AB$181,"&gt;="&amp;DATE(2025,11,1),'2025数据'!$AB$3:$AB$181,"&lt;="&amp;DATE(2025,11,30),'2025数据'!$AG$3:$AG$181,$E1945))</f>
        <v>2</v>
      </c>
      <c r="Q1945" s="207">
        <f ca="1">IF($S$1&lt;DATE(2025,12,1)," ",COUNTIFS('2025数据'!$AB$3:$AB$181,"&gt;="&amp;DATE(2025,12,1),'2025数据'!$AB$3:$AB$181,"&lt;="&amp;DATE(2025,12,31),'2025数据'!$AG$3:$AG$181,$E1945))</f>
        <v>0</v>
      </c>
    </row>
    <row r="1946" ht="24" customHeight="1" spans="1:17">
      <c r="A1946" s="99" t="s">
        <v>350</v>
      </c>
      <c r="B1946" s="99" t="s">
        <v>299</v>
      </c>
      <c r="C1946" s="99" t="s">
        <v>291</v>
      </c>
      <c r="D1946" s="48" t="s">
        <v>298</v>
      </c>
      <c r="E1946" s="48" t="s">
        <v>87</v>
      </c>
      <c r="F1946" s="205">
        <f ca="1">IF($S$1&lt;DATE(2025,1,1)," ",COUNTIFS('2025数据'!$AB$3:$AB$181,"&gt;="&amp;DATE(2024,1,1),'2025数据'!$AB$3:$AB$181,"&lt;="&amp;DATE(2025,1,31),'2025数据'!$AG$3:$AG$181,$E1946))</f>
        <v>0</v>
      </c>
      <c r="G1946" s="205">
        <f ca="1">IF($S$1&lt;DATE(2025,2,1)," ",COUNTIFS('2025数据'!$AB$3:$AB$181,"&gt;="&amp;DATE(2025,2,1),'2025数据'!$AB$3:$AB$181,"&lt;="&amp;DATE(2025,2,28),'2025数据'!$AG$3:$AG$181,$E1946))</f>
        <v>0</v>
      </c>
      <c r="H1946" s="205">
        <f ca="1">IF($S$1&lt;DATE(2025,3,1)," ",COUNTIFS('2025数据'!$AB$3:$AB$181,"&gt;="&amp;DATE(2025,3,1),'2025数据'!$AB$3:$AB$181,"&lt;="&amp;DATE(2025,3,31),'2025数据'!$AG$3:$AG$181,$E1946))</f>
        <v>1</v>
      </c>
      <c r="I1946" s="205">
        <f ca="1">IF($S$1&lt;DATE(2025,4,1)," ",COUNTIFS('2025数据'!$AB$3:$AB$181,"&gt;="&amp;DATE(2025,4,1),'2025数据'!$AB$3:$AB$181,"&lt;="&amp;DATE(2025,4,30),'2025数据'!$AG$3:$AG$181,$E1946))</f>
        <v>0</v>
      </c>
      <c r="J1946" s="205">
        <f ca="1">IF($S$1&lt;DATE(2025,5,1)," ",COUNTIFS('2025数据'!$AB$3:$AB$181,"&gt;="&amp;DATE(2025,5,1),'2025数据'!$AB$3:$AB$181,"&lt;="&amp;DATE(2025,5,31),'2025数据'!$AG$3:$AG$181,$E1946))</f>
        <v>1</v>
      </c>
      <c r="K1946" s="205">
        <f ca="1">IF($S$1&lt;DATE(2025,6,1)," ",COUNTIFS('2025数据'!$AB$3:$AB$181,"&gt;="&amp;DATE(2025,6,1),'2025数据'!$AB$3:$AB$181,"&lt;="&amp;DATE(2025,6,30),'2025数据'!$AG$3:$AG$181,$E1946))</f>
        <v>0</v>
      </c>
      <c r="L1946" s="205">
        <f ca="1">IF($S$1&lt;DATE(2025,7,1)," ",COUNTIFS('2025数据'!$AB$3:$AB$181,"&gt;="&amp;DATE(2025,7,1),'2025数据'!$AB$3:$AB$181,"&lt;="&amp;DATE(2025,7,31),'2025数据'!$AG$3:$AG$181,$E1946))</f>
        <v>1</v>
      </c>
      <c r="M1946" s="205">
        <f ca="1">IF($S$1&lt;DATE(2025,8,1)," ",COUNTIFS('2025数据'!$AB$3:$AB$181,"&gt;="&amp;DATE(2025,8,1),'2025数据'!$AB$3:$AB$181,"&lt;="&amp;DATE(2025,8,31),'2025数据'!$AG$3:$AG$181,$E1946))</f>
        <v>2</v>
      </c>
      <c r="N1946" s="205">
        <f ca="1">IF($S$1&lt;DATE(2025,9,1)," ",COUNTIFS('2025数据'!$AB$3:$AB$181,"&gt;="&amp;DATE(2025,9,1),'2025数据'!$AB$3:$AB$181,"&lt;="&amp;DATE(2025,9,30),'2025数据'!$AG$3:$AG$181,$E1946))</f>
        <v>0</v>
      </c>
      <c r="O1946" s="205">
        <f ca="1">IF($S$1&lt;DATE(2025,10,1)," ",COUNTIFS('2025数据'!$AB$3:$AB$181,"&gt;="&amp;DATE(2025,10,1),'2025数据'!$AB$3:$AB$181,"&lt;="&amp;DATE(2025,10,31),'2025数据'!$AG$3:$AG$181,$E1946))</f>
        <v>0</v>
      </c>
      <c r="P1946" s="207">
        <f ca="1">IF($S$1&lt;DATE(2025,11,1)," ",COUNTIFS('2025数据'!$AB$3:$AB$181,"&gt;="&amp;DATE(2025,11,1),'2025数据'!$AB$3:$AB$181,"&lt;="&amp;DATE(2025,11,30),'2025数据'!$AG$3:$AG$181,$E1946))</f>
        <v>0</v>
      </c>
      <c r="Q1946" s="207">
        <f ca="1">IF($S$1&lt;DATE(2025,12,1)," ",COUNTIFS('2025数据'!$AB$3:$AB$181,"&gt;="&amp;DATE(2025,12,1),'2025数据'!$AB$3:$AB$181,"&lt;="&amp;DATE(2025,12,31),'2025数据'!$AG$3:$AG$181,$E1946))</f>
        <v>0</v>
      </c>
    </row>
    <row r="1947" ht="24" customHeight="1" spans="1:17">
      <c r="A1947" s="99" t="s">
        <v>350</v>
      </c>
      <c r="B1947" s="99" t="s">
        <v>299</v>
      </c>
      <c r="C1947" s="99" t="s">
        <v>291</v>
      </c>
      <c r="D1947" s="48" t="s">
        <v>298</v>
      </c>
      <c r="E1947" s="48" t="s">
        <v>149</v>
      </c>
      <c r="F1947" s="205">
        <f ca="1">IF($S$1&lt;DATE(2025,1,1)," ",COUNTIFS('2025数据'!$AB$3:$AB$181,"&gt;="&amp;DATE(2024,1,1),'2025数据'!$AB$3:$AB$181,"&lt;="&amp;DATE(2025,1,31),'2025数据'!$AG$3:$AG$181,$E1947))</f>
        <v>0</v>
      </c>
      <c r="G1947" s="205">
        <f ca="1">IF($S$1&lt;DATE(2025,2,1)," ",COUNTIFS('2025数据'!$AB$3:$AB$181,"&gt;="&amp;DATE(2025,2,1),'2025数据'!$AB$3:$AB$181,"&lt;="&amp;DATE(2025,2,28),'2025数据'!$AG$3:$AG$181,$E1947))</f>
        <v>0</v>
      </c>
      <c r="H1947" s="205">
        <f ca="1">IF($S$1&lt;DATE(2025,3,1)," ",COUNTIFS('2025数据'!$AB$3:$AB$181,"&gt;="&amp;DATE(2025,3,1),'2025数据'!$AB$3:$AB$181,"&lt;="&amp;DATE(2025,3,31),'2025数据'!$AG$3:$AG$181,$E1947))</f>
        <v>2</v>
      </c>
      <c r="I1947" s="205">
        <f ca="1">IF($S$1&lt;DATE(2025,4,1)," ",COUNTIFS('2025数据'!$AB$3:$AB$181,"&gt;="&amp;DATE(2025,4,1),'2025数据'!$AB$3:$AB$181,"&lt;="&amp;DATE(2025,4,30),'2025数据'!$AG$3:$AG$181,$E1947))</f>
        <v>0</v>
      </c>
      <c r="J1947" s="205">
        <f ca="1">IF($S$1&lt;DATE(2025,5,1)," ",COUNTIFS('2025数据'!$AB$3:$AB$181,"&gt;="&amp;DATE(2025,5,1),'2025数据'!$AB$3:$AB$181,"&lt;="&amp;DATE(2025,5,31),'2025数据'!$AG$3:$AG$181,$E1947))</f>
        <v>0</v>
      </c>
      <c r="K1947" s="205">
        <f ca="1">IF($S$1&lt;DATE(2025,6,1)," ",COUNTIFS('2025数据'!$AB$3:$AB$181,"&gt;="&amp;DATE(2025,6,1),'2025数据'!$AB$3:$AB$181,"&lt;="&amp;DATE(2025,6,30),'2025数据'!$AG$3:$AG$181,$E1947))</f>
        <v>0</v>
      </c>
      <c r="L1947" s="205">
        <f ca="1">IF($S$1&lt;DATE(2025,7,1)," ",COUNTIFS('2025数据'!$AB$3:$AB$181,"&gt;="&amp;DATE(2025,7,1),'2025数据'!$AB$3:$AB$181,"&lt;="&amp;DATE(2025,7,31),'2025数据'!$AG$3:$AG$181,$E1947))</f>
        <v>0</v>
      </c>
      <c r="M1947" s="205">
        <f ca="1">IF($S$1&lt;DATE(2025,8,1)," ",COUNTIFS('2025数据'!$AB$3:$AB$181,"&gt;="&amp;DATE(2025,8,1),'2025数据'!$AB$3:$AB$181,"&lt;="&amp;DATE(2025,8,31),'2025数据'!$AG$3:$AG$181,$E1947))</f>
        <v>0</v>
      </c>
      <c r="N1947" s="205">
        <f ca="1">IF($S$1&lt;DATE(2025,9,1)," ",COUNTIFS('2025数据'!$AB$3:$AB$181,"&gt;="&amp;DATE(2025,9,1),'2025数据'!$AB$3:$AB$181,"&lt;="&amp;DATE(2025,9,30),'2025数据'!$AG$3:$AG$181,$E1947))</f>
        <v>0</v>
      </c>
      <c r="O1947" s="205">
        <f ca="1">IF($S$1&lt;DATE(2025,10,1)," ",COUNTIFS('2025数据'!$AB$3:$AB$181,"&gt;="&amp;DATE(2025,10,1),'2025数据'!$AB$3:$AB$181,"&lt;="&amp;DATE(2025,10,31),'2025数据'!$AG$3:$AG$181,$E1947))</f>
        <v>0</v>
      </c>
      <c r="P1947" s="207">
        <f ca="1">IF($S$1&lt;DATE(2025,11,1)," ",COUNTIFS('2025数据'!$AB$3:$AB$181,"&gt;="&amp;DATE(2025,11,1),'2025数据'!$AB$3:$AB$181,"&lt;="&amp;DATE(2025,11,30),'2025数据'!$AG$3:$AG$181,$E1947))</f>
        <v>0</v>
      </c>
      <c r="Q1947" s="207">
        <f ca="1">IF($S$1&lt;DATE(2025,12,1)," ",COUNTIFS('2025数据'!$AB$3:$AB$181,"&gt;="&amp;DATE(2025,12,1),'2025数据'!$AB$3:$AB$181,"&lt;="&amp;DATE(2025,12,31),'2025数据'!$AG$3:$AG$181,$E1947))</f>
        <v>0</v>
      </c>
    </row>
    <row r="1948" ht="24" customHeight="1" spans="1:17">
      <c r="A1948" s="99" t="s">
        <v>350</v>
      </c>
      <c r="B1948" s="99" t="s">
        <v>299</v>
      </c>
      <c r="C1948" s="99" t="s">
        <v>291</v>
      </c>
      <c r="D1948" s="48" t="s">
        <v>298</v>
      </c>
      <c r="E1948" s="48" t="s">
        <v>83</v>
      </c>
      <c r="F1948" s="205">
        <f ca="1">IF($S$1&lt;DATE(2025,1,1)," ",COUNTIFS('2025数据'!$AB$3:$AB$181,"&gt;="&amp;DATE(2024,1,1),'2025数据'!$AB$3:$AB$181,"&lt;="&amp;DATE(2025,1,31),'2025数据'!$AG$3:$AG$181,$E1948))</f>
        <v>1</v>
      </c>
      <c r="G1948" s="205">
        <f ca="1">IF($S$1&lt;DATE(2025,2,1)," ",COUNTIFS('2025数据'!$AB$3:$AB$181,"&gt;="&amp;DATE(2025,2,1),'2025数据'!$AB$3:$AB$181,"&lt;="&amp;DATE(2025,2,28),'2025数据'!$AG$3:$AG$181,$E1948))</f>
        <v>0</v>
      </c>
      <c r="H1948" s="205">
        <f ca="1">IF($S$1&lt;DATE(2025,3,1)," ",COUNTIFS('2025数据'!$AB$3:$AB$181,"&gt;="&amp;DATE(2025,3,1),'2025数据'!$AB$3:$AB$181,"&lt;="&amp;DATE(2025,3,31),'2025数据'!$AG$3:$AG$181,$E1948))</f>
        <v>0</v>
      </c>
      <c r="I1948" s="205">
        <f ca="1">IF($S$1&lt;DATE(2025,4,1)," ",COUNTIFS('2025数据'!$AB$3:$AB$181,"&gt;="&amp;DATE(2025,4,1),'2025数据'!$AB$3:$AB$181,"&lt;="&amp;DATE(2025,4,30),'2025数据'!$AG$3:$AG$181,$E1948))</f>
        <v>1</v>
      </c>
      <c r="J1948" s="205">
        <f ca="1">IF($S$1&lt;DATE(2025,5,1)," ",COUNTIFS('2025数据'!$AB$3:$AB$181,"&gt;="&amp;DATE(2025,5,1),'2025数据'!$AB$3:$AB$181,"&lt;="&amp;DATE(2025,5,31),'2025数据'!$AG$3:$AG$181,$E1948))</f>
        <v>0</v>
      </c>
      <c r="K1948" s="205">
        <f ca="1">IF($S$1&lt;DATE(2025,6,1)," ",COUNTIFS('2025数据'!$AB$3:$AB$181,"&gt;="&amp;DATE(2025,6,1),'2025数据'!$AB$3:$AB$181,"&lt;="&amp;DATE(2025,6,30),'2025数据'!$AG$3:$AG$181,$E1948))</f>
        <v>0</v>
      </c>
      <c r="L1948" s="205">
        <f ca="1">IF($S$1&lt;DATE(2025,7,1)," ",COUNTIFS('2025数据'!$AB$3:$AB$181,"&gt;="&amp;DATE(2025,7,1),'2025数据'!$AB$3:$AB$181,"&lt;="&amp;DATE(2025,7,31),'2025数据'!$AG$3:$AG$181,$E1948))</f>
        <v>0</v>
      </c>
      <c r="M1948" s="205">
        <f ca="1">IF($S$1&lt;DATE(2025,8,1)," ",COUNTIFS('2025数据'!$AB$3:$AB$181,"&gt;="&amp;DATE(2025,8,1),'2025数据'!$AB$3:$AB$181,"&lt;="&amp;DATE(2025,8,31),'2025数据'!$AG$3:$AG$181,$E1948))</f>
        <v>0</v>
      </c>
      <c r="N1948" s="205">
        <f ca="1">IF($S$1&lt;DATE(2025,9,1)," ",COUNTIFS('2025数据'!$AB$3:$AB$181,"&gt;="&amp;DATE(2025,9,1),'2025数据'!$AB$3:$AB$181,"&lt;="&amp;DATE(2025,9,30),'2025数据'!$AG$3:$AG$181,$E1948))</f>
        <v>0</v>
      </c>
      <c r="O1948" s="205">
        <f ca="1">IF($S$1&lt;DATE(2025,10,1)," ",COUNTIFS('2025数据'!$AB$3:$AB$181,"&gt;="&amp;DATE(2025,10,1),'2025数据'!$AB$3:$AB$181,"&lt;="&amp;DATE(2025,10,31),'2025数据'!$AG$3:$AG$181,$E1948))</f>
        <v>2</v>
      </c>
      <c r="P1948" s="207">
        <f ca="1">IF($S$1&lt;DATE(2025,11,1)," ",COUNTIFS('2025数据'!$AB$3:$AB$181,"&gt;="&amp;DATE(2025,11,1),'2025数据'!$AB$3:$AB$181,"&lt;="&amp;DATE(2025,11,30),'2025数据'!$AG$3:$AG$181,$E1948))</f>
        <v>0</v>
      </c>
      <c r="Q1948" s="207">
        <f ca="1">IF($S$1&lt;DATE(2025,12,1)," ",COUNTIFS('2025数据'!$AB$3:$AB$181,"&gt;="&amp;DATE(2025,12,1),'2025数据'!$AB$3:$AB$181,"&lt;="&amp;DATE(2025,12,31),'2025数据'!$AG$3:$AG$181,$E1948))</f>
        <v>0</v>
      </c>
    </row>
    <row r="1949" ht="24" customHeight="1" spans="1:17">
      <c r="A1949" s="99" t="s">
        <v>350</v>
      </c>
      <c r="B1949" s="99" t="s">
        <v>308</v>
      </c>
      <c r="C1949" s="99" t="s">
        <v>309</v>
      </c>
      <c r="D1949" s="100" t="s">
        <v>292</v>
      </c>
      <c r="E1949" s="211" t="s">
        <v>310</v>
      </c>
      <c r="F1949" s="204">
        <f ca="1">IF($S$1&lt;DATE(2025,1,1)," ",SUM(F1950:F1956))</f>
        <v>0</v>
      </c>
      <c r="G1949" s="204">
        <f ca="1">IF($S$1&lt;DATE(2025,2,1)," ",SUM(G1950:G1956))</f>
        <v>2</v>
      </c>
      <c r="H1949" s="204">
        <f ca="1">IF($S$1&lt;DATE(2025,3,1)," ",SUM(H1950:H1956))</f>
        <v>0</v>
      </c>
      <c r="I1949" s="204">
        <f ca="1">IF($S$1&lt;DATE(2025,4,1)," ",SUM(I1950:I1956))</f>
        <v>0</v>
      </c>
      <c r="J1949" s="204">
        <f ca="1">IF($S$1&lt;DATE(2025,5,1)," ",SUM(J1950:J1956))</f>
        <v>1</v>
      </c>
      <c r="K1949" s="204">
        <f ca="1">IF($S$1&lt;DATE(2025,6,1)," ",SUM(K1950:K1956))</f>
        <v>0</v>
      </c>
      <c r="L1949" s="204">
        <f ca="1">IF($S$1&lt;DATE(2025,7,1)," ",SUM(L1950:L1956))</f>
        <v>0</v>
      </c>
      <c r="M1949" s="204">
        <f ca="1">IF($S$1&lt;DATE(2025,8,1)," ",SUM(M1950:M1956))</f>
        <v>0</v>
      </c>
      <c r="N1949" s="204">
        <f ca="1">IF($S$1&lt;DATE(2025,9,1)," ",SUM(N1950:N1956))</f>
        <v>4</v>
      </c>
      <c r="O1949" s="204">
        <f ca="1">IF($S$1&lt;DATE(2025,10,1)," ",SUM(O1950:O1956))</f>
        <v>2</v>
      </c>
      <c r="P1949" s="204">
        <f ca="1">IF($S$1&lt;DATE(2025,11,1)," ",SUM(P1950:P1956))</f>
        <v>2</v>
      </c>
      <c r="Q1949" s="204">
        <f ca="1">IF($S$1&lt;DATE(2025,12,1)," ",SUM(Q1950:Q1956))</f>
        <v>3</v>
      </c>
    </row>
    <row r="1950" ht="24" customHeight="1" spans="1:17">
      <c r="A1950" s="99" t="s">
        <v>350</v>
      </c>
      <c r="B1950" s="99" t="s">
        <v>308</v>
      </c>
      <c r="C1950" s="99" t="s">
        <v>309</v>
      </c>
      <c r="D1950" s="48" t="s">
        <v>31</v>
      </c>
      <c r="E1950" s="48" t="s">
        <v>90</v>
      </c>
      <c r="F1950" s="205">
        <f ca="1" t="shared" ref="F1950:F1954" si="1769">IF($S$1&lt;DATE(2025,1,1)," ",F1986-F2008)</f>
        <v>0</v>
      </c>
      <c r="G1950" s="205">
        <f ca="1" t="shared" ref="G1950:G1954" si="1770">IF($S$1&lt;DATE(2025,2,1)," ",G1986-G2008)</f>
        <v>0</v>
      </c>
      <c r="H1950" s="205">
        <f ca="1" t="shared" ref="H1950:H1954" si="1771">IF($S$1&lt;DATE(2025,3,1)," ",H1986-H2008)</f>
        <v>0</v>
      </c>
      <c r="I1950" s="205">
        <f ca="1" t="shared" ref="I1950:I1954" si="1772">IF($S$1&lt;DATE(2025,4,1)," ",I1986-I2008)</f>
        <v>0</v>
      </c>
      <c r="J1950" s="205">
        <f ca="1" t="shared" ref="J1950:J1954" si="1773">IF($S$1&lt;DATE(2025,5,1)," ",J1986-J2008)</f>
        <v>0</v>
      </c>
      <c r="K1950" s="205">
        <f ca="1" t="shared" ref="K1950:K1954" si="1774">IF($S$1&lt;DATE(2025,6,1)," ",K1986-K2008)</f>
        <v>0</v>
      </c>
      <c r="L1950" s="205">
        <f ca="1" t="shared" ref="L1950:L1954" si="1775">IF($S$1&lt;DATE(2025,7,1)," ",L1986-L2008)</f>
        <v>0</v>
      </c>
      <c r="M1950" s="205">
        <f ca="1" t="shared" ref="M1950:M1954" si="1776">IF($S$1&lt;DATE(2025,8,1)," ",M1986-M2008)</f>
        <v>0</v>
      </c>
      <c r="N1950" s="205">
        <f ca="1" t="shared" ref="N1950:N1954" si="1777">IF($S$1&lt;DATE(2025,9,1)," ",N1986-N2008)</f>
        <v>1</v>
      </c>
      <c r="O1950" s="205">
        <f ca="1" t="shared" ref="O1950:O1954" si="1778">IF($S$1&lt;DATE(2025,10,1)," ",O1986-O2008)</f>
        <v>0</v>
      </c>
      <c r="P1950" s="205">
        <f ca="1" t="shared" ref="P1950:P1954" si="1779">IF($S$1&lt;DATE(2025,11,1)," ",P1986-P2008)</f>
        <v>0</v>
      </c>
      <c r="Q1950" s="205">
        <f ca="1" t="shared" ref="Q1950:Q1954" si="1780">IF($S$1&lt;DATE(2025,12,1)," ",Q1986-Q2008)</f>
        <v>0</v>
      </c>
    </row>
    <row r="1951" ht="24" customHeight="1" spans="1:17">
      <c r="A1951" s="99" t="s">
        <v>350</v>
      </c>
      <c r="B1951" s="99" t="s">
        <v>308</v>
      </c>
      <c r="C1951" s="99" t="s">
        <v>309</v>
      </c>
      <c r="D1951" s="48" t="s">
        <v>31</v>
      </c>
      <c r="E1951" s="48" t="s">
        <v>82</v>
      </c>
      <c r="F1951" s="205">
        <f ca="1" t="shared" si="1769"/>
        <v>0</v>
      </c>
      <c r="G1951" s="205">
        <f ca="1" t="shared" si="1770"/>
        <v>0</v>
      </c>
      <c r="H1951" s="205">
        <f ca="1" t="shared" si="1771"/>
        <v>0</v>
      </c>
      <c r="I1951" s="205">
        <f ca="1" t="shared" si="1772"/>
        <v>0</v>
      </c>
      <c r="J1951" s="205">
        <f ca="1" t="shared" si="1773"/>
        <v>0</v>
      </c>
      <c r="K1951" s="205">
        <f ca="1" t="shared" si="1774"/>
        <v>0</v>
      </c>
      <c r="L1951" s="205">
        <f ca="1" t="shared" si="1775"/>
        <v>0</v>
      </c>
      <c r="M1951" s="205">
        <f ca="1" t="shared" si="1776"/>
        <v>0</v>
      </c>
      <c r="N1951" s="205">
        <f ca="1" t="shared" si="1777"/>
        <v>1</v>
      </c>
      <c r="O1951" s="205">
        <f ca="1" t="shared" si="1778"/>
        <v>1</v>
      </c>
      <c r="P1951" s="205">
        <f ca="1" t="shared" si="1779"/>
        <v>2</v>
      </c>
      <c r="Q1951" s="205">
        <f ca="1" t="shared" si="1780"/>
        <v>2</v>
      </c>
    </row>
    <row r="1952" ht="24" customHeight="1" spans="1:17">
      <c r="A1952" s="99" t="s">
        <v>350</v>
      </c>
      <c r="B1952" s="99" t="s">
        <v>308</v>
      </c>
      <c r="C1952" s="99" t="s">
        <v>309</v>
      </c>
      <c r="D1952" s="48" t="s">
        <v>31</v>
      </c>
      <c r="E1952" s="48" t="s">
        <v>86</v>
      </c>
      <c r="F1952" s="205">
        <f ca="1" t="shared" si="1769"/>
        <v>0</v>
      </c>
      <c r="G1952" s="205">
        <f ca="1" t="shared" si="1770"/>
        <v>0</v>
      </c>
      <c r="H1952" s="205">
        <f ca="1" t="shared" si="1771"/>
        <v>0</v>
      </c>
      <c r="I1952" s="205">
        <f ca="1" t="shared" si="1772"/>
        <v>0</v>
      </c>
      <c r="J1952" s="205">
        <f ca="1" t="shared" si="1773"/>
        <v>0</v>
      </c>
      <c r="K1952" s="205">
        <f ca="1" t="shared" si="1774"/>
        <v>0</v>
      </c>
      <c r="L1952" s="205">
        <f ca="1" t="shared" si="1775"/>
        <v>0</v>
      </c>
      <c r="M1952" s="205">
        <f ca="1" t="shared" si="1776"/>
        <v>0</v>
      </c>
      <c r="N1952" s="205">
        <f ca="1" t="shared" si="1777"/>
        <v>0</v>
      </c>
      <c r="O1952" s="205">
        <f ca="1" t="shared" si="1778"/>
        <v>0</v>
      </c>
      <c r="P1952" s="205">
        <f ca="1" t="shared" si="1779"/>
        <v>0</v>
      </c>
      <c r="Q1952" s="205">
        <f ca="1" t="shared" si="1780"/>
        <v>0</v>
      </c>
    </row>
    <row r="1953" ht="24" customHeight="1" spans="1:17">
      <c r="A1953" s="99" t="s">
        <v>350</v>
      </c>
      <c r="B1953" s="99" t="s">
        <v>308</v>
      </c>
      <c r="C1953" s="99" t="s">
        <v>309</v>
      </c>
      <c r="D1953" s="48" t="s">
        <v>31</v>
      </c>
      <c r="E1953" s="48" t="s">
        <v>97</v>
      </c>
      <c r="F1953" s="205">
        <f ca="1" t="shared" si="1769"/>
        <v>0</v>
      </c>
      <c r="G1953" s="205">
        <f ca="1" t="shared" si="1770"/>
        <v>2</v>
      </c>
      <c r="H1953" s="205">
        <f ca="1" t="shared" si="1771"/>
        <v>0</v>
      </c>
      <c r="I1953" s="205">
        <f ca="1" t="shared" si="1772"/>
        <v>0</v>
      </c>
      <c r="J1953" s="205">
        <f ca="1" t="shared" si="1773"/>
        <v>1</v>
      </c>
      <c r="K1953" s="205">
        <f ca="1" t="shared" si="1774"/>
        <v>0</v>
      </c>
      <c r="L1953" s="205">
        <f ca="1" t="shared" si="1775"/>
        <v>0</v>
      </c>
      <c r="M1953" s="205">
        <f ca="1" t="shared" si="1776"/>
        <v>0</v>
      </c>
      <c r="N1953" s="205">
        <f ca="1" t="shared" si="1777"/>
        <v>0</v>
      </c>
      <c r="O1953" s="205">
        <f ca="1" t="shared" si="1778"/>
        <v>1</v>
      </c>
      <c r="P1953" s="205">
        <f ca="1" t="shared" si="1779"/>
        <v>0</v>
      </c>
      <c r="Q1953" s="205">
        <f ca="1" t="shared" si="1780"/>
        <v>0</v>
      </c>
    </row>
    <row r="1954" ht="24" customHeight="1" spans="1:17">
      <c r="A1954" s="99" t="s">
        <v>350</v>
      </c>
      <c r="B1954" s="99" t="s">
        <v>308</v>
      </c>
      <c r="C1954" s="99" t="s">
        <v>309</v>
      </c>
      <c r="D1954" s="48" t="s">
        <v>31</v>
      </c>
      <c r="E1954" s="48" t="s">
        <v>87</v>
      </c>
      <c r="F1954" s="205">
        <f ca="1" t="shared" si="1769"/>
        <v>0</v>
      </c>
      <c r="G1954" s="205">
        <f ca="1" t="shared" si="1770"/>
        <v>0</v>
      </c>
      <c r="H1954" s="205">
        <f ca="1" t="shared" si="1771"/>
        <v>0</v>
      </c>
      <c r="I1954" s="205">
        <f ca="1" t="shared" si="1772"/>
        <v>0</v>
      </c>
      <c r="J1954" s="205">
        <f ca="1" t="shared" si="1773"/>
        <v>0</v>
      </c>
      <c r="K1954" s="205">
        <f ca="1" t="shared" si="1774"/>
        <v>0</v>
      </c>
      <c r="L1954" s="205">
        <f ca="1" t="shared" si="1775"/>
        <v>0</v>
      </c>
      <c r="M1954" s="205">
        <f ca="1" t="shared" si="1776"/>
        <v>0</v>
      </c>
      <c r="N1954" s="205">
        <f ca="1" t="shared" si="1777"/>
        <v>0</v>
      </c>
      <c r="O1954" s="205">
        <f ca="1" t="shared" si="1778"/>
        <v>0</v>
      </c>
      <c r="P1954" s="205">
        <f ca="1" t="shared" si="1779"/>
        <v>0</v>
      </c>
      <c r="Q1954" s="205">
        <f ca="1" t="shared" si="1780"/>
        <v>0</v>
      </c>
    </row>
    <row r="1955" ht="24" customHeight="1" spans="1:17">
      <c r="A1955" s="99" t="s">
        <v>350</v>
      </c>
      <c r="B1955" s="99" t="s">
        <v>308</v>
      </c>
      <c r="C1955" s="99" t="s">
        <v>309</v>
      </c>
      <c r="D1955" s="48" t="s">
        <v>31</v>
      </c>
      <c r="E1955" s="108" t="s">
        <v>149</v>
      </c>
      <c r="F1955" s="205">
        <f ca="1">IF($S$1&lt;DATE(2025,1,1)," ",F1990-F2012)</f>
        <v>0</v>
      </c>
      <c r="G1955" s="205">
        <f ca="1">IF($S$1&lt;DATE(2025,2,1)," ",G1990-G2012)</f>
        <v>0</v>
      </c>
      <c r="H1955" s="205">
        <f ca="1">IF($S$1&lt;DATE(2025,3,1)," ",H1990-H2012)</f>
        <v>0</v>
      </c>
      <c r="I1955" s="205">
        <f ca="1">IF($S$1&lt;DATE(2025,4,1)," ",I1990-I2012)</f>
        <v>0</v>
      </c>
      <c r="J1955" s="205">
        <f ca="1">IF($S$1&lt;DATE(2025,5,1)," ",J1990-J2012)</f>
        <v>0</v>
      </c>
      <c r="K1955" s="205">
        <f ca="1">IF($S$1&lt;DATE(2025,6,1)," ",K1990-K2012)</f>
        <v>0</v>
      </c>
      <c r="L1955" s="205">
        <f ca="1">IF($S$1&lt;DATE(2025,7,1)," ",L1990-L2012)</f>
        <v>0</v>
      </c>
      <c r="M1955" s="205">
        <f ca="1">IF($S$1&lt;DATE(2025,8,1)," ",M1990-M2012)</f>
        <v>0</v>
      </c>
      <c r="N1955" s="205">
        <f ca="1">IF($S$1&lt;DATE(2025,9,1)," ",N1990-N2012)</f>
        <v>0</v>
      </c>
      <c r="O1955" s="205">
        <f ca="1">IF($S$1&lt;DATE(2025,10,1)," ",O1990-O2012)</f>
        <v>0</v>
      </c>
      <c r="P1955" s="205">
        <f ca="1">IF($S$1&lt;DATE(2025,11,1)," ",P1990-P2012)</f>
        <v>0</v>
      </c>
      <c r="Q1955" s="205">
        <f ca="1">IF($S$1&lt;DATE(2025,12,1)," ",Q1990-Q2012)</f>
        <v>0</v>
      </c>
    </row>
    <row r="1956" ht="24" customHeight="1" spans="1:17">
      <c r="A1956" s="99" t="s">
        <v>350</v>
      </c>
      <c r="B1956" s="99" t="s">
        <v>308</v>
      </c>
      <c r="C1956" s="99" t="s">
        <v>309</v>
      </c>
      <c r="D1956" s="48" t="s">
        <v>31</v>
      </c>
      <c r="E1956" s="48" t="s">
        <v>83</v>
      </c>
      <c r="F1956" s="205">
        <f ca="1">IF($S$1&lt;DATE(2025,1,1)," ",F1992-F2014)</f>
        <v>0</v>
      </c>
      <c r="G1956" s="205">
        <f ca="1">IF($S$1&lt;DATE(2025,2,1)," ",G1992-G2014)</f>
        <v>0</v>
      </c>
      <c r="H1956" s="205">
        <f ca="1">IF($S$1&lt;DATE(2025,3,1)," ",H1992-H2014)</f>
        <v>0</v>
      </c>
      <c r="I1956" s="205">
        <f ca="1">IF($S$1&lt;DATE(2025,4,1)," ",I1992-I2014)</f>
        <v>0</v>
      </c>
      <c r="J1956" s="205">
        <f ca="1">IF($S$1&lt;DATE(2025,5,1)," ",J1992-J2014)</f>
        <v>0</v>
      </c>
      <c r="K1956" s="205">
        <f ca="1">IF($S$1&lt;DATE(2025,6,1)," ",K1992-K2014)</f>
        <v>0</v>
      </c>
      <c r="L1956" s="205">
        <f ca="1">IF($S$1&lt;DATE(2025,7,1)," ",L1992-L2014)</f>
        <v>0</v>
      </c>
      <c r="M1956" s="205">
        <f ca="1">IF($S$1&lt;DATE(2025,8,1)," ",M1992-M2014)</f>
        <v>0</v>
      </c>
      <c r="N1956" s="205">
        <f ca="1">IF($S$1&lt;DATE(2025,9,1)," ",N1992-N2014)</f>
        <v>2</v>
      </c>
      <c r="O1956" s="205">
        <f ca="1">IF($S$1&lt;DATE(2025,10,1)," ",O1992-O2014)</f>
        <v>0</v>
      </c>
      <c r="P1956" s="205">
        <f ca="1">IF($S$1&lt;DATE(2025,11,1)," ",P1992-P2014)</f>
        <v>0</v>
      </c>
      <c r="Q1956" s="205">
        <f ca="1">IF($S$1&lt;DATE(2025,12,1)," ",Q1992-Q2014)</f>
        <v>1</v>
      </c>
    </row>
    <row r="1957" ht="24" customHeight="1" spans="1:17">
      <c r="A1957" s="99" t="s">
        <v>350</v>
      </c>
      <c r="B1957" s="99" t="s">
        <v>308</v>
      </c>
      <c r="C1957" s="99" t="s">
        <v>309</v>
      </c>
      <c r="D1957" s="48" t="s">
        <v>311</v>
      </c>
      <c r="E1957" s="48" t="s">
        <v>90</v>
      </c>
      <c r="F1957" s="112" t="str">
        <f ca="1" t="shared" ref="F1957:Q1957" si="1781">IFERROR(F1950/F1949," ")</f>
        <v> </v>
      </c>
      <c r="G1957" s="112">
        <f ca="1" t="shared" si="1781"/>
        <v>0</v>
      </c>
      <c r="H1957" s="112" t="str">
        <f ca="1" t="shared" si="1781"/>
        <v> </v>
      </c>
      <c r="I1957" s="112" t="str">
        <f ca="1" t="shared" si="1781"/>
        <v> </v>
      </c>
      <c r="J1957" s="112">
        <f ca="1" t="shared" si="1781"/>
        <v>0</v>
      </c>
      <c r="K1957" s="112" t="str">
        <f ca="1" t="shared" si="1781"/>
        <v> </v>
      </c>
      <c r="L1957" s="112" t="str">
        <f ca="1" t="shared" si="1781"/>
        <v> </v>
      </c>
      <c r="M1957" s="112" t="str">
        <f ca="1" t="shared" si="1781"/>
        <v> </v>
      </c>
      <c r="N1957" s="112">
        <f ca="1" t="shared" si="1781"/>
        <v>0.25</v>
      </c>
      <c r="O1957" s="112">
        <f ca="1" t="shared" si="1781"/>
        <v>0</v>
      </c>
      <c r="P1957" s="112">
        <f ca="1" t="shared" si="1781"/>
        <v>0</v>
      </c>
      <c r="Q1957" s="112">
        <f ca="1" t="shared" si="1781"/>
        <v>0</v>
      </c>
    </row>
    <row r="1958" ht="24" customHeight="1" spans="1:17">
      <c r="A1958" s="99" t="s">
        <v>350</v>
      </c>
      <c r="B1958" s="99" t="s">
        <v>308</v>
      </c>
      <c r="C1958" s="99" t="s">
        <v>309</v>
      </c>
      <c r="D1958" s="48" t="s">
        <v>311</v>
      </c>
      <c r="E1958" s="48" t="s">
        <v>82</v>
      </c>
      <c r="F1958" s="112" t="str">
        <f ca="1" t="shared" ref="F1958:Q1958" si="1782">IFERROR(F1951/F1949," ")</f>
        <v> </v>
      </c>
      <c r="G1958" s="112">
        <f ca="1" t="shared" si="1782"/>
        <v>0</v>
      </c>
      <c r="H1958" s="112" t="str">
        <f ca="1" t="shared" si="1782"/>
        <v> </v>
      </c>
      <c r="I1958" s="112" t="str">
        <f ca="1" t="shared" si="1782"/>
        <v> </v>
      </c>
      <c r="J1958" s="112">
        <f ca="1" t="shared" si="1782"/>
        <v>0</v>
      </c>
      <c r="K1958" s="112" t="str">
        <f ca="1" t="shared" si="1782"/>
        <v> </v>
      </c>
      <c r="L1958" s="112" t="str">
        <f ca="1" t="shared" si="1782"/>
        <v> </v>
      </c>
      <c r="M1958" s="112" t="str">
        <f ca="1" t="shared" si="1782"/>
        <v> </v>
      </c>
      <c r="N1958" s="112">
        <f ca="1" t="shared" si="1782"/>
        <v>0.25</v>
      </c>
      <c r="O1958" s="112">
        <f ca="1" t="shared" si="1782"/>
        <v>0.5</v>
      </c>
      <c r="P1958" s="112">
        <f ca="1" t="shared" si="1782"/>
        <v>1</v>
      </c>
      <c r="Q1958" s="112">
        <f ca="1" t="shared" si="1782"/>
        <v>0.666666666666667</v>
      </c>
    </row>
    <row r="1959" ht="24" customHeight="1" spans="1:17">
      <c r="A1959" s="99" t="s">
        <v>350</v>
      </c>
      <c r="B1959" s="99" t="s">
        <v>308</v>
      </c>
      <c r="C1959" s="99" t="s">
        <v>309</v>
      </c>
      <c r="D1959" s="48" t="s">
        <v>311</v>
      </c>
      <c r="E1959" s="48" t="s">
        <v>86</v>
      </c>
      <c r="F1959" s="112" t="str">
        <f ca="1" t="shared" ref="F1959:Q1959" si="1783">IFERROR(F1952/F1949," ")</f>
        <v> </v>
      </c>
      <c r="G1959" s="112">
        <f ca="1" t="shared" si="1783"/>
        <v>0</v>
      </c>
      <c r="H1959" s="112" t="str">
        <f ca="1" t="shared" si="1783"/>
        <v> </v>
      </c>
      <c r="I1959" s="112" t="str">
        <f ca="1" t="shared" si="1783"/>
        <v> </v>
      </c>
      <c r="J1959" s="112">
        <f ca="1" t="shared" si="1783"/>
        <v>0</v>
      </c>
      <c r="K1959" s="112" t="str">
        <f ca="1" t="shared" si="1783"/>
        <v> </v>
      </c>
      <c r="L1959" s="112" t="str">
        <f ca="1" t="shared" si="1783"/>
        <v> </v>
      </c>
      <c r="M1959" s="112" t="str">
        <f ca="1" t="shared" si="1783"/>
        <v> </v>
      </c>
      <c r="N1959" s="112">
        <f ca="1" t="shared" si="1783"/>
        <v>0</v>
      </c>
      <c r="O1959" s="112">
        <f ca="1" t="shared" si="1783"/>
        <v>0</v>
      </c>
      <c r="P1959" s="112">
        <f ca="1" t="shared" si="1783"/>
        <v>0</v>
      </c>
      <c r="Q1959" s="112">
        <f ca="1" t="shared" si="1783"/>
        <v>0</v>
      </c>
    </row>
    <row r="1960" ht="24" customHeight="1" spans="1:17">
      <c r="A1960" s="99" t="s">
        <v>350</v>
      </c>
      <c r="B1960" s="99" t="s">
        <v>308</v>
      </c>
      <c r="C1960" s="99" t="s">
        <v>309</v>
      </c>
      <c r="D1960" s="48" t="s">
        <v>311</v>
      </c>
      <c r="E1960" s="48" t="s">
        <v>97</v>
      </c>
      <c r="F1960" s="112" t="str">
        <f ca="1" t="shared" ref="F1960:Q1960" si="1784">IFERROR(F1953/F1949," ")</f>
        <v> </v>
      </c>
      <c r="G1960" s="112">
        <f ca="1" t="shared" si="1784"/>
        <v>1</v>
      </c>
      <c r="H1960" s="112" t="str">
        <f ca="1" t="shared" si="1784"/>
        <v> </v>
      </c>
      <c r="I1960" s="112" t="str">
        <f ca="1" t="shared" si="1784"/>
        <v> </v>
      </c>
      <c r="J1960" s="112">
        <f ca="1" t="shared" si="1784"/>
        <v>1</v>
      </c>
      <c r="K1960" s="112" t="str">
        <f ca="1" t="shared" si="1784"/>
        <v> </v>
      </c>
      <c r="L1960" s="112" t="str">
        <f ca="1" t="shared" si="1784"/>
        <v> </v>
      </c>
      <c r="M1960" s="112" t="str">
        <f ca="1" t="shared" si="1784"/>
        <v> </v>
      </c>
      <c r="N1960" s="112">
        <f ca="1" t="shared" si="1784"/>
        <v>0</v>
      </c>
      <c r="O1960" s="112">
        <f ca="1" t="shared" si="1784"/>
        <v>0.5</v>
      </c>
      <c r="P1960" s="112">
        <f ca="1" t="shared" si="1784"/>
        <v>0</v>
      </c>
      <c r="Q1960" s="112">
        <f ca="1" t="shared" si="1784"/>
        <v>0</v>
      </c>
    </row>
    <row r="1961" ht="24" customHeight="1" spans="1:17">
      <c r="A1961" s="99" t="s">
        <v>350</v>
      </c>
      <c r="B1961" s="99" t="s">
        <v>308</v>
      </c>
      <c r="C1961" s="99" t="s">
        <v>309</v>
      </c>
      <c r="D1961" s="48" t="s">
        <v>311</v>
      </c>
      <c r="E1961" s="48" t="s">
        <v>87</v>
      </c>
      <c r="F1961" s="112" t="str">
        <f ca="1" t="shared" ref="F1961:Q1961" si="1785">IFERROR(F1954/F1949," ")</f>
        <v> </v>
      </c>
      <c r="G1961" s="112">
        <f ca="1" t="shared" si="1785"/>
        <v>0</v>
      </c>
      <c r="H1961" s="112" t="str">
        <f ca="1" t="shared" si="1785"/>
        <v> </v>
      </c>
      <c r="I1961" s="112" t="str">
        <f ca="1" t="shared" si="1785"/>
        <v> </v>
      </c>
      <c r="J1961" s="112">
        <f ca="1" t="shared" si="1785"/>
        <v>0</v>
      </c>
      <c r="K1961" s="112" t="str">
        <f ca="1" t="shared" si="1785"/>
        <v> </v>
      </c>
      <c r="L1961" s="112" t="str">
        <f ca="1" t="shared" si="1785"/>
        <v> </v>
      </c>
      <c r="M1961" s="112" t="str">
        <f ca="1" t="shared" si="1785"/>
        <v> </v>
      </c>
      <c r="N1961" s="112">
        <f ca="1" t="shared" si="1785"/>
        <v>0</v>
      </c>
      <c r="O1961" s="112">
        <f ca="1" t="shared" si="1785"/>
        <v>0</v>
      </c>
      <c r="P1961" s="112">
        <f ca="1" t="shared" si="1785"/>
        <v>0</v>
      </c>
      <c r="Q1961" s="112">
        <f ca="1" t="shared" si="1785"/>
        <v>0</v>
      </c>
    </row>
    <row r="1962" ht="24" customHeight="1" spans="1:17">
      <c r="A1962" s="99" t="s">
        <v>350</v>
      </c>
      <c r="B1962" s="99" t="s">
        <v>308</v>
      </c>
      <c r="C1962" s="99" t="s">
        <v>309</v>
      </c>
      <c r="D1962" s="48" t="s">
        <v>311</v>
      </c>
      <c r="E1962" s="108" t="s">
        <v>149</v>
      </c>
      <c r="F1962" s="112">
        <f ca="1" t="shared" ref="F1962:Q1962" si="1786">IFERROR(F1955/F1948," ")</f>
        <v>0</v>
      </c>
      <c r="G1962" s="112" t="str">
        <f ca="1" t="shared" si="1786"/>
        <v> </v>
      </c>
      <c r="H1962" s="112" t="str">
        <f ca="1" t="shared" si="1786"/>
        <v> </v>
      </c>
      <c r="I1962" s="112">
        <f ca="1" t="shared" si="1786"/>
        <v>0</v>
      </c>
      <c r="J1962" s="112" t="str">
        <f ca="1" t="shared" si="1786"/>
        <v> </v>
      </c>
      <c r="K1962" s="112" t="str">
        <f ca="1" t="shared" si="1786"/>
        <v> </v>
      </c>
      <c r="L1962" s="112" t="str">
        <f ca="1" t="shared" si="1786"/>
        <v> </v>
      </c>
      <c r="M1962" s="112" t="str">
        <f ca="1" t="shared" si="1786"/>
        <v> </v>
      </c>
      <c r="N1962" s="112" t="str">
        <f ca="1" t="shared" si="1786"/>
        <v> </v>
      </c>
      <c r="O1962" s="112">
        <f ca="1" t="shared" si="1786"/>
        <v>0</v>
      </c>
      <c r="P1962" s="112" t="str">
        <f ca="1" t="shared" si="1786"/>
        <v> </v>
      </c>
      <c r="Q1962" s="112" t="str">
        <f ca="1" t="shared" si="1786"/>
        <v> </v>
      </c>
    </row>
    <row r="1963" ht="24" customHeight="1" spans="1:17">
      <c r="A1963" s="99" t="s">
        <v>350</v>
      </c>
      <c r="B1963" s="99" t="s">
        <v>308</v>
      </c>
      <c r="C1963" s="99" t="s">
        <v>309</v>
      </c>
      <c r="D1963" s="48" t="s">
        <v>311</v>
      </c>
      <c r="E1963" s="48" t="s">
        <v>83</v>
      </c>
      <c r="F1963" s="112" t="str">
        <f ca="1" t="shared" ref="F1963:Q1963" si="1787">IFERROR(F1956/F1949," ")</f>
        <v> </v>
      </c>
      <c r="G1963" s="112">
        <f ca="1" t="shared" si="1787"/>
        <v>0</v>
      </c>
      <c r="H1963" s="112" t="str">
        <f ca="1" t="shared" si="1787"/>
        <v> </v>
      </c>
      <c r="I1963" s="112" t="str">
        <f ca="1" t="shared" si="1787"/>
        <v> </v>
      </c>
      <c r="J1963" s="112">
        <f ca="1" t="shared" si="1787"/>
        <v>0</v>
      </c>
      <c r="K1963" s="112" t="str">
        <f ca="1" t="shared" si="1787"/>
        <v> </v>
      </c>
      <c r="L1963" s="112" t="str">
        <f ca="1" t="shared" si="1787"/>
        <v> </v>
      </c>
      <c r="M1963" s="112" t="str">
        <f ca="1" t="shared" si="1787"/>
        <v> </v>
      </c>
      <c r="N1963" s="112">
        <f ca="1" t="shared" si="1787"/>
        <v>0.5</v>
      </c>
      <c r="O1963" s="112">
        <f ca="1" t="shared" si="1787"/>
        <v>0</v>
      </c>
      <c r="P1963" s="112">
        <f ca="1" t="shared" si="1787"/>
        <v>0</v>
      </c>
      <c r="Q1963" s="112">
        <f ca="1" t="shared" si="1787"/>
        <v>0.333333333333333</v>
      </c>
    </row>
    <row r="1964" ht="24" customHeight="1" spans="1:17">
      <c r="A1964" s="99" t="s">
        <v>350</v>
      </c>
      <c r="B1964" s="99" t="s">
        <v>308</v>
      </c>
      <c r="C1964" s="99" t="s">
        <v>309</v>
      </c>
      <c r="D1964" s="47" t="s">
        <v>294</v>
      </c>
      <c r="E1964" s="47" t="s">
        <v>93</v>
      </c>
      <c r="F1964" s="206">
        <f ca="1" t="shared" ref="F1964:F1968" si="1788">IF($S$1&lt;DATE(2025,1,1)," ",F1993-F2022)</f>
        <v>0</v>
      </c>
      <c r="G1964" s="206">
        <f ca="1" t="shared" ref="G1964:G1968" si="1789">IF($S$1&lt;DATE(2025,2,1)," ",G1993-G2022)</f>
        <v>2</v>
      </c>
      <c r="H1964" s="206">
        <f ca="1" t="shared" ref="H1964:H1968" si="1790">IF($S$1&lt;DATE(2025,3,1)," ",H1993-H2022)</f>
        <v>4</v>
      </c>
      <c r="I1964" s="206">
        <f ca="1" t="shared" ref="I1964:I1968" si="1791">IF($S$1&lt;DATE(2025,4,1)," ",I1993-I2022)</f>
        <v>5</v>
      </c>
      <c r="J1964" s="206">
        <f ca="1" t="shared" ref="J1964:J1968" si="1792">IF($S$1&lt;DATE(2025,5,1)," ",J1993-J2022)</f>
        <v>7</v>
      </c>
      <c r="K1964" s="206">
        <f ca="1" t="shared" ref="K1964:K1968" si="1793">IF($S$1&lt;DATE(2025,6,1)," ",K1993-K2022)</f>
        <v>6</v>
      </c>
      <c r="L1964" s="206">
        <f ca="1" t="shared" ref="L1964:L1968" si="1794">IF($S$1&lt;DATE(2025,7,1)," ",L1993-L2022)</f>
        <v>7</v>
      </c>
      <c r="M1964" s="206">
        <f ca="1" t="shared" ref="M1964:M1968" si="1795">IF($S$1&lt;DATE(2025,8,1)," ",M1993-M2022)</f>
        <v>7</v>
      </c>
      <c r="N1964" s="206">
        <f ca="1" t="shared" ref="N1964:N1968" si="1796">IF($S$1&lt;DATE(2025,9,1)," ",N1993-N2022)</f>
        <v>11</v>
      </c>
      <c r="O1964" s="206">
        <f ca="1" t="shared" ref="O1964:O1968" si="1797">IF($S$1&lt;DATE(2025,10,1)," ",O1993-O2022)</f>
        <v>10</v>
      </c>
      <c r="P1964" s="206">
        <f ca="1" t="shared" ref="P1964:P1968" si="1798">IF($S$1&lt;DATE(2025,11,1)," ",P1993-P2022)</f>
        <v>14</v>
      </c>
      <c r="Q1964" s="206">
        <f ca="1" t="shared" ref="Q1964:Q1968" si="1799">IF($S$1&lt;DATE(2025,12,1)," ",Q1993-Q2022)</f>
        <v>14</v>
      </c>
    </row>
    <row r="1965" ht="24" customHeight="1" spans="1:17">
      <c r="A1965" s="99" t="s">
        <v>350</v>
      </c>
      <c r="B1965" s="99" t="s">
        <v>308</v>
      </c>
      <c r="C1965" s="99" t="s">
        <v>309</v>
      </c>
      <c r="D1965" s="47" t="s">
        <v>294</v>
      </c>
      <c r="E1965" s="47" t="s">
        <v>85</v>
      </c>
      <c r="F1965" s="206">
        <f ca="1" t="shared" si="1788"/>
        <v>0</v>
      </c>
      <c r="G1965" s="206">
        <f ca="1" t="shared" si="1789"/>
        <v>1</v>
      </c>
      <c r="H1965" s="206">
        <f ca="1" t="shared" si="1790"/>
        <v>1</v>
      </c>
      <c r="I1965" s="206">
        <f ca="1" t="shared" si="1791"/>
        <v>1</v>
      </c>
      <c r="J1965" s="206">
        <f ca="1" t="shared" si="1792"/>
        <v>2</v>
      </c>
      <c r="K1965" s="206">
        <f ca="1" t="shared" si="1793"/>
        <v>2</v>
      </c>
      <c r="L1965" s="206">
        <f ca="1" t="shared" si="1794"/>
        <v>2</v>
      </c>
      <c r="M1965" s="206">
        <f ca="1" t="shared" si="1795"/>
        <v>2</v>
      </c>
      <c r="N1965" s="206">
        <f ca="1" t="shared" si="1796"/>
        <v>5</v>
      </c>
      <c r="O1965" s="206">
        <f ca="1" t="shared" si="1797"/>
        <v>4</v>
      </c>
      <c r="P1965" s="206">
        <f ca="1" t="shared" si="1798"/>
        <v>5</v>
      </c>
      <c r="Q1965" s="206">
        <f ca="1" t="shared" si="1799"/>
        <v>6</v>
      </c>
    </row>
    <row r="1966" ht="24" customHeight="1" spans="1:17">
      <c r="A1966" s="99" t="s">
        <v>350</v>
      </c>
      <c r="B1966" s="99" t="s">
        <v>308</v>
      </c>
      <c r="C1966" s="99" t="s">
        <v>309</v>
      </c>
      <c r="D1966" s="47" t="s">
        <v>294</v>
      </c>
      <c r="E1966" s="47" t="s">
        <v>81</v>
      </c>
      <c r="F1966" s="206">
        <f ca="1" t="shared" si="1788"/>
        <v>0</v>
      </c>
      <c r="G1966" s="206">
        <f ca="1" t="shared" si="1789"/>
        <v>0</v>
      </c>
      <c r="H1966" s="206">
        <f ca="1" t="shared" si="1790"/>
        <v>1</v>
      </c>
      <c r="I1966" s="206">
        <f ca="1" t="shared" si="1791"/>
        <v>1</v>
      </c>
      <c r="J1966" s="206">
        <f ca="1" t="shared" si="1792"/>
        <v>1</v>
      </c>
      <c r="K1966" s="206">
        <f ca="1" t="shared" si="1793"/>
        <v>2</v>
      </c>
      <c r="L1966" s="206">
        <f ca="1" t="shared" si="1794"/>
        <v>2</v>
      </c>
      <c r="M1966" s="206">
        <f ca="1" t="shared" si="1795"/>
        <v>3</v>
      </c>
      <c r="N1966" s="206">
        <f ca="1" t="shared" si="1796"/>
        <v>3</v>
      </c>
      <c r="O1966" s="206">
        <f ca="1" t="shared" si="1797"/>
        <v>3</v>
      </c>
      <c r="P1966" s="206">
        <f ca="1" t="shared" si="1798"/>
        <v>3</v>
      </c>
      <c r="Q1966" s="206">
        <f ca="1" t="shared" si="1799"/>
        <v>3</v>
      </c>
    </row>
    <row r="1967" ht="24" customHeight="1" spans="1:17">
      <c r="A1967" s="99" t="s">
        <v>350</v>
      </c>
      <c r="B1967" s="99" t="s">
        <v>308</v>
      </c>
      <c r="C1967" s="99" t="s">
        <v>309</v>
      </c>
      <c r="D1967" s="47" t="s">
        <v>294</v>
      </c>
      <c r="E1967" s="47" t="s">
        <v>96</v>
      </c>
      <c r="F1967" s="206">
        <f ca="1" t="shared" si="1788"/>
        <v>0</v>
      </c>
      <c r="G1967" s="206">
        <f ca="1" t="shared" si="1789"/>
        <v>1</v>
      </c>
      <c r="H1967" s="206">
        <f ca="1" t="shared" si="1790"/>
        <v>0</v>
      </c>
      <c r="I1967" s="206">
        <f ca="1" t="shared" si="1791"/>
        <v>1</v>
      </c>
      <c r="J1967" s="206">
        <f ca="1" t="shared" si="1792"/>
        <v>1</v>
      </c>
      <c r="K1967" s="206">
        <f ca="1" t="shared" si="1793"/>
        <v>1</v>
      </c>
      <c r="L1967" s="206">
        <f ca="1" t="shared" si="1794"/>
        <v>1</v>
      </c>
      <c r="M1967" s="206">
        <f ca="1" t="shared" si="1795"/>
        <v>1</v>
      </c>
      <c r="N1967" s="206">
        <f ca="1" t="shared" si="1796"/>
        <v>1</v>
      </c>
      <c r="O1967" s="206">
        <f ca="1" t="shared" si="1797"/>
        <v>1</v>
      </c>
      <c r="P1967" s="206">
        <f ca="1" t="shared" si="1798"/>
        <v>1</v>
      </c>
      <c r="Q1967" s="206">
        <f ca="1" t="shared" si="1799"/>
        <v>1</v>
      </c>
    </row>
    <row r="1968" ht="24" customHeight="1" spans="1:17">
      <c r="A1968" s="99" t="s">
        <v>350</v>
      </c>
      <c r="B1968" s="99" t="s">
        <v>308</v>
      </c>
      <c r="C1968" s="99" t="s">
        <v>309</v>
      </c>
      <c r="D1968" s="47" t="s">
        <v>294</v>
      </c>
      <c r="E1968" s="47" t="s">
        <v>160</v>
      </c>
      <c r="F1968" s="206">
        <f ca="1" t="shared" si="1788"/>
        <v>0</v>
      </c>
      <c r="G1968" s="206">
        <f ca="1" t="shared" si="1789"/>
        <v>0</v>
      </c>
      <c r="H1968" s="206">
        <f ca="1" t="shared" si="1790"/>
        <v>0</v>
      </c>
      <c r="I1968" s="206">
        <f ca="1" t="shared" si="1791"/>
        <v>0</v>
      </c>
      <c r="J1968" s="206">
        <f ca="1" t="shared" si="1792"/>
        <v>0</v>
      </c>
      <c r="K1968" s="206">
        <f ca="1" t="shared" si="1793"/>
        <v>0</v>
      </c>
      <c r="L1968" s="206">
        <f ca="1" t="shared" si="1794"/>
        <v>0</v>
      </c>
      <c r="M1968" s="206">
        <f ca="1" t="shared" si="1795"/>
        <v>0</v>
      </c>
      <c r="N1968" s="206">
        <f ca="1" t="shared" si="1796"/>
        <v>0</v>
      </c>
      <c r="O1968" s="206">
        <f ca="1" t="shared" si="1797"/>
        <v>0</v>
      </c>
      <c r="P1968" s="206">
        <f ca="1" t="shared" si="1798"/>
        <v>0</v>
      </c>
      <c r="Q1968" s="206">
        <f ca="1" t="shared" si="1799"/>
        <v>0</v>
      </c>
    </row>
    <row r="1969" ht="24" customHeight="1" spans="1:17">
      <c r="A1969" s="99" t="s">
        <v>350</v>
      </c>
      <c r="B1969" s="99" t="s">
        <v>308</v>
      </c>
      <c r="C1969" s="99" t="s">
        <v>309</v>
      </c>
      <c r="D1969" s="100" t="s">
        <v>292</v>
      </c>
      <c r="E1969" s="100" t="s">
        <v>312</v>
      </c>
      <c r="F1969" s="204">
        <f ca="1">IF($S$1&lt;DATE(2025,1,1)," ",SUM(F1970:F1972))</f>
        <v>0</v>
      </c>
      <c r="G1969" s="204">
        <f ca="1">IF($S$1&lt;DATE(2025,2,1)," ",SUM(G1970:G1972))</f>
        <v>0</v>
      </c>
      <c r="H1969" s="204">
        <f ca="1">IF($S$1&lt;DATE(2025,3,1)," ",SUM(H1970:H1972))</f>
        <v>0</v>
      </c>
      <c r="I1969" s="204">
        <f ca="1">IF($S$1&lt;DATE(2025,4,1)," ",SUM(I1970:I1972))</f>
        <v>0</v>
      </c>
      <c r="J1969" s="204">
        <f ca="1">IF($S$1&lt;DATE(2025,5,1)," ",SUM(J1970:J1972))</f>
        <v>1</v>
      </c>
      <c r="K1969" s="204">
        <f ca="1">IF($S$1&lt;DATE(2025,6,1)," ",SUM(K1970:K1972))</f>
        <v>0</v>
      </c>
      <c r="L1969" s="204">
        <f ca="1">IF($S$1&lt;DATE(2025,7,1)," ",SUM(L1970:L1972))</f>
        <v>0</v>
      </c>
      <c r="M1969" s="204">
        <f ca="1">IF($S$1&lt;DATE(2025,8,1)," ",SUM(M1970:M1972))</f>
        <v>0</v>
      </c>
      <c r="N1969" s="204">
        <f ca="1">IF($S$1&lt;DATE(2025,9,1)," ",SUM(N1970:N1972))</f>
        <v>3</v>
      </c>
      <c r="O1969" s="204">
        <f ca="1">IF($S$1&lt;DATE(2025,10,1)," ",SUM(O1970:O1972))</f>
        <v>1</v>
      </c>
      <c r="P1969" s="204">
        <f ca="1">IF($S$1&lt;DATE(2025,11,1)," ",SUM(P1970:P1972))</f>
        <v>2</v>
      </c>
      <c r="Q1969" s="204">
        <f ca="1">IF($S$1&lt;DATE(2025,12,1)," ",SUM(Q1970:Q1972))</f>
        <v>2</v>
      </c>
    </row>
    <row r="1970" ht="24" customHeight="1" spans="1:17">
      <c r="A1970" s="99" t="s">
        <v>350</v>
      </c>
      <c r="B1970" s="99" t="s">
        <v>308</v>
      </c>
      <c r="C1970" s="99" t="s">
        <v>309</v>
      </c>
      <c r="D1970" s="48" t="s">
        <v>296</v>
      </c>
      <c r="E1970" s="48" t="s">
        <v>90</v>
      </c>
      <c r="F1970" s="205">
        <f ca="1" t="shared" ref="F1970:F1972" si="1800">IF($S$1&lt;DATE(2025,1,1)," ",F1999-F2028)</f>
        <v>0</v>
      </c>
      <c r="G1970" s="205">
        <f ca="1" t="shared" ref="G1970:G1972" si="1801">IF($S$1&lt;DATE(2025,2,1)," ",G1999-G2028)</f>
        <v>0</v>
      </c>
      <c r="H1970" s="205">
        <f ca="1" t="shared" ref="H1970:H1972" si="1802">IF($S$1&lt;DATE(2025,3,1)," ",H1999-H2028)</f>
        <v>0</v>
      </c>
      <c r="I1970" s="205">
        <f ca="1" t="shared" ref="I1970:I1972" si="1803">IF($S$1&lt;DATE(2025,4,1)," ",I1999-I2028)</f>
        <v>0</v>
      </c>
      <c r="J1970" s="205">
        <f ca="1" t="shared" ref="J1970:J1972" si="1804">IF($S$1&lt;DATE(2025,5,1)," ",J1999-J2028)</f>
        <v>1</v>
      </c>
      <c r="K1970" s="205">
        <f ca="1" t="shared" ref="K1970:K1972" si="1805">IF($S$1&lt;DATE(2025,6,1)," ",K1999-K2028)</f>
        <v>0</v>
      </c>
      <c r="L1970" s="205">
        <f ca="1" t="shared" ref="L1970:L1972" si="1806">IF($S$1&lt;DATE(2025,7,1)," ",L1999-L2028)</f>
        <v>0</v>
      </c>
      <c r="M1970" s="205">
        <f ca="1" t="shared" ref="M1970:M1972" si="1807">IF($S$1&lt;DATE(2025,8,1)," ",M1999-M2028)</f>
        <v>0</v>
      </c>
      <c r="N1970" s="205">
        <f ca="1" t="shared" ref="N1970:N1972" si="1808">IF($S$1&lt;DATE(2025,9,1)," ",N1999-N2028)</f>
        <v>1</v>
      </c>
      <c r="O1970" s="205">
        <f ca="1" t="shared" ref="O1970:O1972" si="1809">IF($S$1&lt;DATE(2025,10,1)," ",O1999-O2028)</f>
        <v>0</v>
      </c>
      <c r="P1970" s="205">
        <f ca="1" t="shared" ref="P1970:P1972" si="1810">IF($S$1&lt;DATE(2025,11,1)," ",P1999-P2028)</f>
        <v>0</v>
      </c>
      <c r="Q1970" s="205">
        <f ca="1" t="shared" ref="Q1970:Q1972" si="1811">IF($S$1&lt;DATE(2025,12,1)," ",Q1999-Q2028)</f>
        <v>0</v>
      </c>
    </row>
    <row r="1971" ht="24" customHeight="1" spans="1:17">
      <c r="A1971" s="99" t="s">
        <v>350</v>
      </c>
      <c r="B1971" s="99" t="s">
        <v>308</v>
      </c>
      <c r="C1971" s="99" t="s">
        <v>309</v>
      </c>
      <c r="D1971" s="48" t="s">
        <v>296</v>
      </c>
      <c r="E1971" s="48" t="s">
        <v>82</v>
      </c>
      <c r="F1971" s="205">
        <f ca="1" t="shared" si="1800"/>
        <v>0</v>
      </c>
      <c r="G1971" s="205">
        <f ca="1" t="shared" si="1801"/>
        <v>0</v>
      </c>
      <c r="H1971" s="205">
        <f ca="1" t="shared" si="1802"/>
        <v>0</v>
      </c>
      <c r="I1971" s="205">
        <f ca="1" t="shared" si="1803"/>
        <v>0</v>
      </c>
      <c r="J1971" s="205">
        <f ca="1" t="shared" si="1804"/>
        <v>0</v>
      </c>
      <c r="K1971" s="205">
        <f ca="1" t="shared" si="1805"/>
        <v>0</v>
      </c>
      <c r="L1971" s="205">
        <f ca="1" t="shared" si="1806"/>
        <v>0</v>
      </c>
      <c r="M1971" s="205">
        <f ca="1" t="shared" si="1807"/>
        <v>0</v>
      </c>
      <c r="N1971" s="205">
        <f ca="1" t="shared" si="1808"/>
        <v>2</v>
      </c>
      <c r="O1971" s="205">
        <f ca="1" t="shared" si="1809"/>
        <v>1</v>
      </c>
      <c r="P1971" s="205">
        <f ca="1" t="shared" si="1810"/>
        <v>2</v>
      </c>
      <c r="Q1971" s="205">
        <f ca="1" t="shared" si="1811"/>
        <v>2</v>
      </c>
    </row>
    <row r="1972" ht="24" customHeight="1" spans="1:17">
      <c r="A1972" s="99" t="s">
        <v>350</v>
      </c>
      <c r="B1972" s="99" t="s">
        <v>308</v>
      </c>
      <c r="C1972" s="99" t="s">
        <v>309</v>
      </c>
      <c r="D1972" s="48" t="s">
        <v>296</v>
      </c>
      <c r="E1972" s="48" t="s">
        <v>86</v>
      </c>
      <c r="F1972" s="205">
        <f ca="1" t="shared" si="1800"/>
        <v>0</v>
      </c>
      <c r="G1972" s="205">
        <f ca="1" t="shared" si="1801"/>
        <v>0</v>
      </c>
      <c r="H1972" s="205">
        <f ca="1" t="shared" si="1802"/>
        <v>0</v>
      </c>
      <c r="I1972" s="205">
        <f ca="1" t="shared" si="1803"/>
        <v>0</v>
      </c>
      <c r="J1972" s="205">
        <f ca="1" t="shared" si="1804"/>
        <v>0</v>
      </c>
      <c r="K1972" s="205">
        <f ca="1" t="shared" si="1805"/>
        <v>0</v>
      </c>
      <c r="L1972" s="205">
        <f ca="1" t="shared" si="1806"/>
        <v>0</v>
      </c>
      <c r="M1972" s="205">
        <f ca="1" t="shared" si="1807"/>
        <v>0</v>
      </c>
      <c r="N1972" s="205">
        <f ca="1" t="shared" si="1808"/>
        <v>0</v>
      </c>
      <c r="O1972" s="205">
        <f ca="1" t="shared" si="1809"/>
        <v>0</v>
      </c>
      <c r="P1972" s="205">
        <f ca="1" t="shared" si="1810"/>
        <v>0</v>
      </c>
      <c r="Q1972" s="205">
        <f ca="1" t="shared" si="1811"/>
        <v>0</v>
      </c>
    </row>
    <row r="1973" ht="24" customHeight="1" spans="1:17">
      <c r="A1973" s="99" t="s">
        <v>350</v>
      </c>
      <c r="B1973" s="99" t="s">
        <v>308</v>
      </c>
      <c r="C1973" s="99" t="s">
        <v>309</v>
      </c>
      <c r="D1973" s="48" t="s">
        <v>313</v>
      </c>
      <c r="E1973" s="48" t="s">
        <v>90</v>
      </c>
      <c r="F1973" s="112" t="str">
        <f ca="1" t="shared" ref="F1973:Q1973" si="1812">IFERROR(F1970/F1969," ")</f>
        <v> </v>
      </c>
      <c r="G1973" s="112" t="str">
        <f ca="1" t="shared" si="1812"/>
        <v> </v>
      </c>
      <c r="H1973" s="112" t="str">
        <f ca="1" t="shared" si="1812"/>
        <v> </v>
      </c>
      <c r="I1973" s="112" t="str">
        <f ca="1" t="shared" si="1812"/>
        <v> </v>
      </c>
      <c r="J1973" s="112">
        <f ca="1" t="shared" si="1812"/>
        <v>1</v>
      </c>
      <c r="K1973" s="112" t="str">
        <f ca="1" t="shared" si="1812"/>
        <v> </v>
      </c>
      <c r="L1973" s="112" t="str">
        <f ca="1" t="shared" si="1812"/>
        <v> </v>
      </c>
      <c r="M1973" s="112" t="str">
        <f ca="1" t="shared" si="1812"/>
        <v> </v>
      </c>
      <c r="N1973" s="112">
        <f ca="1" t="shared" si="1812"/>
        <v>0.333333333333333</v>
      </c>
      <c r="O1973" s="112">
        <f ca="1" t="shared" si="1812"/>
        <v>0</v>
      </c>
      <c r="P1973" s="112">
        <f ca="1" t="shared" si="1812"/>
        <v>0</v>
      </c>
      <c r="Q1973" s="112">
        <f ca="1" t="shared" si="1812"/>
        <v>0</v>
      </c>
    </row>
    <row r="1974" ht="24" customHeight="1" spans="1:17">
      <c r="A1974" s="99" t="s">
        <v>350</v>
      </c>
      <c r="B1974" s="99" t="s">
        <v>308</v>
      </c>
      <c r="C1974" s="99" t="s">
        <v>309</v>
      </c>
      <c r="D1974" s="48" t="s">
        <v>313</v>
      </c>
      <c r="E1974" s="48" t="s">
        <v>82</v>
      </c>
      <c r="F1974" s="112" t="str">
        <f ca="1" t="shared" ref="F1974:Q1974" si="1813">IFERROR(F1971/F1969," ")</f>
        <v> </v>
      </c>
      <c r="G1974" s="112" t="str">
        <f ca="1" t="shared" si="1813"/>
        <v> </v>
      </c>
      <c r="H1974" s="112" t="str">
        <f ca="1" t="shared" si="1813"/>
        <v> </v>
      </c>
      <c r="I1974" s="112" t="str">
        <f ca="1" t="shared" si="1813"/>
        <v> </v>
      </c>
      <c r="J1974" s="112">
        <f ca="1" t="shared" si="1813"/>
        <v>0</v>
      </c>
      <c r="K1974" s="112" t="str">
        <f ca="1" t="shared" si="1813"/>
        <v> </v>
      </c>
      <c r="L1974" s="112" t="str">
        <f ca="1" t="shared" si="1813"/>
        <v> </v>
      </c>
      <c r="M1974" s="112" t="str">
        <f ca="1" t="shared" si="1813"/>
        <v> </v>
      </c>
      <c r="N1974" s="112">
        <f ca="1" t="shared" si="1813"/>
        <v>0.666666666666667</v>
      </c>
      <c r="O1974" s="112">
        <f ca="1" t="shared" si="1813"/>
        <v>1</v>
      </c>
      <c r="P1974" s="112">
        <f ca="1" t="shared" si="1813"/>
        <v>1</v>
      </c>
      <c r="Q1974" s="112">
        <f ca="1" t="shared" si="1813"/>
        <v>1</v>
      </c>
    </row>
    <row r="1975" ht="24" customHeight="1" spans="1:17">
      <c r="A1975" s="99" t="s">
        <v>350</v>
      </c>
      <c r="B1975" s="99" t="s">
        <v>308</v>
      </c>
      <c r="C1975" s="99" t="s">
        <v>309</v>
      </c>
      <c r="D1975" s="48" t="s">
        <v>313</v>
      </c>
      <c r="E1975" s="48" t="s">
        <v>86</v>
      </c>
      <c r="F1975" s="112" t="str">
        <f ca="1" t="shared" ref="F1975:Q1975" si="1814">IFERROR(F1972/F1969," ")</f>
        <v> </v>
      </c>
      <c r="G1975" s="112" t="str">
        <f ca="1" t="shared" si="1814"/>
        <v> </v>
      </c>
      <c r="H1975" s="112" t="str">
        <f ca="1" t="shared" si="1814"/>
        <v> </v>
      </c>
      <c r="I1975" s="112" t="str">
        <f ca="1" t="shared" si="1814"/>
        <v> </v>
      </c>
      <c r="J1975" s="112">
        <f ca="1" t="shared" si="1814"/>
        <v>0</v>
      </c>
      <c r="K1975" s="112" t="str">
        <f ca="1" t="shared" si="1814"/>
        <v> </v>
      </c>
      <c r="L1975" s="112" t="str">
        <f ca="1" t="shared" si="1814"/>
        <v> </v>
      </c>
      <c r="M1975" s="112" t="str">
        <f ca="1" t="shared" si="1814"/>
        <v> </v>
      </c>
      <c r="N1975" s="112">
        <f ca="1" t="shared" si="1814"/>
        <v>0</v>
      </c>
      <c r="O1975" s="112">
        <f ca="1" t="shared" si="1814"/>
        <v>0</v>
      </c>
      <c r="P1975" s="112">
        <f ca="1" t="shared" si="1814"/>
        <v>0</v>
      </c>
      <c r="Q1975" s="112">
        <f ca="1" t="shared" si="1814"/>
        <v>0</v>
      </c>
    </row>
    <row r="1976" ht="24" customHeight="1" spans="1:17">
      <c r="A1976" s="99" t="s">
        <v>350</v>
      </c>
      <c r="B1976" s="99" t="s">
        <v>308</v>
      </c>
      <c r="C1976" s="99" t="s">
        <v>309</v>
      </c>
      <c r="D1976" s="100" t="s">
        <v>292</v>
      </c>
      <c r="E1976" s="100" t="s">
        <v>314</v>
      </c>
      <c r="F1976" s="204">
        <f ca="1">IF($S$1&lt;DATE(2025,1,1)," ",SUM(F1977:F1980))</f>
        <v>0</v>
      </c>
      <c r="G1976" s="204">
        <f ca="1">IF($S$1&lt;DATE(2025,2,1)," ",SUM(G1977:G1980))</f>
        <v>2</v>
      </c>
      <c r="H1976" s="204">
        <f ca="1">IF($S$1&lt;DATE(2025,3,1)," ",SUM(H1977:H1980))</f>
        <v>0</v>
      </c>
      <c r="I1976" s="204">
        <f ca="1">IF($S$1&lt;DATE(2025,4,1)," ",SUM(I1977:I1980))</f>
        <v>0</v>
      </c>
      <c r="J1976" s="204">
        <f ca="1">IF($S$1&lt;DATE(2025,5,1)," ",SUM(J1977:J1980))</f>
        <v>1</v>
      </c>
      <c r="K1976" s="204">
        <f ca="1">IF($S$1&lt;DATE(2025,6,1)," ",SUM(K1977:K1980))</f>
        <v>0</v>
      </c>
      <c r="L1976" s="204">
        <f ca="1">IF($S$1&lt;DATE(2025,7,1)," ",SUM(L1977:L1980))</f>
        <v>0</v>
      </c>
      <c r="M1976" s="204">
        <f ca="1">IF($S$1&lt;DATE(2025,8,1)," ",SUM(M1977:M1980))</f>
        <v>0</v>
      </c>
      <c r="N1976" s="204">
        <f ca="1">IF($S$1&lt;DATE(2025,9,1)," ",SUM(N1977:N1980))</f>
        <v>4</v>
      </c>
      <c r="O1976" s="204">
        <f ca="1">IF($S$1&lt;DATE(2025,10,1)," ",SUM(O1977:O1980))</f>
        <v>2</v>
      </c>
      <c r="P1976" s="204">
        <f ca="1">IF($S$1&lt;DATE(2025,11,1)," ",SUM(P1977:P1980))</f>
        <v>2</v>
      </c>
      <c r="Q1976" s="204">
        <f ca="1">IF($S$1&lt;DATE(2025,12,1)," ",SUM(Q1977:Q1980))</f>
        <v>3</v>
      </c>
    </row>
    <row r="1977" ht="24" customHeight="1" spans="1:17">
      <c r="A1977" s="99" t="s">
        <v>350</v>
      </c>
      <c r="B1977" s="99" t="s">
        <v>308</v>
      </c>
      <c r="C1977" s="99" t="s">
        <v>309</v>
      </c>
      <c r="D1977" s="48" t="s">
        <v>298</v>
      </c>
      <c r="E1977" s="48" t="s">
        <v>97</v>
      </c>
      <c r="F1977" s="205">
        <f ca="1" t="shared" ref="F1977:F1980" si="1815">IF($S$1&lt;DATE(2025,1,1)," ",F2003-F2035)</f>
        <v>0</v>
      </c>
      <c r="G1977" s="205">
        <f ca="1" t="shared" ref="G1977:G1980" si="1816">IF($S$1&lt;DATE(2025,2,1)," ",G2003-G2035)</f>
        <v>2</v>
      </c>
      <c r="H1977" s="205">
        <f ca="1" t="shared" ref="H1977:H1980" si="1817">IF($S$1&lt;DATE(2025,3,1)," ",H2003-H2035)</f>
        <v>0</v>
      </c>
      <c r="I1977" s="205">
        <f ca="1" t="shared" ref="I1977:I1980" si="1818">IF($S$1&lt;DATE(2025,4,1)," ",I2003-I2035)</f>
        <v>0</v>
      </c>
      <c r="J1977" s="205">
        <f ca="1" t="shared" ref="J1977:J1980" si="1819">IF($S$1&lt;DATE(2025,5,1)," ",J2003-J2035)</f>
        <v>1</v>
      </c>
      <c r="K1977" s="205">
        <f ca="1" t="shared" ref="K1977:K1980" si="1820">IF($S$1&lt;DATE(2025,6,1)," ",K2003-K2035)</f>
        <v>0</v>
      </c>
      <c r="L1977" s="205">
        <f ca="1" t="shared" ref="L1977:L1980" si="1821">IF($S$1&lt;DATE(2025,7,1)," ",L2003-L2035)</f>
        <v>0</v>
      </c>
      <c r="M1977" s="205">
        <f ca="1" t="shared" ref="M1977:M1980" si="1822">IF($S$1&lt;DATE(2025,8,1)," ",M2003-M2035)</f>
        <v>0</v>
      </c>
      <c r="N1977" s="205">
        <f ca="1" t="shared" ref="N1977:N1980" si="1823">IF($S$1&lt;DATE(2025,9,1)," ",N2003-N2035)</f>
        <v>1</v>
      </c>
      <c r="O1977" s="205">
        <f ca="1" t="shared" ref="O1977:O1980" si="1824">IF($S$1&lt;DATE(2025,10,1)," ",O2003-O2035)</f>
        <v>1</v>
      </c>
      <c r="P1977" s="205">
        <f ca="1" t="shared" ref="P1977:P1980" si="1825">IF($S$1&lt;DATE(2025,11,1)," ",P2003-P2035)</f>
        <v>0</v>
      </c>
      <c r="Q1977" s="205">
        <f ca="1" t="shared" ref="Q1977:Q1980" si="1826">IF($S$1&lt;DATE(2025,12,1)," ",Q2003-Q2035)</f>
        <v>0</v>
      </c>
    </row>
    <row r="1978" ht="24" customHeight="1" spans="1:17">
      <c r="A1978" s="99" t="s">
        <v>350</v>
      </c>
      <c r="B1978" s="99" t="s">
        <v>308</v>
      </c>
      <c r="C1978" s="99" t="s">
        <v>309</v>
      </c>
      <c r="D1978" s="48" t="s">
        <v>298</v>
      </c>
      <c r="E1978" s="48" t="s">
        <v>87</v>
      </c>
      <c r="F1978" s="205">
        <f ca="1" t="shared" si="1815"/>
        <v>0</v>
      </c>
      <c r="G1978" s="205">
        <f ca="1" t="shared" si="1816"/>
        <v>0</v>
      </c>
      <c r="H1978" s="205">
        <f ca="1" t="shared" si="1817"/>
        <v>0</v>
      </c>
      <c r="I1978" s="205">
        <f ca="1" t="shared" si="1818"/>
        <v>0</v>
      </c>
      <c r="J1978" s="205">
        <f ca="1" t="shared" si="1819"/>
        <v>0</v>
      </c>
      <c r="K1978" s="205">
        <f ca="1" t="shared" si="1820"/>
        <v>0</v>
      </c>
      <c r="L1978" s="205">
        <f ca="1" t="shared" si="1821"/>
        <v>0</v>
      </c>
      <c r="M1978" s="205">
        <f ca="1" t="shared" si="1822"/>
        <v>0</v>
      </c>
      <c r="N1978" s="205">
        <f ca="1" t="shared" si="1823"/>
        <v>1</v>
      </c>
      <c r="O1978" s="205">
        <f ca="1" t="shared" si="1824"/>
        <v>1</v>
      </c>
      <c r="P1978" s="205">
        <f ca="1" t="shared" si="1825"/>
        <v>2</v>
      </c>
      <c r="Q1978" s="205">
        <f ca="1" t="shared" si="1826"/>
        <v>2</v>
      </c>
    </row>
    <row r="1979" ht="24" customHeight="1" spans="1:17">
      <c r="A1979" s="99" t="s">
        <v>350</v>
      </c>
      <c r="B1979" s="99" t="s">
        <v>308</v>
      </c>
      <c r="C1979" s="99" t="s">
        <v>309</v>
      </c>
      <c r="D1979" s="48" t="s">
        <v>298</v>
      </c>
      <c r="E1979" s="48" t="s">
        <v>149</v>
      </c>
      <c r="F1979" s="205">
        <f ca="1" t="shared" si="1815"/>
        <v>0</v>
      </c>
      <c r="G1979" s="205">
        <f ca="1" t="shared" si="1816"/>
        <v>0</v>
      </c>
      <c r="H1979" s="205">
        <f ca="1" t="shared" si="1817"/>
        <v>0</v>
      </c>
      <c r="I1979" s="205">
        <f ca="1" t="shared" si="1818"/>
        <v>0</v>
      </c>
      <c r="J1979" s="205">
        <f ca="1" t="shared" si="1819"/>
        <v>0</v>
      </c>
      <c r="K1979" s="205">
        <f ca="1" t="shared" si="1820"/>
        <v>0</v>
      </c>
      <c r="L1979" s="205">
        <f ca="1" t="shared" si="1821"/>
        <v>0</v>
      </c>
      <c r="M1979" s="205">
        <f ca="1" t="shared" si="1822"/>
        <v>0</v>
      </c>
      <c r="N1979" s="205">
        <f ca="1" t="shared" si="1823"/>
        <v>0</v>
      </c>
      <c r="O1979" s="205">
        <f ca="1" t="shared" si="1824"/>
        <v>0</v>
      </c>
      <c r="P1979" s="205">
        <f ca="1" t="shared" si="1825"/>
        <v>0</v>
      </c>
      <c r="Q1979" s="205">
        <f ca="1" t="shared" si="1826"/>
        <v>0</v>
      </c>
    </row>
    <row r="1980" ht="24" customHeight="1" spans="1:17">
      <c r="A1980" s="99" t="s">
        <v>350</v>
      </c>
      <c r="B1980" s="99" t="s">
        <v>308</v>
      </c>
      <c r="C1980" s="99" t="s">
        <v>309</v>
      </c>
      <c r="D1980" s="48" t="s">
        <v>298</v>
      </c>
      <c r="E1980" s="48" t="s">
        <v>83</v>
      </c>
      <c r="F1980" s="205">
        <f ca="1" t="shared" si="1815"/>
        <v>0</v>
      </c>
      <c r="G1980" s="205">
        <f ca="1" t="shared" si="1816"/>
        <v>0</v>
      </c>
      <c r="H1980" s="205">
        <f ca="1" t="shared" si="1817"/>
        <v>0</v>
      </c>
      <c r="I1980" s="205">
        <f ca="1" t="shared" si="1818"/>
        <v>0</v>
      </c>
      <c r="J1980" s="205">
        <f ca="1" t="shared" si="1819"/>
        <v>0</v>
      </c>
      <c r="K1980" s="205">
        <f ca="1" t="shared" si="1820"/>
        <v>0</v>
      </c>
      <c r="L1980" s="205">
        <f ca="1" t="shared" si="1821"/>
        <v>0</v>
      </c>
      <c r="M1980" s="205">
        <f ca="1" t="shared" si="1822"/>
        <v>0</v>
      </c>
      <c r="N1980" s="205">
        <f ca="1" t="shared" si="1823"/>
        <v>2</v>
      </c>
      <c r="O1980" s="205">
        <f ca="1" t="shared" si="1824"/>
        <v>0</v>
      </c>
      <c r="P1980" s="205">
        <f ca="1" t="shared" si="1825"/>
        <v>0</v>
      </c>
      <c r="Q1980" s="205">
        <f ca="1" t="shared" si="1826"/>
        <v>1</v>
      </c>
    </row>
    <row r="1981" ht="24" customHeight="1" spans="1:17">
      <c r="A1981" s="99" t="s">
        <v>350</v>
      </c>
      <c r="B1981" s="99" t="s">
        <v>308</v>
      </c>
      <c r="C1981" s="99" t="s">
        <v>309</v>
      </c>
      <c r="D1981" s="48" t="s">
        <v>315</v>
      </c>
      <c r="E1981" s="48" t="s">
        <v>97</v>
      </c>
      <c r="F1981" s="112" t="str">
        <f ca="1" t="shared" ref="F1981:F1984" si="1827">IFERROR(IF($S$1&lt;DATE(2025,1,1)," ",F1977/F$1976)," ")</f>
        <v> </v>
      </c>
      <c r="G1981" s="112">
        <f ca="1" t="shared" ref="G1981:G1984" si="1828">IFERROR(IF($S$1&lt;DATE(2025,2,1)," ",G1977/G$1976)," ")</f>
        <v>1</v>
      </c>
      <c r="H1981" s="112" t="str">
        <f ca="1" t="shared" ref="H1981:H1984" si="1829">IFERROR(IF($S$1&lt;DATE(2025,3,1)," ",H1977/H$1976)," ")</f>
        <v> </v>
      </c>
      <c r="I1981" s="112" t="str">
        <f ca="1" t="shared" ref="I1981:I1984" si="1830">IFERROR(IF($S$1&lt;DATE(2025,4,1)," ",I1977/I$1976)," ")</f>
        <v> </v>
      </c>
      <c r="J1981" s="112">
        <f ca="1" t="shared" ref="J1981:J1984" si="1831">IFERROR(IF($S$1&lt;DATE(2025,5,1)," ",J1977/J$1976)," ")</f>
        <v>1</v>
      </c>
      <c r="K1981" s="112" t="str">
        <f ca="1" t="shared" ref="K1981:K1984" si="1832">IFERROR(IF($S$1&lt;DATE(2025,6,1)," ",K1977/K$1976)," ")</f>
        <v> </v>
      </c>
      <c r="L1981" s="112" t="str">
        <f ca="1" t="shared" ref="L1981:L1984" si="1833">IFERROR(IF($S$1&lt;DATE(2025,7,1)," ",L1977/L$1976)," ")</f>
        <v> </v>
      </c>
      <c r="M1981" s="112" t="str">
        <f ca="1" t="shared" ref="M1981:M1984" si="1834">IFERROR(IF($S$1&lt;DATE(2025,8,1)," ",M1977/M$1976)," ")</f>
        <v> </v>
      </c>
      <c r="N1981" s="112">
        <f ca="1" t="shared" ref="N1981:N1984" si="1835">IFERROR(IF($S$1&lt;DATE(2025,9,1)," ",N1977/N$1976)," ")</f>
        <v>0.25</v>
      </c>
      <c r="O1981" s="112">
        <f ca="1" t="shared" ref="O1981:O1984" si="1836">IFERROR(IF($S$1&lt;DATE(2025,10,1)," ",O1977/O$1976)," ")</f>
        <v>0.5</v>
      </c>
      <c r="P1981" s="112">
        <f ca="1" t="shared" ref="P1981:P1984" si="1837">IFERROR(IF($S$1&lt;DATE(2025,11,1)," ",P1977/P$1976)," ")</f>
        <v>0</v>
      </c>
      <c r="Q1981" s="112">
        <f ca="1" t="shared" ref="Q1981:Q1984" si="1838">IFERROR(IF($S$1&lt;DATE(2025,12,1)," ",Q1977/Q$1976)," ")</f>
        <v>0</v>
      </c>
    </row>
    <row r="1982" ht="24" customHeight="1" spans="1:17">
      <c r="A1982" s="99" t="s">
        <v>350</v>
      </c>
      <c r="B1982" s="99" t="s">
        <v>308</v>
      </c>
      <c r="C1982" s="99" t="s">
        <v>309</v>
      </c>
      <c r="D1982" s="48" t="s">
        <v>315</v>
      </c>
      <c r="E1982" s="48" t="s">
        <v>87</v>
      </c>
      <c r="F1982" s="112" t="str">
        <f ca="1" t="shared" si="1827"/>
        <v> </v>
      </c>
      <c r="G1982" s="112">
        <f ca="1" t="shared" si="1828"/>
        <v>0</v>
      </c>
      <c r="H1982" s="112" t="str">
        <f ca="1" t="shared" si="1829"/>
        <v> </v>
      </c>
      <c r="I1982" s="112" t="str">
        <f ca="1" t="shared" si="1830"/>
        <v> </v>
      </c>
      <c r="J1982" s="112">
        <f ca="1" t="shared" si="1831"/>
        <v>0</v>
      </c>
      <c r="K1982" s="112" t="str">
        <f ca="1" t="shared" si="1832"/>
        <v> </v>
      </c>
      <c r="L1982" s="112" t="str">
        <f ca="1" t="shared" si="1833"/>
        <v> </v>
      </c>
      <c r="M1982" s="112" t="str">
        <f ca="1" t="shared" si="1834"/>
        <v> </v>
      </c>
      <c r="N1982" s="112">
        <f ca="1" t="shared" si="1835"/>
        <v>0.25</v>
      </c>
      <c r="O1982" s="112">
        <f ca="1" t="shared" si="1836"/>
        <v>0.5</v>
      </c>
      <c r="P1982" s="112">
        <f ca="1" t="shared" si="1837"/>
        <v>1</v>
      </c>
      <c r="Q1982" s="112">
        <f ca="1" t="shared" si="1838"/>
        <v>0.666666666666667</v>
      </c>
    </row>
    <row r="1983" ht="24" customHeight="1" spans="1:17">
      <c r="A1983" s="99" t="s">
        <v>350</v>
      </c>
      <c r="B1983" s="99" t="s">
        <v>308</v>
      </c>
      <c r="C1983" s="99" t="s">
        <v>309</v>
      </c>
      <c r="D1983" s="48" t="s">
        <v>315</v>
      </c>
      <c r="E1983" s="48" t="s">
        <v>149</v>
      </c>
      <c r="F1983" s="112" t="str">
        <f ca="1" t="shared" si="1827"/>
        <v> </v>
      </c>
      <c r="G1983" s="112">
        <f ca="1" t="shared" si="1828"/>
        <v>0</v>
      </c>
      <c r="H1983" s="112" t="str">
        <f ca="1" t="shared" si="1829"/>
        <v> </v>
      </c>
      <c r="I1983" s="112" t="str">
        <f ca="1" t="shared" si="1830"/>
        <v> </v>
      </c>
      <c r="J1983" s="112">
        <f ca="1" t="shared" si="1831"/>
        <v>0</v>
      </c>
      <c r="K1983" s="112" t="str">
        <f ca="1" t="shared" si="1832"/>
        <v> </v>
      </c>
      <c r="L1983" s="112" t="str">
        <f ca="1" t="shared" si="1833"/>
        <v> </v>
      </c>
      <c r="M1983" s="112" t="str">
        <f ca="1" t="shared" si="1834"/>
        <v> </v>
      </c>
      <c r="N1983" s="112">
        <f ca="1" t="shared" si="1835"/>
        <v>0</v>
      </c>
      <c r="O1983" s="112">
        <f ca="1" t="shared" si="1836"/>
        <v>0</v>
      </c>
      <c r="P1983" s="112">
        <f ca="1" t="shared" si="1837"/>
        <v>0</v>
      </c>
      <c r="Q1983" s="112">
        <f ca="1" t="shared" si="1838"/>
        <v>0</v>
      </c>
    </row>
    <row r="1984" ht="24" customHeight="1" spans="1:17">
      <c r="A1984" s="99" t="s">
        <v>350</v>
      </c>
      <c r="B1984" s="99" t="s">
        <v>308</v>
      </c>
      <c r="C1984" s="99" t="s">
        <v>309</v>
      </c>
      <c r="D1984" s="48" t="s">
        <v>315</v>
      </c>
      <c r="E1984" s="48" t="s">
        <v>83</v>
      </c>
      <c r="F1984" s="112" t="str">
        <f ca="1" t="shared" si="1827"/>
        <v> </v>
      </c>
      <c r="G1984" s="112">
        <f ca="1" t="shared" si="1828"/>
        <v>0</v>
      </c>
      <c r="H1984" s="112" t="str">
        <f ca="1" t="shared" si="1829"/>
        <v> </v>
      </c>
      <c r="I1984" s="112" t="str">
        <f ca="1" t="shared" si="1830"/>
        <v> </v>
      </c>
      <c r="J1984" s="112">
        <f ca="1" t="shared" si="1831"/>
        <v>0</v>
      </c>
      <c r="K1984" s="112" t="str">
        <f ca="1" t="shared" si="1832"/>
        <v> </v>
      </c>
      <c r="L1984" s="112" t="str">
        <f ca="1" t="shared" si="1833"/>
        <v> </v>
      </c>
      <c r="M1984" s="112" t="str">
        <f ca="1" t="shared" si="1834"/>
        <v> </v>
      </c>
      <c r="N1984" s="112">
        <f ca="1" t="shared" si="1835"/>
        <v>0.5</v>
      </c>
      <c r="O1984" s="112">
        <f ca="1" t="shared" si="1836"/>
        <v>0</v>
      </c>
      <c r="P1984" s="112">
        <f ca="1" t="shared" si="1837"/>
        <v>0</v>
      </c>
      <c r="Q1984" s="112">
        <f ca="1" t="shared" si="1838"/>
        <v>0.333333333333333</v>
      </c>
    </row>
    <row r="1985" ht="24" customHeight="1" spans="1:17">
      <c r="A1985" s="99" t="s">
        <v>350</v>
      </c>
      <c r="B1985" s="99" t="s">
        <v>290</v>
      </c>
      <c r="C1985" s="99" t="s">
        <v>316</v>
      </c>
      <c r="D1985" s="100" t="s">
        <v>292</v>
      </c>
      <c r="E1985" s="100" t="s">
        <v>317</v>
      </c>
      <c r="F1985" s="204">
        <f ca="1">IF($S$1&lt;DATE(2025,1,1)," ",IF((SUM(F1986:F1992)-MAX(F1998,F2002))&lt;0,"ERR",SUM(F1986:F1992)))</f>
        <v>1</v>
      </c>
      <c r="G1985" s="204">
        <f ca="1">IF($S$1&lt;DATE(2025,2,1)," ",IF((SUM(G1986:G1992)-MAX(G1998,G2002))&lt;0,"ERR",SUM(G1986:G1992)))</f>
        <v>4</v>
      </c>
      <c r="H1985" s="204">
        <f ca="1">IF($S$1&lt;DATE(2025,3,1)," ",IF((SUM(H1986:H1992)-MAX(H1998,H2002))&lt;0,"ERR",SUM(H1986:H1992)))</f>
        <v>8</v>
      </c>
      <c r="I1985" s="204">
        <f ca="1">IF($S$1&lt;DATE(2025,4,1)," ",IF((SUM(I1986:I1992)-MAX(I1998,I2002))&lt;0,"ERR",SUM(I1986:I1992)))</f>
        <v>9</v>
      </c>
      <c r="J1985" s="204">
        <f ca="1">IF($S$1&lt;DATE(2025,5,1)," ",IF((SUM(J1986:J1992)-MAX(J1998,J2002))&lt;0,"ERR",SUM(J1986:J1992)))</f>
        <v>12</v>
      </c>
      <c r="K1985" s="204">
        <f ca="1">IF($S$1&lt;DATE(2025,6,1)," ",IF((SUM(K1986:K1992)-MAX(K1998,K2002))&lt;0,"ERR",SUM(K1986:K1992)))</f>
        <v>12</v>
      </c>
      <c r="L1985" s="204">
        <f ca="1">IF($S$1&lt;DATE(2025,7,1)," ",IF((SUM(L1986:L1992)-MAX(L1998,L2002))&lt;0,"ERR",SUM(L1986:L1992)))</f>
        <v>13</v>
      </c>
      <c r="M1985" s="204">
        <f ca="1">IF($S$1&lt;DATE(2025,8,1)," ",IF((SUM(M1986:M1992)-MAX(M1998,M2002))&lt;0,"ERR",SUM(M1986:M1992)))</f>
        <v>16</v>
      </c>
      <c r="N1985" s="204">
        <f ca="1">IF($S$1&lt;DATE(2025,9,1)," ",IF((SUM(N1986:N1992)-MAX(N1998,N2002))&lt;0,"ERR",SUM(N1986:N1992)))</f>
        <v>20</v>
      </c>
      <c r="O1985" s="204">
        <f ca="1">IF($S$1&lt;DATE(2025,10,1)," ",IF((SUM(O1986:O1992)-MAX(O1998,O2002))&lt;0,"ERR",SUM(O1986:O1992)))</f>
        <v>21</v>
      </c>
      <c r="P1985" s="204">
        <f ca="1">IF($S$1&lt;DATE(2025,11,1)," ",IF((SUM(P1986:P1992)-MAX(P1998,P2002))&lt;0,"ERR",SUM(P1986:P1992)))</f>
        <v>23</v>
      </c>
      <c r="Q1985" s="204">
        <f ca="1">IF($S$1&lt;DATE(2025,12,1)," ",IF((SUM(Q1986:Q1992)-MAX(Q1998,Q2002))&lt;0,"ERR",SUM(Q1986:Q1992)))</f>
        <v>24</v>
      </c>
    </row>
    <row r="1986" ht="24" customHeight="1" spans="1:17">
      <c r="A1986" s="99" t="s">
        <v>350</v>
      </c>
      <c r="B1986" s="99" t="s">
        <v>290</v>
      </c>
      <c r="C1986" s="99" t="s">
        <v>316</v>
      </c>
      <c r="D1986" s="48" t="s">
        <v>31</v>
      </c>
      <c r="E1986" s="48" t="s">
        <v>90</v>
      </c>
      <c r="F1986" s="205">
        <f ca="1" t="shared" ref="F1986:F1997" si="1839">IF($S$1&lt;DATE(2025,1,1)," ",F1888)</f>
        <v>1</v>
      </c>
      <c r="G1986" s="205">
        <f ca="1" t="shared" ref="G1986:G1997" si="1840">IF($S$1&lt;DATE(2025,2,1)," ",G1888+F1986)</f>
        <v>1</v>
      </c>
      <c r="H1986" s="205">
        <f ca="1" t="shared" ref="H1986:H1997" si="1841">IF($S$1&lt;DATE(2025,3,1)," ",H1888+G1986)</f>
        <v>1</v>
      </c>
      <c r="I1986" s="205">
        <f ca="1" t="shared" ref="I1986:I1997" si="1842">IF($S$1&lt;DATE(2025,4,1)," ",I1888+H1986)</f>
        <v>1</v>
      </c>
      <c r="J1986" s="205">
        <f ca="1" t="shared" ref="J1986:J1997" si="1843">IF($S$1&lt;DATE(2025,5,1)," ",J1888+I1986)</f>
        <v>2</v>
      </c>
      <c r="K1986" s="205">
        <f ca="1" t="shared" ref="K1986:K1997" si="1844">IF($S$1&lt;DATE(2025,6,1)," ",K1888+J1986)</f>
        <v>2</v>
      </c>
      <c r="L1986" s="205">
        <f ca="1" t="shared" ref="L1986:L1997" si="1845">IF($S$1&lt;DATE(2025,7,1)," ",L1888+K1986)</f>
        <v>2</v>
      </c>
      <c r="M1986" s="205">
        <f ca="1" t="shared" ref="M1986:M1997" si="1846">IF($S$1&lt;DATE(2025,8,1)," ",M1888+L1986)</f>
        <v>2</v>
      </c>
      <c r="N1986" s="205">
        <f ca="1" t="shared" ref="N1986:N1997" si="1847">IF($S$1&lt;DATE(2025,9,1)," ",N1888+M1986)</f>
        <v>3</v>
      </c>
      <c r="O1986" s="205">
        <f ca="1" t="shared" ref="O1986:O1997" si="1848">IF($S$1&lt;DATE(2025,10,1)," ",O1888+N1986)</f>
        <v>3</v>
      </c>
      <c r="P1986" s="205">
        <f ca="1" t="shared" ref="P1986:P1997" si="1849">IF($S$1&lt;DATE(2025,11,1)," ",P1888+O1986)</f>
        <v>3</v>
      </c>
      <c r="Q1986" s="205">
        <f ca="1" t="shared" ref="Q1986:Q1997" si="1850">IF($S$1&lt;DATE(2025,12,1)," ",Q1888+P1986)</f>
        <v>3</v>
      </c>
    </row>
    <row r="1987" ht="24" customHeight="1" spans="1:17">
      <c r="A1987" s="99" t="s">
        <v>350</v>
      </c>
      <c r="B1987" s="99" t="s">
        <v>290</v>
      </c>
      <c r="C1987" s="99" t="s">
        <v>316</v>
      </c>
      <c r="D1987" s="48" t="s">
        <v>31</v>
      </c>
      <c r="E1987" s="48" t="s">
        <v>82</v>
      </c>
      <c r="F1987" s="205">
        <f ca="1" t="shared" si="1839"/>
        <v>0</v>
      </c>
      <c r="G1987" s="205">
        <f ca="1" t="shared" si="1840"/>
        <v>1</v>
      </c>
      <c r="H1987" s="205">
        <f ca="1" t="shared" si="1841"/>
        <v>2</v>
      </c>
      <c r="I1987" s="205">
        <f ca="1" t="shared" si="1842"/>
        <v>2</v>
      </c>
      <c r="J1987" s="205">
        <f ca="1" t="shared" si="1843"/>
        <v>2</v>
      </c>
      <c r="K1987" s="205">
        <f ca="1" t="shared" si="1844"/>
        <v>2</v>
      </c>
      <c r="L1987" s="205">
        <f ca="1" t="shared" si="1845"/>
        <v>3</v>
      </c>
      <c r="M1987" s="205">
        <f ca="1" t="shared" si="1846"/>
        <v>5</v>
      </c>
      <c r="N1987" s="205">
        <f ca="1" t="shared" si="1847"/>
        <v>6</v>
      </c>
      <c r="O1987" s="205">
        <f ca="1" t="shared" si="1848"/>
        <v>6</v>
      </c>
      <c r="P1987" s="205">
        <f ca="1" t="shared" si="1849"/>
        <v>7</v>
      </c>
      <c r="Q1987" s="205">
        <f ca="1" t="shared" si="1850"/>
        <v>7</v>
      </c>
    </row>
    <row r="1988" ht="24" customHeight="1" spans="1:17">
      <c r="A1988" s="99" t="s">
        <v>350</v>
      </c>
      <c r="B1988" s="99" t="s">
        <v>290</v>
      </c>
      <c r="C1988" s="99" t="s">
        <v>316</v>
      </c>
      <c r="D1988" s="48" t="s">
        <v>31</v>
      </c>
      <c r="E1988" s="48" t="s">
        <v>86</v>
      </c>
      <c r="F1988" s="205">
        <f ca="1" t="shared" si="1839"/>
        <v>0</v>
      </c>
      <c r="G1988" s="205">
        <f ca="1" t="shared" si="1840"/>
        <v>0</v>
      </c>
      <c r="H1988" s="205">
        <f ca="1" t="shared" si="1841"/>
        <v>0</v>
      </c>
      <c r="I1988" s="205">
        <f ca="1" t="shared" si="1842"/>
        <v>0</v>
      </c>
      <c r="J1988" s="205">
        <f ca="1" t="shared" si="1843"/>
        <v>0</v>
      </c>
      <c r="K1988" s="205">
        <f ca="1" t="shared" si="1844"/>
        <v>0</v>
      </c>
      <c r="L1988" s="205">
        <f ca="1" t="shared" si="1845"/>
        <v>0</v>
      </c>
      <c r="M1988" s="205">
        <f ca="1" t="shared" si="1846"/>
        <v>0</v>
      </c>
      <c r="N1988" s="205">
        <f ca="1" t="shared" si="1847"/>
        <v>0</v>
      </c>
      <c r="O1988" s="205">
        <f ca="1" t="shared" si="1848"/>
        <v>0</v>
      </c>
      <c r="P1988" s="205">
        <f ca="1" t="shared" si="1849"/>
        <v>0</v>
      </c>
      <c r="Q1988" s="205">
        <f ca="1" t="shared" si="1850"/>
        <v>0</v>
      </c>
    </row>
    <row r="1989" ht="24" customHeight="1" spans="1:17">
      <c r="A1989" s="99" t="s">
        <v>350</v>
      </c>
      <c r="B1989" s="99" t="s">
        <v>290</v>
      </c>
      <c r="C1989" s="99" t="s">
        <v>316</v>
      </c>
      <c r="D1989" s="48" t="s">
        <v>31</v>
      </c>
      <c r="E1989" s="48" t="s">
        <v>97</v>
      </c>
      <c r="F1989" s="205">
        <f ca="1" t="shared" si="1839"/>
        <v>0</v>
      </c>
      <c r="G1989" s="205">
        <f ca="1" t="shared" si="1840"/>
        <v>2</v>
      </c>
      <c r="H1989" s="205">
        <f ca="1" t="shared" si="1841"/>
        <v>3</v>
      </c>
      <c r="I1989" s="205">
        <f ca="1" t="shared" si="1842"/>
        <v>3</v>
      </c>
      <c r="J1989" s="205">
        <f ca="1" t="shared" si="1843"/>
        <v>5</v>
      </c>
      <c r="K1989" s="205">
        <f ca="1" t="shared" si="1844"/>
        <v>5</v>
      </c>
      <c r="L1989" s="205">
        <f ca="1" t="shared" si="1845"/>
        <v>5</v>
      </c>
      <c r="M1989" s="205">
        <f ca="1" t="shared" si="1846"/>
        <v>5</v>
      </c>
      <c r="N1989" s="205">
        <f ca="1" t="shared" si="1847"/>
        <v>5</v>
      </c>
      <c r="O1989" s="205">
        <f ca="1" t="shared" si="1848"/>
        <v>6</v>
      </c>
      <c r="P1989" s="205">
        <f ca="1" t="shared" si="1849"/>
        <v>7</v>
      </c>
      <c r="Q1989" s="205">
        <f ca="1" t="shared" si="1850"/>
        <v>7</v>
      </c>
    </row>
    <row r="1990" ht="24" customHeight="1" spans="1:17">
      <c r="A1990" s="99" t="s">
        <v>350</v>
      </c>
      <c r="B1990" s="99" t="s">
        <v>290</v>
      </c>
      <c r="C1990" s="99" t="s">
        <v>316</v>
      </c>
      <c r="D1990" s="48" t="s">
        <v>31</v>
      </c>
      <c r="E1990" s="48" t="s">
        <v>87</v>
      </c>
      <c r="F1990" s="205">
        <f ca="1" t="shared" si="1839"/>
        <v>0</v>
      </c>
      <c r="G1990" s="205">
        <f ca="1" t="shared" si="1840"/>
        <v>0</v>
      </c>
      <c r="H1990" s="205">
        <f ca="1" t="shared" si="1841"/>
        <v>0</v>
      </c>
      <c r="I1990" s="205">
        <f ca="1" t="shared" si="1842"/>
        <v>0</v>
      </c>
      <c r="J1990" s="205">
        <f ca="1" t="shared" si="1843"/>
        <v>0</v>
      </c>
      <c r="K1990" s="205">
        <f ca="1" t="shared" si="1844"/>
        <v>0</v>
      </c>
      <c r="L1990" s="205">
        <f ca="1" t="shared" si="1845"/>
        <v>0</v>
      </c>
      <c r="M1990" s="205">
        <f ca="1" t="shared" si="1846"/>
        <v>1</v>
      </c>
      <c r="N1990" s="205">
        <f ca="1" t="shared" si="1847"/>
        <v>1</v>
      </c>
      <c r="O1990" s="205">
        <f ca="1" t="shared" si="1848"/>
        <v>1</v>
      </c>
      <c r="P1990" s="205">
        <f ca="1" t="shared" si="1849"/>
        <v>1</v>
      </c>
      <c r="Q1990" s="205">
        <f ca="1" t="shared" si="1850"/>
        <v>1</v>
      </c>
    </row>
    <row r="1991" ht="24" customHeight="1" spans="1:17">
      <c r="A1991" s="99" t="s">
        <v>350</v>
      </c>
      <c r="B1991" s="99" t="s">
        <v>290</v>
      </c>
      <c r="C1991" s="99" t="s">
        <v>316</v>
      </c>
      <c r="D1991" s="48" t="s">
        <v>31</v>
      </c>
      <c r="E1991" s="48" t="s">
        <v>149</v>
      </c>
      <c r="F1991" s="205">
        <f ca="1" t="shared" si="1839"/>
        <v>0</v>
      </c>
      <c r="G1991" s="205">
        <f ca="1" t="shared" si="1840"/>
        <v>0</v>
      </c>
      <c r="H1991" s="205">
        <f ca="1" t="shared" si="1841"/>
        <v>2</v>
      </c>
      <c r="I1991" s="205">
        <f ca="1" t="shared" si="1842"/>
        <v>2</v>
      </c>
      <c r="J1991" s="205">
        <f ca="1" t="shared" si="1843"/>
        <v>2</v>
      </c>
      <c r="K1991" s="205">
        <f ca="1" t="shared" si="1844"/>
        <v>2</v>
      </c>
      <c r="L1991" s="205">
        <f ca="1" t="shared" si="1845"/>
        <v>2</v>
      </c>
      <c r="M1991" s="205">
        <f ca="1" t="shared" si="1846"/>
        <v>2</v>
      </c>
      <c r="N1991" s="205">
        <f ca="1" t="shared" si="1847"/>
        <v>2</v>
      </c>
      <c r="O1991" s="205">
        <f ca="1" t="shared" si="1848"/>
        <v>2</v>
      </c>
      <c r="P1991" s="205">
        <f ca="1" t="shared" si="1849"/>
        <v>2</v>
      </c>
      <c r="Q1991" s="205">
        <f ca="1" t="shared" si="1850"/>
        <v>2</v>
      </c>
    </row>
    <row r="1992" ht="24" customHeight="1" spans="1:17">
      <c r="A1992" s="99" t="s">
        <v>350</v>
      </c>
      <c r="B1992" s="99" t="s">
        <v>290</v>
      </c>
      <c r="C1992" s="99" t="s">
        <v>316</v>
      </c>
      <c r="D1992" s="48" t="s">
        <v>31</v>
      </c>
      <c r="E1992" s="48" t="s">
        <v>83</v>
      </c>
      <c r="F1992" s="205">
        <f ca="1" t="shared" si="1839"/>
        <v>0</v>
      </c>
      <c r="G1992" s="205">
        <f ca="1" t="shared" si="1840"/>
        <v>0</v>
      </c>
      <c r="H1992" s="205">
        <f ca="1" t="shared" si="1841"/>
        <v>0</v>
      </c>
      <c r="I1992" s="205">
        <f ca="1" t="shared" si="1842"/>
        <v>1</v>
      </c>
      <c r="J1992" s="205">
        <f ca="1" t="shared" si="1843"/>
        <v>1</v>
      </c>
      <c r="K1992" s="205">
        <f ca="1" t="shared" si="1844"/>
        <v>1</v>
      </c>
      <c r="L1992" s="205">
        <f ca="1" t="shared" si="1845"/>
        <v>1</v>
      </c>
      <c r="M1992" s="205">
        <f ca="1" t="shared" si="1846"/>
        <v>1</v>
      </c>
      <c r="N1992" s="205">
        <f ca="1" t="shared" si="1847"/>
        <v>3</v>
      </c>
      <c r="O1992" s="205">
        <f ca="1" t="shared" si="1848"/>
        <v>3</v>
      </c>
      <c r="P1992" s="205">
        <f ca="1" t="shared" si="1849"/>
        <v>3</v>
      </c>
      <c r="Q1992" s="205">
        <f ca="1" t="shared" si="1850"/>
        <v>4</v>
      </c>
    </row>
    <row r="1993" ht="24" customHeight="1" spans="1:17">
      <c r="A1993" s="99" t="s">
        <v>350</v>
      </c>
      <c r="B1993" s="99" t="s">
        <v>290</v>
      </c>
      <c r="C1993" s="99" t="s">
        <v>316</v>
      </c>
      <c r="D1993" s="47" t="s">
        <v>294</v>
      </c>
      <c r="E1993" s="47" t="s">
        <v>93</v>
      </c>
      <c r="F1993" s="206">
        <f ca="1" t="shared" si="1839"/>
        <v>0</v>
      </c>
      <c r="G1993" s="206">
        <f ca="1" t="shared" si="1840"/>
        <v>2</v>
      </c>
      <c r="H1993" s="206">
        <f ca="1" t="shared" si="1841"/>
        <v>5</v>
      </c>
      <c r="I1993" s="206">
        <f ca="1" t="shared" si="1842"/>
        <v>5</v>
      </c>
      <c r="J1993" s="206">
        <f ca="1" t="shared" si="1843"/>
        <v>7</v>
      </c>
      <c r="K1993" s="206">
        <f ca="1" t="shared" si="1844"/>
        <v>7</v>
      </c>
      <c r="L1993" s="206">
        <f ca="1" t="shared" si="1845"/>
        <v>7</v>
      </c>
      <c r="M1993" s="206">
        <f ca="1" t="shared" si="1846"/>
        <v>8</v>
      </c>
      <c r="N1993" s="206">
        <f ca="1" t="shared" si="1847"/>
        <v>11</v>
      </c>
      <c r="O1993" s="206">
        <f ca="1" t="shared" si="1848"/>
        <v>12</v>
      </c>
      <c r="P1993" s="206">
        <f ca="1" t="shared" si="1849"/>
        <v>14</v>
      </c>
      <c r="Q1993" s="206">
        <f ca="1" t="shared" si="1850"/>
        <v>14</v>
      </c>
    </row>
    <row r="1994" ht="24" customHeight="1" spans="1:17">
      <c r="A1994" s="99" t="s">
        <v>350</v>
      </c>
      <c r="B1994" s="99" t="s">
        <v>290</v>
      </c>
      <c r="C1994" s="99" t="s">
        <v>316</v>
      </c>
      <c r="D1994" s="47" t="s">
        <v>294</v>
      </c>
      <c r="E1994" s="47" t="s">
        <v>85</v>
      </c>
      <c r="F1994" s="206">
        <f ca="1" t="shared" si="1839"/>
        <v>1</v>
      </c>
      <c r="G1994" s="206">
        <f ca="1" t="shared" si="1840"/>
        <v>1</v>
      </c>
      <c r="H1994" s="206">
        <f ca="1" t="shared" si="1841"/>
        <v>1</v>
      </c>
      <c r="I1994" s="206">
        <f ca="1" t="shared" si="1842"/>
        <v>2</v>
      </c>
      <c r="J1994" s="206">
        <f ca="1" t="shared" si="1843"/>
        <v>2</v>
      </c>
      <c r="K1994" s="206">
        <f ca="1" t="shared" si="1844"/>
        <v>2</v>
      </c>
      <c r="L1994" s="206">
        <f ca="1" t="shared" si="1845"/>
        <v>2</v>
      </c>
      <c r="M1994" s="206">
        <f ca="1" t="shared" si="1846"/>
        <v>4</v>
      </c>
      <c r="N1994" s="206">
        <f ca="1" t="shared" si="1847"/>
        <v>5</v>
      </c>
      <c r="O1994" s="206">
        <f ca="1" t="shared" si="1848"/>
        <v>5</v>
      </c>
      <c r="P1994" s="206">
        <f ca="1" t="shared" si="1849"/>
        <v>5</v>
      </c>
      <c r="Q1994" s="206">
        <f ca="1" t="shared" si="1850"/>
        <v>6</v>
      </c>
    </row>
    <row r="1995" ht="24" customHeight="1" spans="1:17">
      <c r="A1995" s="99" t="s">
        <v>350</v>
      </c>
      <c r="B1995" s="99" t="s">
        <v>290</v>
      </c>
      <c r="C1995" s="99" t="s">
        <v>316</v>
      </c>
      <c r="D1995" s="47" t="s">
        <v>294</v>
      </c>
      <c r="E1995" s="47" t="s">
        <v>81</v>
      </c>
      <c r="F1995" s="206">
        <f ca="1" t="shared" si="1839"/>
        <v>0</v>
      </c>
      <c r="G1995" s="206">
        <f ca="1" t="shared" si="1840"/>
        <v>0</v>
      </c>
      <c r="H1995" s="206">
        <f ca="1" t="shared" si="1841"/>
        <v>1</v>
      </c>
      <c r="I1995" s="206">
        <f ca="1" t="shared" si="1842"/>
        <v>1</v>
      </c>
      <c r="J1995" s="206">
        <f ca="1" t="shared" si="1843"/>
        <v>2</v>
      </c>
      <c r="K1995" s="206">
        <f ca="1" t="shared" si="1844"/>
        <v>2</v>
      </c>
      <c r="L1995" s="206">
        <f ca="1" t="shared" si="1845"/>
        <v>3</v>
      </c>
      <c r="M1995" s="206">
        <f ca="1" t="shared" si="1846"/>
        <v>3</v>
      </c>
      <c r="N1995" s="206">
        <f ca="1" t="shared" si="1847"/>
        <v>3</v>
      </c>
      <c r="O1995" s="206">
        <f ca="1" t="shared" si="1848"/>
        <v>3</v>
      </c>
      <c r="P1995" s="206">
        <f ca="1" t="shared" si="1849"/>
        <v>3</v>
      </c>
      <c r="Q1995" s="206">
        <f ca="1" t="shared" si="1850"/>
        <v>3</v>
      </c>
    </row>
    <row r="1996" ht="24" customHeight="1" spans="1:17">
      <c r="A1996" s="99" t="s">
        <v>350</v>
      </c>
      <c r="B1996" s="99" t="s">
        <v>290</v>
      </c>
      <c r="C1996" s="99" t="s">
        <v>316</v>
      </c>
      <c r="D1996" s="47" t="s">
        <v>294</v>
      </c>
      <c r="E1996" s="47" t="s">
        <v>96</v>
      </c>
      <c r="F1996" s="206">
        <f ca="1" t="shared" si="1839"/>
        <v>0</v>
      </c>
      <c r="G1996" s="206">
        <f ca="1" t="shared" si="1840"/>
        <v>1</v>
      </c>
      <c r="H1996" s="206">
        <f ca="1" t="shared" si="1841"/>
        <v>1</v>
      </c>
      <c r="I1996" s="206">
        <f ca="1" t="shared" si="1842"/>
        <v>1</v>
      </c>
      <c r="J1996" s="206">
        <f ca="1" t="shared" si="1843"/>
        <v>1</v>
      </c>
      <c r="K1996" s="206">
        <f ca="1" t="shared" si="1844"/>
        <v>1</v>
      </c>
      <c r="L1996" s="206">
        <f ca="1" t="shared" si="1845"/>
        <v>1</v>
      </c>
      <c r="M1996" s="206">
        <f ca="1" t="shared" si="1846"/>
        <v>1</v>
      </c>
      <c r="N1996" s="206">
        <f ca="1" t="shared" si="1847"/>
        <v>1</v>
      </c>
      <c r="O1996" s="206">
        <f ca="1" t="shared" si="1848"/>
        <v>1</v>
      </c>
      <c r="P1996" s="206">
        <f ca="1" t="shared" si="1849"/>
        <v>1</v>
      </c>
      <c r="Q1996" s="206">
        <f ca="1" t="shared" si="1850"/>
        <v>1</v>
      </c>
    </row>
    <row r="1997" ht="24" customHeight="1" spans="1:17">
      <c r="A1997" s="99" t="s">
        <v>350</v>
      </c>
      <c r="B1997" s="99" t="s">
        <v>290</v>
      </c>
      <c r="C1997" s="99" t="s">
        <v>316</v>
      </c>
      <c r="D1997" s="47" t="s">
        <v>294</v>
      </c>
      <c r="E1997" s="47" t="s">
        <v>160</v>
      </c>
      <c r="F1997" s="206">
        <f ca="1" t="shared" si="1839"/>
        <v>0</v>
      </c>
      <c r="G1997" s="206">
        <f ca="1" t="shared" si="1840"/>
        <v>0</v>
      </c>
      <c r="H1997" s="206">
        <f ca="1" t="shared" si="1841"/>
        <v>0</v>
      </c>
      <c r="I1997" s="206">
        <f ca="1" t="shared" si="1842"/>
        <v>0</v>
      </c>
      <c r="J1997" s="206">
        <f ca="1" t="shared" si="1843"/>
        <v>0</v>
      </c>
      <c r="K1997" s="206">
        <f ca="1" t="shared" si="1844"/>
        <v>0</v>
      </c>
      <c r="L1997" s="206">
        <f ca="1" t="shared" si="1845"/>
        <v>0</v>
      </c>
      <c r="M1997" s="206">
        <f ca="1" t="shared" si="1846"/>
        <v>0</v>
      </c>
      <c r="N1997" s="206">
        <f ca="1" t="shared" si="1847"/>
        <v>0</v>
      </c>
      <c r="O1997" s="206">
        <f ca="1" t="shared" si="1848"/>
        <v>0</v>
      </c>
      <c r="P1997" s="206">
        <f ca="1" t="shared" si="1849"/>
        <v>0</v>
      </c>
      <c r="Q1997" s="206">
        <f ca="1" t="shared" si="1850"/>
        <v>0</v>
      </c>
    </row>
    <row r="1998" ht="24" customHeight="1" spans="1:17">
      <c r="A1998" s="99" t="s">
        <v>350</v>
      </c>
      <c r="B1998" s="99" t="s">
        <v>290</v>
      </c>
      <c r="C1998" s="99" t="s">
        <v>316</v>
      </c>
      <c r="D1998" s="100" t="s">
        <v>292</v>
      </c>
      <c r="E1998" s="100" t="s">
        <v>318</v>
      </c>
      <c r="F1998" s="204">
        <f ca="1">IF($S$1&lt;DATE(2025,1,1)," ",SUM(F1999:F2001))</f>
        <v>1</v>
      </c>
      <c r="G1998" s="204">
        <f ca="1">IF($S$1&lt;DATE(2025,2,1)," ",SUM(G1999:G2001))</f>
        <v>2</v>
      </c>
      <c r="H1998" s="204">
        <f ca="1">IF($S$1&lt;DATE(2025,3,1)," ",SUM(H1999:H2001))</f>
        <v>5</v>
      </c>
      <c r="I1998" s="204">
        <f ca="1">IF($S$1&lt;DATE(2025,4,1)," ",SUM(I1999:I2001))</f>
        <v>5</v>
      </c>
      <c r="J1998" s="204">
        <f ca="1">IF($S$1&lt;DATE(2025,5,1)," ",SUM(J1999:J2001))</f>
        <v>8</v>
      </c>
      <c r="K1998" s="204">
        <f ca="1">IF($S$1&lt;DATE(2025,6,1)," ",SUM(K1999:K2001))</f>
        <v>8</v>
      </c>
      <c r="L1998" s="204">
        <f ca="1">IF($S$1&lt;DATE(2025,7,1)," ",SUM(L1999:L2001))</f>
        <v>9</v>
      </c>
      <c r="M1998" s="204">
        <f ca="1">IF($S$1&lt;DATE(2025,8,1)," ",SUM(M1999:M2001))</f>
        <v>12</v>
      </c>
      <c r="N1998" s="204">
        <f ca="1">IF($S$1&lt;DATE(2025,9,1)," ",SUM(N1999:N2001))</f>
        <v>15</v>
      </c>
      <c r="O1998" s="204">
        <f ca="1">IF($S$1&lt;DATE(2025,10,1)," ",SUM(O1999:O2001))</f>
        <v>15</v>
      </c>
      <c r="P1998" s="204">
        <f ca="1">IF($S$1&lt;DATE(2025,11,1)," ",SUM(P1999:P2001))</f>
        <v>16</v>
      </c>
      <c r="Q1998" s="204">
        <f ca="1">IF($S$1&lt;DATE(2025,12,1)," ",SUM(Q1999:Q2001))</f>
        <v>16</v>
      </c>
    </row>
    <row r="1999" ht="24" customHeight="1" spans="1:17">
      <c r="A1999" s="99" t="s">
        <v>350</v>
      </c>
      <c r="B1999" s="99" t="s">
        <v>290</v>
      </c>
      <c r="C1999" s="99" t="s">
        <v>316</v>
      </c>
      <c r="D1999" s="48" t="s">
        <v>296</v>
      </c>
      <c r="E1999" s="48" t="s">
        <v>90</v>
      </c>
      <c r="F1999" s="205">
        <f ca="1" t="shared" ref="F1999:F2001" si="1851">IF($S$1&lt;DATE(2025,1,1)," ",F1901)</f>
        <v>1</v>
      </c>
      <c r="G1999" s="205">
        <f ca="1" t="shared" ref="G1999:G2001" si="1852">IF($S$1&lt;DATE(2025,2,1)," ",G1901+F1999)</f>
        <v>1</v>
      </c>
      <c r="H1999" s="205">
        <f ca="1" t="shared" ref="H1999:H2001" si="1853">IF($S$1&lt;DATE(2025,3,1)," ",H1901+G1999)</f>
        <v>2</v>
      </c>
      <c r="I1999" s="205">
        <f ca="1" t="shared" ref="I1999:I2001" si="1854">IF($S$1&lt;DATE(2025,4,1)," ",I1901+H1999)</f>
        <v>2</v>
      </c>
      <c r="J1999" s="205">
        <f ca="1" t="shared" ref="J1999:J2001" si="1855">IF($S$1&lt;DATE(2025,5,1)," ",J1901+I1999)</f>
        <v>4</v>
      </c>
      <c r="K1999" s="205">
        <f ca="1" t="shared" ref="K1999:K2001" si="1856">IF($S$1&lt;DATE(2025,6,1)," ",K1901+J1999)</f>
        <v>4</v>
      </c>
      <c r="L1999" s="205">
        <f ca="1" t="shared" ref="L1999:L2001" si="1857">IF($S$1&lt;DATE(2025,7,1)," ",L1901+K1999)</f>
        <v>4</v>
      </c>
      <c r="M1999" s="205">
        <f ca="1" t="shared" ref="M1999:M2001" si="1858">IF($S$1&lt;DATE(2025,8,1)," ",M1901+L1999)</f>
        <v>4</v>
      </c>
      <c r="N1999" s="205">
        <f ca="1" t="shared" ref="N1999:N2001" si="1859">IF($S$1&lt;DATE(2025,9,1)," ",N1901+M1999)</f>
        <v>5</v>
      </c>
      <c r="O1999" s="205">
        <f ca="1" t="shared" ref="O1999:O2001" si="1860">IF($S$1&lt;DATE(2025,10,1)," ",O1901+N1999)</f>
        <v>5</v>
      </c>
      <c r="P1999" s="205">
        <f ca="1" t="shared" ref="P1999:P2001" si="1861">IF($S$1&lt;DATE(2025,11,1)," ",P1901+O1999)</f>
        <v>5</v>
      </c>
      <c r="Q1999" s="205">
        <f ca="1" t="shared" ref="Q1999:Q2001" si="1862">IF($S$1&lt;DATE(2025,12,1)," ",Q1901+P1999)</f>
        <v>5</v>
      </c>
    </row>
    <row r="2000" ht="24" customHeight="1" spans="1:17">
      <c r="A2000" s="99" t="s">
        <v>350</v>
      </c>
      <c r="B2000" s="99" t="s">
        <v>290</v>
      </c>
      <c r="C2000" s="99" t="s">
        <v>316</v>
      </c>
      <c r="D2000" s="48" t="s">
        <v>296</v>
      </c>
      <c r="E2000" s="48" t="s">
        <v>82</v>
      </c>
      <c r="F2000" s="205">
        <f ca="1" t="shared" si="1851"/>
        <v>0</v>
      </c>
      <c r="G2000" s="205">
        <f ca="1" t="shared" si="1852"/>
        <v>1</v>
      </c>
      <c r="H2000" s="205">
        <f ca="1" t="shared" si="1853"/>
        <v>3</v>
      </c>
      <c r="I2000" s="205">
        <f ca="1" t="shared" si="1854"/>
        <v>3</v>
      </c>
      <c r="J2000" s="205">
        <f ca="1" t="shared" si="1855"/>
        <v>4</v>
      </c>
      <c r="K2000" s="205">
        <f ca="1" t="shared" si="1856"/>
        <v>4</v>
      </c>
      <c r="L2000" s="205">
        <f ca="1" t="shared" si="1857"/>
        <v>5</v>
      </c>
      <c r="M2000" s="205">
        <f ca="1" t="shared" si="1858"/>
        <v>8</v>
      </c>
      <c r="N2000" s="205">
        <f ca="1" t="shared" si="1859"/>
        <v>10</v>
      </c>
      <c r="O2000" s="205">
        <f ca="1" t="shared" si="1860"/>
        <v>10</v>
      </c>
      <c r="P2000" s="205">
        <f ca="1" t="shared" si="1861"/>
        <v>11</v>
      </c>
      <c r="Q2000" s="205">
        <f ca="1" t="shared" si="1862"/>
        <v>11</v>
      </c>
    </row>
    <row r="2001" ht="24" customHeight="1" spans="1:17">
      <c r="A2001" s="99" t="s">
        <v>350</v>
      </c>
      <c r="B2001" s="99" t="s">
        <v>290</v>
      </c>
      <c r="C2001" s="99" t="s">
        <v>316</v>
      </c>
      <c r="D2001" s="48" t="s">
        <v>296</v>
      </c>
      <c r="E2001" s="48" t="s">
        <v>86</v>
      </c>
      <c r="F2001" s="205">
        <f ca="1" t="shared" si="1851"/>
        <v>0</v>
      </c>
      <c r="G2001" s="205">
        <f ca="1" t="shared" si="1852"/>
        <v>0</v>
      </c>
      <c r="H2001" s="205">
        <f ca="1" t="shared" si="1853"/>
        <v>0</v>
      </c>
      <c r="I2001" s="205">
        <f ca="1" t="shared" si="1854"/>
        <v>0</v>
      </c>
      <c r="J2001" s="205">
        <f ca="1" t="shared" si="1855"/>
        <v>0</v>
      </c>
      <c r="K2001" s="205">
        <f ca="1" t="shared" si="1856"/>
        <v>0</v>
      </c>
      <c r="L2001" s="205">
        <f ca="1" t="shared" si="1857"/>
        <v>0</v>
      </c>
      <c r="M2001" s="205">
        <f ca="1" t="shared" si="1858"/>
        <v>0</v>
      </c>
      <c r="N2001" s="205">
        <f ca="1" t="shared" si="1859"/>
        <v>0</v>
      </c>
      <c r="O2001" s="205">
        <f ca="1" t="shared" si="1860"/>
        <v>0</v>
      </c>
      <c r="P2001" s="205">
        <f ca="1" t="shared" si="1861"/>
        <v>0</v>
      </c>
      <c r="Q2001" s="205">
        <f ca="1" t="shared" si="1862"/>
        <v>0</v>
      </c>
    </row>
    <row r="2002" ht="24" customHeight="1" spans="1:17">
      <c r="A2002" s="99" t="s">
        <v>350</v>
      </c>
      <c r="B2002" s="99" t="s">
        <v>290</v>
      </c>
      <c r="C2002" s="99" t="s">
        <v>316</v>
      </c>
      <c r="D2002" s="100" t="s">
        <v>292</v>
      </c>
      <c r="E2002" s="100" t="s">
        <v>319</v>
      </c>
      <c r="F2002" s="204">
        <f ca="1">IF($S$1&lt;DATE(2025,1,1)," ",SUM(F2003:F2006))</f>
        <v>1</v>
      </c>
      <c r="G2002" s="204">
        <f ca="1">IF($S$1&lt;DATE(2025,2,1)," ",SUM(G2003:G2006))</f>
        <v>3</v>
      </c>
      <c r="H2002" s="204">
        <f ca="1">IF($S$1&lt;DATE(2025,3,1)," ",SUM(H2003:H2006))</f>
        <v>7</v>
      </c>
      <c r="I2002" s="204">
        <f ca="1">IF($S$1&lt;DATE(2025,4,1)," ",SUM(I2003:I2006))</f>
        <v>8</v>
      </c>
      <c r="J2002" s="204">
        <f ca="1">IF($S$1&lt;DATE(2025,5,1)," ",SUM(J2003:J2006))</f>
        <v>11</v>
      </c>
      <c r="K2002" s="204">
        <f ca="1">IF($S$1&lt;DATE(2025,6,1)," ",SUM(K2003:K2006))</f>
        <v>11</v>
      </c>
      <c r="L2002" s="204">
        <f ca="1">IF($S$1&lt;DATE(2025,7,1)," ",SUM(L2003:L2006))</f>
        <v>12</v>
      </c>
      <c r="M2002" s="204">
        <f ca="1">IF($S$1&lt;DATE(2025,8,1)," ",SUM(M2003:M2006))</f>
        <v>15</v>
      </c>
      <c r="N2002" s="204">
        <f ca="1">IF($S$1&lt;DATE(2025,9,1)," ",SUM(N2003:N2006))</f>
        <v>19</v>
      </c>
      <c r="O2002" s="204">
        <f ca="1">IF($S$1&lt;DATE(2025,10,1)," ",SUM(O2003:O2006))</f>
        <v>20</v>
      </c>
      <c r="P2002" s="204">
        <f ca="1">IF($S$1&lt;DATE(2025,11,1)," ",SUM(P2003:P2006))</f>
        <v>22</v>
      </c>
      <c r="Q2002" s="204">
        <f ca="1">IF($S$1&lt;DATE(2025,12,1)," ",SUM(Q2003:Q2006))</f>
        <v>23</v>
      </c>
    </row>
    <row r="2003" ht="24" customHeight="1" spans="1:17">
      <c r="A2003" s="99" t="s">
        <v>350</v>
      </c>
      <c r="B2003" s="99" t="s">
        <v>290</v>
      </c>
      <c r="C2003" s="99" t="s">
        <v>316</v>
      </c>
      <c r="D2003" s="48" t="s">
        <v>298</v>
      </c>
      <c r="E2003" s="48" t="s">
        <v>97</v>
      </c>
      <c r="F2003" s="205">
        <f ca="1" t="shared" ref="F2003:F2006" si="1863">IF($S$1&lt;DATE(2025,1,1)," ",F1905)</f>
        <v>0</v>
      </c>
      <c r="G2003" s="205">
        <f ca="1" t="shared" ref="G2003:G2006" si="1864">IF($S$1&lt;DATE(2025,2,1)," ",G1905+F2003)</f>
        <v>2</v>
      </c>
      <c r="H2003" s="205">
        <f ca="1" t="shared" ref="H2003:H2006" si="1865">IF($S$1&lt;DATE(2025,3,1)," ",H1905+G2003)</f>
        <v>3</v>
      </c>
      <c r="I2003" s="205">
        <f ca="1" t="shared" ref="I2003:I2006" si="1866">IF($S$1&lt;DATE(2025,4,1)," ",I1905+H2003)</f>
        <v>3</v>
      </c>
      <c r="J2003" s="205">
        <f ca="1" t="shared" ref="J2003:J2006" si="1867">IF($S$1&lt;DATE(2025,5,1)," ",J1905+I2003)</f>
        <v>5</v>
      </c>
      <c r="K2003" s="205">
        <f ca="1" t="shared" ref="K2003:K2006" si="1868">IF($S$1&lt;DATE(2025,6,1)," ",K1905+J2003)</f>
        <v>5</v>
      </c>
      <c r="L2003" s="205">
        <f ca="1" t="shared" ref="L2003:L2006" si="1869">IF($S$1&lt;DATE(2025,7,1)," ",L1905+K2003)</f>
        <v>5</v>
      </c>
      <c r="M2003" s="205">
        <f ca="1" t="shared" ref="M2003:M2006" si="1870">IF($S$1&lt;DATE(2025,8,1)," ",M1905+L2003)</f>
        <v>6</v>
      </c>
      <c r="N2003" s="205">
        <f ca="1" t="shared" ref="N2003:N2006" si="1871">IF($S$1&lt;DATE(2025,9,1)," ",N1905+M2003)</f>
        <v>7</v>
      </c>
      <c r="O2003" s="205">
        <f ca="1" t="shared" ref="O2003:O2006" si="1872">IF($S$1&lt;DATE(2025,10,1)," ",O1905+N2003)</f>
        <v>8</v>
      </c>
      <c r="P2003" s="205">
        <f ca="1" t="shared" ref="P2003:P2006" si="1873">IF($S$1&lt;DATE(2025,11,1)," ",P1905+O2003)</f>
        <v>9</v>
      </c>
      <c r="Q2003" s="205">
        <f ca="1" t="shared" ref="Q2003:Q2006" si="1874">IF($S$1&lt;DATE(2025,12,1)," ",Q1905+P2003)</f>
        <v>9</v>
      </c>
    </row>
    <row r="2004" ht="24" customHeight="1" spans="1:17">
      <c r="A2004" s="99" t="s">
        <v>350</v>
      </c>
      <c r="B2004" s="99" t="s">
        <v>290</v>
      </c>
      <c r="C2004" s="99" t="s">
        <v>316</v>
      </c>
      <c r="D2004" s="48" t="s">
        <v>298</v>
      </c>
      <c r="E2004" s="48" t="s">
        <v>87</v>
      </c>
      <c r="F2004" s="205">
        <f ca="1" t="shared" si="1863"/>
        <v>0</v>
      </c>
      <c r="G2004" s="205">
        <f ca="1" t="shared" si="1864"/>
        <v>0</v>
      </c>
      <c r="H2004" s="205">
        <f ca="1" t="shared" si="1865"/>
        <v>1</v>
      </c>
      <c r="I2004" s="205">
        <f ca="1" t="shared" si="1866"/>
        <v>1</v>
      </c>
      <c r="J2004" s="205">
        <f ca="1" t="shared" si="1867"/>
        <v>2</v>
      </c>
      <c r="K2004" s="205">
        <f ca="1" t="shared" si="1868"/>
        <v>2</v>
      </c>
      <c r="L2004" s="205">
        <f ca="1" t="shared" si="1869"/>
        <v>3</v>
      </c>
      <c r="M2004" s="205">
        <f ca="1" t="shared" si="1870"/>
        <v>5</v>
      </c>
      <c r="N2004" s="205">
        <f ca="1" t="shared" si="1871"/>
        <v>6</v>
      </c>
      <c r="O2004" s="205">
        <f ca="1" t="shared" si="1872"/>
        <v>6</v>
      </c>
      <c r="P2004" s="205">
        <f ca="1" t="shared" si="1873"/>
        <v>7</v>
      </c>
      <c r="Q2004" s="205">
        <f ca="1" t="shared" si="1874"/>
        <v>7</v>
      </c>
    </row>
    <row r="2005" ht="24" customHeight="1" spans="1:17">
      <c r="A2005" s="99" t="s">
        <v>350</v>
      </c>
      <c r="B2005" s="99" t="s">
        <v>290</v>
      </c>
      <c r="C2005" s="99" t="s">
        <v>316</v>
      </c>
      <c r="D2005" s="48" t="s">
        <v>298</v>
      </c>
      <c r="E2005" s="48" t="s">
        <v>149</v>
      </c>
      <c r="F2005" s="205">
        <f ca="1" t="shared" si="1863"/>
        <v>0</v>
      </c>
      <c r="G2005" s="205">
        <f ca="1" t="shared" si="1864"/>
        <v>0</v>
      </c>
      <c r="H2005" s="205">
        <f ca="1" t="shared" si="1865"/>
        <v>2</v>
      </c>
      <c r="I2005" s="205">
        <f ca="1" t="shared" si="1866"/>
        <v>2</v>
      </c>
      <c r="J2005" s="205">
        <f ca="1" t="shared" si="1867"/>
        <v>2</v>
      </c>
      <c r="K2005" s="205">
        <f ca="1" t="shared" si="1868"/>
        <v>2</v>
      </c>
      <c r="L2005" s="205">
        <f ca="1" t="shared" si="1869"/>
        <v>2</v>
      </c>
      <c r="M2005" s="205">
        <f ca="1" t="shared" si="1870"/>
        <v>2</v>
      </c>
      <c r="N2005" s="205">
        <f ca="1" t="shared" si="1871"/>
        <v>2</v>
      </c>
      <c r="O2005" s="205">
        <f ca="1" t="shared" si="1872"/>
        <v>2</v>
      </c>
      <c r="P2005" s="205">
        <f ca="1" t="shared" si="1873"/>
        <v>2</v>
      </c>
      <c r="Q2005" s="205">
        <f ca="1" t="shared" si="1874"/>
        <v>2</v>
      </c>
    </row>
    <row r="2006" ht="24" customHeight="1" spans="1:17">
      <c r="A2006" s="99" t="s">
        <v>350</v>
      </c>
      <c r="B2006" s="99" t="s">
        <v>290</v>
      </c>
      <c r="C2006" s="99" t="s">
        <v>316</v>
      </c>
      <c r="D2006" s="48" t="s">
        <v>298</v>
      </c>
      <c r="E2006" s="48" t="s">
        <v>83</v>
      </c>
      <c r="F2006" s="205">
        <f ca="1" t="shared" si="1863"/>
        <v>1</v>
      </c>
      <c r="G2006" s="205">
        <f ca="1" t="shared" si="1864"/>
        <v>1</v>
      </c>
      <c r="H2006" s="205">
        <f ca="1" t="shared" si="1865"/>
        <v>1</v>
      </c>
      <c r="I2006" s="205">
        <f ca="1" t="shared" si="1866"/>
        <v>2</v>
      </c>
      <c r="J2006" s="205">
        <f ca="1" t="shared" si="1867"/>
        <v>2</v>
      </c>
      <c r="K2006" s="205">
        <f ca="1" t="shared" si="1868"/>
        <v>2</v>
      </c>
      <c r="L2006" s="205">
        <f ca="1" t="shared" si="1869"/>
        <v>2</v>
      </c>
      <c r="M2006" s="205">
        <f ca="1" t="shared" si="1870"/>
        <v>2</v>
      </c>
      <c r="N2006" s="205">
        <f ca="1" t="shared" si="1871"/>
        <v>4</v>
      </c>
      <c r="O2006" s="205">
        <f ca="1" t="shared" si="1872"/>
        <v>4</v>
      </c>
      <c r="P2006" s="205">
        <f ca="1" t="shared" si="1873"/>
        <v>4</v>
      </c>
      <c r="Q2006" s="205">
        <f ca="1" t="shared" si="1874"/>
        <v>5</v>
      </c>
    </row>
    <row r="2007" ht="24" customHeight="1" spans="1:17">
      <c r="A2007" s="99" t="s">
        <v>350</v>
      </c>
      <c r="B2007" s="99" t="s">
        <v>299</v>
      </c>
      <c r="C2007" s="99" t="s">
        <v>316</v>
      </c>
      <c r="D2007" s="100" t="s">
        <v>292</v>
      </c>
      <c r="E2007" s="100" t="s">
        <v>320</v>
      </c>
      <c r="F2007" s="204">
        <f ca="1">IF($S$1&lt;DATE(2025,1,1)," ",IF((SUM(F2008:F2014)-MAX(F2027,F2034))&lt;0,"ERR",SUM(F2008:F2014)))</f>
        <v>1</v>
      </c>
      <c r="G2007" s="204">
        <f ca="1">IF($S$1&lt;DATE(2025,2,1)," ",IF((SUM(G2008:G2014)-MAX(G2027,G2034))&lt;0,"ERR",SUM(G2008:G2014)))</f>
        <v>2</v>
      </c>
      <c r="H2007" s="204">
        <f ca="1">IF($S$1&lt;DATE(2025,3,1)," ",IF((SUM(H2008:H2014)-MAX(H2027,H2034))&lt;0,"ERR",SUM(H2008:H2014)))</f>
        <v>8</v>
      </c>
      <c r="I2007" s="204">
        <f ca="1">IF($S$1&lt;DATE(2025,4,1)," ",IF((SUM(I2008:I2014)-MAX(I2027,I2034))&lt;0,"ERR",SUM(I2008:I2014)))</f>
        <v>9</v>
      </c>
      <c r="J2007" s="204">
        <f ca="1">IF($S$1&lt;DATE(2025,5,1)," ",IF((SUM(J2008:J2014)-MAX(J2027,J2034))&lt;0,"ERR",SUM(J2008:J2014)))</f>
        <v>11</v>
      </c>
      <c r="K2007" s="204">
        <f ca="1">IF($S$1&lt;DATE(2025,6,1)," ",IF((SUM(K2008:K2014)-MAX(K2027,K2034))&lt;0,"ERR",SUM(K2008:K2014)))</f>
        <v>12</v>
      </c>
      <c r="L2007" s="204">
        <f ca="1">IF($S$1&lt;DATE(2025,7,1)," ",IF((SUM(L2008:L2014)-MAX(L2027,L2034))&lt;0,"ERR",SUM(L2008:L2014)))</f>
        <v>13</v>
      </c>
      <c r="M2007" s="204">
        <f ca="1">IF($S$1&lt;DATE(2025,8,1)," ",IF((SUM(M2008:M2014)-MAX(M2027,M2034))&lt;0,"ERR",SUM(M2008:M2014)))</f>
        <v>16</v>
      </c>
      <c r="N2007" s="204">
        <f ca="1">IF($S$1&lt;DATE(2025,9,1)," ",IF((SUM(N2008:N2014)-MAX(N2027,N2034))&lt;0,"ERR",SUM(N2008:N2014)))</f>
        <v>16</v>
      </c>
      <c r="O2007" s="204">
        <f ca="1">IF($S$1&lt;DATE(2025,10,1)," ",IF((SUM(O2008:O2014)-MAX(O2027,O2034))&lt;0,"ERR",SUM(O2008:O2014)))</f>
        <v>19</v>
      </c>
      <c r="P2007" s="204">
        <f ca="1">IF($S$1&lt;DATE(2025,11,1)," ",IF((SUM(P2008:P2014)-MAX(P2027,P2034))&lt;0,"ERR",SUM(P2008:P2014)))</f>
        <v>21</v>
      </c>
      <c r="Q2007" s="204">
        <f ca="1">IF($S$1&lt;DATE(2025,12,1)," ",IF((SUM(Q2008:Q2014)-MAX(Q2027,Q2034))&lt;0,"ERR",SUM(Q2008:Q2014)))</f>
        <v>21</v>
      </c>
    </row>
    <row r="2008" ht="24" customHeight="1" spans="1:17">
      <c r="A2008" s="99" t="s">
        <v>350</v>
      </c>
      <c r="B2008" s="99" t="s">
        <v>299</v>
      </c>
      <c r="C2008" s="99" t="s">
        <v>316</v>
      </c>
      <c r="D2008" s="48" t="s">
        <v>31</v>
      </c>
      <c r="E2008" s="48" t="s">
        <v>90</v>
      </c>
      <c r="F2008" s="205">
        <f ca="1" t="shared" ref="F2008:F2014" si="1875">IF($S$1&lt;DATE(2025,1,1)," ",F1910)</f>
        <v>1</v>
      </c>
      <c r="G2008" s="205">
        <f ca="1" t="shared" ref="G2008:G2014" si="1876">IF($S$1&lt;DATE(2025,2,1)," ",G1910+F2008)</f>
        <v>1</v>
      </c>
      <c r="H2008" s="205">
        <f ca="1" t="shared" ref="H2008:H2014" si="1877">IF($S$1&lt;DATE(2025,3,1)," ",H1910+G2008)</f>
        <v>1</v>
      </c>
      <c r="I2008" s="205">
        <f ca="1" t="shared" ref="I2008:I2014" si="1878">IF($S$1&lt;DATE(2025,4,1)," ",I1910+H2008)</f>
        <v>1</v>
      </c>
      <c r="J2008" s="205">
        <f ca="1" t="shared" ref="J2008:J2014" si="1879">IF($S$1&lt;DATE(2025,5,1)," ",J1910+I2008)</f>
        <v>2</v>
      </c>
      <c r="K2008" s="205">
        <f ca="1" t="shared" ref="K2008:K2014" si="1880">IF($S$1&lt;DATE(2025,6,1)," ",K1910+J2008)</f>
        <v>2</v>
      </c>
      <c r="L2008" s="205">
        <f ca="1" t="shared" ref="L2008:L2014" si="1881">IF($S$1&lt;DATE(2025,7,1)," ",L1910+K2008)</f>
        <v>2</v>
      </c>
      <c r="M2008" s="205">
        <f ca="1" t="shared" ref="M2008:M2014" si="1882">IF($S$1&lt;DATE(2025,8,1)," ",M1910+L2008)</f>
        <v>2</v>
      </c>
      <c r="N2008" s="205">
        <f ca="1" t="shared" ref="N2008:N2014" si="1883">IF($S$1&lt;DATE(2025,9,1)," ",N1910+M2008)</f>
        <v>2</v>
      </c>
      <c r="O2008" s="205">
        <f ca="1" t="shared" ref="O2008:O2014" si="1884">IF($S$1&lt;DATE(2025,10,1)," ",O1910+N2008)</f>
        <v>3</v>
      </c>
      <c r="P2008" s="205">
        <f ca="1" t="shared" ref="P2008:P2014" si="1885">IF($S$1&lt;DATE(2025,11,1)," ",P1910+O2008)</f>
        <v>3</v>
      </c>
      <c r="Q2008" s="205">
        <f ca="1" t="shared" ref="Q2008:Q2014" si="1886">IF($S$1&lt;DATE(2025,12,1)," ",Q1910+P2008)</f>
        <v>3</v>
      </c>
    </row>
    <row r="2009" ht="24" customHeight="1" spans="1:17">
      <c r="A2009" s="99" t="s">
        <v>350</v>
      </c>
      <c r="B2009" s="99" t="s">
        <v>299</v>
      </c>
      <c r="C2009" s="99" t="s">
        <v>316</v>
      </c>
      <c r="D2009" s="48" t="s">
        <v>31</v>
      </c>
      <c r="E2009" s="48" t="s">
        <v>82</v>
      </c>
      <c r="F2009" s="205">
        <f ca="1" t="shared" si="1875"/>
        <v>0</v>
      </c>
      <c r="G2009" s="205">
        <f ca="1" t="shared" si="1876"/>
        <v>1</v>
      </c>
      <c r="H2009" s="205">
        <f ca="1" t="shared" si="1877"/>
        <v>2</v>
      </c>
      <c r="I2009" s="205">
        <f ca="1" t="shared" si="1878"/>
        <v>2</v>
      </c>
      <c r="J2009" s="205">
        <f ca="1" t="shared" si="1879"/>
        <v>2</v>
      </c>
      <c r="K2009" s="205">
        <f ca="1" t="shared" si="1880"/>
        <v>2</v>
      </c>
      <c r="L2009" s="205">
        <f ca="1" t="shared" si="1881"/>
        <v>3</v>
      </c>
      <c r="M2009" s="205">
        <f ca="1" t="shared" si="1882"/>
        <v>5</v>
      </c>
      <c r="N2009" s="205">
        <f ca="1" t="shared" si="1883"/>
        <v>5</v>
      </c>
      <c r="O2009" s="205">
        <f ca="1" t="shared" si="1884"/>
        <v>5</v>
      </c>
      <c r="P2009" s="205">
        <f ca="1" t="shared" si="1885"/>
        <v>5</v>
      </c>
      <c r="Q2009" s="205">
        <f ca="1" t="shared" si="1886"/>
        <v>5</v>
      </c>
    </row>
    <row r="2010" ht="24" customHeight="1" spans="1:17">
      <c r="A2010" s="99" t="s">
        <v>350</v>
      </c>
      <c r="B2010" s="99" t="s">
        <v>299</v>
      </c>
      <c r="C2010" s="99" t="s">
        <v>316</v>
      </c>
      <c r="D2010" s="48" t="s">
        <v>31</v>
      </c>
      <c r="E2010" s="48" t="s">
        <v>86</v>
      </c>
      <c r="F2010" s="205">
        <f ca="1" t="shared" si="1875"/>
        <v>0</v>
      </c>
      <c r="G2010" s="205">
        <f ca="1" t="shared" si="1876"/>
        <v>0</v>
      </c>
      <c r="H2010" s="205">
        <f ca="1" t="shared" si="1877"/>
        <v>0</v>
      </c>
      <c r="I2010" s="205">
        <f ca="1" t="shared" si="1878"/>
        <v>0</v>
      </c>
      <c r="J2010" s="205">
        <f ca="1" t="shared" si="1879"/>
        <v>0</v>
      </c>
      <c r="K2010" s="205">
        <f ca="1" t="shared" si="1880"/>
        <v>0</v>
      </c>
      <c r="L2010" s="205">
        <f ca="1" t="shared" si="1881"/>
        <v>0</v>
      </c>
      <c r="M2010" s="205">
        <f ca="1" t="shared" si="1882"/>
        <v>0</v>
      </c>
      <c r="N2010" s="205">
        <f ca="1" t="shared" si="1883"/>
        <v>0</v>
      </c>
      <c r="O2010" s="205">
        <f ca="1" t="shared" si="1884"/>
        <v>0</v>
      </c>
      <c r="P2010" s="205">
        <f ca="1" t="shared" si="1885"/>
        <v>0</v>
      </c>
      <c r="Q2010" s="205">
        <f ca="1" t="shared" si="1886"/>
        <v>0</v>
      </c>
    </row>
    <row r="2011" ht="24" customHeight="1" spans="1:17">
      <c r="A2011" s="99" t="s">
        <v>350</v>
      </c>
      <c r="B2011" s="99" t="s">
        <v>299</v>
      </c>
      <c r="C2011" s="99" t="s">
        <v>316</v>
      </c>
      <c r="D2011" s="48" t="s">
        <v>31</v>
      </c>
      <c r="E2011" s="48" t="s">
        <v>97</v>
      </c>
      <c r="F2011" s="205">
        <f ca="1" t="shared" si="1875"/>
        <v>0</v>
      </c>
      <c r="G2011" s="205">
        <f ca="1" t="shared" si="1876"/>
        <v>0</v>
      </c>
      <c r="H2011" s="205">
        <f ca="1" t="shared" si="1877"/>
        <v>3</v>
      </c>
      <c r="I2011" s="205">
        <f ca="1" t="shared" si="1878"/>
        <v>3</v>
      </c>
      <c r="J2011" s="205">
        <f ca="1" t="shared" si="1879"/>
        <v>4</v>
      </c>
      <c r="K2011" s="205">
        <f ca="1" t="shared" si="1880"/>
        <v>5</v>
      </c>
      <c r="L2011" s="205">
        <f ca="1" t="shared" si="1881"/>
        <v>5</v>
      </c>
      <c r="M2011" s="205">
        <f ca="1" t="shared" si="1882"/>
        <v>5</v>
      </c>
      <c r="N2011" s="205">
        <f ca="1" t="shared" si="1883"/>
        <v>5</v>
      </c>
      <c r="O2011" s="205">
        <f ca="1" t="shared" si="1884"/>
        <v>5</v>
      </c>
      <c r="P2011" s="205">
        <f ca="1" t="shared" si="1885"/>
        <v>7</v>
      </c>
      <c r="Q2011" s="205">
        <f ca="1" t="shared" si="1886"/>
        <v>7</v>
      </c>
    </row>
    <row r="2012" ht="24" customHeight="1" spans="1:17">
      <c r="A2012" s="99" t="s">
        <v>350</v>
      </c>
      <c r="B2012" s="99" t="s">
        <v>299</v>
      </c>
      <c r="C2012" s="99" t="s">
        <v>316</v>
      </c>
      <c r="D2012" s="48" t="s">
        <v>31</v>
      </c>
      <c r="E2012" s="48" t="s">
        <v>87</v>
      </c>
      <c r="F2012" s="205">
        <f ca="1" t="shared" si="1875"/>
        <v>0</v>
      </c>
      <c r="G2012" s="205">
        <f ca="1" t="shared" si="1876"/>
        <v>0</v>
      </c>
      <c r="H2012" s="205">
        <f ca="1" t="shared" si="1877"/>
        <v>0</v>
      </c>
      <c r="I2012" s="205">
        <f ca="1" t="shared" si="1878"/>
        <v>0</v>
      </c>
      <c r="J2012" s="205">
        <f ca="1" t="shared" si="1879"/>
        <v>0</v>
      </c>
      <c r="K2012" s="205">
        <f ca="1" t="shared" si="1880"/>
        <v>0</v>
      </c>
      <c r="L2012" s="205">
        <f ca="1" t="shared" si="1881"/>
        <v>0</v>
      </c>
      <c r="M2012" s="205">
        <f ca="1" t="shared" si="1882"/>
        <v>1</v>
      </c>
      <c r="N2012" s="205">
        <f ca="1" t="shared" si="1883"/>
        <v>1</v>
      </c>
      <c r="O2012" s="205">
        <f ca="1" t="shared" si="1884"/>
        <v>1</v>
      </c>
      <c r="P2012" s="205">
        <f ca="1" t="shared" si="1885"/>
        <v>1</v>
      </c>
      <c r="Q2012" s="205">
        <f ca="1" t="shared" si="1886"/>
        <v>1</v>
      </c>
    </row>
    <row r="2013" ht="24" customHeight="1" spans="1:17">
      <c r="A2013" s="99" t="s">
        <v>350</v>
      </c>
      <c r="B2013" s="99" t="s">
        <v>299</v>
      </c>
      <c r="C2013" s="99" t="s">
        <v>316</v>
      </c>
      <c r="D2013" s="48" t="s">
        <v>31</v>
      </c>
      <c r="E2013" s="48" t="s">
        <v>149</v>
      </c>
      <c r="F2013" s="205">
        <f ca="1" t="shared" si="1875"/>
        <v>0</v>
      </c>
      <c r="G2013" s="205">
        <f ca="1" t="shared" si="1876"/>
        <v>0</v>
      </c>
      <c r="H2013" s="205">
        <f ca="1" t="shared" si="1877"/>
        <v>2</v>
      </c>
      <c r="I2013" s="205">
        <f ca="1" t="shared" si="1878"/>
        <v>2</v>
      </c>
      <c r="J2013" s="205">
        <f ca="1" t="shared" si="1879"/>
        <v>2</v>
      </c>
      <c r="K2013" s="205">
        <f ca="1" t="shared" si="1880"/>
        <v>2</v>
      </c>
      <c r="L2013" s="205">
        <f ca="1" t="shared" si="1881"/>
        <v>2</v>
      </c>
      <c r="M2013" s="205">
        <f ca="1" t="shared" si="1882"/>
        <v>2</v>
      </c>
      <c r="N2013" s="205">
        <f ca="1" t="shared" si="1883"/>
        <v>2</v>
      </c>
      <c r="O2013" s="205">
        <f ca="1" t="shared" si="1884"/>
        <v>2</v>
      </c>
      <c r="P2013" s="205">
        <f ca="1" t="shared" si="1885"/>
        <v>2</v>
      </c>
      <c r="Q2013" s="205">
        <f ca="1" t="shared" si="1886"/>
        <v>2</v>
      </c>
    </row>
    <row r="2014" ht="24" customHeight="1" spans="1:17">
      <c r="A2014" s="99" t="s">
        <v>350</v>
      </c>
      <c r="B2014" s="99" t="s">
        <v>299</v>
      </c>
      <c r="C2014" s="99" t="s">
        <v>316</v>
      </c>
      <c r="D2014" s="48" t="s">
        <v>31</v>
      </c>
      <c r="E2014" s="48" t="s">
        <v>83</v>
      </c>
      <c r="F2014" s="205">
        <f ca="1" t="shared" si="1875"/>
        <v>0</v>
      </c>
      <c r="G2014" s="205">
        <f ca="1" t="shared" si="1876"/>
        <v>0</v>
      </c>
      <c r="H2014" s="205">
        <f ca="1" t="shared" si="1877"/>
        <v>0</v>
      </c>
      <c r="I2014" s="205">
        <f ca="1" t="shared" si="1878"/>
        <v>1</v>
      </c>
      <c r="J2014" s="205">
        <f ca="1" t="shared" si="1879"/>
        <v>1</v>
      </c>
      <c r="K2014" s="205">
        <f ca="1" t="shared" si="1880"/>
        <v>1</v>
      </c>
      <c r="L2014" s="205">
        <f ca="1" t="shared" si="1881"/>
        <v>1</v>
      </c>
      <c r="M2014" s="205">
        <f ca="1" t="shared" si="1882"/>
        <v>1</v>
      </c>
      <c r="N2014" s="205">
        <f ca="1" t="shared" si="1883"/>
        <v>1</v>
      </c>
      <c r="O2014" s="205">
        <f ca="1" t="shared" si="1884"/>
        <v>3</v>
      </c>
      <c r="P2014" s="205">
        <f ca="1" t="shared" si="1885"/>
        <v>3</v>
      </c>
      <c r="Q2014" s="205">
        <f ca="1" t="shared" si="1886"/>
        <v>3</v>
      </c>
    </row>
    <row r="2015" ht="24" customHeight="1" spans="1:17">
      <c r="A2015" s="99" t="s">
        <v>350</v>
      </c>
      <c r="B2015" s="99" t="s">
        <v>299</v>
      </c>
      <c r="C2015" s="99" t="s">
        <v>316</v>
      </c>
      <c r="D2015" s="48" t="s">
        <v>321</v>
      </c>
      <c r="E2015" s="48" t="s">
        <v>90</v>
      </c>
      <c r="F2015" s="112">
        <f ca="1" t="shared" ref="F2015:Q2015" si="1887">IFERROR(F2008/F2007," ")</f>
        <v>1</v>
      </c>
      <c r="G2015" s="112">
        <f ca="1" t="shared" si="1887"/>
        <v>0.5</v>
      </c>
      <c r="H2015" s="112">
        <f ca="1" t="shared" si="1887"/>
        <v>0.125</v>
      </c>
      <c r="I2015" s="112">
        <f ca="1" t="shared" si="1887"/>
        <v>0.111111111111111</v>
      </c>
      <c r="J2015" s="112">
        <f ca="1" t="shared" si="1887"/>
        <v>0.181818181818182</v>
      </c>
      <c r="K2015" s="112">
        <f ca="1" t="shared" si="1887"/>
        <v>0.166666666666667</v>
      </c>
      <c r="L2015" s="112">
        <f ca="1" t="shared" si="1887"/>
        <v>0.153846153846154</v>
      </c>
      <c r="M2015" s="112">
        <f ca="1" t="shared" si="1887"/>
        <v>0.125</v>
      </c>
      <c r="N2015" s="112">
        <f ca="1" t="shared" si="1887"/>
        <v>0.125</v>
      </c>
      <c r="O2015" s="112">
        <f ca="1" t="shared" si="1887"/>
        <v>0.157894736842105</v>
      </c>
      <c r="P2015" s="112">
        <f ca="1" t="shared" si="1887"/>
        <v>0.142857142857143</v>
      </c>
      <c r="Q2015" s="112">
        <f ca="1" t="shared" si="1887"/>
        <v>0.142857142857143</v>
      </c>
    </row>
    <row r="2016" ht="24" customHeight="1" spans="1:17">
      <c r="A2016" s="99" t="s">
        <v>350</v>
      </c>
      <c r="B2016" s="99" t="s">
        <v>299</v>
      </c>
      <c r="C2016" s="99" t="s">
        <v>316</v>
      </c>
      <c r="D2016" s="48" t="s">
        <v>321</v>
      </c>
      <c r="E2016" s="48" t="s">
        <v>82</v>
      </c>
      <c r="F2016" s="112">
        <f ca="1" t="shared" ref="F2016:Q2016" si="1888">IFERROR(F2009/F2007," ")</f>
        <v>0</v>
      </c>
      <c r="G2016" s="112">
        <f ca="1" t="shared" si="1888"/>
        <v>0.5</v>
      </c>
      <c r="H2016" s="112">
        <f ca="1" t="shared" si="1888"/>
        <v>0.25</v>
      </c>
      <c r="I2016" s="112">
        <f ca="1" t="shared" si="1888"/>
        <v>0.222222222222222</v>
      </c>
      <c r="J2016" s="112">
        <f ca="1" t="shared" si="1888"/>
        <v>0.181818181818182</v>
      </c>
      <c r="K2016" s="112">
        <f ca="1" t="shared" si="1888"/>
        <v>0.166666666666667</v>
      </c>
      <c r="L2016" s="112">
        <f ca="1" t="shared" si="1888"/>
        <v>0.230769230769231</v>
      </c>
      <c r="M2016" s="112">
        <f ca="1" t="shared" si="1888"/>
        <v>0.3125</v>
      </c>
      <c r="N2016" s="112">
        <f ca="1" t="shared" si="1888"/>
        <v>0.3125</v>
      </c>
      <c r="O2016" s="112">
        <f ca="1" t="shared" si="1888"/>
        <v>0.263157894736842</v>
      </c>
      <c r="P2016" s="112">
        <f ca="1" t="shared" si="1888"/>
        <v>0.238095238095238</v>
      </c>
      <c r="Q2016" s="112">
        <f ca="1" t="shared" si="1888"/>
        <v>0.238095238095238</v>
      </c>
    </row>
    <row r="2017" ht="24" customHeight="1" spans="1:17">
      <c r="A2017" s="99" t="s">
        <v>350</v>
      </c>
      <c r="B2017" s="99" t="s">
        <v>299</v>
      </c>
      <c r="C2017" s="99" t="s">
        <v>316</v>
      </c>
      <c r="D2017" s="48" t="s">
        <v>321</v>
      </c>
      <c r="E2017" s="48" t="s">
        <v>86</v>
      </c>
      <c r="F2017" s="112">
        <f ca="1" t="shared" ref="F2017:Q2017" si="1889">IFERROR(F2010/F2007," ")</f>
        <v>0</v>
      </c>
      <c r="G2017" s="112">
        <f ca="1" t="shared" si="1889"/>
        <v>0</v>
      </c>
      <c r="H2017" s="112">
        <f ca="1" t="shared" si="1889"/>
        <v>0</v>
      </c>
      <c r="I2017" s="112">
        <f ca="1" t="shared" si="1889"/>
        <v>0</v>
      </c>
      <c r="J2017" s="112">
        <f ca="1" t="shared" si="1889"/>
        <v>0</v>
      </c>
      <c r="K2017" s="112">
        <f ca="1" t="shared" si="1889"/>
        <v>0</v>
      </c>
      <c r="L2017" s="112">
        <f ca="1" t="shared" si="1889"/>
        <v>0</v>
      </c>
      <c r="M2017" s="112">
        <f ca="1" t="shared" si="1889"/>
        <v>0</v>
      </c>
      <c r="N2017" s="112">
        <f ca="1" t="shared" si="1889"/>
        <v>0</v>
      </c>
      <c r="O2017" s="112">
        <f ca="1" t="shared" si="1889"/>
        <v>0</v>
      </c>
      <c r="P2017" s="112">
        <f ca="1" t="shared" si="1889"/>
        <v>0</v>
      </c>
      <c r="Q2017" s="112">
        <f ca="1" t="shared" si="1889"/>
        <v>0</v>
      </c>
    </row>
    <row r="2018" ht="24" customHeight="1" spans="1:17">
      <c r="A2018" s="99" t="s">
        <v>350</v>
      </c>
      <c r="B2018" s="99" t="s">
        <v>299</v>
      </c>
      <c r="C2018" s="99" t="s">
        <v>316</v>
      </c>
      <c r="D2018" s="48" t="s">
        <v>321</v>
      </c>
      <c r="E2018" s="48" t="s">
        <v>97</v>
      </c>
      <c r="F2018" s="112">
        <f ca="1" t="shared" ref="F2018:Q2018" si="1890">IFERROR(F2011/F2007," ")</f>
        <v>0</v>
      </c>
      <c r="G2018" s="112">
        <f ca="1" t="shared" si="1890"/>
        <v>0</v>
      </c>
      <c r="H2018" s="112">
        <f ca="1" t="shared" si="1890"/>
        <v>0.375</v>
      </c>
      <c r="I2018" s="112">
        <f ca="1" t="shared" si="1890"/>
        <v>0.333333333333333</v>
      </c>
      <c r="J2018" s="112">
        <f ca="1" t="shared" si="1890"/>
        <v>0.363636363636364</v>
      </c>
      <c r="K2018" s="112">
        <f ca="1" t="shared" si="1890"/>
        <v>0.416666666666667</v>
      </c>
      <c r="L2018" s="112">
        <f ca="1" t="shared" si="1890"/>
        <v>0.384615384615385</v>
      </c>
      <c r="M2018" s="112">
        <f ca="1" t="shared" si="1890"/>
        <v>0.3125</v>
      </c>
      <c r="N2018" s="112">
        <f ca="1" t="shared" si="1890"/>
        <v>0.3125</v>
      </c>
      <c r="O2018" s="112">
        <f ca="1" t="shared" si="1890"/>
        <v>0.263157894736842</v>
      </c>
      <c r="P2018" s="112">
        <f ca="1" t="shared" si="1890"/>
        <v>0.333333333333333</v>
      </c>
      <c r="Q2018" s="112">
        <f ca="1" t="shared" si="1890"/>
        <v>0.333333333333333</v>
      </c>
    </row>
    <row r="2019" ht="24" customHeight="1" spans="1:17">
      <c r="A2019" s="99" t="s">
        <v>350</v>
      </c>
      <c r="B2019" s="99" t="s">
        <v>299</v>
      </c>
      <c r="C2019" s="99" t="s">
        <v>316</v>
      </c>
      <c r="D2019" s="48" t="s">
        <v>321</v>
      </c>
      <c r="E2019" s="48" t="s">
        <v>87</v>
      </c>
      <c r="F2019" s="112">
        <f ca="1" t="shared" ref="F2019:Q2019" si="1891">IFERROR(F2012/F2007," ")</f>
        <v>0</v>
      </c>
      <c r="G2019" s="112">
        <f ca="1" t="shared" si="1891"/>
        <v>0</v>
      </c>
      <c r="H2019" s="112">
        <f ca="1" t="shared" si="1891"/>
        <v>0</v>
      </c>
      <c r="I2019" s="112">
        <f ca="1" t="shared" si="1891"/>
        <v>0</v>
      </c>
      <c r="J2019" s="112">
        <f ca="1" t="shared" si="1891"/>
        <v>0</v>
      </c>
      <c r="K2019" s="112">
        <f ca="1" t="shared" si="1891"/>
        <v>0</v>
      </c>
      <c r="L2019" s="112">
        <f ca="1" t="shared" si="1891"/>
        <v>0</v>
      </c>
      <c r="M2019" s="112">
        <f ca="1" t="shared" si="1891"/>
        <v>0.0625</v>
      </c>
      <c r="N2019" s="112">
        <f ca="1" t="shared" si="1891"/>
        <v>0.0625</v>
      </c>
      <c r="O2019" s="112">
        <f ca="1" t="shared" si="1891"/>
        <v>0.0526315789473684</v>
      </c>
      <c r="P2019" s="112">
        <f ca="1" t="shared" si="1891"/>
        <v>0.0476190476190476</v>
      </c>
      <c r="Q2019" s="112">
        <f ca="1" t="shared" si="1891"/>
        <v>0.0476190476190476</v>
      </c>
    </row>
    <row r="2020" ht="24" customHeight="1" spans="1:17">
      <c r="A2020" s="99" t="s">
        <v>350</v>
      </c>
      <c r="B2020" s="99" t="s">
        <v>299</v>
      </c>
      <c r="C2020" s="99" t="s">
        <v>316</v>
      </c>
      <c r="D2020" s="48" t="s">
        <v>321</v>
      </c>
      <c r="E2020" s="48" t="s">
        <v>149</v>
      </c>
      <c r="F2020" s="112">
        <f ca="1" t="shared" ref="F2020:Q2020" si="1892">IFERROR(F2013/F2007," ")</f>
        <v>0</v>
      </c>
      <c r="G2020" s="112">
        <f ca="1" t="shared" si="1892"/>
        <v>0</v>
      </c>
      <c r="H2020" s="112">
        <f ca="1" t="shared" si="1892"/>
        <v>0.25</v>
      </c>
      <c r="I2020" s="112">
        <f ca="1" t="shared" si="1892"/>
        <v>0.222222222222222</v>
      </c>
      <c r="J2020" s="112">
        <f ca="1" t="shared" si="1892"/>
        <v>0.181818181818182</v>
      </c>
      <c r="K2020" s="112">
        <f ca="1" t="shared" si="1892"/>
        <v>0.166666666666667</v>
      </c>
      <c r="L2020" s="112">
        <f ca="1" t="shared" si="1892"/>
        <v>0.153846153846154</v>
      </c>
      <c r="M2020" s="112">
        <f ca="1" t="shared" si="1892"/>
        <v>0.125</v>
      </c>
      <c r="N2020" s="112">
        <f ca="1" t="shared" si="1892"/>
        <v>0.125</v>
      </c>
      <c r="O2020" s="112">
        <f ca="1" t="shared" si="1892"/>
        <v>0.105263157894737</v>
      </c>
      <c r="P2020" s="112">
        <f ca="1" t="shared" si="1892"/>
        <v>0.0952380952380952</v>
      </c>
      <c r="Q2020" s="112">
        <f ca="1" t="shared" si="1892"/>
        <v>0.0952380952380952</v>
      </c>
    </row>
    <row r="2021" ht="24" customHeight="1" spans="1:17">
      <c r="A2021" s="99" t="s">
        <v>350</v>
      </c>
      <c r="B2021" s="99" t="s">
        <v>299</v>
      </c>
      <c r="C2021" s="99" t="s">
        <v>316</v>
      </c>
      <c r="D2021" s="48" t="s">
        <v>321</v>
      </c>
      <c r="E2021" s="48" t="s">
        <v>83</v>
      </c>
      <c r="F2021" s="112">
        <f ca="1" t="shared" ref="F2021:Q2021" si="1893">IFERROR(F2014/F2007," ")</f>
        <v>0</v>
      </c>
      <c r="G2021" s="112">
        <f ca="1" t="shared" si="1893"/>
        <v>0</v>
      </c>
      <c r="H2021" s="112">
        <f ca="1" t="shared" si="1893"/>
        <v>0</v>
      </c>
      <c r="I2021" s="112">
        <f ca="1" t="shared" si="1893"/>
        <v>0.111111111111111</v>
      </c>
      <c r="J2021" s="112">
        <f ca="1" t="shared" si="1893"/>
        <v>0.0909090909090909</v>
      </c>
      <c r="K2021" s="112">
        <f ca="1" t="shared" si="1893"/>
        <v>0.0833333333333333</v>
      </c>
      <c r="L2021" s="112">
        <f ca="1" t="shared" si="1893"/>
        <v>0.0769230769230769</v>
      </c>
      <c r="M2021" s="112">
        <f ca="1" t="shared" si="1893"/>
        <v>0.0625</v>
      </c>
      <c r="N2021" s="112">
        <f ca="1" t="shared" si="1893"/>
        <v>0.0625</v>
      </c>
      <c r="O2021" s="112">
        <f ca="1" t="shared" si="1893"/>
        <v>0.157894736842105</v>
      </c>
      <c r="P2021" s="112">
        <f ca="1" t="shared" si="1893"/>
        <v>0.142857142857143</v>
      </c>
      <c r="Q2021" s="112">
        <f ca="1" t="shared" si="1893"/>
        <v>0.142857142857143</v>
      </c>
    </row>
    <row r="2022" ht="24" customHeight="1" spans="1:17">
      <c r="A2022" s="99" t="s">
        <v>350</v>
      </c>
      <c r="B2022" s="99" t="s">
        <v>299</v>
      </c>
      <c r="C2022" s="99" t="s">
        <v>316</v>
      </c>
      <c r="D2022" s="47" t="s">
        <v>294</v>
      </c>
      <c r="E2022" s="47" t="s">
        <v>93</v>
      </c>
      <c r="F2022" s="206">
        <f ca="1" t="shared" ref="F2022:Q2022" si="1894">IF($S$1&lt;DATE(2025,1,1)," ",F1925)</f>
        <v>0</v>
      </c>
      <c r="G2022" s="206">
        <f ca="1" t="shared" si="1894"/>
        <v>0</v>
      </c>
      <c r="H2022" s="206">
        <f ca="1" t="shared" si="1894"/>
        <v>1</v>
      </c>
      <c r="I2022" s="206">
        <f ca="1" t="shared" si="1894"/>
        <v>0</v>
      </c>
      <c r="J2022" s="206">
        <f ca="1" t="shared" si="1894"/>
        <v>0</v>
      </c>
      <c r="K2022" s="206">
        <f ca="1" t="shared" si="1894"/>
        <v>1</v>
      </c>
      <c r="L2022" s="206">
        <f ca="1" t="shared" si="1894"/>
        <v>0</v>
      </c>
      <c r="M2022" s="206">
        <f ca="1" t="shared" si="1894"/>
        <v>1</v>
      </c>
      <c r="N2022" s="206">
        <f ca="1" t="shared" si="1894"/>
        <v>0</v>
      </c>
      <c r="O2022" s="206">
        <f ca="1" t="shared" si="1894"/>
        <v>2</v>
      </c>
      <c r="P2022" s="206">
        <f ca="1" t="shared" si="1894"/>
        <v>0</v>
      </c>
      <c r="Q2022" s="206">
        <f ca="1" t="shared" si="1894"/>
        <v>0</v>
      </c>
    </row>
    <row r="2023" ht="24" customHeight="1" spans="1:17">
      <c r="A2023" s="99" t="s">
        <v>350</v>
      </c>
      <c r="B2023" s="99" t="s">
        <v>299</v>
      </c>
      <c r="C2023" s="99" t="s">
        <v>316</v>
      </c>
      <c r="D2023" s="47" t="s">
        <v>294</v>
      </c>
      <c r="E2023" s="47" t="s">
        <v>85</v>
      </c>
      <c r="F2023" s="206">
        <f ca="1" t="shared" ref="F2023:Q2023" si="1895">IF($S$1&lt;DATE(2025,1,1)," ",F1926)</f>
        <v>1</v>
      </c>
      <c r="G2023" s="206">
        <f ca="1" t="shared" si="1895"/>
        <v>0</v>
      </c>
      <c r="H2023" s="206">
        <f ca="1" t="shared" si="1895"/>
        <v>0</v>
      </c>
      <c r="I2023" s="206">
        <f ca="1" t="shared" si="1895"/>
        <v>1</v>
      </c>
      <c r="J2023" s="206">
        <f ca="1" t="shared" si="1895"/>
        <v>0</v>
      </c>
      <c r="K2023" s="206">
        <f ca="1" t="shared" si="1895"/>
        <v>0</v>
      </c>
      <c r="L2023" s="206">
        <f ca="1" t="shared" si="1895"/>
        <v>0</v>
      </c>
      <c r="M2023" s="206">
        <f ca="1" t="shared" si="1895"/>
        <v>2</v>
      </c>
      <c r="N2023" s="206">
        <f ca="1" t="shared" si="1895"/>
        <v>0</v>
      </c>
      <c r="O2023" s="206">
        <f ca="1" t="shared" si="1895"/>
        <v>1</v>
      </c>
      <c r="P2023" s="206">
        <f ca="1" t="shared" si="1895"/>
        <v>0</v>
      </c>
      <c r="Q2023" s="206">
        <f ca="1" t="shared" si="1895"/>
        <v>0</v>
      </c>
    </row>
    <row r="2024" ht="24" customHeight="1" spans="1:17">
      <c r="A2024" s="99" t="s">
        <v>350</v>
      </c>
      <c r="B2024" s="99" t="s">
        <v>299</v>
      </c>
      <c r="C2024" s="99" t="s">
        <v>316</v>
      </c>
      <c r="D2024" s="47" t="s">
        <v>294</v>
      </c>
      <c r="E2024" s="47" t="s">
        <v>81</v>
      </c>
      <c r="F2024" s="206">
        <f ca="1" t="shared" ref="F2024:Q2024" si="1896">IF($S$1&lt;DATE(2025,1,1)," ",F1927)</f>
        <v>0</v>
      </c>
      <c r="G2024" s="206">
        <f ca="1" t="shared" si="1896"/>
        <v>0</v>
      </c>
      <c r="H2024" s="206">
        <f ca="1" t="shared" si="1896"/>
        <v>0</v>
      </c>
      <c r="I2024" s="206">
        <f ca="1" t="shared" si="1896"/>
        <v>0</v>
      </c>
      <c r="J2024" s="206">
        <f ca="1" t="shared" si="1896"/>
        <v>1</v>
      </c>
      <c r="K2024" s="206">
        <f ca="1" t="shared" si="1896"/>
        <v>0</v>
      </c>
      <c r="L2024" s="206">
        <f ca="1" t="shared" si="1896"/>
        <v>1</v>
      </c>
      <c r="M2024" s="206">
        <f ca="1" t="shared" si="1896"/>
        <v>0</v>
      </c>
      <c r="N2024" s="206">
        <f ca="1" t="shared" si="1896"/>
        <v>0</v>
      </c>
      <c r="O2024" s="206">
        <f ca="1" t="shared" si="1896"/>
        <v>0</v>
      </c>
      <c r="P2024" s="206">
        <f ca="1" t="shared" si="1896"/>
        <v>0</v>
      </c>
      <c r="Q2024" s="206">
        <f ca="1" t="shared" si="1896"/>
        <v>0</v>
      </c>
    </row>
    <row r="2025" ht="24" customHeight="1" spans="1:17">
      <c r="A2025" s="99" t="s">
        <v>350</v>
      </c>
      <c r="B2025" s="99" t="s">
        <v>299</v>
      </c>
      <c r="C2025" s="99" t="s">
        <v>316</v>
      </c>
      <c r="D2025" s="47" t="s">
        <v>294</v>
      </c>
      <c r="E2025" s="47" t="s">
        <v>96</v>
      </c>
      <c r="F2025" s="206">
        <f ca="1" t="shared" ref="F2025:Q2025" si="1897">IF($S$1&lt;DATE(2025,1,1)," ",F1928)</f>
        <v>0</v>
      </c>
      <c r="G2025" s="206">
        <f ca="1" t="shared" si="1897"/>
        <v>0</v>
      </c>
      <c r="H2025" s="206">
        <f ca="1" t="shared" si="1897"/>
        <v>1</v>
      </c>
      <c r="I2025" s="206">
        <f ca="1" t="shared" si="1897"/>
        <v>0</v>
      </c>
      <c r="J2025" s="206">
        <f ca="1" t="shared" si="1897"/>
        <v>0</v>
      </c>
      <c r="K2025" s="206">
        <f ca="1" t="shared" si="1897"/>
        <v>0</v>
      </c>
      <c r="L2025" s="206">
        <f ca="1" t="shared" si="1897"/>
        <v>0</v>
      </c>
      <c r="M2025" s="206">
        <f ca="1" t="shared" si="1897"/>
        <v>0</v>
      </c>
      <c r="N2025" s="206">
        <f ca="1" t="shared" si="1897"/>
        <v>0</v>
      </c>
      <c r="O2025" s="206">
        <f ca="1" t="shared" si="1897"/>
        <v>0</v>
      </c>
      <c r="P2025" s="206">
        <f ca="1" t="shared" si="1897"/>
        <v>0</v>
      </c>
      <c r="Q2025" s="206">
        <f ca="1" t="shared" si="1897"/>
        <v>0</v>
      </c>
    </row>
    <row r="2026" ht="24" customHeight="1" spans="1:17">
      <c r="A2026" s="99" t="s">
        <v>350</v>
      </c>
      <c r="B2026" s="99" t="s">
        <v>299</v>
      </c>
      <c r="C2026" s="99" t="s">
        <v>316</v>
      </c>
      <c r="D2026" s="47" t="s">
        <v>294</v>
      </c>
      <c r="E2026" s="47" t="s">
        <v>160</v>
      </c>
      <c r="F2026" s="206">
        <f ca="1" t="shared" ref="F2026:Q2026" si="1898">IF($S$1&lt;DATE(2025,1,1)," ",F1929)</f>
        <v>0</v>
      </c>
      <c r="G2026" s="206">
        <f ca="1" t="shared" si="1898"/>
        <v>0</v>
      </c>
      <c r="H2026" s="206">
        <f ca="1" t="shared" si="1898"/>
        <v>0</v>
      </c>
      <c r="I2026" s="206">
        <f ca="1" t="shared" si="1898"/>
        <v>0</v>
      </c>
      <c r="J2026" s="206">
        <f ca="1" t="shared" si="1898"/>
        <v>0</v>
      </c>
      <c r="K2026" s="206">
        <f ca="1" t="shared" si="1898"/>
        <v>0</v>
      </c>
      <c r="L2026" s="206">
        <f ca="1" t="shared" si="1898"/>
        <v>0</v>
      </c>
      <c r="M2026" s="206">
        <f ca="1" t="shared" si="1898"/>
        <v>0</v>
      </c>
      <c r="N2026" s="206">
        <f ca="1" t="shared" si="1898"/>
        <v>0</v>
      </c>
      <c r="O2026" s="206">
        <f ca="1" t="shared" si="1898"/>
        <v>0</v>
      </c>
      <c r="P2026" s="206">
        <f ca="1" t="shared" si="1898"/>
        <v>0</v>
      </c>
      <c r="Q2026" s="206">
        <f ca="1" t="shared" si="1898"/>
        <v>0</v>
      </c>
    </row>
    <row r="2027" ht="24" customHeight="1" spans="1:17">
      <c r="A2027" s="99" t="s">
        <v>350</v>
      </c>
      <c r="B2027" s="99" t="s">
        <v>299</v>
      </c>
      <c r="C2027" s="99" t="s">
        <v>316</v>
      </c>
      <c r="D2027" s="100" t="s">
        <v>292</v>
      </c>
      <c r="E2027" s="100" t="s">
        <v>322</v>
      </c>
      <c r="F2027" s="204">
        <f ca="1">IF($S$1&lt;DATE(2025,1,1)," ",SUM(F2028:F2030))</f>
        <v>1</v>
      </c>
      <c r="G2027" s="204">
        <f ca="1">IF($S$1&lt;DATE(2025,2,1)," ",SUM(G2028:G2030))</f>
        <v>2</v>
      </c>
      <c r="H2027" s="204">
        <f ca="1">IF($S$1&lt;DATE(2025,3,1)," ",SUM(H2028:H2030))</f>
        <v>5</v>
      </c>
      <c r="I2027" s="204">
        <f ca="1">IF($S$1&lt;DATE(2025,4,1)," ",SUM(I2028:I2030))</f>
        <v>5</v>
      </c>
      <c r="J2027" s="204">
        <f ca="1">IF($S$1&lt;DATE(2025,5,1)," ",SUM(J2028:J2030))</f>
        <v>7</v>
      </c>
      <c r="K2027" s="204">
        <f ca="1">IF($S$1&lt;DATE(2025,6,1)," ",SUM(K2028:K2030))</f>
        <v>8</v>
      </c>
      <c r="L2027" s="204">
        <f ca="1">IF($S$1&lt;DATE(2025,7,1)," ",SUM(L2028:L2030))</f>
        <v>9</v>
      </c>
      <c r="M2027" s="204">
        <f ca="1">IF($S$1&lt;DATE(2025,8,1)," ",SUM(M2028:M2030))</f>
        <v>12</v>
      </c>
      <c r="N2027" s="204">
        <f ca="1">IF($S$1&lt;DATE(2025,9,1)," ",SUM(N2028:N2030))</f>
        <v>12</v>
      </c>
      <c r="O2027" s="204">
        <f ca="1">IF($S$1&lt;DATE(2025,10,1)," ",SUM(O2028:O2030))</f>
        <v>14</v>
      </c>
      <c r="P2027" s="204">
        <f ca="1">IF($S$1&lt;DATE(2025,11,1)," ",SUM(P2028:P2030))</f>
        <v>14</v>
      </c>
      <c r="Q2027" s="204">
        <f ca="1">IF($S$1&lt;DATE(2025,12,1)," ",SUM(Q2028:Q2030))</f>
        <v>14</v>
      </c>
    </row>
    <row r="2028" ht="24" customHeight="1" spans="1:17">
      <c r="A2028" s="99" t="s">
        <v>350</v>
      </c>
      <c r="B2028" s="99" t="s">
        <v>299</v>
      </c>
      <c r="C2028" s="99" t="s">
        <v>316</v>
      </c>
      <c r="D2028" s="48" t="s">
        <v>296</v>
      </c>
      <c r="E2028" s="48" t="s">
        <v>90</v>
      </c>
      <c r="F2028" s="205">
        <f ca="1" t="shared" ref="F2028:F2030" si="1899">IF($S$1&lt;DATE(2025,1,1)," ",F1941)</f>
        <v>1</v>
      </c>
      <c r="G2028" s="205">
        <f ca="1" t="shared" ref="G2028:G2030" si="1900">IF($S$1&lt;DATE(2025,2,1)," ",G1941+F2028)</f>
        <v>1</v>
      </c>
      <c r="H2028" s="205">
        <f ca="1" t="shared" ref="H2028:H2030" si="1901">IF($S$1&lt;DATE(2025,3,1)," ",H1941+G2028)</f>
        <v>2</v>
      </c>
      <c r="I2028" s="205">
        <f ca="1" t="shared" ref="I2028:I2030" si="1902">IF($S$1&lt;DATE(2025,4,1)," ",I1941+H2028)</f>
        <v>2</v>
      </c>
      <c r="J2028" s="205">
        <f ca="1" t="shared" ref="J2028:J2030" si="1903">IF($S$1&lt;DATE(2025,5,1)," ",J1941+I2028)</f>
        <v>3</v>
      </c>
      <c r="K2028" s="205">
        <f ca="1" t="shared" ref="K2028:K2030" si="1904">IF($S$1&lt;DATE(2025,6,1)," ",K1941+J2028)</f>
        <v>4</v>
      </c>
      <c r="L2028" s="205">
        <f ca="1" t="shared" ref="L2028:L2030" si="1905">IF($S$1&lt;DATE(2025,7,1)," ",L1941+K2028)</f>
        <v>4</v>
      </c>
      <c r="M2028" s="205">
        <f ca="1" t="shared" ref="M2028:M2030" si="1906">IF($S$1&lt;DATE(2025,8,1)," ",M1941+L2028)</f>
        <v>4</v>
      </c>
      <c r="N2028" s="205">
        <f ca="1" t="shared" ref="N2028:N2030" si="1907">IF($S$1&lt;DATE(2025,9,1)," ",N1941+M2028)</f>
        <v>4</v>
      </c>
      <c r="O2028" s="205">
        <f ca="1" t="shared" ref="O2028:O2030" si="1908">IF($S$1&lt;DATE(2025,10,1)," ",O1941+N2028)</f>
        <v>5</v>
      </c>
      <c r="P2028" s="205">
        <f ca="1" t="shared" ref="P2028:P2030" si="1909">IF($S$1&lt;DATE(2025,11,1)," ",P1941+O2028)</f>
        <v>5</v>
      </c>
      <c r="Q2028" s="205">
        <f ca="1" t="shared" ref="Q2028:Q2030" si="1910">IF($S$1&lt;DATE(2025,12,1)," ",Q1941+P2028)</f>
        <v>5</v>
      </c>
    </row>
    <row r="2029" ht="24" customHeight="1" spans="1:17">
      <c r="A2029" s="99" t="s">
        <v>350</v>
      </c>
      <c r="B2029" s="99" t="s">
        <v>299</v>
      </c>
      <c r="C2029" s="99" t="s">
        <v>316</v>
      </c>
      <c r="D2029" s="48" t="s">
        <v>296</v>
      </c>
      <c r="E2029" s="48" t="s">
        <v>82</v>
      </c>
      <c r="F2029" s="205">
        <f ca="1" t="shared" si="1899"/>
        <v>0</v>
      </c>
      <c r="G2029" s="205">
        <f ca="1" t="shared" si="1900"/>
        <v>1</v>
      </c>
      <c r="H2029" s="205">
        <f ca="1" t="shared" si="1901"/>
        <v>3</v>
      </c>
      <c r="I2029" s="205">
        <f ca="1" t="shared" si="1902"/>
        <v>3</v>
      </c>
      <c r="J2029" s="205">
        <f ca="1" t="shared" si="1903"/>
        <v>4</v>
      </c>
      <c r="K2029" s="205">
        <f ca="1" t="shared" si="1904"/>
        <v>4</v>
      </c>
      <c r="L2029" s="205">
        <f ca="1" t="shared" si="1905"/>
        <v>5</v>
      </c>
      <c r="M2029" s="205">
        <f ca="1" t="shared" si="1906"/>
        <v>8</v>
      </c>
      <c r="N2029" s="205">
        <f ca="1" t="shared" si="1907"/>
        <v>8</v>
      </c>
      <c r="O2029" s="205">
        <f ca="1" t="shared" si="1908"/>
        <v>9</v>
      </c>
      <c r="P2029" s="205">
        <f ca="1" t="shared" si="1909"/>
        <v>9</v>
      </c>
      <c r="Q2029" s="205">
        <f ca="1" t="shared" si="1910"/>
        <v>9</v>
      </c>
    </row>
    <row r="2030" ht="24" customHeight="1" spans="1:17">
      <c r="A2030" s="99" t="s">
        <v>350</v>
      </c>
      <c r="B2030" s="99" t="s">
        <v>299</v>
      </c>
      <c r="C2030" s="99" t="s">
        <v>316</v>
      </c>
      <c r="D2030" s="48" t="s">
        <v>296</v>
      </c>
      <c r="E2030" s="48" t="s">
        <v>86</v>
      </c>
      <c r="F2030" s="205">
        <f ca="1" t="shared" si="1899"/>
        <v>0</v>
      </c>
      <c r="G2030" s="205">
        <f ca="1" t="shared" si="1900"/>
        <v>0</v>
      </c>
      <c r="H2030" s="205">
        <f ca="1" t="shared" si="1901"/>
        <v>0</v>
      </c>
      <c r="I2030" s="205">
        <f ca="1" t="shared" si="1902"/>
        <v>0</v>
      </c>
      <c r="J2030" s="205">
        <f ca="1" t="shared" si="1903"/>
        <v>0</v>
      </c>
      <c r="K2030" s="205">
        <f ca="1" t="shared" si="1904"/>
        <v>0</v>
      </c>
      <c r="L2030" s="205">
        <f ca="1" t="shared" si="1905"/>
        <v>0</v>
      </c>
      <c r="M2030" s="205">
        <f ca="1" t="shared" si="1906"/>
        <v>0</v>
      </c>
      <c r="N2030" s="205">
        <f ca="1" t="shared" si="1907"/>
        <v>0</v>
      </c>
      <c r="O2030" s="205">
        <f ca="1" t="shared" si="1908"/>
        <v>0</v>
      </c>
      <c r="P2030" s="205">
        <f ca="1" t="shared" si="1909"/>
        <v>0</v>
      </c>
      <c r="Q2030" s="205">
        <f ca="1" t="shared" si="1910"/>
        <v>0</v>
      </c>
    </row>
    <row r="2031" ht="24" customHeight="1" spans="1:17">
      <c r="A2031" s="99" t="s">
        <v>350</v>
      </c>
      <c r="B2031" s="99" t="s">
        <v>299</v>
      </c>
      <c r="C2031" s="99" t="s">
        <v>316</v>
      </c>
      <c r="D2031" s="48" t="s">
        <v>323</v>
      </c>
      <c r="E2031" s="48" t="s">
        <v>90</v>
      </c>
      <c r="F2031" s="112">
        <f ca="1" t="shared" ref="F2031:Q2031" si="1911">IFERROR(F2028/F2027," ")</f>
        <v>1</v>
      </c>
      <c r="G2031" s="112">
        <f ca="1" t="shared" si="1911"/>
        <v>0.5</v>
      </c>
      <c r="H2031" s="112">
        <f ca="1" t="shared" si="1911"/>
        <v>0.4</v>
      </c>
      <c r="I2031" s="112">
        <f ca="1" t="shared" si="1911"/>
        <v>0.4</v>
      </c>
      <c r="J2031" s="112">
        <f ca="1" t="shared" si="1911"/>
        <v>0.428571428571429</v>
      </c>
      <c r="K2031" s="112">
        <f ca="1" t="shared" si="1911"/>
        <v>0.5</v>
      </c>
      <c r="L2031" s="112">
        <f ca="1" t="shared" si="1911"/>
        <v>0.444444444444444</v>
      </c>
      <c r="M2031" s="112">
        <f ca="1" t="shared" si="1911"/>
        <v>0.333333333333333</v>
      </c>
      <c r="N2031" s="112">
        <f ca="1" t="shared" si="1911"/>
        <v>0.333333333333333</v>
      </c>
      <c r="O2031" s="112">
        <f ca="1" t="shared" si="1911"/>
        <v>0.357142857142857</v>
      </c>
      <c r="P2031" s="112">
        <f ca="1" t="shared" si="1911"/>
        <v>0.357142857142857</v>
      </c>
      <c r="Q2031" s="112">
        <f ca="1" t="shared" si="1911"/>
        <v>0.357142857142857</v>
      </c>
    </row>
    <row r="2032" ht="24" customHeight="1" spans="1:17">
      <c r="A2032" s="99" t="s">
        <v>350</v>
      </c>
      <c r="B2032" s="99" t="s">
        <v>299</v>
      </c>
      <c r="C2032" s="99" t="s">
        <v>316</v>
      </c>
      <c r="D2032" s="48" t="s">
        <v>323</v>
      </c>
      <c r="E2032" s="48" t="s">
        <v>82</v>
      </c>
      <c r="F2032" s="112">
        <f ca="1" t="shared" ref="F2032:Q2032" si="1912">IFERROR(F2029/F2027," ")</f>
        <v>0</v>
      </c>
      <c r="G2032" s="112">
        <f ca="1" t="shared" si="1912"/>
        <v>0.5</v>
      </c>
      <c r="H2032" s="112">
        <f ca="1" t="shared" si="1912"/>
        <v>0.6</v>
      </c>
      <c r="I2032" s="112">
        <f ca="1" t="shared" si="1912"/>
        <v>0.6</v>
      </c>
      <c r="J2032" s="112">
        <f ca="1" t="shared" si="1912"/>
        <v>0.571428571428571</v>
      </c>
      <c r="K2032" s="112">
        <f ca="1" t="shared" si="1912"/>
        <v>0.5</v>
      </c>
      <c r="L2032" s="112">
        <f ca="1" t="shared" si="1912"/>
        <v>0.555555555555556</v>
      </c>
      <c r="M2032" s="112">
        <f ca="1" t="shared" si="1912"/>
        <v>0.666666666666667</v>
      </c>
      <c r="N2032" s="112">
        <f ca="1" t="shared" si="1912"/>
        <v>0.666666666666667</v>
      </c>
      <c r="O2032" s="112">
        <f ca="1" t="shared" si="1912"/>
        <v>0.642857142857143</v>
      </c>
      <c r="P2032" s="112">
        <f ca="1" t="shared" si="1912"/>
        <v>0.642857142857143</v>
      </c>
      <c r="Q2032" s="112">
        <f ca="1" t="shared" si="1912"/>
        <v>0.642857142857143</v>
      </c>
    </row>
    <row r="2033" ht="24" customHeight="1" spans="1:17">
      <c r="A2033" s="99" t="s">
        <v>350</v>
      </c>
      <c r="B2033" s="99" t="s">
        <v>299</v>
      </c>
      <c r="C2033" s="99" t="s">
        <v>316</v>
      </c>
      <c r="D2033" s="48" t="s">
        <v>323</v>
      </c>
      <c r="E2033" s="48" t="s">
        <v>86</v>
      </c>
      <c r="F2033" s="112">
        <f ca="1" t="shared" ref="F2033:Q2033" si="1913">IFERROR(F2030/F2027," ")</f>
        <v>0</v>
      </c>
      <c r="G2033" s="112">
        <f ca="1" t="shared" si="1913"/>
        <v>0</v>
      </c>
      <c r="H2033" s="112">
        <f ca="1" t="shared" si="1913"/>
        <v>0</v>
      </c>
      <c r="I2033" s="112">
        <f ca="1" t="shared" si="1913"/>
        <v>0</v>
      </c>
      <c r="J2033" s="112">
        <f ca="1" t="shared" si="1913"/>
        <v>0</v>
      </c>
      <c r="K2033" s="112">
        <f ca="1" t="shared" si="1913"/>
        <v>0</v>
      </c>
      <c r="L2033" s="112">
        <f ca="1" t="shared" si="1913"/>
        <v>0</v>
      </c>
      <c r="M2033" s="112">
        <f ca="1" t="shared" si="1913"/>
        <v>0</v>
      </c>
      <c r="N2033" s="112">
        <f ca="1" t="shared" si="1913"/>
        <v>0</v>
      </c>
      <c r="O2033" s="112">
        <f ca="1" t="shared" si="1913"/>
        <v>0</v>
      </c>
      <c r="P2033" s="112">
        <f ca="1" t="shared" si="1913"/>
        <v>0</v>
      </c>
      <c r="Q2033" s="112">
        <f ca="1" t="shared" si="1913"/>
        <v>0</v>
      </c>
    </row>
    <row r="2034" ht="24" customHeight="1" spans="1:17">
      <c r="A2034" s="99" t="s">
        <v>350</v>
      </c>
      <c r="B2034" s="99" t="s">
        <v>299</v>
      </c>
      <c r="C2034" s="99" t="s">
        <v>316</v>
      </c>
      <c r="D2034" s="100" t="s">
        <v>292</v>
      </c>
      <c r="E2034" s="100" t="s">
        <v>324</v>
      </c>
      <c r="F2034" s="204">
        <f ca="1">IF($S$1&lt;DATE(2025,1,1)," ",SUM(F2035:F2038))</f>
        <v>1</v>
      </c>
      <c r="G2034" s="204">
        <f ca="1">IF($S$1&lt;DATE(2025,2,1)," ",SUM(G2035:G2038))</f>
        <v>1</v>
      </c>
      <c r="H2034" s="204">
        <f ca="1">IF($S$1&lt;DATE(2025,3,1)," ",SUM(H2035:H2038))</f>
        <v>7</v>
      </c>
      <c r="I2034" s="204">
        <f ca="1">IF($S$1&lt;DATE(2025,4,1)," ",SUM(I2035:I2038))</f>
        <v>8</v>
      </c>
      <c r="J2034" s="204">
        <f ca="1">IF($S$1&lt;DATE(2025,5,1)," ",SUM(J2035:J2038))</f>
        <v>10</v>
      </c>
      <c r="K2034" s="204">
        <f ca="1">IF($S$1&lt;DATE(2025,6,1)," ",SUM(K2035:K2038))</f>
        <v>11</v>
      </c>
      <c r="L2034" s="204">
        <f ca="1">IF($S$1&lt;DATE(2025,7,1)," ",SUM(L2035:L2038))</f>
        <v>12</v>
      </c>
      <c r="M2034" s="204">
        <f ca="1">IF($S$1&lt;DATE(2025,8,1)," ",SUM(M2035:M2038))</f>
        <v>15</v>
      </c>
      <c r="N2034" s="204">
        <f ca="1">IF($S$1&lt;DATE(2025,9,1)," ",SUM(N2035:N2038))</f>
        <v>15</v>
      </c>
      <c r="O2034" s="204">
        <f ca="1">IF($S$1&lt;DATE(2025,10,1)," ",SUM(O2035:O2038))</f>
        <v>18</v>
      </c>
      <c r="P2034" s="204">
        <f ca="1">IF($S$1&lt;DATE(2025,11,1)," ",SUM(P2035:P2038))</f>
        <v>20</v>
      </c>
      <c r="Q2034" s="204">
        <f ca="1">IF($S$1&lt;DATE(2025,12,1)," ",SUM(Q2035:Q2038))</f>
        <v>20</v>
      </c>
    </row>
    <row r="2035" ht="24" customHeight="1" spans="1:17">
      <c r="A2035" s="99" t="s">
        <v>350</v>
      </c>
      <c r="B2035" s="99" t="s">
        <v>299</v>
      </c>
      <c r="C2035" s="99" t="s">
        <v>316</v>
      </c>
      <c r="D2035" s="48" t="s">
        <v>298</v>
      </c>
      <c r="E2035" s="48" t="s">
        <v>97</v>
      </c>
      <c r="F2035" s="205">
        <f ca="1" t="shared" ref="F2035:F2038" si="1914">IF($S$1&lt;DATE(2025,1,1)," ",F1945)</f>
        <v>0</v>
      </c>
      <c r="G2035" s="205">
        <f ca="1" t="shared" ref="G2035:G2038" si="1915">IF($S$1&lt;DATE(2025,2,1)," ",G1945+F2035)</f>
        <v>0</v>
      </c>
      <c r="H2035" s="205">
        <f ca="1" t="shared" ref="H2035:H2038" si="1916">IF($S$1&lt;DATE(2025,3,1)," ",H1945+G2035)</f>
        <v>3</v>
      </c>
      <c r="I2035" s="205">
        <f ca="1" t="shared" ref="I2035:I2038" si="1917">IF($S$1&lt;DATE(2025,4,1)," ",I1945+H2035)</f>
        <v>3</v>
      </c>
      <c r="J2035" s="205">
        <f ca="1" t="shared" ref="J2035:J2038" si="1918">IF($S$1&lt;DATE(2025,5,1)," ",J1945+I2035)</f>
        <v>4</v>
      </c>
      <c r="K2035" s="205">
        <f ca="1" t="shared" ref="K2035:K2038" si="1919">IF($S$1&lt;DATE(2025,6,1)," ",K1945+J2035)</f>
        <v>5</v>
      </c>
      <c r="L2035" s="205">
        <f ca="1" t="shared" ref="L2035:L2038" si="1920">IF($S$1&lt;DATE(2025,7,1)," ",L1945+K2035)</f>
        <v>5</v>
      </c>
      <c r="M2035" s="205">
        <f ca="1" t="shared" ref="M2035:M2038" si="1921">IF($S$1&lt;DATE(2025,8,1)," ",M1945+L2035)</f>
        <v>6</v>
      </c>
      <c r="N2035" s="205">
        <f ca="1" t="shared" ref="N2035:N2038" si="1922">IF($S$1&lt;DATE(2025,9,1)," ",N1945+M2035)</f>
        <v>6</v>
      </c>
      <c r="O2035" s="205">
        <f ca="1" t="shared" ref="O2035:O2038" si="1923">IF($S$1&lt;DATE(2025,10,1)," ",O1945+N2035)</f>
        <v>7</v>
      </c>
      <c r="P2035" s="205">
        <f ca="1" t="shared" ref="P2035:P2038" si="1924">IF($S$1&lt;DATE(2025,11,1)," ",P1945+O2035)</f>
        <v>9</v>
      </c>
      <c r="Q2035" s="205">
        <f ca="1" t="shared" ref="Q2035:Q2038" si="1925">IF($S$1&lt;DATE(2025,12,1)," ",Q1945+P2035)</f>
        <v>9</v>
      </c>
    </row>
    <row r="2036" ht="24" customHeight="1" spans="1:17">
      <c r="A2036" s="99" t="s">
        <v>350</v>
      </c>
      <c r="B2036" s="99" t="s">
        <v>299</v>
      </c>
      <c r="C2036" s="99" t="s">
        <v>316</v>
      </c>
      <c r="D2036" s="48" t="s">
        <v>298</v>
      </c>
      <c r="E2036" s="48" t="s">
        <v>87</v>
      </c>
      <c r="F2036" s="205">
        <f ca="1" t="shared" si="1914"/>
        <v>0</v>
      </c>
      <c r="G2036" s="205">
        <f ca="1" t="shared" si="1915"/>
        <v>0</v>
      </c>
      <c r="H2036" s="205">
        <f ca="1" t="shared" si="1916"/>
        <v>1</v>
      </c>
      <c r="I2036" s="205">
        <f ca="1" t="shared" si="1917"/>
        <v>1</v>
      </c>
      <c r="J2036" s="205">
        <f ca="1" t="shared" si="1918"/>
        <v>2</v>
      </c>
      <c r="K2036" s="205">
        <f ca="1" t="shared" si="1919"/>
        <v>2</v>
      </c>
      <c r="L2036" s="205">
        <f ca="1" t="shared" si="1920"/>
        <v>3</v>
      </c>
      <c r="M2036" s="205">
        <f ca="1" t="shared" si="1921"/>
        <v>5</v>
      </c>
      <c r="N2036" s="205">
        <f ca="1" t="shared" si="1922"/>
        <v>5</v>
      </c>
      <c r="O2036" s="205">
        <f ca="1" t="shared" si="1923"/>
        <v>5</v>
      </c>
      <c r="P2036" s="205">
        <f ca="1" t="shared" si="1924"/>
        <v>5</v>
      </c>
      <c r="Q2036" s="205">
        <f ca="1" t="shared" si="1925"/>
        <v>5</v>
      </c>
    </row>
    <row r="2037" ht="24" customHeight="1" spans="1:17">
      <c r="A2037" s="99" t="s">
        <v>350</v>
      </c>
      <c r="B2037" s="99" t="s">
        <v>299</v>
      </c>
      <c r="C2037" s="99" t="s">
        <v>316</v>
      </c>
      <c r="D2037" s="48" t="s">
        <v>298</v>
      </c>
      <c r="E2037" s="48" t="s">
        <v>149</v>
      </c>
      <c r="F2037" s="205">
        <f ca="1" t="shared" si="1914"/>
        <v>0</v>
      </c>
      <c r="G2037" s="205">
        <f ca="1" t="shared" si="1915"/>
        <v>0</v>
      </c>
      <c r="H2037" s="205">
        <f ca="1" t="shared" si="1916"/>
        <v>2</v>
      </c>
      <c r="I2037" s="205">
        <f ca="1" t="shared" si="1917"/>
        <v>2</v>
      </c>
      <c r="J2037" s="205">
        <f ca="1" t="shared" si="1918"/>
        <v>2</v>
      </c>
      <c r="K2037" s="205">
        <f ca="1" t="shared" si="1919"/>
        <v>2</v>
      </c>
      <c r="L2037" s="205">
        <f ca="1" t="shared" si="1920"/>
        <v>2</v>
      </c>
      <c r="M2037" s="205">
        <f ca="1" t="shared" si="1921"/>
        <v>2</v>
      </c>
      <c r="N2037" s="205">
        <f ca="1" t="shared" si="1922"/>
        <v>2</v>
      </c>
      <c r="O2037" s="205">
        <f ca="1" t="shared" si="1923"/>
        <v>2</v>
      </c>
      <c r="P2037" s="205">
        <f ca="1" t="shared" si="1924"/>
        <v>2</v>
      </c>
      <c r="Q2037" s="205">
        <f ca="1" t="shared" si="1925"/>
        <v>2</v>
      </c>
    </row>
    <row r="2038" ht="24" customHeight="1" spans="1:17">
      <c r="A2038" s="99" t="s">
        <v>350</v>
      </c>
      <c r="B2038" s="99" t="s">
        <v>299</v>
      </c>
      <c r="C2038" s="99" t="s">
        <v>316</v>
      </c>
      <c r="D2038" s="48" t="s">
        <v>298</v>
      </c>
      <c r="E2038" s="48" t="s">
        <v>83</v>
      </c>
      <c r="F2038" s="205">
        <f ca="1" t="shared" si="1914"/>
        <v>1</v>
      </c>
      <c r="G2038" s="205">
        <f ca="1" t="shared" si="1915"/>
        <v>1</v>
      </c>
      <c r="H2038" s="205">
        <f ca="1" t="shared" si="1916"/>
        <v>1</v>
      </c>
      <c r="I2038" s="205">
        <f ca="1" t="shared" si="1917"/>
        <v>2</v>
      </c>
      <c r="J2038" s="205">
        <f ca="1" t="shared" si="1918"/>
        <v>2</v>
      </c>
      <c r="K2038" s="205">
        <f ca="1" t="shared" si="1919"/>
        <v>2</v>
      </c>
      <c r="L2038" s="205">
        <f ca="1" t="shared" si="1920"/>
        <v>2</v>
      </c>
      <c r="M2038" s="205">
        <f ca="1" t="shared" si="1921"/>
        <v>2</v>
      </c>
      <c r="N2038" s="205">
        <f ca="1" t="shared" si="1922"/>
        <v>2</v>
      </c>
      <c r="O2038" s="205">
        <f ca="1" t="shared" si="1923"/>
        <v>4</v>
      </c>
      <c r="P2038" s="205">
        <f ca="1" t="shared" si="1924"/>
        <v>4</v>
      </c>
      <c r="Q2038" s="205">
        <f ca="1" t="shared" si="1925"/>
        <v>4</v>
      </c>
    </row>
    <row r="2039" ht="24" customHeight="1" spans="1:17">
      <c r="A2039" s="99" t="s">
        <v>350</v>
      </c>
      <c r="B2039" s="99" t="s">
        <v>299</v>
      </c>
      <c r="C2039" s="99" t="s">
        <v>316</v>
      </c>
      <c r="D2039" s="48" t="s">
        <v>325</v>
      </c>
      <c r="E2039" s="48" t="s">
        <v>97</v>
      </c>
      <c r="F2039" s="112">
        <f ca="1" t="shared" ref="F2039:Q2039" si="1926">IFERROR(F2035/F2034," ")</f>
        <v>0</v>
      </c>
      <c r="G2039" s="112">
        <f ca="1" t="shared" si="1926"/>
        <v>0</v>
      </c>
      <c r="H2039" s="112">
        <f ca="1" t="shared" si="1926"/>
        <v>0.428571428571429</v>
      </c>
      <c r="I2039" s="112">
        <f ca="1" t="shared" si="1926"/>
        <v>0.375</v>
      </c>
      <c r="J2039" s="112">
        <f ca="1" t="shared" si="1926"/>
        <v>0.4</v>
      </c>
      <c r="K2039" s="112">
        <f ca="1" t="shared" si="1926"/>
        <v>0.454545454545455</v>
      </c>
      <c r="L2039" s="112">
        <f ca="1" t="shared" si="1926"/>
        <v>0.416666666666667</v>
      </c>
      <c r="M2039" s="112">
        <f ca="1" t="shared" si="1926"/>
        <v>0.4</v>
      </c>
      <c r="N2039" s="112">
        <f ca="1" t="shared" si="1926"/>
        <v>0.4</v>
      </c>
      <c r="O2039" s="112">
        <f ca="1" t="shared" si="1926"/>
        <v>0.388888888888889</v>
      </c>
      <c r="P2039" s="112">
        <f ca="1" t="shared" si="1926"/>
        <v>0.45</v>
      </c>
      <c r="Q2039" s="112">
        <f ca="1" t="shared" si="1926"/>
        <v>0.45</v>
      </c>
    </row>
    <row r="2040" ht="24" customHeight="1" spans="1:17">
      <c r="A2040" s="99" t="s">
        <v>350</v>
      </c>
      <c r="B2040" s="99" t="s">
        <v>299</v>
      </c>
      <c r="C2040" s="99" t="s">
        <v>316</v>
      </c>
      <c r="D2040" s="48" t="s">
        <v>325</v>
      </c>
      <c r="E2040" s="48" t="s">
        <v>87</v>
      </c>
      <c r="F2040" s="112">
        <f ca="1" t="shared" ref="F2040:Q2040" si="1927">IFERROR(F2036/F2034," ")</f>
        <v>0</v>
      </c>
      <c r="G2040" s="112">
        <f ca="1" t="shared" si="1927"/>
        <v>0</v>
      </c>
      <c r="H2040" s="112">
        <f ca="1" t="shared" si="1927"/>
        <v>0.142857142857143</v>
      </c>
      <c r="I2040" s="112">
        <f ca="1" t="shared" si="1927"/>
        <v>0.125</v>
      </c>
      <c r="J2040" s="112">
        <f ca="1" t="shared" si="1927"/>
        <v>0.2</v>
      </c>
      <c r="K2040" s="112">
        <f ca="1" t="shared" si="1927"/>
        <v>0.181818181818182</v>
      </c>
      <c r="L2040" s="112">
        <f ca="1" t="shared" si="1927"/>
        <v>0.25</v>
      </c>
      <c r="M2040" s="112">
        <f ca="1" t="shared" si="1927"/>
        <v>0.333333333333333</v>
      </c>
      <c r="N2040" s="112">
        <f ca="1" t="shared" si="1927"/>
        <v>0.333333333333333</v>
      </c>
      <c r="O2040" s="112">
        <f ca="1" t="shared" si="1927"/>
        <v>0.277777777777778</v>
      </c>
      <c r="P2040" s="112">
        <f ca="1" t="shared" si="1927"/>
        <v>0.25</v>
      </c>
      <c r="Q2040" s="112">
        <f ca="1" t="shared" si="1927"/>
        <v>0.25</v>
      </c>
    </row>
    <row r="2041" ht="24" customHeight="1" spans="1:17">
      <c r="A2041" s="99" t="s">
        <v>350</v>
      </c>
      <c r="B2041" s="99" t="s">
        <v>299</v>
      </c>
      <c r="C2041" s="99" t="s">
        <v>316</v>
      </c>
      <c r="D2041" s="48" t="s">
        <v>325</v>
      </c>
      <c r="E2041" s="48" t="s">
        <v>149</v>
      </c>
      <c r="F2041" s="112">
        <f ca="1" t="shared" ref="F2041:Q2041" si="1928">IFERROR(F2037/F2034," ")</f>
        <v>0</v>
      </c>
      <c r="G2041" s="112">
        <f ca="1" t="shared" si="1928"/>
        <v>0</v>
      </c>
      <c r="H2041" s="112">
        <f ca="1" t="shared" si="1928"/>
        <v>0.285714285714286</v>
      </c>
      <c r="I2041" s="112">
        <f ca="1" t="shared" si="1928"/>
        <v>0.25</v>
      </c>
      <c r="J2041" s="112">
        <f ca="1" t="shared" si="1928"/>
        <v>0.2</v>
      </c>
      <c r="K2041" s="112">
        <f ca="1" t="shared" si="1928"/>
        <v>0.181818181818182</v>
      </c>
      <c r="L2041" s="112">
        <f ca="1" t="shared" si="1928"/>
        <v>0.166666666666667</v>
      </c>
      <c r="M2041" s="112">
        <f ca="1" t="shared" si="1928"/>
        <v>0.133333333333333</v>
      </c>
      <c r="N2041" s="112">
        <f ca="1" t="shared" si="1928"/>
        <v>0.133333333333333</v>
      </c>
      <c r="O2041" s="112">
        <f ca="1" t="shared" si="1928"/>
        <v>0.111111111111111</v>
      </c>
      <c r="P2041" s="112">
        <f ca="1" t="shared" si="1928"/>
        <v>0.1</v>
      </c>
      <c r="Q2041" s="112">
        <f ca="1" t="shared" si="1928"/>
        <v>0.1</v>
      </c>
    </row>
    <row r="2042" ht="24" customHeight="1" spans="1:17">
      <c r="A2042" s="99" t="s">
        <v>350</v>
      </c>
      <c r="B2042" s="99" t="s">
        <v>299</v>
      </c>
      <c r="C2042" s="99" t="s">
        <v>316</v>
      </c>
      <c r="D2042" s="48" t="s">
        <v>325</v>
      </c>
      <c r="E2042" s="48" t="s">
        <v>83</v>
      </c>
      <c r="F2042" s="112">
        <f ca="1" t="shared" ref="F2042:Q2042" si="1929">IFERROR(F2038/F2034," ")</f>
        <v>1</v>
      </c>
      <c r="G2042" s="112">
        <f ca="1" t="shared" si="1929"/>
        <v>1</v>
      </c>
      <c r="H2042" s="112">
        <f ca="1" t="shared" si="1929"/>
        <v>0.142857142857143</v>
      </c>
      <c r="I2042" s="112">
        <f ca="1" t="shared" si="1929"/>
        <v>0.25</v>
      </c>
      <c r="J2042" s="112">
        <f ca="1" t="shared" si="1929"/>
        <v>0.2</v>
      </c>
      <c r="K2042" s="112">
        <f ca="1" t="shared" si="1929"/>
        <v>0.181818181818182</v>
      </c>
      <c r="L2042" s="112">
        <f ca="1" t="shared" si="1929"/>
        <v>0.166666666666667</v>
      </c>
      <c r="M2042" s="112">
        <f ca="1" t="shared" si="1929"/>
        <v>0.133333333333333</v>
      </c>
      <c r="N2042" s="112">
        <f ca="1" t="shared" si="1929"/>
        <v>0.133333333333333</v>
      </c>
      <c r="O2042" s="112">
        <f ca="1" t="shared" si="1929"/>
        <v>0.222222222222222</v>
      </c>
      <c r="P2042" s="112">
        <f ca="1" t="shared" si="1929"/>
        <v>0.2</v>
      </c>
      <c r="Q2042" s="112">
        <f ca="1" t="shared" si="1929"/>
        <v>0.2</v>
      </c>
    </row>
    <row r="2043" ht="24" customHeight="1" spans="1:17">
      <c r="A2043" s="99" t="s">
        <v>350</v>
      </c>
      <c r="B2043" s="99" t="s">
        <v>299</v>
      </c>
      <c r="C2043" s="99" t="s">
        <v>316</v>
      </c>
      <c r="D2043" s="100" t="s">
        <v>292</v>
      </c>
      <c r="E2043" s="48" t="s">
        <v>326</v>
      </c>
      <c r="F2043" s="210">
        <f ca="1">IF($S$1&lt;DATE(2025,1,1)," ",IF((F1922-F2046-F2047-F2048-F2049-F2050)&lt;&gt;0,"ERR",F1922))</f>
        <v>1</v>
      </c>
      <c r="G2043" s="210">
        <f ca="1">IF($S$1&lt;DATE(2025,2,1)," ",IF((G1922+F2043-G2046-G2047-G2048-G2049-G2050)&lt;&gt;0,"ERR",G1922+F2043))</f>
        <v>1</v>
      </c>
      <c r="H2043" s="210">
        <f ca="1">IF($S$1&lt;DATE(2025,3,1)," ",IF((H1922+G2043-H2046-H2047-H2048-H2049-H2050)&lt;&gt;0,"ERR",H1922+G2043))</f>
        <v>3</v>
      </c>
      <c r="I2043" s="210">
        <f ca="1">IF($S$1&lt;DATE(2025,4,1)," ",IF((I1922+H2043-I2046-I2047-I2048-I2049-I2050)&lt;&gt;0,"ERR",I1922+H2043))</f>
        <v>4</v>
      </c>
      <c r="J2043" s="210">
        <f ca="1">IF($S$1&lt;DATE(2025,5,1)," ",IF((J1922+I2043-J2046-J2047-J2048-J2049-J2050)&lt;&gt;0,"ERR",J1922+I2043))</f>
        <v>5</v>
      </c>
      <c r="K2043" s="210">
        <f ca="1">IF($S$1&lt;DATE(2025,6,1)," ",IF((K1922+J2043-K2046-K2047-K2048-K2049-K2050)&lt;&gt;0,"ERR",K1922+J2043))</f>
        <v>6</v>
      </c>
      <c r="L2043" s="210">
        <f ca="1">IF($S$1&lt;DATE(2025,7,1)," ",IF((L1922+K2043-L2046-L2047-L2048-L2049-L2050)&lt;&gt;0,"ERR",L1922+K2043))</f>
        <v>7</v>
      </c>
      <c r="M2043" s="210">
        <f ca="1">IF($S$1&lt;DATE(2025,8,1)," ",IF((M1922+L2043-M2046-M2047-M2048-M2049-M2050)&lt;&gt;0,"ERR",M1922+L2043))</f>
        <v>10</v>
      </c>
      <c r="N2043" s="210">
        <f ca="1">IF($S$1&lt;DATE(2025,9,1)," ",IF((N1922+M2043-N2046-N2047-N2048-N2049-N2050)&lt;&gt;0,"ERR",N1922+M2043))</f>
        <v>10</v>
      </c>
      <c r="O2043" s="210">
        <f ca="1">IF($S$1&lt;DATE(2025,10,1)," ",IF((O1922+N2043-O2046-O2047-O2048-O2049-O2050)&lt;&gt;0,"ERR",O1922+N2043))</f>
        <v>13</v>
      </c>
      <c r="P2043" s="210">
        <f ca="1">IF($S$1&lt;DATE(2025,11,1)," ",IF((P1922+O2043-P2046-P2047-P2048-P2049-P2050)&lt;&gt;0,"ERR",P1922+O2043))</f>
        <v>13</v>
      </c>
      <c r="Q2043" s="210">
        <f ca="1">IF($S$1&lt;DATE(2025,12,1)," ",IF((Q1922+P2043-Q2046-Q2047-Q2048-Q2049-Q2050)&lt;&gt;0,"ERR",Q1922+P2043))</f>
        <v>13</v>
      </c>
    </row>
    <row r="2044" ht="24" customHeight="1" spans="1:17">
      <c r="A2044" s="99" t="s">
        <v>350</v>
      </c>
      <c r="B2044" s="99" t="s">
        <v>299</v>
      </c>
      <c r="C2044" s="99" t="s">
        <v>316</v>
      </c>
      <c r="D2044" s="100" t="s">
        <v>292</v>
      </c>
      <c r="E2044" s="53" t="s">
        <v>327</v>
      </c>
      <c r="F2044" s="210">
        <f ca="1">IF($S$1&lt;DATE(2025,1,1)," ",IF((F1923-F2051-F2052-F2053-F2054-F2055)&lt;&gt;0,"ERR",F1923))</f>
        <v>0</v>
      </c>
      <c r="G2044" s="210">
        <f ca="1">IF($S$1&lt;DATE(2025,2,1)," ",IF((G1923+F2044-G2051-G2052-G2053-G2054-G2055)&lt;&gt;0,"ERR",G1923+F2044))</f>
        <v>0</v>
      </c>
      <c r="H2044" s="210">
        <f ca="1">IF($S$1&lt;DATE(2025,3,1)," ",IF((H1923+G2044-H2051-H2052-H2053-H2054-H2055)&lt;&gt;0,"ERR",H1923+G2044))</f>
        <v>0</v>
      </c>
      <c r="I2044" s="210">
        <f ca="1">IF($S$1&lt;DATE(2025,4,1)," ",IF((I1923+H2044-I2051-I2052-I2053-I2054-I2055)&lt;&gt;0,"ERR",I1923+H2044))</f>
        <v>0</v>
      </c>
      <c r="J2044" s="210">
        <f ca="1">IF($S$1&lt;DATE(2025,5,1)," ",IF((J1923+I2044-J2051-J2052-J2053-J2054-J2055)&lt;&gt;0,"ERR",J1923+I2044))</f>
        <v>0</v>
      </c>
      <c r="K2044" s="210">
        <f ca="1">IF($S$1&lt;DATE(2025,6,1)," ",IF((K1923+J2044-K2051-K2052-K2053-K2054-K2055)&lt;&gt;0,"ERR",K1923+J2044))</f>
        <v>0</v>
      </c>
      <c r="L2044" s="210">
        <f ca="1">IF($S$1&lt;DATE(2025,7,1)," ",IF((L1923+K2044-L2051-L2052-L2053-L2054-L2055)&lt;&gt;0,"ERR",L1923+K2044))</f>
        <v>0</v>
      </c>
      <c r="M2044" s="210">
        <f ca="1">IF($S$1&lt;DATE(2025,8,1)," ",IF((M1923+L2044-M2051-M2052-M2053-M2054-M2055)&lt;&gt;0,"ERR",M1923+L2044))</f>
        <v>0</v>
      </c>
      <c r="N2044" s="210">
        <f ca="1">IF($S$1&lt;DATE(2025,9,1)," ",IF((N1923+M2044-N2051-N2052-N2053-N2054-N2055)&lt;&gt;0,"ERR",N1923+M2044))</f>
        <v>0</v>
      </c>
      <c r="O2044" s="210">
        <f ca="1">IF($S$1&lt;DATE(2025,10,1)," ",IF((O1923+N2044-O2051-O2052-O2053-O2054-O2055)&lt;&gt;0,"ERR",O1923+N2044))</f>
        <v>0</v>
      </c>
      <c r="P2044" s="210">
        <f ca="1">IF($S$1&lt;DATE(2025,11,1)," ",IF((P1923+O2044-P2051-P2052-P2053-P2054-P2055)&lt;&gt;0,"ERR",P1923+O2044))</f>
        <v>2</v>
      </c>
      <c r="Q2044" s="210">
        <f ca="1">IF($S$1&lt;DATE(2025,12,1)," ",IF((Q1923+P2044-Q2051-Q2052-Q2053-Q2054-Q2055)&lt;&gt;0,"ERR",Q1923+P2044))</f>
        <v>2</v>
      </c>
    </row>
    <row r="2045" ht="24" customHeight="1" spans="1:17">
      <c r="A2045" s="99" t="s">
        <v>350</v>
      </c>
      <c r="B2045" s="99" t="s">
        <v>299</v>
      </c>
      <c r="C2045" s="99" t="s">
        <v>316</v>
      </c>
      <c r="D2045" s="100" t="s">
        <v>292</v>
      </c>
      <c r="E2045" s="53" t="s">
        <v>328</v>
      </c>
      <c r="F2045" s="210">
        <f ca="1">IF($S$1&lt;DATE(2025,1,1)," ",IF((F1924-F2056-F2057-F2058-F2059-F2060)&lt;&gt;0,"ERR",F1924))</f>
        <v>0</v>
      </c>
      <c r="G2045" s="210">
        <f ca="1">IF($S$1&lt;DATE(2025,2,1)," ",IF((G1924+F2045-G2056-G2057-G2058-G2059-G2060)&lt;&gt;0,"ERR",G1924+F2045))</f>
        <v>1</v>
      </c>
      <c r="H2045" s="210">
        <f ca="1">IF($S$1&lt;DATE(2025,3,1)," ",IF((H1924+G2045-H2056-H2057-H2058-H2059-H2060)&lt;&gt;0,"ERR",H1924+G2045))</f>
        <v>5</v>
      </c>
      <c r="I2045" s="210">
        <f ca="1">IF($S$1&lt;DATE(2025,4,1)," ",IF((I1924+H2045-I2056-I2057-I2058-I2059-I2060)&lt;&gt;0,"ERR",I1924+H2045))</f>
        <v>5</v>
      </c>
      <c r="J2045" s="210">
        <f ca="1">IF($S$1&lt;DATE(2025,5,1)," ",IF((J1924+I2045-J2056-J2057-J2058-J2059-J2060)&lt;&gt;0,"ERR",J1924+I2045))</f>
        <v>6</v>
      </c>
      <c r="K2045" s="210">
        <f ca="1">IF($S$1&lt;DATE(2025,6,1)," ",IF((K1924+J2045-K2056-K2057-K2058-K2059-K2060)&lt;&gt;0,"ERR",K1924+J2045))</f>
        <v>6</v>
      </c>
      <c r="L2045" s="210">
        <f ca="1">IF($S$1&lt;DATE(2025,7,1)," ",IF((L1924+K2045-L2056-L2057-L2058-L2059-L2060)&lt;&gt;0,"ERR",L1924+K2045))</f>
        <v>6</v>
      </c>
      <c r="M2045" s="210">
        <f ca="1">IF($S$1&lt;DATE(2025,8,1)," ",IF((M1924+L2045-M2056-M2057-M2058-M2059-M2060)&lt;&gt;0,"ERR",M1924+L2045))</f>
        <v>6</v>
      </c>
      <c r="N2045" s="210">
        <f ca="1">IF($S$1&lt;DATE(2025,9,1)," ",IF((N1924+M2045-N2056-N2057-N2058-N2059-N2060)&lt;&gt;0,"ERR",N1924+M2045))</f>
        <v>6</v>
      </c>
      <c r="O2045" s="210">
        <f ca="1">IF($S$1&lt;DATE(2025,10,1)," ",IF((O1924+N2045-O2056-O2057-O2058-O2059-O2060)&lt;&gt;0,"ERR",O1924+N2045))</f>
        <v>6</v>
      </c>
      <c r="P2045" s="210">
        <f ca="1">IF($S$1&lt;DATE(2025,11,1)," ",IF((P1924+O2045-P2056-P2057-P2058-P2059-P2060)&lt;&gt;0,"ERR",P1924+O2045))</f>
        <v>6</v>
      </c>
      <c r="Q2045" s="210">
        <f ca="1">IF($S$1&lt;DATE(2025,12,1)," ",IF((Q1924+P2045-Q2056-Q2057-Q2058-Q2059-Q2060)&lt;&gt;0,"ERR",Q1924+P2045))</f>
        <v>6</v>
      </c>
    </row>
    <row r="2046" ht="24" customHeight="1" spans="1:17">
      <c r="A2046" s="99" t="s">
        <v>350</v>
      </c>
      <c r="B2046" s="99" t="s">
        <v>299</v>
      </c>
      <c r="C2046" s="99" t="s">
        <v>316</v>
      </c>
      <c r="D2046" s="53" t="s">
        <v>326</v>
      </c>
      <c r="E2046" s="53" t="s">
        <v>93</v>
      </c>
      <c r="F2046" s="210">
        <f ca="1" t="shared" ref="F2046:F2060" si="1930">IF($S$1&lt;DATE(2025,1,1)," ",F1925)</f>
        <v>0</v>
      </c>
      <c r="G2046" s="210">
        <f ca="1" t="shared" ref="G2046:G2060" si="1931">IF($S$1&lt;DATE(2025,2,1)," ",G1925+F2046)</f>
        <v>0</v>
      </c>
      <c r="H2046" s="210">
        <f ca="1" t="shared" ref="H2046:H2060" si="1932">IF($S$1&lt;DATE(2025,3,1)," ",H1925+G2046)</f>
        <v>1</v>
      </c>
      <c r="I2046" s="210">
        <f ca="1" t="shared" ref="I2046:I2060" si="1933">IF($S$1&lt;DATE(2025,4,1)," ",I1925+H2046)</f>
        <v>1</v>
      </c>
      <c r="J2046" s="210">
        <f ca="1" t="shared" ref="J2046:J2060" si="1934">IF($S$1&lt;DATE(2025,5,1)," ",J1925+I2046)</f>
        <v>1</v>
      </c>
      <c r="K2046" s="210">
        <f ca="1" t="shared" ref="K2046:K2060" si="1935">IF($S$1&lt;DATE(2025,6,1)," ",K1925+J2046)</f>
        <v>2</v>
      </c>
      <c r="L2046" s="210">
        <f ca="1" t="shared" ref="L2046:L2060" si="1936">IF($S$1&lt;DATE(2025,7,1)," ",L1925+K2046)</f>
        <v>2</v>
      </c>
      <c r="M2046" s="210">
        <f ca="1" t="shared" ref="M2046:M2060" si="1937">IF($S$1&lt;DATE(2025,8,1)," ",M1925+L2046)</f>
        <v>3</v>
      </c>
      <c r="N2046" s="210">
        <f ca="1" t="shared" ref="N2046:N2060" si="1938">IF($S$1&lt;DATE(2025,9,1)," ",N1925+M2046)</f>
        <v>3</v>
      </c>
      <c r="O2046" s="210">
        <f ca="1" t="shared" ref="O2046:O2060" si="1939">IF($S$1&lt;DATE(2025,10,1)," ",O1925+N2046)</f>
        <v>5</v>
      </c>
      <c r="P2046" s="210">
        <f ca="1" t="shared" ref="P2046:P2060" si="1940">IF($S$1&lt;DATE(2025,11,1)," ",P1925+O2046)</f>
        <v>5</v>
      </c>
      <c r="Q2046" s="210">
        <f ca="1" t="shared" ref="Q2046:Q2060" si="1941">IF($S$1&lt;DATE(2025,12,1)," ",Q1925+P2046)</f>
        <v>5</v>
      </c>
    </row>
    <row r="2047" ht="24" customHeight="1" spans="1:17">
      <c r="A2047" s="99" t="s">
        <v>350</v>
      </c>
      <c r="B2047" s="99" t="s">
        <v>299</v>
      </c>
      <c r="C2047" s="99" t="s">
        <v>316</v>
      </c>
      <c r="D2047" s="53" t="s">
        <v>326</v>
      </c>
      <c r="E2047" s="53" t="s">
        <v>85</v>
      </c>
      <c r="F2047" s="210">
        <f ca="1" t="shared" si="1930"/>
        <v>1</v>
      </c>
      <c r="G2047" s="210">
        <f ca="1" t="shared" si="1931"/>
        <v>1</v>
      </c>
      <c r="H2047" s="210">
        <f ca="1" t="shared" si="1932"/>
        <v>1</v>
      </c>
      <c r="I2047" s="210">
        <f ca="1" t="shared" si="1933"/>
        <v>2</v>
      </c>
      <c r="J2047" s="210">
        <f ca="1" t="shared" si="1934"/>
        <v>2</v>
      </c>
      <c r="K2047" s="210">
        <f ca="1" t="shared" si="1935"/>
        <v>2</v>
      </c>
      <c r="L2047" s="210">
        <f ca="1" t="shared" si="1936"/>
        <v>2</v>
      </c>
      <c r="M2047" s="210">
        <f ca="1" t="shared" si="1937"/>
        <v>4</v>
      </c>
      <c r="N2047" s="210">
        <f ca="1" t="shared" si="1938"/>
        <v>4</v>
      </c>
      <c r="O2047" s="210">
        <f ca="1" t="shared" si="1939"/>
        <v>5</v>
      </c>
      <c r="P2047" s="210">
        <f ca="1" t="shared" si="1940"/>
        <v>5</v>
      </c>
      <c r="Q2047" s="210">
        <f ca="1" t="shared" si="1941"/>
        <v>5</v>
      </c>
    </row>
    <row r="2048" ht="24" customHeight="1" spans="1:17">
      <c r="A2048" s="99" t="s">
        <v>350</v>
      </c>
      <c r="B2048" s="99" t="s">
        <v>299</v>
      </c>
      <c r="C2048" s="99" t="s">
        <v>316</v>
      </c>
      <c r="D2048" s="53" t="s">
        <v>326</v>
      </c>
      <c r="E2048" s="53" t="s">
        <v>81</v>
      </c>
      <c r="F2048" s="210">
        <f ca="1" t="shared" si="1930"/>
        <v>0</v>
      </c>
      <c r="G2048" s="210">
        <f ca="1" t="shared" si="1931"/>
        <v>0</v>
      </c>
      <c r="H2048" s="210">
        <f ca="1" t="shared" si="1932"/>
        <v>0</v>
      </c>
      <c r="I2048" s="210">
        <f ca="1" t="shared" si="1933"/>
        <v>0</v>
      </c>
      <c r="J2048" s="210">
        <f ca="1" t="shared" si="1934"/>
        <v>1</v>
      </c>
      <c r="K2048" s="210">
        <f ca="1" t="shared" si="1935"/>
        <v>1</v>
      </c>
      <c r="L2048" s="210">
        <f ca="1" t="shared" si="1936"/>
        <v>2</v>
      </c>
      <c r="M2048" s="210">
        <f ca="1" t="shared" si="1937"/>
        <v>2</v>
      </c>
      <c r="N2048" s="210">
        <f ca="1" t="shared" si="1938"/>
        <v>2</v>
      </c>
      <c r="O2048" s="210">
        <f ca="1" t="shared" si="1939"/>
        <v>2</v>
      </c>
      <c r="P2048" s="210">
        <f ca="1" t="shared" si="1940"/>
        <v>2</v>
      </c>
      <c r="Q2048" s="210">
        <f ca="1" t="shared" si="1941"/>
        <v>2</v>
      </c>
    </row>
    <row r="2049" ht="24" customHeight="1" spans="1:17">
      <c r="A2049" s="99" t="s">
        <v>350</v>
      </c>
      <c r="B2049" s="99" t="s">
        <v>299</v>
      </c>
      <c r="C2049" s="99" t="s">
        <v>316</v>
      </c>
      <c r="D2049" s="53" t="s">
        <v>326</v>
      </c>
      <c r="E2049" s="53" t="s">
        <v>96</v>
      </c>
      <c r="F2049" s="210">
        <f ca="1" t="shared" si="1930"/>
        <v>0</v>
      </c>
      <c r="G2049" s="210">
        <f ca="1" t="shared" si="1931"/>
        <v>0</v>
      </c>
      <c r="H2049" s="210">
        <f ca="1" t="shared" si="1932"/>
        <v>1</v>
      </c>
      <c r="I2049" s="210">
        <f ca="1" t="shared" si="1933"/>
        <v>1</v>
      </c>
      <c r="J2049" s="210">
        <f ca="1" t="shared" si="1934"/>
        <v>1</v>
      </c>
      <c r="K2049" s="210">
        <f ca="1" t="shared" si="1935"/>
        <v>1</v>
      </c>
      <c r="L2049" s="210">
        <f ca="1" t="shared" si="1936"/>
        <v>1</v>
      </c>
      <c r="M2049" s="210">
        <f ca="1" t="shared" si="1937"/>
        <v>1</v>
      </c>
      <c r="N2049" s="210">
        <f ca="1" t="shared" si="1938"/>
        <v>1</v>
      </c>
      <c r="O2049" s="210">
        <f ca="1" t="shared" si="1939"/>
        <v>1</v>
      </c>
      <c r="P2049" s="210">
        <f ca="1" t="shared" si="1940"/>
        <v>1</v>
      </c>
      <c r="Q2049" s="210">
        <f ca="1" t="shared" si="1941"/>
        <v>1</v>
      </c>
    </row>
    <row r="2050" ht="24" customHeight="1" spans="1:17">
      <c r="A2050" s="99" t="s">
        <v>350</v>
      </c>
      <c r="B2050" s="99" t="s">
        <v>299</v>
      </c>
      <c r="C2050" s="99" t="s">
        <v>316</v>
      </c>
      <c r="D2050" s="53" t="s">
        <v>326</v>
      </c>
      <c r="E2050" s="53" t="s">
        <v>160</v>
      </c>
      <c r="F2050" s="210">
        <f ca="1" t="shared" si="1930"/>
        <v>0</v>
      </c>
      <c r="G2050" s="210">
        <f ca="1" t="shared" si="1931"/>
        <v>0</v>
      </c>
      <c r="H2050" s="210">
        <f ca="1" t="shared" si="1932"/>
        <v>0</v>
      </c>
      <c r="I2050" s="210">
        <f ca="1" t="shared" si="1933"/>
        <v>0</v>
      </c>
      <c r="J2050" s="210">
        <f ca="1" t="shared" si="1934"/>
        <v>0</v>
      </c>
      <c r="K2050" s="210">
        <f ca="1" t="shared" si="1935"/>
        <v>0</v>
      </c>
      <c r="L2050" s="210">
        <f ca="1" t="shared" si="1936"/>
        <v>0</v>
      </c>
      <c r="M2050" s="210">
        <f ca="1" t="shared" si="1937"/>
        <v>0</v>
      </c>
      <c r="N2050" s="210">
        <f ca="1" t="shared" si="1938"/>
        <v>0</v>
      </c>
      <c r="O2050" s="210">
        <f ca="1" t="shared" si="1939"/>
        <v>0</v>
      </c>
      <c r="P2050" s="210">
        <f ca="1" t="shared" si="1940"/>
        <v>0</v>
      </c>
      <c r="Q2050" s="210">
        <f ca="1" t="shared" si="1941"/>
        <v>0</v>
      </c>
    </row>
    <row r="2051" ht="24" customHeight="1" spans="1:17">
      <c r="A2051" s="99" t="s">
        <v>350</v>
      </c>
      <c r="B2051" s="99" t="s">
        <v>299</v>
      </c>
      <c r="C2051" s="99" t="s">
        <v>316</v>
      </c>
      <c r="D2051" s="53" t="s">
        <v>327</v>
      </c>
      <c r="E2051" s="53" t="s">
        <v>93</v>
      </c>
      <c r="F2051" s="210">
        <f ca="1" t="shared" si="1930"/>
        <v>0</v>
      </c>
      <c r="G2051" s="210">
        <f ca="1" t="shared" si="1931"/>
        <v>0</v>
      </c>
      <c r="H2051" s="210">
        <f ca="1" t="shared" si="1932"/>
        <v>0</v>
      </c>
      <c r="I2051" s="210">
        <f ca="1" t="shared" si="1933"/>
        <v>0</v>
      </c>
      <c r="J2051" s="210">
        <f ca="1" t="shared" si="1934"/>
        <v>0</v>
      </c>
      <c r="K2051" s="210">
        <f ca="1" t="shared" si="1935"/>
        <v>0</v>
      </c>
      <c r="L2051" s="210">
        <f ca="1" t="shared" si="1936"/>
        <v>0</v>
      </c>
      <c r="M2051" s="210">
        <f ca="1" t="shared" si="1937"/>
        <v>0</v>
      </c>
      <c r="N2051" s="210">
        <f ca="1" t="shared" si="1938"/>
        <v>0</v>
      </c>
      <c r="O2051" s="210">
        <f ca="1" t="shared" si="1939"/>
        <v>0</v>
      </c>
      <c r="P2051" s="210">
        <f ca="1" t="shared" si="1940"/>
        <v>2</v>
      </c>
      <c r="Q2051" s="210">
        <f ca="1" t="shared" si="1941"/>
        <v>2</v>
      </c>
    </row>
    <row r="2052" ht="24" customHeight="1" spans="1:17">
      <c r="A2052" s="99" t="s">
        <v>350</v>
      </c>
      <c r="B2052" s="99" t="s">
        <v>299</v>
      </c>
      <c r="C2052" s="99" t="s">
        <v>316</v>
      </c>
      <c r="D2052" s="53" t="s">
        <v>327</v>
      </c>
      <c r="E2052" s="53" t="s">
        <v>85</v>
      </c>
      <c r="F2052" s="210">
        <f ca="1" t="shared" si="1930"/>
        <v>0</v>
      </c>
      <c r="G2052" s="210">
        <f ca="1" t="shared" si="1931"/>
        <v>0</v>
      </c>
      <c r="H2052" s="210">
        <f ca="1" t="shared" si="1932"/>
        <v>0</v>
      </c>
      <c r="I2052" s="210">
        <f ca="1" t="shared" si="1933"/>
        <v>0</v>
      </c>
      <c r="J2052" s="210">
        <f ca="1" t="shared" si="1934"/>
        <v>0</v>
      </c>
      <c r="K2052" s="210">
        <f ca="1" t="shared" si="1935"/>
        <v>0</v>
      </c>
      <c r="L2052" s="210">
        <f ca="1" t="shared" si="1936"/>
        <v>0</v>
      </c>
      <c r="M2052" s="210">
        <f ca="1" t="shared" si="1937"/>
        <v>0</v>
      </c>
      <c r="N2052" s="210">
        <f ca="1" t="shared" si="1938"/>
        <v>0</v>
      </c>
      <c r="O2052" s="210">
        <f ca="1" t="shared" si="1939"/>
        <v>0</v>
      </c>
      <c r="P2052" s="210">
        <f ca="1" t="shared" si="1940"/>
        <v>0</v>
      </c>
      <c r="Q2052" s="210">
        <f ca="1" t="shared" si="1941"/>
        <v>0</v>
      </c>
    </row>
    <row r="2053" ht="24" customHeight="1" spans="1:17">
      <c r="A2053" s="99" t="s">
        <v>350</v>
      </c>
      <c r="B2053" s="99" t="s">
        <v>299</v>
      </c>
      <c r="C2053" s="99" t="s">
        <v>316</v>
      </c>
      <c r="D2053" s="53" t="s">
        <v>327</v>
      </c>
      <c r="E2053" s="53" t="s">
        <v>81</v>
      </c>
      <c r="F2053" s="210">
        <f ca="1" t="shared" si="1930"/>
        <v>0</v>
      </c>
      <c r="G2053" s="210">
        <f ca="1" t="shared" si="1931"/>
        <v>0</v>
      </c>
      <c r="H2053" s="210">
        <f ca="1" t="shared" si="1932"/>
        <v>0</v>
      </c>
      <c r="I2053" s="210">
        <f ca="1" t="shared" si="1933"/>
        <v>0</v>
      </c>
      <c r="J2053" s="210">
        <f ca="1" t="shared" si="1934"/>
        <v>0</v>
      </c>
      <c r="K2053" s="210">
        <f ca="1" t="shared" si="1935"/>
        <v>0</v>
      </c>
      <c r="L2053" s="210">
        <f ca="1" t="shared" si="1936"/>
        <v>0</v>
      </c>
      <c r="M2053" s="210">
        <f ca="1" t="shared" si="1937"/>
        <v>0</v>
      </c>
      <c r="N2053" s="210">
        <f ca="1" t="shared" si="1938"/>
        <v>0</v>
      </c>
      <c r="O2053" s="210">
        <f ca="1" t="shared" si="1939"/>
        <v>0</v>
      </c>
      <c r="P2053" s="210">
        <f ca="1" t="shared" si="1940"/>
        <v>0</v>
      </c>
      <c r="Q2053" s="210">
        <f ca="1" t="shared" si="1941"/>
        <v>0</v>
      </c>
    </row>
    <row r="2054" ht="24" customHeight="1" spans="1:17">
      <c r="A2054" s="99" t="s">
        <v>350</v>
      </c>
      <c r="B2054" s="99" t="s">
        <v>299</v>
      </c>
      <c r="C2054" s="99" t="s">
        <v>316</v>
      </c>
      <c r="D2054" s="53" t="s">
        <v>327</v>
      </c>
      <c r="E2054" s="53" t="s">
        <v>96</v>
      </c>
      <c r="F2054" s="210">
        <f ca="1" t="shared" si="1930"/>
        <v>0</v>
      </c>
      <c r="G2054" s="210">
        <f ca="1" t="shared" si="1931"/>
        <v>0</v>
      </c>
      <c r="H2054" s="210">
        <f ca="1" t="shared" si="1932"/>
        <v>0</v>
      </c>
      <c r="I2054" s="210">
        <f ca="1" t="shared" si="1933"/>
        <v>0</v>
      </c>
      <c r="J2054" s="210">
        <f ca="1" t="shared" si="1934"/>
        <v>0</v>
      </c>
      <c r="K2054" s="210">
        <f ca="1" t="shared" si="1935"/>
        <v>0</v>
      </c>
      <c r="L2054" s="210">
        <f ca="1" t="shared" si="1936"/>
        <v>0</v>
      </c>
      <c r="M2054" s="210">
        <f ca="1" t="shared" si="1937"/>
        <v>0</v>
      </c>
      <c r="N2054" s="210">
        <f ca="1" t="shared" si="1938"/>
        <v>0</v>
      </c>
      <c r="O2054" s="210">
        <f ca="1" t="shared" si="1939"/>
        <v>0</v>
      </c>
      <c r="P2054" s="210">
        <f ca="1" t="shared" si="1940"/>
        <v>0</v>
      </c>
      <c r="Q2054" s="210">
        <f ca="1" t="shared" si="1941"/>
        <v>0</v>
      </c>
    </row>
    <row r="2055" ht="24" customHeight="1" spans="1:17">
      <c r="A2055" s="99" t="s">
        <v>350</v>
      </c>
      <c r="B2055" s="99" t="s">
        <v>299</v>
      </c>
      <c r="C2055" s="99" t="s">
        <v>316</v>
      </c>
      <c r="D2055" s="53" t="s">
        <v>327</v>
      </c>
      <c r="E2055" s="53" t="s">
        <v>160</v>
      </c>
      <c r="F2055" s="210">
        <f ca="1" t="shared" si="1930"/>
        <v>0</v>
      </c>
      <c r="G2055" s="210">
        <f ca="1" t="shared" si="1931"/>
        <v>0</v>
      </c>
      <c r="H2055" s="210">
        <f ca="1" t="shared" si="1932"/>
        <v>0</v>
      </c>
      <c r="I2055" s="210">
        <f ca="1" t="shared" si="1933"/>
        <v>0</v>
      </c>
      <c r="J2055" s="210">
        <f ca="1" t="shared" si="1934"/>
        <v>0</v>
      </c>
      <c r="K2055" s="210">
        <f ca="1" t="shared" si="1935"/>
        <v>0</v>
      </c>
      <c r="L2055" s="210">
        <f ca="1" t="shared" si="1936"/>
        <v>0</v>
      </c>
      <c r="M2055" s="210">
        <f ca="1" t="shared" si="1937"/>
        <v>0</v>
      </c>
      <c r="N2055" s="210">
        <f ca="1" t="shared" si="1938"/>
        <v>0</v>
      </c>
      <c r="O2055" s="210">
        <f ca="1" t="shared" si="1939"/>
        <v>0</v>
      </c>
      <c r="P2055" s="210">
        <f ca="1" t="shared" si="1940"/>
        <v>0</v>
      </c>
      <c r="Q2055" s="210">
        <f ca="1" t="shared" si="1941"/>
        <v>0</v>
      </c>
    </row>
    <row r="2056" ht="24" customHeight="1" spans="1:17">
      <c r="A2056" s="99" t="s">
        <v>350</v>
      </c>
      <c r="B2056" s="99" t="s">
        <v>299</v>
      </c>
      <c r="C2056" s="99" t="s">
        <v>316</v>
      </c>
      <c r="D2056" s="53" t="s">
        <v>328</v>
      </c>
      <c r="E2056" s="53" t="s">
        <v>93</v>
      </c>
      <c r="F2056" s="210">
        <f ca="1" t="shared" si="1930"/>
        <v>0</v>
      </c>
      <c r="G2056" s="210">
        <f ca="1" t="shared" si="1931"/>
        <v>1</v>
      </c>
      <c r="H2056" s="210">
        <f ca="1" t="shared" si="1932"/>
        <v>4</v>
      </c>
      <c r="I2056" s="210">
        <f ca="1" t="shared" si="1933"/>
        <v>4</v>
      </c>
      <c r="J2056" s="210">
        <f ca="1" t="shared" si="1934"/>
        <v>5</v>
      </c>
      <c r="K2056" s="210">
        <f ca="1" t="shared" si="1935"/>
        <v>5</v>
      </c>
      <c r="L2056" s="210">
        <f ca="1" t="shared" si="1936"/>
        <v>5</v>
      </c>
      <c r="M2056" s="210">
        <f ca="1" t="shared" si="1937"/>
        <v>5</v>
      </c>
      <c r="N2056" s="210">
        <f ca="1" t="shared" si="1938"/>
        <v>5</v>
      </c>
      <c r="O2056" s="210">
        <f ca="1" t="shared" si="1939"/>
        <v>5</v>
      </c>
      <c r="P2056" s="210">
        <f ca="1" t="shared" si="1940"/>
        <v>5</v>
      </c>
      <c r="Q2056" s="210">
        <f ca="1" t="shared" si="1941"/>
        <v>5</v>
      </c>
    </row>
    <row r="2057" ht="24" customHeight="1" spans="1:17">
      <c r="A2057" s="99" t="s">
        <v>350</v>
      </c>
      <c r="B2057" s="99" t="s">
        <v>299</v>
      </c>
      <c r="C2057" s="99" t="s">
        <v>316</v>
      </c>
      <c r="D2057" s="53" t="s">
        <v>328</v>
      </c>
      <c r="E2057" s="53" t="s">
        <v>85</v>
      </c>
      <c r="F2057" s="210">
        <f ca="1" t="shared" si="1930"/>
        <v>0</v>
      </c>
      <c r="G2057" s="210">
        <f ca="1" t="shared" si="1931"/>
        <v>0</v>
      </c>
      <c r="H2057" s="210">
        <f ca="1" t="shared" si="1932"/>
        <v>0</v>
      </c>
      <c r="I2057" s="210">
        <f ca="1" t="shared" si="1933"/>
        <v>0</v>
      </c>
      <c r="J2057" s="210">
        <f ca="1" t="shared" si="1934"/>
        <v>0</v>
      </c>
      <c r="K2057" s="210">
        <f ca="1" t="shared" si="1935"/>
        <v>0</v>
      </c>
      <c r="L2057" s="210">
        <f ca="1" t="shared" si="1936"/>
        <v>0</v>
      </c>
      <c r="M2057" s="210">
        <f ca="1" t="shared" si="1937"/>
        <v>0</v>
      </c>
      <c r="N2057" s="210">
        <f ca="1" t="shared" si="1938"/>
        <v>0</v>
      </c>
      <c r="O2057" s="210">
        <f ca="1" t="shared" si="1939"/>
        <v>0</v>
      </c>
      <c r="P2057" s="210">
        <f ca="1" t="shared" si="1940"/>
        <v>0</v>
      </c>
      <c r="Q2057" s="210">
        <f ca="1" t="shared" si="1941"/>
        <v>0</v>
      </c>
    </row>
    <row r="2058" ht="24" customHeight="1" spans="1:17">
      <c r="A2058" s="99" t="s">
        <v>350</v>
      </c>
      <c r="B2058" s="99" t="s">
        <v>299</v>
      </c>
      <c r="C2058" s="99" t="s">
        <v>316</v>
      </c>
      <c r="D2058" s="53" t="s">
        <v>328</v>
      </c>
      <c r="E2058" s="53" t="s">
        <v>81</v>
      </c>
      <c r="F2058" s="210">
        <f ca="1" t="shared" si="1930"/>
        <v>0</v>
      </c>
      <c r="G2058" s="210">
        <f ca="1" t="shared" si="1931"/>
        <v>0</v>
      </c>
      <c r="H2058" s="210">
        <f ca="1" t="shared" si="1932"/>
        <v>1</v>
      </c>
      <c r="I2058" s="210">
        <f ca="1" t="shared" si="1933"/>
        <v>1</v>
      </c>
      <c r="J2058" s="210">
        <f ca="1" t="shared" si="1934"/>
        <v>1</v>
      </c>
      <c r="K2058" s="210">
        <f ca="1" t="shared" si="1935"/>
        <v>1</v>
      </c>
      <c r="L2058" s="210">
        <f ca="1" t="shared" si="1936"/>
        <v>1</v>
      </c>
      <c r="M2058" s="210">
        <f ca="1" t="shared" si="1937"/>
        <v>1</v>
      </c>
      <c r="N2058" s="210">
        <f ca="1" t="shared" si="1938"/>
        <v>1</v>
      </c>
      <c r="O2058" s="210">
        <f ca="1" t="shared" si="1939"/>
        <v>1</v>
      </c>
      <c r="P2058" s="210">
        <f ca="1" t="shared" si="1940"/>
        <v>1</v>
      </c>
      <c r="Q2058" s="210">
        <f ca="1" t="shared" si="1941"/>
        <v>1</v>
      </c>
    </row>
    <row r="2059" ht="24" customHeight="1" spans="1:17">
      <c r="A2059" s="99" t="s">
        <v>350</v>
      </c>
      <c r="B2059" s="99" t="s">
        <v>299</v>
      </c>
      <c r="C2059" s="99" t="s">
        <v>316</v>
      </c>
      <c r="D2059" s="53" t="s">
        <v>328</v>
      </c>
      <c r="E2059" s="53" t="s">
        <v>96</v>
      </c>
      <c r="F2059" s="210">
        <f ca="1" t="shared" si="1930"/>
        <v>0</v>
      </c>
      <c r="G2059" s="210">
        <f ca="1" t="shared" si="1931"/>
        <v>0</v>
      </c>
      <c r="H2059" s="210">
        <f ca="1" t="shared" si="1932"/>
        <v>0</v>
      </c>
      <c r="I2059" s="210">
        <f ca="1" t="shared" si="1933"/>
        <v>0</v>
      </c>
      <c r="J2059" s="210">
        <f ca="1" t="shared" si="1934"/>
        <v>0</v>
      </c>
      <c r="K2059" s="210">
        <f ca="1" t="shared" si="1935"/>
        <v>0</v>
      </c>
      <c r="L2059" s="210">
        <f ca="1" t="shared" si="1936"/>
        <v>0</v>
      </c>
      <c r="M2059" s="210">
        <f ca="1" t="shared" si="1937"/>
        <v>0</v>
      </c>
      <c r="N2059" s="210">
        <f ca="1" t="shared" si="1938"/>
        <v>0</v>
      </c>
      <c r="O2059" s="210">
        <f ca="1" t="shared" si="1939"/>
        <v>0</v>
      </c>
      <c r="P2059" s="210">
        <f ca="1" t="shared" si="1940"/>
        <v>0</v>
      </c>
      <c r="Q2059" s="210">
        <f ca="1" t="shared" si="1941"/>
        <v>0</v>
      </c>
    </row>
    <row r="2060" ht="24" customHeight="1" spans="1:17">
      <c r="A2060" s="99" t="s">
        <v>350</v>
      </c>
      <c r="B2060" s="99" t="s">
        <v>299</v>
      </c>
      <c r="C2060" s="99" t="s">
        <v>316</v>
      </c>
      <c r="D2060" s="53" t="s">
        <v>328</v>
      </c>
      <c r="E2060" s="53" t="s">
        <v>160</v>
      </c>
      <c r="F2060" s="210">
        <f ca="1" t="shared" si="1930"/>
        <v>0</v>
      </c>
      <c r="G2060" s="210">
        <f ca="1" t="shared" si="1931"/>
        <v>0</v>
      </c>
      <c r="H2060" s="210">
        <f ca="1" t="shared" si="1932"/>
        <v>0</v>
      </c>
      <c r="I2060" s="210">
        <f ca="1" t="shared" si="1933"/>
        <v>0</v>
      </c>
      <c r="J2060" s="210">
        <f ca="1" t="shared" si="1934"/>
        <v>0</v>
      </c>
      <c r="K2060" s="210">
        <f ca="1" t="shared" si="1935"/>
        <v>0</v>
      </c>
      <c r="L2060" s="210">
        <f ca="1" t="shared" si="1936"/>
        <v>0</v>
      </c>
      <c r="M2060" s="210">
        <f ca="1" t="shared" si="1937"/>
        <v>0</v>
      </c>
      <c r="N2060" s="210">
        <f ca="1" t="shared" si="1938"/>
        <v>0</v>
      </c>
      <c r="O2060" s="210">
        <f ca="1" t="shared" si="1939"/>
        <v>0</v>
      </c>
      <c r="P2060" s="210">
        <f ca="1" t="shared" si="1940"/>
        <v>0</v>
      </c>
      <c r="Q2060" s="210">
        <f ca="1" t="shared" si="1941"/>
        <v>0</v>
      </c>
    </row>
    <row r="2061" ht="24" customHeight="1" spans="1:17">
      <c r="A2061" s="99" t="s">
        <v>350</v>
      </c>
      <c r="B2061" s="99" t="s">
        <v>299</v>
      </c>
      <c r="C2061" s="99" t="s">
        <v>329</v>
      </c>
      <c r="D2061" s="113" t="s">
        <v>292</v>
      </c>
      <c r="E2061" s="113" t="s">
        <v>330</v>
      </c>
      <c r="F2061" s="115">
        <f ca="1" t="shared" ref="F2061:Q2061" si="1942">IFERROR(IF(F1985=" "," ",F2007/F1985)," ")</f>
        <v>1</v>
      </c>
      <c r="G2061" s="115">
        <f ca="1" t="shared" si="1942"/>
        <v>0.5</v>
      </c>
      <c r="H2061" s="115">
        <f ca="1" t="shared" si="1942"/>
        <v>1</v>
      </c>
      <c r="I2061" s="115">
        <f ca="1" t="shared" si="1942"/>
        <v>1</v>
      </c>
      <c r="J2061" s="115">
        <f ca="1" t="shared" si="1942"/>
        <v>0.916666666666667</v>
      </c>
      <c r="K2061" s="115">
        <f ca="1" t="shared" si="1942"/>
        <v>1</v>
      </c>
      <c r="L2061" s="115">
        <f ca="1" t="shared" si="1942"/>
        <v>1</v>
      </c>
      <c r="M2061" s="115">
        <f ca="1" t="shared" si="1942"/>
        <v>1</v>
      </c>
      <c r="N2061" s="115">
        <f ca="1" t="shared" si="1942"/>
        <v>0.8</v>
      </c>
      <c r="O2061" s="115">
        <f ca="1" t="shared" si="1942"/>
        <v>0.904761904761905</v>
      </c>
      <c r="P2061" s="115">
        <f ca="1" t="shared" si="1942"/>
        <v>0.91304347826087</v>
      </c>
      <c r="Q2061" s="115">
        <f ca="1" t="shared" si="1942"/>
        <v>0.875</v>
      </c>
    </row>
    <row r="2062" ht="24" customHeight="1" spans="1:17">
      <c r="A2062" s="99" t="s">
        <v>350</v>
      </c>
      <c r="B2062" s="99" t="s">
        <v>299</v>
      </c>
      <c r="C2062" s="99" t="s">
        <v>329</v>
      </c>
      <c r="D2062" s="48" t="s">
        <v>296</v>
      </c>
      <c r="E2062" s="116" t="s">
        <v>90</v>
      </c>
      <c r="F2062" s="117">
        <f ca="1" t="shared" ref="F2062:I2062" si="1943">IFERROR(IF(F1986=" "," ",F2008/F1986)," ")</f>
        <v>1</v>
      </c>
      <c r="G2062" s="117">
        <f ca="1" t="shared" si="1943"/>
        <v>1</v>
      </c>
      <c r="H2062" s="117">
        <f ca="1" t="shared" si="1943"/>
        <v>1</v>
      </c>
      <c r="I2062" s="117">
        <f ca="1" t="shared" si="1943"/>
        <v>1</v>
      </c>
      <c r="J2062" s="117">
        <f ca="1" t="shared" ref="J2062:Q2062" si="1944">IF(J1986=" "," ",J2008/J1986)</f>
        <v>1</v>
      </c>
      <c r="K2062" s="117">
        <f ca="1" t="shared" si="1944"/>
        <v>1</v>
      </c>
      <c r="L2062" s="117">
        <f ca="1" t="shared" si="1944"/>
        <v>1</v>
      </c>
      <c r="M2062" s="117">
        <f ca="1" t="shared" si="1944"/>
        <v>1</v>
      </c>
      <c r="N2062" s="117">
        <f ca="1" t="shared" si="1944"/>
        <v>0.666666666666667</v>
      </c>
      <c r="O2062" s="117">
        <f ca="1" t="shared" si="1944"/>
        <v>1</v>
      </c>
      <c r="P2062" s="117">
        <f ca="1" t="shared" si="1944"/>
        <v>1</v>
      </c>
      <c r="Q2062" s="117">
        <f ca="1" t="shared" si="1944"/>
        <v>1</v>
      </c>
    </row>
    <row r="2063" ht="24" customHeight="1" spans="1:17">
      <c r="A2063" s="99" t="s">
        <v>350</v>
      </c>
      <c r="B2063" s="99" t="s">
        <v>299</v>
      </c>
      <c r="C2063" s="99" t="s">
        <v>329</v>
      </c>
      <c r="D2063" s="48" t="s">
        <v>296</v>
      </c>
      <c r="E2063" s="116" t="s">
        <v>82</v>
      </c>
      <c r="F2063" s="117" t="str">
        <f ca="1" t="shared" ref="F2063:I2063" si="1945">IFERROR(IF(F1987=" "," ",F2009/F1987)," ")</f>
        <v> </v>
      </c>
      <c r="G2063" s="117">
        <f ca="1" t="shared" si="1945"/>
        <v>1</v>
      </c>
      <c r="H2063" s="117">
        <f ca="1" t="shared" si="1945"/>
        <v>1</v>
      </c>
      <c r="I2063" s="117">
        <f ca="1" t="shared" si="1945"/>
        <v>1</v>
      </c>
      <c r="J2063" s="117">
        <f ca="1" t="shared" ref="J2063:Q2063" si="1946">IF(J1987=" "," ",J2009/J1987)</f>
        <v>1</v>
      </c>
      <c r="K2063" s="117">
        <f ca="1" t="shared" si="1946"/>
        <v>1</v>
      </c>
      <c r="L2063" s="117">
        <f ca="1" t="shared" si="1946"/>
        <v>1</v>
      </c>
      <c r="M2063" s="117">
        <f ca="1" t="shared" si="1946"/>
        <v>1</v>
      </c>
      <c r="N2063" s="117">
        <f ca="1" t="shared" si="1946"/>
        <v>0.833333333333333</v>
      </c>
      <c r="O2063" s="117">
        <f ca="1" t="shared" si="1946"/>
        <v>0.833333333333333</v>
      </c>
      <c r="P2063" s="117">
        <f ca="1" t="shared" si="1946"/>
        <v>0.714285714285714</v>
      </c>
      <c r="Q2063" s="117">
        <f ca="1" t="shared" si="1946"/>
        <v>0.714285714285714</v>
      </c>
    </row>
    <row r="2064" ht="24" customHeight="1" spans="1:17">
      <c r="A2064" s="99" t="s">
        <v>350</v>
      </c>
      <c r="B2064" s="99" t="s">
        <v>299</v>
      </c>
      <c r="C2064" s="99" t="s">
        <v>329</v>
      </c>
      <c r="D2064" s="48" t="s">
        <v>296</v>
      </c>
      <c r="E2064" s="116" t="s">
        <v>86</v>
      </c>
      <c r="F2064" s="117" t="str">
        <f ca="1" t="shared" ref="F2064:Q2064" si="1947">IFERROR(IF(F1988=" "," ",F2010/F1988)," ")</f>
        <v> </v>
      </c>
      <c r="G2064" s="117" t="str">
        <f ca="1" t="shared" si="1947"/>
        <v> </v>
      </c>
      <c r="H2064" s="117" t="str">
        <f ca="1" t="shared" si="1947"/>
        <v> </v>
      </c>
      <c r="I2064" s="117" t="str">
        <f ca="1" t="shared" si="1947"/>
        <v> </v>
      </c>
      <c r="J2064" s="117" t="str">
        <f ca="1" t="shared" si="1947"/>
        <v> </v>
      </c>
      <c r="K2064" s="117" t="str">
        <f ca="1" t="shared" si="1947"/>
        <v> </v>
      </c>
      <c r="L2064" s="117" t="str">
        <f ca="1" t="shared" si="1947"/>
        <v> </v>
      </c>
      <c r="M2064" s="117" t="str">
        <f ca="1" t="shared" si="1947"/>
        <v> </v>
      </c>
      <c r="N2064" s="117" t="str">
        <f ca="1" t="shared" si="1947"/>
        <v> </v>
      </c>
      <c r="O2064" s="117" t="str">
        <f ca="1" t="shared" si="1947"/>
        <v> </v>
      </c>
      <c r="P2064" s="117" t="str">
        <f ca="1" t="shared" si="1947"/>
        <v> </v>
      </c>
      <c r="Q2064" s="117" t="str">
        <f ca="1" t="shared" si="1947"/>
        <v> </v>
      </c>
    </row>
    <row r="2065" ht="24" customHeight="1" spans="1:17">
      <c r="A2065" s="99" t="s">
        <v>350</v>
      </c>
      <c r="B2065" s="99" t="s">
        <v>299</v>
      </c>
      <c r="C2065" s="99" t="s">
        <v>329</v>
      </c>
      <c r="D2065" s="48" t="s">
        <v>298</v>
      </c>
      <c r="E2065" s="116" t="s">
        <v>97</v>
      </c>
      <c r="F2065" s="117" t="str">
        <f ca="1" t="shared" ref="F2065:I2065" si="1948">IFERROR(IF(F1989=" "," ",F2011/F1989)," ")</f>
        <v> </v>
      </c>
      <c r="G2065" s="117">
        <f ca="1" t="shared" si="1948"/>
        <v>0</v>
      </c>
      <c r="H2065" s="117">
        <f ca="1" t="shared" si="1948"/>
        <v>1</v>
      </c>
      <c r="I2065" s="117">
        <f ca="1" t="shared" si="1948"/>
        <v>1</v>
      </c>
      <c r="J2065" s="117">
        <f ca="1" t="shared" ref="J2065:Q2065" si="1949">IF(J1989=" "," ",J2011/J1989)</f>
        <v>0.8</v>
      </c>
      <c r="K2065" s="117">
        <f ca="1" t="shared" si="1949"/>
        <v>1</v>
      </c>
      <c r="L2065" s="117">
        <f ca="1" t="shared" si="1949"/>
        <v>1</v>
      </c>
      <c r="M2065" s="117">
        <f ca="1" t="shared" si="1949"/>
        <v>1</v>
      </c>
      <c r="N2065" s="117">
        <f ca="1" t="shared" si="1949"/>
        <v>1</v>
      </c>
      <c r="O2065" s="117">
        <f ca="1" t="shared" si="1949"/>
        <v>0.833333333333333</v>
      </c>
      <c r="P2065" s="117">
        <f ca="1" t="shared" si="1949"/>
        <v>1</v>
      </c>
      <c r="Q2065" s="117">
        <f ca="1" t="shared" si="1949"/>
        <v>1</v>
      </c>
    </row>
    <row r="2066" ht="24" customHeight="1" spans="1:17">
      <c r="A2066" s="99" t="s">
        <v>350</v>
      </c>
      <c r="B2066" s="99" t="s">
        <v>299</v>
      </c>
      <c r="C2066" s="99" t="s">
        <v>329</v>
      </c>
      <c r="D2066" s="48" t="s">
        <v>298</v>
      </c>
      <c r="E2066" s="116" t="s">
        <v>87</v>
      </c>
      <c r="F2066" s="117" t="str">
        <f ca="1" t="shared" ref="F2066:M2066" si="1950">IFERROR(IF(F1990=" "," ",F2012/F1990)," ")</f>
        <v> </v>
      </c>
      <c r="G2066" s="117" t="str">
        <f ca="1" t="shared" si="1950"/>
        <v> </v>
      </c>
      <c r="H2066" s="117" t="str">
        <f ca="1" t="shared" si="1950"/>
        <v> </v>
      </c>
      <c r="I2066" s="117" t="str">
        <f ca="1" t="shared" si="1950"/>
        <v> </v>
      </c>
      <c r="J2066" s="117" t="str">
        <f ca="1" t="shared" si="1950"/>
        <v> </v>
      </c>
      <c r="K2066" s="117" t="str">
        <f ca="1" t="shared" si="1950"/>
        <v> </v>
      </c>
      <c r="L2066" s="117" t="str">
        <f ca="1" t="shared" si="1950"/>
        <v> </v>
      </c>
      <c r="M2066" s="117">
        <f ca="1" t="shared" si="1950"/>
        <v>1</v>
      </c>
      <c r="N2066" s="117">
        <f ca="1" t="shared" ref="N2066:Q2066" si="1951">IF(N1990=" "," ",N2012/N1990)</f>
        <v>1</v>
      </c>
      <c r="O2066" s="117">
        <f ca="1" t="shared" si="1951"/>
        <v>1</v>
      </c>
      <c r="P2066" s="117">
        <f ca="1" t="shared" si="1951"/>
        <v>1</v>
      </c>
      <c r="Q2066" s="117">
        <f ca="1" t="shared" si="1951"/>
        <v>1</v>
      </c>
    </row>
    <row r="2067" ht="24" customHeight="1" spans="1:17">
      <c r="A2067" s="99" t="s">
        <v>350</v>
      </c>
      <c r="B2067" s="99" t="s">
        <v>299</v>
      </c>
      <c r="C2067" s="99" t="s">
        <v>329</v>
      </c>
      <c r="D2067" s="48" t="s">
        <v>298</v>
      </c>
      <c r="E2067" s="116" t="s">
        <v>149</v>
      </c>
      <c r="F2067" s="117" t="str">
        <f ca="1" t="shared" ref="F2067:I2067" si="1952">IFERROR(IF(F1991=" "," ",F2013/F1991)," ")</f>
        <v> </v>
      </c>
      <c r="G2067" s="117" t="str">
        <f ca="1" t="shared" si="1952"/>
        <v> </v>
      </c>
      <c r="H2067" s="117">
        <f ca="1" t="shared" si="1952"/>
        <v>1</v>
      </c>
      <c r="I2067" s="117">
        <f ca="1" t="shared" si="1952"/>
        <v>1</v>
      </c>
      <c r="J2067" s="117">
        <f ca="1" t="shared" ref="J2067:Q2067" si="1953">IF(J1991=" "," ",J2013/J1991)</f>
        <v>1</v>
      </c>
      <c r="K2067" s="117">
        <f ca="1" t="shared" si="1953"/>
        <v>1</v>
      </c>
      <c r="L2067" s="117">
        <f ca="1" t="shared" si="1953"/>
        <v>1</v>
      </c>
      <c r="M2067" s="117">
        <f ca="1" t="shared" si="1953"/>
        <v>1</v>
      </c>
      <c r="N2067" s="117">
        <f ca="1" t="shared" si="1953"/>
        <v>1</v>
      </c>
      <c r="O2067" s="117">
        <f ca="1" t="shared" si="1953"/>
        <v>1</v>
      </c>
      <c r="P2067" s="117">
        <f ca="1" t="shared" si="1953"/>
        <v>1</v>
      </c>
      <c r="Q2067" s="117">
        <f ca="1" t="shared" si="1953"/>
        <v>1</v>
      </c>
    </row>
    <row r="2068" ht="24" customHeight="1" spans="1:17">
      <c r="A2068" s="99" t="s">
        <v>350</v>
      </c>
      <c r="B2068" s="99" t="s">
        <v>299</v>
      </c>
      <c r="C2068" s="99" t="s">
        <v>329</v>
      </c>
      <c r="D2068" s="48" t="s">
        <v>298</v>
      </c>
      <c r="E2068" s="116" t="s">
        <v>83</v>
      </c>
      <c r="F2068" s="117" t="str">
        <f ca="1" t="shared" ref="F2068:I2068" si="1954">IFERROR(IF(F1992=" "," ",F2014/F1992)," ")</f>
        <v> </v>
      </c>
      <c r="G2068" s="117" t="str">
        <f ca="1" t="shared" si="1954"/>
        <v> </v>
      </c>
      <c r="H2068" s="117" t="str">
        <f ca="1" t="shared" si="1954"/>
        <v> </v>
      </c>
      <c r="I2068" s="117">
        <f ca="1" t="shared" si="1954"/>
        <v>1</v>
      </c>
      <c r="J2068" s="117">
        <f ca="1" t="shared" ref="J2068:Q2068" si="1955">IF(J1992=" "," ",J2014/J1992)</f>
        <v>1</v>
      </c>
      <c r="K2068" s="117">
        <f ca="1" t="shared" si="1955"/>
        <v>1</v>
      </c>
      <c r="L2068" s="117">
        <f ca="1" t="shared" si="1955"/>
        <v>1</v>
      </c>
      <c r="M2068" s="117">
        <f ca="1" t="shared" si="1955"/>
        <v>1</v>
      </c>
      <c r="N2068" s="117">
        <f ca="1" t="shared" si="1955"/>
        <v>0.333333333333333</v>
      </c>
      <c r="O2068" s="117">
        <f ca="1" t="shared" si="1955"/>
        <v>1</v>
      </c>
      <c r="P2068" s="117">
        <f ca="1" t="shared" si="1955"/>
        <v>1</v>
      </c>
      <c r="Q2068" s="117">
        <f ca="1" t="shared" si="1955"/>
        <v>0.75</v>
      </c>
    </row>
    <row r="2069" ht="24" customHeight="1" spans="1:17">
      <c r="A2069" s="99" t="s">
        <v>350</v>
      </c>
      <c r="B2069" s="99" t="s">
        <v>299</v>
      </c>
      <c r="C2069" s="99" t="s">
        <v>329</v>
      </c>
      <c r="D2069" s="47" t="s">
        <v>294</v>
      </c>
      <c r="E2069" s="118" t="s">
        <v>93</v>
      </c>
      <c r="F2069" s="119" t="str">
        <f ca="1" t="shared" ref="F2069:F2077" si="1956">IFERROR(IF(F1993=" "," ",F2022/F1993)," ")</f>
        <v> </v>
      </c>
      <c r="G2069" s="119">
        <f ca="1" t="shared" ref="G2069:Q2069" si="1957">IF(G1993=" "," ",G2022/G1993)</f>
        <v>0</v>
      </c>
      <c r="H2069" s="119">
        <f ca="1" t="shared" si="1957"/>
        <v>0.2</v>
      </c>
      <c r="I2069" s="119">
        <f ca="1" t="shared" si="1957"/>
        <v>0</v>
      </c>
      <c r="J2069" s="119">
        <f ca="1" t="shared" si="1957"/>
        <v>0</v>
      </c>
      <c r="K2069" s="119">
        <f ca="1" t="shared" si="1957"/>
        <v>0.142857142857143</v>
      </c>
      <c r="L2069" s="119">
        <f ca="1" t="shared" si="1957"/>
        <v>0</v>
      </c>
      <c r="M2069" s="119">
        <f ca="1" t="shared" si="1957"/>
        <v>0.125</v>
      </c>
      <c r="N2069" s="119">
        <f ca="1" t="shared" si="1957"/>
        <v>0</v>
      </c>
      <c r="O2069" s="119">
        <f ca="1" t="shared" si="1957"/>
        <v>0.166666666666667</v>
      </c>
      <c r="P2069" s="119">
        <f ca="1" t="shared" si="1957"/>
        <v>0</v>
      </c>
      <c r="Q2069" s="119">
        <f ca="1" t="shared" si="1957"/>
        <v>0</v>
      </c>
    </row>
    <row r="2070" ht="24" customHeight="1" spans="1:17">
      <c r="A2070" s="99" t="s">
        <v>350</v>
      </c>
      <c r="B2070" s="99" t="s">
        <v>299</v>
      </c>
      <c r="C2070" s="99" t="s">
        <v>329</v>
      </c>
      <c r="D2070" s="47" t="s">
        <v>294</v>
      </c>
      <c r="E2070" s="118" t="s">
        <v>85</v>
      </c>
      <c r="F2070" s="119">
        <f ca="1" t="shared" si="1956"/>
        <v>1</v>
      </c>
      <c r="G2070" s="119">
        <f ca="1" t="shared" ref="G2070:Q2070" si="1958">IF(G1994=" "," ",G2023/G1994)</f>
        <v>0</v>
      </c>
      <c r="H2070" s="119">
        <f ca="1" t="shared" si="1958"/>
        <v>0</v>
      </c>
      <c r="I2070" s="119">
        <f ca="1" t="shared" si="1958"/>
        <v>0.5</v>
      </c>
      <c r="J2070" s="119">
        <f ca="1" t="shared" si="1958"/>
        <v>0</v>
      </c>
      <c r="K2070" s="119">
        <f ca="1" t="shared" si="1958"/>
        <v>0</v>
      </c>
      <c r="L2070" s="119">
        <f ca="1" t="shared" si="1958"/>
        <v>0</v>
      </c>
      <c r="M2070" s="119">
        <f ca="1" t="shared" si="1958"/>
        <v>0.5</v>
      </c>
      <c r="N2070" s="119">
        <f ca="1" t="shared" si="1958"/>
        <v>0</v>
      </c>
      <c r="O2070" s="119">
        <f ca="1" t="shared" si="1958"/>
        <v>0.2</v>
      </c>
      <c r="P2070" s="119">
        <f ca="1" t="shared" si="1958"/>
        <v>0</v>
      </c>
      <c r="Q2070" s="119">
        <f ca="1" t="shared" si="1958"/>
        <v>0</v>
      </c>
    </row>
    <row r="2071" ht="24" customHeight="1" spans="1:17">
      <c r="A2071" s="99" t="s">
        <v>350</v>
      </c>
      <c r="B2071" s="99" t="s">
        <v>299</v>
      </c>
      <c r="C2071" s="99" t="s">
        <v>329</v>
      </c>
      <c r="D2071" s="47" t="s">
        <v>294</v>
      </c>
      <c r="E2071" s="118" t="s">
        <v>81</v>
      </c>
      <c r="F2071" s="119" t="str">
        <f ca="1" t="shared" si="1956"/>
        <v> </v>
      </c>
      <c r="G2071" s="119" t="str">
        <f ca="1">IFERROR(IF(G1995=" "," ",G2024/G1995)," ")</f>
        <v> </v>
      </c>
      <c r="H2071" s="119">
        <f ca="1" t="shared" ref="H2071:Q2071" si="1959">IF(H1995=" "," ",H2024/H1995)</f>
        <v>0</v>
      </c>
      <c r="I2071" s="119">
        <f ca="1" t="shared" si="1959"/>
        <v>0</v>
      </c>
      <c r="J2071" s="119">
        <f ca="1" t="shared" si="1959"/>
        <v>0.5</v>
      </c>
      <c r="K2071" s="119">
        <f ca="1" t="shared" si="1959"/>
        <v>0</v>
      </c>
      <c r="L2071" s="119">
        <f ca="1" t="shared" si="1959"/>
        <v>0.333333333333333</v>
      </c>
      <c r="M2071" s="119">
        <f ca="1" t="shared" si="1959"/>
        <v>0</v>
      </c>
      <c r="N2071" s="119">
        <f ca="1" t="shared" si="1959"/>
        <v>0</v>
      </c>
      <c r="O2071" s="119">
        <f ca="1" t="shared" si="1959"/>
        <v>0</v>
      </c>
      <c r="P2071" s="119">
        <f ca="1" t="shared" si="1959"/>
        <v>0</v>
      </c>
      <c r="Q2071" s="119">
        <f ca="1" t="shared" si="1959"/>
        <v>0</v>
      </c>
    </row>
    <row r="2072" ht="24" customHeight="1" spans="1:17">
      <c r="A2072" s="99" t="s">
        <v>350</v>
      </c>
      <c r="B2072" s="99" t="s">
        <v>299</v>
      </c>
      <c r="C2072" s="99" t="s">
        <v>329</v>
      </c>
      <c r="D2072" s="47" t="s">
        <v>294</v>
      </c>
      <c r="E2072" s="118" t="s">
        <v>96</v>
      </c>
      <c r="F2072" s="119" t="str">
        <f ca="1" t="shared" si="1956"/>
        <v> </v>
      </c>
      <c r="G2072" s="119">
        <f ca="1" t="shared" ref="G2072:Q2072" si="1960">IF(G1996=" "," ",G2025/G1996)</f>
        <v>0</v>
      </c>
      <c r="H2072" s="119">
        <f ca="1" t="shared" si="1960"/>
        <v>1</v>
      </c>
      <c r="I2072" s="119">
        <f ca="1" t="shared" si="1960"/>
        <v>0</v>
      </c>
      <c r="J2072" s="119">
        <f ca="1" t="shared" si="1960"/>
        <v>0</v>
      </c>
      <c r="K2072" s="119">
        <f ca="1" t="shared" si="1960"/>
        <v>0</v>
      </c>
      <c r="L2072" s="119">
        <f ca="1" t="shared" si="1960"/>
        <v>0</v>
      </c>
      <c r="M2072" s="119">
        <f ca="1" t="shared" si="1960"/>
        <v>0</v>
      </c>
      <c r="N2072" s="119">
        <f ca="1" t="shared" si="1960"/>
        <v>0</v>
      </c>
      <c r="O2072" s="119">
        <f ca="1" t="shared" si="1960"/>
        <v>0</v>
      </c>
      <c r="P2072" s="119">
        <f ca="1" t="shared" si="1960"/>
        <v>0</v>
      </c>
      <c r="Q2072" s="119">
        <f ca="1" t="shared" si="1960"/>
        <v>0</v>
      </c>
    </row>
    <row r="2073" ht="24" customHeight="1" spans="1:17">
      <c r="A2073" s="99" t="s">
        <v>350</v>
      </c>
      <c r="B2073" s="99" t="s">
        <v>299</v>
      </c>
      <c r="C2073" s="99" t="s">
        <v>329</v>
      </c>
      <c r="D2073" s="47" t="s">
        <v>294</v>
      </c>
      <c r="E2073" s="118" t="s">
        <v>160</v>
      </c>
      <c r="F2073" s="119" t="str">
        <f ca="1" t="shared" si="1956"/>
        <v> </v>
      </c>
      <c r="G2073" s="119" t="str">
        <f ca="1" t="shared" ref="G2073:Q2073" si="1961">IFERROR(IF(G1997=" "," ",G2026/G1997)," ")</f>
        <v> </v>
      </c>
      <c r="H2073" s="119" t="str">
        <f ca="1" t="shared" si="1961"/>
        <v> </v>
      </c>
      <c r="I2073" s="119" t="str">
        <f ca="1" t="shared" si="1961"/>
        <v> </v>
      </c>
      <c r="J2073" s="119" t="str">
        <f ca="1" t="shared" si="1961"/>
        <v> </v>
      </c>
      <c r="K2073" s="119" t="str">
        <f ca="1" t="shared" si="1961"/>
        <v> </v>
      </c>
      <c r="L2073" s="119" t="str">
        <f ca="1" t="shared" si="1961"/>
        <v> </v>
      </c>
      <c r="M2073" s="119" t="str">
        <f ca="1" t="shared" si="1961"/>
        <v> </v>
      </c>
      <c r="N2073" s="119" t="str">
        <f ca="1" t="shared" si="1961"/>
        <v> </v>
      </c>
      <c r="O2073" s="119" t="str">
        <f ca="1" t="shared" si="1961"/>
        <v> </v>
      </c>
      <c r="P2073" s="119" t="str">
        <f ca="1" t="shared" si="1961"/>
        <v> </v>
      </c>
      <c r="Q2073" s="119" t="str">
        <f ca="1" t="shared" si="1961"/>
        <v> </v>
      </c>
    </row>
    <row r="2074" ht="24" customHeight="1" spans="1:17">
      <c r="A2074" s="99" t="s">
        <v>350</v>
      </c>
      <c r="B2074" s="99" t="s">
        <v>299</v>
      </c>
      <c r="C2074" s="99" t="s">
        <v>329</v>
      </c>
      <c r="D2074" s="113" t="s">
        <v>292</v>
      </c>
      <c r="E2074" s="113" t="s">
        <v>331</v>
      </c>
      <c r="F2074" s="115">
        <f ca="1" t="shared" si="1956"/>
        <v>1</v>
      </c>
      <c r="G2074" s="115">
        <f ca="1" t="shared" ref="G2074:Q2074" si="1962">IFERROR(IF(G1998=" "," ",G2027/G1998)," ")</f>
        <v>1</v>
      </c>
      <c r="H2074" s="115">
        <f ca="1" t="shared" si="1962"/>
        <v>1</v>
      </c>
      <c r="I2074" s="115">
        <f ca="1" t="shared" si="1962"/>
        <v>1</v>
      </c>
      <c r="J2074" s="115">
        <f ca="1" t="shared" si="1962"/>
        <v>0.875</v>
      </c>
      <c r="K2074" s="115">
        <f ca="1" t="shared" si="1962"/>
        <v>1</v>
      </c>
      <c r="L2074" s="115">
        <f ca="1" t="shared" si="1962"/>
        <v>1</v>
      </c>
      <c r="M2074" s="115">
        <f ca="1" t="shared" si="1962"/>
        <v>1</v>
      </c>
      <c r="N2074" s="115">
        <f ca="1" t="shared" si="1962"/>
        <v>0.8</v>
      </c>
      <c r="O2074" s="115">
        <f ca="1" t="shared" si="1962"/>
        <v>0.933333333333333</v>
      </c>
      <c r="P2074" s="115">
        <f ca="1" t="shared" si="1962"/>
        <v>0.875</v>
      </c>
      <c r="Q2074" s="115">
        <f ca="1" t="shared" si="1962"/>
        <v>0.875</v>
      </c>
    </row>
    <row r="2075" ht="24" customHeight="1" spans="1:17">
      <c r="A2075" s="99" t="s">
        <v>350</v>
      </c>
      <c r="B2075" s="99" t="s">
        <v>299</v>
      </c>
      <c r="C2075" s="99" t="s">
        <v>329</v>
      </c>
      <c r="D2075" s="48" t="s">
        <v>296</v>
      </c>
      <c r="E2075" s="116" t="s">
        <v>90</v>
      </c>
      <c r="F2075" s="117">
        <f ca="1" t="shared" si="1956"/>
        <v>1</v>
      </c>
      <c r="G2075" s="117">
        <f ca="1" t="shared" ref="G2075:I2075" si="1963">IFERROR(IF(G1999=" "," ",G2028/G1999)," ")</f>
        <v>1</v>
      </c>
      <c r="H2075" s="117">
        <f ca="1" t="shared" si="1963"/>
        <v>1</v>
      </c>
      <c r="I2075" s="117">
        <f ca="1" t="shared" si="1963"/>
        <v>1</v>
      </c>
      <c r="J2075" s="117">
        <f ca="1" t="shared" ref="J2075:Q2075" si="1964">IF(J1999=" "," ",J2028/J1999)</f>
        <v>0.75</v>
      </c>
      <c r="K2075" s="117">
        <f ca="1" t="shared" si="1964"/>
        <v>1</v>
      </c>
      <c r="L2075" s="117">
        <f ca="1" t="shared" si="1964"/>
        <v>1</v>
      </c>
      <c r="M2075" s="117">
        <f ca="1" t="shared" si="1964"/>
        <v>1</v>
      </c>
      <c r="N2075" s="117">
        <f ca="1" t="shared" si="1964"/>
        <v>0.8</v>
      </c>
      <c r="O2075" s="117">
        <f ca="1" t="shared" si="1964"/>
        <v>1</v>
      </c>
      <c r="P2075" s="117">
        <f ca="1" t="shared" si="1964"/>
        <v>1</v>
      </c>
      <c r="Q2075" s="117">
        <f ca="1" t="shared" si="1964"/>
        <v>1</v>
      </c>
    </row>
    <row r="2076" ht="24" customHeight="1" spans="1:17">
      <c r="A2076" s="99" t="s">
        <v>350</v>
      </c>
      <c r="B2076" s="99" t="s">
        <v>299</v>
      </c>
      <c r="C2076" s="99" t="s">
        <v>329</v>
      </c>
      <c r="D2076" s="48" t="s">
        <v>296</v>
      </c>
      <c r="E2076" s="116" t="s">
        <v>82</v>
      </c>
      <c r="F2076" s="117" t="str">
        <f ca="1" t="shared" si="1956"/>
        <v> </v>
      </c>
      <c r="G2076" s="117">
        <f ca="1" t="shared" ref="G2076:I2076" si="1965">IFERROR(IF(G2000=" "," ",G2029/G2000)," ")</f>
        <v>1</v>
      </c>
      <c r="H2076" s="117">
        <f ca="1" t="shared" si="1965"/>
        <v>1</v>
      </c>
      <c r="I2076" s="117">
        <f ca="1" t="shared" si="1965"/>
        <v>1</v>
      </c>
      <c r="J2076" s="117">
        <f ca="1" t="shared" ref="J2076:Q2076" si="1966">IF(J2000=" "," ",J2029/J2000)</f>
        <v>1</v>
      </c>
      <c r="K2076" s="117">
        <f ca="1" t="shared" si="1966"/>
        <v>1</v>
      </c>
      <c r="L2076" s="117">
        <f ca="1" t="shared" si="1966"/>
        <v>1</v>
      </c>
      <c r="M2076" s="117">
        <f ca="1" t="shared" si="1966"/>
        <v>1</v>
      </c>
      <c r="N2076" s="117">
        <f ca="1" t="shared" si="1966"/>
        <v>0.8</v>
      </c>
      <c r="O2076" s="117">
        <f ca="1" t="shared" si="1966"/>
        <v>0.9</v>
      </c>
      <c r="P2076" s="117">
        <f ca="1" t="shared" si="1966"/>
        <v>0.818181818181818</v>
      </c>
      <c r="Q2076" s="117">
        <f ca="1" t="shared" si="1966"/>
        <v>0.818181818181818</v>
      </c>
    </row>
    <row r="2077" ht="24" customHeight="1" spans="1:17">
      <c r="A2077" s="99" t="s">
        <v>350</v>
      </c>
      <c r="B2077" s="99" t="s">
        <v>299</v>
      </c>
      <c r="C2077" s="99" t="s">
        <v>329</v>
      </c>
      <c r="D2077" s="48" t="s">
        <v>296</v>
      </c>
      <c r="E2077" s="116" t="s">
        <v>86</v>
      </c>
      <c r="F2077" s="117" t="str">
        <f ca="1" t="shared" si="1956"/>
        <v> </v>
      </c>
      <c r="G2077" s="117" t="str">
        <f ca="1" t="shared" ref="G2077:Q2077" si="1967">IFERROR(IF(G2001=" "," ",G2030/G2001)," ")</f>
        <v> </v>
      </c>
      <c r="H2077" s="117" t="str">
        <f ca="1" t="shared" si="1967"/>
        <v> </v>
      </c>
      <c r="I2077" s="117" t="str">
        <f ca="1" t="shared" si="1967"/>
        <v> </v>
      </c>
      <c r="J2077" s="117" t="str">
        <f ca="1" t="shared" si="1967"/>
        <v> </v>
      </c>
      <c r="K2077" s="117" t="str">
        <f ca="1" t="shared" si="1967"/>
        <v> </v>
      </c>
      <c r="L2077" s="117" t="str">
        <f ca="1" t="shared" si="1967"/>
        <v> </v>
      </c>
      <c r="M2077" s="117" t="str">
        <f ca="1" t="shared" si="1967"/>
        <v> </v>
      </c>
      <c r="N2077" s="117" t="str">
        <f ca="1" t="shared" si="1967"/>
        <v> </v>
      </c>
      <c r="O2077" s="117" t="str">
        <f ca="1" t="shared" si="1967"/>
        <v> </v>
      </c>
      <c r="P2077" s="117" t="str">
        <f ca="1" t="shared" si="1967"/>
        <v> </v>
      </c>
      <c r="Q2077" s="117" t="str">
        <f ca="1" t="shared" si="1967"/>
        <v> </v>
      </c>
    </row>
    <row r="2078" ht="24" customHeight="1" spans="1:17">
      <c r="A2078" s="99" t="s">
        <v>350</v>
      </c>
      <c r="B2078" s="99" t="s">
        <v>299</v>
      </c>
      <c r="C2078" s="99" t="s">
        <v>329</v>
      </c>
      <c r="D2078" s="113" t="s">
        <v>292</v>
      </c>
      <c r="E2078" s="113" t="s">
        <v>332</v>
      </c>
      <c r="F2078" s="115">
        <f ca="1" t="shared" ref="F2078:Q2078" si="1968">IFERROR(IF(F2002=" "," ",F2034/F2002)," ")</f>
        <v>1</v>
      </c>
      <c r="G2078" s="115">
        <f ca="1" t="shared" si="1968"/>
        <v>0.333333333333333</v>
      </c>
      <c r="H2078" s="115">
        <f ca="1" t="shared" si="1968"/>
        <v>1</v>
      </c>
      <c r="I2078" s="115">
        <f ca="1" t="shared" si="1968"/>
        <v>1</v>
      </c>
      <c r="J2078" s="115">
        <f ca="1" t="shared" si="1968"/>
        <v>0.909090909090909</v>
      </c>
      <c r="K2078" s="115">
        <f ca="1" t="shared" si="1968"/>
        <v>1</v>
      </c>
      <c r="L2078" s="115">
        <f ca="1" t="shared" si="1968"/>
        <v>1</v>
      </c>
      <c r="M2078" s="115">
        <f ca="1" t="shared" si="1968"/>
        <v>1</v>
      </c>
      <c r="N2078" s="115">
        <f ca="1" t="shared" si="1968"/>
        <v>0.789473684210526</v>
      </c>
      <c r="O2078" s="115">
        <f ca="1" t="shared" si="1968"/>
        <v>0.9</v>
      </c>
      <c r="P2078" s="115">
        <f ca="1" t="shared" si="1968"/>
        <v>0.909090909090909</v>
      </c>
      <c r="Q2078" s="115">
        <f ca="1" t="shared" si="1968"/>
        <v>0.869565217391304</v>
      </c>
    </row>
    <row r="2079" ht="24" customHeight="1" spans="1:17">
      <c r="A2079" s="99" t="s">
        <v>350</v>
      </c>
      <c r="B2079" s="99" t="s">
        <v>299</v>
      </c>
      <c r="C2079" s="99" t="s">
        <v>329</v>
      </c>
      <c r="D2079" s="48" t="s">
        <v>298</v>
      </c>
      <c r="E2079" s="116" t="s">
        <v>97</v>
      </c>
      <c r="F2079" s="117" t="str">
        <f ca="1" t="shared" ref="F2079:I2079" si="1969">IFERROR(IF(F2003=" "," ",F2035/F2003)," ")</f>
        <v> </v>
      </c>
      <c r="G2079" s="117">
        <f ca="1" t="shared" si="1969"/>
        <v>0</v>
      </c>
      <c r="H2079" s="117">
        <f ca="1" t="shared" si="1969"/>
        <v>1</v>
      </c>
      <c r="I2079" s="117">
        <f ca="1" t="shared" si="1969"/>
        <v>1</v>
      </c>
      <c r="J2079" s="117">
        <f ca="1" t="shared" ref="J2079:Q2079" si="1970">IF(J2003=" "," ",J2035/J2003)</f>
        <v>0.8</v>
      </c>
      <c r="K2079" s="117">
        <f ca="1" t="shared" si="1970"/>
        <v>1</v>
      </c>
      <c r="L2079" s="117">
        <f ca="1" t="shared" si="1970"/>
        <v>1</v>
      </c>
      <c r="M2079" s="117">
        <f ca="1" t="shared" si="1970"/>
        <v>1</v>
      </c>
      <c r="N2079" s="117">
        <f ca="1" t="shared" si="1970"/>
        <v>0.857142857142857</v>
      </c>
      <c r="O2079" s="117">
        <f ca="1" t="shared" si="1970"/>
        <v>0.875</v>
      </c>
      <c r="P2079" s="117">
        <f ca="1" t="shared" si="1970"/>
        <v>1</v>
      </c>
      <c r="Q2079" s="117">
        <f ca="1" t="shared" si="1970"/>
        <v>1</v>
      </c>
    </row>
    <row r="2080" ht="24" customHeight="1" spans="1:17">
      <c r="A2080" s="99" t="s">
        <v>350</v>
      </c>
      <c r="B2080" s="99" t="s">
        <v>299</v>
      </c>
      <c r="C2080" s="99" t="s">
        <v>329</v>
      </c>
      <c r="D2080" s="48" t="s">
        <v>298</v>
      </c>
      <c r="E2080" s="116" t="s">
        <v>87</v>
      </c>
      <c r="F2080" s="117" t="str">
        <f ca="1" t="shared" ref="F2080:I2080" si="1971">IFERROR(IF(F2004=" "," ",F2036/F2004)," ")</f>
        <v> </v>
      </c>
      <c r="G2080" s="117" t="str">
        <f ca="1" t="shared" si="1971"/>
        <v> </v>
      </c>
      <c r="H2080" s="117">
        <f ca="1" t="shared" si="1971"/>
        <v>1</v>
      </c>
      <c r="I2080" s="117">
        <f ca="1" t="shared" si="1971"/>
        <v>1</v>
      </c>
      <c r="J2080" s="117">
        <f ca="1" t="shared" ref="J2080:Q2080" si="1972">IF(J2004=" "," ",J2036/J2004)</f>
        <v>1</v>
      </c>
      <c r="K2080" s="117">
        <f ca="1" t="shared" si="1972"/>
        <v>1</v>
      </c>
      <c r="L2080" s="117">
        <f ca="1" t="shared" si="1972"/>
        <v>1</v>
      </c>
      <c r="M2080" s="117">
        <f ca="1" t="shared" si="1972"/>
        <v>1</v>
      </c>
      <c r="N2080" s="117">
        <f ca="1" t="shared" si="1972"/>
        <v>0.833333333333333</v>
      </c>
      <c r="O2080" s="117">
        <f ca="1" t="shared" si="1972"/>
        <v>0.833333333333333</v>
      </c>
      <c r="P2080" s="117">
        <f ca="1" t="shared" si="1972"/>
        <v>0.714285714285714</v>
      </c>
      <c r="Q2080" s="117">
        <f ca="1" t="shared" si="1972"/>
        <v>0.714285714285714</v>
      </c>
    </row>
    <row r="2081" ht="24" customHeight="1" spans="1:17">
      <c r="A2081" s="99" t="s">
        <v>350</v>
      </c>
      <c r="B2081" s="99" t="s">
        <v>299</v>
      </c>
      <c r="C2081" s="99" t="s">
        <v>329</v>
      </c>
      <c r="D2081" s="48" t="s">
        <v>298</v>
      </c>
      <c r="E2081" s="116" t="s">
        <v>149</v>
      </c>
      <c r="F2081" s="117" t="str">
        <f ca="1" t="shared" ref="F2081:I2081" si="1973">IFERROR(IF(F2005=" "," ",F2037/F2005)," ")</f>
        <v> </v>
      </c>
      <c r="G2081" s="117" t="str">
        <f ca="1" t="shared" si="1973"/>
        <v> </v>
      </c>
      <c r="H2081" s="117">
        <f ca="1" t="shared" si="1973"/>
        <v>1</v>
      </c>
      <c r="I2081" s="117">
        <f ca="1" t="shared" si="1973"/>
        <v>1</v>
      </c>
      <c r="J2081" s="117">
        <f ca="1" t="shared" ref="J2081:Q2081" si="1974">IF(J2005=" "," ",J2037/J2005)</f>
        <v>1</v>
      </c>
      <c r="K2081" s="117">
        <f ca="1" t="shared" si="1974"/>
        <v>1</v>
      </c>
      <c r="L2081" s="117">
        <f ca="1" t="shared" si="1974"/>
        <v>1</v>
      </c>
      <c r="M2081" s="117">
        <f ca="1" t="shared" si="1974"/>
        <v>1</v>
      </c>
      <c r="N2081" s="117">
        <f ca="1" t="shared" si="1974"/>
        <v>1</v>
      </c>
      <c r="O2081" s="117">
        <f ca="1" t="shared" si="1974"/>
        <v>1</v>
      </c>
      <c r="P2081" s="117">
        <f ca="1" t="shared" si="1974"/>
        <v>1</v>
      </c>
      <c r="Q2081" s="117">
        <f ca="1" t="shared" si="1974"/>
        <v>1</v>
      </c>
    </row>
    <row r="2082" ht="24" customHeight="1" spans="1:17">
      <c r="A2082" s="99" t="s">
        <v>350</v>
      </c>
      <c r="B2082" s="99" t="s">
        <v>299</v>
      </c>
      <c r="C2082" s="99" t="s">
        <v>329</v>
      </c>
      <c r="D2082" s="48" t="s">
        <v>298</v>
      </c>
      <c r="E2082" s="116" t="s">
        <v>83</v>
      </c>
      <c r="F2082" s="117">
        <f ca="1" t="shared" ref="F2082:I2082" si="1975">IFERROR(IF(F2006=" "," ",F2038/F2006)," ")</f>
        <v>1</v>
      </c>
      <c r="G2082" s="117">
        <f ca="1" t="shared" si="1975"/>
        <v>1</v>
      </c>
      <c r="H2082" s="117">
        <f ca="1" t="shared" si="1975"/>
        <v>1</v>
      </c>
      <c r="I2082" s="117">
        <f ca="1" t="shared" si="1975"/>
        <v>1</v>
      </c>
      <c r="J2082" s="117">
        <f ca="1" t="shared" ref="J2082:Q2082" si="1976">IF(J2006=" "," ",J2038/J2006)</f>
        <v>1</v>
      </c>
      <c r="K2082" s="117">
        <f ca="1" t="shared" si="1976"/>
        <v>1</v>
      </c>
      <c r="L2082" s="117">
        <f ca="1" t="shared" si="1976"/>
        <v>1</v>
      </c>
      <c r="M2082" s="117">
        <f ca="1" t="shared" si="1976"/>
        <v>1</v>
      </c>
      <c r="N2082" s="117">
        <f ca="1" t="shared" si="1976"/>
        <v>0.5</v>
      </c>
      <c r="O2082" s="117">
        <f ca="1" t="shared" si="1976"/>
        <v>1</v>
      </c>
      <c r="P2082" s="117">
        <f ca="1" t="shared" si="1976"/>
        <v>1</v>
      </c>
      <c r="Q2082" s="117">
        <f ca="1" t="shared" si="1976"/>
        <v>0.8</v>
      </c>
    </row>
    <row r="2083" ht="24" customHeight="1" spans="1:17">
      <c r="A2083" s="99" t="s">
        <v>350</v>
      </c>
      <c r="B2083" s="99" t="s">
        <v>299</v>
      </c>
      <c r="C2083" s="99" t="s">
        <v>333</v>
      </c>
      <c r="D2083" s="114" t="s">
        <v>292</v>
      </c>
      <c r="E2083" s="114" t="s">
        <v>300</v>
      </c>
      <c r="F2083" s="215">
        <f ca="1">IF($S$1&lt;DATE(2025,1,1)," ",SUM(F2084:F2090))</f>
        <v>0.027036</v>
      </c>
      <c r="G2083" s="215">
        <f ca="1">IF($S$1&lt;DATE(2025,2,1)," ",SUM(G2084:G2090))</f>
        <v>0.04291</v>
      </c>
      <c r="H2083" s="215">
        <f ca="1">IF($S$1&lt;DATE(2025,3,1)," ",SUM(H2084:H2090))</f>
        <v>0.57629521</v>
      </c>
      <c r="I2083" s="215">
        <f ca="1">IF($S$1&lt;DATE(2025,4,1)," ",SUM(I2084:I2090))</f>
        <v>0.069017</v>
      </c>
      <c r="J2083" s="215">
        <f ca="1">IF($S$1&lt;DATE(2025,5,1)," ",SUM(J2084:J2090))</f>
        <v>0.082235</v>
      </c>
      <c r="K2083" s="215">
        <f ca="1">IF($S$1&lt;DATE(2025,6,1)," ",SUM(K2084:K2090))</f>
        <v>0.356789</v>
      </c>
      <c r="L2083" s="215">
        <f ca="1">IF($S$1&lt;DATE(2025,7,1)," ",SUM(L2084:L2090))</f>
        <v>0.222082</v>
      </c>
      <c r="M2083" s="215">
        <f ca="1">IF($S$1&lt;DATE(2025,8,1)," ",SUM(M2084:M2090))</f>
        <v>0.165263</v>
      </c>
      <c r="N2083" s="215">
        <f ca="1">IF($S$1&lt;DATE(2025,9,1)," ",SUM(N2084:N2090))</f>
        <v>0</v>
      </c>
      <c r="O2083" s="215">
        <f ca="1">IF($S$1&lt;DATE(2025,10,1)," ",SUM(O2084:O2090))</f>
        <v>0.568659</v>
      </c>
      <c r="P2083" s="215">
        <f ca="1">IF($S$1&lt;DATE(2025,11,1)," ",SUM(P2084:P2090))</f>
        <v>0.092012</v>
      </c>
      <c r="Q2083" s="215">
        <f ca="1">IF($S$1&lt;DATE(2025,12,1)," ",SUM(Q2084:Q2090))</f>
        <v>0</v>
      </c>
    </row>
    <row r="2084" ht="24" customHeight="1" spans="1:17">
      <c r="A2084" s="99" t="s">
        <v>350</v>
      </c>
      <c r="B2084" s="99" t="s">
        <v>299</v>
      </c>
      <c r="C2084" s="99" t="s">
        <v>333</v>
      </c>
      <c r="D2084" s="48" t="s">
        <v>31</v>
      </c>
      <c r="E2084" s="48" t="s">
        <v>90</v>
      </c>
      <c r="F2084" s="51">
        <f ca="1">IF($S$1&lt;DATE(2025,1,1)," ",SUMIFS('2025数据'!$BX$3:$BX$181,'2025数据'!$AB$3:$AB$181,"&gt;="&amp;DATE(2025,1,1),'2025数据'!$AB$3:$AB$181,"&lt;="&amp;DATE(2025,1,31),'2025数据'!$AE$3:$AE$181,$E2084)/10000)</f>
        <v>0.027036</v>
      </c>
      <c r="G2084" s="51">
        <f ca="1">IF($S$1&lt;DATE(2025,2,1)," ",SUMIFS('2025数据'!$BX$3:$BX$181,'2025数据'!$AB$3:$AB$181,"&gt;="&amp;DATE(2025,2,1),'2025数据'!$AB$3:$AB$181,"&lt;="&amp;DATE(2025,2,28),'2025数据'!$AE$3:$AE$181,$E2084)/10000)</f>
        <v>0</v>
      </c>
      <c r="H2084" s="51">
        <f ca="1">IF($S$1&lt;DATE(2025,3,1)," ",SUMIFS('2025数据'!$BX$3:$BX$181,'2025数据'!$AB$3:$AB$181,"&gt;="&amp;DATE(2025,3,1),'2025数据'!$AB$3:$AB$181,"&lt;="&amp;DATE(2025,3,31),'2025数据'!$AE$3:$AE$181,$E2084)/10000)</f>
        <v>0</v>
      </c>
      <c r="I2084" s="51">
        <f ca="1">IF($S$1&lt;DATE(2025,4,1)," ",SUMIFS('2025数据'!$BX$3:$BX$181,'2025数据'!$AB$3:$AB$181,"&gt;="&amp;DATE(2025,4,1),'2025数据'!$AB$3:$AB$181,"&lt;="&amp;DATE(2025,4,30),'2025数据'!$AE$3:$AE$181,$E2084)/10000)</f>
        <v>0</v>
      </c>
      <c r="J2084" s="51">
        <f ca="1">IF($S$1&lt;DATE(2025,5,1)," ",SUMIFS('2025数据'!$BX$3:$BX$181,'2025数据'!$AB$3:$AB$181,"&gt;="&amp;DATE(2025,5,1),'2025数据'!$AB$3:$AB$181,"&lt;="&amp;DATE(2025,5,31),'2025数据'!$AE$3:$AE$181,$E2084)/10000)</f>
        <v>0.058534</v>
      </c>
      <c r="K2084" s="51">
        <f ca="1">IF($S$1&lt;DATE(2025,6,1)," ",SUMIFS('2025数据'!$BX$3:$BX$181,'2025数据'!$AB$3:$AB$181,"&gt;="&amp;DATE(2025,6,1),'2025数据'!$AB$3:$AB$181,"&lt;="&amp;DATE(2025,6,30),'2025数据'!$AE$3:$AE$181,$E2084)/10000)</f>
        <v>0</v>
      </c>
      <c r="L2084" s="51">
        <f ca="1">IF($S$1&lt;DATE(2025,7,1)," ",SUMIFS('2025数据'!$BX$3:$BX$181,'2025数据'!$AB$3:$AB$181,"&gt;="&amp;DATE(2025,7,1),'2025数据'!$AB$3:$AB$181,"&lt;="&amp;DATE(2025,7,31),'2025数据'!$AE$3:$AE$181,$E2084)/10000)</f>
        <v>0</v>
      </c>
      <c r="M2084" s="51">
        <f ca="1">IF($S$1&lt;DATE(2025,8,1)," ",SUMIFS('2025数据'!$BX$3:$BX$181,'2025数据'!$AB$3:$AB$181,"&gt;="&amp;DATE(2025,8,1),'2025数据'!$AB$3:$AB$181,"&lt;="&amp;DATE(2025,8,31),'2025数据'!$AE$3:$AE$181,$E2084)/10000)</f>
        <v>0</v>
      </c>
      <c r="N2084" s="51">
        <f ca="1">IF($S$1&lt;DATE(2025,9,1)," ",SUMIFS('2025数据'!$BX$3:$BX$181,'2025数据'!$AB$3:$AB$181,"&gt;="&amp;DATE(2025,9,1),'2025数据'!$AB$3:$AB$181,"&lt;="&amp;DATE(2025,9,30),'2025数据'!$AE$3:$AE$181,$E2084)/10000)</f>
        <v>0</v>
      </c>
      <c r="O2084" s="51">
        <f ca="1">IF($S$1&lt;DATE(2025,10,1)," ",SUMIFS('2025数据'!$BX$3:$BX$181,'2025数据'!$AB$3:$AB$181,"&gt;="&amp;DATE(2025,10,1),'2025数据'!$AB$3:$AB$181,"&lt;="&amp;DATE(2025,10,31),'2025数据'!$AE$3:$AE$181,$E2084)/10000)</f>
        <v>0.051578</v>
      </c>
      <c r="P2084" s="217">
        <f ca="1">IF($S$1&lt;DATE(2025,11,1)," ",SUMIFS('2025数据'!$BX$3:$BX$181,'2025数据'!$AB$3:$AB$181,"&gt;="&amp;DATE(2025,11,1),'2025数据'!$AB$3:$AB$181,"&lt;="&amp;DATE(2025,11,30),'2025数据'!$AE$3:$AE$181,$E2084)/10000)</f>
        <v>0</v>
      </c>
      <c r="Q2084" s="217">
        <f ca="1">IF($S$1&lt;DATE(2025,12,1)," ",SUMIFS('2025数据'!$BX$3:$BX$181,'2025数据'!$AB$3:$AB$181,"&gt;="&amp;DATE(2025,12,1),'2025数据'!$AB$3:$AB$181,"&lt;="&amp;DATE(2025,12,31),'2025数据'!$AE$3:$AE$181,$E2084)/10000)</f>
        <v>0</v>
      </c>
    </row>
    <row r="2085" ht="24" customHeight="1" spans="1:17">
      <c r="A2085" s="99" t="s">
        <v>350</v>
      </c>
      <c r="B2085" s="99" t="s">
        <v>299</v>
      </c>
      <c r="C2085" s="99" t="s">
        <v>333</v>
      </c>
      <c r="D2085" s="48" t="s">
        <v>31</v>
      </c>
      <c r="E2085" s="48" t="s">
        <v>82</v>
      </c>
      <c r="F2085" s="51">
        <f ca="1">IF($S$1&lt;DATE(2025,1,1)," ",SUMIFS('2025数据'!$BX$3:$BX$181,'2025数据'!$AB$3:$AB$181,"&gt;="&amp;DATE(2025,1,1),'2025数据'!$AB$3:$AB$181,"&lt;="&amp;DATE(2025,1,31),'2025数据'!$AE$3:$AE$181,$E2085)/10000)</f>
        <v>0</v>
      </c>
      <c r="G2085" s="51">
        <f ca="1">IF($S$1&lt;DATE(2025,2,1)," ",SUMIFS('2025数据'!$BX$3:$BX$181,'2025数据'!$AB$3:$AB$181,"&gt;="&amp;DATE(2025,2,1),'2025数据'!$AB$3:$AB$181,"&lt;="&amp;DATE(2025,2,28),'2025数据'!$AE$3:$AE$181,$E2085)/10000)</f>
        <v>0.04291</v>
      </c>
      <c r="H2085" s="51">
        <f ca="1">IF($S$1&lt;DATE(2025,3,1)," ",SUMIFS('2025数据'!$BX$3:$BX$181,'2025数据'!$AB$3:$AB$181,"&gt;="&amp;DATE(2025,3,1),'2025数据'!$AB$3:$AB$181,"&lt;="&amp;DATE(2025,3,31),'2025数据'!$AE$3:$AE$181,$E2085)/10000)</f>
        <v>0.037366</v>
      </c>
      <c r="I2085" s="51">
        <f ca="1">IF($S$1&lt;DATE(2025,4,1)," ",SUMIFS('2025数据'!$BX$3:$BX$181,'2025数据'!$AB$3:$AB$181,"&gt;="&amp;DATE(2025,4,1),'2025数据'!$AB$3:$AB$181,"&lt;="&amp;DATE(2025,4,30),'2025数据'!$AE$3:$AE$181,$E2085)/10000)</f>
        <v>0</v>
      </c>
      <c r="J2085" s="51">
        <f ca="1">IF($S$1&lt;DATE(2025,5,1)," ",SUMIFS('2025数据'!$BX$3:$BX$181,'2025数据'!$AB$3:$AB$181,"&gt;="&amp;DATE(2025,5,1),'2025数据'!$AB$3:$AB$181,"&lt;="&amp;DATE(2025,5,31),'2025数据'!$AE$3:$AE$181,$E2085)/10000)</f>
        <v>0</v>
      </c>
      <c r="K2085" s="51">
        <f ca="1">IF($S$1&lt;DATE(2025,6,1)," ",SUMIFS('2025数据'!$BX$3:$BX$181,'2025数据'!$AB$3:$AB$181,"&gt;="&amp;DATE(2025,6,1),'2025数据'!$AB$3:$AB$181,"&lt;="&amp;DATE(2025,6,30),'2025数据'!$AE$3:$AE$181,$E2085)/10000)</f>
        <v>0</v>
      </c>
      <c r="L2085" s="51">
        <f ca="1">IF($S$1&lt;DATE(2025,7,1)," ",SUMIFS('2025数据'!$BX$3:$BX$181,'2025数据'!$AB$3:$AB$181,"&gt;="&amp;DATE(2025,7,1),'2025数据'!$AB$3:$AB$181,"&lt;="&amp;DATE(2025,7,31),'2025数据'!$AE$3:$AE$181,$E2085)/10000)</f>
        <v>0.222082</v>
      </c>
      <c r="M2085" s="51">
        <f ca="1">IF($S$1&lt;DATE(2025,8,1)," ",SUMIFS('2025数据'!$BX$3:$BX$181,'2025数据'!$AB$3:$AB$181,"&gt;="&amp;DATE(2025,8,1),'2025数据'!$AB$3:$AB$181,"&lt;="&amp;DATE(2025,8,31),'2025数据'!$AE$3:$AE$181,$E2085)/10000)</f>
        <v>0.125122</v>
      </c>
      <c r="N2085" s="51">
        <f ca="1">IF($S$1&lt;DATE(2025,9,1)," ",SUMIFS('2025数据'!$BX$3:$BX$181,'2025数据'!$AB$3:$AB$181,"&gt;="&amp;DATE(2025,9,1),'2025数据'!$AB$3:$AB$181,"&lt;="&amp;DATE(2025,9,30),'2025数据'!$AE$3:$AE$181,$E2085)/10000)</f>
        <v>0</v>
      </c>
      <c r="O2085" s="51">
        <f ca="1">IF($S$1&lt;DATE(2025,10,1)," ",SUMIFS('2025数据'!$BX$3:$BX$181,'2025数据'!$AB$3:$AB$181,"&gt;="&amp;DATE(2025,10,1),'2025数据'!$AB$3:$AB$181,"&lt;="&amp;DATE(2025,10,31),'2025数据'!$AE$3:$AE$181,$E2085)/10000)</f>
        <v>0</v>
      </c>
      <c r="P2085" s="217">
        <f ca="1">IF($S$1&lt;DATE(2025,11,1)," ",SUMIFS('2025数据'!$BX$3:$BX$181,'2025数据'!$AB$3:$AB$181,"&gt;="&amp;DATE(2025,11,1),'2025数据'!$AB$3:$AB$181,"&lt;="&amp;DATE(2025,11,30),'2025数据'!$AE$3:$AE$181,$E2085)/10000)</f>
        <v>0</v>
      </c>
      <c r="Q2085" s="217">
        <f ca="1">IF($S$1&lt;DATE(2025,12,1)," ",SUMIFS('2025数据'!$BX$3:$BX$181,'2025数据'!$AB$3:$AB$181,"&gt;="&amp;DATE(2025,12,1),'2025数据'!$AB$3:$AB$181,"&lt;="&amp;DATE(2025,12,31),'2025数据'!$AE$3:$AE$181,$E2085)/10000)</f>
        <v>0</v>
      </c>
    </row>
    <row r="2086" ht="24" customHeight="1" spans="1:17">
      <c r="A2086" s="99" t="s">
        <v>350</v>
      </c>
      <c r="B2086" s="99" t="s">
        <v>299</v>
      </c>
      <c r="C2086" s="99" t="s">
        <v>333</v>
      </c>
      <c r="D2086" s="48" t="s">
        <v>31</v>
      </c>
      <c r="E2086" s="48" t="s">
        <v>86</v>
      </c>
      <c r="F2086" s="51">
        <f ca="1">IF($S$1&lt;DATE(2025,1,1)," ",SUMIFS('2025数据'!$BX$3:$BX$181,'2025数据'!$AB$3:$AB$181,"&gt;="&amp;DATE(2025,1,1),'2025数据'!$AB$3:$AB$181,"&lt;="&amp;DATE(2025,1,31),'2025数据'!$AE$3:$AE$181,$E2086)/10000)</f>
        <v>0</v>
      </c>
      <c r="G2086" s="51">
        <f ca="1">IF($S$1&lt;DATE(2025,2,1)," ",SUMIFS('2025数据'!$BX$3:$BX$181,'2025数据'!$AB$3:$AB$181,"&gt;="&amp;DATE(2025,2,1),'2025数据'!$AB$3:$AB$181,"&lt;="&amp;DATE(2025,2,28),'2025数据'!$AE$3:$AE$181,$E2086)/10000)</f>
        <v>0</v>
      </c>
      <c r="H2086" s="51">
        <f ca="1">IF($S$1&lt;DATE(2025,3,1)," ",SUMIFS('2025数据'!$BX$3:$BX$181,'2025数据'!$AB$3:$AB$181,"&gt;="&amp;DATE(2025,3,1),'2025数据'!$AB$3:$AB$181,"&lt;="&amp;DATE(2025,3,31),'2025数据'!$AE$3:$AE$181,$E2086)/10000)</f>
        <v>0</v>
      </c>
      <c r="I2086" s="51">
        <f ca="1">IF($S$1&lt;DATE(2025,4,1)," ",SUMIFS('2025数据'!$BX$3:$BX$181,'2025数据'!$AB$3:$AB$181,"&gt;="&amp;DATE(2025,4,1),'2025数据'!$AB$3:$AB$181,"&lt;="&amp;DATE(2025,4,30),'2025数据'!$AE$3:$AE$181,$E2086)/10000)</f>
        <v>0</v>
      </c>
      <c r="J2086" s="51">
        <f ca="1">IF($S$1&lt;DATE(2025,5,1)," ",SUMIFS('2025数据'!$BX$3:$BX$181,'2025数据'!$AB$3:$AB$181,"&gt;="&amp;DATE(2025,5,1),'2025数据'!$AB$3:$AB$181,"&lt;="&amp;DATE(2025,5,31),'2025数据'!$AE$3:$AE$181,$E2086)/10000)</f>
        <v>0</v>
      </c>
      <c r="K2086" s="51">
        <f ca="1">IF($S$1&lt;DATE(2025,6,1)," ",SUMIFS('2025数据'!$BX$3:$BX$181,'2025数据'!$AB$3:$AB$181,"&gt;="&amp;DATE(2025,6,1),'2025数据'!$AB$3:$AB$181,"&lt;="&amp;DATE(2025,6,30),'2025数据'!$AE$3:$AE$181,$E2086)/10000)</f>
        <v>0</v>
      </c>
      <c r="L2086" s="51">
        <f ca="1">IF($S$1&lt;DATE(2025,7,1)," ",SUMIFS('2025数据'!$BX$3:$BX$181,'2025数据'!$AB$3:$AB$181,"&gt;="&amp;DATE(2025,7,1),'2025数据'!$AB$3:$AB$181,"&lt;="&amp;DATE(2025,7,31),'2025数据'!$AE$3:$AE$181,$E2086)/10000)</f>
        <v>0</v>
      </c>
      <c r="M2086" s="51">
        <f ca="1">IF($S$1&lt;DATE(2025,8,1)," ",SUMIFS('2025数据'!$BX$3:$BX$181,'2025数据'!$AB$3:$AB$181,"&gt;="&amp;DATE(2025,8,1),'2025数据'!$AB$3:$AB$181,"&lt;="&amp;DATE(2025,8,31),'2025数据'!$AE$3:$AE$181,$E2086)/10000)</f>
        <v>0</v>
      </c>
      <c r="N2086" s="51">
        <f ca="1">IF($S$1&lt;DATE(2025,9,1)," ",SUMIFS('2025数据'!$BX$3:$BX$181,'2025数据'!$AB$3:$AB$181,"&gt;="&amp;DATE(2025,9,1),'2025数据'!$AB$3:$AB$181,"&lt;="&amp;DATE(2025,9,30),'2025数据'!$AE$3:$AE$181,$E2086)/10000)</f>
        <v>0</v>
      </c>
      <c r="O2086" s="51">
        <f ca="1">IF($S$1&lt;DATE(2025,10,1)," ",SUMIFS('2025数据'!$BX$3:$BX$181,'2025数据'!$AB$3:$AB$181,"&gt;="&amp;DATE(2025,10,1),'2025数据'!$AB$3:$AB$181,"&lt;="&amp;DATE(2025,10,31),'2025数据'!$AE$3:$AE$181,$E2086)/10000)</f>
        <v>0</v>
      </c>
      <c r="P2086" s="217">
        <f ca="1">IF($S$1&lt;DATE(2025,11,1)," ",SUMIFS('2025数据'!$BX$3:$BX$181,'2025数据'!$AB$3:$AB$181,"&gt;="&amp;DATE(2025,11,1),'2025数据'!$AB$3:$AB$181,"&lt;="&amp;DATE(2025,11,30),'2025数据'!$AE$3:$AE$181,$E2086)/10000)</f>
        <v>0</v>
      </c>
      <c r="Q2086" s="217">
        <f ca="1">IF($S$1&lt;DATE(2025,12,1)," ",SUMIFS('2025数据'!$BX$3:$BX$181,'2025数据'!$AB$3:$AB$181,"&gt;="&amp;DATE(2025,12,1),'2025数据'!$AB$3:$AB$181,"&lt;="&amp;DATE(2025,12,31),'2025数据'!$AE$3:$AE$181,$E2086)/10000)</f>
        <v>0</v>
      </c>
    </row>
    <row r="2087" ht="24" customHeight="1" spans="1:17">
      <c r="A2087" s="99" t="s">
        <v>350</v>
      </c>
      <c r="B2087" s="99" t="s">
        <v>299</v>
      </c>
      <c r="C2087" s="99" t="s">
        <v>333</v>
      </c>
      <c r="D2087" s="48" t="s">
        <v>31</v>
      </c>
      <c r="E2087" s="48" t="s">
        <v>97</v>
      </c>
      <c r="F2087" s="51">
        <f ca="1">IF($S$1&lt;DATE(2025,1,1)," ",SUMIFS('2025数据'!$BX$3:$BX$181,'2025数据'!$AB$3:$AB$181,"&gt;="&amp;DATE(2025,1,1),'2025数据'!$AB$3:$AB$181,"&lt;="&amp;DATE(2025,1,31),'2025数据'!$AE$3:$AE$181,$E2087)/10000)</f>
        <v>0</v>
      </c>
      <c r="G2087" s="51">
        <f ca="1">IF($S$1&lt;DATE(2025,2,1)," ",SUMIFS('2025数据'!$BX$3:$BX$181,'2025数据'!$AB$3:$AB$181,"&gt;="&amp;DATE(2025,2,1),'2025数据'!$AB$3:$AB$181,"&lt;="&amp;DATE(2025,2,28),'2025数据'!$AE$3:$AE$181,$E2087)/10000)</f>
        <v>0</v>
      </c>
      <c r="H2087" s="51">
        <f ca="1">IF($S$1&lt;DATE(2025,3,1)," ",SUMIFS('2025数据'!$BX$3:$BX$181,'2025数据'!$AB$3:$AB$181,"&gt;="&amp;DATE(2025,3,1),'2025数据'!$AB$3:$AB$181,"&lt;="&amp;DATE(2025,3,31),'2025数据'!$AE$3:$AE$181,$E2087)/10000)</f>
        <v>0.169938</v>
      </c>
      <c r="I2087" s="51">
        <f ca="1">IF($S$1&lt;DATE(2025,4,1)," ",SUMIFS('2025数据'!$BX$3:$BX$181,'2025数据'!$AB$3:$AB$181,"&gt;="&amp;DATE(2025,4,1),'2025数据'!$AB$3:$AB$181,"&lt;="&amp;DATE(2025,4,30),'2025数据'!$AE$3:$AE$181,$E2087)/10000)</f>
        <v>0</v>
      </c>
      <c r="J2087" s="51">
        <f ca="1">IF($S$1&lt;DATE(2025,5,1)," ",SUMIFS('2025数据'!$BX$3:$BX$181,'2025数据'!$AB$3:$AB$181,"&gt;="&amp;DATE(2025,5,1),'2025数据'!$AB$3:$AB$181,"&lt;="&amp;DATE(2025,5,31),'2025数据'!$AE$3:$AE$181,$E2087)/10000)</f>
        <v>0.023701</v>
      </c>
      <c r="K2087" s="51">
        <f ca="1">IF($S$1&lt;DATE(2025,6,1)," ",SUMIFS('2025数据'!$BX$3:$BX$181,'2025数据'!$AB$3:$AB$181,"&gt;="&amp;DATE(2025,6,1),'2025数据'!$AB$3:$AB$181,"&lt;="&amp;DATE(2025,6,30),'2025数据'!$AE$3:$AE$181,$E2087)/10000)</f>
        <v>0.356789</v>
      </c>
      <c r="L2087" s="51">
        <f ca="1">IF($S$1&lt;DATE(2025,7,1)," ",SUMIFS('2025数据'!$BX$3:$BX$181,'2025数据'!$AB$3:$AB$181,"&gt;="&amp;DATE(2025,7,1),'2025数据'!$AB$3:$AB$181,"&lt;="&amp;DATE(2025,7,31),'2025数据'!$AE$3:$AE$181,$E2087)/10000)</f>
        <v>0</v>
      </c>
      <c r="M2087" s="51">
        <f ca="1">IF($S$1&lt;DATE(2025,8,1)," ",SUMIFS('2025数据'!$BX$3:$BX$181,'2025数据'!$AB$3:$AB$181,"&gt;="&amp;DATE(2025,8,1),'2025数据'!$AB$3:$AB$181,"&lt;="&amp;DATE(2025,8,31),'2025数据'!$AE$3:$AE$181,$E2087)/10000)</f>
        <v>0</v>
      </c>
      <c r="N2087" s="51">
        <f ca="1">IF($S$1&lt;DATE(2025,9,1)," ",SUMIFS('2025数据'!$BX$3:$BX$181,'2025数据'!$AB$3:$AB$181,"&gt;="&amp;DATE(2025,9,1),'2025数据'!$AB$3:$AB$181,"&lt;="&amp;DATE(2025,9,30),'2025数据'!$AE$3:$AE$181,$E2087)/10000)</f>
        <v>0</v>
      </c>
      <c r="O2087" s="51">
        <f ca="1">IF($S$1&lt;DATE(2025,10,1)," ",SUMIFS('2025数据'!$BX$3:$BX$181,'2025数据'!$AB$3:$AB$181,"&gt;="&amp;DATE(2025,10,1),'2025数据'!$AB$3:$AB$181,"&lt;="&amp;DATE(2025,10,31),'2025数据'!$AE$3:$AE$181,$E2087)/10000)</f>
        <v>0</v>
      </c>
      <c r="P2087" s="217">
        <f ca="1">IF($S$1&lt;DATE(2025,11,1)," ",SUMIFS('2025数据'!$BX$3:$BX$181,'2025数据'!$AB$3:$AB$181,"&gt;="&amp;DATE(2025,11,1),'2025数据'!$AB$3:$AB$181,"&lt;="&amp;DATE(2025,11,30),'2025数据'!$AE$3:$AE$181,$E2087)/10000)</f>
        <v>0.092012</v>
      </c>
      <c r="Q2087" s="217">
        <f ca="1">IF($S$1&lt;DATE(2025,12,1)," ",SUMIFS('2025数据'!$BX$3:$BX$181,'2025数据'!$AB$3:$AB$181,"&gt;="&amp;DATE(2025,12,1),'2025数据'!$AB$3:$AB$181,"&lt;="&amp;DATE(2025,12,31),'2025数据'!$AE$3:$AE$181,$E2087)/10000)</f>
        <v>0</v>
      </c>
    </row>
    <row r="2088" ht="24" customHeight="1" spans="1:17">
      <c r="A2088" s="99" t="s">
        <v>350</v>
      </c>
      <c r="B2088" s="99" t="s">
        <v>299</v>
      </c>
      <c r="C2088" s="99" t="s">
        <v>333</v>
      </c>
      <c r="D2088" s="48" t="s">
        <v>31</v>
      </c>
      <c r="E2088" s="48" t="s">
        <v>87</v>
      </c>
      <c r="F2088" s="51">
        <f ca="1">IF($S$1&lt;DATE(2025,1,1)," ",SUMIFS('2025数据'!$BX$3:$BX$181,'2025数据'!$AB$3:$AB$181,"&gt;="&amp;DATE(2025,1,1),'2025数据'!$AB$3:$AB$181,"&lt;="&amp;DATE(2025,1,31),'2025数据'!$AE$3:$AE$181,$E2088)/10000)</f>
        <v>0</v>
      </c>
      <c r="G2088" s="51">
        <f ca="1">IF($S$1&lt;DATE(2025,2,1)," ",SUMIFS('2025数据'!$BX$3:$BX$181,'2025数据'!$AB$3:$AB$181,"&gt;="&amp;DATE(2025,2,1),'2025数据'!$AB$3:$AB$181,"&lt;="&amp;DATE(2025,2,28),'2025数据'!$AE$3:$AE$181,$E2088)/10000)</f>
        <v>0</v>
      </c>
      <c r="H2088" s="51">
        <f ca="1">IF($S$1&lt;DATE(2025,3,1)," ",SUMIFS('2025数据'!$BX$3:$BX$181,'2025数据'!$AB$3:$AB$181,"&gt;="&amp;DATE(2025,3,1),'2025数据'!$AB$3:$AB$181,"&lt;="&amp;DATE(2025,3,31),'2025数据'!$AE$3:$AE$181,$E2088)/10000)</f>
        <v>0</v>
      </c>
      <c r="I2088" s="51">
        <f ca="1">IF($S$1&lt;DATE(2025,4,1)," ",SUMIFS('2025数据'!$BX$3:$BX$181,'2025数据'!$AB$3:$AB$181,"&gt;="&amp;DATE(2025,4,1),'2025数据'!$AB$3:$AB$181,"&lt;="&amp;DATE(2025,4,30),'2025数据'!$AE$3:$AE$181,$E2088)/10000)</f>
        <v>0</v>
      </c>
      <c r="J2088" s="51">
        <f ca="1">IF($S$1&lt;DATE(2025,5,1)," ",SUMIFS('2025数据'!$BX$3:$BX$181,'2025数据'!$AB$3:$AB$181,"&gt;="&amp;DATE(2025,5,1),'2025数据'!$AB$3:$AB$181,"&lt;="&amp;DATE(2025,5,31),'2025数据'!$AE$3:$AE$181,$E2088)/10000)</f>
        <v>0</v>
      </c>
      <c r="K2088" s="51">
        <f ca="1">IF($S$1&lt;DATE(2025,6,1)," ",SUMIFS('2025数据'!$BX$3:$BX$181,'2025数据'!$AB$3:$AB$181,"&gt;="&amp;DATE(2025,6,1),'2025数据'!$AB$3:$AB$181,"&lt;="&amp;DATE(2025,6,30),'2025数据'!$AE$3:$AE$181,$E2088)/10000)</f>
        <v>0</v>
      </c>
      <c r="L2088" s="51">
        <f ca="1">IF($S$1&lt;DATE(2025,7,1)," ",SUMIFS('2025数据'!$BX$3:$BX$181,'2025数据'!$AB$3:$AB$181,"&gt;="&amp;DATE(2025,7,1),'2025数据'!$AB$3:$AB$181,"&lt;="&amp;DATE(2025,7,31),'2025数据'!$AE$3:$AE$181,$E2088)/10000)</f>
        <v>0</v>
      </c>
      <c r="M2088" s="51">
        <f ca="1">IF($S$1&lt;DATE(2025,8,1)," ",SUMIFS('2025数据'!$BX$3:$BX$181,'2025数据'!$AB$3:$AB$181,"&gt;="&amp;DATE(2025,8,1),'2025数据'!$AB$3:$AB$181,"&lt;="&amp;DATE(2025,8,31),'2025数据'!$AE$3:$AE$181,$E2088)/10000)</f>
        <v>0.040141</v>
      </c>
      <c r="N2088" s="51">
        <f ca="1">IF($S$1&lt;DATE(2025,9,1)," ",SUMIFS('2025数据'!$BX$3:$BX$181,'2025数据'!$AB$3:$AB$181,"&gt;="&amp;DATE(2025,9,1),'2025数据'!$AB$3:$AB$181,"&lt;="&amp;DATE(2025,9,30),'2025数据'!$AE$3:$AE$181,$E2088)/10000)</f>
        <v>0</v>
      </c>
      <c r="O2088" s="51">
        <f ca="1">IF($S$1&lt;DATE(2025,10,1)," ",SUMIFS('2025数据'!$BX$3:$BX$181,'2025数据'!$AB$3:$AB$181,"&gt;="&amp;DATE(2025,10,1),'2025数据'!$AB$3:$AB$181,"&lt;="&amp;DATE(2025,10,31),'2025数据'!$AE$3:$AE$181,$E2088)/10000)</f>
        <v>0</v>
      </c>
      <c r="P2088" s="217">
        <f ca="1">IF($S$1&lt;DATE(2025,11,1)," ",SUMIFS('2025数据'!$BX$3:$BX$181,'2025数据'!$AB$3:$AB$181,"&gt;="&amp;DATE(2025,11,1),'2025数据'!$AB$3:$AB$181,"&lt;="&amp;DATE(2025,11,30),'2025数据'!$AE$3:$AE$181,$E2088)/10000)</f>
        <v>0</v>
      </c>
      <c r="Q2088" s="217">
        <f ca="1">IF($S$1&lt;DATE(2025,12,1)," ",SUMIFS('2025数据'!$BX$3:$BX$181,'2025数据'!$AB$3:$AB$181,"&gt;="&amp;DATE(2025,12,1),'2025数据'!$AB$3:$AB$181,"&lt;="&amp;DATE(2025,12,31),'2025数据'!$AE$3:$AE$181,$E2088)/10000)</f>
        <v>0</v>
      </c>
    </row>
    <row r="2089" ht="24" customHeight="1" spans="1:17">
      <c r="A2089" s="99" t="s">
        <v>350</v>
      </c>
      <c r="B2089" s="99" t="s">
        <v>299</v>
      </c>
      <c r="C2089" s="99" t="s">
        <v>333</v>
      </c>
      <c r="D2089" s="48" t="s">
        <v>31</v>
      </c>
      <c r="E2089" s="48" t="s">
        <v>149</v>
      </c>
      <c r="F2089" s="51">
        <f ca="1">IF($S$1&lt;DATE(2025,1,1)," ",SUMIFS('2025数据'!$BX$3:$BX$181,'2025数据'!$AB$3:$AB$181,"&gt;="&amp;DATE(2025,1,1),'2025数据'!$AB$3:$AB$181,"&lt;="&amp;DATE(2025,1,31),'2025数据'!$AE$3:$AE$181,$E2089)/10000)</f>
        <v>0</v>
      </c>
      <c r="G2089" s="51">
        <f ca="1">IF($S$1&lt;DATE(2025,2,1)," ",SUMIFS('2025数据'!$BX$3:$BX$181,'2025数据'!$AB$3:$AB$181,"&gt;="&amp;DATE(2025,2,1),'2025数据'!$AB$3:$AB$181,"&lt;="&amp;DATE(2025,2,28),'2025数据'!$AE$3:$AE$181,$E2089)/10000)</f>
        <v>0</v>
      </c>
      <c r="H2089" s="51">
        <f ca="1">IF($S$1&lt;DATE(2025,3,1)," ",SUMIFS('2025数据'!$BX$3:$BX$181,'2025数据'!$AB$3:$AB$181,"&gt;="&amp;DATE(2025,3,1),'2025数据'!$AB$3:$AB$181,"&lt;="&amp;DATE(2025,3,31),'2025数据'!$AE$3:$AE$181,$E2089)/10000)</f>
        <v>0.36899121</v>
      </c>
      <c r="I2089" s="51">
        <f ca="1">IF($S$1&lt;DATE(2025,4,1)," ",SUMIFS('2025数据'!$BX$3:$BX$181,'2025数据'!$AB$3:$AB$181,"&gt;="&amp;DATE(2025,4,1),'2025数据'!$AB$3:$AB$181,"&lt;="&amp;DATE(2025,4,30),'2025数据'!$AE$3:$AE$181,$E2089)/10000)</f>
        <v>0</v>
      </c>
      <c r="J2089" s="51">
        <f ca="1">IF($S$1&lt;DATE(2025,5,1)," ",SUMIFS('2025数据'!$BX$3:$BX$181,'2025数据'!$AB$3:$AB$181,"&gt;="&amp;DATE(2025,5,1),'2025数据'!$AB$3:$AB$181,"&lt;="&amp;DATE(2025,5,31),'2025数据'!$AE$3:$AE$181,$E2089)/10000)</f>
        <v>0</v>
      </c>
      <c r="K2089" s="51">
        <f ca="1">IF($S$1&lt;DATE(2025,6,1)," ",SUMIFS('2025数据'!$BX$3:$BX$181,'2025数据'!$AB$3:$AB$181,"&gt;="&amp;DATE(2025,6,1),'2025数据'!$AB$3:$AB$181,"&lt;="&amp;DATE(2025,6,30),'2025数据'!$AE$3:$AE$181,$E2089)/10000)</f>
        <v>0</v>
      </c>
      <c r="L2089" s="51">
        <f ca="1">IF($S$1&lt;DATE(2025,7,1)," ",SUMIFS('2025数据'!$BX$3:$BX$181,'2025数据'!$AB$3:$AB$181,"&gt;="&amp;DATE(2025,7,1),'2025数据'!$AB$3:$AB$181,"&lt;="&amp;DATE(2025,7,31),'2025数据'!$AE$3:$AE$181,$E2089)/10000)</f>
        <v>0</v>
      </c>
      <c r="M2089" s="51">
        <f ca="1">IF($S$1&lt;DATE(2025,8,1)," ",SUMIFS('2025数据'!$BX$3:$BX$181,'2025数据'!$AB$3:$AB$181,"&gt;="&amp;DATE(2025,8,1),'2025数据'!$AB$3:$AB$181,"&lt;="&amp;DATE(2025,8,31),'2025数据'!$AE$3:$AE$181,$E2089)/10000)</f>
        <v>0</v>
      </c>
      <c r="N2089" s="51">
        <f ca="1">IF($S$1&lt;DATE(2025,9,1)," ",SUMIFS('2025数据'!$BX$3:$BX$181,'2025数据'!$AB$3:$AB$181,"&gt;="&amp;DATE(2025,9,1),'2025数据'!$AB$3:$AB$181,"&lt;="&amp;DATE(2025,9,30),'2025数据'!$AE$3:$AE$181,$E2089)/10000)</f>
        <v>0</v>
      </c>
      <c r="O2089" s="51">
        <f ca="1">IF($S$1&lt;DATE(2025,10,1)," ",SUMIFS('2025数据'!$BX$3:$BX$181,'2025数据'!$AB$3:$AB$181,"&gt;="&amp;DATE(2025,10,1),'2025数据'!$AB$3:$AB$181,"&lt;="&amp;DATE(2025,10,31),'2025数据'!$AE$3:$AE$181,$E2089)/10000)</f>
        <v>0</v>
      </c>
      <c r="P2089" s="217">
        <f ca="1">IF($S$1&lt;DATE(2025,11,1)," ",SUMIFS('2025数据'!$BX$3:$BX$181,'2025数据'!$AB$3:$AB$181,"&gt;="&amp;DATE(2025,11,1),'2025数据'!$AB$3:$AB$181,"&lt;="&amp;DATE(2025,11,30),'2025数据'!$AE$3:$AE$181,$E2089)/10000)</f>
        <v>0</v>
      </c>
      <c r="Q2089" s="217">
        <f ca="1">IF($S$1&lt;DATE(2025,12,1)," ",SUMIFS('2025数据'!$BX$3:$BX$181,'2025数据'!$AB$3:$AB$181,"&gt;="&amp;DATE(2025,12,1),'2025数据'!$AB$3:$AB$181,"&lt;="&amp;DATE(2025,12,31),'2025数据'!$AE$3:$AE$181,$E2089)/10000)</f>
        <v>0</v>
      </c>
    </row>
    <row r="2090" ht="24" customHeight="1" spans="1:17">
      <c r="A2090" s="99" t="s">
        <v>350</v>
      </c>
      <c r="B2090" s="99" t="s">
        <v>299</v>
      </c>
      <c r="C2090" s="99" t="s">
        <v>333</v>
      </c>
      <c r="D2090" s="48" t="s">
        <v>31</v>
      </c>
      <c r="E2090" s="48" t="s">
        <v>83</v>
      </c>
      <c r="F2090" s="51">
        <f ca="1">IF($S$1&lt;DATE(2025,1,1)," ",SUMIFS('2025数据'!$BX$3:$BX$181,'2025数据'!$AB$3:$AB$181,"&gt;="&amp;DATE(2025,1,1),'2025数据'!$AB$3:$AB$181,"&lt;="&amp;DATE(2025,1,31),'2025数据'!$AE$3:$AE$181,$E2090)/10000)</f>
        <v>0</v>
      </c>
      <c r="G2090" s="51">
        <f ca="1">IF($S$1&lt;DATE(2025,2,1)," ",SUMIFS('2025数据'!$BX$3:$BX$181,'2025数据'!$AB$3:$AB$181,"&gt;="&amp;DATE(2025,2,1),'2025数据'!$AB$3:$AB$181,"&lt;="&amp;DATE(2025,2,28),'2025数据'!$AE$3:$AE$181,$E2090)/10000)</f>
        <v>0</v>
      </c>
      <c r="H2090" s="51">
        <f ca="1">IF($S$1&lt;DATE(2025,3,1)," ",SUMIFS('2025数据'!$BX$3:$BX$181,'2025数据'!$AB$3:$AB$181,"&gt;="&amp;DATE(2025,3,1),'2025数据'!$AB$3:$AB$181,"&lt;="&amp;DATE(2025,3,31),'2025数据'!$AE$3:$AE$181,$E2090)/10000)</f>
        <v>0</v>
      </c>
      <c r="I2090" s="51">
        <f ca="1">IF($S$1&lt;DATE(2025,4,1)," ",SUMIFS('2025数据'!$BX$3:$BX$181,'2025数据'!$AB$3:$AB$181,"&gt;="&amp;DATE(2025,4,1),'2025数据'!$AB$3:$AB$181,"&lt;="&amp;DATE(2025,4,30),'2025数据'!$AE$3:$AE$181,$E2090)/10000)</f>
        <v>0.069017</v>
      </c>
      <c r="J2090" s="51">
        <f ca="1">IF($S$1&lt;DATE(2025,5,1)," ",SUMIFS('2025数据'!$BX$3:$BX$181,'2025数据'!$AB$3:$AB$181,"&gt;="&amp;DATE(2025,5,1),'2025数据'!$AB$3:$AB$181,"&lt;="&amp;DATE(2025,5,31),'2025数据'!$AE$3:$AE$181,$E2090)/10000)</f>
        <v>0</v>
      </c>
      <c r="K2090" s="51">
        <f ca="1">IF($S$1&lt;DATE(2025,6,1)," ",SUMIFS('2025数据'!$BX$3:$BX$181,'2025数据'!$AB$3:$AB$181,"&gt;="&amp;DATE(2025,6,1),'2025数据'!$AB$3:$AB$181,"&lt;="&amp;DATE(2025,6,30),'2025数据'!$AE$3:$AE$181,$E2090)/10000)</f>
        <v>0</v>
      </c>
      <c r="L2090" s="51">
        <f ca="1">IF($S$1&lt;DATE(2025,7,1)," ",SUMIFS('2025数据'!$BX$3:$BX$181,'2025数据'!$AB$3:$AB$181,"&gt;="&amp;DATE(2025,7,1),'2025数据'!$AB$3:$AB$181,"&lt;="&amp;DATE(2025,7,31),'2025数据'!$AE$3:$AE$181,$E2090)/10000)</f>
        <v>0</v>
      </c>
      <c r="M2090" s="51">
        <f ca="1">IF($S$1&lt;DATE(2025,8,1)," ",SUMIFS('2025数据'!$BX$3:$BX$181,'2025数据'!$AB$3:$AB$181,"&gt;="&amp;DATE(2025,8,1),'2025数据'!$AB$3:$AB$181,"&lt;="&amp;DATE(2025,8,31),'2025数据'!$AE$3:$AE$181,$E2090)/10000)</f>
        <v>0</v>
      </c>
      <c r="N2090" s="51">
        <f ca="1">IF($S$1&lt;DATE(2025,9,1)," ",SUMIFS('2025数据'!$BX$3:$BX$181,'2025数据'!$AB$3:$AB$181,"&gt;="&amp;DATE(2025,9,1),'2025数据'!$AB$3:$AB$181,"&lt;="&amp;DATE(2025,9,30),'2025数据'!$AE$3:$AE$181,$E2090)/10000)</f>
        <v>0</v>
      </c>
      <c r="O2090" s="51">
        <f ca="1">IF($S$1&lt;DATE(2025,10,1)," ",SUMIFS('2025数据'!$BX$3:$BX$181,'2025数据'!$AB$3:$AB$181,"&gt;="&amp;DATE(2025,10,1),'2025数据'!$AB$3:$AB$181,"&lt;="&amp;DATE(2025,10,31),'2025数据'!$AE$3:$AE$181,$E2090)/10000)</f>
        <v>0.517081</v>
      </c>
      <c r="P2090" s="217">
        <f ca="1">IF($S$1&lt;DATE(2025,11,1)," ",SUMIFS('2025数据'!$BX$3:$BX$181,'2025数据'!$AB$3:$AB$181,"&gt;="&amp;DATE(2025,11,1),'2025数据'!$AB$3:$AB$181,"&lt;="&amp;DATE(2025,11,30),'2025数据'!$AE$3:$AE$181,$E2090)/10000)</f>
        <v>0</v>
      </c>
      <c r="Q2090" s="217">
        <f ca="1">IF($S$1&lt;DATE(2025,12,1)," ",SUMIFS('2025数据'!$BX$3:$BX$181,'2025数据'!$AB$3:$AB$181,"&gt;="&amp;DATE(2025,12,1),'2025数据'!$AB$3:$AB$181,"&lt;="&amp;DATE(2025,12,31),'2025数据'!$AE$3:$AE$181,$E2090)/10000)</f>
        <v>0</v>
      </c>
    </row>
    <row r="2091" ht="24" customHeight="1" spans="1:17">
      <c r="A2091" s="99" t="s">
        <v>350</v>
      </c>
      <c r="B2091" s="99" t="s">
        <v>299</v>
      </c>
      <c r="C2091" s="99" t="s">
        <v>333</v>
      </c>
      <c r="D2091" s="47" t="s">
        <v>294</v>
      </c>
      <c r="E2091" s="47" t="s">
        <v>93</v>
      </c>
      <c r="F2091" s="51">
        <f ca="1">IF($S$1&lt;DATE(2025,1,1)," ",SUMIFS('2025数据'!$BX$3:$BX$181,'2025数据'!$AB$3:$AB$181,"&gt;="&amp;DATE(2025,1,1),'2025数据'!$AB$3:$AB$181,"&lt;="&amp;DATE(2025,1,31),'2025数据'!$B$3:$B$181,$E2091)/10000)</f>
        <v>0</v>
      </c>
      <c r="G2091" s="51">
        <f ca="1">IF($S$1&lt;DATE(2025,2,1)," ",SUMIFS('2025数据'!$BX$3:$BX$181,'2025数据'!$AB$3:$AB$181,"&gt;="&amp;DATE(2025,2,1),'2025数据'!$AB$3:$AB$181,"&lt;="&amp;DATE(2025,2,28),'2025数据'!$B$3:$B$181,$E2091)/10000)</f>
        <v>0.04291</v>
      </c>
      <c r="H2091" s="51">
        <f ca="1">IF($S$1&lt;DATE(2025,3,1)," ",SUMIFS('2025数据'!$BX$3:$BX$181,'2025数据'!$AB$3:$AB$181,"&gt;="&amp;DATE(2025,3,1),'2025数据'!$AB$3:$AB$181,"&lt;="&amp;DATE(2025,3,31),'2025数据'!$B$3:$B$181,$E2091)/10000)</f>
        <v>0.43627521</v>
      </c>
      <c r="I2091" s="51">
        <f ca="1">IF($S$1&lt;DATE(2025,4,1)," ",SUMIFS('2025数据'!$BX$3:$BX$181,'2025数据'!$AB$3:$AB$181,"&gt;="&amp;DATE(2025,4,1),'2025数据'!$AB$3:$AB$181,"&lt;="&amp;DATE(2025,4,30),'2025数据'!$B$3:$B$181,$E2091)/10000)</f>
        <v>0</v>
      </c>
      <c r="J2091" s="51">
        <f ca="1">IF($S$1&lt;DATE(2025,5,1)," ",SUMIFS('2025数据'!$BX$3:$BX$181,'2025数据'!$AB$3:$AB$181,"&gt;="&amp;DATE(2025,5,1),'2025数据'!$AB$3:$AB$181,"&lt;="&amp;DATE(2025,5,31),'2025数据'!$B$3:$B$181,$E2091)/10000)</f>
        <v>0.023701</v>
      </c>
      <c r="K2091" s="51">
        <f ca="1">IF($S$1&lt;DATE(2025,6,1)," ",SUMIFS('2025数据'!$BX$3:$BX$181,'2025数据'!$AB$3:$AB$181,"&gt;="&amp;DATE(2025,6,1),'2025数据'!$AB$3:$AB$181,"&lt;="&amp;DATE(2025,6,30),'2025数据'!$B$3:$B$181,$E2091)/10000)</f>
        <v>0.356789</v>
      </c>
      <c r="L2091" s="51">
        <f ca="1">IF($S$1&lt;DATE(2025,7,1)," ",SUMIFS('2025数据'!$BX$3:$BX$181,'2025数据'!$AB$3:$AB$181,"&gt;="&amp;DATE(2025,7,1),'2025数据'!$AB$3:$AB$181,"&lt;="&amp;DATE(2025,7,31),'2025数据'!$B$3:$B$181,$E2091)/10000)</f>
        <v>0</v>
      </c>
      <c r="M2091" s="51">
        <f ca="1">IF($S$1&lt;DATE(2025,8,1)," ",SUMIFS('2025数据'!$BX$3:$BX$181,'2025数据'!$AB$3:$AB$181,"&gt;="&amp;DATE(2025,8,1),'2025数据'!$AB$3:$AB$181,"&lt;="&amp;DATE(2025,8,31),'2025数据'!$B$3:$B$181,$E2091)/10000)</f>
        <v>0.036892</v>
      </c>
      <c r="N2091" s="51">
        <f ca="1">IF($S$1&lt;DATE(2025,9,1)," ",SUMIFS('2025数据'!$BX$3:$BX$181,'2025数据'!$AB$3:$AB$181,"&gt;="&amp;DATE(2025,9,1),'2025数据'!$AB$3:$AB$181,"&lt;="&amp;DATE(2025,9,30),'2025数据'!$B$3:$B$181,$E2091)/10000)</f>
        <v>0</v>
      </c>
      <c r="O2091" s="51">
        <f ca="1">IF($S$1&lt;DATE(2025,10,1)," ",SUMIFS('2025数据'!$BX$3:$BX$181,'2025数据'!$AB$3:$AB$181,"&gt;="&amp;DATE(2025,10,1),'2025数据'!$AB$3:$AB$181,"&lt;="&amp;DATE(2025,10,31),'2025数据'!$B$3:$B$181,$E2091)/10000)</f>
        <v>0.336811</v>
      </c>
      <c r="P2091" s="217">
        <f ca="1">IF($S$1&lt;DATE(2025,11,1)," ",SUMIFS('2025数据'!$BX$3:$BX$181,'2025数据'!$AB$3:$AB$181,"&gt;="&amp;DATE(2025,11,1),'2025数据'!$AB$3:$AB$181,"&lt;="&amp;DATE(2025,11,30),'2025数据'!$B$3:$B$181,$E2091)/10000)</f>
        <v>0.092012</v>
      </c>
      <c r="Q2091" s="217">
        <f ca="1">IF($S$1&lt;DATE(2025,12,1)," ",SUMIFS('2025数据'!$BX$3:$BX$181,'2025数据'!$AB$3:$AB$181,"&gt;="&amp;DATE(2025,12,1),'2025数据'!$AB$3:$AB$181,"&lt;="&amp;DATE(2025,12,31),'2025数据'!$B$3:$B$181,$E2091)/10000)</f>
        <v>0</v>
      </c>
    </row>
    <row r="2092" ht="24" customHeight="1" spans="1:17">
      <c r="A2092" s="99" t="s">
        <v>350</v>
      </c>
      <c r="B2092" s="99" t="s">
        <v>299</v>
      </c>
      <c r="C2092" s="99" t="s">
        <v>333</v>
      </c>
      <c r="D2092" s="47" t="s">
        <v>294</v>
      </c>
      <c r="E2092" s="47" t="s">
        <v>85</v>
      </c>
      <c r="F2092" s="51">
        <f ca="1">IF($S$1&lt;DATE(2025,1,1)," ",SUMIFS('2025数据'!$BX$3:$BX$181,'2025数据'!$AB$3:$AB$181,"&gt;="&amp;DATE(2025,1,1),'2025数据'!$AB$3:$AB$181,"&lt;="&amp;DATE(2025,1,31),'2025数据'!$B$3:$B$181,$E2092)/10000)</f>
        <v>0.027036</v>
      </c>
      <c r="G2092" s="51">
        <f ca="1">IF($S$1&lt;DATE(2025,2,1)," ",SUMIFS('2025数据'!$BX$3:$BX$181,'2025数据'!$AB$3:$AB$181,"&gt;="&amp;DATE(2025,2,1),'2025数据'!$AB$3:$AB$181,"&lt;="&amp;DATE(2025,2,28),'2025数据'!$B$3:$B$181,$E2092)/10000)</f>
        <v>0</v>
      </c>
      <c r="H2092" s="51">
        <f ca="1">IF($S$1&lt;DATE(2025,3,1)," ",SUMIFS('2025数据'!$BX$3:$BX$181,'2025数据'!$AB$3:$AB$181,"&gt;="&amp;DATE(2025,3,1),'2025数据'!$AB$3:$AB$181,"&lt;="&amp;DATE(2025,3,31),'2025数据'!$B$3:$B$181,$E2092)/10000)</f>
        <v>0</v>
      </c>
      <c r="I2092" s="51">
        <f ca="1">IF($S$1&lt;DATE(2025,4,1)," ",SUMIFS('2025数据'!$BX$3:$BX$181,'2025数据'!$AB$3:$AB$181,"&gt;="&amp;DATE(2025,4,1),'2025数据'!$AB$3:$AB$181,"&lt;="&amp;DATE(2025,4,30),'2025数据'!$B$3:$B$181,$E2092)/10000)</f>
        <v>0.069017</v>
      </c>
      <c r="J2092" s="51">
        <f ca="1">IF($S$1&lt;DATE(2025,5,1)," ",SUMIFS('2025数据'!$BX$3:$BX$181,'2025数据'!$AB$3:$AB$181,"&gt;="&amp;DATE(2025,5,1),'2025数据'!$AB$3:$AB$181,"&lt;="&amp;DATE(2025,5,31),'2025数据'!$B$3:$B$181,$E2092)/10000)</f>
        <v>0</v>
      </c>
      <c r="K2092" s="51">
        <f ca="1">IF($S$1&lt;DATE(2025,6,1)," ",SUMIFS('2025数据'!$BX$3:$BX$181,'2025数据'!$AB$3:$AB$181,"&gt;="&amp;DATE(2025,6,1),'2025数据'!$AB$3:$AB$181,"&lt;="&amp;DATE(2025,6,30),'2025数据'!$B$3:$B$181,$E2092)/10000)</f>
        <v>0</v>
      </c>
      <c r="L2092" s="51">
        <f ca="1">IF($S$1&lt;DATE(2025,7,1)," ",SUMIFS('2025数据'!$BX$3:$BX$181,'2025数据'!$AB$3:$AB$181,"&gt;="&amp;DATE(2025,7,1),'2025数据'!$AB$3:$AB$181,"&lt;="&amp;DATE(2025,7,31),'2025数据'!$B$3:$B$181,$E2092)/10000)</f>
        <v>0</v>
      </c>
      <c r="M2092" s="51">
        <f ca="1">IF($S$1&lt;DATE(2025,8,1)," ",SUMIFS('2025数据'!$BX$3:$BX$181,'2025数据'!$AB$3:$AB$181,"&gt;="&amp;DATE(2025,8,1),'2025数据'!$AB$3:$AB$181,"&lt;="&amp;DATE(2025,8,31),'2025数据'!$B$3:$B$181,$E2092)/10000)</f>
        <v>0.128371</v>
      </c>
      <c r="N2092" s="51">
        <f ca="1">IF($S$1&lt;DATE(2025,9,1)," ",SUMIFS('2025数据'!$BX$3:$BX$181,'2025数据'!$AB$3:$AB$181,"&gt;="&amp;DATE(2025,9,1),'2025数据'!$AB$3:$AB$181,"&lt;="&amp;DATE(2025,9,30),'2025数据'!$B$3:$B$181,$E2092)/10000)</f>
        <v>0</v>
      </c>
      <c r="O2092" s="51">
        <f ca="1">IF($S$1&lt;DATE(2025,10,1)," ",SUMIFS('2025数据'!$BX$3:$BX$181,'2025数据'!$AB$3:$AB$181,"&gt;="&amp;DATE(2025,10,1),'2025数据'!$AB$3:$AB$181,"&lt;="&amp;DATE(2025,10,31),'2025数据'!$B$3:$B$181,$E2092)/10000)</f>
        <v>0.231848</v>
      </c>
      <c r="P2092" s="217">
        <f ca="1">IF($S$1&lt;DATE(2025,11,1)," ",SUMIFS('2025数据'!$BX$3:$BX$181,'2025数据'!$AB$3:$AB$181,"&gt;="&amp;DATE(2025,11,1),'2025数据'!$AB$3:$AB$181,"&lt;="&amp;DATE(2025,11,30),'2025数据'!$B$3:$B$181,$E2092)/10000)</f>
        <v>0</v>
      </c>
      <c r="Q2092" s="217">
        <f ca="1">IF($S$1&lt;DATE(2025,12,1)," ",SUMIFS('2025数据'!$BX$3:$BX$181,'2025数据'!$AB$3:$AB$181,"&gt;="&amp;DATE(2025,12,1),'2025数据'!$AB$3:$AB$181,"&lt;="&amp;DATE(2025,12,31),'2025数据'!$B$3:$B$181,$E2092)/10000)</f>
        <v>0</v>
      </c>
    </row>
    <row r="2093" ht="24" customHeight="1" spans="1:17">
      <c r="A2093" s="99" t="s">
        <v>350</v>
      </c>
      <c r="B2093" s="99" t="s">
        <v>299</v>
      </c>
      <c r="C2093" s="99" t="s">
        <v>333</v>
      </c>
      <c r="D2093" s="47" t="s">
        <v>294</v>
      </c>
      <c r="E2093" s="47" t="s">
        <v>81</v>
      </c>
      <c r="F2093" s="51">
        <f ca="1">IF($S$1&lt;DATE(2025,1,1)," ",SUMIFS('2025数据'!$BX$3:$BX$181,'2025数据'!$AB$3:$AB$181,"&gt;="&amp;DATE(2025,1,1),'2025数据'!$AB$3:$AB$181,"&lt;="&amp;DATE(2025,1,31),'2025数据'!$B$3:$B$181,$E2093)/10000)</f>
        <v>0</v>
      </c>
      <c r="G2093" s="51">
        <f ca="1">IF($S$1&lt;DATE(2025,2,1)," ",SUMIFS('2025数据'!$BX$3:$BX$181,'2025数据'!$AB$3:$AB$181,"&gt;="&amp;DATE(2025,2,1),'2025数据'!$AB$3:$AB$181,"&lt;="&amp;DATE(2025,2,28),'2025数据'!$B$3:$B$181,$E2093)/10000)</f>
        <v>0</v>
      </c>
      <c r="H2093" s="51">
        <f ca="1">IF($S$1&lt;DATE(2025,3,1)," ",SUMIFS('2025数据'!$BX$3:$BX$181,'2025数据'!$AB$3:$AB$181,"&gt;="&amp;DATE(2025,3,1),'2025数据'!$AB$3:$AB$181,"&lt;="&amp;DATE(2025,3,31),'2025数据'!$B$3:$B$181,$E2093)/10000)</f>
        <v>0.037366</v>
      </c>
      <c r="I2093" s="51">
        <f ca="1">IF($S$1&lt;DATE(2025,4,1)," ",SUMIFS('2025数据'!$BX$3:$BX$181,'2025数据'!$AB$3:$AB$181,"&gt;="&amp;DATE(2025,4,1),'2025数据'!$AB$3:$AB$181,"&lt;="&amp;DATE(2025,4,30),'2025数据'!$B$3:$B$181,$E2093)/10000)</f>
        <v>0</v>
      </c>
      <c r="J2093" s="51">
        <f ca="1">IF($S$1&lt;DATE(2025,5,1)," ",SUMIFS('2025数据'!$BX$3:$BX$181,'2025数据'!$AB$3:$AB$181,"&gt;="&amp;DATE(2025,5,1),'2025数据'!$AB$3:$AB$181,"&lt;="&amp;DATE(2025,5,31),'2025数据'!$B$3:$B$181,$E2093)/10000)</f>
        <v>0.058534</v>
      </c>
      <c r="K2093" s="51">
        <f ca="1">IF($S$1&lt;DATE(2025,6,1)," ",SUMIFS('2025数据'!$BX$3:$BX$181,'2025数据'!$AB$3:$AB$181,"&gt;="&amp;DATE(2025,6,1),'2025数据'!$AB$3:$AB$181,"&lt;="&amp;DATE(2025,6,30),'2025数据'!$B$3:$B$181,$E2093)/10000)</f>
        <v>0</v>
      </c>
      <c r="L2093" s="51">
        <f ca="1">IF($S$1&lt;DATE(2025,7,1)," ",SUMIFS('2025数据'!$BX$3:$BX$181,'2025数据'!$AB$3:$AB$181,"&gt;="&amp;DATE(2025,7,1),'2025数据'!$AB$3:$AB$181,"&lt;="&amp;DATE(2025,7,31),'2025数据'!$B$3:$B$181,$E2093)/10000)</f>
        <v>0.222082</v>
      </c>
      <c r="M2093" s="51">
        <f ca="1">IF($S$1&lt;DATE(2025,8,1)," ",SUMIFS('2025数据'!$BX$3:$BX$181,'2025数据'!$AB$3:$AB$181,"&gt;="&amp;DATE(2025,8,1),'2025数据'!$AB$3:$AB$181,"&lt;="&amp;DATE(2025,8,31),'2025数据'!$B$3:$B$181,$E2093)/10000)</f>
        <v>0</v>
      </c>
      <c r="N2093" s="51">
        <f ca="1">IF($S$1&lt;DATE(2025,9,1)," ",SUMIFS('2025数据'!$BX$3:$BX$181,'2025数据'!$AB$3:$AB$181,"&gt;="&amp;DATE(2025,9,1),'2025数据'!$AB$3:$AB$181,"&lt;="&amp;DATE(2025,9,30),'2025数据'!$B$3:$B$181,$E2093)/10000)</f>
        <v>0</v>
      </c>
      <c r="O2093" s="51">
        <f ca="1">IF($S$1&lt;DATE(2025,10,1)," ",SUMIFS('2025数据'!$BX$3:$BX$181,'2025数据'!$AB$3:$AB$181,"&gt;="&amp;DATE(2025,10,1),'2025数据'!$AB$3:$AB$181,"&lt;="&amp;DATE(2025,10,31),'2025数据'!$B$3:$B$181,$E2093)/10000)</f>
        <v>0</v>
      </c>
      <c r="P2093" s="217">
        <f ca="1">IF($S$1&lt;DATE(2025,11,1)," ",SUMIFS('2025数据'!$BX$3:$BX$181,'2025数据'!$AB$3:$AB$181,"&gt;="&amp;DATE(2025,11,1),'2025数据'!$AB$3:$AB$181,"&lt;="&amp;DATE(2025,11,30),'2025数据'!$B$3:$B$181,$E2093)/10000)</f>
        <v>0</v>
      </c>
      <c r="Q2093" s="217">
        <f ca="1">IF($S$1&lt;DATE(2025,12,1)," ",SUMIFS('2025数据'!$BX$3:$BX$181,'2025数据'!$AB$3:$AB$181,"&gt;="&amp;DATE(2025,12,1),'2025数据'!$AB$3:$AB$181,"&lt;="&amp;DATE(2025,12,31),'2025数据'!$B$3:$B$181,$E2093)/10000)</f>
        <v>0</v>
      </c>
    </row>
    <row r="2094" ht="24" customHeight="1" spans="1:17">
      <c r="A2094" s="99" t="s">
        <v>350</v>
      </c>
      <c r="B2094" s="99" t="s">
        <v>299</v>
      </c>
      <c r="C2094" s="99" t="s">
        <v>333</v>
      </c>
      <c r="D2094" s="47" t="s">
        <v>294</v>
      </c>
      <c r="E2094" s="47" t="s">
        <v>96</v>
      </c>
      <c r="F2094" s="51">
        <f ca="1">IF($S$1&lt;DATE(2025,1,1)," ",SUMIFS('2025数据'!$BX$3:$BX$181,'2025数据'!$AB$3:$AB$181,"&gt;="&amp;DATE(2025,1,1),'2025数据'!$AB$3:$AB$181,"&lt;="&amp;DATE(2025,1,31),'2025数据'!$B$3:$B$181,$E2094)/10000)</f>
        <v>0</v>
      </c>
      <c r="G2094" s="51">
        <f ca="1">IF($S$1&lt;DATE(2025,2,1)," ",SUMIFS('2025数据'!$BX$3:$BX$181,'2025数据'!$AB$3:$AB$181,"&gt;="&amp;DATE(2025,2,1),'2025数据'!$AB$3:$AB$181,"&lt;="&amp;DATE(2025,2,28),'2025数据'!$B$3:$B$181,$E2094)/10000)</f>
        <v>0</v>
      </c>
      <c r="H2094" s="51">
        <f ca="1">IF($S$1&lt;DATE(2025,3,1)," ",SUMIFS('2025数据'!$BX$3:$BX$181,'2025数据'!$AB$3:$AB$181,"&gt;="&amp;DATE(2025,3,1),'2025数据'!$AB$3:$AB$181,"&lt;="&amp;DATE(2025,3,31),'2025数据'!$B$3:$B$181,$E2094)/10000)</f>
        <v>0.102654</v>
      </c>
      <c r="I2094" s="51">
        <f ca="1">IF($S$1&lt;DATE(2025,4,1)," ",SUMIFS('2025数据'!$BX$3:$BX$181,'2025数据'!$AB$3:$AB$181,"&gt;="&amp;DATE(2025,4,1),'2025数据'!$AB$3:$AB$181,"&lt;="&amp;DATE(2025,4,30),'2025数据'!$B$3:$B$181,$E2094)/10000)</f>
        <v>0</v>
      </c>
      <c r="J2094" s="51">
        <f ca="1">IF($S$1&lt;DATE(2025,5,1)," ",SUMIFS('2025数据'!$BX$3:$BX$181,'2025数据'!$AB$3:$AB$181,"&gt;="&amp;DATE(2025,5,1),'2025数据'!$AB$3:$AB$181,"&lt;="&amp;DATE(2025,5,31),'2025数据'!$B$3:$B$181,$E2094)/10000)</f>
        <v>0</v>
      </c>
      <c r="K2094" s="51">
        <f ca="1">IF($S$1&lt;DATE(2025,6,1)," ",SUMIFS('2025数据'!$BX$3:$BX$181,'2025数据'!$AB$3:$AB$181,"&gt;="&amp;DATE(2025,6,1),'2025数据'!$AB$3:$AB$181,"&lt;="&amp;DATE(2025,6,30),'2025数据'!$B$3:$B$181,$E2094)/10000)</f>
        <v>0</v>
      </c>
      <c r="L2094" s="51">
        <f ca="1">IF($S$1&lt;DATE(2025,7,1)," ",SUMIFS('2025数据'!$BX$3:$BX$181,'2025数据'!$AB$3:$AB$181,"&gt;="&amp;DATE(2025,7,1),'2025数据'!$AB$3:$AB$181,"&lt;="&amp;DATE(2025,7,31),'2025数据'!$B$3:$B$181,$E2094)/10000)</f>
        <v>0</v>
      </c>
      <c r="M2094" s="51">
        <f ca="1">IF($S$1&lt;DATE(2025,8,1)," ",SUMIFS('2025数据'!$BX$3:$BX$181,'2025数据'!$AB$3:$AB$181,"&gt;="&amp;DATE(2025,8,1),'2025数据'!$AB$3:$AB$181,"&lt;="&amp;DATE(2025,8,31),'2025数据'!$B$3:$B$181,$E2094)/10000)</f>
        <v>0</v>
      </c>
      <c r="N2094" s="51">
        <f ca="1">IF($S$1&lt;DATE(2025,9,1)," ",SUMIFS('2025数据'!$BX$3:$BX$181,'2025数据'!$AB$3:$AB$181,"&gt;="&amp;DATE(2025,9,1),'2025数据'!$AB$3:$AB$181,"&lt;="&amp;DATE(2025,9,30),'2025数据'!$B$3:$B$181,$E2094)/10000)</f>
        <v>0</v>
      </c>
      <c r="O2094" s="51">
        <f ca="1">IF($S$1&lt;DATE(2025,10,1)," ",SUMIFS('2025数据'!$BX$3:$BX$181,'2025数据'!$AB$3:$AB$181,"&gt;="&amp;DATE(2025,10,1),'2025数据'!$AB$3:$AB$181,"&lt;="&amp;DATE(2025,10,31),'2025数据'!$B$3:$B$181,$E2094)/10000)</f>
        <v>0</v>
      </c>
      <c r="P2094" s="217">
        <f ca="1">IF($S$1&lt;DATE(2025,11,1)," ",SUMIFS('2025数据'!$BX$3:$BX$181,'2025数据'!$AB$3:$AB$181,"&gt;="&amp;DATE(2025,11,1),'2025数据'!$AB$3:$AB$181,"&lt;="&amp;DATE(2025,11,30),'2025数据'!$B$3:$B$181,$E2094)/10000)</f>
        <v>0</v>
      </c>
      <c r="Q2094" s="217">
        <f ca="1">IF($S$1&lt;DATE(2025,12,1)," ",SUMIFS('2025数据'!$BX$3:$BX$181,'2025数据'!$AB$3:$AB$181,"&gt;="&amp;DATE(2025,12,1),'2025数据'!$AB$3:$AB$181,"&lt;="&amp;DATE(2025,12,31),'2025数据'!$B$3:$B$181,$E2094)/10000)</f>
        <v>0</v>
      </c>
    </row>
    <row r="2095" ht="24" customHeight="1" spans="1:17">
      <c r="A2095" s="99" t="s">
        <v>350</v>
      </c>
      <c r="B2095" s="99" t="s">
        <v>299</v>
      </c>
      <c r="C2095" s="99" t="s">
        <v>333</v>
      </c>
      <c r="D2095" s="47" t="s">
        <v>294</v>
      </c>
      <c r="E2095" s="47" t="s">
        <v>160</v>
      </c>
      <c r="F2095" s="51">
        <f ca="1">IF($S$1&lt;DATE(2025,1,1)," ",SUMIFS('2025数据'!$BX$3:$BX$181,'2025数据'!$AB$3:$AB$181,"&gt;="&amp;DATE(2025,1,1),'2025数据'!$AB$3:$AB$181,"&lt;="&amp;DATE(2025,1,31),'2025数据'!$B$3:$B$181,$E2095)/10000)</f>
        <v>0</v>
      </c>
      <c r="G2095" s="51">
        <f ca="1">IF($S$1&lt;DATE(2025,2,1)," ",SUMIFS('2025数据'!$BX$3:$BX$181,'2025数据'!$AB$3:$AB$181,"&gt;="&amp;DATE(2025,2,1),'2025数据'!$AB$3:$AB$181,"&lt;="&amp;DATE(2025,2,28),'2025数据'!$B$3:$B$181,$E2095)/10000)</f>
        <v>0</v>
      </c>
      <c r="H2095" s="51">
        <f ca="1">IF($S$1&lt;DATE(2025,3,1)," ",SUMIFS('2025数据'!$BX$3:$BX$181,'2025数据'!$AB$3:$AB$181,"&gt;="&amp;DATE(2025,3,1),'2025数据'!$AB$3:$AB$181,"&lt;="&amp;DATE(2025,3,31),'2025数据'!$B$3:$B$181,$E2095)/10000)</f>
        <v>0</v>
      </c>
      <c r="I2095" s="51">
        <f ca="1">IF($S$1&lt;DATE(2025,4,1)," ",SUMIFS('2025数据'!$BX$3:$BX$181,'2025数据'!$AB$3:$AB$181,"&gt;="&amp;DATE(2025,4,1),'2025数据'!$AB$3:$AB$181,"&lt;="&amp;DATE(2025,4,30),'2025数据'!$B$3:$B$181,$E2095)/10000)</f>
        <v>0</v>
      </c>
      <c r="J2095" s="51">
        <f ca="1">IF($S$1&lt;DATE(2025,5,1)," ",SUMIFS('2025数据'!$BX$3:$BX$181,'2025数据'!$AB$3:$AB$181,"&gt;="&amp;DATE(2025,5,1),'2025数据'!$AB$3:$AB$181,"&lt;="&amp;DATE(2025,5,31),'2025数据'!$B$3:$B$181,$E2095)/10000)</f>
        <v>0</v>
      </c>
      <c r="K2095" s="51">
        <f ca="1">IF($S$1&lt;DATE(2025,6,1)," ",SUMIFS('2025数据'!$BX$3:$BX$181,'2025数据'!$AB$3:$AB$181,"&gt;="&amp;DATE(2025,6,1),'2025数据'!$AB$3:$AB$181,"&lt;="&amp;DATE(2025,6,30),'2025数据'!$B$3:$B$181,$E2095)/10000)</f>
        <v>0</v>
      </c>
      <c r="L2095" s="51">
        <f ca="1">IF($S$1&lt;DATE(2025,7,1)," ",SUMIFS('2025数据'!$BX$3:$BX$181,'2025数据'!$AB$3:$AB$181,"&gt;="&amp;DATE(2025,7,1),'2025数据'!$AB$3:$AB$181,"&lt;="&amp;DATE(2025,7,31),'2025数据'!$B$3:$B$181,$E2095)/10000)</f>
        <v>0</v>
      </c>
      <c r="M2095" s="51">
        <f ca="1">IF($S$1&lt;DATE(2025,8,1)," ",SUMIFS('2025数据'!$BX$3:$BX$181,'2025数据'!$AB$3:$AB$181,"&gt;="&amp;DATE(2025,8,1),'2025数据'!$AB$3:$AB$181,"&lt;="&amp;DATE(2025,8,31),'2025数据'!$B$3:$B$181,$E2095)/10000)</f>
        <v>0</v>
      </c>
      <c r="N2095" s="51">
        <f ca="1">IF($S$1&lt;DATE(2025,9,1)," ",SUMIFS('2025数据'!$BX$3:$BX$181,'2025数据'!$AB$3:$AB$181,"&gt;="&amp;DATE(2025,9,1),'2025数据'!$AB$3:$AB$181,"&lt;="&amp;DATE(2025,9,30),'2025数据'!$B$3:$B$181,$E2095)/10000)</f>
        <v>0</v>
      </c>
      <c r="O2095" s="51">
        <f ca="1">IF($S$1&lt;DATE(2025,10,1)," ",SUMIFS('2025数据'!$BX$3:$BX$181,'2025数据'!$AB$3:$AB$181,"&gt;="&amp;DATE(2025,10,1),'2025数据'!$AB$3:$AB$181,"&lt;="&amp;DATE(2025,10,31),'2025数据'!$B$3:$B$181,$E2095)/10000)</f>
        <v>0</v>
      </c>
      <c r="P2095" s="217">
        <f ca="1">IF($S$1&lt;DATE(2025,11,1)," ",SUMIFS('2025数据'!$BX$3:$BX$181,'2025数据'!$AB$3:$AB$181,"&gt;="&amp;DATE(2025,11,1),'2025数据'!$AB$3:$AB$181,"&lt;="&amp;DATE(2025,11,30),'2025数据'!$B$3:$B$181,$E2095)/10000)</f>
        <v>0</v>
      </c>
      <c r="Q2095" s="217">
        <f ca="1">IF($S$1&lt;DATE(2025,12,1)," ",SUMIFS('2025数据'!$BX$3:$BX$181,'2025数据'!$AB$3:$AB$181,"&gt;="&amp;DATE(2025,12,1),'2025数据'!$AB$3:$AB$181,"&lt;="&amp;DATE(2025,12,31),'2025数据'!$B$3:$B$181,$E2095)/10000)</f>
        <v>0</v>
      </c>
    </row>
    <row r="2096" ht="24" customHeight="1" spans="1:17">
      <c r="A2096" s="99" t="s">
        <v>350</v>
      </c>
      <c r="B2096" s="99" t="s">
        <v>299</v>
      </c>
      <c r="C2096" s="99" t="s">
        <v>334</v>
      </c>
      <c r="D2096" s="213" t="s">
        <v>292</v>
      </c>
      <c r="E2096" s="213" t="s">
        <v>300</v>
      </c>
      <c r="F2096" s="216">
        <f ca="1">IF($S$1&lt;DATE(2025,1,1)," ",SUM(F2097:F2101))</f>
        <v>0.033149</v>
      </c>
      <c r="G2096" s="216">
        <f ca="1">IF($S$1&lt;DATE(2025,2,1)," ",SUM(G2097:G2101))</f>
        <v>0.04291</v>
      </c>
      <c r="H2096" s="216">
        <f ca="1">IF($S$1&lt;DATE(2025,3,1)," ",SUM(H2097:H2101))</f>
        <v>0.54185521</v>
      </c>
      <c r="I2096" s="216">
        <f ca="1">IF($S$1&lt;DATE(2025,4,1)," ",SUM(I2097:I2101))</f>
        <v>0.079298</v>
      </c>
      <c r="J2096" s="216">
        <f ca="1">IF($S$1&lt;DATE(2025,5,1)," ",SUM(J2097:J2101))</f>
        <v>0.087908</v>
      </c>
      <c r="K2096" s="216">
        <f ca="1">IF($S$1&lt;DATE(2025,6,1)," ",SUM(K2097:K2101))</f>
        <v>0.424496</v>
      </c>
      <c r="L2096" s="216">
        <f ca="1">IF($S$1&lt;DATE(2025,7,1)," ",SUM(L2097:L2101))</f>
        <v>0.154561</v>
      </c>
      <c r="M2096" s="216">
        <f ca="1">IF($S$1&lt;DATE(2025,8,1)," ",SUM(M2097:M2101))</f>
        <v>0.588806</v>
      </c>
      <c r="N2096" s="216">
        <f ca="1">IF($S$1&lt;DATE(2025,9,1)," ",SUM(N2097:N2101))</f>
        <v>0</v>
      </c>
      <c r="O2096" s="216">
        <f ca="1">IF($S$1&lt;DATE(2025,10,1)," ",SUM(O2097:O2101))</f>
        <v>0.562155</v>
      </c>
      <c r="P2096" s="216">
        <f ca="1">IF($S$1&lt;DATE(2025,11,1)," ",SUM(P2097:P2101))</f>
        <v>0.172733</v>
      </c>
      <c r="Q2096" s="216">
        <f ca="1">IF($S$1&lt;DATE(2025,12,1)," ",SUM(Q2097:Q2101))</f>
        <v>0</v>
      </c>
    </row>
    <row r="2097" ht="24" customHeight="1" spans="1:17">
      <c r="A2097" s="99" t="s">
        <v>350</v>
      </c>
      <c r="B2097" s="99" t="s">
        <v>299</v>
      </c>
      <c r="C2097" s="99" t="s">
        <v>334</v>
      </c>
      <c r="D2097" s="214" t="s">
        <v>294</v>
      </c>
      <c r="E2097" s="214" t="s">
        <v>93</v>
      </c>
      <c r="F2097" s="51">
        <f ca="1">IF($S$1&lt;DATE(2025,1,1)," ",SUMIFS('2025数据'!$BW$3:$BW$181,'2025数据'!$AB$3:$AB$181,"&gt;="&amp;DATE(2025,1,1),'2025数据'!$AB$3:$AB$181,"&lt;="&amp;DATE(2025,1,31),'2025数据'!$B$3:$B$181,$E2097)/10000)</f>
        <v>0</v>
      </c>
      <c r="G2097" s="51">
        <f ca="1">IF($S$1&lt;DATE(2025,2,1)," ",SUMIFS('2025数据'!$BW$3:$BW$181,'2025数据'!$AB$3:$AB$181,"&gt;="&amp;DATE(2025,2,1),'2025数据'!$AB$3:$AB$181,"&lt;="&amp;DATE(2025,2,28),'2025数据'!$B$3:$B$181,$E2097)/10000)</f>
        <v>0.04291</v>
      </c>
      <c r="H2097" s="51">
        <f ca="1">IF($S$1&lt;DATE(2025,3,1)," ",SUMIFS('2025数据'!$BW$3:$BW$181,'2025数据'!$AB$3:$AB$181,"&gt;="&amp;DATE(2025,3,1),'2025数据'!$AB$3:$AB$181,"&lt;="&amp;DATE(2025,3,31),'2025数据'!$B$3:$B$181,$E2097)/10000)</f>
        <v>0.43357021</v>
      </c>
      <c r="I2097" s="51">
        <f ca="1">IF($S$1&lt;DATE(2025,4,1)," ",SUMIFS('2025数据'!$BW$3:$BW$181,'2025数据'!$AB$3:$AB$181,"&gt;="&amp;DATE(2025,4,1),'2025数据'!$AB$3:$AB$181,"&lt;="&amp;DATE(2025,4,30),'2025数据'!$B$3:$B$181,$E2097)/10000)</f>
        <v>0</v>
      </c>
      <c r="J2097" s="51">
        <f ca="1">IF($S$1&lt;DATE(2025,5,1)," ",SUMIFS('2025数据'!$BW$3:$BW$181,'2025数据'!$AB$3:$AB$181,"&gt;="&amp;DATE(2025,5,1),'2025数据'!$AB$3:$AB$181,"&lt;="&amp;DATE(2025,5,31),'2025数据'!$B$3:$B$181,$E2097)/10000)</f>
        <v>0.023701</v>
      </c>
      <c r="K2097" s="51">
        <f ca="1">IF($S$1&lt;DATE(2025,6,1)," ",SUMIFS('2025数据'!$BW$3:$BW$181,'2025数据'!$AB$3:$AB$181,"&gt;="&amp;DATE(2025,6,1),'2025数据'!$AB$3:$AB$181,"&lt;="&amp;DATE(2025,6,30),'2025数据'!$B$3:$B$181,$E2097)/10000)</f>
        <v>0.424496</v>
      </c>
      <c r="L2097" s="51">
        <f ca="1">IF($S$1&lt;DATE(2025,7,1)," ",SUMIFS('2025数据'!$BW$3:$BW$181,'2025数据'!$AB$3:$AB$181,"&gt;="&amp;DATE(2025,7,1),'2025数据'!$AB$3:$AB$181,"&lt;="&amp;DATE(2025,7,31),'2025数据'!$B$3:$B$181,$E2097)/10000)</f>
        <v>0</v>
      </c>
      <c r="M2097" s="51">
        <f ca="1">IF($S$1&lt;DATE(2025,8,1)," ",SUMIFS('2025数据'!$BW$3:$BW$181,'2025数据'!$AB$3:$AB$181,"&gt;="&amp;DATE(2025,8,1),'2025数据'!$AB$3:$AB$181,"&lt;="&amp;DATE(2025,8,31),'2025数据'!$B$3:$B$181,$E2097)/10000)</f>
        <v>0.447519</v>
      </c>
      <c r="N2097" s="51">
        <f ca="1">IF($S$1&lt;DATE(2025,9,1)," ",SUMIFS('2025数据'!$BW$3:$BW$181,'2025数据'!$AB$3:$AB$181,"&gt;="&amp;DATE(2025,9,1),'2025数据'!$AB$3:$AB$181,"&lt;="&amp;DATE(2025,9,30),'2025数据'!$B$3:$B$181,$E2097)/10000)</f>
        <v>0</v>
      </c>
      <c r="O2097" s="51">
        <f ca="1">IF($S$1&lt;DATE(2025,10,1)," ",SUMIFS('2025数据'!$BW$3:$BW$181,'2025数据'!$AB$3:$AB$181,"&gt;="&amp;DATE(2025,10,1),'2025数据'!$AB$3:$AB$181,"&lt;="&amp;DATE(2025,10,31),'2025数据'!$B$3:$B$181,$E2097)/10000)</f>
        <v>0.319764</v>
      </c>
      <c r="P2097" s="217">
        <f ca="1">IF($S$1&lt;DATE(2025,11,1)," ",SUMIFS('2025数据'!$BW$3:$BW$181,'2025数据'!$AB$3:$AB$181,"&gt;="&amp;DATE(2025,11,1),'2025数据'!$AB$3:$AB$181,"&lt;="&amp;DATE(2025,11,30),'2025数据'!$B$3:$B$181,$E2097)/10000)</f>
        <v>0.172733</v>
      </c>
      <c r="Q2097" s="217">
        <f ca="1">IF($S$1&lt;DATE(2025,12,1)," ",SUMIFS('2025数据'!$BW$3:$BW$181,'2025数据'!$AB$3:$AB$181,"&gt;="&amp;DATE(2025,12,1),'2025数据'!$AB$3:$AB$181,"&lt;="&amp;DATE(2025,12,31),'2025数据'!$B$3:$B$181,$E2097)/10000)</f>
        <v>0</v>
      </c>
    </row>
    <row r="2098" ht="24" customHeight="1" spans="1:17">
      <c r="A2098" s="99" t="s">
        <v>350</v>
      </c>
      <c r="B2098" s="99" t="s">
        <v>299</v>
      </c>
      <c r="C2098" s="99" t="s">
        <v>334</v>
      </c>
      <c r="D2098" s="214" t="s">
        <v>294</v>
      </c>
      <c r="E2098" s="214" t="s">
        <v>85</v>
      </c>
      <c r="F2098" s="51">
        <f ca="1">IF($S$1&lt;DATE(2025,1,1)," ",SUMIFS('2025数据'!$BW$3:$BW$181,'2025数据'!$AB$3:$AB$181,"&gt;="&amp;DATE(2025,1,1),'2025数据'!$AB$3:$AB$181,"&lt;="&amp;DATE(2025,1,31),'2025数据'!$B$3:$B$181,$E2098)/10000)</f>
        <v>0.033149</v>
      </c>
      <c r="G2098" s="51">
        <f ca="1">IF($S$1&lt;DATE(2025,2,1)," ",SUMIFS('2025数据'!$BW$3:$BW$181,'2025数据'!$AB$3:$AB$181,"&gt;="&amp;DATE(2025,2,1),'2025数据'!$AB$3:$AB$181,"&lt;="&amp;DATE(2025,2,28),'2025数据'!$B$3:$B$181,$E2098)/10000)</f>
        <v>0</v>
      </c>
      <c r="H2098" s="51">
        <f ca="1">IF($S$1&lt;DATE(2025,3,1)," ",SUMIFS('2025数据'!$BW$3:$BW$181,'2025数据'!$AB$3:$AB$181,"&gt;="&amp;DATE(2025,3,1),'2025数据'!$AB$3:$AB$181,"&lt;="&amp;DATE(2025,3,31),'2025数据'!$B$3:$B$181,$E2098)/10000)</f>
        <v>0</v>
      </c>
      <c r="I2098" s="51">
        <f ca="1">IF($S$1&lt;DATE(2025,4,1)," ",SUMIFS('2025数据'!$BW$3:$BW$181,'2025数据'!$AB$3:$AB$181,"&gt;="&amp;DATE(2025,4,1),'2025数据'!$AB$3:$AB$181,"&lt;="&amp;DATE(2025,4,30),'2025数据'!$B$3:$B$181,$E2098)/10000)</f>
        <v>0.079298</v>
      </c>
      <c r="J2098" s="51">
        <f ca="1">IF($S$1&lt;DATE(2025,5,1)," ",SUMIFS('2025数据'!$BW$3:$BW$181,'2025数据'!$AB$3:$AB$181,"&gt;="&amp;DATE(2025,5,1),'2025数据'!$AB$3:$AB$181,"&lt;="&amp;DATE(2025,5,31),'2025数据'!$B$3:$B$181,$E2098)/10000)</f>
        <v>0</v>
      </c>
      <c r="K2098" s="51">
        <f ca="1">IF($S$1&lt;DATE(2025,6,1)," ",SUMIFS('2025数据'!$BW$3:$BW$181,'2025数据'!$AB$3:$AB$181,"&gt;="&amp;DATE(2025,6,1),'2025数据'!$AB$3:$AB$181,"&lt;="&amp;DATE(2025,6,30),'2025数据'!$B$3:$B$181,$E2098)/10000)</f>
        <v>0</v>
      </c>
      <c r="L2098" s="51">
        <f ca="1">IF($S$1&lt;DATE(2025,7,1)," ",SUMIFS('2025数据'!$BW$3:$BW$181,'2025数据'!$AB$3:$AB$181,"&gt;="&amp;DATE(2025,7,1),'2025数据'!$AB$3:$AB$181,"&lt;="&amp;DATE(2025,7,31),'2025数据'!$B$3:$B$181,$E2098)/10000)</f>
        <v>0</v>
      </c>
      <c r="M2098" s="51">
        <f ca="1">IF($S$1&lt;DATE(2025,8,1)," ",SUMIFS('2025数据'!$BW$3:$BW$181,'2025数据'!$AB$3:$AB$181,"&gt;="&amp;DATE(2025,8,1),'2025数据'!$AB$3:$AB$181,"&lt;="&amp;DATE(2025,8,31),'2025数据'!$B$3:$B$181,$E2098)/10000)</f>
        <v>0.141287</v>
      </c>
      <c r="N2098" s="51">
        <f ca="1">IF($S$1&lt;DATE(2025,9,1)," ",SUMIFS('2025数据'!$BW$3:$BW$181,'2025数据'!$AB$3:$AB$181,"&gt;="&amp;DATE(2025,9,1),'2025数据'!$AB$3:$AB$181,"&lt;="&amp;DATE(2025,9,30),'2025数据'!$B$3:$B$181,$E2098)/10000)</f>
        <v>0</v>
      </c>
      <c r="O2098" s="51">
        <f ca="1">IF($S$1&lt;DATE(2025,10,1)," ",SUMIFS('2025数据'!$BW$3:$BW$181,'2025数据'!$AB$3:$AB$181,"&gt;="&amp;DATE(2025,10,1),'2025数据'!$AB$3:$AB$181,"&lt;="&amp;DATE(2025,10,31),'2025数据'!$B$3:$B$181,$E2098)/10000)</f>
        <v>0.242391</v>
      </c>
      <c r="P2098" s="217">
        <f ca="1">IF($S$1&lt;DATE(2025,11,1)," ",SUMIFS('2025数据'!$BW$3:$BW$181,'2025数据'!$AB$3:$AB$181,"&gt;="&amp;DATE(2025,11,1),'2025数据'!$AB$3:$AB$181,"&lt;="&amp;DATE(2025,11,30),'2025数据'!$B$3:$B$181,$E2098)/10000)</f>
        <v>0</v>
      </c>
      <c r="Q2098" s="217">
        <f ca="1">IF($S$1&lt;DATE(2025,12,1)," ",SUMIFS('2025数据'!$BW$3:$BW$181,'2025数据'!$AB$3:$AB$181,"&gt;="&amp;DATE(2025,12,1),'2025数据'!$AB$3:$AB$181,"&lt;="&amp;DATE(2025,12,31),'2025数据'!$B$3:$B$181,$E2098)/10000)</f>
        <v>0</v>
      </c>
    </row>
    <row r="2099" ht="24" customHeight="1" spans="1:17">
      <c r="A2099" s="99" t="s">
        <v>350</v>
      </c>
      <c r="B2099" s="99" t="s">
        <v>299</v>
      </c>
      <c r="C2099" s="99" t="s">
        <v>334</v>
      </c>
      <c r="D2099" s="214" t="s">
        <v>294</v>
      </c>
      <c r="E2099" s="214" t="s">
        <v>81</v>
      </c>
      <c r="F2099" s="51">
        <f ca="1">IF($S$1&lt;DATE(2025,1,1)," ",SUMIFS('2025数据'!$BW$3:$BW$181,'2025数据'!$AB$3:$AB$181,"&gt;="&amp;DATE(2025,1,1),'2025数据'!$AB$3:$AB$181,"&lt;="&amp;DATE(2025,1,31),'2025数据'!$B$3:$B$181,$E2099)/10000)</f>
        <v>0</v>
      </c>
      <c r="G2099" s="51">
        <f ca="1">IF($S$1&lt;DATE(2025,2,1)," ",SUMIFS('2025数据'!$BW$3:$BW$181,'2025数据'!$AB$3:$AB$181,"&gt;="&amp;DATE(2025,2,1),'2025数据'!$AB$3:$AB$181,"&lt;="&amp;DATE(2025,2,28),'2025数据'!$B$3:$B$181,$E2099)/10000)</f>
        <v>0</v>
      </c>
      <c r="H2099" s="51">
        <f ca="1">IF($S$1&lt;DATE(2025,3,1)," ",SUMIFS('2025数据'!$BW$3:$BW$181,'2025数据'!$AB$3:$AB$181,"&gt;="&amp;DATE(2025,3,1),'2025数据'!$AB$3:$AB$181,"&lt;="&amp;DATE(2025,3,31),'2025数据'!$B$3:$B$181,$E2099)/10000)</f>
        <v>0.037366</v>
      </c>
      <c r="I2099" s="51">
        <f ca="1">IF($S$1&lt;DATE(2025,4,1)," ",SUMIFS('2025数据'!$BW$3:$BW$181,'2025数据'!$AB$3:$AB$181,"&gt;="&amp;DATE(2025,4,1),'2025数据'!$AB$3:$AB$181,"&lt;="&amp;DATE(2025,4,30),'2025数据'!$B$3:$B$181,$E2099)/10000)</f>
        <v>0</v>
      </c>
      <c r="J2099" s="51">
        <f ca="1">IF($S$1&lt;DATE(2025,5,1)," ",SUMIFS('2025数据'!$BW$3:$BW$181,'2025数据'!$AB$3:$AB$181,"&gt;="&amp;DATE(2025,5,1),'2025数据'!$AB$3:$AB$181,"&lt;="&amp;DATE(2025,5,31),'2025数据'!$B$3:$B$181,$E2099)/10000)</f>
        <v>0.064207</v>
      </c>
      <c r="K2099" s="51">
        <f ca="1">IF($S$1&lt;DATE(2025,6,1)," ",SUMIFS('2025数据'!$BW$3:$BW$181,'2025数据'!$AB$3:$AB$181,"&gt;="&amp;DATE(2025,6,1),'2025数据'!$AB$3:$AB$181,"&lt;="&amp;DATE(2025,6,30),'2025数据'!$B$3:$B$181,$E2099)/10000)</f>
        <v>0</v>
      </c>
      <c r="L2099" s="51">
        <f ca="1">IF($S$1&lt;DATE(2025,7,1)," ",SUMIFS('2025数据'!$BW$3:$BW$181,'2025数据'!$AB$3:$AB$181,"&gt;="&amp;DATE(2025,7,1),'2025数据'!$AB$3:$AB$181,"&lt;="&amp;DATE(2025,7,31),'2025数据'!$B$3:$B$181,$E2099)/10000)</f>
        <v>0.154561</v>
      </c>
      <c r="M2099" s="51">
        <f ca="1">IF($S$1&lt;DATE(2025,8,1)," ",SUMIFS('2025数据'!$BW$3:$BW$181,'2025数据'!$AB$3:$AB$181,"&gt;="&amp;DATE(2025,8,1),'2025数据'!$AB$3:$AB$181,"&lt;="&amp;DATE(2025,8,31),'2025数据'!$B$3:$B$181,$E2099)/10000)</f>
        <v>0</v>
      </c>
      <c r="N2099" s="51">
        <f ca="1">IF($S$1&lt;DATE(2025,9,1)," ",SUMIFS('2025数据'!$BW$3:$BW$181,'2025数据'!$AB$3:$AB$181,"&gt;="&amp;DATE(2025,9,1),'2025数据'!$AB$3:$AB$181,"&lt;="&amp;DATE(2025,9,30),'2025数据'!$B$3:$B$181,$E2099)/10000)</f>
        <v>0</v>
      </c>
      <c r="O2099" s="51">
        <f ca="1">IF($S$1&lt;DATE(2025,10,1)," ",SUMIFS('2025数据'!$BW$3:$BW$181,'2025数据'!$AB$3:$AB$181,"&gt;="&amp;DATE(2025,10,1),'2025数据'!$AB$3:$AB$181,"&lt;="&amp;DATE(2025,10,31),'2025数据'!$B$3:$B$181,$E2099)/10000)</f>
        <v>0</v>
      </c>
      <c r="P2099" s="217">
        <f ca="1">IF($S$1&lt;DATE(2025,11,1)," ",SUMIFS('2025数据'!$BW$3:$BW$181,'2025数据'!$AB$3:$AB$181,"&gt;="&amp;DATE(2025,11,1),'2025数据'!$AB$3:$AB$181,"&lt;="&amp;DATE(2025,11,30),'2025数据'!$B$3:$B$181,$E2099)/10000)</f>
        <v>0</v>
      </c>
      <c r="Q2099" s="217">
        <f ca="1">IF($S$1&lt;DATE(2025,12,1)," ",SUMIFS('2025数据'!$BW$3:$BW$181,'2025数据'!$AB$3:$AB$181,"&gt;="&amp;DATE(2025,12,1),'2025数据'!$AB$3:$AB$181,"&lt;="&amp;DATE(2025,12,31),'2025数据'!$B$3:$B$181,$E2099)/10000)</f>
        <v>0</v>
      </c>
    </row>
    <row r="2100" ht="24" customHeight="1" spans="1:17">
      <c r="A2100" s="99" t="s">
        <v>350</v>
      </c>
      <c r="B2100" s="99" t="s">
        <v>299</v>
      </c>
      <c r="C2100" s="99" t="s">
        <v>334</v>
      </c>
      <c r="D2100" s="214" t="s">
        <v>294</v>
      </c>
      <c r="E2100" s="214" t="s">
        <v>96</v>
      </c>
      <c r="F2100" s="51">
        <f ca="1">IF($S$1&lt;DATE(2025,1,1)," ",SUMIFS('2025数据'!$BW$3:$BW$181,'2025数据'!$AB$3:$AB$181,"&gt;="&amp;DATE(2025,1,1),'2025数据'!$AB$3:$AB$181,"&lt;="&amp;DATE(2025,1,31),'2025数据'!$B$3:$B$181,$E2100)/10000)</f>
        <v>0</v>
      </c>
      <c r="G2100" s="51">
        <f ca="1">IF($S$1&lt;DATE(2025,2,1)," ",SUMIFS('2025数据'!$BW$3:$BW$181,'2025数据'!$AB$3:$AB$181,"&gt;="&amp;DATE(2025,2,1),'2025数据'!$AB$3:$AB$181,"&lt;="&amp;DATE(2025,2,28),'2025数据'!$B$3:$B$181,$E2100)/10000)</f>
        <v>0</v>
      </c>
      <c r="H2100" s="51">
        <f ca="1">IF($S$1&lt;DATE(2025,3,1)," ",SUMIFS('2025数据'!$BW$3:$BW$181,'2025数据'!$AB$3:$AB$181,"&gt;="&amp;DATE(2025,3,1),'2025数据'!$AB$3:$AB$181,"&lt;="&amp;DATE(2025,3,31),'2025数据'!$B$3:$B$181,$E2100)/10000)</f>
        <v>0.070919</v>
      </c>
      <c r="I2100" s="51">
        <f ca="1">IF($S$1&lt;DATE(2025,4,1)," ",SUMIFS('2025数据'!$BW$3:$BW$181,'2025数据'!$AB$3:$AB$181,"&gt;="&amp;DATE(2025,4,1),'2025数据'!$AB$3:$AB$181,"&lt;="&amp;DATE(2025,4,30),'2025数据'!$B$3:$B$181,$E2100)/10000)</f>
        <v>0</v>
      </c>
      <c r="J2100" s="51">
        <f ca="1">IF($S$1&lt;DATE(2025,5,1)," ",SUMIFS('2025数据'!$BW$3:$BW$181,'2025数据'!$AB$3:$AB$181,"&gt;="&amp;DATE(2025,5,1),'2025数据'!$AB$3:$AB$181,"&lt;="&amp;DATE(2025,5,31),'2025数据'!$B$3:$B$181,$E2100)/10000)</f>
        <v>0</v>
      </c>
      <c r="K2100" s="51">
        <f ca="1">IF($S$1&lt;DATE(2025,6,1)," ",SUMIFS('2025数据'!$BW$3:$BW$181,'2025数据'!$AB$3:$AB$181,"&gt;="&amp;DATE(2025,6,1),'2025数据'!$AB$3:$AB$181,"&lt;="&amp;DATE(2025,6,30),'2025数据'!$B$3:$B$181,$E2100)/10000)</f>
        <v>0</v>
      </c>
      <c r="L2100" s="51">
        <f ca="1">IF($S$1&lt;DATE(2025,7,1)," ",SUMIFS('2025数据'!$BW$3:$BW$181,'2025数据'!$AB$3:$AB$181,"&gt;="&amp;DATE(2025,7,1),'2025数据'!$AB$3:$AB$181,"&lt;="&amp;DATE(2025,7,31),'2025数据'!$B$3:$B$181,$E2100)/10000)</f>
        <v>0</v>
      </c>
      <c r="M2100" s="51">
        <f ca="1">IF($S$1&lt;DATE(2025,8,1)," ",SUMIFS('2025数据'!$BW$3:$BW$181,'2025数据'!$AB$3:$AB$181,"&gt;="&amp;DATE(2025,8,1),'2025数据'!$AB$3:$AB$181,"&lt;="&amp;DATE(2025,8,31),'2025数据'!$B$3:$B$181,$E2100)/10000)</f>
        <v>0</v>
      </c>
      <c r="N2100" s="51">
        <f ca="1">IF($S$1&lt;DATE(2025,9,1)," ",SUMIFS('2025数据'!$BW$3:$BW$181,'2025数据'!$AB$3:$AB$181,"&gt;="&amp;DATE(2025,9,1),'2025数据'!$AB$3:$AB$181,"&lt;="&amp;DATE(2025,9,30),'2025数据'!$B$3:$B$181,$E2100)/10000)</f>
        <v>0</v>
      </c>
      <c r="O2100" s="51">
        <f ca="1">IF($S$1&lt;DATE(2025,10,1)," ",SUMIFS('2025数据'!$BW$3:$BW$181,'2025数据'!$AB$3:$AB$181,"&gt;="&amp;DATE(2025,10,1),'2025数据'!$AB$3:$AB$181,"&lt;="&amp;DATE(2025,10,31),'2025数据'!$B$3:$B$181,$E2100)/10000)</f>
        <v>0</v>
      </c>
      <c r="P2100" s="217">
        <f ca="1">IF($S$1&lt;DATE(2025,11,1)," ",SUMIFS('2025数据'!$BW$3:$BW$181,'2025数据'!$AB$3:$AB$181,"&gt;="&amp;DATE(2025,11,1),'2025数据'!$AB$3:$AB$181,"&lt;="&amp;DATE(2025,11,30),'2025数据'!$B$3:$B$181,$E2100)/10000)</f>
        <v>0</v>
      </c>
      <c r="Q2100" s="217">
        <f ca="1">IF($S$1&lt;DATE(2025,12,1)," ",SUMIFS('2025数据'!$BW$3:$BW$181,'2025数据'!$AB$3:$AB$181,"&gt;="&amp;DATE(2025,12,1),'2025数据'!$AB$3:$AB$181,"&lt;="&amp;DATE(2025,12,31),'2025数据'!$B$3:$B$181,$E2100)/10000)</f>
        <v>0</v>
      </c>
    </row>
    <row r="2101" ht="24" customHeight="1" spans="1:17">
      <c r="A2101" s="99" t="s">
        <v>350</v>
      </c>
      <c r="B2101" s="99" t="s">
        <v>299</v>
      </c>
      <c r="C2101" s="99" t="s">
        <v>334</v>
      </c>
      <c r="D2101" s="214" t="s">
        <v>294</v>
      </c>
      <c r="E2101" s="214" t="s">
        <v>160</v>
      </c>
      <c r="F2101" s="51">
        <f ca="1">IF($S$1&lt;DATE(2025,1,1)," ",SUMIFS('2025数据'!$BW$3:$BW$181,'2025数据'!$AB$3:$AB$181,"&gt;="&amp;DATE(2025,1,1),'2025数据'!$AB$3:$AB$181,"&lt;="&amp;DATE(2025,1,31),'2025数据'!$B$3:$B$181,$E2101)/10000)</f>
        <v>0</v>
      </c>
      <c r="G2101" s="51">
        <f ca="1">IF($S$1&lt;DATE(2025,2,1)," ",SUMIFS('2025数据'!$BW$3:$BW$181,'2025数据'!$AB$3:$AB$181,"&gt;="&amp;DATE(2025,2,1),'2025数据'!$AB$3:$AB$181,"&lt;="&amp;DATE(2025,2,28),'2025数据'!$B$3:$B$181,$E2101)/10000)</f>
        <v>0</v>
      </c>
      <c r="H2101" s="51">
        <f ca="1">IF($S$1&lt;DATE(2025,3,1)," ",SUMIFS('2025数据'!$BW$3:$BW$181,'2025数据'!$AB$3:$AB$181,"&gt;="&amp;DATE(2025,3,1),'2025数据'!$AB$3:$AB$181,"&lt;="&amp;DATE(2025,3,31),'2025数据'!$B$3:$B$181,$E2101)/10000)</f>
        <v>0</v>
      </c>
      <c r="I2101" s="51">
        <f ca="1">IF($S$1&lt;DATE(2025,4,1)," ",SUMIFS('2025数据'!$BW$3:$BW$181,'2025数据'!$AB$3:$AB$181,"&gt;="&amp;DATE(2025,4,1),'2025数据'!$AB$3:$AB$181,"&lt;="&amp;DATE(2025,4,30),'2025数据'!$B$3:$B$181,$E2101)/10000)</f>
        <v>0</v>
      </c>
      <c r="J2101" s="51">
        <f ca="1">IF($S$1&lt;DATE(2025,5,1)," ",SUMIFS('2025数据'!$BW$3:$BW$181,'2025数据'!$AB$3:$AB$181,"&gt;="&amp;DATE(2025,5,1),'2025数据'!$AB$3:$AB$181,"&lt;="&amp;DATE(2025,5,31),'2025数据'!$B$3:$B$181,$E2101)/10000)</f>
        <v>0</v>
      </c>
      <c r="K2101" s="51">
        <f ca="1">IF($S$1&lt;DATE(2025,6,1)," ",SUMIFS('2025数据'!$BW$3:$BW$181,'2025数据'!$AB$3:$AB$181,"&gt;="&amp;DATE(2025,6,1),'2025数据'!$AB$3:$AB$181,"&lt;="&amp;DATE(2025,6,30),'2025数据'!$B$3:$B$181,$E2101)/10000)</f>
        <v>0</v>
      </c>
      <c r="L2101" s="51">
        <f ca="1">IF($S$1&lt;DATE(2025,7,1)," ",SUMIFS('2025数据'!$BW$3:$BW$181,'2025数据'!$AB$3:$AB$181,"&gt;="&amp;DATE(2025,7,1),'2025数据'!$AB$3:$AB$181,"&lt;="&amp;DATE(2025,7,31),'2025数据'!$B$3:$B$181,$E2101)/10000)</f>
        <v>0</v>
      </c>
      <c r="M2101" s="51">
        <f ca="1">IF($S$1&lt;DATE(2025,8,1)," ",SUMIFS('2025数据'!$BW$3:$BW$181,'2025数据'!$AB$3:$AB$181,"&gt;="&amp;DATE(2025,8,1),'2025数据'!$AB$3:$AB$181,"&lt;="&amp;DATE(2025,8,31),'2025数据'!$B$3:$B$181,$E2101)/10000)</f>
        <v>0</v>
      </c>
      <c r="N2101" s="51">
        <f ca="1">IF($S$1&lt;DATE(2025,9,1)," ",SUMIFS('2025数据'!$BW$3:$BW$181,'2025数据'!$AB$3:$AB$181,"&gt;="&amp;DATE(2025,9,1),'2025数据'!$AB$3:$AB$181,"&lt;="&amp;DATE(2025,9,30),'2025数据'!$B$3:$B$181,$E2101)/10000)</f>
        <v>0</v>
      </c>
      <c r="O2101" s="51">
        <f ca="1">IF($S$1&lt;DATE(2025,10,1)," ",SUMIFS('2025数据'!$BW$3:$BW$181,'2025数据'!$AB$3:$AB$181,"&gt;="&amp;DATE(2025,10,1),'2025数据'!$AB$3:$AB$181,"&lt;="&amp;DATE(2025,10,31),'2025数据'!$B$3:$B$181,$E2101)/10000)</f>
        <v>0</v>
      </c>
      <c r="P2101" s="217">
        <f ca="1">IF($S$1&lt;DATE(2025,11,1)," ",SUMIFS('2025数据'!$BW$3:$BW$181,'2025数据'!$AB$3:$AB$181,"&gt;="&amp;DATE(2025,11,1),'2025数据'!$AB$3:$AB$181,"&lt;="&amp;DATE(2025,11,30),'2025数据'!$B$3:$B$181,$E2101)/10000)</f>
        <v>0</v>
      </c>
      <c r="Q2101" s="217">
        <f ca="1">IF($S$1&lt;DATE(2025,12,1)," ",SUMIFS('2025数据'!$BW$3:$BW$181,'2025数据'!$AB$3:$AB$181,"&gt;="&amp;DATE(2025,12,1),'2025数据'!$AB$3:$AB$181,"&lt;="&amp;DATE(2025,12,31),'2025数据'!$B$3:$B$181,$E2101)/10000)</f>
        <v>0</v>
      </c>
    </row>
    <row r="2102" ht="24" customHeight="1" spans="1:17">
      <c r="A2102" s="99" t="s">
        <v>350</v>
      </c>
      <c r="B2102" s="99" t="s">
        <v>299</v>
      </c>
      <c r="C2102" s="99" t="s">
        <v>335</v>
      </c>
      <c r="D2102" s="213" t="s">
        <v>292</v>
      </c>
      <c r="E2102" s="213" t="s">
        <v>300</v>
      </c>
      <c r="F2102" s="216">
        <f ca="1">IF($S$1&lt;DATE(2025,1,1)," ",F2096)</f>
        <v>0.033149</v>
      </c>
      <c r="G2102" s="216">
        <f ca="1">IF($S$1&lt;DATE(2025,2,1)," ",F2102+G2096)</f>
        <v>0.076059</v>
      </c>
      <c r="H2102" s="216">
        <f ca="1">IF($S$1&lt;DATE(2025,3,1)," ",G2102+H2096)</f>
        <v>0.61791421</v>
      </c>
      <c r="I2102" s="216">
        <f ca="1">IF($S$1&lt;DATE(2025,4,1)," ",H2102+I2096)</f>
        <v>0.69721221</v>
      </c>
      <c r="J2102" s="216">
        <f ca="1">IF($S$1&lt;DATE(2025,5,1)," ",I2102+J2096)</f>
        <v>0.78512021</v>
      </c>
      <c r="K2102" s="216">
        <f ca="1">IF($S$1&lt;DATE(2025,6,1)," ",J2102+K2096)</f>
        <v>1.20961621</v>
      </c>
      <c r="L2102" s="216">
        <f ca="1">IF($S$1&lt;DATE(2025,7,1)," ",K2102+L2096)</f>
        <v>1.36417721</v>
      </c>
      <c r="M2102" s="216">
        <f ca="1">IF($S$1&lt;DATE(2025,8,1)," ",L2102+M2096)</f>
        <v>1.95298321</v>
      </c>
      <c r="N2102" s="216">
        <f ca="1">IF($S$1&lt;DATE(2025,9,1)," ",M2102+N2096)</f>
        <v>1.95298321</v>
      </c>
      <c r="O2102" s="216">
        <f ca="1">IF($S$1&lt;DATE(2025,10,1)," ",N2102+O2096)</f>
        <v>2.51513821</v>
      </c>
      <c r="P2102" s="216">
        <f ca="1">IF($S$1&lt;DATE(2025,11,1)," ",O2102+P2096)</f>
        <v>2.68787121</v>
      </c>
      <c r="Q2102" s="216">
        <f ca="1">IF($S$1&lt;DATE(2025,12,1)," ",P2102+Q2096)</f>
        <v>2.68787121</v>
      </c>
    </row>
    <row r="2103" ht="24" customHeight="1" spans="1:17">
      <c r="A2103" s="99" t="s">
        <v>350</v>
      </c>
      <c r="B2103" s="99" t="s">
        <v>299</v>
      </c>
      <c r="C2103" s="99" t="s">
        <v>336</v>
      </c>
      <c r="D2103" s="114" t="s">
        <v>292</v>
      </c>
      <c r="E2103" s="114" t="s">
        <v>300</v>
      </c>
      <c r="F2103" s="215">
        <f ca="1">IF($S$1&lt;DATE(2025,1,1)," ",SUM(F2104:F2110))</f>
        <v>0.027036</v>
      </c>
      <c r="G2103" s="215">
        <f ca="1">IF($S$1&lt;DATE(2025,2,1)," ",SUM(G2104:G2110))</f>
        <v>0.04291</v>
      </c>
      <c r="H2103" s="215">
        <f ca="1">IF($S$1&lt;DATE(2025,3,1)," ",SUM(H2104:H2110))</f>
        <v>0.57629521</v>
      </c>
      <c r="I2103" s="215">
        <f ca="1">IF($S$1&lt;DATE(2025,4,1)," ",SUM(I2104:I2110))</f>
        <v>0.069017</v>
      </c>
      <c r="J2103" s="215">
        <f ca="1">IF($S$1&lt;DATE(2025,5,1)," ",SUM(J2104:J2110))</f>
        <v>0.082235</v>
      </c>
      <c r="K2103" s="215">
        <f ca="1">IF($S$1&lt;DATE(2025,6,1)," ",SUM(K2104:K2110))</f>
        <v>0.356789</v>
      </c>
      <c r="L2103" s="215">
        <f ca="1">IF($S$1&lt;DATE(2025,7,1)," ",SUM(L2104:L2110))</f>
        <v>0.222082</v>
      </c>
      <c r="M2103" s="215">
        <f ca="1">IF($S$1&lt;DATE(2025,8,1)," ",SUM(M2104:M2110))</f>
        <v>0.165263</v>
      </c>
      <c r="N2103" s="215">
        <f ca="1">IF($S$1&lt;DATE(2025,9,1)," ",SUM(N2104:N2110))</f>
        <v>0</v>
      </c>
      <c r="O2103" s="215">
        <f ca="1">IF($S$1&lt;DATE(2025,10,1)," ",SUM(O2104:O2110))</f>
        <v>0.568659</v>
      </c>
      <c r="P2103" s="215">
        <f ca="1">IF($S$1&lt;DATE(2025,11,1)," ",SUM(P2104:P2110))</f>
        <v>0.092012</v>
      </c>
      <c r="Q2103" s="215">
        <f ca="1">IF($S$1&lt;DATE(2025,12,1)," ",SUM(Q2104:Q2110))</f>
        <v>0</v>
      </c>
    </row>
    <row r="2104" ht="24" customHeight="1" spans="1:17">
      <c r="A2104" s="99" t="s">
        <v>350</v>
      </c>
      <c r="B2104" s="99" t="s">
        <v>299</v>
      </c>
      <c r="C2104" s="99" t="s">
        <v>336</v>
      </c>
      <c r="D2104" s="48" t="s">
        <v>31</v>
      </c>
      <c r="E2104" s="48" t="s">
        <v>90</v>
      </c>
      <c r="F2104" s="51">
        <f ca="1">IF($S$1&lt;DATE(2025,1,1)," ",SUMIFS('2025数据'!$BV$3:$BV$181,'2025数据'!$AB$3:$AB$181,"&gt;="&amp;DATE(2025,1,1),'2025数据'!$AB$3:$AB$181,"&lt;="&amp;DATE(2025,1,31),'2025数据'!$AE$3:$AE$181,$E2104)/10000)</f>
        <v>0.027036</v>
      </c>
      <c r="G2104" s="51">
        <f ca="1">IF($S$1&lt;DATE(2025,2,1)," ",SUMIFS('2025数据'!$BV$3:$BV$181,'2025数据'!$AB$3:$AB$181,"&gt;="&amp;DATE(2025,2,1),'2025数据'!$AB$3:$AB$181,"&lt;="&amp;DATE(2025,2,28),'2025数据'!$AE$3:$AE$181,$E2104)/10000)</f>
        <v>0</v>
      </c>
      <c r="H2104" s="51">
        <f ca="1">IF($S$1&lt;DATE(2025,3,1)," ",SUMIFS('2025数据'!$BV$3:$BV$181,'2025数据'!$AB$3:$AB$181,"&gt;="&amp;DATE(2025,3,1),'2025数据'!$AB$3:$AB$181,"&lt;="&amp;DATE(2025,3,31),'2025数据'!$AE$3:$AE$181,$E2104)/10000)</f>
        <v>0</v>
      </c>
      <c r="I2104" s="51">
        <f ca="1">IF($S$1&lt;DATE(2025,4,1)," ",SUMIFS('2025数据'!$BV$3:$BV$181,'2025数据'!$AB$3:$AB$181,"&gt;="&amp;DATE(2025,4,1),'2025数据'!$AB$3:$AB$181,"&lt;="&amp;DATE(2025,4,30),'2025数据'!$AE$3:$AE$181,$E2104)/10000)</f>
        <v>0</v>
      </c>
      <c r="J2104" s="51">
        <f ca="1">IF($S$1&lt;DATE(2025,5,1)," ",SUMIFS('2025数据'!$BV$3:$BV$181,'2025数据'!$AB$3:$AB$181,"&gt;="&amp;DATE(2025,5,1),'2025数据'!$AB$3:$AB$181,"&lt;="&amp;DATE(2025,5,31),'2025数据'!$AE$3:$AE$181,$E2104)/10000)</f>
        <v>0.058534</v>
      </c>
      <c r="K2104" s="51">
        <f ca="1">IF($S$1&lt;DATE(2025,6,1)," ",SUMIFS('2025数据'!$BV$3:$BV$181,'2025数据'!$AB$3:$AB$181,"&gt;="&amp;DATE(2025,6,1),'2025数据'!$AB$3:$AB$181,"&lt;="&amp;DATE(2025,6,30),'2025数据'!$AE$3:$AE$181,$E2104)/10000)</f>
        <v>0</v>
      </c>
      <c r="L2104" s="51">
        <f ca="1">IF($S$1&lt;DATE(2025,7,1)," ",SUMIFS('2025数据'!$BV$3:$BV$181,'2025数据'!$AB$3:$AB$181,"&gt;="&amp;DATE(2025,7,1),'2025数据'!$AB$3:$AB$181,"&lt;="&amp;DATE(2025,7,31),'2025数据'!$AE$3:$AE$181,$E2104)/10000)</f>
        <v>0</v>
      </c>
      <c r="M2104" s="51">
        <f ca="1">IF($S$1&lt;DATE(2025,8,1)," ",SUMIFS('2025数据'!$BV$3:$BV$181,'2025数据'!$AB$3:$AB$181,"&gt;="&amp;DATE(2025,8,1),'2025数据'!$AB$3:$AB$181,"&lt;="&amp;DATE(2025,8,31),'2025数据'!$AE$3:$AE$181,$E2104)/10000)</f>
        <v>0</v>
      </c>
      <c r="N2104" s="51">
        <f ca="1">IF($S$1&lt;DATE(2025,9,1)," ",SUMIFS('2025数据'!$BV$3:$BV$181,'2025数据'!$AB$3:$AB$181,"&gt;="&amp;DATE(2025,9,1),'2025数据'!$AB$3:$AB$181,"&lt;="&amp;DATE(2025,9,30),'2025数据'!$AE$3:$AE$181,$E2104)/10000)</f>
        <v>0</v>
      </c>
      <c r="O2104" s="51">
        <f ca="1">IF($S$1&lt;DATE(2025,10,1)," ",SUMIFS('2025数据'!$BV$3:$BV$181,'2025数据'!$AB$3:$AB$181,"&gt;="&amp;DATE(2025,10,1),'2025数据'!$AB$3:$AB$181,"&lt;="&amp;DATE(2025,10,31),'2025数据'!$AE$3:$AE$181,$E2104)/10000)</f>
        <v>0.051578</v>
      </c>
      <c r="P2104" s="217">
        <f ca="1">IF($S$1&lt;DATE(2025,11,1)," ",SUMIFS('2025数据'!$BV$3:$BV$181,'2025数据'!$AB$3:$AB$181,"&gt;="&amp;DATE(2025,11,1),'2025数据'!$AB$3:$AB$181,"&lt;="&amp;DATE(2025,11,30),'2025数据'!$AE$3:$AE$181,$E2104)/10000)</f>
        <v>0</v>
      </c>
      <c r="Q2104" s="217">
        <f ca="1">IF($S$1&lt;DATE(2025,12,1)," ",SUMIFS('2025数据'!$BV$3:$BV$181,'2025数据'!$AB$3:$AB$181,"&gt;="&amp;DATE(2025,12,1),'2025数据'!$AB$3:$AB$181,"&lt;="&amp;DATE(2025,12,31),'2025数据'!$AE$3:$AE$181,$E2104)/10000)</f>
        <v>0</v>
      </c>
    </row>
    <row r="2105" ht="24" customHeight="1" spans="1:17">
      <c r="A2105" s="99" t="s">
        <v>350</v>
      </c>
      <c r="B2105" s="99" t="s">
        <v>299</v>
      </c>
      <c r="C2105" s="99" t="s">
        <v>336</v>
      </c>
      <c r="D2105" s="48" t="s">
        <v>31</v>
      </c>
      <c r="E2105" s="48" t="s">
        <v>82</v>
      </c>
      <c r="F2105" s="51">
        <f ca="1">IF($S$1&lt;DATE(2025,1,1)," ",SUMIFS('2025数据'!$BV$3:$BV$181,'2025数据'!$AB$3:$AB$181,"&gt;="&amp;DATE(2025,1,1),'2025数据'!$AB$3:$AB$181,"&lt;="&amp;DATE(2025,1,31),'2025数据'!$AE$3:$AE$181,$E2105)/10000)</f>
        <v>0</v>
      </c>
      <c r="G2105" s="51">
        <f ca="1">IF($S$1&lt;DATE(2025,2,1)," ",SUMIFS('2025数据'!$BV$3:$BV$181,'2025数据'!$AB$3:$AB$181,"&gt;="&amp;DATE(2025,2,1),'2025数据'!$AB$3:$AB$181,"&lt;="&amp;DATE(2025,2,28),'2025数据'!$AE$3:$AE$181,$E2105)/10000)</f>
        <v>0.04291</v>
      </c>
      <c r="H2105" s="51">
        <f ca="1">IF($S$1&lt;DATE(2025,3,1)," ",SUMIFS('2025数据'!$BV$3:$BV$181,'2025数据'!$AB$3:$AB$181,"&gt;="&amp;DATE(2025,3,1),'2025数据'!$AB$3:$AB$181,"&lt;="&amp;DATE(2025,3,31),'2025数据'!$AE$3:$AE$181,$E2105)/10000)</f>
        <v>0.037366</v>
      </c>
      <c r="I2105" s="51">
        <f ca="1">IF($S$1&lt;DATE(2025,4,1)," ",SUMIFS('2025数据'!$BV$3:$BV$181,'2025数据'!$AB$3:$AB$181,"&gt;="&amp;DATE(2025,4,1),'2025数据'!$AB$3:$AB$181,"&lt;="&amp;DATE(2025,4,30),'2025数据'!$AE$3:$AE$181,$E2105)/10000)</f>
        <v>0</v>
      </c>
      <c r="J2105" s="51">
        <f ca="1">IF($S$1&lt;DATE(2025,5,1)," ",SUMIFS('2025数据'!$BV$3:$BV$181,'2025数据'!$AB$3:$AB$181,"&gt;="&amp;DATE(2025,5,1),'2025数据'!$AB$3:$AB$181,"&lt;="&amp;DATE(2025,5,31),'2025数据'!$AE$3:$AE$181,$E2105)/10000)</f>
        <v>0</v>
      </c>
      <c r="K2105" s="51">
        <f ca="1">IF($S$1&lt;DATE(2025,6,1)," ",SUMIFS('2025数据'!$BV$3:$BV$181,'2025数据'!$AB$3:$AB$181,"&gt;="&amp;DATE(2025,6,1),'2025数据'!$AB$3:$AB$181,"&lt;="&amp;DATE(2025,6,30),'2025数据'!$AE$3:$AE$181,$E2105)/10000)</f>
        <v>0</v>
      </c>
      <c r="L2105" s="51">
        <f ca="1">IF($S$1&lt;DATE(2025,7,1)," ",SUMIFS('2025数据'!$BV$3:$BV$181,'2025数据'!$AB$3:$AB$181,"&gt;="&amp;DATE(2025,7,1),'2025数据'!$AB$3:$AB$181,"&lt;="&amp;DATE(2025,7,31),'2025数据'!$AE$3:$AE$181,$E2105)/10000)</f>
        <v>0.222082</v>
      </c>
      <c r="M2105" s="51">
        <f ca="1">IF($S$1&lt;DATE(2025,8,1)," ",SUMIFS('2025数据'!$BV$3:$BV$181,'2025数据'!$AB$3:$AB$181,"&gt;="&amp;DATE(2025,8,1),'2025数据'!$AB$3:$AB$181,"&lt;="&amp;DATE(2025,8,31),'2025数据'!$AE$3:$AE$181,$E2105)/10000)</f>
        <v>0.125122</v>
      </c>
      <c r="N2105" s="51">
        <f ca="1">IF($S$1&lt;DATE(2025,9,1)," ",SUMIFS('2025数据'!$BV$3:$BV$181,'2025数据'!$AB$3:$AB$181,"&gt;="&amp;DATE(2025,9,1),'2025数据'!$AB$3:$AB$181,"&lt;="&amp;DATE(2025,9,30),'2025数据'!$AE$3:$AE$181,$E2105)/10000)</f>
        <v>0</v>
      </c>
      <c r="O2105" s="51">
        <f ca="1">IF($S$1&lt;DATE(2025,10,1)," ",SUMIFS('2025数据'!$BV$3:$BV$181,'2025数据'!$AB$3:$AB$181,"&gt;="&amp;DATE(2025,10,1),'2025数据'!$AB$3:$AB$181,"&lt;="&amp;DATE(2025,10,31),'2025数据'!$AE$3:$AE$181,$E2105)/10000)</f>
        <v>0</v>
      </c>
      <c r="P2105" s="217">
        <f ca="1">IF($S$1&lt;DATE(2025,11,1)," ",SUMIFS('2025数据'!$BV$3:$BV$181,'2025数据'!$AB$3:$AB$181,"&gt;="&amp;DATE(2025,11,1),'2025数据'!$AB$3:$AB$181,"&lt;="&amp;DATE(2025,11,30),'2025数据'!$AE$3:$AE$181,$E2105)/10000)</f>
        <v>0</v>
      </c>
      <c r="Q2105" s="217">
        <f ca="1">IF($S$1&lt;DATE(2025,12,1)," ",SUMIFS('2025数据'!$BV$3:$BV$181,'2025数据'!$AB$3:$AB$181,"&gt;="&amp;DATE(2025,12,1),'2025数据'!$AB$3:$AB$181,"&lt;="&amp;DATE(2025,12,31),'2025数据'!$AE$3:$AE$181,$E2105)/10000)</f>
        <v>0</v>
      </c>
    </row>
    <row r="2106" ht="24" customHeight="1" spans="1:17">
      <c r="A2106" s="99" t="s">
        <v>350</v>
      </c>
      <c r="B2106" s="99" t="s">
        <v>299</v>
      </c>
      <c r="C2106" s="99" t="s">
        <v>336</v>
      </c>
      <c r="D2106" s="48" t="s">
        <v>31</v>
      </c>
      <c r="E2106" s="48" t="s">
        <v>86</v>
      </c>
      <c r="F2106" s="51">
        <f ca="1">IF($S$1&lt;DATE(2025,1,1)," ",SUMIFS('2025数据'!$BV$3:$BV$181,'2025数据'!$AB$3:$AB$181,"&gt;="&amp;DATE(2025,1,1),'2025数据'!$AB$3:$AB$181,"&lt;="&amp;DATE(2025,1,31),'2025数据'!$AE$3:$AE$181,$E2106)/10000)</f>
        <v>0</v>
      </c>
      <c r="G2106" s="51">
        <f ca="1">IF($S$1&lt;DATE(2025,2,1)," ",SUMIFS('2025数据'!$BV$3:$BV$181,'2025数据'!$AB$3:$AB$181,"&gt;="&amp;DATE(2025,2,1),'2025数据'!$AB$3:$AB$181,"&lt;="&amp;DATE(2025,2,28),'2025数据'!$AE$3:$AE$181,$E2106)/10000)</f>
        <v>0</v>
      </c>
      <c r="H2106" s="51">
        <f ca="1">IF($S$1&lt;DATE(2025,3,1)," ",SUMIFS('2025数据'!$BV$3:$BV$181,'2025数据'!$AB$3:$AB$181,"&gt;="&amp;DATE(2025,3,1),'2025数据'!$AB$3:$AB$181,"&lt;="&amp;DATE(2025,3,31),'2025数据'!$AE$3:$AE$181,$E2106)/10000)</f>
        <v>0</v>
      </c>
      <c r="I2106" s="51">
        <f ca="1">IF($S$1&lt;DATE(2025,4,1)," ",SUMIFS('2025数据'!$BV$3:$BV$181,'2025数据'!$AB$3:$AB$181,"&gt;="&amp;DATE(2025,4,1),'2025数据'!$AB$3:$AB$181,"&lt;="&amp;DATE(2025,4,30),'2025数据'!$AE$3:$AE$181,$E2106)/10000)</f>
        <v>0</v>
      </c>
      <c r="J2106" s="51">
        <f ca="1">IF($S$1&lt;DATE(2025,5,1)," ",SUMIFS('2025数据'!$BV$3:$BV$181,'2025数据'!$AB$3:$AB$181,"&gt;="&amp;DATE(2025,5,1),'2025数据'!$AB$3:$AB$181,"&lt;="&amp;DATE(2025,5,31),'2025数据'!$AE$3:$AE$181,$E2106)/10000)</f>
        <v>0</v>
      </c>
      <c r="K2106" s="51">
        <f ca="1">IF($S$1&lt;DATE(2025,6,1)," ",SUMIFS('2025数据'!$BV$3:$BV$181,'2025数据'!$AB$3:$AB$181,"&gt;="&amp;DATE(2025,6,1),'2025数据'!$AB$3:$AB$181,"&lt;="&amp;DATE(2025,6,30),'2025数据'!$AE$3:$AE$181,$E2106)/10000)</f>
        <v>0</v>
      </c>
      <c r="L2106" s="51">
        <f ca="1">IF($S$1&lt;DATE(2025,7,1)," ",SUMIFS('2025数据'!$BV$3:$BV$181,'2025数据'!$AB$3:$AB$181,"&gt;="&amp;DATE(2025,7,1),'2025数据'!$AB$3:$AB$181,"&lt;="&amp;DATE(2025,7,31),'2025数据'!$AE$3:$AE$181,$E2106)/10000)</f>
        <v>0</v>
      </c>
      <c r="M2106" s="51">
        <f ca="1">IF($S$1&lt;DATE(2025,8,1)," ",SUMIFS('2025数据'!$BV$3:$BV$181,'2025数据'!$AB$3:$AB$181,"&gt;="&amp;DATE(2025,8,1),'2025数据'!$AB$3:$AB$181,"&lt;="&amp;DATE(2025,8,31),'2025数据'!$AE$3:$AE$181,$E2106)/10000)</f>
        <v>0</v>
      </c>
      <c r="N2106" s="51">
        <f ca="1">IF($S$1&lt;DATE(2025,9,1)," ",SUMIFS('2025数据'!$BV$3:$BV$181,'2025数据'!$AB$3:$AB$181,"&gt;="&amp;DATE(2025,9,1),'2025数据'!$AB$3:$AB$181,"&lt;="&amp;DATE(2025,9,30),'2025数据'!$AE$3:$AE$181,$E2106)/10000)</f>
        <v>0</v>
      </c>
      <c r="O2106" s="51">
        <f ca="1">IF($S$1&lt;DATE(2025,10,1)," ",SUMIFS('2025数据'!$BV$3:$BV$181,'2025数据'!$AB$3:$AB$181,"&gt;="&amp;DATE(2025,10,1),'2025数据'!$AB$3:$AB$181,"&lt;="&amp;DATE(2025,10,31),'2025数据'!$AE$3:$AE$181,$E2106)/10000)</f>
        <v>0</v>
      </c>
      <c r="P2106" s="217">
        <f ca="1">IF($S$1&lt;DATE(2025,11,1)," ",SUMIFS('2025数据'!$BV$3:$BV$181,'2025数据'!$AB$3:$AB$181,"&gt;="&amp;DATE(2025,11,1),'2025数据'!$AB$3:$AB$181,"&lt;="&amp;DATE(2025,11,30),'2025数据'!$AE$3:$AE$181,$E2106)/10000)</f>
        <v>0</v>
      </c>
      <c r="Q2106" s="217">
        <f ca="1">IF($S$1&lt;DATE(2025,12,1)," ",SUMIFS('2025数据'!$BV$3:$BV$181,'2025数据'!$AB$3:$AB$181,"&gt;="&amp;DATE(2025,12,1),'2025数据'!$AB$3:$AB$181,"&lt;="&amp;DATE(2025,12,31),'2025数据'!$AE$3:$AE$181,$E2106)/10000)</f>
        <v>0</v>
      </c>
    </row>
    <row r="2107" ht="24" customHeight="1" spans="1:17">
      <c r="A2107" s="99" t="s">
        <v>350</v>
      </c>
      <c r="B2107" s="99" t="s">
        <v>299</v>
      </c>
      <c r="C2107" s="99" t="s">
        <v>336</v>
      </c>
      <c r="D2107" s="48" t="s">
        <v>31</v>
      </c>
      <c r="E2107" s="48" t="s">
        <v>97</v>
      </c>
      <c r="F2107" s="51">
        <f ca="1">IF($S$1&lt;DATE(2025,1,1)," ",SUMIFS('2025数据'!$BV$3:$BV$181,'2025数据'!$AB$3:$AB$181,"&gt;="&amp;DATE(2025,1,1),'2025数据'!$AB$3:$AB$181,"&lt;="&amp;DATE(2025,1,31),'2025数据'!$AE$3:$AE$181,$E2107)/10000)</f>
        <v>0</v>
      </c>
      <c r="G2107" s="51">
        <f ca="1">IF($S$1&lt;DATE(2025,2,1)," ",SUMIFS('2025数据'!$BV$3:$BV$181,'2025数据'!$AB$3:$AB$181,"&gt;="&amp;DATE(2025,2,1),'2025数据'!$AB$3:$AB$181,"&lt;="&amp;DATE(2025,2,28),'2025数据'!$AE$3:$AE$181,$E2107)/10000)</f>
        <v>0</v>
      </c>
      <c r="H2107" s="51">
        <f ca="1">IF($S$1&lt;DATE(2025,3,1)," ",SUMIFS('2025数据'!$BV$3:$BV$181,'2025数据'!$AB$3:$AB$181,"&gt;="&amp;DATE(2025,3,1),'2025数据'!$AB$3:$AB$181,"&lt;="&amp;DATE(2025,3,31),'2025数据'!$AE$3:$AE$181,$E2107)/10000)</f>
        <v>0.169938</v>
      </c>
      <c r="I2107" s="51">
        <f ca="1">IF($S$1&lt;DATE(2025,4,1)," ",SUMIFS('2025数据'!$BV$3:$BV$181,'2025数据'!$AB$3:$AB$181,"&gt;="&amp;DATE(2025,4,1),'2025数据'!$AB$3:$AB$181,"&lt;="&amp;DATE(2025,4,30),'2025数据'!$AE$3:$AE$181,$E2107)/10000)</f>
        <v>0</v>
      </c>
      <c r="J2107" s="51">
        <f ca="1">IF($S$1&lt;DATE(2025,5,1)," ",SUMIFS('2025数据'!$BV$3:$BV$181,'2025数据'!$AB$3:$AB$181,"&gt;="&amp;DATE(2025,5,1),'2025数据'!$AB$3:$AB$181,"&lt;="&amp;DATE(2025,5,31),'2025数据'!$AE$3:$AE$181,$E2107)/10000)</f>
        <v>0.023701</v>
      </c>
      <c r="K2107" s="51">
        <f ca="1">IF($S$1&lt;DATE(2025,6,1)," ",SUMIFS('2025数据'!$BV$3:$BV$181,'2025数据'!$AB$3:$AB$181,"&gt;="&amp;DATE(2025,6,1),'2025数据'!$AB$3:$AB$181,"&lt;="&amp;DATE(2025,6,30),'2025数据'!$AE$3:$AE$181,$E2107)/10000)</f>
        <v>0.356789</v>
      </c>
      <c r="L2107" s="51">
        <f ca="1">IF($S$1&lt;DATE(2025,7,1)," ",SUMIFS('2025数据'!$BV$3:$BV$181,'2025数据'!$AB$3:$AB$181,"&gt;="&amp;DATE(2025,7,1),'2025数据'!$AB$3:$AB$181,"&lt;="&amp;DATE(2025,7,31),'2025数据'!$AE$3:$AE$181,$E2107)/10000)</f>
        <v>0</v>
      </c>
      <c r="M2107" s="51">
        <f ca="1">IF($S$1&lt;DATE(2025,8,1)," ",SUMIFS('2025数据'!$BV$3:$BV$181,'2025数据'!$AB$3:$AB$181,"&gt;="&amp;DATE(2025,8,1),'2025数据'!$AB$3:$AB$181,"&lt;="&amp;DATE(2025,8,31),'2025数据'!$AE$3:$AE$181,$E2107)/10000)</f>
        <v>0</v>
      </c>
      <c r="N2107" s="51">
        <f ca="1">IF($S$1&lt;DATE(2025,9,1)," ",SUMIFS('2025数据'!$BV$3:$BV$181,'2025数据'!$AB$3:$AB$181,"&gt;="&amp;DATE(2025,9,1),'2025数据'!$AB$3:$AB$181,"&lt;="&amp;DATE(2025,9,30),'2025数据'!$AE$3:$AE$181,$E2107)/10000)</f>
        <v>0</v>
      </c>
      <c r="O2107" s="51">
        <f ca="1">IF($S$1&lt;DATE(2025,10,1)," ",SUMIFS('2025数据'!$BV$3:$BV$181,'2025数据'!$AB$3:$AB$181,"&gt;="&amp;DATE(2025,10,1),'2025数据'!$AB$3:$AB$181,"&lt;="&amp;DATE(2025,10,31),'2025数据'!$AE$3:$AE$181,$E2107)/10000)</f>
        <v>0</v>
      </c>
      <c r="P2107" s="217">
        <f ca="1">IF($S$1&lt;DATE(2025,11,1)," ",SUMIFS('2025数据'!$BV$3:$BV$181,'2025数据'!$AB$3:$AB$181,"&gt;="&amp;DATE(2025,11,1),'2025数据'!$AB$3:$AB$181,"&lt;="&amp;DATE(2025,11,30),'2025数据'!$AE$3:$AE$181,$E2107)/10000)</f>
        <v>0.092012</v>
      </c>
      <c r="Q2107" s="217">
        <f ca="1">IF($S$1&lt;DATE(2025,12,1)," ",SUMIFS('2025数据'!$BV$3:$BV$181,'2025数据'!$AB$3:$AB$181,"&gt;="&amp;DATE(2025,12,1),'2025数据'!$AB$3:$AB$181,"&lt;="&amp;DATE(2025,12,31),'2025数据'!$AE$3:$AE$181,$E2107)/10000)</f>
        <v>0</v>
      </c>
    </row>
    <row r="2108" ht="24" customHeight="1" spans="1:17">
      <c r="A2108" s="99" t="s">
        <v>350</v>
      </c>
      <c r="B2108" s="99" t="s">
        <v>299</v>
      </c>
      <c r="C2108" s="99" t="s">
        <v>336</v>
      </c>
      <c r="D2108" s="48" t="s">
        <v>31</v>
      </c>
      <c r="E2108" s="48" t="s">
        <v>87</v>
      </c>
      <c r="F2108" s="51">
        <f ca="1">IF($S$1&lt;DATE(2025,1,1)," ",SUMIFS('2025数据'!$BV$3:$BV$181,'2025数据'!$AB$3:$AB$181,"&gt;="&amp;DATE(2025,1,1),'2025数据'!$AB$3:$AB$181,"&lt;="&amp;DATE(2025,1,31),'2025数据'!$AE$3:$AE$181,$E2108)/10000)</f>
        <v>0</v>
      </c>
      <c r="G2108" s="51">
        <f ca="1">IF($S$1&lt;DATE(2025,2,1)," ",SUMIFS('2025数据'!$BV$3:$BV$181,'2025数据'!$AB$3:$AB$181,"&gt;="&amp;DATE(2025,2,1),'2025数据'!$AB$3:$AB$181,"&lt;="&amp;DATE(2025,2,28),'2025数据'!$AE$3:$AE$181,$E2108)/10000)</f>
        <v>0</v>
      </c>
      <c r="H2108" s="51">
        <f ca="1">IF($S$1&lt;DATE(2025,3,1)," ",SUMIFS('2025数据'!$BV$3:$BV$181,'2025数据'!$AB$3:$AB$181,"&gt;="&amp;DATE(2025,3,1),'2025数据'!$AB$3:$AB$181,"&lt;="&amp;DATE(2025,3,31),'2025数据'!$AE$3:$AE$181,$E2108)/10000)</f>
        <v>0</v>
      </c>
      <c r="I2108" s="51">
        <f ca="1">IF($S$1&lt;DATE(2025,4,1)," ",SUMIFS('2025数据'!$BV$3:$BV$181,'2025数据'!$AB$3:$AB$181,"&gt;="&amp;DATE(2025,4,1),'2025数据'!$AB$3:$AB$181,"&lt;="&amp;DATE(2025,4,30),'2025数据'!$AE$3:$AE$181,$E2108)/10000)</f>
        <v>0</v>
      </c>
      <c r="J2108" s="51">
        <f ca="1">IF($S$1&lt;DATE(2025,5,1)," ",SUMIFS('2025数据'!$BV$3:$BV$181,'2025数据'!$AB$3:$AB$181,"&gt;="&amp;DATE(2025,5,1),'2025数据'!$AB$3:$AB$181,"&lt;="&amp;DATE(2025,5,31),'2025数据'!$AE$3:$AE$181,$E2108)/10000)</f>
        <v>0</v>
      </c>
      <c r="K2108" s="51">
        <f ca="1">IF($S$1&lt;DATE(2025,6,1)," ",SUMIFS('2025数据'!$BV$3:$BV$181,'2025数据'!$AB$3:$AB$181,"&gt;="&amp;DATE(2025,6,1),'2025数据'!$AB$3:$AB$181,"&lt;="&amp;DATE(2025,6,30),'2025数据'!$AE$3:$AE$181,$E2108)/10000)</f>
        <v>0</v>
      </c>
      <c r="L2108" s="51">
        <f ca="1">IF($S$1&lt;DATE(2025,7,1)," ",SUMIFS('2025数据'!$BV$3:$BV$181,'2025数据'!$AB$3:$AB$181,"&gt;="&amp;DATE(2025,7,1),'2025数据'!$AB$3:$AB$181,"&lt;="&amp;DATE(2025,7,31),'2025数据'!$AE$3:$AE$181,$E2108)/10000)</f>
        <v>0</v>
      </c>
      <c r="M2108" s="51">
        <f ca="1">IF($S$1&lt;DATE(2025,8,1)," ",SUMIFS('2025数据'!$BV$3:$BV$181,'2025数据'!$AB$3:$AB$181,"&gt;="&amp;DATE(2025,8,1),'2025数据'!$AB$3:$AB$181,"&lt;="&amp;DATE(2025,8,31),'2025数据'!$AE$3:$AE$181,$E2108)/10000)</f>
        <v>0.040141</v>
      </c>
      <c r="N2108" s="51">
        <f ca="1">IF($S$1&lt;DATE(2025,9,1)," ",SUMIFS('2025数据'!$BV$3:$BV$181,'2025数据'!$AB$3:$AB$181,"&gt;="&amp;DATE(2025,9,1),'2025数据'!$AB$3:$AB$181,"&lt;="&amp;DATE(2025,9,30),'2025数据'!$AE$3:$AE$181,$E2108)/10000)</f>
        <v>0</v>
      </c>
      <c r="O2108" s="51">
        <f ca="1">IF($S$1&lt;DATE(2025,10,1)," ",SUMIFS('2025数据'!$BV$3:$BV$181,'2025数据'!$AB$3:$AB$181,"&gt;="&amp;DATE(2025,10,1),'2025数据'!$AB$3:$AB$181,"&lt;="&amp;DATE(2025,10,31),'2025数据'!$AE$3:$AE$181,$E2108)/10000)</f>
        <v>0</v>
      </c>
      <c r="P2108" s="217">
        <f ca="1">IF($S$1&lt;DATE(2025,11,1)," ",SUMIFS('2025数据'!$BV$3:$BV$181,'2025数据'!$AB$3:$AB$181,"&gt;="&amp;DATE(2025,11,1),'2025数据'!$AB$3:$AB$181,"&lt;="&amp;DATE(2025,11,30),'2025数据'!$AE$3:$AE$181,$E2108)/10000)</f>
        <v>0</v>
      </c>
      <c r="Q2108" s="217">
        <f ca="1">IF($S$1&lt;DATE(2025,12,1)," ",SUMIFS('2025数据'!$BV$3:$BV$181,'2025数据'!$AB$3:$AB$181,"&gt;="&amp;DATE(2025,12,1),'2025数据'!$AB$3:$AB$181,"&lt;="&amp;DATE(2025,12,31),'2025数据'!$AE$3:$AE$181,$E2108)/10000)</f>
        <v>0</v>
      </c>
    </row>
    <row r="2109" ht="24" customHeight="1" spans="1:17">
      <c r="A2109" s="99" t="s">
        <v>350</v>
      </c>
      <c r="B2109" s="99" t="s">
        <v>299</v>
      </c>
      <c r="C2109" s="99" t="s">
        <v>336</v>
      </c>
      <c r="D2109" s="48" t="s">
        <v>31</v>
      </c>
      <c r="E2109" s="48" t="s">
        <v>149</v>
      </c>
      <c r="F2109" s="51">
        <f ca="1">IF($S$1&lt;DATE(2025,1,1)," ",SUMIFS('2025数据'!$BV$3:$BV$181,'2025数据'!$AB$3:$AB$181,"&gt;="&amp;DATE(2025,1,1),'2025数据'!$AB$3:$AB$181,"&lt;="&amp;DATE(2025,1,31),'2025数据'!$AE$3:$AE$181,$E2109)/10000)</f>
        <v>0</v>
      </c>
      <c r="G2109" s="51">
        <f ca="1">IF($S$1&lt;DATE(2025,2,1)," ",SUMIFS('2025数据'!$BV$3:$BV$181,'2025数据'!$AB$3:$AB$181,"&gt;="&amp;DATE(2025,2,1),'2025数据'!$AB$3:$AB$181,"&lt;="&amp;DATE(2025,2,28),'2025数据'!$AE$3:$AE$181,$E2109)/10000)</f>
        <v>0</v>
      </c>
      <c r="H2109" s="51">
        <f ca="1">IF($S$1&lt;DATE(2025,3,1)," ",SUMIFS('2025数据'!$BV$3:$BV$181,'2025数据'!$AB$3:$AB$181,"&gt;="&amp;DATE(2025,3,1),'2025数据'!$AB$3:$AB$181,"&lt;="&amp;DATE(2025,3,31),'2025数据'!$AE$3:$AE$181,$E2109)/10000)</f>
        <v>0.36899121</v>
      </c>
      <c r="I2109" s="51">
        <f ca="1">IF($S$1&lt;DATE(2025,4,1)," ",SUMIFS('2025数据'!$BV$3:$BV$181,'2025数据'!$AB$3:$AB$181,"&gt;="&amp;DATE(2025,4,1),'2025数据'!$AB$3:$AB$181,"&lt;="&amp;DATE(2025,4,30),'2025数据'!$AE$3:$AE$181,$E2109)/10000)</f>
        <v>0</v>
      </c>
      <c r="J2109" s="51">
        <f ca="1">IF($S$1&lt;DATE(2025,5,1)," ",SUMIFS('2025数据'!$BV$3:$BV$181,'2025数据'!$AB$3:$AB$181,"&gt;="&amp;DATE(2025,5,1),'2025数据'!$AB$3:$AB$181,"&lt;="&amp;DATE(2025,5,31),'2025数据'!$AE$3:$AE$181,$E2109)/10000)</f>
        <v>0</v>
      </c>
      <c r="K2109" s="51">
        <f ca="1">IF($S$1&lt;DATE(2025,6,1)," ",SUMIFS('2025数据'!$BV$3:$BV$181,'2025数据'!$AB$3:$AB$181,"&gt;="&amp;DATE(2025,6,1),'2025数据'!$AB$3:$AB$181,"&lt;="&amp;DATE(2025,6,30),'2025数据'!$AE$3:$AE$181,$E2109)/10000)</f>
        <v>0</v>
      </c>
      <c r="L2109" s="51">
        <f ca="1">IF($S$1&lt;DATE(2025,7,1)," ",SUMIFS('2025数据'!$BV$3:$BV$181,'2025数据'!$AB$3:$AB$181,"&gt;="&amp;DATE(2025,7,1),'2025数据'!$AB$3:$AB$181,"&lt;="&amp;DATE(2025,7,31),'2025数据'!$AE$3:$AE$181,$E2109)/10000)</f>
        <v>0</v>
      </c>
      <c r="M2109" s="51">
        <f ca="1">IF($S$1&lt;DATE(2025,8,1)," ",SUMIFS('2025数据'!$BV$3:$BV$181,'2025数据'!$AB$3:$AB$181,"&gt;="&amp;DATE(2025,8,1),'2025数据'!$AB$3:$AB$181,"&lt;="&amp;DATE(2025,8,31),'2025数据'!$AE$3:$AE$181,$E2109)/10000)</f>
        <v>0</v>
      </c>
      <c r="N2109" s="51">
        <f ca="1">IF($S$1&lt;DATE(2025,9,1)," ",SUMIFS('2025数据'!$BV$3:$BV$181,'2025数据'!$AB$3:$AB$181,"&gt;="&amp;DATE(2025,9,1),'2025数据'!$AB$3:$AB$181,"&lt;="&amp;DATE(2025,9,30),'2025数据'!$AE$3:$AE$181,$E2109)/10000)</f>
        <v>0</v>
      </c>
      <c r="O2109" s="51">
        <f ca="1">IF($S$1&lt;DATE(2025,10,1)," ",SUMIFS('2025数据'!$BV$3:$BV$181,'2025数据'!$AB$3:$AB$181,"&gt;="&amp;DATE(2025,10,1),'2025数据'!$AB$3:$AB$181,"&lt;="&amp;DATE(2025,10,31),'2025数据'!$AE$3:$AE$181,$E2109)/10000)</f>
        <v>0</v>
      </c>
      <c r="P2109" s="217">
        <f ca="1">IF($S$1&lt;DATE(2025,11,1)," ",SUMIFS('2025数据'!$BV$3:$BV$181,'2025数据'!$AB$3:$AB$181,"&gt;="&amp;DATE(2025,11,1),'2025数据'!$AB$3:$AB$181,"&lt;="&amp;DATE(2025,11,30),'2025数据'!$AE$3:$AE$181,$E2109)/10000)</f>
        <v>0</v>
      </c>
      <c r="Q2109" s="217">
        <f ca="1">IF($S$1&lt;DATE(2025,12,1)," ",SUMIFS('2025数据'!$BV$3:$BV$181,'2025数据'!$AB$3:$AB$181,"&gt;="&amp;DATE(2025,12,1),'2025数据'!$AB$3:$AB$181,"&lt;="&amp;DATE(2025,12,31),'2025数据'!$AE$3:$AE$181,$E2109)/10000)</f>
        <v>0</v>
      </c>
    </row>
    <row r="2110" ht="24" customHeight="1" spans="1:17">
      <c r="A2110" s="99" t="s">
        <v>350</v>
      </c>
      <c r="B2110" s="99" t="s">
        <v>299</v>
      </c>
      <c r="C2110" s="99" t="s">
        <v>336</v>
      </c>
      <c r="D2110" s="48" t="s">
        <v>31</v>
      </c>
      <c r="E2110" s="48" t="s">
        <v>83</v>
      </c>
      <c r="F2110" s="51">
        <f ca="1">IF($S$1&lt;DATE(2025,1,1)," ",SUMIFS('2025数据'!$BV$3:$BV$181,'2025数据'!$AB$3:$AB$181,"&gt;="&amp;DATE(2025,1,1),'2025数据'!$AB$3:$AB$181,"&lt;="&amp;DATE(2025,1,31),'2025数据'!$AE$3:$AE$181,$E2110)/10000)</f>
        <v>0</v>
      </c>
      <c r="G2110" s="51">
        <f ca="1">IF($S$1&lt;DATE(2025,2,1)," ",SUMIFS('2025数据'!$BV$3:$BV$181,'2025数据'!$AB$3:$AB$181,"&gt;="&amp;DATE(2025,2,1),'2025数据'!$AB$3:$AB$181,"&lt;="&amp;DATE(2025,2,28),'2025数据'!$AE$3:$AE$181,$E2110)/10000)</f>
        <v>0</v>
      </c>
      <c r="H2110" s="51">
        <f ca="1">IF($S$1&lt;DATE(2025,3,1)," ",SUMIFS('2025数据'!$BV$3:$BV$181,'2025数据'!$AB$3:$AB$181,"&gt;="&amp;DATE(2025,3,1),'2025数据'!$AB$3:$AB$181,"&lt;="&amp;DATE(2025,3,31),'2025数据'!$AE$3:$AE$181,$E2110)/10000)</f>
        <v>0</v>
      </c>
      <c r="I2110" s="51">
        <f ca="1">IF($S$1&lt;DATE(2025,4,1)," ",SUMIFS('2025数据'!$BV$3:$BV$181,'2025数据'!$AB$3:$AB$181,"&gt;="&amp;DATE(2025,4,1),'2025数据'!$AB$3:$AB$181,"&lt;="&amp;DATE(2025,4,30),'2025数据'!$AE$3:$AE$181,$E2110)/10000)</f>
        <v>0.069017</v>
      </c>
      <c r="J2110" s="51">
        <f ca="1">IF($S$1&lt;DATE(2025,5,1)," ",SUMIFS('2025数据'!$BV$3:$BV$181,'2025数据'!$AB$3:$AB$181,"&gt;="&amp;DATE(2025,5,1),'2025数据'!$AB$3:$AB$181,"&lt;="&amp;DATE(2025,5,31),'2025数据'!$AE$3:$AE$181,$E2110)/10000)</f>
        <v>0</v>
      </c>
      <c r="K2110" s="51">
        <f ca="1">IF($S$1&lt;DATE(2025,6,1)," ",SUMIFS('2025数据'!$BV$3:$BV$181,'2025数据'!$AB$3:$AB$181,"&gt;="&amp;DATE(2025,6,1),'2025数据'!$AB$3:$AB$181,"&lt;="&amp;DATE(2025,6,30),'2025数据'!$AE$3:$AE$181,$E2110)/10000)</f>
        <v>0</v>
      </c>
      <c r="L2110" s="51">
        <f ca="1">IF($S$1&lt;DATE(2025,7,1)," ",SUMIFS('2025数据'!$BV$3:$BV$181,'2025数据'!$AB$3:$AB$181,"&gt;="&amp;DATE(2025,7,1),'2025数据'!$AB$3:$AB$181,"&lt;="&amp;DATE(2025,7,31),'2025数据'!$AE$3:$AE$181,$E2110)/10000)</f>
        <v>0</v>
      </c>
      <c r="M2110" s="51">
        <f ca="1">IF($S$1&lt;DATE(2025,8,1)," ",SUMIFS('2025数据'!$BV$3:$BV$181,'2025数据'!$AB$3:$AB$181,"&gt;="&amp;DATE(2025,8,1),'2025数据'!$AB$3:$AB$181,"&lt;="&amp;DATE(2025,8,31),'2025数据'!$AE$3:$AE$181,$E2110)/10000)</f>
        <v>0</v>
      </c>
      <c r="N2110" s="51">
        <f ca="1">IF($S$1&lt;DATE(2025,9,1)," ",SUMIFS('2025数据'!$BV$3:$BV$181,'2025数据'!$AB$3:$AB$181,"&gt;="&amp;DATE(2025,9,1),'2025数据'!$AB$3:$AB$181,"&lt;="&amp;DATE(2025,9,30),'2025数据'!$AE$3:$AE$181,$E2110)/10000)</f>
        <v>0</v>
      </c>
      <c r="O2110" s="51">
        <f ca="1">IF($S$1&lt;DATE(2025,10,1)," ",SUMIFS('2025数据'!$BV$3:$BV$181,'2025数据'!$AB$3:$AB$181,"&gt;="&amp;DATE(2025,10,1),'2025数据'!$AB$3:$AB$181,"&lt;="&amp;DATE(2025,10,31),'2025数据'!$AE$3:$AE$181,$E2110)/10000)</f>
        <v>0.517081</v>
      </c>
      <c r="P2110" s="217">
        <f ca="1">IF($S$1&lt;DATE(2025,11,1)," ",SUMIFS('2025数据'!$BV$3:$BV$181,'2025数据'!$AB$3:$AB$181,"&gt;="&amp;DATE(2025,11,1),'2025数据'!$AB$3:$AB$181,"&lt;="&amp;DATE(2025,11,30),'2025数据'!$AE$3:$AE$181,$E2110)/10000)</f>
        <v>0</v>
      </c>
      <c r="Q2110" s="217">
        <f ca="1">IF($S$1&lt;DATE(2025,12,1)," ",SUMIFS('2025数据'!$BV$3:$BV$181,'2025数据'!$AB$3:$AB$181,"&gt;="&amp;DATE(2025,12,1),'2025数据'!$AB$3:$AB$181,"&lt;="&amp;DATE(2025,12,31),'2025数据'!$AE$3:$AE$181,$E2110)/10000)</f>
        <v>0</v>
      </c>
    </row>
    <row r="2111" ht="24" customHeight="1" spans="1:17">
      <c r="A2111" s="99" t="s">
        <v>350</v>
      </c>
      <c r="B2111" s="99" t="s">
        <v>299</v>
      </c>
      <c r="C2111" s="99" t="s">
        <v>336</v>
      </c>
      <c r="D2111" s="47" t="s">
        <v>294</v>
      </c>
      <c r="E2111" s="47" t="s">
        <v>93</v>
      </c>
      <c r="F2111" s="51">
        <f ca="1">IF($S$1&lt;DATE(2025,1,1)," ",SUMIFS('2025数据'!$BV$3:$BV$181,'2025数据'!$AB$3:$AB$181,"&gt;="&amp;DATE(2025,1,1),'2025数据'!$AB$3:$AB$181,"&lt;="&amp;DATE(2025,1,31),'2025数据'!$B$3:$B$181,$E2111)/10000)</f>
        <v>0</v>
      </c>
      <c r="G2111" s="51">
        <f ca="1">IF($S$1&lt;DATE(2025,2,1)," ",SUMIFS('2025数据'!$BV$3:$BV$181,'2025数据'!$AB$3:$AB$181,"&gt;="&amp;DATE(2025,2,1),'2025数据'!$AB$3:$AB$181,"&lt;="&amp;DATE(2025,2,28),'2025数据'!$B$3:$B$181,$E2111)/10000)</f>
        <v>0.04291</v>
      </c>
      <c r="H2111" s="51">
        <f ca="1">IF($S$1&lt;DATE(2025,3,1)," ",SUMIFS('2025数据'!$BV$3:$BV$181,'2025数据'!$AB$3:$AB$181,"&gt;="&amp;DATE(2025,3,1),'2025数据'!$AB$3:$AB$181,"&lt;="&amp;DATE(2025,3,31),'2025数据'!$B$3:$B$181,$E2111)/10000)</f>
        <v>0.43627521</v>
      </c>
      <c r="I2111" s="51">
        <f ca="1">IF($S$1&lt;DATE(2025,4,1)," ",SUMIFS('2025数据'!$BV$3:$BV$181,'2025数据'!$AB$3:$AB$181,"&gt;="&amp;DATE(2025,4,1),'2025数据'!$AB$3:$AB$181,"&lt;="&amp;DATE(2025,4,30),'2025数据'!$B$3:$B$181,$E2111)/10000)</f>
        <v>0</v>
      </c>
      <c r="J2111" s="51">
        <f ca="1">IF($S$1&lt;DATE(2025,5,1)," ",SUMIFS('2025数据'!$BV$3:$BV$181,'2025数据'!$AB$3:$AB$181,"&gt;="&amp;DATE(2025,5,1),'2025数据'!$AB$3:$AB$181,"&lt;="&amp;DATE(2025,5,31),'2025数据'!$B$3:$B$181,$E2111)/10000)</f>
        <v>0.023701</v>
      </c>
      <c r="K2111" s="51">
        <f ca="1">IF($S$1&lt;DATE(2025,6,1)," ",SUMIFS('2025数据'!$BV$3:$BV$181,'2025数据'!$AB$3:$AB$181,"&gt;="&amp;DATE(2025,6,1),'2025数据'!$AB$3:$AB$181,"&lt;="&amp;DATE(2025,6,30),'2025数据'!$B$3:$B$181,$E2111)/10000)</f>
        <v>0.356789</v>
      </c>
      <c r="L2111" s="51">
        <f ca="1">IF($S$1&lt;DATE(2025,7,1)," ",SUMIFS('2025数据'!$BV$3:$BV$181,'2025数据'!$AB$3:$AB$181,"&gt;="&amp;DATE(2025,7,1),'2025数据'!$AB$3:$AB$181,"&lt;="&amp;DATE(2025,7,31),'2025数据'!$B$3:$B$181,$E2111)/10000)</f>
        <v>0</v>
      </c>
      <c r="M2111" s="51">
        <f ca="1">IF($S$1&lt;DATE(2025,8,1)," ",SUMIFS('2025数据'!$BV$3:$BV$181,'2025数据'!$AB$3:$AB$181,"&gt;="&amp;DATE(2025,8,1),'2025数据'!$AB$3:$AB$181,"&lt;="&amp;DATE(2025,8,31),'2025数据'!$B$3:$B$181,$E2111)/10000)</f>
        <v>0.036892</v>
      </c>
      <c r="N2111" s="51">
        <f ca="1">IF($S$1&lt;DATE(2025,9,1)," ",SUMIFS('2025数据'!$BV$3:$BV$181,'2025数据'!$AB$3:$AB$181,"&gt;="&amp;DATE(2025,9,1),'2025数据'!$AB$3:$AB$181,"&lt;="&amp;DATE(2025,9,30),'2025数据'!$B$3:$B$181,$E2111)/10000)</f>
        <v>0</v>
      </c>
      <c r="O2111" s="51">
        <f ca="1">IF($S$1&lt;DATE(2025,10,1)," ",SUMIFS('2025数据'!$BV$3:$BV$181,'2025数据'!$AB$3:$AB$181,"&gt;="&amp;DATE(2025,10,1),'2025数据'!$AB$3:$AB$181,"&lt;="&amp;DATE(2025,10,31),'2025数据'!$B$3:$B$181,$E2111)/10000)</f>
        <v>0.336811</v>
      </c>
      <c r="P2111" s="217">
        <f ca="1">IF($S$1&lt;DATE(2025,11,1)," ",SUMIFS('2025数据'!$BV$3:$BV$181,'2025数据'!$AB$3:$AB$181,"&gt;="&amp;DATE(2025,11,1),'2025数据'!$AB$3:$AB$181,"&lt;="&amp;DATE(2025,11,30),'2025数据'!$B$3:$B$181,$E2111)/10000)</f>
        <v>0.092012</v>
      </c>
      <c r="Q2111" s="217">
        <f ca="1">IF($S$1&lt;DATE(2025,12,1)," ",SUMIFS('2025数据'!$BV$3:$BV$181,'2025数据'!$AB$3:$AB$181,"&gt;="&amp;DATE(2025,12,1),'2025数据'!$AB$3:$AB$181,"&lt;="&amp;DATE(2025,12,31),'2025数据'!$B$3:$B$181,$E2111)/10000)</f>
        <v>0</v>
      </c>
    </row>
    <row r="2112" ht="24" customHeight="1" spans="1:17">
      <c r="A2112" s="99" t="s">
        <v>350</v>
      </c>
      <c r="B2112" s="99" t="s">
        <v>299</v>
      </c>
      <c r="C2112" s="99" t="s">
        <v>336</v>
      </c>
      <c r="D2112" s="47" t="s">
        <v>294</v>
      </c>
      <c r="E2112" s="47" t="s">
        <v>85</v>
      </c>
      <c r="F2112" s="51">
        <f ca="1">IF($S$1&lt;DATE(2025,1,1)," ",SUMIFS('2025数据'!$BV$3:$BV$181,'2025数据'!$AB$3:$AB$181,"&gt;="&amp;DATE(2025,1,1),'2025数据'!$AB$3:$AB$181,"&lt;="&amp;DATE(2025,1,31),'2025数据'!$B$3:$B$181,$E2112)/10000)</f>
        <v>0.027036</v>
      </c>
      <c r="G2112" s="51">
        <f ca="1">IF($S$1&lt;DATE(2025,2,1)," ",SUMIFS('2025数据'!$BV$3:$BV$181,'2025数据'!$AB$3:$AB$181,"&gt;="&amp;DATE(2025,2,1),'2025数据'!$AB$3:$AB$181,"&lt;="&amp;DATE(2025,2,28),'2025数据'!$B$3:$B$181,$E2112)/10000)</f>
        <v>0</v>
      </c>
      <c r="H2112" s="51">
        <f ca="1">IF($S$1&lt;DATE(2025,3,1)," ",SUMIFS('2025数据'!$BV$3:$BV$181,'2025数据'!$AB$3:$AB$181,"&gt;="&amp;DATE(2025,3,1),'2025数据'!$AB$3:$AB$181,"&lt;="&amp;DATE(2025,3,31),'2025数据'!$B$3:$B$181,$E2112)/10000)</f>
        <v>0</v>
      </c>
      <c r="I2112" s="51">
        <f ca="1">IF($S$1&lt;DATE(2025,4,1)," ",SUMIFS('2025数据'!$BV$3:$BV$181,'2025数据'!$AB$3:$AB$181,"&gt;="&amp;DATE(2025,4,1),'2025数据'!$AB$3:$AB$181,"&lt;="&amp;DATE(2025,4,30),'2025数据'!$B$3:$B$181,$E2112)/10000)</f>
        <v>0.069017</v>
      </c>
      <c r="J2112" s="51">
        <f ca="1">IF($S$1&lt;DATE(2025,5,1)," ",SUMIFS('2025数据'!$BV$3:$BV$181,'2025数据'!$AB$3:$AB$181,"&gt;="&amp;DATE(2025,5,1),'2025数据'!$AB$3:$AB$181,"&lt;="&amp;DATE(2025,5,31),'2025数据'!$B$3:$B$181,$E2112)/10000)</f>
        <v>0</v>
      </c>
      <c r="K2112" s="51">
        <f ca="1">IF($S$1&lt;DATE(2025,6,1)," ",SUMIFS('2025数据'!$BV$3:$BV$181,'2025数据'!$AB$3:$AB$181,"&gt;="&amp;DATE(2025,6,1),'2025数据'!$AB$3:$AB$181,"&lt;="&amp;DATE(2025,6,30),'2025数据'!$B$3:$B$181,$E2112)/10000)</f>
        <v>0</v>
      </c>
      <c r="L2112" s="51">
        <f ca="1">IF($S$1&lt;DATE(2025,7,1)," ",SUMIFS('2025数据'!$BV$3:$BV$181,'2025数据'!$AB$3:$AB$181,"&gt;="&amp;DATE(2025,7,1),'2025数据'!$AB$3:$AB$181,"&lt;="&amp;DATE(2025,7,31),'2025数据'!$B$3:$B$181,$E2112)/10000)</f>
        <v>0</v>
      </c>
      <c r="M2112" s="51">
        <f ca="1">IF($S$1&lt;DATE(2025,8,1)," ",SUMIFS('2025数据'!$BV$3:$BV$181,'2025数据'!$AB$3:$AB$181,"&gt;="&amp;DATE(2025,8,1),'2025数据'!$AB$3:$AB$181,"&lt;="&amp;DATE(2025,8,31),'2025数据'!$B$3:$B$181,$E2112)/10000)</f>
        <v>0.128371</v>
      </c>
      <c r="N2112" s="51">
        <f ca="1">IF($S$1&lt;DATE(2025,9,1)," ",SUMIFS('2025数据'!$BV$3:$BV$181,'2025数据'!$AB$3:$AB$181,"&gt;="&amp;DATE(2025,9,1),'2025数据'!$AB$3:$AB$181,"&lt;="&amp;DATE(2025,9,30),'2025数据'!$B$3:$B$181,$E2112)/10000)</f>
        <v>0</v>
      </c>
      <c r="O2112" s="51">
        <f ca="1">IF($S$1&lt;DATE(2025,10,1)," ",SUMIFS('2025数据'!$BV$3:$BV$181,'2025数据'!$AB$3:$AB$181,"&gt;="&amp;DATE(2025,10,1),'2025数据'!$AB$3:$AB$181,"&lt;="&amp;DATE(2025,10,31),'2025数据'!$B$3:$B$181,$E2112)/10000)</f>
        <v>0.231848</v>
      </c>
      <c r="P2112" s="217">
        <f ca="1">IF($S$1&lt;DATE(2025,11,1)," ",SUMIFS('2025数据'!$BV$3:$BV$181,'2025数据'!$AB$3:$AB$181,"&gt;="&amp;DATE(2025,11,1),'2025数据'!$AB$3:$AB$181,"&lt;="&amp;DATE(2025,11,30),'2025数据'!$B$3:$B$181,$E2112)/10000)</f>
        <v>0</v>
      </c>
      <c r="Q2112" s="217">
        <f ca="1">IF($S$1&lt;DATE(2025,12,1)," ",SUMIFS('2025数据'!$BV$3:$BV$181,'2025数据'!$AB$3:$AB$181,"&gt;="&amp;DATE(2025,12,1),'2025数据'!$AB$3:$AB$181,"&lt;="&amp;DATE(2025,12,31),'2025数据'!$B$3:$B$181,$E2112)/10000)</f>
        <v>0</v>
      </c>
    </row>
    <row r="2113" ht="24" customHeight="1" spans="1:17">
      <c r="A2113" s="99" t="s">
        <v>350</v>
      </c>
      <c r="B2113" s="99" t="s">
        <v>299</v>
      </c>
      <c r="C2113" s="99" t="s">
        <v>336</v>
      </c>
      <c r="D2113" s="47" t="s">
        <v>294</v>
      </c>
      <c r="E2113" s="47" t="s">
        <v>81</v>
      </c>
      <c r="F2113" s="51">
        <f ca="1">IF($S$1&lt;DATE(2025,1,1)," ",SUMIFS('2025数据'!$BV$3:$BV$181,'2025数据'!$AB$3:$AB$181,"&gt;="&amp;DATE(2025,1,1),'2025数据'!$AB$3:$AB$181,"&lt;="&amp;DATE(2025,1,31),'2025数据'!$B$3:$B$181,$E2113)/10000)</f>
        <v>0</v>
      </c>
      <c r="G2113" s="51">
        <f ca="1">IF($S$1&lt;DATE(2025,2,1)," ",SUMIFS('2025数据'!$BV$3:$BV$181,'2025数据'!$AB$3:$AB$181,"&gt;="&amp;DATE(2025,2,1),'2025数据'!$AB$3:$AB$181,"&lt;="&amp;DATE(2025,2,28),'2025数据'!$B$3:$B$181,$E2113)/10000)</f>
        <v>0</v>
      </c>
      <c r="H2113" s="51">
        <f ca="1">IF($S$1&lt;DATE(2025,3,1)," ",SUMIFS('2025数据'!$BV$3:$BV$181,'2025数据'!$AB$3:$AB$181,"&gt;="&amp;DATE(2025,3,1),'2025数据'!$AB$3:$AB$181,"&lt;="&amp;DATE(2025,3,31),'2025数据'!$B$3:$B$181,$E2113)/10000)</f>
        <v>0.037366</v>
      </c>
      <c r="I2113" s="51">
        <f ca="1">IF($S$1&lt;DATE(2025,4,1)," ",SUMIFS('2025数据'!$BV$3:$BV$181,'2025数据'!$AB$3:$AB$181,"&gt;="&amp;DATE(2025,4,1),'2025数据'!$AB$3:$AB$181,"&lt;="&amp;DATE(2025,4,30),'2025数据'!$B$3:$B$181,$E2113)/10000)</f>
        <v>0</v>
      </c>
      <c r="J2113" s="51">
        <f ca="1">IF($S$1&lt;DATE(2025,5,1)," ",SUMIFS('2025数据'!$BV$3:$BV$181,'2025数据'!$AB$3:$AB$181,"&gt;="&amp;DATE(2025,5,1),'2025数据'!$AB$3:$AB$181,"&lt;="&amp;DATE(2025,5,31),'2025数据'!$B$3:$B$181,$E2113)/10000)</f>
        <v>0.058534</v>
      </c>
      <c r="K2113" s="51">
        <f ca="1">IF($S$1&lt;DATE(2025,6,1)," ",SUMIFS('2025数据'!$BV$3:$BV$181,'2025数据'!$AB$3:$AB$181,"&gt;="&amp;DATE(2025,6,1),'2025数据'!$AB$3:$AB$181,"&lt;="&amp;DATE(2025,6,30),'2025数据'!$B$3:$B$181,$E2113)/10000)</f>
        <v>0</v>
      </c>
      <c r="L2113" s="51">
        <f ca="1">IF($S$1&lt;DATE(2025,7,1)," ",SUMIFS('2025数据'!$BV$3:$BV$181,'2025数据'!$AB$3:$AB$181,"&gt;="&amp;DATE(2025,7,1),'2025数据'!$AB$3:$AB$181,"&lt;="&amp;DATE(2025,7,31),'2025数据'!$B$3:$B$181,$E2113)/10000)</f>
        <v>0.222082</v>
      </c>
      <c r="M2113" s="51">
        <f ca="1">IF($S$1&lt;DATE(2025,8,1)," ",SUMIFS('2025数据'!$BV$3:$BV$181,'2025数据'!$AB$3:$AB$181,"&gt;="&amp;DATE(2025,8,1),'2025数据'!$AB$3:$AB$181,"&lt;="&amp;DATE(2025,8,31),'2025数据'!$B$3:$B$181,$E2113)/10000)</f>
        <v>0</v>
      </c>
      <c r="N2113" s="51">
        <f ca="1">IF($S$1&lt;DATE(2025,9,1)," ",SUMIFS('2025数据'!$BV$3:$BV$181,'2025数据'!$AB$3:$AB$181,"&gt;="&amp;DATE(2025,9,1),'2025数据'!$AB$3:$AB$181,"&lt;="&amp;DATE(2025,9,30),'2025数据'!$B$3:$B$181,$E2113)/10000)</f>
        <v>0</v>
      </c>
      <c r="O2113" s="51">
        <f ca="1">IF($S$1&lt;DATE(2025,10,1)," ",SUMIFS('2025数据'!$BV$3:$BV$181,'2025数据'!$AB$3:$AB$181,"&gt;="&amp;DATE(2025,10,1),'2025数据'!$AB$3:$AB$181,"&lt;="&amp;DATE(2025,10,31),'2025数据'!$B$3:$B$181,$E2113)/10000)</f>
        <v>0</v>
      </c>
      <c r="P2113" s="217">
        <f ca="1">IF($S$1&lt;DATE(2025,11,1)," ",SUMIFS('2025数据'!$BV$3:$BV$181,'2025数据'!$AB$3:$AB$181,"&gt;="&amp;DATE(2025,11,1),'2025数据'!$AB$3:$AB$181,"&lt;="&amp;DATE(2025,11,30),'2025数据'!$B$3:$B$181,$E2113)/10000)</f>
        <v>0</v>
      </c>
      <c r="Q2113" s="217">
        <f ca="1">IF($S$1&lt;DATE(2025,12,1)," ",SUMIFS('2025数据'!$BV$3:$BV$181,'2025数据'!$AB$3:$AB$181,"&gt;="&amp;DATE(2025,12,1),'2025数据'!$AB$3:$AB$181,"&lt;="&amp;DATE(2025,12,31),'2025数据'!$B$3:$B$181,$E2113)/10000)</f>
        <v>0</v>
      </c>
    </row>
    <row r="2114" ht="24" customHeight="1" spans="1:17">
      <c r="A2114" s="99" t="s">
        <v>350</v>
      </c>
      <c r="B2114" s="99" t="s">
        <v>299</v>
      </c>
      <c r="C2114" s="99" t="s">
        <v>336</v>
      </c>
      <c r="D2114" s="47" t="s">
        <v>294</v>
      </c>
      <c r="E2114" s="47" t="s">
        <v>96</v>
      </c>
      <c r="F2114" s="51">
        <f ca="1">IF($S$1&lt;DATE(2025,1,1)," ",SUMIFS('2025数据'!$BV$3:$BV$181,'2025数据'!$AB$3:$AB$181,"&gt;="&amp;DATE(2025,1,1),'2025数据'!$AB$3:$AB$181,"&lt;="&amp;DATE(2025,1,31),'2025数据'!$B$3:$B$181,$E2114)/10000)</f>
        <v>0</v>
      </c>
      <c r="G2114" s="51">
        <f ca="1">IF($S$1&lt;DATE(2025,2,1)," ",SUMIFS('2025数据'!$BV$3:$BV$181,'2025数据'!$AB$3:$AB$181,"&gt;="&amp;DATE(2025,2,1),'2025数据'!$AB$3:$AB$181,"&lt;="&amp;DATE(2025,2,28),'2025数据'!$B$3:$B$181,$E2114)/10000)</f>
        <v>0</v>
      </c>
      <c r="H2114" s="51">
        <f ca="1">IF($S$1&lt;DATE(2025,3,1)," ",SUMIFS('2025数据'!$BV$3:$BV$181,'2025数据'!$AB$3:$AB$181,"&gt;="&amp;DATE(2025,3,1),'2025数据'!$AB$3:$AB$181,"&lt;="&amp;DATE(2025,3,31),'2025数据'!$B$3:$B$181,$E2114)/10000)</f>
        <v>0.102654</v>
      </c>
      <c r="I2114" s="51">
        <f ca="1">IF($S$1&lt;DATE(2025,4,1)," ",SUMIFS('2025数据'!$BV$3:$BV$181,'2025数据'!$AB$3:$AB$181,"&gt;="&amp;DATE(2025,4,1),'2025数据'!$AB$3:$AB$181,"&lt;="&amp;DATE(2025,4,30),'2025数据'!$B$3:$B$181,$E2114)/10000)</f>
        <v>0</v>
      </c>
      <c r="J2114" s="51">
        <f ca="1">IF($S$1&lt;DATE(2025,5,1)," ",SUMIFS('2025数据'!$BV$3:$BV$181,'2025数据'!$AB$3:$AB$181,"&gt;="&amp;DATE(2025,5,1),'2025数据'!$AB$3:$AB$181,"&lt;="&amp;DATE(2025,5,31),'2025数据'!$B$3:$B$181,$E2114)/10000)</f>
        <v>0</v>
      </c>
      <c r="K2114" s="51">
        <f ca="1">IF($S$1&lt;DATE(2025,6,1)," ",SUMIFS('2025数据'!$BV$3:$BV$181,'2025数据'!$AB$3:$AB$181,"&gt;="&amp;DATE(2025,6,1),'2025数据'!$AB$3:$AB$181,"&lt;="&amp;DATE(2025,6,30),'2025数据'!$B$3:$B$181,$E2114)/10000)</f>
        <v>0</v>
      </c>
      <c r="L2114" s="51">
        <f ca="1">IF($S$1&lt;DATE(2025,7,1)," ",SUMIFS('2025数据'!$BV$3:$BV$181,'2025数据'!$AB$3:$AB$181,"&gt;="&amp;DATE(2025,7,1),'2025数据'!$AB$3:$AB$181,"&lt;="&amp;DATE(2025,7,31),'2025数据'!$B$3:$B$181,$E2114)/10000)</f>
        <v>0</v>
      </c>
      <c r="M2114" s="51">
        <f ca="1">IF($S$1&lt;DATE(2025,8,1)," ",SUMIFS('2025数据'!$BV$3:$BV$181,'2025数据'!$AB$3:$AB$181,"&gt;="&amp;DATE(2025,8,1),'2025数据'!$AB$3:$AB$181,"&lt;="&amp;DATE(2025,8,31),'2025数据'!$B$3:$B$181,$E2114)/10000)</f>
        <v>0</v>
      </c>
      <c r="N2114" s="51">
        <f ca="1">IF($S$1&lt;DATE(2025,9,1)," ",SUMIFS('2025数据'!$BV$3:$BV$181,'2025数据'!$AB$3:$AB$181,"&gt;="&amp;DATE(2025,9,1),'2025数据'!$AB$3:$AB$181,"&lt;="&amp;DATE(2025,9,30),'2025数据'!$B$3:$B$181,$E2114)/10000)</f>
        <v>0</v>
      </c>
      <c r="O2114" s="51">
        <f ca="1">IF($S$1&lt;DATE(2025,10,1)," ",SUMIFS('2025数据'!$BV$3:$BV$181,'2025数据'!$AB$3:$AB$181,"&gt;="&amp;DATE(2025,10,1),'2025数据'!$AB$3:$AB$181,"&lt;="&amp;DATE(2025,10,31),'2025数据'!$B$3:$B$181,$E2114)/10000)</f>
        <v>0</v>
      </c>
      <c r="P2114" s="217">
        <f ca="1">IF($S$1&lt;DATE(2025,11,1)," ",SUMIFS('2025数据'!$BV$3:$BV$181,'2025数据'!$AB$3:$AB$181,"&gt;="&amp;DATE(2025,11,1),'2025数据'!$AB$3:$AB$181,"&lt;="&amp;DATE(2025,11,30),'2025数据'!$B$3:$B$181,$E2114)/10000)</f>
        <v>0</v>
      </c>
      <c r="Q2114" s="217">
        <f ca="1">IF($S$1&lt;DATE(2025,12,1)," ",SUMIFS('2025数据'!$BV$3:$BV$181,'2025数据'!$AB$3:$AB$181,"&gt;="&amp;DATE(2025,12,1),'2025数据'!$AB$3:$AB$181,"&lt;="&amp;DATE(2025,12,31),'2025数据'!$B$3:$B$181,$E2114)/10000)</f>
        <v>0</v>
      </c>
    </row>
    <row r="2115" ht="24" customHeight="1" spans="1:17">
      <c r="A2115" s="99" t="s">
        <v>350</v>
      </c>
      <c r="B2115" s="99" t="s">
        <v>299</v>
      </c>
      <c r="C2115" s="99" t="s">
        <v>336</v>
      </c>
      <c r="D2115" s="47" t="s">
        <v>294</v>
      </c>
      <c r="E2115" s="47" t="s">
        <v>160</v>
      </c>
      <c r="F2115" s="51">
        <f ca="1">IF($S$1&lt;DATE(2025,1,1)," ",SUMIFS('2025数据'!$BV$3:$BV$181,'2025数据'!$AB$3:$AB$181,"&gt;="&amp;DATE(2025,1,1),'2025数据'!$AB$3:$AB$181,"&lt;="&amp;DATE(2025,1,31),'2025数据'!$B$3:$B$181,$E2115)/10000)</f>
        <v>0</v>
      </c>
      <c r="G2115" s="51">
        <f ca="1">IF($S$1&lt;DATE(2025,2,1)," ",SUMIFS('2025数据'!$BV$3:$BV$181,'2025数据'!$AB$3:$AB$181,"&gt;="&amp;DATE(2025,2,1),'2025数据'!$AB$3:$AB$181,"&lt;="&amp;DATE(2025,2,28),'2025数据'!$B$3:$B$181,$E2115)/10000)</f>
        <v>0</v>
      </c>
      <c r="H2115" s="51">
        <f ca="1">IF($S$1&lt;DATE(2025,3,1)," ",SUMIFS('2025数据'!$BV$3:$BV$181,'2025数据'!$AB$3:$AB$181,"&gt;="&amp;DATE(2025,3,1),'2025数据'!$AB$3:$AB$181,"&lt;="&amp;DATE(2025,3,31),'2025数据'!$B$3:$B$181,$E2115)/10000)</f>
        <v>0</v>
      </c>
      <c r="I2115" s="51">
        <f ca="1">IF($S$1&lt;DATE(2025,4,1)," ",SUMIFS('2025数据'!$BV$3:$BV$181,'2025数据'!$AB$3:$AB$181,"&gt;="&amp;DATE(2025,4,1),'2025数据'!$AB$3:$AB$181,"&lt;="&amp;DATE(2025,4,30),'2025数据'!$B$3:$B$181,$E2115)/10000)</f>
        <v>0</v>
      </c>
      <c r="J2115" s="51">
        <f ca="1">IF($S$1&lt;DATE(2025,5,1)," ",SUMIFS('2025数据'!$BV$3:$BV$181,'2025数据'!$AB$3:$AB$181,"&gt;="&amp;DATE(2025,5,1),'2025数据'!$AB$3:$AB$181,"&lt;="&amp;DATE(2025,5,31),'2025数据'!$B$3:$B$181,$E2115)/10000)</f>
        <v>0</v>
      </c>
      <c r="K2115" s="51">
        <f ca="1">IF($S$1&lt;DATE(2025,6,1)," ",SUMIFS('2025数据'!$BV$3:$BV$181,'2025数据'!$AB$3:$AB$181,"&gt;="&amp;DATE(2025,6,1),'2025数据'!$AB$3:$AB$181,"&lt;="&amp;DATE(2025,6,30),'2025数据'!$B$3:$B$181,$E2115)/10000)</f>
        <v>0</v>
      </c>
      <c r="L2115" s="51">
        <f ca="1">IF($S$1&lt;DATE(2025,7,1)," ",SUMIFS('2025数据'!$BV$3:$BV$181,'2025数据'!$AB$3:$AB$181,"&gt;="&amp;DATE(2025,7,1),'2025数据'!$AB$3:$AB$181,"&lt;="&amp;DATE(2025,7,31),'2025数据'!$B$3:$B$181,$E2115)/10000)</f>
        <v>0</v>
      </c>
      <c r="M2115" s="51">
        <f ca="1">IF($S$1&lt;DATE(2025,8,1)," ",SUMIFS('2025数据'!$BV$3:$BV$181,'2025数据'!$AB$3:$AB$181,"&gt;="&amp;DATE(2025,8,1),'2025数据'!$AB$3:$AB$181,"&lt;="&amp;DATE(2025,8,31),'2025数据'!$B$3:$B$181,$E2115)/10000)</f>
        <v>0</v>
      </c>
      <c r="N2115" s="51">
        <f ca="1">IF($S$1&lt;DATE(2025,9,1)," ",SUMIFS('2025数据'!$BV$3:$BV$181,'2025数据'!$AB$3:$AB$181,"&gt;="&amp;DATE(2025,9,1),'2025数据'!$AB$3:$AB$181,"&lt;="&amp;DATE(2025,9,30),'2025数据'!$B$3:$B$181,$E2115)/10000)</f>
        <v>0</v>
      </c>
      <c r="O2115" s="51">
        <f ca="1">IF($S$1&lt;DATE(2025,10,1)," ",SUMIFS('2025数据'!$BV$3:$BV$181,'2025数据'!$AB$3:$AB$181,"&gt;="&amp;DATE(2025,10,1),'2025数据'!$AB$3:$AB$181,"&lt;="&amp;DATE(2025,10,31),'2025数据'!$B$3:$B$181,$E2115)/10000)</f>
        <v>0</v>
      </c>
      <c r="P2115" s="217">
        <f ca="1">IF($S$1&lt;DATE(2025,11,1)," ",SUMIFS('2025数据'!$BV$3:$BV$181,'2025数据'!$AB$3:$AB$181,"&gt;="&amp;DATE(2025,11,1),'2025数据'!$AB$3:$AB$181,"&lt;="&amp;DATE(2025,11,30),'2025数据'!$B$3:$B$181,$E2115)/10000)</f>
        <v>0</v>
      </c>
      <c r="Q2115" s="217">
        <f ca="1">IF($S$1&lt;DATE(2025,12,1)," ",SUMIFS('2025数据'!$BV$3:$BV$181,'2025数据'!$AB$3:$AB$181,"&gt;="&amp;DATE(2025,12,1),'2025数据'!$AB$3:$AB$181,"&lt;="&amp;DATE(2025,12,31),'2025数据'!$B$3:$B$181,$E2115)/10000)</f>
        <v>0</v>
      </c>
    </row>
    <row r="2116" ht="24" customHeight="1" spans="1:17">
      <c r="A2116" s="99" t="s">
        <v>350</v>
      </c>
      <c r="B2116" s="99" t="s">
        <v>299</v>
      </c>
      <c r="C2116" s="99" t="s">
        <v>333</v>
      </c>
      <c r="D2116" s="114" t="s">
        <v>292</v>
      </c>
      <c r="E2116" s="53" t="s">
        <v>337</v>
      </c>
      <c r="F2116" s="219">
        <f ca="1">IF($S$1&lt;DATE(2025,1,1)," ",SUMIFS('2025数据'!$BZ$3:$BZ$181,'2025数据'!$AB$3:$AB$181,"&gt;="&amp;DATE(2025,1,1),'2025数据'!$AB$3:$AB$181,"&lt;="&amp;DATE(2025,1,31),'2025数据'!$BY$3:$BY$181,$E37)/10000)</f>
        <v>0.006113</v>
      </c>
      <c r="G2116" s="219">
        <f ca="1">IF($S$1&lt;DATE(2025,2,1)," ",SUMIFS('2025数据'!$BZ$3:$BZ$181,'2025数据'!$AB$3:$AB$181,"&gt;="&amp;DATE(2025,2,1),'2025数据'!$AB$3:$AB$181,"&lt;="&amp;DATE(2025,2,28),'2025数据'!$BY$3:$BY$181,$E37)/10000)</f>
        <v>0</v>
      </c>
      <c r="H2116" s="219">
        <f ca="1">IF($S$1&lt;DATE(2025,3,1)," ",SUMIFS('2025数据'!$BZ$3:$BZ$181,'2025数据'!$AB$3:$AB$181,"&gt;="&amp;DATE(2025,3,1),'2025数据'!$AB$3:$AB$181,"&lt;="&amp;DATE(2025,3,31),'2025数据'!$BY$3:$BY$181,$E37)/10000)</f>
        <v>0.03444</v>
      </c>
      <c r="I2116" s="219">
        <f ca="1">IF($S$1&lt;DATE(2025,4,1)," ",SUMIFS('2025数据'!$BZ$3:$BZ$181,'2025数据'!$AB$3:$AB$181,"&gt;="&amp;DATE(2025,4,1),'2025数据'!$AB$3:$AB$181,"&lt;="&amp;DATE(2025,4,30),'2025数据'!$BY$3:$BY$181,$E37)/10000)</f>
        <v>0.010281</v>
      </c>
      <c r="J2116" s="219">
        <f ca="1">IF($S$1&lt;DATE(2025,5,1)," ",SUMIFS('2025数据'!$BZ$3:$BZ$181,'2025数据'!$AB$3:$AB$181,"&gt;="&amp;DATE(2025,5,1),'2025数据'!$AB$3:$AB$181,"&lt;="&amp;DATE(2025,5,31),'2025数据'!$BY$3:$BY$181,$E37)/10000)</f>
        <v>0.005673</v>
      </c>
      <c r="K2116" s="219">
        <f ca="1">IF($S$1&lt;DATE(2025,6,1)," ",SUMIFS('2025数据'!$BZ$3:$BZ$181,'2025数据'!$AB$3:$AB$181,"&gt;="&amp;DATE(2025,6,1),'2025数据'!$AB$3:$AB$181,"&lt;="&amp;DATE(2025,6,30),'2025数据'!$BY$3:$BY$181,$E37)/10000)</f>
        <v>0.067707</v>
      </c>
      <c r="L2116" s="219">
        <f ca="1">IF($S$1&lt;DATE(2025,7,1)," ",SUMIFS('2025数据'!$BZ$3:$BZ$181,'2025数据'!$AB$3:$AB$181,"&gt;="&amp;DATE(2025,7,1),'2025数据'!$AB$3:$AB$181,"&lt;="&amp;DATE(2025,7,31),'2025数据'!$BY$3:$BY$181,$E37)/10000)</f>
        <v>0.067521</v>
      </c>
      <c r="M2116" s="219">
        <f ca="1">IF($S$1&lt;DATE(2025,8,1)," ",SUMIFS('2025数据'!$BZ$3:$BZ$181,'2025数据'!$AB$3:$AB$181,"&gt;="&amp;DATE(2025,8,1),'2025数据'!$AB$3:$AB$181,"&lt;="&amp;DATE(2025,8,31),'2025数据'!$BY$3:$BY$181,$E37)/10000)</f>
        <v>0.423543</v>
      </c>
      <c r="N2116" s="219">
        <f ca="1">IF($S$1&lt;DATE(2025,9,1)," ",SUMIFS('2025数据'!$BZ$3:$BZ$181,'2025数据'!$AB$3:$AB$181,"&gt;="&amp;DATE(2025,9,1),'2025数据'!$AB$3:$AB$181,"&lt;="&amp;DATE(2025,9,30),'2025数据'!$BY$3:$BY$181,$E37)/10000)</f>
        <v>0</v>
      </c>
      <c r="O2116" s="219">
        <f ca="1">IF($S$1&lt;DATE(2025,10,1)," ",SUMIFS('2025数据'!$BZ$3:$BZ$181,'2025数据'!$AB$3:$AB$181,"&gt;="&amp;DATE(2025,10,1),'2025数据'!$AB$3:$AB$181,"&lt;="&amp;DATE(2025,10,31),'2025数据'!$BY$3:$BY$181,$E37)/10000)</f>
        <v>0.0342</v>
      </c>
      <c r="P2116" s="224">
        <f ca="1">IF($S$1&lt;DATE(2025,11,1)," ",SUMIFS('2025数据'!$BZ$3:$BZ$181,'2025数据'!$AB$3:$AB$181,"&gt;="&amp;DATE(2025,11,1),'2025数据'!$AB$3:$AB$181,"&lt;="&amp;DATE(2025,11,30),'2025数据'!$BY$3:$BY$181,$E37)/10000)</f>
        <v>0</v>
      </c>
      <c r="Q2116" s="224">
        <f ca="1">IF($S$1&lt;DATE(2025,12,1)," ",SUMIFS('2025数据'!$BZ$3:$BZ$181,'2025数据'!$AB$3:$AB$181,"&gt;="&amp;DATE(2025,12,1),'2025数据'!$AB$3:$AB$181,"&lt;="&amp;DATE(2025,12,31),'2025数据'!$BY$3:$BY$181,$E37)/10000)</f>
        <v>0</v>
      </c>
    </row>
    <row r="2117" ht="24" customHeight="1" spans="1:17">
      <c r="A2117" s="99" t="s">
        <v>350</v>
      </c>
      <c r="B2117" s="99" t="s">
        <v>299</v>
      </c>
      <c r="C2117" s="99" t="s">
        <v>333</v>
      </c>
      <c r="D2117" s="114" t="s">
        <v>292</v>
      </c>
      <c r="E2117" s="53" t="s">
        <v>338</v>
      </c>
      <c r="F2117" s="219">
        <f ca="1">IF($S$1&lt;DATE(2025,1,1)," ",SUMIFS('2025数据'!$BZ$3:$BZ$181,'2025数据'!$AB$3:$AB$181,"&gt;="&amp;DATE(2025,1,1),'2025数据'!$AB$3:$AB$181,"&lt;="&amp;DATE(2025,1,31),'2025数据'!$BY$3:$BY$181,$E38)/10000)</f>
        <v>0</v>
      </c>
      <c r="G2117" s="219">
        <f ca="1">IF($S$1&lt;DATE(2025,2,1)," ",SUMIFS('2025数据'!$BZ$3:$BZ$181,'2025数据'!$AB$3:$AB$181,"&gt;="&amp;DATE(2025,2,1),'2025数据'!$AB$3:$AB$181,"&lt;="&amp;DATE(2025,2,28),'2025数据'!$BY$3:$BY$181,$E38)/10000)</f>
        <v>0</v>
      </c>
      <c r="H2117" s="219">
        <f ca="1">IF($S$1&lt;DATE(2025,3,1)," ",SUMIFS('2025数据'!$BZ$3:$BZ$181,'2025数据'!$AB$3:$AB$181,"&gt;="&amp;DATE(2025,3,1),'2025数据'!$AB$3:$AB$181,"&lt;="&amp;DATE(2025,3,31),'2025数据'!$BY$3:$BY$181,$E38)/10000)</f>
        <v>0</v>
      </c>
      <c r="I2117" s="219">
        <f ca="1">IF($S$1&lt;DATE(2025,4,1)," ",SUMIFS('2025数据'!$BZ$3:$BZ$181,'2025数据'!$AB$3:$AB$181,"&gt;="&amp;DATE(2025,4,1),'2025数据'!$AB$3:$AB$181,"&lt;="&amp;DATE(2025,4,30),'2025数据'!$BY$3:$BY$181,$E38)/10000)</f>
        <v>0</v>
      </c>
      <c r="J2117" s="219">
        <f ca="1">IF($S$1&lt;DATE(2025,5,1)," ",SUMIFS('2025数据'!$BZ$3:$BZ$181,'2025数据'!$AB$3:$AB$181,"&gt;="&amp;DATE(2025,5,1),'2025数据'!$AB$3:$AB$181,"&lt;="&amp;DATE(2025,5,31),'2025数据'!$BY$3:$BY$181,$E38)/10000)</f>
        <v>0</v>
      </c>
      <c r="K2117" s="219">
        <f ca="1">IF($S$1&lt;DATE(2025,6,1)," ",SUMIFS('2025数据'!$BZ$3:$BZ$181,'2025数据'!$AB$3:$AB$181,"&gt;="&amp;DATE(2025,6,1),'2025数据'!$AB$3:$AB$181,"&lt;="&amp;DATE(2025,6,30),'2025数据'!$BY$3:$BY$181,$E38)/10000)</f>
        <v>0</v>
      </c>
      <c r="L2117" s="219">
        <f ca="1">IF($S$1&lt;DATE(2025,7,1)," ",SUMIFS('2025数据'!$BZ$3:$BZ$181,'2025数据'!$AB$3:$AB$181,"&gt;="&amp;DATE(2025,7,1),'2025数据'!$AB$3:$AB$181,"&lt;="&amp;DATE(2025,7,31),'2025数据'!$BY$3:$BY$181,$E38)/10000)</f>
        <v>0</v>
      </c>
      <c r="M2117" s="219">
        <f ca="1">IF($S$1&lt;DATE(2025,8,1)," ",SUMIFS('2025数据'!$BZ$3:$BZ$181,'2025数据'!$AB$3:$AB$181,"&gt;="&amp;DATE(2025,8,1),'2025数据'!$AB$3:$AB$181,"&lt;="&amp;DATE(2025,8,31),'2025数据'!$BY$3:$BY$181,$E38)/10000)</f>
        <v>0</v>
      </c>
      <c r="N2117" s="219">
        <f ca="1">IF($S$1&lt;DATE(2025,9,1)," ",SUMIFS('2025数据'!$BZ$3:$BZ$181,'2025数据'!$AB$3:$AB$181,"&gt;="&amp;DATE(2025,9,1),'2025数据'!$AB$3:$AB$181,"&lt;="&amp;DATE(2025,9,30),'2025数据'!$BY$3:$BY$181,$E38)/10000)</f>
        <v>0</v>
      </c>
      <c r="O2117" s="219">
        <f ca="1">IF($S$1&lt;DATE(2025,10,1)," ",SUMIFS('2025数据'!$BZ$3:$BZ$181,'2025数据'!$AB$3:$AB$181,"&gt;="&amp;DATE(2025,10,1),'2025数据'!$AB$3:$AB$181,"&lt;="&amp;DATE(2025,10,31),'2025数据'!$BY$3:$BY$181,$E38)/10000)</f>
        <v>0</v>
      </c>
      <c r="P2117" s="224">
        <f ca="1">IF($S$1&lt;DATE(2025,11,1)," ",SUMIFS('2025数据'!$BZ$3:$BZ$181,'2025数据'!$AB$3:$AB$181,"&gt;="&amp;DATE(2025,11,1),'2025数据'!$AB$3:$AB$181,"&lt;="&amp;DATE(2025,11,30),'2025数据'!$BY$3:$BY$181,$E38)/10000)</f>
        <v>0.181329</v>
      </c>
      <c r="Q2117" s="224">
        <f ca="1">IF($S$1&lt;DATE(2025,12,1)," ",SUMIFS('2025数据'!$BZ$3:$BZ$181,'2025数据'!$AB$3:$AB$181,"&gt;="&amp;DATE(2025,12,1),'2025数据'!$AB$3:$AB$181,"&lt;="&amp;DATE(2025,12,31),'2025数据'!$BY$3:$BY$181,$E38)/10000)</f>
        <v>0</v>
      </c>
    </row>
    <row r="2118" ht="24" customHeight="1" spans="1:17">
      <c r="A2118" s="99" t="s">
        <v>350</v>
      </c>
      <c r="B2118" s="99" t="s">
        <v>299</v>
      </c>
      <c r="C2118" s="99" t="s">
        <v>333</v>
      </c>
      <c r="D2118" s="114" t="s">
        <v>292</v>
      </c>
      <c r="E2118" s="53" t="s">
        <v>339</v>
      </c>
      <c r="F2118" s="219">
        <f ca="1">IF($S$1&lt;DATE(2025,1,1)," ",SUMIFS('2025数据'!$BZ$3:$BZ$181,'2025数据'!$AB$3:$AB$181,"&gt;="&amp;DATE(2025,1,1),'2025数据'!$AB$3:$AB$181,"&lt;="&amp;DATE(2025,1,31),'2025数据'!$BY$3:$BY$181,$E39)/10000)</f>
        <v>0</v>
      </c>
      <c r="G2118" s="219">
        <f ca="1">IF($S$1&lt;DATE(2025,2,1)," ",SUMIFS('2025数据'!$BZ$3:$BZ$181,'2025数据'!$AB$3:$AB$181,"&gt;="&amp;DATE(2025,2,1),'2025数据'!$AB$3:$AB$181,"&lt;="&amp;DATE(2025,2,28),'2025数据'!$BY$3:$BY$181,$E39)/10000)</f>
        <v>0</v>
      </c>
      <c r="H2118" s="219">
        <f ca="1">IF($S$1&lt;DATE(2025,3,1)," ",SUMIFS('2025数据'!$BZ$3:$BZ$181,'2025数据'!$AB$3:$AB$181,"&gt;="&amp;DATE(2025,3,1),'2025数据'!$AB$3:$AB$181,"&lt;="&amp;DATE(2025,3,31),'2025数据'!$BY$3:$BY$181,$E39)/10000)</f>
        <v>0</v>
      </c>
      <c r="I2118" s="219">
        <f ca="1">IF($S$1&lt;DATE(2025,4,1)," ",SUMIFS('2025数据'!$BZ$3:$BZ$181,'2025数据'!$AB$3:$AB$181,"&gt;="&amp;DATE(2025,4,1),'2025数据'!$AB$3:$AB$181,"&lt;="&amp;DATE(2025,4,30),'2025数据'!$BY$3:$BY$181,$E39)/10000)</f>
        <v>0</v>
      </c>
      <c r="J2118" s="219">
        <f ca="1">IF($S$1&lt;DATE(2025,5,1)," ",SUMIFS('2025数据'!$BZ$3:$BZ$181,'2025数据'!$AB$3:$AB$181,"&gt;="&amp;DATE(2025,5,1),'2025数据'!$AB$3:$AB$181,"&lt;="&amp;DATE(2025,5,31),'2025数据'!$BY$3:$BY$181,$E39)/10000)</f>
        <v>0</v>
      </c>
      <c r="K2118" s="219">
        <f ca="1">IF($S$1&lt;DATE(2025,6,1)," ",SUMIFS('2025数据'!$BZ$3:$BZ$181,'2025数据'!$AB$3:$AB$181,"&gt;="&amp;DATE(2025,6,1),'2025数据'!$AB$3:$AB$181,"&lt;="&amp;DATE(2025,6,30),'2025数据'!$BY$3:$BY$181,$E39)/10000)</f>
        <v>0</v>
      </c>
      <c r="L2118" s="219">
        <f ca="1">IF($S$1&lt;DATE(2025,7,1)," ",SUMIFS('2025数据'!$BZ$3:$BZ$181,'2025数据'!$AB$3:$AB$181,"&gt;="&amp;DATE(2025,7,1),'2025数据'!$AB$3:$AB$181,"&lt;="&amp;DATE(2025,7,31),'2025数据'!$BY$3:$BY$181,$E39)/10000)</f>
        <v>0</v>
      </c>
      <c r="M2118" s="219">
        <f ca="1">IF($S$1&lt;DATE(2025,8,1)," ",SUMIFS('2025数据'!$BZ$3:$BZ$181,'2025数据'!$AB$3:$AB$181,"&gt;="&amp;DATE(2025,8,1),'2025数据'!$AB$3:$AB$181,"&lt;="&amp;DATE(2025,8,31),'2025数据'!$BY$3:$BY$181,$E39)/10000)</f>
        <v>0</v>
      </c>
      <c r="N2118" s="219">
        <f ca="1">IF($S$1&lt;DATE(2025,9,1)," ",SUMIFS('2025数据'!$BZ$3:$BZ$181,'2025数据'!$AB$3:$AB$181,"&gt;="&amp;DATE(2025,9,1),'2025数据'!$AB$3:$AB$181,"&lt;="&amp;DATE(2025,9,30),'2025数据'!$BY$3:$BY$181,$E39)/10000)</f>
        <v>0</v>
      </c>
      <c r="O2118" s="219">
        <f ca="1">IF($S$1&lt;DATE(2025,10,1)," ",SUMIFS('2025数据'!$BZ$3:$BZ$181,'2025数据'!$AB$3:$AB$181,"&gt;="&amp;DATE(2025,10,1),'2025数据'!$AB$3:$AB$181,"&lt;="&amp;DATE(2025,10,31),'2025数据'!$BY$3:$BY$181,$E39)/10000)</f>
        <v>0</v>
      </c>
      <c r="P2118" s="224">
        <f ca="1">IF($S$1&lt;DATE(2025,11,1)," ",SUMIFS('2025数据'!$BZ$3:$BZ$181,'2025数据'!$AB$3:$AB$181,"&gt;="&amp;DATE(2025,11,1),'2025数据'!$AB$3:$AB$181,"&lt;="&amp;DATE(2025,11,30),'2025数据'!$BY$3:$BY$181,$E39)/10000)</f>
        <v>0</v>
      </c>
      <c r="Q2118" s="224">
        <f ca="1">IF($S$1&lt;DATE(2025,12,1)," ",SUMIFS('2025数据'!$BZ$3:$BZ$181,'2025数据'!$AB$3:$AB$181,"&gt;="&amp;DATE(2025,12,1),'2025数据'!$AB$3:$AB$181,"&lt;="&amp;DATE(2025,12,31),'2025数据'!$BY$3:$BY$181,$E39)/10000)</f>
        <v>0</v>
      </c>
    </row>
    <row r="2119" ht="24" customHeight="1" spans="1:17">
      <c r="A2119" s="99" t="s">
        <v>350</v>
      </c>
      <c r="B2119" s="99" t="s">
        <v>299</v>
      </c>
      <c r="C2119" s="99" t="s">
        <v>333</v>
      </c>
      <c r="D2119" s="53" t="s">
        <v>303</v>
      </c>
      <c r="E2119" s="53" t="s">
        <v>93</v>
      </c>
      <c r="F2119" s="219">
        <f ca="1">IF($S$1&lt;DATE(2025,1,1)," ",SUMIFS('2025数据'!$BZ$3:$BZ$181,'2025数据'!$AB$3:$AB$181,"&gt;="&amp;DATE(2025,1,1),'2025数据'!$AB$3:$AB$181,"&lt;="&amp;DATE(2025,1,31),'2025数据'!$BY$3:$BY$181,$E$37,'2025数据'!$B$3:$B$181,E2119)/10000)</f>
        <v>0</v>
      </c>
      <c r="G2119" s="219">
        <f ca="1">IF($S$1&lt;DATE(2025,2,1)," ",SUMIFS('2025数据'!$BZ$3:$BZ$181,'2025数据'!$AB$3:$AB$181,"&gt;="&amp;DATE(2025,2,1),'2025数据'!$AB$3:$AB$181,"&lt;="&amp;DATE(2025,2,28),'2025数据'!$BY$3:$BY$181,$E$37,'2025数据'!$B$3:$B$181,E2119)/10000)</f>
        <v>0</v>
      </c>
      <c r="H2119" s="219">
        <f ca="1">IF($S$1&lt;DATE(2025,3,1)," ",SUMIFS('2025数据'!$BZ$3:$BZ$181,'2025数据'!$AB$3:$AB$181,"&gt;="&amp;DATE(2025,3,1),'2025数据'!$AB$3:$AB$181,"&lt;="&amp;DATE(2025,3,31),'2025数据'!$BY$3:$BY$181,$E$37,'2025数据'!$B$3:$B$181,E2119)/10000)</f>
        <v>0.002705</v>
      </c>
      <c r="I2119" s="219">
        <f ca="1">IF($S$1&lt;DATE(2025,4,1)," ",SUMIFS('2025数据'!$BZ$3:$BZ$181,'2025数据'!$AB$3:$AB$181,"&gt;="&amp;DATE(2025,4,1),'2025数据'!$AB$3:$AB$181,"&lt;="&amp;DATE(2025,4,30),'2025数据'!$BY$3:$BY$181,$E$37,'2025数据'!$B$3:$B$181,E2119)/10000)</f>
        <v>0</v>
      </c>
      <c r="J2119" s="219">
        <f ca="1">IF($S$1&lt;DATE(2025,5,1)," ",SUMIFS('2025数据'!$BZ$3:$BZ$181,'2025数据'!$AB$3:$AB$181,"&gt;="&amp;DATE(2025,5,1),'2025数据'!$AB$3:$AB$181,"&lt;="&amp;DATE(2025,5,31),'2025数据'!$BY$3:$BY$181,$E$37,'2025数据'!$B$3:$B$181,E2119)/10000)</f>
        <v>0</v>
      </c>
      <c r="K2119" s="219">
        <f ca="1">IF($S$1&lt;DATE(2025,6,1)," ",SUMIFS('2025数据'!$BZ$3:$BZ$181,'2025数据'!$AB$3:$AB$181,"&gt;="&amp;DATE(2025,6,1),'2025数据'!$AB$3:$AB$181,"&lt;="&amp;DATE(2025,6,30),'2025数据'!$BY$3:$BY$181,$E$37,'2025数据'!$B$3:$B$181,E2119)/10000)</f>
        <v>0.067707</v>
      </c>
      <c r="L2119" s="219">
        <f ca="1">IF($S$1&lt;DATE(2025,7,1)," ",SUMIFS('2025数据'!$BZ$3:$BZ$181,'2025数据'!$AB$3:$AB$181,"&gt;="&amp;DATE(2025,7,1),'2025数据'!$AB$3:$AB$181,"&lt;="&amp;DATE(2025,7,31),'2025数据'!$BY$3:$BY$181,$E$37,'2025数据'!$B$3:$B$181,E2119)/10000)</f>
        <v>0</v>
      </c>
      <c r="M2119" s="219">
        <f ca="1">IF($S$1&lt;DATE(2025,8,1)," ",SUMIFS('2025数据'!$BZ$3:$BZ$181,'2025数据'!$AB$3:$AB$181,"&gt;="&amp;DATE(2025,8,1),'2025数据'!$AB$3:$AB$181,"&lt;="&amp;DATE(2025,8,31),'2025数据'!$BY$3:$BY$181,$E$37,'2025数据'!$B$3:$B$181,E2119)/10000)</f>
        <v>0.410627</v>
      </c>
      <c r="N2119" s="219">
        <f ca="1">IF($S$1&lt;DATE(2025,9,1)," ",SUMIFS('2025数据'!$BZ$3:$BZ$181,'2025数据'!$AB$3:$AB$181,"&gt;="&amp;DATE(2025,9,1),'2025数据'!$AB$3:$AB$181,"&lt;="&amp;DATE(2025,9,30),'2025数据'!$BY$3:$BY$181,$E$37,'2025数据'!$B$3:$B$181,E2119)/10000)</f>
        <v>0</v>
      </c>
      <c r="O2119" s="219">
        <f ca="1">IF($S$1&lt;DATE(2025,10,1)," ",SUMIFS('2025数据'!$BZ$3:$BZ$181,'2025数据'!$AB$3:$AB$181,"&gt;="&amp;DATE(2025,10,1),'2025数据'!$AB$3:$AB$181,"&lt;="&amp;DATE(2025,10,31),'2025数据'!$BY$3:$BY$181,$E$37,'2025数据'!$B$3:$B$181,E2119)/10000)</f>
        <v>0.023657</v>
      </c>
      <c r="P2119" s="224">
        <f ca="1">IF($S$1&lt;DATE(2025,11,1)," ",SUMIFS('2025数据'!$BZ$3:$BZ$181,'2025数据'!$AB$3:$AB$181,"&gt;="&amp;DATE(2025,11,1),'2025数据'!$AB$3:$AB$181,"&lt;="&amp;DATE(2025,11,30),'2025数据'!$BY$3:$BY$181,$E$37,'2025数据'!$B$3:$B$181,E2119)/10000)</f>
        <v>0</v>
      </c>
      <c r="Q2119" s="224">
        <f ca="1">IF($S$1&lt;DATE(2025,12,1)," ",SUMIFS('2025数据'!$BZ$3:$BZ$181,'2025数据'!$AB$3:$AB$181,"&gt;="&amp;DATE(2025,12,1),'2025数据'!$AB$3:$AB$181,"&lt;="&amp;DATE(2025,12,31),'2025数据'!$BY$3:$BY$181,$E$37,'2025数据'!$B$3:$B$181,E2119)/10000)</f>
        <v>0</v>
      </c>
    </row>
    <row r="2120" ht="24" customHeight="1" spans="1:17">
      <c r="A2120" s="99" t="s">
        <v>350</v>
      </c>
      <c r="B2120" s="99" t="s">
        <v>299</v>
      </c>
      <c r="C2120" s="99" t="s">
        <v>333</v>
      </c>
      <c r="D2120" s="53" t="s">
        <v>303</v>
      </c>
      <c r="E2120" s="53" t="s">
        <v>85</v>
      </c>
      <c r="F2120" s="219">
        <f ca="1">IF($S$1&lt;DATE(2025,1,1)," ",SUMIFS('2025数据'!$BZ$3:$BZ$181,'2025数据'!$AB$3:$AB$181,"&gt;="&amp;DATE(2025,1,1),'2025数据'!$AB$3:$AB$181,"&lt;="&amp;DATE(2025,1,31),'2025数据'!$BY$3:$BY$181,$E$37,'2025数据'!$B$3:$B$181,E2120)/10000)</f>
        <v>0.006113</v>
      </c>
      <c r="G2120" s="219">
        <f ca="1">IF($S$1&lt;DATE(2025,2,1)," ",SUMIFS('2025数据'!$BZ$3:$BZ$181,'2025数据'!$AB$3:$AB$181,"&gt;="&amp;DATE(2025,2,1),'2025数据'!$AB$3:$AB$181,"&lt;="&amp;DATE(2025,2,28),'2025数据'!$BY$3:$BY$181,$E$37,'2025数据'!$B$3:$B$181,E2120)/10000)</f>
        <v>0</v>
      </c>
      <c r="H2120" s="219">
        <f ca="1">IF($S$1&lt;DATE(2025,3,1)," ",SUMIFS('2025数据'!$BZ$3:$BZ$181,'2025数据'!$AB$3:$AB$181,"&gt;="&amp;DATE(2025,3,1),'2025数据'!$AB$3:$AB$181,"&lt;="&amp;DATE(2025,3,31),'2025数据'!$BY$3:$BY$181,$E$37,'2025数据'!$B$3:$B$181,E2120)/10000)</f>
        <v>0</v>
      </c>
      <c r="I2120" s="219">
        <f ca="1">IF($S$1&lt;DATE(2025,4,1)," ",SUMIFS('2025数据'!$BZ$3:$BZ$181,'2025数据'!$AB$3:$AB$181,"&gt;="&amp;DATE(2025,4,1),'2025数据'!$AB$3:$AB$181,"&lt;="&amp;DATE(2025,4,30),'2025数据'!$BY$3:$BY$181,$E$37,'2025数据'!$B$3:$B$181,E2120)/10000)</f>
        <v>0.010281</v>
      </c>
      <c r="J2120" s="219">
        <f ca="1">IF($S$1&lt;DATE(2025,5,1)," ",SUMIFS('2025数据'!$BZ$3:$BZ$181,'2025数据'!$AB$3:$AB$181,"&gt;="&amp;DATE(2025,5,1),'2025数据'!$AB$3:$AB$181,"&lt;="&amp;DATE(2025,5,31),'2025数据'!$BY$3:$BY$181,$E$37,'2025数据'!$B$3:$B$181,E2120)/10000)</f>
        <v>0</v>
      </c>
      <c r="K2120" s="219">
        <f ca="1">IF($S$1&lt;DATE(2025,6,1)," ",SUMIFS('2025数据'!$BZ$3:$BZ$181,'2025数据'!$AB$3:$AB$181,"&gt;="&amp;DATE(2025,6,1),'2025数据'!$AB$3:$AB$181,"&lt;="&amp;DATE(2025,6,30),'2025数据'!$BY$3:$BY$181,$E$37,'2025数据'!$B$3:$B$181,E2120)/10000)</f>
        <v>0</v>
      </c>
      <c r="L2120" s="219">
        <f ca="1">IF($S$1&lt;DATE(2025,7,1)," ",SUMIFS('2025数据'!$BZ$3:$BZ$181,'2025数据'!$AB$3:$AB$181,"&gt;="&amp;DATE(2025,7,1),'2025数据'!$AB$3:$AB$181,"&lt;="&amp;DATE(2025,7,31),'2025数据'!$BY$3:$BY$181,$E$37,'2025数据'!$B$3:$B$181,E2120)/10000)</f>
        <v>0</v>
      </c>
      <c r="M2120" s="219">
        <f ca="1">IF($S$1&lt;DATE(2025,8,1)," ",SUMIFS('2025数据'!$BZ$3:$BZ$181,'2025数据'!$AB$3:$AB$181,"&gt;="&amp;DATE(2025,8,1),'2025数据'!$AB$3:$AB$181,"&lt;="&amp;DATE(2025,8,31),'2025数据'!$BY$3:$BY$181,$E$37,'2025数据'!$B$3:$B$181,E2120)/10000)</f>
        <v>0.012916</v>
      </c>
      <c r="N2120" s="219">
        <f ca="1">IF($S$1&lt;DATE(2025,9,1)," ",SUMIFS('2025数据'!$BZ$3:$BZ$181,'2025数据'!$AB$3:$AB$181,"&gt;="&amp;DATE(2025,9,1),'2025数据'!$AB$3:$AB$181,"&lt;="&amp;DATE(2025,9,30),'2025数据'!$BY$3:$BY$181,$E$37,'2025数据'!$B$3:$B$181,E2120)/10000)</f>
        <v>0</v>
      </c>
      <c r="O2120" s="219">
        <f ca="1">IF($S$1&lt;DATE(2025,10,1)," ",SUMIFS('2025数据'!$BZ$3:$BZ$181,'2025数据'!$AB$3:$AB$181,"&gt;="&amp;DATE(2025,10,1),'2025数据'!$AB$3:$AB$181,"&lt;="&amp;DATE(2025,10,31),'2025数据'!$BY$3:$BY$181,$E$37,'2025数据'!$B$3:$B$181,E2120)/10000)</f>
        <v>0.010543</v>
      </c>
      <c r="P2120" s="224">
        <f ca="1">IF($S$1&lt;DATE(2025,11,1)," ",SUMIFS('2025数据'!$BZ$3:$BZ$181,'2025数据'!$AB$3:$AB$181,"&gt;="&amp;DATE(2025,11,1),'2025数据'!$AB$3:$AB$181,"&lt;="&amp;DATE(2025,11,30),'2025数据'!$BY$3:$BY$181,$E$37,'2025数据'!$B$3:$B$181,E2120)/10000)</f>
        <v>0</v>
      </c>
      <c r="Q2120" s="224">
        <f ca="1">IF($S$1&lt;DATE(2025,12,1)," ",SUMIFS('2025数据'!$BZ$3:$BZ$181,'2025数据'!$AB$3:$AB$181,"&gt;="&amp;DATE(2025,12,1),'2025数据'!$AB$3:$AB$181,"&lt;="&amp;DATE(2025,12,31),'2025数据'!$BY$3:$BY$181,$E$37,'2025数据'!$B$3:$B$181,E2120)/10000)</f>
        <v>0</v>
      </c>
    </row>
    <row r="2121" ht="24" customHeight="1" spans="1:17">
      <c r="A2121" s="99" t="s">
        <v>350</v>
      </c>
      <c r="B2121" s="99" t="s">
        <v>299</v>
      </c>
      <c r="C2121" s="99" t="s">
        <v>333</v>
      </c>
      <c r="D2121" s="53" t="s">
        <v>303</v>
      </c>
      <c r="E2121" s="53" t="s">
        <v>81</v>
      </c>
      <c r="F2121" s="219">
        <f ca="1">IF($S$1&lt;DATE(2025,1,1)," ",SUMIFS('2025数据'!$BZ$3:$BZ$181,'2025数据'!$AB$3:$AB$181,"&gt;="&amp;DATE(2025,1,1),'2025数据'!$AB$3:$AB$181,"&lt;="&amp;DATE(2025,1,31),'2025数据'!$BY$3:$BY$181,$E$37,'2025数据'!$B$3:$B$181,E2121)/10000)</f>
        <v>0</v>
      </c>
      <c r="G2121" s="219">
        <f ca="1">IF($S$1&lt;DATE(2025,2,1)," ",SUMIFS('2025数据'!$BZ$3:$BZ$181,'2025数据'!$AB$3:$AB$181,"&gt;="&amp;DATE(2025,2,1),'2025数据'!$AB$3:$AB$181,"&lt;="&amp;DATE(2025,2,28),'2025数据'!$BY$3:$BY$181,$E$37,'2025数据'!$B$3:$B$181,E2121)/10000)</f>
        <v>0</v>
      </c>
      <c r="H2121" s="219">
        <f ca="1">IF($S$1&lt;DATE(2025,3,1)," ",SUMIFS('2025数据'!$BZ$3:$BZ$181,'2025数据'!$AB$3:$AB$181,"&gt;="&amp;DATE(2025,3,1),'2025数据'!$AB$3:$AB$181,"&lt;="&amp;DATE(2025,3,31),'2025数据'!$BY$3:$BY$181,$E$37,'2025数据'!$B$3:$B$181,E2121)/10000)</f>
        <v>0</v>
      </c>
      <c r="I2121" s="219">
        <f ca="1">IF($S$1&lt;DATE(2025,4,1)," ",SUMIFS('2025数据'!$BZ$3:$BZ$181,'2025数据'!$AB$3:$AB$181,"&gt;="&amp;DATE(2025,4,1),'2025数据'!$AB$3:$AB$181,"&lt;="&amp;DATE(2025,4,30),'2025数据'!$BY$3:$BY$181,$E$37,'2025数据'!$B$3:$B$181,E2121)/10000)</f>
        <v>0</v>
      </c>
      <c r="J2121" s="219">
        <f ca="1">IF($S$1&lt;DATE(2025,5,1)," ",SUMIFS('2025数据'!$BZ$3:$BZ$181,'2025数据'!$AB$3:$AB$181,"&gt;="&amp;DATE(2025,5,1),'2025数据'!$AB$3:$AB$181,"&lt;="&amp;DATE(2025,5,31),'2025数据'!$BY$3:$BY$181,$E$37,'2025数据'!$B$3:$B$181,E2121)/10000)</f>
        <v>0.005673</v>
      </c>
      <c r="K2121" s="219">
        <f ca="1">IF($S$1&lt;DATE(2025,6,1)," ",SUMIFS('2025数据'!$BZ$3:$BZ$181,'2025数据'!$AB$3:$AB$181,"&gt;="&amp;DATE(2025,6,1),'2025数据'!$AB$3:$AB$181,"&lt;="&amp;DATE(2025,6,30),'2025数据'!$BY$3:$BY$181,$E$37,'2025数据'!$B$3:$B$181,E2121)/10000)</f>
        <v>0</v>
      </c>
      <c r="L2121" s="219">
        <f ca="1">IF($S$1&lt;DATE(2025,7,1)," ",SUMIFS('2025数据'!$BZ$3:$BZ$181,'2025数据'!$AB$3:$AB$181,"&gt;="&amp;DATE(2025,7,1),'2025数据'!$AB$3:$AB$181,"&lt;="&amp;DATE(2025,7,31),'2025数据'!$BY$3:$BY$181,$E$37,'2025数据'!$B$3:$B$181,E2121)/10000)</f>
        <v>0.067521</v>
      </c>
      <c r="M2121" s="219">
        <f ca="1">IF($S$1&lt;DATE(2025,8,1)," ",SUMIFS('2025数据'!$BZ$3:$BZ$181,'2025数据'!$AB$3:$AB$181,"&gt;="&amp;DATE(2025,8,1),'2025数据'!$AB$3:$AB$181,"&lt;="&amp;DATE(2025,8,31),'2025数据'!$BY$3:$BY$181,$E$37,'2025数据'!$B$3:$B$181,E2121)/10000)</f>
        <v>0</v>
      </c>
      <c r="N2121" s="219">
        <f ca="1">IF($S$1&lt;DATE(2025,9,1)," ",SUMIFS('2025数据'!$BZ$3:$BZ$181,'2025数据'!$AB$3:$AB$181,"&gt;="&amp;DATE(2025,9,1),'2025数据'!$AB$3:$AB$181,"&lt;="&amp;DATE(2025,9,30),'2025数据'!$BY$3:$BY$181,$E$37,'2025数据'!$B$3:$B$181,E2121)/10000)</f>
        <v>0</v>
      </c>
      <c r="O2121" s="219">
        <f ca="1">IF($S$1&lt;DATE(2025,10,1)," ",SUMIFS('2025数据'!$BZ$3:$BZ$181,'2025数据'!$AB$3:$AB$181,"&gt;="&amp;DATE(2025,10,1),'2025数据'!$AB$3:$AB$181,"&lt;="&amp;DATE(2025,10,31),'2025数据'!$BY$3:$BY$181,$E$37,'2025数据'!$B$3:$B$181,E2121)/10000)</f>
        <v>0</v>
      </c>
      <c r="P2121" s="224">
        <f ca="1">IF($S$1&lt;DATE(2025,11,1)," ",SUMIFS('2025数据'!$BZ$3:$BZ$181,'2025数据'!$AB$3:$AB$181,"&gt;="&amp;DATE(2025,11,1),'2025数据'!$AB$3:$AB$181,"&lt;="&amp;DATE(2025,11,30),'2025数据'!$BY$3:$BY$181,$E$37,'2025数据'!$B$3:$B$181,E2121)/10000)</f>
        <v>0</v>
      </c>
      <c r="Q2121" s="224">
        <f ca="1">IF($S$1&lt;DATE(2025,12,1)," ",SUMIFS('2025数据'!$BZ$3:$BZ$181,'2025数据'!$AB$3:$AB$181,"&gt;="&amp;DATE(2025,12,1),'2025数据'!$AB$3:$AB$181,"&lt;="&amp;DATE(2025,12,31),'2025数据'!$BY$3:$BY$181,$E$37,'2025数据'!$B$3:$B$181,E2121)/10000)</f>
        <v>0</v>
      </c>
    </row>
    <row r="2122" ht="24" customHeight="1" spans="1:17">
      <c r="A2122" s="99" t="s">
        <v>350</v>
      </c>
      <c r="B2122" s="99" t="s">
        <v>299</v>
      </c>
      <c r="C2122" s="99" t="s">
        <v>333</v>
      </c>
      <c r="D2122" s="53" t="s">
        <v>303</v>
      </c>
      <c r="E2122" s="53" t="s">
        <v>96</v>
      </c>
      <c r="F2122" s="219">
        <f ca="1">IF($S$1&lt;DATE(2025,1,1)," ",SUMIFS('2025数据'!$BZ$3:$BZ$181,'2025数据'!$AB$3:$AB$181,"&gt;="&amp;DATE(2025,1,1),'2025数据'!$AB$3:$AB$181,"&lt;="&amp;DATE(2025,1,31),'2025数据'!$BY$3:$BY$181,$E$37,'2025数据'!$B$3:$B$181,E2122)/10000)</f>
        <v>0</v>
      </c>
      <c r="G2122" s="219">
        <f ca="1">IF($S$1&lt;DATE(2025,2,1)," ",SUMIFS('2025数据'!$BZ$3:$BZ$181,'2025数据'!$AB$3:$AB$181,"&gt;="&amp;DATE(2025,2,1),'2025数据'!$AB$3:$AB$181,"&lt;="&amp;DATE(2025,2,28),'2025数据'!$BY$3:$BY$181,$E$37,'2025数据'!$B$3:$B$181,E2122)/10000)</f>
        <v>0</v>
      </c>
      <c r="H2122" s="219">
        <f ca="1">IF($S$1&lt;DATE(2025,3,1)," ",SUMIFS('2025数据'!$BZ$3:$BZ$181,'2025数据'!$AB$3:$AB$181,"&gt;="&amp;DATE(2025,3,1),'2025数据'!$AB$3:$AB$181,"&lt;="&amp;DATE(2025,3,31),'2025数据'!$BY$3:$BY$181,$E$37,'2025数据'!$B$3:$B$181,E2122)/10000)</f>
        <v>0.031735</v>
      </c>
      <c r="I2122" s="219">
        <f ca="1">IF($S$1&lt;DATE(2025,4,1)," ",SUMIFS('2025数据'!$BZ$3:$BZ$181,'2025数据'!$AB$3:$AB$181,"&gt;="&amp;DATE(2025,4,1),'2025数据'!$AB$3:$AB$181,"&lt;="&amp;DATE(2025,4,30),'2025数据'!$BY$3:$BY$181,$E$37,'2025数据'!$B$3:$B$181,E2122)/10000)</f>
        <v>0</v>
      </c>
      <c r="J2122" s="219">
        <f ca="1">IF($S$1&lt;DATE(2025,5,1)," ",SUMIFS('2025数据'!$BZ$3:$BZ$181,'2025数据'!$AB$3:$AB$181,"&gt;="&amp;DATE(2025,5,1),'2025数据'!$AB$3:$AB$181,"&lt;="&amp;DATE(2025,5,31),'2025数据'!$BY$3:$BY$181,$E$37,'2025数据'!$B$3:$B$181,E2122)/10000)</f>
        <v>0</v>
      </c>
      <c r="K2122" s="219">
        <f ca="1">IF($S$1&lt;DATE(2025,6,1)," ",SUMIFS('2025数据'!$BZ$3:$BZ$181,'2025数据'!$AB$3:$AB$181,"&gt;="&amp;DATE(2025,6,1),'2025数据'!$AB$3:$AB$181,"&lt;="&amp;DATE(2025,6,30),'2025数据'!$BY$3:$BY$181,$E$37,'2025数据'!$B$3:$B$181,E2122)/10000)</f>
        <v>0</v>
      </c>
      <c r="L2122" s="219">
        <f ca="1">IF($S$1&lt;DATE(2025,7,1)," ",SUMIFS('2025数据'!$BZ$3:$BZ$181,'2025数据'!$AB$3:$AB$181,"&gt;="&amp;DATE(2025,7,1),'2025数据'!$AB$3:$AB$181,"&lt;="&amp;DATE(2025,7,31),'2025数据'!$BY$3:$BY$181,$E$37,'2025数据'!$B$3:$B$181,E2122)/10000)</f>
        <v>0</v>
      </c>
      <c r="M2122" s="219">
        <f ca="1">IF($S$1&lt;DATE(2025,8,1)," ",SUMIFS('2025数据'!$BZ$3:$BZ$181,'2025数据'!$AB$3:$AB$181,"&gt;="&amp;DATE(2025,8,1),'2025数据'!$AB$3:$AB$181,"&lt;="&amp;DATE(2025,8,31),'2025数据'!$BY$3:$BY$181,$E$37,'2025数据'!$B$3:$B$181,E2122)/10000)</f>
        <v>0</v>
      </c>
      <c r="N2122" s="219">
        <f ca="1">IF($S$1&lt;DATE(2025,9,1)," ",SUMIFS('2025数据'!$BZ$3:$BZ$181,'2025数据'!$AB$3:$AB$181,"&gt;="&amp;DATE(2025,9,1),'2025数据'!$AB$3:$AB$181,"&lt;="&amp;DATE(2025,9,30),'2025数据'!$BY$3:$BY$181,$E$37,'2025数据'!$B$3:$B$181,E2122)/10000)</f>
        <v>0</v>
      </c>
      <c r="O2122" s="219">
        <f ca="1">IF($S$1&lt;DATE(2025,10,1)," ",SUMIFS('2025数据'!$BZ$3:$BZ$181,'2025数据'!$AB$3:$AB$181,"&gt;="&amp;DATE(2025,10,1),'2025数据'!$AB$3:$AB$181,"&lt;="&amp;DATE(2025,10,31),'2025数据'!$BY$3:$BY$181,$E$37,'2025数据'!$B$3:$B$181,E2122)/10000)</f>
        <v>0</v>
      </c>
      <c r="P2122" s="224">
        <f ca="1">IF($S$1&lt;DATE(2025,11,1)," ",SUMIFS('2025数据'!$BZ$3:$BZ$181,'2025数据'!$AB$3:$AB$181,"&gt;="&amp;DATE(2025,11,1),'2025数据'!$AB$3:$AB$181,"&lt;="&amp;DATE(2025,11,30),'2025数据'!$BY$3:$BY$181,$E$37,'2025数据'!$B$3:$B$181,E2122)/10000)</f>
        <v>0</v>
      </c>
      <c r="Q2122" s="224">
        <f ca="1">IF($S$1&lt;DATE(2025,12,1)," ",SUMIFS('2025数据'!$BZ$3:$BZ$181,'2025数据'!$AB$3:$AB$181,"&gt;="&amp;DATE(2025,12,1),'2025数据'!$AB$3:$AB$181,"&lt;="&amp;DATE(2025,12,31),'2025数据'!$BY$3:$BY$181,$E$37,'2025数据'!$B$3:$B$181,E2122)/10000)</f>
        <v>0</v>
      </c>
    </row>
    <row r="2123" ht="24" customHeight="1" spans="1:17">
      <c r="A2123" s="99" t="s">
        <v>350</v>
      </c>
      <c r="B2123" s="99" t="s">
        <v>299</v>
      </c>
      <c r="C2123" s="99" t="s">
        <v>333</v>
      </c>
      <c r="D2123" s="53" t="s">
        <v>303</v>
      </c>
      <c r="E2123" s="53" t="s">
        <v>160</v>
      </c>
      <c r="F2123" s="219">
        <f ca="1">IF($S$1&lt;DATE(2025,1,1)," ",SUMIFS('2025数据'!$BZ$3:$BZ$181,'2025数据'!$AB$3:$AB$181,"&gt;="&amp;DATE(2025,1,1),'2025数据'!$AB$3:$AB$181,"&lt;="&amp;DATE(2025,1,31),'2025数据'!$BY$3:$BY$181,$E$37,'2025数据'!$B$3:$B$181,E2123)/10000)</f>
        <v>0</v>
      </c>
      <c r="G2123" s="219">
        <f ca="1">IF($S$1&lt;DATE(2025,2,1)," ",SUMIFS('2025数据'!$BZ$3:$BZ$181,'2025数据'!$AB$3:$AB$181,"&gt;="&amp;DATE(2025,2,1),'2025数据'!$AB$3:$AB$181,"&lt;="&amp;DATE(2025,2,28),'2025数据'!$BY$3:$BY$181,$E$37,'2025数据'!$B$3:$B$181,E2123)/10000)</f>
        <v>0</v>
      </c>
      <c r="H2123" s="219">
        <f ca="1">IF($S$1&lt;DATE(2025,3,1)," ",SUMIFS('2025数据'!$BZ$3:$BZ$181,'2025数据'!$AB$3:$AB$181,"&gt;="&amp;DATE(2025,3,1),'2025数据'!$AB$3:$AB$181,"&lt;="&amp;DATE(2025,3,31),'2025数据'!$BY$3:$BY$181,$E$37,'2025数据'!$B$3:$B$181,E2123)/10000)</f>
        <v>0</v>
      </c>
      <c r="I2123" s="219">
        <f ca="1">IF($S$1&lt;DATE(2025,4,1)," ",SUMIFS('2025数据'!$BZ$3:$BZ$181,'2025数据'!$AB$3:$AB$181,"&gt;="&amp;DATE(2025,4,1),'2025数据'!$AB$3:$AB$181,"&lt;="&amp;DATE(2025,4,30),'2025数据'!$BY$3:$BY$181,$E$37,'2025数据'!$B$3:$B$181,E2123)/10000)</f>
        <v>0</v>
      </c>
      <c r="J2123" s="219">
        <f ca="1">IF($S$1&lt;DATE(2025,5,1)," ",SUMIFS('2025数据'!$BZ$3:$BZ$181,'2025数据'!$AB$3:$AB$181,"&gt;="&amp;DATE(2025,5,1),'2025数据'!$AB$3:$AB$181,"&lt;="&amp;DATE(2025,5,31),'2025数据'!$BY$3:$BY$181,$E$37,'2025数据'!$B$3:$B$181,E2123)/10000)</f>
        <v>0</v>
      </c>
      <c r="K2123" s="219">
        <f ca="1">IF($S$1&lt;DATE(2025,6,1)," ",SUMIFS('2025数据'!$BZ$3:$BZ$181,'2025数据'!$AB$3:$AB$181,"&gt;="&amp;DATE(2025,6,1),'2025数据'!$AB$3:$AB$181,"&lt;="&amp;DATE(2025,6,30),'2025数据'!$BY$3:$BY$181,$E$37,'2025数据'!$B$3:$B$181,E2123)/10000)</f>
        <v>0</v>
      </c>
      <c r="L2123" s="219">
        <f ca="1">IF($S$1&lt;DATE(2025,7,1)," ",SUMIFS('2025数据'!$BZ$3:$BZ$181,'2025数据'!$AB$3:$AB$181,"&gt;="&amp;DATE(2025,7,1),'2025数据'!$AB$3:$AB$181,"&lt;="&amp;DATE(2025,7,31),'2025数据'!$BY$3:$BY$181,$E$37,'2025数据'!$B$3:$B$181,E2123)/10000)</f>
        <v>0</v>
      </c>
      <c r="M2123" s="219">
        <f ca="1">IF($S$1&lt;DATE(2025,8,1)," ",SUMIFS('2025数据'!$BZ$3:$BZ$181,'2025数据'!$AB$3:$AB$181,"&gt;="&amp;DATE(2025,8,1),'2025数据'!$AB$3:$AB$181,"&lt;="&amp;DATE(2025,8,31),'2025数据'!$BY$3:$BY$181,$E$37,'2025数据'!$B$3:$B$181,E2123)/10000)</f>
        <v>0</v>
      </c>
      <c r="N2123" s="219">
        <f ca="1">IF($S$1&lt;DATE(2025,9,1)," ",SUMIFS('2025数据'!$BZ$3:$BZ$181,'2025数据'!$AB$3:$AB$181,"&gt;="&amp;DATE(2025,9,1),'2025数据'!$AB$3:$AB$181,"&lt;="&amp;DATE(2025,9,30),'2025数据'!$BY$3:$BY$181,$E$37,'2025数据'!$B$3:$B$181,E2123)/10000)</f>
        <v>0</v>
      </c>
      <c r="O2123" s="219">
        <f ca="1">IF($S$1&lt;DATE(2025,10,1)," ",SUMIFS('2025数据'!$BZ$3:$BZ$181,'2025数据'!$AB$3:$AB$181,"&gt;="&amp;DATE(2025,10,1),'2025数据'!$AB$3:$AB$181,"&lt;="&amp;DATE(2025,10,31),'2025数据'!$BY$3:$BY$181,$E$37,'2025数据'!$B$3:$B$181,E2123)/10000)</f>
        <v>0</v>
      </c>
      <c r="P2123" s="224">
        <f ca="1">IF($S$1&lt;DATE(2025,11,1)," ",SUMIFS('2025数据'!$BZ$3:$BZ$181,'2025数据'!$AB$3:$AB$181,"&gt;="&amp;DATE(2025,11,1),'2025数据'!$AB$3:$AB$181,"&lt;="&amp;DATE(2025,11,30),'2025数据'!$BY$3:$BY$181,$E$37,'2025数据'!$B$3:$B$181,E2123)/10000)</f>
        <v>0</v>
      </c>
      <c r="Q2123" s="224">
        <f ca="1">IF($S$1&lt;DATE(2025,12,1)," ",SUMIFS('2025数据'!$BZ$3:$BZ$181,'2025数据'!$AB$3:$AB$181,"&gt;="&amp;DATE(2025,12,1),'2025数据'!$AB$3:$AB$181,"&lt;="&amp;DATE(2025,12,31),'2025数据'!$BY$3:$BY$181,$E$37,'2025数据'!$B$3:$B$181,E2123)/10000)</f>
        <v>0</v>
      </c>
    </row>
    <row r="2124" ht="24" customHeight="1" spans="1:17">
      <c r="A2124" s="99" t="s">
        <v>350</v>
      </c>
      <c r="B2124" s="99" t="s">
        <v>299</v>
      </c>
      <c r="C2124" s="99" t="s">
        <v>333</v>
      </c>
      <c r="D2124" s="53" t="s">
        <v>304</v>
      </c>
      <c r="E2124" s="53" t="s">
        <v>93</v>
      </c>
      <c r="F2124" s="219">
        <f ca="1">IF($S$1&lt;DATE(2025,1,1)," ",SUMIFS('2025数据'!$BZ$3:$BZ$181,'2025数据'!$AB$3:$AB$181,"&gt;="&amp;DATE(2025,1,1),'2025数据'!$AB$3:$AB$181,"&lt;="&amp;DATE(2025,1,31),'2025数据'!$BY$3:$BY$181,$E$38,'2025数据'!$B$3:$B$181,E2124)/10000)</f>
        <v>0</v>
      </c>
      <c r="G2124" s="219">
        <f ca="1">IF($S$1&lt;DATE(2025,2,1)," ",SUMIFS('2025数据'!$BZ$3:$BZ$181,'2025数据'!$AB$3:$AB$181,"&gt;="&amp;DATE(2025,2,1),'2025数据'!$AB$3:$AB$181,"&lt;="&amp;DATE(2025,2,28),'2025数据'!$BY$3:$BY$181,$E$38,'2025数据'!$B$3:$B$181,E2124)/10000)</f>
        <v>0</v>
      </c>
      <c r="H2124" s="219">
        <f ca="1">IF($S$1&lt;DATE(2025,3,1)," ",SUMIFS('2025数据'!$BZ$3:$BZ$181,'2025数据'!$AB$3:$AB$181,"&gt;="&amp;DATE(2025,3,1),'2025数据'!$AB$3:$AB$181,"&lt;="&amp;DATE(2025,3,31),'2025数据'!$BY$3:$BY$181,$E$38,'2025数据'!$B$3:$B$181,E2124)/10000)</f>
        <v>0</v>
      </c>
      <c r="I2124" s="219">
        <f ca="1">IF($S$1&lt;DATE(2025,4,1)," ",SUMIFS('2025数据'!$BZ$3:$BZ$181,'2025数据'!$AB$3:$AB$181,"&gt;="&amp;DATE(2025,4,1),'2025数据'!$AB$3:$AB$181,"&lt;="&amp;DATE(2025,4,30),'2025数据'!$BY$3:$BY$181,$E$38,'2025数据'!$B$3:$B$181,E2124)/10000)</f>
        <v>0</v>
      </c>
      <c r="J2124" s="219">
        <f ca="1">IF($S$1&lt;DATE(2025,5,1)," ",SUMIFS('2025数据'!$BZ$3:$BZ$181,'2025数据'!$AB$3:$AB$181,"&gt;="&amp;DATE(2025,5,1),'2025数据'!$AB$3:$AB$181,"&lt;="&amp;DATE(2025,5,31),'2025数据'!$BY$3:$BY$181,$E$38,'2025数据'!$B$3:$B$181,E2124)/10000)</f>
        <v>0</v>
      </c>
      <c r="K2124" s="219">
        <f ca="1">IF($S$1&lt;DATE(2025,6,1)," ",SUMIFS('2025数据'!$BZ$3:$BZ$181,'2025数据'!$AB$3:$AB$181,"&gt;="&amp;DATE(2025,6,1),'2025数据'!$AB$3:$AB$181,"&lt;="&amp;DATE(2025,6,30),'2025数据'!$BY$3:$BY$181,$E$38,'2025数据'!$B$3:$B$181,E2124)/10000)</f>
        <v>0</v>
      </c>
      <c r="L2124" s="219">
        <f ca="1">IF($S$1&lt;DATE(2025,7,1)," ",SUMIFS('2025数据'!$BZ$3:$BZ$181,'2025数据'!$AB$3:$AB$181,"&gt;="&amp;DATE(2025,7,1),'2025数据'!$AB$3:$AB$181,"&lt;="&amp;DATE(2025,7,31),'2025数据'!$BY$3:$BY$181,$E$38,'2025数据'!$B$3:$B$181,E2124)/10000)</f>
        <v>0</v>
      </c>
      <c r="M2124" s="219">
        <f ca="1">IF($S$1&lt;DATE(2025,8,1)," ",SUMIFS('2025数据'!$BZ$3:$BZ$181,'2025数据'!$AB$3:$AB$181,"&gt;="&amp;DATE(2025,8,1),'2025数据'!$AB$3:$AB$181,"&lt;="&amp;DATE(2025,8,31),'2025数据'!$BY$3:$BY$181,$E$38,'2025数据'!$B$3:$B$181,E2124)/10000)</f>
        <v>0</v>
      </c>
      <c r="N2124" s="219">
        <f ca="1">IF($S$1&lt;DATE(2025,9,1)," ",SUMIFS('2025数据'!$BZ$3:$BZ$181,'2025数据'!$AB$3:$AB$181,"&gt;="&amp;DATE(2025,9,1),'2025数据'!$AB$3:$AB$181,"&lt;="&amp;DATE(2025,9,30),'2025数据'!$BY$3:$BY$181,$E$38,'2025数据'!$B$3:$B$181,E2124)/10000)</f>
        <v>0</v>
      </c>
      <c r="O2124" s="219">
        <f ca="1">IF($S$1&lt;DATE(2025,10,1)," ",SUMIFS('2025数据'!$BZ$3:$BZ$181,'2025数据'!$AB$3:$AB$181,"&gt;="&amp;DATE(2025,10,1),'2025数据'!$AB$3:$AB$181,"&lt;="&amp;DATE(2025,10,31),'2025数据'!$BY$3:$BY$181,$E$38,'2025数据'!$B$3:$B$181,E2124)/10000)</f>
        <v>0</v>
      </c>
      <c r="P2124" s="224">
        <f ca="1">IF($S$1&lt;DATE(2025,11,1)," ",SUMIFS('2025数据'!$BZ$3:$BZ$181,'2025数据'!$AB$3:$AB$181,"&gt;="&amp;DATE(2025,11,1),'2025数据'!$AB$3:$AB$181,"&lt;="&amp;DATE(2025,11,30),'2025数据'!$BY$3:$BY$181,$E$38,'2025数据'!$B$3:$B$181,E2124)/10000)</f>
        <v>0.181329</v>
      </c>
      <c r="Q2124" s="224">
        <f ca="1">IF($S$1&lt;DATE(2025,12,1)," ",SUMIFS('2025数据'!$BZ$3:$BZ$181,'2025数据'!$AB$3:$AB$181,"&gt;="&amp;DATE(2025,12,1),'2025数据'!$AB$3:$AB$181,"&lt;="&amp;DATE(2025,12,31),'2025数据'!$BY$3:$BY$181,$E$38,'2025数据'!$B$3:$B$181,E2124)/10000)</f>
        <v>0</v>
      </c>
    </row>
    <row r="2125" ht="24" customHeight="1" spans="1:17">
      <c r="A2125" s="99" t="s">
        <v>350</v>
      </c>
      <c r="B2125" s="99" t="s">
        <v>299</v>
      </c>
      <c r="C2125" s="99" t="s">
        <v>333</v>
      </c>
      <c r="D2125" s="53" t="s">
        <v>304</v>
      </c>
      <c r="E2125" s="53" t="s">
        <v>85</v>
      </c>
      <c r="F2125" s="219">
        <f ca="1">IF($S$1&lt;DATE(2025,1,1)," ",SUMIFS('2025数据'!$BZ$3:$BZ$181,'2025数据'!$AB$3:$AB$181,"&gt;="&amp;DATE(2025,1,1),'2025数据'!$AB$3:$AB$181,"&lt;="&amp;DATE(2025,1,31),'2025数据'!$BY$3:$BY$181,$E$38,'2025数据'!$B$3:$B$181,E2125)/10000)</f>
        <v>0</v>
      </c>
      <c r="G2125" s="219">
        <f ca="1">IF($S$1&lt;DATE(2025,2,1)," ",SUMIFS('2025数据'!$BZ$3:$BZ$181,'2025数据'!$AB$3:$AB$181,"&gt;="&amp;DATE(2025,2,1),'2025数据'!$AB$3:$AB$181,"&lt;="&amp;DATE(2025,2,28),'2025数据'!$BY$3:$BY$181,$E$38,'2025数据'!$B$3:$B$181,E2125)/10000)</f>
        <v>0</v>
      </c>
      <c r="H2125" s="219">
        <f ca="1">IF($S$1&lt;DATE(2025,3,1)," ",SUMIFS('2025数据'!$BZ$3:$BZ$181,'2025数据'!$AB$3:$AB$181,"&gt;="&amp;DATE(2025,3,1),'2025数据'!$AB$3:$AB$181,"&lt;="&amp;DATE(2025,3,31),'2025数据'!$BY$3:$BY$181,$E$38,'2025数据'!$B$3:$B$181,E2125)/10000)</f>
        <v>0</v>
      </c>
      <c r="I2125" s="219">
        <f ca="1">IF($S$1&lt;DATE(2025,4,1)," ",SUMIFS('2025数据'!$BZ$3:$BZ$181,'2025数据'!$AB$3:$AB$181,"&gt;="&amp;DATE(2025,4,1),'2025数据'!$AB$3:$AB$181,"&lt;="&amp;DATE(2025,4,30),'2025数据'!$BY$3:$BY$181,$E$38,'2025数据'!$B$3:$B$181,E2125)/10000)</f>
        <v>0</v>
      </c>
      <c r="J2125" s="219">
        <f ca="1">IF($S$1&lt;DATE(2025,5,1)," ",SUMIFS('2025数据'!$BZ$3:$BZ$181,'2025数据'!$AB$3:$AB$181,"&gt;="&amp;DATE(2025,5,1),'2025数据'!$AB$3:$AB$181,"&lt;="&amp;DATE(2025,5,31),'2025数据'!$BY$3:$BY$181,$E$38,'2025数据'!$B$3:$B$181,E2125)/10000)</f>
        <v>0</v>
      </c>
      <c r="K2125" s="219">
        <f ca="1">IF($S$1&lt;DATE(2025,6,1)," ",SUMIFS('2025数据'!$BZ$3:$BZ$181,'2025数据'!$AB$3:$AB$181,"&gt;="&amp;DATE(2025,6,1),'2025数据'!$AB$3:$AB$181,"&lt;="&amp;DATE(2025,6,30),'2025数据'!$BY$3:$BY$181,$E$38,'2025数据'!$B$3:$B$181,E2125)/10000)</f>
        <v>0</v>
      </c>
      <c r="L2125" s="219">
        <f ca="1">IF($S$1&lt;DATE(2025,7,1)," ",SUMIFS('2025数据'!$BZ$3:$BZ$181,'2025数据'!$AB$3:$AB$181,"&gt;="&amp;DATE(2025,7,1),'2025数据'!$AB$3:$AB$181,"&lt;="&amp;DATE(2025,7,31),'2025数据'!$BY$3:$BY$181,$E$38,'2025数据'!$B$3:$B$181,E2125)/10000)</f>
        <v>0</v>
      </c>
      <c r="M2125" s="219">
        <f ca="1">IF($S$1&lt;DATE(2025,8,1)," ",SUMIFS('2025数据'!$BZ$3:$BZ$181,'2025数据'!$AB$3:$AB$181,"&gt;="&amp;DATE(2025,8,1),'2025数据'!$AB$3:$AB$181,"&lt;="&amp;DATE(2025,8,31),'2025数据'!$BY$3:$BY$181,$E$38,'2025数据'!$B$3:$B$181,E2125)/10000)</f>
        <v>0</v>
      </c>
      <c r="N2125" s="219">
        <f ca="1">IF($S$1&lt;DATE(2025,9,1)," ",SUMIFS('2025数据'!$BZ$3:$BZ$181,'2025数据'!$AB$3:$AB$181,"&gt;="&amp;DATE(2025,9,1),'2025数据'!$AB$3:$AB$181,"&lt;="&amp;DATE(2025,9,30),'2025数据'!$BY$3:$BY$181,$E$38,'2025数据'!$B$3:$B$181,E2125)/10000)</f>
        <v>0</v>
      </c>
      <c r="O2125" s="219">
        <f ca="1">IF($S$1&lt;DATE(2025,10,1)," ",SUMIFS('2025数据'!$BZ$3:$BZ$181,'2025数据'!$AB$3:$AB$181,"&gt;="&amp;DATE(2025,10,1),'2025数据'!$AB$3:$AB$181,"&lt;="&amp;DATE(2025,10,31),'2025数据'!$BY$3:$BY$181,$E$38,'2025数据'!$B$3:$B$181,E2125)/10000)</f>
        <v>0</v>
      </c>
      <c r="P2125" s="224">
        <f ca="1">IF($S$1&lt;DATE(2025,11,1)," ",SUMIFS('2025数据'!$BZ$3:$BZ$181,'2025数据'!$AB$3:$AB$181,"&gt;="&amp;DATE(2025,11,1),'2025数据'!$AB$3:$AB$181,"&lt;="&amp;DATE(2025,11,30),'2025数据'!$BY$3:$BY$181,$E$38,'2025数据'!$B$3:$B$181,E2125)/10000)</f>
        <v>0</v>
      </c>
      <c r="Q2125" s="224">
        <f ca="1">IF($S$1&lt;DATE(2025,12,1)," ",SUMIFS('2025数据'!$BZ$3:$BZ$181,'2025数据'!$AB$3:$AB$181,"&gt;="&amp;DATE(2025,12,1),'2025数据'!$AB$3:$AB$181,"&lt;="&amp;DATE(2025,12,31),'2025数据'!$BY$3:$BY$181,$E$38,'2025数据'!$B$3:$B$181,E2125)/10000)</f>
        <v>0</v>
      </c>
    </row>
    <row r="2126" ht="24" customHeight="1" spans="1:17">
      <c r="A2126" s="99" t="s">
        <v>350</v>
      </c>
      <c r="B2126" s="99" t="s">
        <v>299</v>
      </c>
      <c r="C2126" s="99" t="s">
        <v>333</v>
      </c>
      <c r="D2126" s="53" t="s">
        <v>304</v>
      </c>
      <c r="E2126" s="53" t="s">
        <v>81</v>
      </c>
      <c r="F2126" s="219">
        <f ca="1">IF($S$1&lt;DATE(2025,1,1)," ",SUMIFS('2025数据'!$BZ$3:$BZ$181,'2025数据'!$AB$3:$AB$181,"&gt;="&amp;DATE(2025,1,1),'2025数据'!$AB$3:$AB$181,"&lt;="&amp;DATE(2025,1,31),'2025数据'!$BY$3:$BY$181,$E$38,'2025数据'!$B$3:$B$181,E2126)/10000)</f>
        <v>0</v>
      </c>
      <c r="G2126" s="219">
        <f ca="1">IF($S$1&lt;DATE(2025,2,1)," ",SUMIFS('2025数据'!$BZ$3:$BZ$181,'2025数据'!$AB$3:$AB$181,"&gt;="&amp;DATE(2025,2,1),'2025数据'!$AB$3:$AB$181,"&lt;="&amp;DATE(2025,2,28),'2025数据'!$BY$3:$BY$181,$E$38,'2025数据'!$B$3:$B$181,E2126)/10000)</f>
        <v>0</v>
      </c>
      <c r="H2126" s="219">
        <f ca="1">IF($S$1&lt;DATE(2025,3,1)," ",SUMIFS('2025数据'!$BZ$3:$BZ$181,'2025数据'!$AB$3:$AB$181,"&gt;="&amp;DATE(2025,3,1),'2025数据'!$AB$3:$AB$181,"&lt;="&amp;DATE(2025,3,31),'2025数据'!$BY$3:$BY$181,$E$38,'2025数据'!$B$3:$B$181,E2126)/10000)</f>
        <v>0</v>
      </c>
      <c r="I2126" s="219">
        <f ca="1">IF($S$1&lt;DATE(2025,4,1)," ",SUMIFS('2025数据'!$BZ$3:$BZ$181,'2025数据'!$AB$3:$AB$181,"&gt;="&amp;DATE(2025,4,1),'2025数据'!$AB$3:$AB$181,"&lt;="&amp;DATE(2025,4,30),'2025数据'!$BY$3:$BY$181,$E$38,'2025数据'!$B$3:$B$181,E2126)/10000)</f>
        <v>0</v>
      </c>
      <c r="J2126" s="219">
        <f ca="1">IF($S$1&lt;DATE(2025,5,1)," ",SUMIFS('2025数据'!$BZ$3:$BZ$181,'2025数据'!$AB$3:$AB$181,"&gt;="&amp;DATE(2025,5,1),'2025数据'!$AB$3:$AB$181,"&lt;="&amp;DATE(2025,5,31),'2025数据'!$BY$3:$BY$181,$E$38,'2025数据'!$B$3:$B$181,E2126)/10000)</f>
        <v>0</v>
      </c>
      <c r="K2126" s="219">
        <f ca="1">IF($S$1&lt;DATE(2025,6,1)," ",SUMIFS('2025数据'!$BZ$3:$BZ$181,'2025数据'!$AB$3:$AB$181,"&gt;="&amp;DATE(2025,6,1),'2025数据'!$AB$3:$AB$181,"&lt;="&amp;DATE(2025,6,30),'2025数据'!$BY$3:$BY$181,$E$38,'2025数据'!$B$3:$B$181,E2126)/10000)</f>
        <v>0</v>
      </c>
      <c r="L2126" s="219">
        <f ca="1">IF($S$1&lt;DATE(2025,7,1)," ",SUMIFS('2025数据'!$BZ$3:$BZ$181,'2025数据'!$AB$3:$AB$181,"&gt;="&amp;DATE(2025,7,1),'2025数据'!$AB$3:$AB$181,"&lt;="&amp;DATE(2025,7,31),'2025数据'!$BY$3:$BY$181,$E$38,'2025数据'!$B$3:$B$181,E2126)/10000)</f>
        <v>0</v>
      </c>
      <c r="M2126" s="219">
        <f ca="1">IF($S$1&lt;DATE(2025,8,1)," ",SUMIFS('2025数据'!$BZ$3:$BZ$181,'2025数据'!$AB$3:$AB$181,"&gt;="&amp;DATE(2025,8,1),'2025数据'!$AB$3:$AB$181,"&lt;="&amp;DATE(2025,8,31),'2025数据'!$BY$3:$BY$181,$E$38,'2025数据'!$B$3:$B$181,E2126)/10000)</f>
        <v>0</v>
      </c>
      <c r="N2126" s="219">
        <f ca="1">IF($S$1&lt;DATE(2025,9,1)," ",SUMIFS('2025数据'!$BZ$3:$BZ$181,'2025数据'!$AB$3:$AB$181,"&gt;="&amp;DATE(2025,9,1),'2025数据'!$AB$3:$AB$181,"&lt;="&amp;DATE(2025,9,30),'2025数据'!$BY$3:$BY$181,$E$38,'2025数据'!$B$3:$B$181,E2126)/10000)</f>
        <v>0</v>
      </c>
      <c r="O2126" s="219">
        <f ca="1">IF($S$1&lt;DATE(2025,10,1)," ",SUMIFS('2025数据'!$BZ$3:$BZ$181,'2025数据'!$AB$3:$AB$181,"&gt;="&amp;DATE(2025,10,1),'2025数据'!$AB$3:$AB$181,"&lt;="&amp;DATE(2025,10,31),'2025数据'!$BY$3:$BY$181,$E$38,'2025数据'!$B$3:$B$181,E2126)/10000)</f>
        <v>0</v>
      </c>
      <c r="P2126" s="224">
        <f ca="1">IF($S$1&lt;DATE(2025,11,1)," ",SUMIFS('2025数据'!$BZ$3:$BZ$181,'2025数据'!$AB$3:$AB$181,"&gt;="&amp;DATE(2025,11,1),'2025数据'!$AB$3:$AB$181,"&lt;="&amp;DATE(2025,11,30),'2025数据'!$BY$3:$BY$181,$E$38,'2025数据'!$B$3:$B$181,E2126)/10000)</f>
        <v>0</v>
      </c>
      <c r="Q2126" s="224">
        <f ca="1">IF($S$1&lt;DATE(2025,12,1)," ",SUMIFS('2025数据'!$BZ$3:$BZ$181,'2025数据'!$AB$3:$AB$181,"&gt;="&amp;DATE(2025,12,1),'2025数据'!$AB$3:$AB$181,"&lt;="&amp;DATE(2025,12,31),'2025数据'!$BY$3:$BY$181,$E$38,'2025数据'!$B$3:$B$181,E2126)/10000)</f>
        <v>0</v>
      </c>
    </row>
    <row r="2127" ht="24" customHeight="1" spans="1:17">
      <c r="A2127" s="99" t="s">
        <v>350</v>
      </c>
      <c r="B2127" s="99" t="s">
        <v>299</v>
      </c>
      <c r="C2127" s="99" t="s">
        <v>333</v>
      </c>
      <c r="D2127" s="53" t="s">
        <v>304</v>
      </c>
      <c r="E2127" s="53" t="s">
        <v>96</v>
      </c>
      <c r="F2127" s="219">
        <f ca="1">IF($S$1&lt;DATE(2025,1,1)," ",SUMIFS('2025数据'!$BZ$3:$BZ$181,'2025数据'!$AB$3:$AB$181,"&gt;="&amp;DATE(2025,1,1),'2025数据'!$AB$3:$AB$181,"&lt;="&amp;DATE(2025,1,31),'2025数据'!$BY$3:$BY$181,$E$38,'2025数据'!$B$3:$B$181,E2127)/10000)</f>
        <v>0</v>
      </c>
      <c r="G2127" s="219">
        <f ca="1">IF($S$1&lt;DATE(2025,2,1)," ",SUMIFS('2025数据'!$BZ$3:$BZ$181,'2025数据'!$AB$3:$AB$181,"&gt;="&amp;DATE(2025,2,1),'2025数据'!$AB$3:$AB$181,"&lt;="&amp;DATE(2025,2,28),'2025数据'!$BY$3:$BY$181,$E$38,'2025数据'!$B$3:$B$181,E2127)/10000)</f>
        <v>0</v>
      </c>
      <c r="H2127" s="219">
        <f ca="1">IF($S$1&lt;DATE(2025,3,1)," ",SUMIFS('2025数据'!$BZ$3:$BZ$181,'2025数据'!$AB$3:$AB$181,"&gt;="&amp;DATE(2025,3,1),'2025数据'!$AB$3:$AB$181,"&lt;="&amp;DATE(2025,3,31),'2025数据'!$BY$3:$BY$181,$E$38,'2025数据'!$B$3:$B$181,E2127)/10000)</f>
        <v>0</v>
      </c>
      <c r="I2127" s="219">
        <f ca="1">IF($S$1&lt;DATE(2025,4,1)," ",SUMIFS('2025数据'!$BZ$3:$BZ$181,'2025数据'!$AB$3:$AB$181,"&gt;="&amp;DATE(2025,4,1),'2025数据'!$AB$3:$AB$181,"&lt;="&amp;DATE(2025,4,30),'2025数据'!$BY$3:$BY$181,$E$38,'2025数据'!$B$3:$B$181,E2127)/10000)</f>
        <v>0</v>
      </c>
      <c r="J2127" s="219">
        <f ca="1">IF($S$1&lt;DATE(2025,5,1)," ",SUMIFS('2025数据'!$BZ$3:$BZ$181,'2025数据'!$AB$3:$AB$181,"&gt;="&amp;DATE(2025,5,1),'2025数据'!$AB$3:$AB$181,"&lt;="&amp;DATE(2025,5,31),'2025数据'!$BY$3:$BY$181,$E$38,'2025数据'!$B$3:$B$181,E2127)/10000)</f>
        <v>0</v>
      </c>
      <c r="K2127" s="219">
        <f ca="1">IF($S$1&lt;DATE(2025,6,1)," ",SUMIFS('2025数据'!$BZ$3:$BZ$181,'2025数据'!$AB$3:$AB$181,"&gt;="&amp;DATE(2025,6,1),'2025数据'!$AB$3:$AB$181,"&lt;="&amp;DATE(2025,6,30),'2025数据'!$BY$3:$BY$181,$E$38,'2025数据'!$B$3:$B$181,E2127)/10000)</f>
        <v>0</v>
      </c>
      <c r="L2127" s="219">
        <f ca="1">IF($S$1&lt;DATE(2025,7,1)," ",SUMIFS('2025数据'!$BZ$3:$BZ$181,'2025数据'!$AB$3:$AB$181,"&gt;="&amp;DATE(2025,7,1),'2025数据'!$AB$3:$AB$181,"&lt;="&amp;DATE(2025,7,31),'2025数据'!$BY$3:$BY$181,$E$38,'2025数据'!$B$3:$B$181,E2127)/10000)</f>
        <v>0</v>
      </c>
      <c r="M2127" s="219">
        <f ca="1">IF($S$1&lt;DATE(2025,8,1)," ",SUMIFS('2025数据'!$BZ$3:$BZ$181,'2025数据'!$AB$3:$AB$181,"&gt;="&amp;DATE(2025,8,1),'2025数据'!$AB$3:$AB$181,"&lt;="&amp;DATE(2025,8,31),'2025数据'!$BY$3:$BY$181,$E$38,'2025数据'!$B$3:$B$181,E2127)/10000)</f>
        <v>0</v>
      </c>
      <c r="N2127" s="219">
        <f ca="1">IF($S$1&lt;DATE(2025,9,1)," ",SUMIFS('2025数据'!$BZ$3:$BZ$181,'2025数据'!$AB$3:$AB$181,"&gt;="&amp;DATE(2025,9,1),'2025数据'!$AB$3:$AB$181,"&lt;="&amp;DATE(2025,9,30),'2025数据'!$BY$3:$BY$181,$E$38,'2025数据'!$B$3:$B$181,E2127)/10000)</f>
        <v>0</v>
      </c>
      <c r="O2127" s="219">
        <f ca="1">IF($S$1&lt;DATE(2025,10,1)," ",SUMIFS('2025数据'!$BZ$3:$BZ$181,'2025数据'!$AB$3:$AB$181,"&gt;="&amp;DATE(2025,10,1),'2025数据'!$AB$3:$AB$181,"&lt;="&amp;DATE(2025,10,31),'2025数据'!$BY$3:$BY$181,$E$38,'2025数据'!$B$3:$B$181,E2127)/10000)</f>
        <v>0</v>
      </c>
      <c r="P2127" s="224">
        <f ca="1">IF($S$1&lt;DATE(2025,11,1)," ",SUMIFS('2025数据'!$BZ$3:$BZ$181,'2025数据'!$AB$3:$AB$181,"&gt;="&amp;DATE(2025,11,1),'2025数据'!$AB$3:$AB$181,"&lt;="&amp;DATE(2025,11,30),'2025数据'!$BY$3:$BY$181,$E$38,'2025数据'!$B$3:$B$181,E2127)/10000)</f>
        <v>0</v>
      </c>
      <c r="Q2127" s="224">
        <f ca="1">IF($S$1&lt;DATE(2025,12,1)," ",SUMIFS('2025数据'!$BZ$3:$BZ$181,'2025数据'!$AB$3:$AB$181,"&gt;="&amp;DATE(2025,12,1),'2025数据'!$AB$3:$AB$181,"&lt;="&amp;DATE(2025,12,31),'2025数据'!$BY$3:$BY$181,$E$38,'2025数据'!$B$3:$B$181,E2127)/10000)</f>
        <v>0</v>
      </c>
    </row>
    <row r="2128" ht="24" customHeight="1" spans="1:17">
      <c r="A2128" s="99" t="s">
        <v>350</v>
      </c>
      <c r="B2128" s="99" t="s">
        <v>299</v>
      </c>
      <c r="C2128" s="99" t="s">
        <v>333</v>
      </c>
      <c r="D2128" s="53" t="s">
        <v>304</v>
      </c>
      <c r="E2128" s="53" t="s">
        <v>160</v>
      </c>
      <c r="F2128" s="219">
        <f ca="1">IF($S$1&lt;DATE(2025,1,1)," ",SUMIFS('2025数据'!$BZ$3:$BZ$181,'2025数据'!$AB$3:$AB$181,"&gt;="&amp;DATE(2025,1,1),'2025数据'!$AB$3:$AB$181,"&lt;="&amp;DATE(2025,1,31),'2025数据'!$BY$3:$BY$181,$E$38,'2025数据'!$B$3:$B$181,E2128)/10000)</f>
        <v>0</v>
      </c>
      <c r="G2128" s="219">
        <f ca="1">IF($S$1&lt;DATE(2025,2,1)," ",SUMIFS('2025数据'!$BZ$3:$BZ$181,'2025数据'!$AB$3:$AB$181,"&gt;="&amp;DATE(2025,2,1),'2025数据'!$AB$3:$AB$181,"&lt;="&amp;DATE(2025,2,28),'2025数据'!$BY$3:$BY$181,$E$38,'2025数据'!$B$3:$B$181,E2128)/10000)</f>
        <v>0</v>
      </c>
      <c r="H2128" s="219">
        <f ca="1">IF($S$1&lt;DATE(2025,3,1)," ",SUMIFS('2025数据'!$BZ$3:$BZ$181,'2025数据'!$AB$3:$AB$181,"&gt;="&amp;DATE(2025,3,1),'2025数据'!$AB$3:$AB$181,"&lt;="&amp;DATE(2025,3,31),'2025数据'!$BY$3:$BY$181,$E$38,'2025数据'!$B$3:$B$181,E2128)/10000)</f>
        <v>0</v>
      </c>
      <c r="I2128" s="219">
        <f ca="1">IF($S$1&lt;DATE(2025,4,1)," ",SUMIFS('2025数据'!$BZ$3:$BZ$181,'2025数据'!$AB$3:$AB$181,"&gt;="&amp;DATE(2025,4,1),'2025数据'!$AB$3:$AB$181,"&lt;="&amp;DATE(2025,4,30),'2025数据'!$BY$3:$BY$181,$E$38,'2025数据'!$B$3:$B$181,E2128)/10000)</f>
        <v>0</v>
      </c>
      <c r="J2128" s="219">
        <f ca="1">IF($S$1&lt;DATE(2025,5,1)," ",SUMIFS('2025数据'!$BZ$3:$BZ$181,'2025数据'!$AB$3:$AB$181,"&gt;="&amp;DATE(2025,5,1),'2025数据'!$AB$3:$AB$181,"&lt;="&amp;DATE(2025,5,31),'2025数据'!$BY$3:$BY$181,$E$38,'2025数据'!$B$3:$B$181,E2128)/10000)</f>
        <v>0</v>
      </c>
      <c r="K2128" s="219">
        <f ca="1">IF($S$1&lt;DATE(2025,6,1)," ",SUMIFS('2025数据'!$BZ$3:$BZ$181,'2025数据'!$AB$3:$AB$181,"&gt;="&amp;DATE(2025,6,1),'2025数据'!$AB$3:$AB$181,"&lt;="&amp;DATE(2025,6,30),'2025数据'!$BY$3:$BY$181,$E$38,'2025数据'!$B$3:$B$181,E2128)/10000)</f>
        <v>0</v>
      </c>
      <c r="L2128" s="219">
        <f ca="1">IF($S$1&lt;DATE(2025,7,1)," ",SUMIFS('2025数据'!$BZ$3:$BZ$181,'2025数据'!$AB$3:$AB$181,"&gt;="&amp;DATE(2025,7,1),'2025数据'!$AB$3:$AB$181,"&lt;="&amp;DATE(2025,7,31),'2025数据'!$BY$3:$BY$181,$E$38,'2025数据'!$B$3:$B$181,E2128)/10000)</f>
        <v>0</v>
      </c>
      <c r="M2128" s="219">
        <f ca="1">IF($S$1&lt;DATE(2025,8,1)," ",SUMIFS('2025数据'!$BZ$3:$BZ$181,'2025数据'!$AB$3:$AB$181,"&gt;="&amp;DATE(2025,8,1),'2025数据'!$AB$3:$AB$181,"&lt;="&amp;DATE(2025,8,31),'2025数据'!$BY$3:$BY$181,$E$38,'2025数据'!$B$3:$B$181,E2128)/10000)</f>
        <v>0</v>
      </c>
      <c r="N2128" s="219">
        <f ca="1">IF($S$1&lt;DATE(2025,9,1)," ",SUMIFS('2025数据'!$BZ$3:$BZ$181,'2025数据'!$AB$3:$AB$181,"&gt;="&amp;DATE(2025,9,1),'2025数据'!$AB$3:$AB$181,"&lt;="&amp;DATE(2025,9,30),'2025数据'!$BY$3:$BY$181,$E$38,'2025数据'!$B$3:$B$181,E2128)/10000)</f>
        <v>0</v>
      </c>
      <c r="O2128" s="219">
        <f ca="1">IF($S$1&lt;DATE(2025,10,1)," ",SUMIFS('2025数据'!$BZ$3:$BZ$181,'2025数据'!$AB$3:$AB$181,"&gt;="&amp;DATE(2025,10,1),'2025数据'!$AB$3:$AB$181,"&lt;="&amp;DATE(2025,10,31),'2025数据'!$BY$3:$BY$181,$E$38,'2025数据'!$B$3:$B$181,E2128)/10000)</f>
        <v>0</v>
      </c>
      <c r="P2128" s="224">
        <f ca="1">IF($S$1&lt;DATE(2025,11,1)," ",SUMIFS('2025数据'!$BZ$3:$BZ$181,'2025数据'!$AB$3:$AB$181,"&gt;="&amp;DATE(2025,11,1),'2025数据'!$AB$3:$AB$181,"&lt;="&amp;DATE(2025,11,30),'2025数据'!$BY$3:$BY$181,$E$38,'2025数据'!$B$3:$B$181,E2128)/10000)</f>
        <v>0</v>
      </c>
      <c r="Q2128" s="224">
        <f ca="1">IF($S$1&lt;DATE(2025,12,1)," ",SUMIFS('2025数据'!$BZ$3:$BZ$181,'2025数据'!$AB$3:$AB$181,"&gt;="&amp;DATE(2025,12,1),'2025数据'!$AB$3:$AB$181,"&lt;="&amp;DATE(2025,12,31),'2025数据'!$BY$3:$BY$181,$E$38,'2025数据'!$B$3:$B$181,E2128)/10000)</f>
        <v>0</v>
      </c>
    </row>
    <row r="2129" ht="24" customHeight="1" spans="1:17">
      <c r="A2129" s="99" t="s">
        <v>350</v>
      </c>
      <c r="B2129" s="99" t="s">
        <v>299</v>
      </c>
      <c r="C2129" s="99" t="s">
        <v>333</v>
      </c>
      <c r="D2129" s="218" t="s">
        <v>292</v>
      </c>
      <c r="E2129" s="220" t="s">
        <v>340</v>
      </c>
      <c r="F2129" s="221">
        <f ca="1">IF($S$1&lt;DATE(2025,1,1)," ",SUMIFS('2025数据'!$BW$3:$BW$181,'2025数据'!$AB$3:$AB$181,"&gt;="&amp;DATE(2025,1,1),'2025数据'!$AB$3:$AB$181,"&lt;="&amp;DATE(2025,1,31),'2025数据'!$BY$3:$BY$181,$E37)/10000)</f>
        <v>0.033149</v>
      </c>
      <c r="G2129" s="221">
        <f ca="1">IF($S$1&lt;DATE(2025,2,1)," ",SUMIFS('2025数据'!$BW$3:$BW$181,'2025数据'!$AB$3:$AB$181,"&gt;="&amp;DATE(2025,2,1),'2025数据'!$AB$3:$AB$181,"&lt;="&amp;DATE(2025,2,28),'2025数据'!$BY$3:$BY$181,$E37)/10000)</f>
        <v>0</v>
      </c>
      <c r="H2129" s="221">
        <f ca="1">IF($S$1&lt;DATE(2025,3,1)," ",SUMIFS('2025数据'!$BW$3:$BW$181,'2025数据'!$AB$3:$AB$181,"&gt;="&amp;DATE(2025,3,1),'2025数据'!$AB$3:$AB$181,"&lt;="&amp;DATE(2025,3,31),'2025数据'!$BY$3:$BY$181,$E37)/10000)</f>
        <v>0.098325</v>
      </c>
      <c r="I2129" s="221">
        <f ca="1">IF($S$1&lt;DATE(2025,4,1)," ",SUMIFS('2025数据'!$BW$3:$BW$181,'2025数据'!$AB$3:$AB$181,"&gt;="&amp;DATE(2025,4,1),'2025数据'!$AB$3:$AB$181,"&lt;="&amp;DATE(2025,4,30),'2025数据'!$BY$3:$BY$181,$E37)/10000)</f>
        <v>0.079298</v>
      </c>
      <c r="J2129" s="221">
        <f ca="1">IF($S$1&lt;DATE(2025,5,1)," ",SUMIFS('2025数据'!$BW$3:$BW$181,'2025数据'!$AB$3:$AB$181,"&gt;="&amp;DATE(2025,5,1),'2025数据'!$AB$3:$AB$181,"&lt;="&amp;DATE(2025,5,31),'2025数据'!$BY$3:$BY$181,$E37)/10000)</f>
        <v>0.064207</v>
      </c>
      <c r="K2129" s="221">
        <f ca="1">IF($S$1&lt;DATE(2025,6,1)," ",SUMIFS('2025数据'!$BW$3:$BW$181,'2025数据'!$AB$3:$AB$181,"&gt;="&amp;DATE(2025,6,1),'2025数据'!$AB$3:$AB$181,"&lt;="&amp;DATE(2025,6,30),'2025数据'!$BY$3:$BY$181,$E37)/10000)</f>
        <v>0.424496</v>
      </c>
      <c r="L2129" s="221">
        <f ca="1">IF($S$1&lt;DATE(2025,7,1)," ",SUMIFS('2025数据'!$BW$3:$BW$181,'2025数据'!$AB$3:$AB$181,"&gt;="&amp;DATE(2025,7,1),'2025数据'!$AB$3:$AB$181,"&lt;="&amp;DATE(2025,7,31),'2025数据'!$BY$3:$BY$181,$E37)/10000)</f>
        <v>0.154561</v>
      </c>
      <c r="M2129" s="221">
        <f ca="1">IF($S$1&lt;DATE(2025,8,1)," ",SUMIFS('2025数据'!$BW$3:$BW$181,'2025数据'!$AB$3:$AB$181,"&gt;="&amp;DATE(2025,8,1),'2025数据'!$AB$3:$AB$181,"&lt;="&amp;DATE(2025,8,31),'2025数据'!$BY$3:$BY$181,$E37)/10000)</f>
        <v>0.588806</v>
      </c>
      <c r="N2129" s="221">
        <f ca="1">IF($S$1&lt;DATE(2025,9,1)," ",SUMIFS('2025数据'!$BW$3:$BW$181,'2025数据'!$AB$3:$AB$181,"&gt;="&amp;DATE(2025,9,1),'2025数据'!$AB$3:$AB$181,"&lt;="&amp;DATE(2025,9,30),'2025数据'!$BY$3:$BY$181,$E37)/10000)</f>
        <v>0</v>
      </c>
      <c r="O2129" s="221">
        <f ca="1">IF($S$1&lt;DATE(2025,10,1)," ",SUMIFS('2025数据'!$BW$3:$BW$181,'2025数据'!$AB$3:$AB$181,"&gt;="&amp;DATE(2025,10,1),'2025数据'!$AB$3:$AB$181,"&lt;="&amp;DATE(2025,10,31),'2025数据'!$BY$3:$BY$181,$E37)/10000)</f>
        <v>0.562155</v>
      </c>
      <c r="P2129" s="225">
        <f ca="1">IF($S$1&lt;DATE(2025,11,1)," ",SUMIFS('2025数据'!$BW$3:$BW$181,'2025数据'!$AB$3:$AB$181,"&gt;="&amp;DATE(2025,11,1),'2025数据'!$AB$3:$AB$181,"&lt;="&amp;DATE(2025,11,30),'2025数据'!$BY$3:$BY$181,$E37)/10000)</f>
        <v>0</v>
      </c>
      <c r="Q2129" s="225">
        <f ca="1">IF($S$1&lt;DATE(2025,12,1)," ",SUMIFS('2025数据'!$BW$3:$BW$181,'2025数据'!$AB$3:$AB$181,"&gt;="&amp;DATE(2025,12,1),'2025数据'!$AB$3:$AB$181,"&lt;="&amp;DATE(2025,12,31),'2025数据'!$BY$3:$BY$181,$E37)/10000)</f>
        <v>0</v>
      </c>
    </row>
    <row r="2130" ht="24" customHeight="1" spans="1:17">
      <c r="A2130" s="99" t="s">
        <v>350</v>
      </c>
      <c r="B2130" s="99" t="s">
        <v>299</v>
      </c>
      <c r="C2130" s="99" t="s">
        <v>333</v>
      </c>
      <c r="D2130" s="218" t="s">
        <v>292</v>
      </c>
      <c r="E2130" s="220" t="s">
        <v>341</v>
      </c>
      <c r="F2130" s="221">
        <f ca="1">IF($S$1&lt;DATE(2025,1,1)," ",SUMIFS('2025数据'!$BW$3:$BW$181,'2025数据'!$AB$3:$AB$181,"&gt;="&amp;DATE(2025,1,1),'2025数据'!$AB$3:$AB$181,"&lt;="&amp;DATE(2025,1,31),'2025数据'!$BY$3:$BY$181,$E38)/10000)</f>
        <v>0</v>
      </c>
      <c r="G2130" s="221">
        <f ca="1">IF($S$1&lt;DATE(2025,2,1)," ",SUMIFS('2025数据'!$BW$3:$BW$181,'2025数据'!$AB$3:$AB$181,"&gt;="&amp;DATE(2025,2,1),'2025数据'!$AB$3:$AB$181,"&lt;="&amp;DATE(2025,2,28),'2025数据'!$BY$3:$BY$181,$E38)/10000)</f>
        <v>0</v>
      </c>
      <c r="H2130" s="221">
        <f ca="1">IF($S$1&lt;DATE(2025,3,1)," ",SUMIFS('2025数据'!$BW$3:$BW$181,'2025数据'!$AB$3:$AB$181,"&gt;="&amp;DATE(2025,3,1),'2025数据'!$AB$3:$AB$181,"&lt;="&amp;DATE(2025,3,31),'2025数据'!$BY$3:$BY$181,$E38)/10000)</f>
        <v>0</v>
      </c>
      <c r="I2130" s="221">
        <f ca="1">IF($S$1&lt;DATE(2025,4,1)," ",SUMIFS('2025数据'!$BW$3:$BW$181,'2025数据'!$AB$3:$AB$181,"&gt;="&amp;DATE(2025,4,1),'2025数据'!$AB$3:$AB$181,"&lt;="&amp;DATE(2025,4,30),'2025数据'!$BY$3:$BY$181,$E38)/10000)</f>
        <v>0</v>
      </c>
      <c r="J2130" s="221">
        <f ca="1">IF($S$1&lt;DATE(2025,5,1)," ",SUMIFS('2025数据'!$BW$3:$BW$181,'2025数据'!$AB$3:$AB$181,"&gt;="&amp;DATE(2025,5,1),'2025数据'!$AB$3:$AB$181,"&lt;="&amp;DATE(2025,5,31),'2025数据'!$BY$3:$BY$181,$E38)/10000)</f>
        <v>0</v>
      </c>
      <c r="K2130" s="221">
        <f ca="1">IF($S$1&lt;DATE(2025,6,1)," ",SUMIFS('2025数据'!$BW$3:$BW$181,'2025数据'!$AB$3:$AB$181,"&gt;="&amp;DATE(2025,6,1),'2025数据'!$AB$3:$AB$181,"&lt;="&amp;DATE(2025,6,30),'2025数据'!$BY$3:$BY$181,$E38)/10000)</f>
        <v>0</v>
      </c>
      <c r="L2130" s="221">
        <f ca="1">IF($S$1&lt;DATE(2025,7,1)," ",SUMIFS('2025数据'!$BW$3:$BW$181,'2025数据'!$AB$3:$AB$181,"&gt;="&amp;DATE(2025,7,1),'2025数据'!$AB$3:$AB$181,"&lt;="&amp;DATE(2025,7,31),'2025数据'!$BY$3:$BY$181,$E38)/10000)</f>
        <v>0</v>
      </c>
      <c r="M2130" s="221">
        <f ca="1">IF($S$1&lt;DATE(2025,8,1)," ",SUMIFS('2025数据'!$BW$3:$BW$181,'2025数据'!$AB$3:$AB$181,"&gt;="&amp;DATE(2025,8,1),'2025数据'!$AB$3:$AB$181,"&lt;="&amp;DATE(2025,8,31),'2025数据'!$BY$3:$BY$181,$E38)/10000)</f>
        <v>0</v>
      </c>
      <c r="N2130" s="221">
        <f ca="1">IF($S$1&lt;DATE(2025,9,1)," ",SUMIFS('2025数据'!$BW$3:$BW$181,'2025数据'!$AB$3:$AB$181,"&gt;="&amp;DATE(2025,9,1),'2025数据'!$AB$3:$AB$181,"&lt;="&amp;DATE(2025,9,30),'2025数据'!$BY$3:$BY$181,$E38)/10000)</f>
        <v>0</v>
      </c>
      <c r="O2130" s="221">
        <f ca="1">IF($S$1&lt;DATE(2025,10,1)," ",SUMIFS('2025数据'!$BW$3:$BW$181,'2025数据'!$AB$3:$AB$181,"&gt;="&amp;DATE(2025,10,1),'2025数据'!$AB$3:$AB$181,"&lt;="&amp;DATE(2025,10,31),'2025数据'!$BY$3:$BY$181,$E38)/10000)</f>
        <v>0</v>
      </c>
      <c r="P2130" s="225">
        <f ca="1">IF($S$1&lt;DATE(2025,11,1)," ",SUMIFS('2025数据'!$BW$3:$BW$181,'2025数据'!$AB$3:$AB$181,"&gt;="&amp;DATE(2025,11,1),'2025数据'!$AB$3:$AB$181,"&lt;="&amp;DATE(2025,11,30),'2025数据'!$BY$3:$BY$181,$E38)/10000)</f>
        <v>0.172733</v>
      </c>
      <c r="Q2130" s="225">
        <f ca="1">IF($S$1&lt;DATE(2025,12,1)," ",SUMIFS('2025数据'!$BW$3:$BW$181,'2025数据'!$AB$3:$AB$181,"&gt;="&amp;DATE(2025,12,1),'2025数据'!$AB$3:$AB$181,"&lt;="&amp;DATE(2025,12,31),'2025数据'!$BY$3:$BY$181,$E38)/10000)</f>
        <v>0</v>
      </c>
    </row>
    <row r="2131" ht="24" customHeight="1" spans="1:17">
      <c r="A2131" s="99" t="s">
        <v>350</v>
      </c>
      <c r="B2131" s="99" t="s">
        <v>299</v>
      </c>
      <c r="C2131" s="99" t="s">
        <v>333</v>
      </c>
      <c r="D2131" s="218" t="s">
        <v>292</v>
      </c>
      <c r="E2131" s="220" t="s">
        <v>342</v>
      </c>
      <c r="F2131" s="221">
        <f ca="1">IF($S$1&lt;DATE(2025,1,1)," ",SUMIFS('2025数据'!$BW$3:$BW$181,'2025数据'!$AB$3:$AB$181,"&gt;="&amp;DATE(2025,1,1),'2025数据'!$AB$3:$AB$181,"&lt;="&amp;DATE(2025,1,31),'2025数据'!$BY$3:$BY$181,$E39)/10000)</f>
        <v>0</v>
      </c>
      <c r="G2131" s="221">
        <f ca="1">IF($S$1&lt;DATE(2025,2,1)," ",SUMIFS('2025数据'!$BW$3:$BW$181,'2025数据'!$AB$3:$AB$181,"&gt;="&amp;DATE(2025,2,1),'2025数据'!$AB$3:$AB$181,"&lt;="&amp;DATE(2025,2,28),'2025数据'!$BY$3:$BY$181,$E39)/10000)</f>
        <v>0.04291</v>
      </c>
      <c r="H2131" s="221">
        <f ca="1">IF($S$1&lt;DATE(2025,3,1)," ",SUMIFS('2025数据'!$BW$3:$BW$181,'2025数据'!$AB$3:$AB$181,"&gt;="&amp;DATE(2025,3,1),'2025数据'!$AB$3:$AB$181,"&lt;="&amp;DATE(2025,3,31),'2025数据'!$BY$3:$BY$181,$E39)/10000)</f>
        <v>0.44353021</v>
      </c>
      <c r="I2131" s="221">
        <f ca="1">IF($S$1&lt;DATE(2025,4,1)," ",SUMIFS('2025数据'!$BW$3:$BW$181,'2025数据'!$AB$3:$AB$181,"&gt;="&amp;DATE(2025,4,1),'2025数据'!$AB$3:$AB$181,"&lt;="&amp;DATE(2025,4,30),'2025数据'!$BY$3:$BY$181,$E39)/10000)</f>
        <v>0</v>
      </c>
      <c r="J2131" s="221">
        <f ca="1">IF($S$1&lt;DATE(2025,5,1)," ",SUMIFS('2025数据'!$BW$3:$BW$181,'2025数据'!$AB$3:$AB$181,"&gt;="&amp;DATE(2025,5,1),'2025数据'!$AB$3:$AB$181,"&lt;="&amp;DATE(2025,5,31),'2025数据'!$BY$3:$BY$181,$E39)/10000)</f>
        <v>0.023701</v>
      </c>
      <c r="K2131" s="221">
        <f ca="1">IF($S$1&lt;DATE(2025,6,1)," ",SUMIFS('2025数据'!$BW$3:$BW$181,'2025数据'!$AB$3:$AB$181,"&gt;="&amp;DATE(2025,6,1),'2025数据'!$AB$3:$AB$181,"&lt;="&amp;DATE(2025,6,30),'2025数据'!$BY$3:$BY$181,$E39)/10000)</f>
        <v>0</v>
      </c>
      <c r="L2131" s="221">
        <f ca="1">IF($S$1&lt;DATE(2025,7,1)," ",SUMIFS('2025数据'!$BW$3:$BW$181,'2025数据'!$AB$3:$AB$181,"&gt;="&amp;DATE(2025,7,1),'2025数据'!$AB$3:$AB$181,"&lt;="&amp;DATE(2025,7,31),'2025数据'!$BY$3:$BY$181,$E39)/10000)</f>
        <v>0</v>
      </c>
      <c r="M2131" s="221">
        <f ca="1">IF($S$1&lt;DATE(2025,8,1)," ",SUMIFS('2025数据'!$BW$3:$BW$181,'2025数据'!$AB$3:$AB$181,"&gt;="&amp;DATE(2025,8,1),'2025数据'!$AB$3:$AB$181,"&lt;="&amp;DATE(2025,8,31),'2025数据'!$BY$3:$BY$181,$E39)/10000)</f>
        <v>0</v>
      </c>
      <c r="N2131" s="221">
        <f ca="1">IF($S$1&lt;DATE(2025,9,1)," ",SUMIFS('2025数据'!$BW$3:$BW$181,'2025数据'!$AB$3:$AB$181,"&gt;="&amp;DATE(2025,9,1),'2025数据'!$AB$3:$AB$181,"&lt;="&amp;DATE(2025,9,30),'2025数据'!$BY$3:$BY$181,$E39)/10000)</f>
        <v>0</v>
      </c>
      <c r="O2131" s="221">
        <f ca="1">IF($S$1&lt;DATE(2025,10,1)," ",SUMIFS('2025数据'!$BW$3:$BW$181,'2025数据'!$AB$3:$AB$181,"&gt;="&amp;DATE(2025,10,1),'2025数据'!$AB$3:$AB$181,"&lt;="&amp;DATE(2025,10,31),'2025数据'!$BY$3:$BY$181,$E39)/10000)</f>
        <v>0</v>
      </c>
      <c r="P2131" s="225">
        <f ca="1">IF($S$1&lt;DATE(2025,11,1)," ",SUMIFS('2025数据'!$BW$3:$BW$181,'2025数据'!$AB$3:$AB$181,"&gt;="&amp;DATE(2025,11,1),'2025数据'!$AB$3:$AB$181,"&lt;="&amp;DATE(2025,11,30),'2025数据'!$BY$3:$BY$181,$E39)/10000)</f>
        <v>0</v>
      </c>
      <c r="Q2131" s="225">
        <f ca="1">IF($S$1&lt;DATE(2025,12,1)," ",SUMIFS('2025数据'!$BW$3:$BW$181,'2025数据'!$AB$3:$AB$181,"&gt;="&amp;DATE(2025,12,1),'2025数据'!$AB$3:$AB$181,"&lt;="&amp;DATE(2025,12,31),'2025数据'!$BY$3:$BY$181,$E39)/10000)</f>
        <v>0</v>
      </c>
    </row>
    <row r="2132" ht="24" customHeight="1" spans="1:17">
      <c r="A2132" s="99" t="s">
        <v>350</v>
      </c>
      <c r="B2132" s="99" t="s">
        <v>299</v>
      </c>
      <c r="C2132" s="99" t="s">
        <v>343</v>
      </c>
      <c r="D2132" s="218" t="s">
        <v>292</v>
      </c>
      <c r="E2132" s="220" t="s">
        <v>340</v>
      </c>
      <c r="F2132" s="222">
        <f ca="1" t="shared" ref="F2132:F2134" si="1977">IF($S$1&lt;DATE(2025,1,1)," ",F2129)</f>
        <v>0.033149</v>
      </c>
      <c r="G2132" s="222">
        <f ca="1" t="shared" ref="G2132:G2134" si="1978">IF($S$1&lt;DATE(2025,2,1)," ",F2132+G2129)</f>
        <v>0.033149</v>
      </c>
      <c r="H2132" s="222">
        <f ca="1" t="shared" ref="H2132:H2134" si="1979">IF($S$1&lt;DATE(2025,3,1)," ",G2132+H2129)</f>
        <v>0.131474</v>
      </c>
      <c r="I2132" s="222">
        <f ca="1" t="shared" ref="I2132:I2134" si="1980">IF($S$1&lt;DATE(2025,4,1)," ",H2132+I2129)</f>
        <v>0.210772</v>
      </c>
      <c r="J2132" s="222">
        <f ca="1" t="shared" ref="J2132:J2134" si="1981">IF($S$1&lt;DATE(2025,5,1)," ",I2132+J2129)</f>
        <v>0.274979</v>
      </c>
      <c r="K2132" s="222">
        <f ca="1" t="shared" ref="K2132:K2134" si="1982">IF($S$1&lt;DATE(2025,6,1)," ",J2132+K2129)</f>
        <v>0.699475</v>
      </c>
      <c r="L2132" s="222">
        <f ca="1" t="shared" ref="L2132:L2134" si="1983">IF($S$1&lt;DATE(2025,7,1)," ",K2132+L2129)</f>
        <v>0.854036</v>
      </c>
      <c r="M2132" s="222">
        <f ca="1" t="shared" ref="M2132:M2134" si="1984">IF($S$1&lt;DATE(2025,8,1)," ",L2132+M2129)</f>
        <v>1.442842</v>
      </c>
      <c r="N2132" s="222">
        <f ca="1" t="shared" ref="N2132:N2134" si="1985">IF($S$1&lt;DATE(2025,9,1)," ",M2132+N2129)</f>
        <v>1.442842</v>
      </c>
      <c r="O2132" s="222">
        <f ca="1" t="shared" ref="O2132:O2134" si="1986">IF($S$1&lt;DATE(2025,10,1)," ",N2132+O2129)</f>
        <v>2.004997</v>
      </c>
      <c r="P2132" s="222">
        <f ca="1" t="shared" ref="P2132:P2134" si="1987">IF($S$1&lt;DATE(2025,11,1)," ",O2132+P2129)</f>
        <v>2.004997</v>
      </c>
      <c r="Q2132" s="222">
        <f ca="1" t="shared" ref="Q2132:Q2134" si="1988">IF($S$1&lt;DATE(2025,12,1)," ",P2132+Q2129)</f>
        <v>2.004997</v>
      </c>
    </row>
    <row r="2133" ht="24" customHeight="1" spans="1:17">
      <c r="A2133" s="99" t="s">
        <v>350</v>
      </c>
      <c r="B2133" s="99" t="s">
        <v>299</v>
      </c>
      <c r="C2133" s="99" t="s">
        <v>343</v>
      </c>
      <c r="D2133" s="218" t="s">
        <v>292</v>
      </c>
      <c r="E2133" s="220" t="s">
        <v>341</v>
      </c>
      <c r="F2133" s="222">
        <f ca="1" t="shared" si="1977"/>
        <v>0</v>
      </c>
      <c r="G2133" s="222">
        <f ca="1" t="shared" si="1978"/>
        <v>0</v>
      </c>
      <c r="H2133" s="222">
        <f ca="1" t="shared" si="1979"/>
        <v>0</v>
      </c>
      <c r="I2133" s="222">
        <f ca="1" t="shared" si="1980"/>
        <v>0</v>
      </c>
      <c r="J2133" s="222">
        <f ca="1" t="shared" si="1981"/>
        <v>0</v>
      </c>
      <c r="K2133" s="222">
        <f ca="1" t="shared" si="1982"/>
        <v>0</v>
      </c>
      <c r="L2133" s="222">
        <f ca="1" t="shared" si="1983"/>
        <v>0</v>
      </c>
      <c r="M2133" s="222">
        <f ca="1" t="shared" si="1984"/>
        <v>0</v>
      </c>
      <c r="N2133" s="222">
        <f ca="1" t="shared" si="1985"/>
        <v>0</v>
      </c>
      <c r="O2133" s="222">
        <f ca="1" t="shared" si="1986"/>
        <v>0</v>
      </c>
      <c r="P2133" s="222">
        <f ca="1" t="shared" si="1987"/>
        <v>0.172733</v>
      </c>
      <c r="Q2133" s="222">
        <f ca="1" t="shared" si="1988"/>
        <v>0.172733</v>
      </c>
    </row>
    <row r="2134" ht="24" customHeight="1" spans="1:17">
      <c r="A2134" s="99" t="s">
        <v>350</v>
      </c>
      <c r="B2134" s="99" t="s">
        <v>299</v>
      </c>
      <c r="C2134" s="99" t="s">
        <v>343</v>
      </c>
      <c r="D2134" s="218" t="s">
        <v>292</v>
      </c>
      <c r="E2134" s="220" t="s">
        <v>342</v>
      </c>
      <c r="F2134" s="222">
        <f ca="1" t="shared" si="1977"/>
        <v>0</v>
      </c>
      <c r="G2134" s="222">
        <f ca="1" t="shared" si="1978"/>
        <v>0.04291</v>
      </c>
      <c r="H2134" s="222">
        <f ca="1" t="shared" si="1979"/>
        <v>0.48644021</v>
      </c>
      <c r="I2134" s="222">
        <f ca="1" t="shared" si="1980"/>
        <v>0.48644021</v>
      </c>
      <c r="J2134" s="222">
        <f ca="1" t="shared" si="1981"/>
        <v>0.51014121</v>
      </c>
      <c r="K2134" s="222">
        <f ca="1" t="shared" si="1982"/>
        <v>0.51014121</v>
      </c>
      <c r="L2134" s="222">
        <f ca="1" t="shared" si="1983"/>
        <v>0.51014121</v>
      </c>
      <c r="M2134" s="222">
        <f ca="1" t="shared" si="1984"/>
        <v>0.51014121</v>
      </c>
      <c r="N2134" s="222">
        <f ca="1" t="shared" si="1985"/>
        <v>0.51014121</v>
      </c>
      <c r="O2134" s="222">
        <f ca="1" t="shared" si="1986"/>
        <v>0.51014121</v>
      </c>
      <c r="P2134" s="222">
        <f ca="1" t="shared" si="1987"/>
        <v>0.51014121</v>
      </c>
      <c r="Q2134" s="222">
        <f ca="1" t="shared" si="1988"/>
        <v>0.51014121</v>
      </c>
    </row>
    <row r="2135" ht="24" customHeight="1" spans="1:17">
      <c r="A2135" s="99" t="s">
        <v>350</v>
      </c>
      <c r="B2135" s="99" t="s">
        <v>299</v>
      </c>
      <c r="C2135" s="99" t="s">
        <v>343</v>
      </c>
      <c r="D2135" s="114" t="s">
        <v>292</v>
      </c>
      <c r="E2135" s="114" t="s">
        <v>320</v>
      </c>
      <c r="F2135" s="215">
        <f ca="1">IF($S$1&lt;DATE(2025,1,1)," ",IF(SUM(F2136:F2142)&lt;&gt;SUM(F2150:F2154),"ERR",SUM(F2136:F2142)))</f>
        <v>0.027036</v>
      </c>
      <c r="G2135" s="215">
        <f ca="1">IF($S$1&lt;DATE(2025,2,1)," ",IF(SUM(G2136:G2142)&lt;&gt;SUM(G2150:G2154),"ERR",SUM(G2136:G2142)))</f>
        <v>0.069946</v>
      </c>
      <c r="H2135" s="215">
        <f ca="1">IF($S$1&lt;DATE(2025,3,1)," ",IF(SUM(H2136:H2142)&lt;&gt;SUM(H2150:H2154),"ERR",SUM(H2136:H2142)))</f>
        <v>0.64624121</v>
      </c>
      <c r="I2135" s="215">
        <f ca="1">IF($S$1&lt;DATE(2025,4,1)," ",IF(SUM(I2136:I2142)&lt;&gt;SUM(I2150:I2154),"ERR",SUM(I2136:I2142)))</f>
        <v>0.71525821</v>
      </c>
      <c r="J2135" s="215">
        <f ca="1">IF($S$1&lt;DATE(2025,5,1)," ",IF(SUM(J2136:J2142)&lt;&gt;SUM(J2150:J2154),"ERR",SUM(J2136:J2142)))</f>
        <v>0.79749321</v>
      </c>
      <c r="K2135" s="215">
        <f ca="1">IF($S$1&lt;DATE(2025,6,1)," ",IF(SUM(K2136:K2142)&lt;&gt;SUM(K2150:K2154),"ERR",SUM(K2136:K2142)))</f>
        <v>1.15428221</v>
      </c>
      <c r="L2135" s="215">
        <f ca="1">IF($S$1&lt;DATE(2025,7,1)," ",IF(SUM(L2136:L2142)&lt;&gt;SUM(L2150:L2154),"ERR",SUM(L2136:L2142)))</f>
        <v>1.37636421</v>
      </c>
      <c r="M2135" s="215">
        <f ca="1">IF($S$1&lt;DATE(2025,8,1)," ",IF(SUM(M2136:M2142)&lt;&gt;SUM(M2150:M2154),"ERR",SUM(M2136:M2142)))</f>
        <v>1.54162721</v>
      </c>
      <c r="N2135" s="215">
        <f ca="1">IF($S$1&lt;DATE(2025,9,1)," ",IF(SUM(N2136:N2142)&lt;&gt;SUM(N2150:N2154),"ERR",SUM(N2136:N2142)))</f>
        <v>1.54162721</v>
      </c>
      <c r="O2135" s="215">
        <f ca="1">IF($S$1&lt;DATE(2025,10,1)," ",IF(SUM(O2136:O2142)&lt;&gt;SUM(O2150:O2154),"ERR",SUM(O2136:O2142)))</f>
        <v>2.11028621</v>
      </c>
      <c r="P2135" s="215">
        <f ca="1">IF($S$1&lt;DATE(2025,11,1)," ",IF(SUM(P2136:P2142)&lt;&gt;SUM(P2150:P2154),"ERR",SUM(P2136:P2142)))</f>
        <v>2.20229821</v>
      </c>
      <c r="Q2135" s="215">
        <f ca="1">IF($S$1&lt;DATE(2025,12,1)," ",IF(SUM(Q2136:Q2142)&lt;&gt;SUM(Q2150:Q2154),"ERR",SUM(Q2136:Q2142)))</f>
        <v>2.20229821</v>
      </c>
    </row>
    <row r="2136" ht="24" customHeight="1" spans="1:17">
      <c r="A2136" s="99" t="s">
        <v>350</v>
      </c>
      <c r="B2136" s="99" t="s">
        <v>299</v>
      </c>
      <c r="C2136" s="99" t="s">
        <v>343</v>
      </c>
      <c r="D2136" s="48" t="s">
        <v>31</v>
      </c>
      <c r="E2136" s="48" t="s">
        <v>90</v>
      </c>
      <c r="F2136" s="51">
        <f ca="1" t="shared" ref="F2136:F2142" si="1989">IF($S$1&lt;DATE(2025,1,1)," ",F2084)</f>
        <v>0.027036</v>
      </c>
      <c r="G2136" s="51">
        <f ca="1" t="shared" ref="G2136:G2142" si="1990">IF($S$1&lt;DATE(2025,2,1)," ",G2084+F2136)</f>
        <v>0.027036</v>
      </c>
      <c r="H2136" s="51">
        <f ca="1" t="shared" ref="H2136:H2142" si="1991">IF($S$1&lt;DATE(2025,3,1)," ",H2084+G2136)</f>
        <v>0.027036</v>
      </c>
      <c r="I2136" s="51">
        <f ca="1" t="shared" ref="I2136:I2142" si="1992">IF($S$1&lt;DATE(2025,4,1)," ",I2084+H2136)</f>
        <v>0.027036</v>
      </c>
      <c r="J2136" s="51">
        <f ca="1" t="shared" ref="J2136:J2142" si="1993">IF($S$1&lt;DATE(2025,5,1)," ",J2084+I2136)</f>
        <v>0.08557</v>
      </c>
      <c r="K2136" s="51">
        <f ca="1" t="shared" ref="K2136:K2142" si="1994">IF($S$1&lt;DATE(2025,6,1)," ",K2084+J2136)</f>
        <v>0.08557</v>
      </c>
      <c r="L2136" s="51">
        <f ca="1" t="shared" ref="L2136:L2142" si="1995">IF($S$1&lt;DATE(2025,7,1)," ",L2084+K2136)</f>
        <v>0.08557</v>
      </c>
      <c r="M2136" s="51">
        <f ca="1" t="shared" ref="M2136:M2142" si="1996">IF($S$1&lt;DATE(2025,8,1)," ",M2084+L2136)</f>
        <v>0.08557</v>
      </c>
      <c r="N2136" s="51">
        <f ca="1" t="shared" ref="N2136:N2142" si="1997">IF($S$1&lt;DATE(2025,9,1)," ",N2084+M2136)</f>
        <v>0.08557</v>
      </c>
      <c r="O2136" s="51">
        <f ca="1" t="shared" ref="O2136:O2142" si="1998">IF($S$1&lt;DATE(2025,10,1)," ",O2084+N2136)</f>
        <v>0.137148</v>
      </c>
      <c r="P2136" s="51">
        <f ca="1" t="shared" ref="P2136:P2142" si="1999">IF($S$1&lt;DATE(2025,11,1)," ",P2084+O2136)</f>
        <v>0.137148</v>
      </c>
      <c r="Q2136" s="51">
        <f ca="1" t="shared" ref="Q2136:Q2142" si="2000">IF($S$1&lt;DATE(2025,12,1)," ",Q2084+P2136)</f>
        <v>0.137148</v>
      </c>
    </row>
    <row r="2137" ht="24" customHeight="1" spans="1:17">
      <c r="A2137" s="99" t="s">
        <v>350</v>
      </c>
      <c r="B2137" s="99" t="s">
        <v>299</v>
      </c>
      <c r="C2137" s="99" t="s">
        <v>343</v>
      </c>
      <c r="D2137" s="48" t="s">
        <v>31</v>
      </c>
      <c r="E2137" s="48" t="s">
        <v>82</v>
      </c>
      <c r="F2137" s="51">
        <f ca="1" t="shared" si="1989"/>
        <v>0</v>
      </c>
      <c r="G2137" s="51">
        <f ca="1" t="shared" si="1990"/>
        <v>0.04291</v>
      </c>
      <c r="H2137" s="51">
        <f ca="1" t="shared" si="1991"/>
        <v>0.080276</v>
      </c>
      <c r="I2137" s="51">
        <f ca="1" t="shared" si="1992"/>
        <v>0.080276</v>
      </c>
      <c r="J2137" s="51">
        <f ca="1" t="shared" si="1993"/>
        <v>0.080276</v>
      </c>
      <c r="K2137" s="51">
        <f ca="1" t="shared" si="1994"/>
        <v>0.080276</v>
      </c>
      <c r="L2137" s="51">
        <f ca="1" t="shared" si="1995"/>
        <v>0.302358</v>
      </c>
      <c r="M2137" s="51">
        <f ca="1" t="shared" si="1996"/>
        <v>0.42748</v>
      </c>
      <c r="N2137" s="51">
        <f ca="1" t="shared" si="1997"/>
        <v>0.42748</v>
      </c>
      <c r="O2137" s="51">
        <f ca="1" t="shared" si="1998"/>
        <v>0.42748</v>
      </c>
      <c r="P2137" s="51">
        <f ca="1" t="shared" si="1999"/>
        <v>0.42748</v>
      </c>
      <c r="Q2137" s="51">
        <f ca="1" t="shared" si="2000"/>
        <v>0.42748</v>
      </c>
    </row>
    <row r="2138" ht="24" customHeight="1" spans="1:17">
      <c r="A2138" s="99" t="s">
        <v>350</v>
      </c>
      <c r="B2138" s="99" t="s">
        <v>299</v>
      </c>
      <c r="C2138" s="99" t="s">
        <v>343</v>
      </c>
      <c r="D2138" s="48" t="s">
        <v>31</v>
      </c>
      <c r="E2138" s="48" t="s">
        <v>86</v>
      </c>
      <c r="F2138" s="51">
        <f ca="1" t="shared" si="1989"/>
        <v>0</v>
      </c>
      <c r="G2138" s="51">
        <f ca="1" t="shared" si="1990"/>
        <v>0</v>
      </c>
      <c r="H2138" s="51">
        <f ca="1" t="shared" si="1991"/>
        <v>0</v>
      </c>
      <c r="I2138" s="51">
        <f ca="1" t="shared" si="1992"/>
        <v>0</v>
      </c>
      <c r="J2138" s="51">
        <f ca="1" t="shared" si="1993"/>
        <v>0</v>
      </c>
      <c r="K2138" s="51">
        <f ca="1" t="shared" si="1994"/>
        <v>0</v>
      </c>
      <c r="L2138" s="51">
        <f ca="1" t="shared" si="1995"/>
        <v>0</v>
      </c>
      <c r="M2138" s="51">
        <f ca="1" t="shared" si="1996"/>
        <v>0</v>
      </c>
      <c r="N2138" s="51">
        <f ca="1" t="shared" si="1997"/>
        <v>0</v>
      </c>
      <c r="O2138" s="51">
        <f ca="1" t="shared" si="1998"/>
        <v>0</v>
      </c>
      <c r="P2138" s="51">
        <f ca="1" t="shared" si="1999"/>
        <v>0</v>
      </c>
      <c r="Q2138" s="51">
        <f ca="1" t="shared" si="2000"/>
        <v>0</v>
      </c>
    </row>
    <row r="2139" ht="24" customHeight="1" spans="1:17">
      <c r="A2139" s="99" t="s">
        <v>350</v>
      </c>
      <c r="B2139" s="99" t="s">
        <v>299</v>
      </c>
      <c r="C2139" s="99" t="s">
        <v>343</v>
      </c>
      <c r="D2139" s="48" t="s">
        <v>31</v>
      </c>
      <c r="E2139" s="48" t="s">
        <v>97</v>
      </c>
      <c r="F2139" s="51">
        <f ca="1" t="shared" si="1989"/>
        <v>0</v>
      </c>
      <c r="G2139" s="51">
        <f ca="1" t="shared" si="1990"/>
        <v>0</v>
      </c>
      <c r="H2139" s="51">
        <f ca="1" t="shared" si="1991"/>
        <v>0.169938</v>
      </c>
      <c r="I2139" s="51">
        <f ca="1" t="shared" si="1992"/>
        <v>0.169938</v>
      </c>
      <c r="J2139" s="51">
        <f ca="1" t="shared" si="1993"/>
        <v>0.193639</v>
      </c>
      <c r="K2139" s="51">
        <f ca="1" t="shared" si="1994"/>
        <v>0.550428</v>
      </c>
      <c r="L2139" s="51">
        <f ca="1" t="shared" si="1995"/>
        <v>0.550428</v>
      </c>
      <c r="M2139" s="51">
        <f ca="1" t="shared" si="1996"/>
        <v>0.550428</v>
      </c>
      <c r="N2139" s="51">
        <f ca="1" t="shared" si="1997"/>
        <v>0.550428</v>
      </c>
      <c r="O2139" s="51">
        <f ca="1" t="shared" si="1998"/>
        <v>0.550428</v>
      </c>
      <c r="P2139" s="51">
        <f ca="1" t="shared" si="1999"/>
        <v>0.64244</v>
      </c>
      <c r="Q2139" s="51">
        <f ca="1" t="shared" si="2000"/>
        <v>0.64244</v>
      </c>
    </row>
    <row r="2140" ht="24" customHeight="1" spans="1:17">
      <c r="A2140" s="99" t="s">
        <v>350</v>
      </c>
      <c r="B2140" s="99" t="s">
        <v>299</v>
      </c>
      <c r="C2140" s="99" t="s">
        <v>343</v>
      </c>
      <c r="D2140" s="48" t="s">
        <v>31</v>
      </c>
      <c r="E2140" s="48" t="s">
        <v>87</v>
      </c>
      <c r="F2140" s="51">
        <f ca="1" t="shared" si="1989"/>
        <v>0</v>
      </c>
      <c r="G2140" s="51">
        <f ca="1" t="shared" si="1990"/>
        <v>0</v>
      </c>
      <c r="H2140" s="51">
        <f ca="1" t="shared" si="1991"/>
        <v>0</v>
      </c>
      <c r="I2140" s="51">
        <f ca="1" t="shared" si="1992"/>
        <v>0</v>
      </c>
      <c r="J2140" s="51">
        <f ca="1" t="shared" si="1993"/>
        <v>0</v>
      </c>
      <c r="K2140" s="51">
        <f ca="1" t="shared" si="1994"/>
        <v>0</v>
      </c>
      <c r="L2140" s="51">
        <f ca="1" t="shared" si="1995"/>
        <v>0</v>
      </c>
      <c r="M2140" s="51">
        <f ca="1" t="shared" si="1996"/>
        <v>0.040141</v>
      </c>
      <c r="N2140" s="51">
        <f ca="1" t="shared" si="1997"/>
        <v>0.040141</v>
      </c>
      <c r="O2140" s="51">
        <f ca="1" t="shared" si="1998"/>
        <v>0.040141</v>
      </c>
      <c r="P2140" s="51">
        <f ca="1" t="shared" si="1999"/>
        <v>0.040141</v>
      </c>
      <c r="Q2140" s="51">
        <f ca="1" t="shared" si="2000"/>
        <v>0.040141</v>
      </c>
    </row>
    <row r="2141" ht="24" customHeight="1" spans="1:17">
      <c r="A2141" s="99" t="s">
        <v>350</v>
      </c>
      <c r="B2141" s="99" t="s">
        <v>299</v>
      </c>
      <c r="C2141" s="99" t="s">
        <v>343</v>
      </c>
      <c r="D2141" s="48" t="s">
        <v>31</v>
      </c>
      <c r="E2141" s="48" t="s">
        <v>149</v>
      </c>
      <c r="F2141" s="51">
        <f ca="1" t="shared" si="1989"/>
        <v>0</v>
      </c>
      <c r="G2141" s="51">
        <f ca="1" t="shared" si="1990"/>
        <v>0</v>
      </c>
      <c r="H2141" s="51">
        <f ca="1" t="shared" si="1991"/>
        <v>0.36899121</v>
      </c>
      <c r="I2141" s="51">
        <f ca="1" t="shared" si="1992"/>
        <v>0.36899121</v>
      </c>
      <c r="J2141" s="51">
        <f ca="1" t="shared" si="1993"/>
        <v>0.36899121</v>
      </c>
      <c r="K2141" s="51">
        <f ca="1" t="shared" si="1994"/>
        <v>0.36899121</v>
      </c>
      <c r="L2141" s="51">
        <f ca="1" t="shared" si="1995"/>
        <v>0.36899121</v>
      </c>
      <c r="M2141" s="51">
        <f ca="1" t="shared" si="1996"/>
        <v>0.36899121</v>
      </c>
      <c r="N2141" s="51">
        <f ca="1" t="shared" si="1997"/>
        <v>0.36899121</v>
      </c>
      <c r="O2141" s="51">
        <f ca="1" t="shared" si="1998"/>
        <v>0.36899121</v>
      </c>
      <c r="P2141" s="51">
        <f ca="1" t="shared" si="1999"/>
        <v>0.36899121</v>
      </c>
      <c r="Q2141" s="51">
        <f ca="1" t="shared" si="2000"/>
        <v>0.36899121</v>
      </c>
    </row>
    <row r="2142" ht="24" customHeight="1" spans="1:17">
      <c r="A2142" s="99" t="s">
        <v>350</v>
      </c>
      <c r="B2142" s="99" t="s">
        <v>299</v>
      </c>
      <c r="C2142" s="99" t="s">
        <v>343</v>
      </c>
      <c r="D2142" s="48" t="s">
        <v>31</v>
      </c>
      <c r="E2142" s="48" t="s">
        <v>83</v>
      </c>
      <c r="F2142" s="51">
        <f ca="1" t="shared" si="1989"/>
        <v>0</v>
      </c>
      <c r="G2142" s="51">
        <f ca="1" t="shared" si="1990"/>
        <v>0</v>
      </c>
      <c r="H2142" s="51">
        <f ca="1" t="shared" si="1991"/>
        <v>0</v>
      </c>
      <c r="I2142" s="51">
        <f ca="1" t="shared" si="1992"/>
        <v>0.069017</v>
      </c>
      <c r="J2142" s="51">
        <f ca="1" t="shared" si="1993"/>
        <v>0.069017</v>
      </c>
      <c r="K2142" s="51">
        <f ca="1" t="shared" si="1994"/>
        <v>0.069017</v>
      </c>
      <c r="L2142" s="51">
        <f ca="1" t="shared" si="1995"/>
        <v>0.069017</v>
      </c>
      <c r="M2142" s="51">
        <f ca="1" t="shared" si="1996"/>
        <v>0.069017</v>
      </c>
      <c r="N2142" s="51">
        <f ca="1" t="shared" si="1997"/>
        <v>0.069017</v>
      </c>
      <c r="O2142" s="51">
        <f ca="1" t="shared" si="1998"/>
        <v>0.586098</v>
      </c>
      <c r="P2142" s="51">
        <f ca="1" t="shared" si="1999"/>
        <v>0.586098</v>
      </c>
      <c r="Q2142" s="51">
        <f ca="1" t="shared" si="2000"/>
        <v>0.586098</v>
      </c>
    </row>
    <row r="2143" ht="24" customHeight="1" spans="1:17">
      <c r="A2143" s="99" t="s">
        <v>350</v>
      </c>
      <c r="B2143" s="99" t="s">
        <v>299</v>
      </c>
      <c r="C2143" s="99" t="s">
        <v>343</v>
      </c>
      <c r="D2143" s="48" t="s">
        <v>321</v>
      </c>
      <c r="E2143" s="48" t="s">
        <v>90</v>
      </c>
      <c r="F2143" s="112">
        <f ca="1" t="shared" ref="F2143:Q2143" si="2001">IFERROR(F2136/F2135," ")</f>
        <v>1</v>
      </c>
      <c r="G2143" s="112">
        <f ca="1" t="shared" si="2001"/>
        <v>0.386526749206531</v>
      </c>
      <c r="H2143" s="112">
        <f ca="1" t="shared" si="2001"/>
        <v>0.0418357721260147</v>
      </c>
      <c r="I2143" s="112">
        <f ca="1" t="shared" si="2001"/>
        <v>0.0377989369741034</v>
      </c>
      <c r="J2143" s="112">
        <f ca="1" t="shared" si="2001"/>
        <v>0.107298719195365</v>
      </c>
      <c r="K2143" s="112">
        <f ca="1" t="shared" si="2001"/>
        <v>0.0741326508012283</v>
      </c>
      <c r="L2143" s="112">
        <f ca="1" t="shared" si="2001"/>
        <v>0.0621710441017643</v>
      </c>
      <c r="M2143" s="112">
        <f ca="1" t="shared" si="2001"/>
        <v>0.055506285465732</v>
      </c>
      <c r="N2143" s="112">
        <f ca="1" t="shared" si="2001"/>
        <v>0.055506285465732</v>
      </c>
      <c r="O2143" s="112">
        <f ca="1" t="shared" si="2001"/>
        <v>0.0649902365613241</v>
      </c>
      <c r="P2143" s="112">
        <f ca="1" t="shared" si="2001"/>
        <v>0.0622749450447948</v>
      </c>
      <c r="Q2143" s="112">
        <f ca="1" t="shared" si="2001"/>
        <v>0.0622749450447948</v>
      </c>
    </row>
    <row r="2144" ht="24" customHeight="1" spans="1:17">
      <c r="A2144" s="99" t="s">
        <v>350</v>
      </c>
      <c r="B2144" s="99" t="s">
        <v>299</v>
      </c>
      <c r="C2144" s="99" t="s">
        <v>343</v>
      </c>
      <c r="D2144" s="48" t="s">
        <v>321</v>
      </c>
      <c r="E2144" s="48" t="s">
        <v>82</v>
      </c>
      <c r="F2144" s="112">
        <f ca="1" t="shared" ref="F2144:Q2144" si="2002">IFERROR(F2137/F2135," ")</f>
        <v>0</v>
      </c>
      <c r="G2144" s="112">
        <f ca="1" t="shared" si="2002"/>
        <v>0.613473250793469</v>
      </c>
      <c r="H2144" s="112">
        <f ca="1" t="shared" si="2002"/>
        <v>0.124219871400649</v>
      </c>
      <c r="I2144" s="112">
        <f ca="1" t="shared" si="2002"/>
        <v>0.112233594634307</v>
      </c>
      <c r="J2144" s="112">
        <f ca="1" t="shared" si="2002"/>
        <v>0.100660418162056</v>
      </c>
      <c r="K2144" s="112">
        <f ca="1" t="shared" si="2002"/>
        <v>0.0695462507388033</v>
      </c>
      <c r="L2144" s="112">
        <f ca="1" t="shared" si="2002"/>
        <v>0.219678772379587</v>
      </c>
      <c r="M2144" s="112">
        <f ca="1" t="shared" si="2002"/>
        <v>0.27729142118606</v>
      </c>
      <c r="N2144" s="112">
        <f ca="1" t="shared" si="2002"/>
        <v>0.27729142118606</v>
      </c>
      <c r="O2144" s="112">
        <f ca="1" t="shared" si="2002"/>
        <v>0.202569678925211</v>
      </c>
      <c r="P2144" s="112">
        <f ca="1" t="shared" si="2002"/>
        <v>0.194106319507021</v>
      </c>
      <c r="Q2144" s="112">
        <f ca="1" t="shared" si="2002"/>
        <v>0.194106319507021</v>
      </c>
    </row>
    <row r="2145" ht="24" customHeight="1" spans="1:17">
      <c r="A2145" s="99" t="s">
        <v>350</v>
      </c>
      <c r="B2145" s="99" t="s">
        <v>299</v>
      </c>
      <c r="C2145" s="99" t="s">
        <v>343</v>
      </c>
      <c r="D2145" s="48" t="s">
        <v>321</v>
      </c>
      <c r="E2145" s="48" t="s">
        <v>86</v>
      </c>
      <c r="F2145" s="112">
        <f ca="1" t="shared" ref="F2145:Q2145" si="2003">IFERROR(F2138/F2135," ")</f>
        <v>0</v>
      </c>
      <c r="G2145" s="112">
        <f ca="1" t="shared" si="2003"/>
        <v>0</v>
      </c>
      <c r="H2145" s="112">
        <f ca="1" t="shared" si="2003"/>
        <v>0</v>
      </c>
      <c r="I2145" s="112">
        <f ca="1" t="shared" si="2003"/>
        <v>0</v>
      </c>
      <c r="J2145" s="112">
        <f ca="1" t="shared" si="2003"/>
        <v>0</v>
      </c>
      <c r="K2145" s="112">
        <f ca="1" t="shared" si="2003"/>
        <v>0</v>
      </c>
      <c r="L2145" s="112">
        <f ca="1" t="shared" si="2003"/>
        <v>0</v>
      </c>
      <c r="M2145" s="112">
        <f ca="1" t="shared" si="2003"/>
        <v>0</v>
      </c>
      <c r="N2145" s="112">
        <f ca="1" t="shared" si="2003"/>
        <v>0</v>
      </c>
      <c r="O2145" s="112">
        <f ca="1" t="shared" si="2003"/>
        <v>0</v>
      </c>
      <c r="P2145" s="112">
        <f ca="1" t="shared" si="2003"/>
        <v>0</v>
      </c>
      <c r="Q2145" s="112">
        <f ca="1" t="shared" si="2003"/>
        <v>0</v>
      </c>
    </row>
    <row r="2146" ht="24" customHeight="1" spans="1:17">
      <c r="A2146" s="99" t="s">
        <v>350</v>
      </c>
      <c r="B2146" s="99" t="s">
        <v>299</v>
      </c>
      <c r="C2146" s="99" t="s">
        <v>343</v>
      </c>
      <c r="D2146" s="48" t="s">
        <v>321</v>
      </c>
      <c r="E2146" s="48" t="s">
        <v>97</v>
      </c>
      <c r="F2146" s="112">
        <f ca="1" t="shared" ref="F2146:Q2146" si="2004">IFERROR(F2139/F2135," ")</f>
        <v>0</v>
      </c>
      <c r="G2146" s="112">
        <f ca="1" t="shared" si="2004"/>
        <v>0</v>
      </c>
      <c r="H2146" s="112">
        <f ca="1" t="shared" si="2004"/>
        <v>0.262963731452533</v>
      </c>
      <c r="I2146" s="112">
        <f ca="1" t="shared" si="2004"/>
        <v>0.23758972301765</v>
      </c>
      <c r="J2146" s="112">
        <f ca="1" t="shared" si="2004"/>
        <v>0.242809590817707</v>
      </c>
      <c r="K2146" s="112">
        <f ca="1" t="shared" si="2004"/>
        <v>0.476857388281155</v>
      </c>
      <c r="L2146" s="112">
        <f ca="1" t="shared" si="2004"/>
        <v>0.399914496468925</v>
      </c>
      <c r="M2146" s="112">
        <f ca="1" t="shared" si="2004"/>
        <v>0.35704351637644</v>
      </c>
      <c r="N2146" s="112">
        <f ca="1" t="shared" si="2004"/>
        <v>0.35704351637644</v>
      </c>
      <c r="O2146" s="112">
        <f ca="1" t="shared" si="2004"/>
        <v>0.260830970411355</v>
      </c>
      <c r="P2146" s="112">
        <f ca="1" t="shared" si="2004"/>
        <v>0.291713446018739</v>
      </c>
      <c r="Q2146" s="112">
        <f ca="1" t="shared" si="2004"/>
        <v>0.291713446018739</v>
      </c>
    </row>
    <row r="2147" ht="24" customHeight="1" spans="1:17">
      <c r="A2147" s="99" t="s">
        <v>350</v>
      </c>
      <c r="B2147" s="99" t="s">
        <v>299</v>
      </c>
      <c r="C2147" s="99" t="s">
        <v>343</v>
      </c>
      <c r="D2147" s="48" t="s">
        <v>321</v>
      </c>
      <c r="E2147" s="48" t="s">
        <v>87</v>
      </c>
      <c r="F2147" s="112">
        <f ca="1" t="shared" ref="F2147:Q2147" si="2005">IFERROR(F2140/F2135," ")</f>
        <v>0</v>
      </c>
      <c r="G2147" s="112">
        <f ca="1" t="shared" si="2005"/>
        <v>0</v>
      </c>
      <c r="H2147" s="112">
        <f ca="1" t="shared" si="2005"/>
        <v>0</v>
      </c>
      <c r="I2147" s="112">
        <f ca="1" t="shared" si="2005"/>
        <v>0</v>
      </c>
      <c r="J2147" s="112">
        <f ca="1" t="shared" si="2005"/>
        <v>0</v>
      </c>
      <c r="K2147" s="112">
        <f ca="1" t="shared" si="2005"/>
        <v>0</v>
      </c>
      <c r="L2147" s="112">
        <f ca="1" t="shared" si="2005"/>
        <v>0</v>
      </c>
      <c r="M2147" s="112">
        <f ca="1" t="shared" si="2005"/>
        <v>0.0260380718111482</v>
      </c>
      <c r="N2147" s="112">
        <f ca="1" t="shared" si="2005"/>
        <v>0.0260380718111482</v>
      </c>
      <c r="O2147" s="112">
        <f ca="1" t="shared" si="2005"/>
        <v>0.0190215904410426</v>
      </c>
      <c r="P2147" s="112">
        <f ca="1" t="shared" si="2005"/>
        <v>0.0182268685583684</v>
      </c>
      <c r="Q2147" s="112">
        <f ca="1" t="shared" si="2005"/>
        <v>0.0182268685583684</v>
      </c>
    </row>
    <row r="2148" ht="24" customHeight="1" spans="1:17">
      <c r="A2148" s="99" t="s">
        <v>350</v>
      </c>
      <c r="B2148" s="99" t="s">
        <v>299</v>
      </c>
      <c r="C2148" s="99" t="s">
        <v>343</v>
      </c>
      <c r="D2148" s="48" t="s">
        <v>321</v>
      </c>
      <c r="E2148" s="48" t="s">
        <v>149</v>
      </c>
      <c r="F2148" s="112">
        <f ca="1" t="shared" ref="F2148:Q2148" si="2006">IFERROR(F2141/F2135," ")</f>
        <v>0</v>
      </c>
      <c r="G2148" s="112">
        <f ca="1" t="shared" si="2006"/>
        <v>0</v>
      </c>
      <c r="H2148" s="112">
        <f ca="1" t="shared" si="2006"/>
        <v>0.570980625020803</v>
      </c>
      <c r="I2148" s="112">
        <f ca="1" t="shared" si="2006"/>
        <v>0.515885319233176</v>
      </c>
      <c r="J2148" s="112">
        <f ca="1" t="shared" si="2006"/>
        <v>0.462688842203434</v>
      </c>
      <c r="K2148" s="112">
        <f ca="1" t="shared" si="2006"/>
        <v>0.319671573210853</v>
      </c>
      <c r="L2148" s="112">
        <f ca="1" t="shared" si="2006"/>
        <v>0.268091256165401</v>
      </c>
      <c r="M2148" s="112">
        <f ca="1" t="shared" si="2006"/>
        <v>0.239351775582633</v>
      </c>
      <c r="N2148" s="112">
        <f ca="1" t="shared" si="2006"/>
        <v>0.239351775582633</v>
      </c>
      <c r="O2148" s="112">
        <f ca="1" t="shared" si="2006"/>
        <v>0.174853632768609</v>
      </c>
      <c r="P2148" s="112">
        <f ca="1" t="shared" si="2006"/>
        <v>0.167548249517035</v>
      </c>
      <c r="Q2148" s="112">
        <f ca="1" t="shared" si="2006"/>
        <v>0.167548249517035</v>
      </c>
    </row>
    <row r="2149" ht="24" customHeight="1" spans="1:17">
      <c r="A2149" s="99" t="s">
        <v>350</v>
      </c>
      <c r="B2149" s="99" t="s">
        <v>299</v>
      </c>
      <c r="C2149" s="99" t="s">
        <v>343</v>
      </c>
      <c r="D2149" s="48" t="s">
        <v>321</v>
      </c>
      <c r="E2149" s="48" t="s">
        <v>83</v>
      </c>
      <c r="F2149" s="112">
        <f ca="1" t="shared" ref="F2149:Q2149" si="2007">IFERROR(F2142/F2135," ")</f>
        <v>0</v>
      </c>
      <c r="G2149" s="112">
        <f ca="1" t="shared" si="2007"/>
        <v>0</v>
      </c>
      <c r="H2149" s="112">
        <f ca="1" t="shared" si="2007"/>
        <v>0</v>
      </c>
      <c r="I2149" s="112">
        <f ca="1" t="shared" si="2007"/>
        <v>0.0964924261407639</v>
      </c>
      <c r="J2149" s="112">
        <f ca="1" t="shared" si="2007"/>
        <v>0.0865424296214384</v>
      </c>
      <c r="K2149" s="112">
        <f ca="1" t="shared" si="2007"/>
        <v>0.0597921369679604</v>
      </c>
      <c r="L2149" s="112">
        <f ca="1" t="shared" si="2007"/>
        <v>0.0501444308843224</v>
      </c>
      <c r="M2149" s="112">
        <f ca="1" t="shared" si="2007"/>
        <v>0.0447689295779879</v>
      </c>
      <c r="N2149" s="112">
        <f ca="1" t="shared" si="2007"/>
        <v>0.0447689295779879</v>
      </c>
      <c r="O2149" s="112">
        <f ca="1" t="shared" si="2007"/>
        <v>0.277733890892459</v>
      </c>
      <c r="P2149" s="112">
        <f ca="1" t="shared" si="2007"/>
        <v>0.266130171354042</v>
      </c>
      <c r="Q2149" s="112">
        <f ca="1" t="shared" si="2007"/>
        <v>0.266130171354042</v>
      </c>
    </row>
    <row r="2150" ht="24" customHeight="1" spans="1:17">
      <c r="A2150" s="99" t="s">
        <v>350</v>
      </c>
      <c r="B2150" s="99" t="s">
        <v>299</v>
      </c>
      <c r="C2150" s="99" t="s">
        <v>343</v>
      </c>
      <c r="D2150" s="47" t="s">
        <v>294</v>
      </c>
      <c r="E2150" s="47" t="s">
        <v>93</v>
      </c>
      <c r="F2150" s="64">
        <f ca="1" t="shared" ref="F2150:F2154" si="2008">IF($S$1&lt;DATE(2025,1,1)," ",F2091)</f>
        <v>0</v>
      </c>
      <c r="G2150" s="64">
        <f ca="1" t="shared" ref="G2150:G2154" si="2009">IF($S$1&lt;DATE(2025,2,1)," ",G2091+F2150)</f>
        <v>0.04291</v>
      </c>
      <c r="H2150" s="64">
        <f ca="1" t="shared" ref="H2150:H2154" si="2010">IF($S$1&lt;DATE(2025,3,1)," ",H2091+G2150)</f>
        <v>0.47918521</v>
      </c>
      <c r="I2150" s="64">
        <f ca="1" t="shared" ref="I2150:I2154" si="2011">IF($S$1&lt;DATE(2025,4,1)," ",I2091+H2150)</f>
        <v>0.47918521</v>
      </c>
      <c r="J2150" s="64">
        <f ca="1" t="shared" ref="J2150:J2154" si="2012">IF($S$1&lt;DATE(2025,5,1)," ",J2091+I2150)</f>
        <v>0.50288621</v>
      </c>
      <c r="K2150" s="64">
        <f ca="1" t="shared" ref="K2150:K2154" si="2013">IF($S$1&lt;DATE(2025,6,1)," ",K2091+J2150)</f>
        <v>0.85967521</v>
      </c>
      <c r="L2150" s="64">
        <f ca="1" t="shared" ref="L2150:L2154" si="2014">IF($S$1&lt;DATE(2025,7,1)," ",L2091+K2150)</f>
        <v>0.85967521</v>
      </c>
      <c r="M2150" s="64">
        <f ca="1" t="shared" ref="M2150:M2154" si="2015">IF($S$1&lt;DATE(2025,8,1)," ",M2091+L2150)</f>
        <v>0.89656721</v>
      </c>
      <c r="N2150" s="64">
        <f ca="1" t="shared" ref="N2150:N2154" si="2016">IF($S$1&lt;DATE(2025,9,1)," ",N2091+M2150)</f>
        <v>0.89656721</v>
      </c>
      <c r="O2150" s="64">
        <f ca="1" t="shared" ref="O2150:O2154" si="2017">IF($S$1&lt;DATE(2025,10,1)," ",O2091+N2150)</f>
        <v>1.23337821</v>
      </c>
      <c r="P2150" s="64">
        <f ca="1" t="shared" ref="P2150:P2154" si="2018">IF($S$1&lt;DATE(2025,11,1)," ",P2091+O2150)</f>
        <v>1.32539021</v>
      </c>
      <c r="Q2150" s="64">
        <f ca="1" t="shared" ref="Q2150:Q2154" si="2019">IF($S$1&lt;DATE(2025,12,1)," ",Q2091+P2150)</f>
        <v>1.32539021</v>
      </c>
    </row>
    <row r="2151" ht="24" customHeight="1" spans="1:17">
      <c r="A2151" s="99" t="s">
        <v>350</v>
      </c>
      <c r="B2151" s="99" t="s">
        <v>299</v>
      </c>
      <c r="C2151" s="99" t="s">
        <v>343</v>
      </c>
      <c r="D2151" s="47" t="s">
        <v>294</v>
      </c>
      <c r="E2151" s="47" t="s">
        <v>85</v>
      </c>
      <c r="F2151" s="64">
        <f ca="1" t="shared" si="2008"/>
        <v>0.027036</v>
      </c>
      <c r="G2151" s="64">
        <f ca="1" t="shared" si="2009"/>
        <v>0.027036</v>
      </c>
      <c r="H2151" s="64">
        <f ca="1" t="shared" si="2010"/>
        <v>0.027036</v>
      </c>
      <c r="I2151" s="64">
        <f ca="1" t="shared" si="2011"/>
        <v>0.096053</v>
      </c>
      <c r="J2151" s="64">
        <f ca="1" t="shared" si="2012"/>
        <v>0.096053</v>
      </c>
      <c r="K2151" s="64">
        <f ca="1" t="shared" si="2013"/>
        <v>0.096053</v>
      </c>
      <c r="L2151" s="64">
        <f ca="1" t="shared" si="2014"/>
        <v>0.096053</v>
      </c>
      <c r="M2151" s="64">
        <f ca="1" t="shared" si="2015"/>
        <v>0.224424</v>
      </c>
      <c r="N2151" s="64">
        <f ca="1" t="shared" si="2016"/>
        <v>0.224424</v>
      </c>
      <c r="O2151" s="64">
        <f ca="1" t="shared" si="2017"/>
        <v>0.456272</v>
      </c>
      <c r="P2151" s="64">
        <f ca="1" t="shared" si="2018"/>
        <v>0.456272</v>
      </c>
      <c r="Q2151" s="64">
        <f ca="1" t="shared" si="2019"/>
        <v>0.456272</v>
      </c>
    </row>
    <row r="2152" ht="24" customHeight="1" spans="1:17">
      <c r="A2152" s="99" t="s">
        <v>350</v>
      </c>
      <c r="B2152" s="99" t="s">
        <v>299</v>
      </c>
      <c r="C2152" s="99" t="s">
        <v>343</v>
      </c>
      <c r="D2152" s="47" t="s">
        <v>294</v>
      </c>
      <c r="E2152" s="47" t="s">
        <v>81</v>
      </c>
      <c r="F2152" s="64">
        <f ca="1" t="shared" si="2008"/>
        <v>0</v>
      </c>
      <c r="G2152" s="64">
        <f ca="1" t="shared" si="2009"/>
        <v>0</v>
      </c>
      <c r="H2152" s="64">
        <f ca="1" t="shared" si="2010"/>
        <v>0.037366</v>
      </c>
      <c r="I2152" s="64">
        <f ca="1" t="shared" si="2011"/>
        <v>0.037366</v>
      </c>
      <c r="J2152" s="64">
        <f ca="1" t="shared" si="2012"/>
        <v>0.0959</v>
      </c>
      <c r="K2152" s="64">
        <f ca="1" t="shared" si="2013"/>
        <v>0.0959</v>
      </c>
      <c r="L2152" s="64">
        <f ca="1" t="shared" si="2014"/>
        <v>0.317982</v>
      </c>
      <c r="M2152" s="64">
        <f ca="1" t="shared" si="2015"/>
        <v>0.317982</v>
      </c>
      <c r="N2152" s="64">
        <f ca="1" t="shared" si="2016"/>
        <v>0.317982</v>
      </c>
      <c r="O2152" s="64">
        <f ca="1" t="shared" si="2017"/>
        <v>0.317982</v>
      </c>
      <c r="P2152" s="64">
        <f ca="1" t="shared" si="2018"/>
        <v>0.317982</v>
      </c>
      <c r="Q2152" s="64">
        <f ca="1" t="shared" si="2019"/>
        <v>0.317982</v>
      </c>
    </row>
    <row r="2153" ht="24" customHeight="1" spans="1:17">
      <c r="A2153" s="99" t="s">
        <v>350</v>
      </c>
      <c r="B2153" s="99" t="s">
        <v>299</v>
      </c>
      <c r="C2153" s="99" t="s">
        <v>343</v>
      </c>
      <c r="D2153" s="47" t="s">
        <v>294</v>
      </c>
      <c r="E2153" s="47" t="s">
        <v>96</v>
      </c>
      <c r="F2153" s="64">
        <f ca="1" t="shared" si="2008"/>
        <v>0</v>
      </c>
      <c r="G2153" s="64">
        <f ca="1" t="shared" si="2009"/>
        <v>0</v>
      </c>
      <c r="H2153" s="64">
        <f ca="1" t="shared" si="2010"/>
        <v>0.102654</v>
      </c>
      <c r="I2153" s="64">
        <f ca="1" t="shared" si="2011"/>
        <v>0.102654</v>
      </c>
      <c r="J2153" s="64">
        <f ca="1" t="shared" si="2012"/>
        <v>0.102654</v>
      </c>
      <c r="K2153" s="64">
        <f ca="1" t="shared" si="2013"/>
        <v>0.102654</v>
      </c>
      <c r="L2153" s="64">
        <f ca="1" t="shared" si="2014"/>
        <v>0.102654</v>
      </c>
      <c r="M2153" s="64">
        <f ca="1" t="shared" si="2015"/>
        <v>0.102654</v>
      </c>
      <c r="N2153" s="64">
        <f ca="1" t="shared" si="2016"/>
        <v>0.102654</v>
      </c>
      <c r="O2153" s="64">
        <f ca="1" t="shared" si="2017"/>
        <v>0.102654</v>
      </c>
      <c r="P2153" s="64">
        <f ca="1" t="shared" si="2018"/>
        <v>0.102654</v>
      </c>
      <c r="Q2153" s="64">
        <f ca="1" t="shared" si="2019"/>
        <v>0.102654</v>
      </c>
    </row>
    <row r="2154" ht="24" customHeight="1" spans="1:17">
      <c r="A2154" s="99" t="s">
        <v>350</v>
      </c>
      <c r="B2154" s="99" t="s">
        <v>299</v>
      </c>
      <c r="C2154" s="99" t="s">
        <v>343</v>
      </c>
      <c r="D2154" s="47" t="s">
        <v>294</v>
      </c>
      <c r="E2154" s="47" t="s">
        <v>160</v>
      </c>
      <c r="F2154" s="64">
        <f ca="1" t="shared" si="2008"/>
        <v>0</v>
      </c>
      <c r="G2154" s="64">
        <f ca="1" t="shared" si="2009"/>
        <v>0</v>
      </c>
      <c r="H2154" s="64">
        <f ca="1" t="shared" si="2010"/>
        <v>0</v>
      </c>
      <c r="I2154" s="64">
        <f ca="1" t="shared" si="2011"/>
        <v>0</v>
      </c>
      <c r="J2154" s="64">
        <f ca="1" t="shared" si="2012"/>
        <v>0</v>
      </c>
      <c r="K2154" s="64">
        <f ca="1" t="shared" si="2013"/>
        <v>0</v>
      </c>
      <c r="L2154" s="64">
        <f ca="1" t="shared" si="2014"/>
        <v>0</v>
      </c>
      <c r="M2154" s="64">
        <f ca="1" t="shared" si="2015"/>
        <v>0</v>
      </c>
      <c r="N2154" s="64">
        <f ca="1" t="shared" si="2016"/>
        <v>0</v>
      </c>
      <c r="O2154" s="64">
        <f ca="1" t="shared" si="2017"/>
        <v>0</v>
      </c>
      <c r="P2154" s="64">
        <f ca="1" t="shared" si="2018"/>
        <v>0</v>
      </c>
      <c r="Q2154" s="64">
        <f ca="1" t="shared" si="2019"/>
        <v>0</v>
      </c>
    </row>
    <row r="2155" ht="24" customHeight="1" spans="1:17">
      <c r="A2155" s="99" t="s">
        <v>350</v>
      </c>
      <c r="B2155" s="99" t="s">
        <v>299</v>
      </c>
      <c r="C2155" s="99" t="s">
        <v>343</v>
      </c>
      <c r="D2155" s="47" t="s">
        <v>321</v>
      </c>
      <c r="E2155" s="47" t="s">
        <v>93</v>
      </c>
      <c r="F2155" s="126">
        <f ca="1" t="shared" ref="F2155:Q2155" si="2020">IFERROR(F2150/F2135," ")</f>
        <v>0</v>
      </c>
      <c r="G2155" s="126">
        <f ca="1" t="shared" si="2020"/>
        <v>0.613473250793469</v>
      </c>
      <c r="H2155" s="126">
        <f ca="1" t="shared" si="2020"/>
        <v>0.74149590367349</v>
      </c>
      <c r="I2155" s="126">
        <f ca="1" t="shared" si="2020"/>
        <v>0.669947164954597</v>
      </c>
      <c r="J2155" s="126">
        <f ca="1" t="shared" si="2020"/>
        <v>0.630583688605951</v>
      </c>
      <c r="K2155" s="126">
        <f ca="1" t="shared" si="2020"/>
        <v>0.744770388517034</v>
      </c>
      <c r="L2155" s="126">
        <f ca="1" t="shared" si="2020"/>
        <v>0.624598637304002</v>
      </c>
      <c r="M2155" s="126">
        <f ca="1" t="shared" si="2020"/>
        <v>0.581571993659868</v>
      </c>
      <c r="N2155" s="126">
        <f ca="1" t="shared" si="2020"/>
        <v>0.581571993659868</v>
      </c>
      <c r="O2155" s="126">
        <f ca="1" t="shared" si="2020"/>
        <v>0.584460157184082</v>
      </c>
      <c r="P2155" s="126">
        <f ca="1" t="shared" si="2020"/>
        <v>0.601821408191582</v>
      </c>
      <c r="Q2155" s="126">
        <f ca="1" t="shared" si="2020"/>
        <v>0.601821408191582</v>
      </c>
    </row>
    <row r="2156" ht="24" customHeight="1" spans="1:17">
      <c r="A2156" s="99" t="s">
        <v>350</v>
      </c>
      <c r="B2156" s="99" t="s">
        <v>299</v>
      </c>
      <c r="C2156" s="99" t="s">
        <v>343</v>
      </c>
      <c r="D2156" s="47" t="s">
        <v>321</v>
      </c>
      <c r="E2156" s="47" t="s">
        <v>85</v>
      </c>
      <c r="F2156" s="126">
        <f ca="1" t="shared" ref="F2156:Q2156" si="2021">IFERROR(F2151/F2135," ")</f>
        <v>1</v>
      </c>
      <c r="G2156" s="126">
        <f ca="1" t="shared" si="2021"/>
        <v>0.386526749206531</v>
      </c>
      <c r="H2156" s="126">
        <f ca="1" t="shared" si="2021"/>
        <v>0.0418357721260147</v>
      </c>
      <c r="I2156" s="126">
        <f ca="1" t="shared" si="2021"/>
        <v>0.134291363114867</v>
      </c>
      <c r="J2156" s="126">
        <f ca="1" t="shared" si="2021"/>
        <v>0.120443658698988</v>
      </c>
      <c r="K2156" s="126">
        <f ca="1" t="shared" si="2021"/>
        <v>0.0832144853033818</v>
      </c>
      <c r="L2156" s="126">
        <f ca="1" t="shared" si="2021"/>
        <v>0.0697874874267473</v>
      </c>
      <c r="M2156" s="126">
        <f ca="1" t="shared" si="2021"/>
        <v>0.14557605012693</v>
      </c>
      <c r="N2156" s="126">
        <f ca="1" t="shared" si="2021"/>
        <v>0.14557605012693</v>
      </c>
      <c r="O2156" s="126">
        <f ca="1" t="shared" si="2021"/>
        <v>0.216213325869196</v>
      </c>
      <c r="P2156" s="126">
        <f ca="1" t="shared" si="2021"/>
        <v>0.207179935000719</v>
      </c>
      <c r="Q2156" s="126">
        <f ca="1" t="shared" si="2021"/>
        <v>0.207179935000719</v>
      </c>
    </row>
    <row r="2157" ht="24" customHeight="1" spans="1:17">
      <c r="A2157" s="99" t="s">
        <v>350</v>
      </c>
      <c r="B2157" s="99" t="s">
        <v>299</v>
      </c>
      <c r="C2157" s="99" t="s">
        <v>343</v>
      </c>
      <c r="D2157" s="47" t="s">
        <v>321</v>
      </c>
      <c r="E2157" s="47" t="s">
        <v>81</v>
      </c>
      <c r="F2157" s="126">
        <f ca="1" t="shared" ref="F2157:Q2157" si="2022">IFERROR(F2152/F2135," ")</f>
        <v>0</v>
      </c>
      <c r="G2157" s="126">
        <f ca="1" t="shared" si="2022"/>
        <v>0</v>
      </c>
      <c r="H2157" s="126">
        <f ca="1" t="shared" si="2022"/>
        <v>0.057820515655447</v>
      </c>
      <c r="I2157" s="126">
        <f ca="1" t="shared" si="2022"/>
        <v>0.0522412738191429</v>
      </c>
      <c r="J2157" s="126">
        <f ca="1" t="shared" si="2022"/>
        <v>0.120251807535766</v>
      </c>
      <c r="K2157" s="126">
        <f ca="1" t="shared" si="2022"/>
        <v>0.0830819353960242</v>
      </c>
      <c r="L2157" s="126">
        <f ca="1" t="shared" si="2022"/>
        <v>0.231030418903438</v>
      </c>
      <c r="M2157" s="126">
        <f ca="1" t="shared" si="2022"/>
        <v>0.206263873611831</v>
      </c>
      <c r="N2157" s="126">
        <f ca="1" t="shared" si="2022"/>
        <v>0.206263873611831</v>
      </c>
      <c r="O2157" s="126">
        <f ca="1" t="shared" si="2022"/>
        <v>0.150681930485628</v>
      </c>
      <c r="P2157" s="126">
        <f ca="1" t="shared" si="2022"/>
        <v>0.144386440744553</v>
      </c>
      <c r="Q2157" s="126">
        <f ca="1" t="shared" si="2022"/>
        <v>0.144386440744553</v>
      </c>
    </row>
    <row r="2158" ht="24" customHeight="1" spans="1:17">
      <c r="A2158" s="99" t="s">
        <v>350</v>
      </c>
      <c r="B2158" s="99" t="s">
        <v>299</v>
      </c>
      <c r="C2158" s="99" t="s">
        <v>343</v>
      </c>
      <c r="D2158" s="47" t="s">
        <v>321</v>
      </c>
      <c r="E2158" s="47" t="s">
        <v>96</v>
      </c>
      <c r="F2158" s="126">
        <f ca="1" t="shared" ref="F2158:Q2158" si="2023">IFERROR(F2153/F2135," ")</f>
        <v>0</v>
      </c>
      <c r="G2158" s="126">
        <f ca="1" t="shared" si="2023"/>
        <v>0</v>
      </c>
      <c r="H2158" s="126">
        <f ca="1" t="shared" si="2023"/>
        <v>0.158847808545048</v>
      </c>
      <c r="I2158" s="126">
        <f ca="1" t="shared" si="2023"/>
        <v>0.143520198111393</v>
      </c>
      <c r="J2158" s="126">
        <f ca="1" t="shared" si="2023"/>
        <v>0.128720845159296</v>
      </c>
      <c r="K2158" s="126">
        <f ca="1" t="shared" si="2023"/>
        <v>0.0889331907835606</v>
      </c>
      <c r="L2158" s="126">
        <f ca="1" t="shared" si="2023"/>
        <v>0.0745834563658118</v>
      </c>
      <c r="M2158" s="126">
        <f ca="1" t="shared" si="2023"/>
        <v>0.0665880826013703</v>
      </c>
      <c r="N2158" s="126">
        <f ca="1" t="shared" si="2023"/>
        <v>0.0665880826013703</v>
      </c>
      <c r="O2158" s="126">
        <f ca="1" t="shared" si="2023"/>
        <v>0.0486445864610943</v>
      </c>
      <c r="P2158" s="126">
        <f ca="1" t="shared" si="2023"/>
        <v>0.0466122160631461</v>
      </c>
      <c r="Q2158" s="126">
        <f ca="1" t="shared" si="2023"/>
        <v>0.0466122160631461</v>
      </c>
    </row>
    <row r="2159" ht="24" customHeight="1" spans="1:17">
      <c r="A2159" s="99" t="s">
        <v>350</v>
      </c>
      <c r="B2159" s="99" t="s">
        <v>299</v>
      </c>
      <c r="C2159" s="99" t="s">
        <v>343</v>
      </c>
      <c r="D2159" s="47" t="s">
        <v>321</v>
      </c>
      <c r="E2159" s="47" t="s">
        <v>160</v>
      </c>
      <c r="F2159" s="126">
        <f ca="1" t="shared" ref="F2159:Q2159" si="2024">IFERROR(F2154/F2135," ")</f>
        <v>0</v>
      </c>
      <c r="G2159" s="126">
        <f ca="1" t="shared" si="2024"/>
        <v>0</v>
      </c>
      <c r="H2159" s="126">
        <f ca="1" t="shared" si="2024"/>
        <v>0</v>
      </c>
      <c r="I2159" s="126">
        <f ca="1" t="shared" si="2024"/>
        <v>0</v>
      </c>
      <c r="J2159" s="126">
        <f ca="1" t="shared" si="2024"/>
        <v>0</v>
      </c>
      <c r="K2159" s="126">
        <f ca="1" t="shared" si="2024"/>
        <v>0</v>
      </c>
      <c r="L2159" s="126">
        <f ca="1" t="shared" si="2024"/>
        <v>0</v>
      </c>
      <c r="M2159" s="126">
        <f ca="1" t="shared" si="2024"/>
        <v>0</v>
      </c>
      <c r="N2159" s="126">
        <f ca="1" t="shared" si="2024"/>
        <v>0</v>
      </c>
      <c r="O2159" s="126">
        <f ca="1" t="shared" si="2024"/>
        <v>0</v>
      </c>
      <c r="P2159" s="126">
        <f ca="1" t="shared" si="2024"/>
        <v>0</v>
      </c>
      <c r="Q2159" s="126">
        <f ca="1" t="shared" si="2024"/>
        <v>0</v>
      </c>
    </row>
    <row r="2160" ht="24" customHeight="1" spans="1:17">
      <c r="A2160" s="99" t="s">
        <v>350</v>
      </c>
      <c r="B2160" s="99" t="s">
        <v>299</v>
      </c>
      <c r="C2160" s="99" t="s">
        <v>344</v>
      </c>
      <c r="D2160" s="114" t="s">
        <v>292</v>
      </c>
      <c r="E2160" s="114" t="s">
        <v>320</v>
      </c>
      <c r="F2160" s="215">
        <f ca="1">IF($S$1&lt;DATE(2025,1,1)," ",IF(SUM(F2161:F2167)&lt;&gt;SUM(F2175:F2179),"ERR",SUM(F2161:F2167)))</f>
        <v>0.027036</v>
      </c>
      <c r="G2160" s="215">
        <f ca="1">IF($S$1&lt;DATE(2025,2,1)," ",IF(SUM(G2161:G2167)&lt;&gt;SUM(G2175:G2179),"ERR",SUM(G2161:G2167)))</f>
        <v>0.069946</v>
      </c>
      <c r="H2160" s="215">
        <f ca="1">IF($S$1&lt;DATE(2025,3,1)," ",IF(SUM(H2161:H2167)&lt;&gt;SUM(H2175:H2179),"ERR",SUM(H2161:H2167)))</f>
        <v>0.64624121</v>
      </c>
      <c r="I2160" s="215">
        <f ca="1">IF($S$1&lt;DATE(2025,4,1)," ",IF(SUM(I2161:I2167)&lt;&gt;SUM(I2175:I2179),"ERR",SUM(I2161:I2167)))</f>
        <v>0.71525821</v>
      </c>
      <c r="J2160" s="215">
        <f ca="1">IF($S$1&lt;DATE(2025,5,1)," ",IF(SUM(J2161:J2167)&lt;&gt;SUM(J2175:J2179),"ERR",SUM(J2161:J2167)))</f>
        <v>0.79749321</v>
      </c>
      <c r="K2160" s="215">
        <f ca="1">IF($S$1&lt;DATE(2025,6,1)," ",IF(SUM(K2161:K2167)&lt;&gt;SUM(K2175:K2179),"ERR",SUM(K2161:K2167)))</f>
        <v>1.15428221</v>
      </c>
      <c r="L2160" s="215">
        <f ca="1">IF($S$1&lt;DATE(2025,7,1)," ",IF(SUM(L2161:L2167)&lt;&gt;SUM(L2175:L2179),"ERR",SUM(L2161:L2167)))</f>
        <v>1.37636421</v>
      </c>
      <c r="M2160" s="215">
        <f ca="1">IF($S$1&lt;DATE(2025,8,1)," ",IF(SUM(M2161:M2167)&lt;&gt;SUM(M2175:M2179),"ERR",SUM(M2161:M2167)))</f>
        <v>1.54162721</v>
      </c>
      <c r="N2160" s="215">
        <f ca="1">IF($S$1&lt;DATE(2025,9,1)," ",IF(SUM(N2161:N2167)&lt;&gt;SUM(N2175:N2179),"ERR",SUM(N2161:N2167)))</f>
        <v>1.54162721</v>
      </c>
      <c r="O2160" s="215">
        <f ca="1">IF($S$1&lt;DATE(2025,10,1)," ",IF(SUM(O2161:O2167)&lt;&gt;SUM(O2175:O2179),"ERR",SUM(O2161:O2167)))</f>
        <v>2.11028621</v>
      </c>
      <c r="P2160" s="215">
        <f ca="1">IF($S$1&lt;DATE(2025,11,1)," ",IF(SUM(P2161:P2167)&lt;&gt;SUM(P2175:P2179),"ERR",SUM(P2161:P2167)))</f>
        <v>2.20229821</v>
      </c>
      <c r="Q2160" s="215">
        <f ca="1">IF($S$1&lt;DATE(2025,12,1)," ",IF(SUM(Q2161:Q2167)&lt;&gt;SUM(Q2175:Q2179),"ERR",SUM(Q2161:Q2167)))</f>
        <v>2.20229821</v>
      </c>
    </row>
    <row r="2161" ht="24" customHeight="1" spans="1:17">
      <c r="A2161" s="99" t="s">
        <v>350</v>
      </c>
      <c r="B2161" s="99" t="s">
        <v>299</v>
      </c>
      <c r="C2161" s="99" t="s">
        <v>344</v>
      </c>
      <c r="D2161" s="48" t="s">
        <v>31</v>
      </c>
      <c r="E2161" s="48" t="s">
        <v>90</v>
      </c>
      <c r="F2161" s="51">
        <f ca="1" t="shared" ref="F2161:F2167" si="2025">IF($S$1&lt;DATE(2025,1,1)," ",F2104)</f>
        <v>0.027036</v>
      </c>
      <c r="G2161" s="51">
        <f ca="1" t="shared" ref="G2161:G2167" si="2026">IF($S$1&lt;DATE(2025,2,1)," ",G2104+F2161)</f>
        <v>0.027036</v>
      </c>
      <c r="H2161" s="51">
        <f ca="1" t="shared" ref="H2161:H2167" si="2027">IF($S$1&lt;DATE(2025,3,1)," ",H2104+G2161)</f>
        <v>0.027036</v>
      </c>
      <c r="I2161" s="51">
        <f ca="1" t="shared" ref="I2161:I2167" si="2028">IF($S$1&lt;DATE(2025,4,1)," ",I2104+H2161)</f>
        <v>0.027036</v>
      </c>
      <c r="J2161" s="51">
        <f ca="1" t="shared" ref="J2161:J2167" si="2029">IF($S$1&lt;DATE(2025,5,1)," ",J2104+I2161)</f>
        <v>0.08557</v>
      </c>
      <c r="K2161" s="51">
        <f ca="1" t="shared" ref="K2161:K2167" si="2030">IF($S$1&lt;DATE(2025,6,1)," ",K2104+J2161)</f>
        <v>0.08557</v>
      </c>
      <c r="L2161" s="51">
        <f ca="1" t="shared" ref="L2161:L2167" si="2031">IF($S$1&lt;DATE(2025,7,1)," ",L2104+K2161)</f>
        <v>0.08557</v>
      </c>
      <c r="M2161" s="51">
        <f ca="1" t="shared" ref="M2161:M2167" si="2032">IF($S$1&lt;DATE(2025,8,1)," ",M2104+L2161)</f>
        <v>0.08557</v>
      </c>
      <c r="N2161" s="51">
        <f ca="1" t="shared" ref="N2161:N2167" si="2033">IF($S$1&lt;DATE(2025,9,1)," ",N2104+M2161)</f>
        <v>0.08557</v>
      </c>
      <c r="O2161" s="51">
        <f ca="1" t="shared" ref="O2161:O2167" si="2034">IF($S$1&lt;DATE(2025,10,1)," ",O2104+N2161)</f>
        <v>0.137148</v>
      </c>
      <c r="P2161" s="51">
        <f ca="1" t="shared" ref="P2161:P2167" si="2035">IF($S$1&lt;DATE(2025,11,1)," ",P2104+O2161)</f>
        <v>0.137148</v>
      </c>
      <c r="Q2161" s="51">
        <f ca="1" t="shared" ref="Q2161:Q2167" si="2036">IF($S$1&lt;DATE(2025,12,1)," ",Q2104+P2161)</f>
        <v>0.137148</v>
      </c>
    </row>
    <row r="2162" ht="24" customHeight="1" spans="1:17">
      <c r="A2162" s="99" t="s">
        <v>350</v>
      </c>
      <c r="B2162" s="99" t="s">
        <v>299</v>
      </c>
      <c r="C2162" s="99" t="s">
        <v>344</v>
      </c>
      <c r="D2162" s="48" t="s">
        <v>31</v>
      </c>
      <c r="E2162" s="48" t="s">
        <v>82</v>
      </c>
      <c r="F2162" s="51">
        <f ca="1" t="shared" si="2025"/>
        <v>0</v>
      </c>
      <c r="G2162" s="51">
        <f ca="1" t="shared" si="2026"/>
        <v>0.04291</v>
      </c>
      <c r="H2162" s="51">
        <f ca="1" t="shared" si="2027"/>
        <v>0.080276</v>
      </c>
      <c r="I2162" s="51">
        <f ca="1" t="shared" si="2028"/>
        <v>0.080276</v>
      </c>
      <c r="J2162" s="51">
        <f ca="1" t="shared" si="2029"/>
        <v>0.080276</v>
      </c>
      <c r="K2162" s="51">
        <f ca="1" t="shared" si="2030"/>
        <v>0.080276</v>
      </c>
      <c r="L2162" s="51">
        <f ca="1" t="shared" si="2031"/>
        <v>0.302358</v>
      </c>
      <c r="M2162" s="51">
        <f ca="1" t="shared" si="2032"/>
        <v>0.42748</v>
      </c>
      <c r="N2162" s="51">
        <f ca="1" t="shared" si="2033"/>
        <v>0.42748</v>
      </c>
      <c r="O2162" s="51">
        <f ca="1" t="shared" si="2034"/>
        <v>0.42748</v>
      </c>
      <c r="P2162" s="51">
        <f ca="1" t="shared" si="2035"/>
        <v>0.42748</v>
      </c>
      <c r="Q2162" s="51">
        <f ca="1" t="shared" si="2036"/>
        <v>0.42748</v>
      </c>
    </row>
    <row r="2163" ht="24" customHeight="1" spans="1:17">
      <c r="A2163" s="99" t="s">
        <v>350</v>
      </c>
      <c r="B2163" s="99" t="s">
        <v>299</v>
      </c>
      <c r="C2163" s="99" t="s">
        <v>344</v>
      </c>
      <c r="D2163" s="48" t="s">
        <v>31</v>
      </c>
      <c r="E2163" s="48" t="s">
        <v>86</v>
      </c>
      <c r="F2163" s="51">
        <f ca="1" t="shared" si="2025"/>
        <v>0</v>
      </c>
      <c r="G2163" s="51">
        <f ca="1" t="shared" si="2026"/>
        <v>0</v>
      </c>
      <c r="H2163" s="51">
        <f ca="1" t="shared" si="2027"/>
        <v>0</v>
      </c>
      <c r="I2163" s="51">
        <f ca="1" t="shared" si="2028"/>
        <v>0</v>
      </c>
      <c r="J2163" s="51">
        <f ca="1" t="shared" si="2029"/>
        <v>0</v>
      </c>
      <c r="K2163" s="51">
        <f ca="1" t="shared" si="2030"/>
        <v>0</v>
      </c>
      <c r="L2163" s="51">
        <f ca="1" t="shared" si="2031"/>
        <v>0</v>
      </c>
      <c r="M2163" s="51">
        <f ca="1" t="shared" si="2032"/>
        <v>0</v>
      </c>
      <c r="N2163" s="51">
        <f ca="1" t="shared" si="2033"/>
        <v>0</v>
      </c>
      <c r="O2163" s="51">
        <f ca="1" t="shared" si="2034"/>
        <v>0</v>
      </c>
      <c r="P2163" s="51">
        <f ca="1" t="shared" si="2035"/>
        <v>0</v>
      </c>
      <c r="Q2163" s="51">
        <f ca="1" t="shared" si="2036"/>
        <v>0</v>
      </c>
    </row>
    <row r="2164" ht="24" customHeight="1" spans="1:17">
      <c r="A2164" s="99" t="s">
        <v>350</v>
      </c>
      <c r="B2164" s="99" t="s">
        <v>299</v>
      </c>
      <c r="C2164" s="99" t="s">
        <v>344</v>
      </c>
      <c r="D2164" s="48" t="s">
        <v>31</v>
      </c>
      <c r="E2164" s="48" t="s">
        <v>97</v>
      </c>
      <c r="F2164" s="51">
        <f ca="1" t="shared" si="2025"/>
        <v>0</v>
      </c>
      <c r="G2164" s="51">
        <f ca="1" t="shared" si="2026"/>
        <v>0</v>
      </c>
      <c r="H2164" s="51">
        <f ca="1" t="shared" si="2027"/>
        <v>0.169938</v>
      </c>
      <c r="I2164" s="51">
        <f ca="1" t="shared" si="2028"/>
        <v>0.169938</v>
      </c>
      <c r="J2164" s="51">
        <f ca="1" t="shared" si="2029"/>
        <v>0.193639</v>
      </c>
      <c r="K2164" s="51">
        <f ca="1" t="shared" si="2030"/>
        <v>0.550428</v>
      </c>
      <c r="L2164" s="51">
        <f ca="1" t="shared" si="2031"/>
        <v>0.550428</v>
      </c>
      <c r="M2164" s="51">
        <f ca="1" t="shared" si="2032"/>
        <v>0.550428</v>
      </c>
      <c r="N2164" s="51">
        <f ca="1" t="shared" si="2033"/>
        <v>0.550428</v>
      </c>
      <c r="O2164" s="51">
        <f ca="1" t="shared" si="2034"/>
        <v>0.550428</v>
      </c>
      <c r="P2164" s="51">
        <f ca="1" t="shared" si="2035"/>
        <v>0.64244</v>
      </c>
      <c r="Q2164" s="51">
        <f ca="1" t="shared" si="2036"/>
        <v>0.64244</v>
      </c>
    </row>
    <row r="2165" ht="24" customHeight="1" spans="1:17">
      <c r="A2165" s="99" t="s">
        <v>350</v>
      </c>
      <c r="B2165" s="99" t="s">
        <v>299</v>
      </c>
      <c r="C2165" s="99" t="s">
        <v>344</v>
      </c>
      <c r="D2165" s="48" t="s">
        <v>31</v>
      </c>
      <c r="E2165" s="48" t="s">
        <v>87</v>
      </c>
      <c r="F2165" s="51">
        <f ca="1" t="shared" si="2025"/>
        <v>0</v>
      </c>
      <c r="G2165" s="51">
        <f ca="1" t="shared" si="2026"/>
        <v>0</v>
      </c>
      <c r="H2165" s="51">
        <f ca="1" t="shared" si="2027"/>
        <v>0</v>
      </c>
      <c r="I2165" s="51">
        <f ca="1" t="shared" si="2028"/>
        <v>0</v>
      </c>
      <c r="J2165" s="51">
        <f ca="1" t="shared" si="2029"/>
        <v>0</v>
      </c>
      <c r="K2165" s="51">
        <f ca="1" t="shared" si="2030"/>
        <v>0</v>
      </c>
      <c r="L2165" s="51">
        <f ca="1" t="shared" si="2031"/>
        <v>0</v>
      </c>
      <c r="M2165" s="51">
        <f ca="1" t="shared" si="2032"/>
        <v>0.040141</v>
      </c>
      <c r="N2165" s="51">
        <f ca="1" t="shared" si="2033"/>
        <v>0.040141</v>
      </c>
      <c r="O2165" s="51">
        <f ca="1" t="shared" si="2034"/>
        <v>0.040141</v>
      </c>
      <c r="P2165" s="51">
        <f ca="1" t="shared" si="2035"/>
        <v>0.040141</v>
      </c>
      <c r="Q2165" s="51">
        <f ca="1" t="shared" si="2036"/>
        <v>0.040141</v>
      </c>
    </row>
    <row r="2166" ht="24" customHeight="1" spans="1:17">
      <c r="A2166" s="99" t="s">
        <v>350</v>
      </c>
      <c r="B2166" s="99" t="s">
        <v>299</v>
      </c>
      <c r="C2166" s="99" t="s">
        <v>344</v>
      </c>
      <c r="D2166" s="48" t="s">
        <v>31</v>
      </c>
      <c r="E2166" s="48" t="s">
        <v>149</v>
      </c>
      <c r="F2166" s="51">
        <f ca="1" t="shared" si="2025"/>
        <v>0</v>
      </c>
      <c r="G2166" s="51">
        <f ca="1" t="shared" si="2026"/>
        <v>0</v>
      </c>
      <c r="H2166" s="51">
        <f ca="1" t="shared" si="2027"/>
        <v>0.36899121</v>
      </c>
      <c r="I2166" s="51">
        <f ca="1" t="shared" si="2028"/>
        <v>0.36899121</v>
      </c>
      <c r="J2166" s="51">
        <f ca="1" t="shared" si="2029"/>
        <v>0.36899121</v>
      </c>
      <c r="K2166" s="51">
        <f ca="1" t="shared" si="2030"/>
        <v>0.36899121</v>
      </c>
      <c r="L2166" s="51">
        <f ca="1" t="shared" si="2031"/>
        <v>0.36899121</v>
      </c>
      <c r="M2166" s="51">
        <f ca="1" t="shared" si="2032"/>
        <v>0.36899121</v>
      </c>
      <c r="N2166" s="51">
        <f ca="1" t="shared" si="2033"/>
        <v>0.36899121</v>
      </c>
      <c r="O2166" s="51">
        <f ca="1" t="shared" si="2034"/>
        <v>0.36899121</v>
      </c>
      <c r="P2166" s="51">
        <f ca="1" t="shared" si="2035"/>
        <v>0.36899121</v>
      </c>
      <c r="Q2166" s="51">
        <f ca="1" t="shared" si="2036"/>
        <v>0.36899121</v>
      </c>
    </row>
    <row r="2167" ht="24" customHeight="1" spans="1:17">
      <c r="A2167" s="99" t="s">
        <v>350</v>
      </c>
      <c r="B2167" s="99" t="s">
        <v>299</v>
      </c>
      <c r="C2167" s="99" t="s">
        <v>344</v>
      </c>
      <c r="D2167" s="48" t="s">
        <v>31</v>
      </c>
      <c r="E2167" s="48" t="s">
        <v>83</v>
      </c>
      <c r="F2167" s="51">
        <f ca="1" t="shared" si="2025"/>
        <v>0</v>
      </c>
      <c r="G2167" s="51">
        <f ca="1" t="shared" si="2026"/>
        <v>0</v>
      </c>
      <c r="H2167" s="51">
        <f ca="1" t="shared" si="2027"/>
        <v>0</v>
      </c>
      <c r="I2167" s="51">
        <f ca="1" t="shared" si="2028"/>
        <v>0.069017</v>
      </c>
      <c r="J2167" s="51">
        <f ca="1" t="shared" si="2029"/>
        <v>0.069017</v>
      </c>
      <c r="K2167" s="51">
        <f ca="1" t="shared" si="2030"/>
        <v>0.069017</v>
      </c>
      <c r="L2167" s="51">
        <f ca="1" t="shared" si="2031"/>
        <v>0.069017</v>
      </c>
      <c r="M2167" s="51">
        <f ca="1" t="shared" si="2032"/>
        <v>0.069017</v>
      </c>
      <c r="N2167" s="51">
        <f ca="1" t="shared" si="2033"/>
        <v>0.069017</v>
      </c>
      <c r="O2167" s="51">
        <f ca="1" t="shared" si="2034"/>
        <v>0.586098</v>
      </c>
      <c r="P2167" s="51">
        <f ca="1" t="shared" si="2035"/>
        <v>0.586098</v>
      </c>
      <c r="Q2167" s="51">
        <f ca="1" t="shared" si="2036"/>
        <v>0.586098</v>
      </c>
    </row>
    <row r="2168" ht="24" customHeight="1" spans="1:17">
      <c r="A2168" s="99" t="s">
        <v>350</v>
      </c>
      <c r="B2168" s="99" t="s">
        <v>299</v>
      </c>
      <c r="C2168" s="99" t="s">
        <v>344</v>
      </c>
      <c r="D2168" s="48" t="s">
        <v>321</v>
      </c>
      <c r="E2168" s="48" t="s">
        <v>90</v>
      </c>
      <c r="F2168" s="112">
        <f ca="1" t="shared" ref="F2168:Q2168" si="2037">IFERROR(F2161/F2160," ")</f>
        <v>1</v>
      </c>
      <c r="G2168" s="112">
        <f ca="1" t="shared" si="2037"/>
        <v>0.386526749206531</v>
      </c>
      <c r="H2168" s="112">
        <f ca="1" t="shared" si="2037"/>
        <v>0.0418357721260147</v>
      </c>
      <c r="I2168" s="112">
        <f ca="1" t="shared" si="2037"/>
        <v>0.0377989369741034</v>
      </c>
      <c r="J2168" s="112">
        <f ca="1" t="shared" si="2037"/>
        <v>0.107298719195365</v>
      </c>
      <c r="K2168" s="112">
        <f ca="1" t="shared" si="2037"/>
        <v>0.0741326508012283</v>
      </c>
      <c r="L2168" s="112">
        <f ca="1" t="shared" si="2037"/>
        <v>0.0621710441017643</v>
      </c>
      <c r="M2168" s="112">
        <f ca="1" t="shared" si="2037"/>
        <v>0.055506285465732</v>
      </c>
      <c r="N2168" s="112">
        <f ca="1" t="shared" si="2037"/>
        <v>0.055506285465732</v>
      </c>
      <c r="O2168" s="112">
        <f ca="1" t="shared" si="2037"/>
        <v>0.0649902365613241</v>
      </c>
      <c r="P2168" s="112">
        <f ca="1" t="shared" si="2037"/>
        <v>0.0622749450447948</v>
      </c>
      <c r="Q2168" s="112">
        <f ca="1" t="shared" si="2037"/>
        <v>0.0622749450447948</v>
      </c>
    </row>
    <row r="2169" ht="24" customHeight="1" spans="1:17">
      <c r="A2169" s="99" t="s">
        <v>350</v>
      </c>
      <c r="B2169" s="99" t="s">
        <v>299</v>
      </c>
      <c r="C2169" s="99" t="s">
        <v>344</v>
      </c>
      <c r="D2169" s="48" t="s">
        <v>321</v>
      </c>
      <c r="E2169" s="48" t="s">
        <v>82</v>
      </c>
      <c r="F2169" s="112">
        <f ca="1" t="shared" ref="F2169:Q2169" si="2038">IFERROR(F2162/F2160," ")</f>
        <v>0</v>
      </c>
      <c r="G2169" s="112">
        <f ca="1" t="shared" si="2038"/>
        <v>0.613473250793469</v>
      </c>
      <c r="H2169" s="112">
        <f ca="1" t="shared" si="2038"/>
        <v>0.124219871400649</v>
      </c>
      <c r="I2169" s="112">
        <f ca="1" t="shared" si="2038"/>
        <v>0.112233594634307</v>
      </c>
      <c r="J2169" s="112">
        <f ca="1" t="shared" si="2038"/>
        <v>0.100660418162056</v>
      </c>
      <c r="K2169" s="112">
        <f ca="1" t="shared" si="2038"/>
        <v>0.0695462507388033</v>
      </c>
      <c r="L2169" s="112">
        <f ca="1" t="shared" si="2038"/>
        <v>0.219678772379587</v>
      </c>
      <c r="M2169" s="112">
        <f ca="1" t="shared" si="2038"/>
        <v>0.27729142118606</v>
      </c>
      <c r="N2169" s="112">
        <f ca="1" t="shared" si="2038"/>
        <v>0.27729142118606</v>
      </c>
      <c r="O2169" s="112">
        <f ca="1" t="shared" si="2038"/>
        <v>0.202569678925211</v>
      </c>
      <c r="P2169" s="112">
        <f ca="1" t="shared" si="2038"/>
        <v>0.194106319507021</v>
      </c>
      <c r="Q2169" s="112">
        <f ca="1" t="shared" si="2038"/>
        <v>0.194106319507021</v>
      </c>
    </row>
    <row r="2170" ht="24" customHeight="1" spans="1:17">
      <c r="A2170" s="99" t="s">
        <v>350</v>
      </c>
      <c r="B2170" s="99" t="s">
        <v>299</v>
      </c>
      <c r="C2170" s="99" t="s">
        <v>344</v>
      </c>
      <c r="D2170" s="48" t="s">
        <v>321</v>
      </c>
      <c r="E2170" s="48" t="s">
        <v>86</v>
      </c>
      <c r="F2170" s="112">
        <f ca="1" t="shared" ref="F2170:Q2170" si="2039">IFERROR(F2163/F2160," ")</f>
        <v>0</v>
      </c>
      <c r="G2170" s="112">
        <f ca="1" t="shared" si="2039"/>
        <v>0</v>
      </c>
      <c r="H2170" s="112">
        <f ca="1" t="shared" si="2039"/>
        <v>0</v>
      </c>
      <c r="I2170" s="112">
        <f ca="1" t="shared" si="2039"/>
        <v>0</v>
      </c>
      <c r="J2170" s="112">
        <f ca="1" t="shared" si="2039"/>
        <v>0</v>
      </c>
      <c r="K2170" s="112">
        <f ca="1" t="shared" si="2039"/>
        <v>0</v>
      </c>
      <c r="L2170" s="112">
        <f ca="1" t="shared" si="2039"/>
        <v>0</v>
      </c>
      <c r="M2170" s="112">
        <f ca="1" t="shared" si="2039"/>
        <v>0</v>
      </c>
      <c r="N2170" s="112">
        <f ca="1" t="shared" si="2039"/>
        <v>0</v>
      </c>
      <c r="O2170" s="112">
        <f ca="1" t="shared" si="2039"/>
        <v>0</v>
      </c>
      <c r="P2170" s="112">
        <f ca="1" t="shared" si="2039"/>
        <v>0</v>
      </c>
      <c r="Q2170" s="112">
        <f ca="1" t="shared" si="2039"/>
        <v>0</v>
      </c>
    </row>
    <row r="2171" ht="24" customHeight="1" spans="1:17">
      <c r="A2171" s="99" t="s">
        <v>350</v>
      </c>
      <c r="B2171" s="99" t="s">
        <v>299</v>
      </c>
      <c r="C2171" s="99" t="s">
        <v>344</v>
      </c>
      <c r="D2171" s="48" t="s">
        <v>321</v>
      </c>
      <c r="E2171" s="48" t="s">
        <v>97</v>
      </c>
      <c r="F2171" s="112">
        <f ca="1" t="shared" ref="F2171:Q2171" si="2040">IFERROR(F2164/F2160," ")</f>
        <v>0</v>
      </c>
      <c r="G2171" s="112">
        <f ca="1" t="shared" si="2040"/>
        <v>0</v>
      </c>
      <c r="H2171" s="112">
        <f ca="1" t="shared" si="2040"/>
        <v>0.262963731452533</v>
      </c>
      <c r="I2171" s="112">
        <f ca="1" t="shared" si="2040"/>
        <v>0.23758972301765</v>
      </c>
      <c r="J2171" s="112">
        <f ca="1" t="shared" si="2040"/>
        <v>0.242809590817707</v>
      </c>
      <c r="K2171" s="112">
        <f ca="1" t="shared" si="2040"/>
        <v>0.476857388281155</v>
      </c>
      <c r="L2171" s="112">
        <f ca="1" t="shared" si="2040"/>
        <v>0.399914496468925</v>
      </c>
      <c r="M2171" s="112">
        <f ca="1" t="shared" si="2040"/>
        <v>0.35704351637644</v>
      </c>
      <c r="N2171" s="112">
        <f ca="1" t="shared" si="2040"/>
        <v>0.35704351637644</v>
      </c>
      <c r="O2171" s="112">
        <f ca="1" t="shared" si="2040"/>
        <v>0.260830970411355</v>
      </c>
      <c r="P2171" s="112">
        <f ca="1" t="shared" si="2040"/>
        <v>0.291713446018739</v>
      </c>
      <c r="Q2171" s="112">
        <f ca="1" t="shared" si="2040"/>
        <v>0.291713446018739</v>
      </c>
    </row>
    <row r="2172" ht="24" customHeight="1" spans="1:17">
      <c r="A2172" s="99" t="s">
        <v>350</v>
      </c>
      <c r="B2172" s="99" t="s">
        <v>299</v>
      </c>
      <c r="C2172" s="99" t="s">
        <v>344</v>
      </c>
      <c r="D2172" s="48" t="s">
        <v>321</v>
      </c>
      <c r="E2172" s="48" t="s">
        <v>87</v>
      </c>
      <c r="F2172" s="112">
        <f ca="1" t="shared" ref="F2172:Q2172" si="2041">IFERROR(F2165/F2160," ")</f>
        <v>0</v>
      </c>
      <c r="G2172" s="112">
        <f ca="1" t="shared" si="2041"/>
        <v>0</v>
      </c>
      <c r="H2172" s="112">
        <f ca="1" t="shared" si="2041"/>
        <v>0</v>
      </c>
      <c r="I2172" s="112">
        <f ca="1" t="shared" si="2041"/>
        <v>0</v>
      </c>
      <c r="J2172" s="112">
        <f ca="1" t="shared" si="2041"/>
        <v>0</v>
      </c>
      <c r="K2172" s="112">
        <f ca="1" t="shared" si="2041"/>
        <v>0</v>
      </c>
      <c r="L2172" s="112">
        <f ca="1" t="shared" si="2041"/>
        <v>0</v>
      </c>
      <c r="M2172" s="112">
        <f ca="1" t="shared" si="2041"/>
        <v>0.0260380718111482</v>
      </c>
      <c r="N2172" s="112">
        <f ca="1" t="shared" si="2041"/>
        <v>0.0260380718111482</v>
      </c>
      <c r="O2172" s="112">
        <f ca="1" t="shared" si="2041"/>
        <v>0.0190215904410426</v>
      </c>
      <c r="P2172" s="112">
        <f ca="1" t="shared" si="2041"/>
        <v>0.0182268685583684</v>
      </c>
      <c r="Q2172" s="112">
        <f ca="1" t="shared" si="2041"/>
        <v>0.0182268685583684</v>
      </c>
    </row>
    <row r="2173" ht="24" customHeight="1" spans="1:17">
      <c r="A2173" s="99" t="s">
        <v>350</v>
      </c>
      <c r="B2173" s="99" t="s">
        <v>299</v>
      </c>
      <c r="C2173" s="99" t="s">
        <v>344</v>
      </c>
      <c r="D2173" s="48" t="s">
        <v>321</v>
      </c>
      <c r="E2173" s="48" t="s">
        <v>149</v>
      </c>
      <c r="F2173" s="112">
        <f ca="1" t="shared" ref="F2173:Q2173" si="2042">IFERROR(F2166/F2160," ")</f>
        <v>0</v>
      </c>
      <c r="G2173" s="112">
        <f ca="1" t="shared" si="2042"/>
        <v>0</v>
      </c>
      <c r="H2173" s="112">
        <f ca="1" t="shared" si="2042"/>
        <v>0.570980625020803</v>
      </c>
      <c r="I2173" s="112">
        <f ca="1" t="shared" si="2042"/>
        <v>0.515885319233176</v>
      </c>
      <c r="J2173" s="112">
        <f ca="1" t="shared" si="2042"/>
        <v>0.462688842203434</v>
      </c>
      <c r="K2173" s="112">
        <f ca="1" t="shared" si="2042"/>
        <v>0.319671573210853</v>
      </c>
      <c r="L2173" s="112">
        <f ca="1" t="shared" si="2042"/>
        <v>0.268091256165401</v>
      </c>
      <c r="M2173" s="112">
        <f ca="1" t="shared" si="2042"/>
        <v>0.239351775582633</v>
      </c>
      <c r="N2173" s="112">
        <f ca="1" t="shared" si="2042"/>
        <v>0.239351775582633</v>
      </c>
      <c r="O2173" s="112">
        <f ca="1" t="shared" si="2042"/>
        <v>0.174853632768609</v>
      </c>
      <c r="P2173" s="112">
        <f ca="1" t="shared" si="2042"/>
        <v>0.167548249517035</v>
      </c>
      <c r="Q2173" s="112">
        <f ca="1" t="shared" si="2042"/>
        <v>0.167548249517035</v>
      </c>
    </row>
    <row r="2174" ht="24" customHeight="1" spans="1:17">
      <c r="A2174" s="99" t="s">
        <v>350</v>
      </c>
      <c r="B2174" s="99" t="s">
        <v>299</v>
      </c>
      <c r="C2174" s="99" t="s">
        <v>344</v>
      </c>
      <c r="D2174" s="48" t="s">
        <v>321</v>
      </c>
      <c r="E2174" s="48" t="s">
        <v>83</v>
      </c>
      <c r="F2174" s="112">
        <f ca="1" t="shared" ref="F2174:Q2174" si="2043">IFERROR(F2167/F2160," ")</f>
        <v>0</v>
      </c>
      <c r="G2174" s="112">
        <f ca="1" t="shared" si="2043"/>
        <v>0</v>
      </c>
      <c r="H2174" s="112">
        <f ca="1" t="shared" si="2043"/>
        <v>0</v>
      </c>
      <c r="I2174" s="112">
        <f ca="1" t="shared" si="2043"/>
        <v>0.0964924261407639</v>
      </c>
      <c r="J2174" s="112">
        <f ca="1" t="shared" si="2043"/>
        <v>0.0865424296214384</v>
      </c>
      <c r="K2174" s="112">
        <f ca="1" t="shared" si="2043"/>
        <v>0.0597921369679604</v>
      </c>
      <c r="L2174" s="112">
        <f ca="1" t="shared" si="2043"/>
        <v>0.0501444308843224</v>
      </c>
      <c r="M2174" s="112">
        <f ca="1" t="shared" si="2043"/>
        <v>0.0447689295779879</v>
      </c>
      <c r="N2174" s="112">
        <f ca="1" t="shared" si="2043"/>
        <v>0.0447689295779879</v>
      </c>
      <c r="O2174" s="112">
        <f ca="1" t="shared" si="2043"/>
        <v>0.277733890892459</v>
      </c>
      <c r="P2174" s="112">
        <f ca="1" t="shared" si="2043"/>
        <v>0.266130171354042</v>
      </c>
      <c r="Q2174" s="112">
        <f ca="1" t="shared" si="2043"/>
        <v>0.266130171354042</v>
      </c>
    </row>
    <row r="2175" ht="24" customHeight="1" spans="1:17">
      <c r="A2175" s="99" t="s">
        <v>350</v>
      </c>
      <c r="B2175" s="99" t="s">
        <v>299</v>
      </c>
      <c r="C2175" s="99" t="s">
        <v>344</v>
      </c>
      <c r="D2175" s="47" t="s">
        <v>294</v>
      </c>
      <c r="E2175" s="47" t="s">
        <v>93</v>
      </c>
      <c r="F2175" s="64">
        <f ca="1" t="shared" ref="F2175:F2179" si="2044">IF($S$1&lt;DATE(2025,1,1)," ",F2111)</f>
        <v>0</v>
      </c>
      <c r="G2175" s="64">
        <f ca="1" t="shared" ref="G2175:G2179" si="2045">IF($S$1&lt;DATE(2025,2,1)," ",G2111+F2175)</f>
        <v>0.04291</v>
      </c>
      <c r="H2175" s="64">
        <f ca="1" t="shared" ref="H2175:H2179" si="2046">IF($S$1&lt;DATE(2025,3,1)," ",H2111+G2175)</f>
        <v>0.47918521</v>
      </c>
      <c r="I2175" s="64">
        <f ca="1" t="shared" ref="I2175:I2179" si="2047">IF($S$1&lt;DATE(2025,4,1)," ",I2111+H2175)</f>
        <v>0.47918521</v>
      </c>
      <c r="J2175" s="64">
        <f ca="1" t="shared" ref="J2175:J2179" si="2048">IF($S$1&lt;DATE(2025,5,1)," ",J2111+I2175)</f>
        <v>0.50288621</v>
      </c>
      <c r="K2175" s="64">
        <f ca="1" t="shared" ref="K2175:K2179" si="2049">IF($S$1&lt;DATE(2025,6,1)," ",K2111+J2175)</f>
        <v>0.85967521</v>
      </c>
      <c r="L2175" s="64">
        <f ca="1" t="shared" ref="L2175:L2179" si="2050">IF($S$1&lt;DATE(2025,7,1)," ",L2111+K2175)</f>
        <v>0.85967521</v>
      </c>
      <c r="M2175" s="64">
        <f ca="1" t="shared" ref="M2175:M2179" si="2051">IF($S$1&lt;DATE(2025,8,1)," ",M2111+L2175)</f>
        <v>0.89656721</v>
      </c>
      <c r="N2175" s="64">
        <f ca="1" t="shared" ref="N2175:N2179" si="2052">IF($S$1&lt;DATE(2025,9,1)," ",N2111+M2175)</f>
        <v>0.89656721</v>
      </c>
      <c r="O2175" s="64">
        <f ca="1" t="shared" ref="O2175:O2179" si="2053">IF($S$1&lt;DATE(2025,10,1)," ",O2111+N2175)</f>
        <v>1.23337821</v>
      </c>
      <c r="P2175" s="64">
        <f ca="1" t="shared" ref="P2175:P2179" si="2054">IF($S$1&lt;DATE(2025,11,1)," ",P2111+O2175)</f>
        <v>1.32539021</v>
      </c>
      <c r="Q2175" s="64">
        <f ca="1" t="shared" ref="Q2175:Q2179" si="2055">IF($S$1&lt;DATE(2025,12,1)," ",Q2111+P2175)</f>
        <v>1.32539021</v>
      </c>
    </row>
    <row r="2176" ht="24" customHeight="1" spans="1:17">
      <c r="A2176" s="99" t="s">
        <v>350</v>
      </c>
      <c r="B2176" s="99" t="s">
        <v>299</v>
      </c>
      <c r="C2176" s="99" t="s">
        <v>344</v>
      </c>
      <c r="D2176" s="47" t="s">
        <v>294</v>
      </c>
      <c r="E2176" s="47" t="s">
        <v>85</v>
      </c>
      <c r="F2176" s="64">
        <f ca="1" t="shared" si="2044"/>
        <v>0.027036</v>
      </c>
      <c r="G2176" s="64">
        <f ca="1" t="shared" si="2045"/>
        <v>0.027036</v>
      </c>
      <c r="H2176" s="64">
        <f ca="1" t="shared" si="2046"/>
        <v>0.027036</v>
      </c>
      <c r="I2176" s="64">
        <f ca="1" t="shared" si="2047"/>
        <v>0.096053</v>
      </c>
      <c r="J2176" s="64">
        <f ca="1" t="shared" si="2048"/>
        <v>0.096053</v>
      </c>
      <c r="K2176" s="64">
        <f ca="1" t="shared" si="2049"/>
        <v>0.096053</v>
      </c>
      <c r="L2176" s="64">
        <f ca="1" t="shared" si="2050"/>
        <v>0.096053</v>
      </c>
      <c r="M2176" s="64">
        <f ca="1" t="shared" si="2051"/>
        <v>0.224424</v>
      </c>
      <c r="N2176" s="64">
        <f ca="1" t="shared" si="2052"/>
        <v>0.224424</v>
      </c>
      <c r="O2176" s="64">
        <f ca="1" t="shared" si="2053"/>
        <v>0.456272</v>
      </c>
      <c r="P2176" s="64">
        <f ca="1" t="shared" si="2054"/>
        <v>0.456272</v>
      </c>
      <c r="Q2176" s="64">
        <f ca="1" t="shared" si="2055"/>
        <v>0.456272</v>
      </c>
    </row>
    <row r="2177" ht="24" customHeight="1" spans="1:17">
      <c r="A2177" s="99" t="s">
        <v>350</v>
      </c>
      <c r="B2177" s="99" t="s">
        <v>299</v>
      </c>
      <c r="C2177" s="99" t="s">
        <v>344</v>
      </c>
      <c r="D2177" s="47" t="s">
        <v>294</v>
      </c>
      <c r="E2177" s="47" t="s">
        <v>81</v>
      </c>
      <c r="F2177" s="64">
        <f ca="1" t="shared" si="2044"/>
        <v>0</v>
      </c>
      <c r="G2177" s="64">
        <f ca="1" t="shared" si="2045"/>
        <v>0</v>
      </c>
      <c r="H2177" s="64">
        <f ca="1" t="shared" si="2046"/>
        <v>0.037366</v>
      </c>
      <c r="I2177" s="64">
        <f ca="1" t="shared" si="2047"/>
        <v>0.037366</v>
      </c>
      <c r="J2177" s="64">
        <f ca="1" t="shared" si="2048"/>
        <v>0.0959</v>
      </c>
      <c r="K2177" s="64">
        <f ca="1" t="shared" si="2049"/>
        <v>0.0959</v>
      </c>
      <c r="L2177" s="64">
        <f ca="1" t="shared" si="2050"/>
        <v>0.317982</v>
      </c>
      <c r="M2177" s="64">
        <f ca="1" t="shared" si="2051"/>
        <v>0.317982</v>
      </c>
      <c r="N2177" s="64">
        <f ca="1" t="shared" si="2052"/>
        <v>0.317982</v>
      </c>
      <c r="O2177" s="64">
        <f ca="1" t="shared" si="2053"/>
        <v>0.317982</v>
      </c>
      <c r="P2177" s="64">
        <f ca="1" t="shared" si="2054"/>
        <v>0.317982</v>
      </c>
      <c r="Q2177" s="64">
        <f ca="1" t="shared" si="2055"/>
        <v>0.317982</v>
      </c>
    </row>
    <row r="2178" ht="24" customHeight="1" spans="1:17">
      <c r="A2178" s="99" t="s">
        <v>350</v>
      </c>
      <c r="B2178" s="99" t="s">
        <v>299</v>
      </c>
      <c r="C2178" s="99" t="s">
        <v>344</v>
      </c>
      <c r="D2178" s="47" t="s">
        <v>294</v>
      </c>
      <c r="E2178" s="47" t="s">
        <v>96</v>
      </c>
      <c r="F2178" s="64">
        <f ca="1" t="shared" si="2044"/>
        <v>0</v>
      </c>
      <c r="G2178" s="64">
        <f ca="1" t="shared" si="2045"/>
        <v>0</v>
      </c>
      <c r="H2178" s="64">
        <f ca="1" t="shared" si="2046"/>
        <v>0.102654</v>
      </c>
      <c r="I2178" s="64">
        <f ca="1" t="shared" si="2047"/>
        <v>0.102654</v>
      </c>
      <c r="J2178" s="64">
        <f ca="1" t="shared" si="2048"/>
        <v>0.102654</v>
      </c>
      <c r="K2178" s="64">
        <f ca="1" t="shared" si="2049"/>
        <v>0.102654</v>
      </c>
      <c r="L2178" s="64">
        <f ca="1" t="shared" si="2050"/>
        <v>0.102654</v>
      </c>
      <c r="M2178" s="64">
        <f ca="1" t="shared" si="2051"/>
        <v>0.102654</v>
      </c>
      <c r="N2178" s="64">
        <f ca="1" t="shared" si="2052"/>
        <v>0.102654</v>
      </c>
      <c r="O2178" s="64">
        <f ca="1" t="shared" si="2053"/>
        <v>0.102654</v>
      </c>
      <c r="P2178" s="64">
        <f ca="1" t="shared" si="2054"/>
        <v>0.102654</v>
      </c>
      <c r="Q2178" s="64">
        <f ca="1" t="shared" si="2055"/>
        <v>0.102654</v>
      </c>
    </row>
    <row r="2179" ht="24" customHeight="1" spans="1:17">
      <c r="A2179" s="99" t="s">
        <v>350</v>
      </c>
      <c r="B2179" s="99" t="s">
        <v>299</v>
      </c>
      <c r="C2179" s="99" t="s">
        <v>344</v>
      </c>
      <c r="D2179" s="47" t="s">
        <v>294</v>
      </c>
      <c r="E2179" s="47" t="s">
        <v>160</v>
      </c>
      <c r="F2179" s="64">
        <f ca="1" t="shared" si="2044"/>
        <v>0</v>
      </c>
      <c r="G2179" s="64">
        <f ca="1" t="shared" si="2045"/>
        <v>0</v>
      </c>
      <c r="H2179" s="64">
        <f ca="1" t="shared" si="2046"/>
        <v>0</v>
      </c>
      <c r="I2179" s="64">
        <f ca="1" t="shared" si="2047"/>
        <v>0</v>
      </c>
      <c r="J2179" s="64">
        <f ca="1" t="shared" si="2048"/>
        <v>0</v>
      </c>
      <c r="K2179" s="64">
        <f ca="1" t="shared" si="2049"/>
        <v>0</v>
      </c>
      <c r="L2179" s="64">
        <f ca="1" t="shared" si="2050"/>
        <v>0</v>
      </c>
      <c r="M2179" s="64">
        <f ca="1" t="shared" si="2051"/>
        <v>0</v>
      </c>
      <c r="N2179" s="64">
        <f ca="1" t="shared" si="2052"/>
        <v>0</v>
      </c>
      <c r="O2179" s="64">
        <f ca="1" t="shared" si="2053"/>
        <v>0</v>
      </c>
      <c r="P2179" s="64">
        <f ca="1" t="shared" si="2054"/>
        <v>0</v>
      </c>
      <c r="Q2179" s="64">
        <f ca="1" t="shared" si="2055"/>
        <v>0</v>
      </c>
    </row>
    <row r="2180" ht="24" customHeight="1" spans="1:17">
      <c r="A2180" s="99" t="s">
        <v>350</v>
      </c>
      <c r="B2180" s="99" t="s">
        <v>299</v>
      </c>
      <c r="C2180" s="99" t="s">
        <v>344</v>
      </c>
      <c r="D2180" s="47" t="s">
        <v>321</v>
      </c>
      <c r="E2180" s="47" t="s">
        <v>93</v>
      </c>
      <c r="F2180" s="126">
        <f ca="1" t="shared" ref="F2180:Q2180" si="2056">IFERROR(F2175/F2160," ")</f>
        <v>0</v>
      </c>
      <c r="G2180" s="126">
        <f ca="1" t="shared" si="2056"/>
        <v>0.613473250793469</v>
      </c>
      <c r="H2180" s="126">
        <f ca="1" t="shared" si="2056"/>
        <v>0.74149590367349</v>
      </c>
      <c r="I2180" s="126">
        <f ca="1" t="shared" si="2056"/>
        <v>0.669947164954597</v>
      </c>
      <c r="J2180" s="126">
        <f ca="1" t="shared" si="2056"/>
        <v>0.630583688605951</v>
      </c>
      <c r="K2180" s="126">
        <f ca="1" t="shared" si="2056"/>
        <v>0.744770388517034</v>
      </c>
      <c r="L2180" s="126">
        <f ca="1" t="shared" si="2056"/>
        <v>0.624598637304002</v>
      </c>
      <c r="M2180" s="126">
        <f ca="1" t="shared" si="2056"/>
        <v>0.581571993659868</v>
      </c>
      <c r="N2180" s="126">
        <f ca="1" t="shared" si="2056"/>
        <v>0.581571993659868</v>
      </c>
      <c r="O2180" s="126">
        <f ca="1" t="shared" si="2056"/>
        <v>0.584460157184082</v>
      </c>
      <c r="P2180" s="126">
        <f ca="1" t="shared" si="2056"/>
        <v>0.601821408191582</v>
      </c>
      <c r="Q2180" s="126">
        <f ca="1" t="shared" si="2056"/>
        <v>0.601821408191582</v>
      </c>
    </row>
    <row r="2181" ht="24" customHeight="1" spans="1:17">
      <c r="A2181" s="99" t="s">
        <v>350</v>
      </c>
      <c r="B2181" s="99" t="s">
        <v>299</v>
      </c>
      <c r="C2181" s="99" t="s">
        <v>344</v>
      </c>
      <c r="D2181" s="47" t="s">
        <v>321</v>
      </c>
      <c r="E2181" s="47" t="s">
        <v>85</v>
      </c>
      <c r="F2181" s="126">
        <f ca="1" t="shared" ref="F2181:Q2181" si="2057">IFERROR(F2176/F2160," ")</f>
        <v>1</v>
      </c>
      <c r="G2181" s="126">
        <f ca="1" t="shared" si="2057"/>
        <v>0.386526749206531</v>
      </c>
      <c r="H2181" s="126">
        <f ca="1" t="shared" si="2057"/>
        <v>0.0418357721260147</v>
      </c>
      <c r="I2181" s="126">
        <f ca="1" t="shared" si="2057"/>
        <v>0.134291363114867</v>
      </c>
      <c r="J2181" s="126">
        <f ca="1" t="shared" si="2057"/>
        <v>0.120443658698988</v>
      </c>
      <c r="K2181" s="126">
        <f ca="1" t="shared" si="2057"/>
        <v>0.0832144853033818</v>
      </c>
      <c r="L2181" s="126">
        <f ca="1" t="shared" si="2057"/>
        <v>0.0697874874267473</v>
      </c>
      <c r="M2181" s="126">
        <f ca="1" t="shared" si="2057"/>
        <v>0.14557605012693</v>
      </c>
      <c r="N2181" s="126">
        <f ca="1" t="shared" si="2057"/>
        <v>0.14557605012693</v>
      </c>
      <c r="O2181" s="126">
        <f ca="1" t="shared" si="2057"/>
        <v>0.216213325869196</v>
      </c>
      <c r="P2181" s="126">
        <f ca="1" t="shared" si="2057"/>
        <v>0.207179935000719</v>
      </c>
      <c r="Q2181" s="126">
        <f ca="1" t="shared" si="2057"/>
        <v>0.207179935000719</v>
      </c>
    </row>
    <row r="2182" ht="24" customHeight="1" spans="1:17">
      <c r="A2182" s="99" t="s">
        <v>350</v>
      </c>
      <c r="B2182" s="99" t="s">
        <v>299</v>
      </c>
      <c r="C2182" s="99" t="s">
        <v>344</v>
      </c>
      <c r="D2182" s="47" t="s">
        <v>321</v>
      </c>
      <c r="E2182" s="47" t="s">
        <v>81</v>
      </c>
      <c r="F2182" s="126">
        <f ca="1" t="shared" ref="F2182:Q2182" si="2058">IFERROR(F2177/F2160," ")</f>
        <v>0</v>
      </c>
      <c r="G2182" s="126">
        <f ca="1" t="shared" si="2058"/>
        <v>0</v>
      </c>
      <c r="H2182" s="126">
        <f ca="1" t="shared" si="2058"/>
        <v>0.057820515655447</v>
      </c>
      <c r="I2182" s="126">
        <f ca="1" t="shared" si="2058"/>
        <v>0.0522412738191429</v>
      </c>
      <c r="J2182" s="126">
        <f ca="1" t="shared" si="2058"/>
        <v>0.120251807535766</v>
      </c>
      <c r="K2182" s="126">
        <f ca="1" t="shared" si="2058"/>
        <v>0.0830819353960242</v>
      </c>
      <c r="L2182" s="126">
        <f ca="1" t="shared" si="2058"/>
        <v>0.231030418903438</v>
      </c>
      <c r="M2182" s="126">
        <f ca="1" t="shared" si="2058"/>
        <v>0.206263873611831</v>
      </c>
      <c r="N2182" s="126">
        <f ca="1" t="shared" si="2058"/>
        <v>0.206263873611831</v>
      </c>
      <c r="O2182" s="126">
        <f ca="1" t="shared" si="2058"/>
        <v>0.150681930485628</v>
      </c>
      <c r="P2182" s="126">
        <f ca="1" t="shared" si="2058"/>
        <v>0.144386440744553</v>
      </c>
      <c r="Q2182" s="126">
        <f ca="1" t="shared" si="2058"/>
        <v>0.144386440744553</v>
      </c>
    </row>
    <row r="2183" ht="24" customHeight="1" spans="1:17">
      <c r="A2183" s="99" t="s">
        <v>350</v>
      </c>
      <c r="B2183" s="99" t="s">
        <v>299</v>
      </c>
      <c r="C2183" s="99" t="s">
        <v>344</v>
      </c>
      <c r="D2183" s="47" t="s">
        <v>321</v>
      </c>
      <c r="E2183" s="47" t="s">
        <v>96</v>
      </c>
      <c r="F2183" s="126">
        <f ca="1" t="shared" ref="F2183:Q2183" si="2059">IFERROR(F2178/F2160," ")</f>
        <v>0</v>
      </c>
      <c r="G2183" s="126">
        <f ca="1" t="shared" si="2059"/>
        <v>0</v>
      </c>
      <c r="H2183" s="126">
        <f ca="1" t="shared" si="2059"/>
        <v>0.158847808545048</v>
      </c>
      <c r="I2183" s="126">
        <f ca="1" t="shared" si="2059"/>
        <v>0.143520198111393</v>
      </c>
      <c r="J2183" s="126">
        <f ca="1" t="shared" si="2059"/>
        <v>0.128720845159296</v>
      </c>
      <c r="K2183" s="126">
        <f ca="1" t="shared" si="2059"/>
        <v>0.0889331907835606</v>
      </c>
      <c r="L2183" s="126">
        <f ca="1" t="shared" si="2059"/>
        <v>0.0745834563658118</v>
      </c>
      <c r="M2183" s="126">
        <f ca="1" t="shared" si="2059"/>
        <v>0.0665880826013703</v>
      </c>
      <c r="N2183" s="126">
        <f ca="1" t="shared" si="2059"/>
        <v>0.0665880826013703</v>
      </c>
      <c r="O2183" s="126">
        <f ca="1" t="shared" si="2059"/>
        <v>0.0486445864610943</v>
      </c>
      <c r="P2183" s="126">
        <f ca="1" t="shared" si="2059"/>
        <v>0.0466122160631461</v>
      </c>
      <c r="Q2183" s="126">
        <f ca="1" t="shared" si="2059"/>
        <v>0.0466122160631461</v>
      </c>
    </row>
    <row r="2184" ht="24" customHeight="1" spans="1:17">
      <c r="A2184" s="99" t="s">
        <v>350</v>
      </c>
      <c r="B2184" s="99" t="s">
        <v>299</v>
      </c>
      <c r="C2184" s="99" t="s">
        <v>344</v>
      </c>
      <c r="D2184" s="47" t="s">
        <v>321</v>
      </c>
      <c r="E2184" s="47" t="s">
        <v>160</v>
      </c>
      <c r="F2184" s="126">
        <f ca="1" t="shared" ref="F2184:Q2184" si="2060">IFERROR(F2179/F2160," ")</f>
        <v>0</v>
      </c>
      <c r="G2184" s="126">
        <f ca="1" t="shared" si="2060"/>
        <v>0</v>
      </c>
      <c r="H2184" s="126">
        <f ca="1" t="shared" si="2060"/>
        <v>0</v>
      </c>
      <c r="I2184" s="126">
        <f ca="1" t="shared" si="2060"/>
        <v>0</v>
      </c>
      <c r="J2184" s="126">
        <f ca="1" t="shared" si="2060"/>
        <v>0</v>
      </c>
      <c r="K2184" s="126">
        <f ca="1" t="shared" si="2060"/>
        <v>0</v>
      </c>
      <c r="L2184" s="126">
        <f ca="1" t="shared" si="2060"/>
        <v>0</v>
      </c>
      <c r="M2184" s="126">
        <f ca="1" t="shared" si="2060"/>
        <v>0</v>
      </c>
      <c r="N2184" s="126">
        <f ca="1" t="shared" si="2060"/>
        <v>0</v>
      </c>
      <c r="O2184" s="126">
        <f ca="1" t="shared" si="2060"/>
        <v>0</v>
      </c>
      <c r="P2184" s="126">
        <f ca="1" t="shared" si="2060"/>
        <v>0</v>
      </c>
      <c r="Q2184" s="126">
        <f ca="1" t="shared" si="2060"/>
        <v>0</v>
      </c>
    </row>
    <row r="2185" ht="24" customHeight="1" spans="1:17">
      <c r="A2185" s="99" t="s">
        <v>350</v>
      </c>
      <c r="B2185" s="99" t="s">
        <v>299</v>
      </c>
      <c r="C2185" s="99" t="s">
        <v>343</v>
      </c>
      <c r="D2185" s="114" t="s">
        <v>292</v>
      </c>
      <c r="E2185" s="53" t="s">
        <v>326</v>
      </c>
      <c r="F2185" s="219">
        <f ca="1">IF($S$1&lt;DATE(2025,1,1)," ",IF((F2116-F2187-F2188-F2189-F2190-F2191)&lt;&gt;0,"ERR",F2116))</f>
        <v>0.006113</v>
      </c>
      <c r="G2185" s="219">
        <f ca="1">IF($S$1&lt;DATE(2025,2,1)," ",IF((G2116+F2185-G2187-G2188-G2189-G2190-G2191)&lt;&gt;0,"ERR",G2116+F2185))</f>
        <v>0.006113</v>
      </c>
      <c r="H2185" s="219">
        <f ca="1">IF($S$1&lt;DATE(2025,3,1)," ",IF((H2116+G2185-H2187-H2188-H2189-H2190-H2191)&lt;&gt;0,"ERR",H2116+G2185))</f>
        <v>0.040553</v>
      </c>
      <c r="I2185" s="219">
        <f ca="1">IF($S$1&lt;DATE(2025,4,1)," ",IF((I2116+H2185-I2187-I2188-I2189-I2190-I2191)&lt;&gt;0,"ERR",I2116+H2185))</f>
        <v>0.050834</v>
      </c>
      <c r="J2185" s="219">
        <f ca="1">IF($S$1&lt;DATE(2025,5,1)," ",IF((J2116+I2185-J2187-J2188-J2189-J2190-J2191)&lt;&gt;0,"ERR",J2116+I2185))</f>
        <v>0.056507</v>
      </c>
      <c r="K2185" s="219">
        <f ca="1">IF($S$1&lt;DATE(2025,6,1)," ",IF((K2116+J2185-K2187-K2188-K2189-K2190-K2191)&lt;&gt;0,"ERR",K2116+J2185))</f>
        <v>0.124214</v>
      </c>
      <c r="L2185" s="219">
        <f ca="1">IF($S$1&lt;DATE(2025,7,1)," ",IF((L2116+K2185)&lt;&gt;SUM(L2187:L2191),"ERR",L2116+K2185))</f>
        <v>0.191735</v>
      </c>
      <c r="M2185" s="219">
        <f ca="1">IF($S$1&lt;DATE(2025,8,1)," ",IF((M2116+L2185)&lt;&gt;SUM(M2187:M2191),"ERR",M2116+L2185))</f>
        <v>0.615278</v>
      </c>
      <c r="N2185" s="219">
        <f ca="1">IF($S$1&lt;DATE(2025,9,1)," ",IF((N2116+M2185)&lt;&gt;SUM(N2187:N2191),"ERR",N2116+M2185))</f>
        <v>0.615278</v>
      </c>
      <c r="O2185" s="219">
        <f ca="1">IF($S$1&lt;DATE(2025,10,1)," ",IF((O2116+N2185)&lt;&gt;SUM(O2187:O2191),"ERR",O2116+N2185))</f>
        <v>0.649478</v>
      </c>
      <c r="P2185" s="219">
        <f ca="1">IF($S$1&lt;DATE(2025,11,1)," ",IF((P2116+O2185)&lt;&gt;SUM(P2187:P2191),"ERR",P2116+O2185))</f>
        <v>0.649478</v>
      </c>
      <c r="Q2185" s="219">
        <f ca="1">IF($S$1&lt;DATE(2025,12,1)," ",IF((Q2116+P2185)&lt;&gt;SUM(Q2187:Q2191),"ERR",Q2116+P2185))</f>
        <v>0.649478</v>
      </c>
    </row>
    <row r="2186" ht="24" customHeight="1" spans="1:17">
      <c r="A2186" s="99" t="s">
        <v>350</v>
      </c>
      <c r="B2186" s="99" t="s">
        <v>299</v>
      </c>
      <c r="C2186" s="99" t="s">
        <v>343</v>
      </c>
      <c r="D2186" s="114" t="s">
        <v>292</v>
      </c>
      <c r="E2186" s="48" t="s">
        <v>327</v>
      </c>
      <c r="F2186" s="219">
        <f ca="1">IF($S$1&lt;DATE(2025,1,1)," ",IF((F2117-F2192-F2193-F2194-F2195-F2196)&lt;&gt;0,"ERR",F2117))</f>
        <v>0</v>
      </c>
      <c r="G2186" s="219">
        <f ca="1">IF($S$1&lt;DATE(2025,2,1)," ",IF((G2117+F2186-SUM(G2192:G2196))&lt;&gt;0,"ERR",G2117+F2186))</f>
        <v>0</v>
      </c>
      <c r="H2186" s="219">
        <f ca="1">IF($S$1&lt;DATE(2025,3,1)," ",IF((H2117+G2186-SUM(H2192:H2196))&lt;&gt;0,"ERR",H2117+G2186))</f>
        <v>0</v>
      </c>
      <c r="I2186" s="219">
        <f ca="1">IF($S$1&lt;DATE(2025,4,1)," ",IF((I2117+H2186-SUM(I2192:I2196))&lt;&gt;0,"ERR",I2117+H2186))</f>
        <v>0</v>
      </c>
      <c r="J2186" s="219">
        <f ca="1">IF($S$1&lt;DATE(2025,5,1)," ",IF((J2117+I2186-SUM(J2192:J2196))&lt;&gt;0,"ERR",J2117+I2186))</f>
        <v>0</v>
      </c>
      <c r="K2186" s="219">
        <f ca="1">IF($S$1&lt;DATE(2025,6,1)," ",IF((K2117+J2186-SUM(K2192:K2196))&lt;&gt;0,"ERR",K2117+J2186))</f>
        <v>0</v>
      </c>
      <c r="L2186" s="219">
        <f ca="1">IF($S$1&lt;DATE(2025,7,1)," ",IF((L2117+K2186-SUM(L2192:L2196))&lt;&gt;0,"ERR",L2117+K2186))</f>
        <v>0</v>
      </c>
      <c r="M2186" s="219">
        <f ca="1">IF($S$1&lt;DATE(2025,8,1)," ",IF((M2117+L2186-SUM(M2192:M2196))&lt;&gt;0,"ERR",M2117+L2186))</f>
        <v>0</v>
      </c>
      <c r="N2186" s="219">
        <f ca="1">IF($S$1&lt;DATE(2025,9,1)," ",IF((N2117+M2186-SUM(N2192:N2196))&lt;&gt;0,"ERR",N2117+M2186))</f>
        <v>0</v>
      </c>
      <c r="O2186" s="219">
        <f ca="1">IF($S$1&lt;DATE(2025,10,1)," ",IF((O2117+N2186-SUM(O2192:O2196))&lt;&gt;0,"ERR",O2117+N2186))</f>
        <v>0</v>
      </c>
      <c r="P2186" s="219">
        <f ca="1">IF($S$1&lt;DATE(2025,11,1)," ",IF((P2117+O2186-SUM(P2192:P2196))&lt;&gt;0,"ERR",P2117+O2186))</f>
        <v>0.181329</v>
      </c>
      <c r="Q2186" s="219">
        <f ca="1">IF($S$1&lt;DATE(2025,12,1)," ",IF((Q2117+P2186-SUM(Q2192:Q2196))&lt;&gt;0,"ERR",Q2117+P2186))</f>
        <v>0.181329</v>
      </c>
    </row>
    <row r="2187" ht="24" customHeight="1" spans="1:17">
      <c r="A2187" s="99" t="s">
        <v>350</v>
      </c>
      <c r="B2187" s="99" t="s">
        <v>299</v>
      </c>
      <c r="C2187" s="99" t="s">
        <v>343</v>
      </c>
      <c r="D2187" s="53" t="s">
        <v>326</v>
      </c>
      <c r="E2187" s="53" t="s">
        <v>93</v>
      </c>
      <c r="F2187" s="219">
        <f ca="1" t="shared" ref="F2187:F2196" si="2061">IF($S$1&lt;DATE(2025,1,1)," ",F2119)</f>
        <v>0</v>
      </c>
      <c r="G2187" s="219">
        <f ca="1" t="shared" ref="G2187:G2196" si="2062">IF($S$1&lt;DATE(2025,2,1)," ",G2119+F2187)</f>
        <v>0</v>
      </c>
      <c r="H2187" s="219">
        <f ca="1" t="shared" ref="H2187:H2196" si="2063">IF($S$1&lt;DATE(2025,3,1)," ",H2119+G2187)</f>
        <v>0.002705</v>
      </c>
      <c r="I2187" s="219">
        <f ca="1" t="shared" ref="I2187:I2196" si="2064">IF($S$1&lt;DATE(2025,4,1)," ",I2119+H2187)</f>
        <v>0.002705</v>
      </c>
      <c r="J2187" s="219">
        <f ca="1" t="shared" ref="J2187:J2196" si="2065">IF($S$1&lt;DATE(2025,5,1)," ",J2119+I2187)</f>
        <v>0.002705</v>
      </c>
      <c r="K2187" s="219">
        <f ca="1" t="shared" ref="K2187:K2196" si="2066">IF($S$1&lt;DATE(2025,6,1)," ",K2119+J2187)</f>
        <v>0.070412</v>
      </c>
      <c r="L2187" s="219">
        <f ca="1" t="shared" ref="L2187:L2196" si="2067">IF($S$1&lt;DATE(2025,7,1)," ",L2119+K2187)</f>
        <v>0.070412</v>
      </c>
      <c r="M2187" s="219">
        <f ca="1" t="shared" ref="M2187:M2196" si="2068">IF($S$1&lt;DATE(2025,8,1)," ",M2119+L2187)</f>
        <v>0.481039</v>
      </c>
      <c r="N2187" s="219">
        <f ca="1" t="shared" ref="N2187:N2196" si="2069">IF($S$1&lt;DATE(2025,9,1)," ",N2119+M2187)</f>
        <v>0.481039</v>
      </c>
      <c r="O2187" s="219">
        <f ca="1" t="shared" ref="O2187:O2196" si="2070">IF($S$1&lt;DATE(2025,10,1)," ",O2119+N2187)</f>
        <v>0.504696</v>
      </c>
      <c r="P2187" s="219">
        <f ca="1" t="shared" ref="P2187:P2196" si="2071">IF($S$1&lt;DATE(2025,11,1)," ",P2119+O2187)</f>
        <v>0.504696</v>
      </c>
      <c r="Q2187" s="219">
        <f ca="1" t="shared" ref="Q2187:Q2196" si="2072">IF($S$1&lt;DATE(2025,12,1)," ",Q2119+P2187)</f>
        <v>0.504696</v>
      </c>
    </row>
    <row r="2188" ht="24" customHeight="1" spans="1:17">
      <c r="A2188" s="99" t="s">
        <v>350</v>
      </c>
      <c r="B2188" s="99" t="s">
        <v>299</v>
      </c>
      <c r="C2188" s="99" t="s">
        <v>343</v>
      </c>
      <c r="D2188" s="53" t="s">
        <v>326</v>
      </c>
      <c r="E2188" s="53" t="s">
        <v>85</v>
      </c>
      <c r="F2188" s="219">
        <f ca="1" t="shared" si="2061"/>
        <v>0.006113</v>
      </c>
      <c r="G2188" s="219">
        <f ca="1" t="shared" si="2062"/>
        <v>0.006113</v>
      </c>
      <c r="H2188" s="219">
        <f ca="1" t="shared" si="2063"/>
        <v>0.006113</v>
      </c>
      <c r="I2188" s="219">
        <f ca="1" t="shared" si="2064"/>
        <v>0.016394</v>
      </c>
      <c r="J2188" s="219">
        <f ca="1" t="shared" si="2065"/>
        <v>0.016394</v>
      </c>
      <c r="K2188" s="219">
        <f ca="1" t="shared" si="2066"/>
        <v>0.016394</v>
      </c>
      <c r="L2188" s="219">
        <f ca="1" t="shared" si="2067"/>
        <v>0.016394</v>
      </c>
      <c r="M2188" s="219">
        <f ca="1" t="shared" si="2068"/>
        <v>0.02931</v>
      </c>
      <c r="N2188" s="219">
        <f ca="1" t="shared" si="2069"/>
        <v>0.02931</v>
      </c>
      <c r="O2188" s="219">
        <f ca="1" t="shared" si="2070"/>
        <v>0.039853</v>
      </c>
      <c r="P2188" s="219">
        <f ca="1" t="shared" si="2071"/>
        <v>0.039853</v>
      </c>
      <c r="Q2188" s="219">
        <f ca="1" t="shared" si="2072"/>
        <v>0.039853</v>
      </c>
    </row>
    <row r="2189" ht="24" customHeight="1" spans="1:17">
      <c r="A2189" s="99" t="s">
        <v>350</v>
      </c>
      <c r="B2189" s="99" t="s">
        <v>299</v>
      </c>
      <c r="C2189" s="99" t="s">
        <v>343</v>
      </c>
      <c r="D2189" s="53" t="s">
        <v>326</v>
      </c>
      <c r="E2189" s="53" t="s">
        <v>81</v>
      </c>
      <c r="F2189" s="219">
        <f ca="1" t="shared" si="2061"/>
        <v>0</v>
      </c>
      <c r="G2189" s="219">
        <f ca="1" t="shared" si="2062"/>
        <v>0</v>
      </c>
      <c r="H2189" s="219">
        <f ca="1" t="shared" si="2063"/>
        <v>0</v>
      </c>
      <c r="I2189" s="219">
        <f ca="1" t="shared" si="2064"/>
        <v>0</v>
      </c>
      <c r="J2189" s="219">
        <f ca="1" t="shared" si="2065"/>
        <v>0.005673</v>
      </c>
      <c r="K2189" s="219">
        <f ca="1" t="shared" si="2066"/>
        <v>0.005673</v>
      </c>
      <c r="L2189" s="219">
        <f ca="1" t="shared" si="2067"/>
        <v>0.073194</v>
      </c>
      <c r="M2189" s="219">
        <f ca="1" t="shared" si="2068"/>
        <v>0.073194</v>
      </c>
      <c r="N2189" s="219">
        <f ca="1" t="shared" si="2069"/>
        <v>0.073194</v>
      </c>
      <c r="O2189" s="219">
        <f ca="1" t="shared" si="2070"/>
        <v>0.073194</v>
      </c>
      <c r="P2189" s="219">
        <f ca="1" t="shared" si="2071"/>
        <v>0.073194</v>
      </c>
      <c r="Q2189" s="219">
        <f ca="1" t="shared" si="2072"/>
        <v>0.073194</v>
      </c>
    </row>
    <row r="2190" ht="24" customHeight="1" spans="1:17">
      <c r="A2190" s="99" t="s">
        <v>350</v>
      </c>
      <c r="B2190" s="99" t="s">
        <v>299</v>
      </c>
      <c r="C2190" s="99" t="s">
        <v>343</v>
      </c>
      <c r="D2190" s="53" t="s">
        <v>326</v>
      </c>
      <c r="E2190" s="53" t="s">
        <v>96</v>
      </c>
      <c r="F2190" s="219">
        <f ca="1" t="shared" si="2061"/>
        <v>0</v>
      </c>
      <c r="G2190" s="219">
        <f ca="1" t="shared" si="2062"/>
        <v>0</v>
      </c>
      <c r="H2190" s="219">
        <f ca="1" t="shared" si="2063"/>
        <v>0.031735</v>
      </c>
      <c r="I2190" s="219">
        <f ca="1" t="shared" si="2064"/>
        <v>0.031735</v>
      </c>
      <c r="J2190" s="219">
        <f ca="1" t="shared" si="2065"/>
        <v>0.031735</v>
      </c>
      <c r="K2190" s="219">
        <f ca="1" t="shared" si="2066"/>
        <v>0.031735</v>
      </c>
      <c r="L2190" s="219">
        <f ca="1" t="shared" si="2067"/>
        <v>0.031735</v>
      </c>
      <c r="M2190" s="219">
        <f ca="1" t="shared" si="2068"/>
        <v>0.031735</v>
      </c>
      <c r="N2190" s="219">
        <f ca="1" t="shared" si="2069"/>
        <v>0.031735</v>
      </c>
      <c r="O2190" s="219">
        <f ca="1" t="shared" si="2070"/>
        <v>0.031735</v>
      </c>
      <c r="P2190" s="219">
        <f ca="1" t="shared" si="2071"/>
        <v>0.031735</v>
      </c>
      <c r="Q2190" s="219">
        <f ca="1" t="shared" si="2072"/>
        <v>0.031735</v>
      </c>
    </row>
    <row r="2191" ht="24" customHeight="1" spans="1:17">
      <c r="A2191" s="99" t="s">
        <v>350</v>
      </c>
      <c r="B2191" s="99" t="s">
        <v>299</v>
      </c>
      <c r="C2191" s="99" t="s">
        <v>343</v>
      </c>
      <c r="D2191" s="53" t="s">
        <v>326</v>
      </c>
      <c r="E2191" s="53" t="s">
        <v>160</v>
      </c>
      <c r="F2191" s="219">
        <f ca="1" t="shared" si="2061"/>
        <v>0</v>
      </c>
      <c r="G2191" s="219">
        <f ca="1" t="shared" si="2062"/>
        <v>0</v>
      </c>
      <c r="H2191" s="219">
        <f ca="1" t="shared" si="2063"/>
        <v>0</v>
      </c>
      <c r="I2191" s="219">
        <f ca="1" t="shared" si="2064"/>
        <v>0</v>
      </c>
      <c r="J2191" s="219">
        <f ca="1" t="shared" si="2065"/>
        <v>0</v>
      </c>
      <c r="K2191" s="219">
        <f ca="1" t="shared" si="2066"/>
        <v>0</v>
      </c>
      <c r="L2191" s="219">
        <f ca="1" t="shared" si="2067"/>
        <v>0</v>
      </c>
      <c r="M2191" s="219">
        <f ca="1" t="shared" si="2068"/>
        <v>0</v>
      </c>
      <c r="N2191" s="219">
        <f ca="1" t="shared" si="2069"/>
        <v>0</v>
      </c>
      <c r="O2191" s="219">
        <f ca="1" t="shared" si="2070"/>
        <v>0</v>
      </c>
      <c r="P2191" s="219">
        <f ca="1" t="shared" si="2071"/>
        <v>0</v>
      </c>
      <c r="Q2191" s="219">
        <f ca="1" t="shared" si="2072"/>
        <v>0</v>
      </c>
    </row>
    <row r="2192" ht="24" customHeight="1" spans="1:17">
      <c r="A2192" s="99" t="s">
        <v>350</v>
      </c>
      <c r="B2192" s="99" t="s">
        <v>299</v>
      </c>
      <c r="C2192" s="99" t="s">
        <v>343</v>
      </c>
      <c r="D2192" s="53" t="s">
        <v>327</v>
      </c>
      <c r="E2192" s="53" t="s">
        <v>93</v>
      </c>
      <c r="F2192" s="219">
        <f ca="1" t="shared" si="2061"/>
        <v>0</v>
      </c>
      <c r="G2192" s="219">
        <f ca="1" t="shared" si="2062"/>
        <v>0</v>
      </c>
      <c r="H2192" s="219">
        <f ca="1" t="shared" si="2063"/>
        <v>0</v>
      </c>
      <c r="I2192" s="219">
        <f ca="1" t="shared" si="2064"/>
        <v>0</v>
      </c>
      <c r="J2192" s="219">
        <f ca="1" t="shared" si="2065"/>
        <v>0</v>
      </c>
      <c r="K2192" s="219">
        <f ca="1" t="shared" si="2066"/>
        <v>0</v>
      </c>
      <c r="L2192" s="219">
        <f ca="1" t="shared" si="2067"/>
        <v>0</v>
      </c>
      <c r="M2192" s="219">
        <f ca="1" t="shared" si="2068"/>
        <v>0</v>
      </c>
      <c r="N2192" s="219">
        <f ca="1" t="shared" si="2069"/>
        <v>0</v>
      </c>
      <c r="O2192" s="219">
        <f ca="1" t="shared" si="2070"/>
        <v>0</v>
      </c>
      <c r="P2192" s="219">
        <f ca="1" t="shared" si="2071"/>
        <v>0.181329</v>
      </c>
      <c r="Q2192" s="219">
        <f ca="1" t="shared" si="2072"/>
        <v>0.181329</v>
      </c>
    </row>
    <row r="2193" ht="24" customHeight="1" spans="1:17">
      <c r="A2193" s="99" t="s">
        <v>350</v>
      </c>
      <c r="B2193" s="99" t="s">
        <v>299</v>
      </c>
      <c r="C2193" s="99" t="s">
        <v>343</v>
      </c>
      <c r="D2193" s="53" t="s">
        <v>327</v>
      </c>
      <c r="E2193" s="53" t="s">
        <v>85</v>
      </c>
      <c r="F2193" s="219">
        <f ca="1" t="shared" si="2061"/>
        <v>0</v>
      </c>
      <c r="G2193" s="219">
        <f ca="1" t="shared" si="2062"/>
        <v>0</v>
      </c>
      <c r="H2193" s="219">
        <f ca="1" t="shared" si="2063"/>
        <v>0</v>
      </c>
      <c r="I2193" s="219">
        <f ca="1" t="shared" si="2064"/>
        <v>0</v>
      </c>
      <c r="J2193" s="219">
        <f ca="1" t="shared" si="2065"/>
        <v>0</v>
      </c>
      <c r="K2193" s="219">
        <f ca="1" t="shared" si="2066"/>
        <v>0</v>
      </c>
      <c r="L2193" s="219">
        <f ca="1" t="shared" si="2067"/>
        <v>0</v>
      </c>
      <c r="M2193" s="219">
        <f ca="1" t="shared" si="2068"/>
        <v>0</v>
      </c>
      <c r="N2193" s="219">
        <f ca="1" t="shared" si="2069"/>
        <v>0</v>
      </c>
      <c r="O2193" s="219">
        <f ca="1" t="shared" si="2070"/>
        <v>0</v>
      </c>
      <c r="P2193" s="219">
        <f ca="1" t="shared" si="2071"/>
        <v>0</v>
      </c>
      <c r="Q2193" s="219">
        <f ca="1" t="shared" si="2072"/>
        <v>0</v>
      </c>
    </row>
    <row r="2194" ht="24" customHeight="1" spans="1:17">
      <c r="A2194" s="99" t="s">
        <v>350</v>
      </c>
      <c r="B2194" s="99" t="s">
        <v>299</v>
      </c>
      <c r="C2194" s="99" t="s">
        <v>343</v>
      </c>
      <c r="D2194" s="53" t="s">
        <v>327</v>
      </c>
      <c r="E2194" s="53" t="s">
        <v>81</v>
      </c>
      <c r="F2194" s="219">
        <f ca="1" t="shared" si="2061"/>
        <v>0</v>
      </c>
      <c r="G2194" s="219">
        <f ca="1" t="shared" si="2062"/>
        <v>0</v>
      </c>
      <c r="H2194" s="219">
        <f ca="1" t="shared" si="2063"/>
        <v>0</v>
      </c>
      <c r="I2194" s="219">
        <f ca="1" t="shared" si="2064"/>
        <v>0</v>
      </c>
      <c r="J2194" s="219">
        <f ca="1" t="shared" si="2065"/>
        <v>0</v>
      </c>
      <c r="K2194" s="219">
        <f ca="1" t="shared" si="2066"/>
        <v>0</v>
      </c>
      <c r="L2194" s="219">
        <f ca="1" t="shared" si="2067"/>
        <v>0</v>
      </c>
      <c r="M2194" s="219">
        <f ca="1" t="shared" si="2068"/>
        <v>0</v>
      </c>
      <c r="N2194" s="219">
        <f ca="1" t="shared" si="2069"/>
        <v>0</v>
      </c>
      <c r="O2194" s="219">
        <f ca="1" t="shared" si="2070"/>
        <v>0</v>
      </c>
      <c r="P2194" s="219">
        <f ca="1" t="shared" si="2071"/>
        <v>0</v>
      </c>
      <c r="Q2194" s="219">
        <f ca="1" t="shared" si="2072"/>
        <v>0</v>
      </c>
    </row>
    <row r="2195" ht="24" customHeight="1" spans="1:17">
      <c r="A2195" s="99" t="s">
        <v>350</v>
      </c>
      <c r="B2195" s="99" t="s">
        <v>299</v>
      </c>
      <c r="C2195" s="99" t="s">
        <v>343</v>
      </c>
      <c r="D2195" s="53" t="s">
        <v>327</v>
      </c>
      <c r="E2195" s="53" t="s">
        <v>96</v>
      </c>
      <c r="F2195" s="219">
        <f ca="1" t="shared" si="2061"/>
        <v>0</v>
      </c>
      <c r="G2195" s="219">
        <f ca="1" t="shared" si="2062"/>
        <v>0</v>
      </c>
      <c r="H2195" s="219">
        <f ca="1" t="shared" si="2063"/>
        <v>0</v>
      </c>
      <c r="I2195" s="219">
        <f ca="1" t="shared" si="2064"/>
        <v>0</v>
      </c>
      <c r="J2195" s="219">
        <f ca="1" t="shared" si="2065"/>
        <v>0</v>
      </c>
      <c r="K2195" s="219">
        <f ca="1" t="shared" si="2066"/>
        <v>0</v>
      </c>
      <c r="L2195" s="219">
        <f ca="1" t="shared" si="2067"/>
        <v>0</v>
      </c>
      <c r="M2195" s="219">
        <f ca="1" t="shared" si="2068"/>
        <v>0</v>
      </c>
      <c r="N2195" s="219">
        <f ca="1" t="shared" si="2069"/>
        <v>0</v>
      </c>
      <c r="O2195" s="219">
        <f ca="1" t="shared" si="2070"/>
        <v>0</v>
      </c>
      <c r="P2195" s="219">
        <f ca="1" t="shared" si="2071"/>
        <v>0</v>
      </c>
      <c r="Q2195" s="219">
        <f ca="1" t="shared" si="2072"/>
        <v>0</v>
      </c>
    </row>
    <row r="2196" ht="24" customHeight="1" spans="1:17">
      <c r="A2196" s="99" t="s">
        <v>350</v>
      </c>
      <c r="B2196" s="99" t="s">
        <v>299</v>
      </c>
      <c r="C2196" s="99" t="s">
        <v>343</v>
      </c>
      <c r="D2196" s="53" t="s">
        <v>327</v>
      </c>
      <c r="E2196" s="53" t="s">
        <v>160</v>
      </c>
      <c r="F2196" s="219">
        <f ca="1" t="shared" si="2061"/>
        <v>0</v>
      </c>
      <c r="G2196" s="219">
        <f ca="1" t="shared" si="2062"/>
        <v>0</v>
      </c>
      <c r="H2196" s="219">
        <f ca="1" t="shared" si="2063"/>
        <v>0</v>
      </c>
      <c r="I2196" s="219">
        <f ca="1" t="shared" si="2064"/>
        <v>0</v>
      </c>
      <c r="J2196" s="219">
        <f ca="1" t="shared" si="2065"/>
        <v>0</v>
      </c>
      <c r="K2196" s="219">
        <f ca="1" t="shared" si="2066"/>
        <v>0</v>
      </c>
      <c r="L2196" s="219">
        <f ca="1" t="shared" si="2067"/>
        <v>0</v>
      </c>
      <c r="M2196" s="219">
        <f ca="1" t="shared" si="2068"/>
        <v>0</v>
      </c>
      <c r="N2196" s="219">
        <f ca="1" t="shared" si="2069"/>
        <v>0</v>
      </c>
      <c r="O2196" s="219">
        <f ca="1" t="shared" si="2070"/>
        <v>0</v>
      </c>
      <c r="P2196" s="219">
        <f ca="1" t="shared" si="2071"/>
        <v>0</v>
      </c>
      <c r="Q2196" s="219">
        <f ca="1" t="shared" si="2072"/>
        <v>0</v>
      </c>
    </row>
    <row r="2197" ht="24" customHeight="1" spans="1:17">
      <c r="A2197" s="233"/>
      <c r="B2197" s="233"/>
      <c r="C2197" s="233"/>
      <c r="D2197" s="233"/>
      <c r="E2197" s="233"/>
      <c r="F2197" s="234"/>
      <c r="G2197" s="234"/>
      <c r="H2197" s="234"/>
      <c r="I2197" s="234"/>
      <c r="J2197" s="234"/>
      <c r="K2197" s="234"/>
      <c r="L2197" s="234"/>
      <c r="M2197" s="234"/>
      <c r="N2197" s="234"/>
      <c r="O2197" s="234"/>
      <c r="P2197" s="234"/>
      <c r="Q2197" s="235"/>
    </row>
    <row r="2198" ht="24" customHeight="1" spans="1:17">
      <c r="A2198" s="96"/>
      <c r="B2198" s="96"/>
      <c r="C2198" s="96"/>
      <c r="D2198" s="96"/>
      <c r="E2198" s="96"/>
      <c r="F2198" s="101"/>
      <c r="G2198" s="101"/>
      <c r="H2198" s="101"/>
      <c r="I2198" s="101"/>
      <c r="J2198" s="101"/>
      <c r="K2198" s="101"/>
      <c r="L2198" s="101"/>
      <c r="M2198" s="101"/>
      <c r="N2198" s="101"/>
      <c r="O2198" s="101"/>
      <c r="P2198" s="101"/>
      <c r="Q2198" s="101"/>
    </row>
  </sheetData>
  <sheetProtection formatCells="0" formatColumns="0" formatRows="0" insertRows="0" insertColumns="0" insertHyperlinks="0" deleteColumns="0" deleteRows="0" sort="0" autoFilter="0" pivotTables="0"/>
  <customSheetViews>
    <customSheetView guid="{2DC6DF81-3091-4B69-B551-220C410A6C56}" filter="1" showAutoFilter="1">
      <pageMargins left="0.7" right="0.7" top="0.75" bottom="0.75" header="0.3" footer="0.3"/>
      <headerFooter/>
      <autoFilter ref="A1:Q2196"/>
    </customSheetView>
  </customSheetViews>
  <pageMargins left="0.75" right="0.75" top="1" bottom="1" header="0" footer="0"/>
  <pageSetup paperSize="1" orientation="landscape"/>
  <headerFooter/>
  <drawing r:id="rId1"/>
  <tableParts count="1">
    <tablePart r:id="rId2"/>
  </tableParts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000"/>
  <sheetViews>
    <sheetView workbookViewId="0">
      <selection activeCell="A1" sqref="A1"/>
    </sheetView>
  </sheetViews>
  <sheetFormatPr defaultColWidth="14.4571428571429" defaultRowHeight="15" customHeight="1"/>
  <cols>
    <col min="1" max="9" width="16.5428571428571" customWidth="1"/>
    <col min="10" max="10" width="12.2666666666667" customWidth="1"/>
    <col min="11" max="18" width="15.5428571428571" customWidth="1"/>
    <col min="19" max="19" width="15.4571428571429" customWidth="1"/>
    <col min="20" max="20" width="15.0857142857143" customWidth="1"/>
    <col min="21" max="27" width="15.5428571428571" customWidth="1"/>
    <col min="28" max="28" width="12.5428571428571" customWidth="1"/>
    <col min="29" max="29" width="8.72380952380952" customWidth="1"/>
  </cols>
  <sheetData>
    <row r="1" ht="18" customHeight="1" spans="1:21">
      <c r="A1" s="127" t="s">
        <v>351</v>
      </c>
      <c r="K1" s="127" t="s">
        <v>352</v>
      </c>
      <c r="U1" s="127" t="s">
        <v>353</v>
      </c>
    </row>
    <row r="2" spans="1:22">
      <c r="A2" s="128" t="s">
        <v>273</v>
      </c>
      <c r="B2" s="128" t="s">
        <v>299</v>
      </c>
      <c r="K2" s="128" t="s">
        <v>272</v>
      </c>
      <c r="L2" s="128" t="s">
        <v>354</v>
      </c>
      <c r="U2" s="128" t="s">
        <v>272</v>
      </c>
      <c r="V2" s="128" t="s">
        <v>354</v>
      </c>
    </row>
    <row r="3" spans="1:22">
      <c r="A3" s="128" t="s">
        <v>274</v>
      </c>
      <c r="B3" s="128" t="s">
        <v>316</v>
      </c>
      <c r="K3" s="128" t="s">
        <v>273</v>
      </c>
      <c r="L3" s="128" t="s">
        <v>308</v>
      </c>
      <c r="U3" s="128" t="s">
        <v>273</v>
      </c>
      <c r="V3" s="128" t="s">
        <v>299</v>
      </c>
    </row>
    <row r="4" spans="1:22">
      <c r="A4" s="128" t="s">
        <v>275</v>
      </c>
      <c r="B4" s="128" t="s">
        <v>292</v>
      </c>
      <c r="K4" s="128" t="s">
        <v>274</v>
      </c>
      <c r="L4" s="128" t="s">
        <v>309</v>
      </c>
      <c r="U4" s="128" t="s">
        <v>274</v>
      </c>
      <c r="V4" s="128" t="s">
        <v>343</v>
      </c>
    </row>
    <row r="5" spans="1:22">
      <c r="A5" s="128" t="s">
        <v>276</v>
      </c>
      <c r="B5" s="128" t="s">
        <v>320</v>
      </c>
      <c r="K5" s="128" t="s">
        <v>275</v>
      </c>
      <c r="L5" s="128" t="s">
        <v>355</v>
      </c>
      <c r="U5" s="128" t="s">
        <v>275</v>
      </c>
      <c r="V5" s="128" t="s">
        <v>326</v>
      </c>
    </row>
    <row r="6" ht="18" customHeight="1"/>
    <row r="7" ht="13.5" customHeight="1" spans="1:27">
      <c r="A7" s="129"/>
      <c r="B7" s="129" t="s">
        <v>272</v>
      </c>
      <c r="C7" s="129"/>
      <c r="D7" s="130"/>
      <c r="E7" s="130"/>
      <c r="F7" s="130"/>
      <c r="G7" s="130"/>
      <c r="H7" s="130"/>
      <c r="I7" s="136"/>
      <c r="K7" s="129"/>
      <c r="L7" s="129" t="s">
        <v>276</v>
      </c>
      <c r="M7" s="129"/>
      <c r="N7" s="130"/>
      <c r="O7" s="130"/>
      <c r="P7" s="130"/>
      <c r="Q7" s="130"/>
      <c r="R7" s="130"/>
      <c r="S7" s="136"/>
      <c r="U7" s="129"/>
      <c r="V7" s="129" t="s">
        <v>276</v>
      </c>
      <c r="W7" s="129"/>
      <c r="X7" s="130"/>
      <c r="Y7" s="130"/>
      <c r="Z7" s="130"/>
      <c r="AA7" s="136"/>
    </row>
    <row r="8" ht="13.5" customHeight="1" spans="1:27">
      <c r="A8" s="129"/>
      <c r="B8" s="129" t="s">
        <v>289</v>
      </c>
      <c r="C8" s="131" t="s">
        <v>345</v>
      </c>
      <c r="D8" s="131" t="s">
        <v>346</v>
      </c>
      <c r="E8" s="131" t="s">
        <v>347</v>
      </c>
      <c r="F8" s="131" t="s">
        <v>348</v>
      </c>
      <c r="G8" s="131" t="s">
        <v>349</v>
      </c>
      <c r="H8" s="131" t="s">
        <v>350</v>
      </c>
      <c r="I8" s="137" t="s">
        <v>356</v>
      </c>
      <c r="K8" s="129"/>
      <c r="L8" s="129" t="s">
        <v>90</v>
      </c>
      <c r="M8" s="131" t="s">
        <v>82</v>
      </c>
      <c r="N8" s="131" t="s">
        <v>86</v>
      </c>
      <c r="O8" s="131" t="s">
        <v>97</v>
      </c>
      <c r="P8" s="131" t="s">
        <v>87</v>
      </c>
      <c r="Q8" s="131" t="s">
        <v>149</v>
      </c>
      <c r="R8" s="131" t="s">
        <v>83</v>
      </c>
      <c r="S8" s="137" t="s">
        <v>356</v>
      </c>
      <c r="U8" s="129"/>
      <c r="V8" s="129" t="s">
        <v>93</v>
      </c>
      <c r="W8" s="131" t="s">
        <v>85</v>
      </c>
      <c r="X8" s="131" t="s">
        <v>81</v>
      </c>
      <c r="Y8" s="131" t="s">
        <v>96</v>
      </c>
      <c r="Z8" s="131" t="s">
        <v>160</v>
      </c>
      <c r="AA8" s="137" t="s">
        <v>356</v>
      </c>
    </row>
    <row r="9" ht="13.5" customHeight="1" spans="1:27">
      <c r="A9" s="129" t="s">
        <v>357</v>
      </c>
      <c r="B9" s="129">
        <v>4</v>
      </c>
      <c r="C9" s="131">
        <v>0</v>
      </c>
      <c r="D9" s="131">
        <v>6</v>
      </c>
      <c r="E9" s="131">
        <v>1</v>
      </c>
      <c r="F9" s="131">
        <v>5</v>
      </c>
      <c r="G9" s="131">
        <v>0</v>
      </c>
      <c r="H9" s="131">
        <v>1</v>
      </c>
      <c r="I9" s="137">
        <v>17</v>
      </c>
      <c r="K9" s="129" t="s">
        <v>357</v>
      </c>
      <c r="L9" s="129">
        <v>1</v>
      </c>
      <c r="M9" s="131">
        <v>2</v>
      </c>
      <c r="N9" s="131">
        <v>0</v>
      </c>
      <c r="O9" s="131">
        <v>1</v>
      </c>
      <c r="P9" s="131">
        <v>0</v>
      </c>
      <c r="Q9" s="131">
        <v>0</v>
      </c>
      <c r="R9" s="131">
        <v>1</v>
      </c>
      <c r="S9" s="137">
        <v>5</v>
      </c>
      <c r="U9" s="129" t="s">
        <v>357</v>
      </c>
      <c r="V9" s="129">
        <v>2.02501</v>
      </c>
      <c r="W9" s="131">
        <v>0.346698</v>
      </c>
      <c r="X9" s="131">
        <v>0.079978</v>
      </c>
      <c r="Y9" s="131">
        <v>0</v>
      </c>
      <c r="Z9" s="131">
        <v>0</v>
      </c>
      <c r="AA9" s="137">
        <v>2.451686</v>
      </c>
    </row>
    <row r="10" ht="13.5" customHeight="1" spans="1:27">
      <c r="A10" s="132" t="s">
        <v>358</v>
      </c>
      <c r="B10" s="132">
        <v>6</v>
      </c>
      <c r="C10">
        <v>1</v>
      </c>
      <c r="D10">
        <v>6</v>
      </c>
      <c r="E10">
        <v>1</v>
      </c>
      <c r="F10">
        <v>7</v>
      </c>
      <c r="G10">
        <v>0</v>
      </c>
      <c r="H10">
        <v>2</v>
      </c>
      <c r="I10" s="138">
        <v>23</v>
      </c>
      <c r="K10" s="132" t="s">
        <v>358</v>
      </c>
      <c r="L10" s="132">
        <v>2</v>
      </c>
      <c r="M10">
        <v>0</v>
      </c>
      <c r="N10">
        <v>1</v>
      </c>
      <c r="O10">
        <v>4</v>
      </c>
      <c r="P10">
        <v>2</v>
      </c>
      <c r="Q10">
        <v>0</v>
      </c>
      <c r="R10">
        <v>0</v>
      </c>
      <c r="S10" s="138">
        <v>9</v>
      </c>
      <c r="U10" s="132" t="s">
        <v>358</v>
      </c>
      <c r="V10" s="132">
        <v>2.110069</v>
      </c>
      <c r="W10">
        <v>0.346698</v>
      </c>
      <c r="X10">
        <v>0.079978</v>
      </c>
      <c r="Y10">
        <v>0.334588</v>
      </c>
      <c r="Z10">
        <v>0</v>
      </c>
      <c r="AA10" s="138">
        <v>2.871333</v>
      </c>
    </row>
    <row r="11" ht="13.5" customHeight="1" spans="1:27">
      <c r="A11" s="132" t="s">
        <v>359</v>
      </c>
      <c r="B11" s="132">
        <v>7</v>
      </c>
      <c r="C11">
        <v>1</v>
      </c>
      <c r="D11">
        <v>7</v>
      </c>
      <c r="E11">
        <v>1</v>
      </c>
      <c r="F11">
        <v>9</v>
      </c>
      <c r="G11">
        <v>1</v>
      </c>
      <c r="H11">
        <v>8</v>
      </c>
      <c r="I11" s="138">
        <v>34</v>
      </c>
      <c r="K11" s="132" t="s">
        <v>359</v>
      </c>
      <c r="L11" s="132">
        <v>4</v>
      </c>
      <c r="M11">
        <v>3</v>
      </c>
      <c r="N11">
        <v>1</v>
      </c>
      <c r="O11">
        <v>5</v>
      </c>
      <c r="P11">
        <v>4</v>
      </c>
      <c r="Q11">
        <v>0</v>
      </c>
      <c r="R11">
        <v>2</v>
      </c>
      <c r="S11" s="138">
        <v>19</v>
      </c>
      <c r="U11" s="132" t="s">
        <v>359</v>
      </c>
      <c r="V11" s="132">
        <v>2.112774</v>
      </c>
      <c r="W11">
        <v>0.346698</v>
      </c>
      <c r="X11">
        <v>0.079978</v>
      </c>
      <c r="Y11">
        <v>0.366323</v>
      </c>
      <c r="Z11">
        <v>0</v>
      </c>
      <c r="AA11" s="138">
        <v>2.905773</v>
      </c>
    </row>
    <row r="12" ht="13.5" customHeight="1" spans="1:27">
      <c r="A12" s="132" t="s">
        <v>360</v>
      </c>
      <c r="B12" s="132">
        <v>12</v>
      </c>
      <c r="C12">
        <v>1</v>
      </c>
      <c r="D12">
        <v>15</v>
      </c>
      <c r="E12">
        <v>2</v>
      </c>
      <c r="F12">
        <v>11</v>
      </c>
      <c r="G12">
        <v>1</v>
      </c>
      <c r="H12">
        <v>9</v>
      </c>
      <c r="I12" s="138">
        <v>51</v>
      </c>
      <c r="K12" s="132" t="s">
        <v>360</v>
      </c>
      <c r="L12" s="132">
        <v>2</v>
      </c>
      <c r="M12">
        <v>5</v>
      </c>
      <c r="N12">
        <v>1</v>
      </c>
      <c r="O12">
        <v>4</v>
      </c>
      <c r="P12">
        <v>3</v>
      </c>
      <c r="Q12">
        <v>0</v>
      </c>
      <c r="R12">
        <v>2</v>
      </c>
      <c r="S12" s="138">
        <v>17</v>
      </c>
      <c r="U12" s="132" t="s">
        <v>360</v>
      </c>
      <c r="V12" s="132">
        <v>2.130488</v>
      </c>
      <c r="W12">
        <v>0.454772</v>
      </c>
      <c r="X12">
        <v>0.080596</v>
      </c>
      <c r="Y12">
        <v>0.366323</v>
      </c>
      <c r="Z12">
        <v>0</v>
      </c>
      <c r="AA12" s="138">
        <v>3.032179</v>
      </c>
    </row>
    <row r="13" ht="13.5" customHeight="1" spans="1:27">
      <c r="A13" s="132" t="s">
        <v>361</v>
      </c>
      <c r="B13" s="132">
        <v>17</v>
      </c>
      <c r="C13">
        <v>1</v>
      </c>
      <c r="D13">
        <v>18</v>
      </c>
      <c r="E13">
        <v>2</v>
      </c>
      <c r="F13">
        <v>16</v>
      </c>
      <c r="G13">
        <v>1</v>
      </c>
      <c r="H13">
        <v>11</v>
      </c>
      <c r="I13" s="138">
        <v>66</v>
      </c>
      <c r="K13" s="132" t="s">
        <v>361</v>
      </c>
      <c r="L13" s="132">
        <v>2</v>
      </c>
      <c r="M13">
        <v>3</v>
      </c>
      <c r="N13">
        <v>1</v>
      </c>
      <c r="O13">
        <v>2</v>
      </c>
      <c r="P13">
        <v>0</v>
      </c>
      <c r="Q13">
        <v>0</v>
      </c>
      <c r="R13">
        <v>1</v>
      </c>
      <c r="S13" s="138">
        <v>9</v>
      </c>
      <c r="U13" s="132" t="s">
        <v>361</v>
      </c>
      <c r="V13" s="132">
        <v>2.291459</v>
      </c>
      <c r="W13">
        <v>4.45219</v>
      </c>
      <c r="X13">
        <v>0.121925</v>
      </c>
      <c r="Y13">
        <v>0.366323</v>
      </c>
      <c r="Z13">
        <v>0.018914</v>
      </c>
      <c r="AA13" s="138">
        <v>7.250811</v>
      </c>
    </row>
    <row r="14" ht="13.5" customHeight="1" spans="1:27">
      <c r="A14" s="132" t="s">
        <v>362</v>
      </c>
      <c r="B14" s="132">
        <v>19</v>
      </c>
      <c r="C14">
        <v>1</v>
      </c>
      <c r="D14">
        <v>21</v>
      </c>
      <c r="E14">
        <v>4</v>
      </c>
      <c r="F14">
        <v>21</v>
      </c>
      <c r="G14">
        <v>1</v>
      </c>
      <c r="H14">
        <v>12</v>
      </c>
      <c r="I14" s="138">
        <v>79</v>
      </c>
      <c r="K14" s="132" t="s">
        <v>362</v>
      </c>
      <c r="L14" s="132">
        <v>1</v>
      </c>
      <c r="M14">
        <v>4</v>
      </c>
      <c r="N14">
        <v>1</v>
      </c>
      <c r="O14">
        <v>2</v>
      </c>
      <c r="P14">
        <v>3</v>
      </c>
      <c r="Q14">
        <v>0</v>
      </c>
      <c r="R14">
        <v>1</v>
      </c>
      <c r="S14" s="138">
        <v>12</v>
      </c>
      <c r="U14" s="132" t="s">
        <v>362</v>
      </c>
      <c r="V14" s="132">
        <v>2.689123</v>
      </c>
      <c r="W14">
        <v>4.453679</v>
      </c>
      <c r="X14">
        <v>0.131441</v>
      </c>
      <c r="Y14">
        <v>0.529757000000001</v>
      </c>
      <c r="Z14">
        <v>0.018914</v>
      </c>
      <c r="AA14" s="138">
        <v>7.822914</v>
      </c>
    </row>
    <row r="15" ht="13.5" customHeight="1" spans="1:27">
      <c r="A15" s="132" t="s">
        <v>363</v>
      </c>
      <c r="B15" s="132">
        <v>25</v>
      </c>
      <c r="C15">
        <v>1</v>
      </c>
      <c r="D15">
        <v>25</v>
      </c>
      <c r="E15">
        <v>5</v>
      </c>
      <c r="F15">
        <v>24</v>
      </c>
      <c r="G15">
        <v>2</v>
      </c>
      <c r="H15">
        <v>13</v>
      </c>
      <c r="I15" s="138">
        <v>95</v>
      </c>
      <c r="K15" s="132" t="s">
        <v>363</v>
      </c>
      <c r="L15" s="132">
        <v>4</v>
      </c>
      <c r="M15">
        <v>5</v>
      </c>
      <c r="N15">
        <v>2</v>
      </c>
      <c r="O15">
        <v>3</v>
      </c>
      <c r="P15">
        <v>7</v>
      </c>
      <c r="Q15">
        <v>1</v>
      </c>
      <c r="R15">
        <v>2</v>
      </c>
      <c r="S15" s="138">
        <v>24</v>
      </c>
      <c r="U15" s="132" t="s">
        <v>363</v>
      </c>
      <c r="V15" s="132">
        <v>2.772868</v>
      </c>
      <c r="W15">
        <v>4.677412</v>
      </c>
      <c r="X15">
        <v>0.216809</v>
      </c>
      <c r="Y15">
        <v>0.529757000000001</v>
      </c>
      <c r="Z15">
        <v>0.018914</v>
      </c>
      <c r="AA15" s="138">
        <v>8.21576</v>
      </c>
    </row>
    <row r="16" ht="13.5" customHeight="1" spans="1:27">
      <c r="A16" s="132" t="s">
        <v>364</v>
      </c>
      <c r="B16" s="132">
        <v>29</v>
      </c>
      <c r="C16">
        <v>1</v>
      </c>
      <c r="D16">
        <v>31</v>
      </c>
      <c r="E16">
        <v>6</v>
      </c>
      <c r="F16">
        <v>32</v>
      </c>
      <c r="G16">
        <v>4</v>
      </c>
      <c r="H16">
        <v>16</v>
      </c>
      <c r="I16" s="138">
        <v>119</v>
      </c>
      <c r="K16" s="132" t="s">
        <v>364</v>
      </c>
      <c r="L16" s="132">
        <v>3</v>
      </c>
      <c r="M16">
        <v>4</v>
      </c>
      <c r="N16">
        <v>3</v>
      </c>
      <c r="O16">
        <v>3</v>
      </c>
      <c r="P16">
        <v>4</v>
      </c>
      <c r="Q16">
        <v>0</v>
      </c>
      <c r="R16">
        <v>2</v>
      </c>
      <c r="S16" s="138">
        <v>19</v>
      </c>
      <c r="U16" s="132" t="s">
        <v>364</v>
      </c>
      <c r="V16" s="132">
        <v>3.586044</v>
      </c>
      <c r="W16">
        <v>4.812615</v>
      </c>
      <c r="X16">
        <v>0.269204</v>
      </c>
      <c r="Y16">
        <v>0.529757000000001</v>
      </c>
      <c r="Z16">
        <v>0.051395</v>
      </c>
      <c r="AA16" s="138">
        <v>9.249015</v>
      </c>
    </row>
    <row r="17" ht="13.5" customHeight="1" spans="1:27">
      <c r="A17" s="132" t="s">
        <v>365</v>
      </c>
      <c r="B17" s="132">
        <v>33</v>
      </c>
      <c r="C17">
        <v>2</v>
      </c>
      <c r="D17">
        <v>35</v>
      </c>
      <c r="E17">
        <v>9</v>
      </c>
      <c r="F17">
        <v>37</v>
      </c>
      <c r="G17">
        <v>6</v>
      </c>
      <c r="H17">
        <v>16</v>
      </c>
      <c r="I17" s="138">
        <v>138</v>
      </c>
      <c r="K17" s="132" t="s">
        <v>365</v>
      </c>
      <c r="L17" s="132">
        <v>8</v>
      </c>
      <c r="M17">
        <v>5</v>
      </c>
      <c r="N17">
        <v>3</v>
      </c>
      <c r="O17">
        <v>2</v>
      </c>
      <c r="P17">
        <v>6</v>
      </c>
      <c r="Q17">
        <v>0</v>
      </c>
      <c r="R17">
        <v>6</v>
      </c>
      <c r="S17" s="138">
        <v>30</v>
      </c>
      <c r="U17" s="132" t="s">
        <v>365</v>
      </c>
      <c r="V17" s="132">
        <v>3.981362</v>
      </c>
      <c r="W17">
        <v>4.817577</v>
      </c>
      <c r="X17">
        <v>0.342941</v>
      </c>
      <c r="Y17">
        <v>0.529757000000001</v>
      </c>
      <c r="Z17">
        <v>0.051395</v>
      </c>
      <c r="AA17" s="138">
        <v>9.723032</v>
      </c>
    </row>
    <row r="18" ht="13.5" customHeight="1" spans="1:27">
      <c r="A18" s="132" t="s">
        <v>366</v>
      </c>
      <c r="B18" s="132">
        <v>34</v>
      </c>
      <c r="C18">
        <v>5</v>
      </c>
      <c r="D18">
        <v>39</v>
      </c>
      <c r="E18">
        <v>9</v>
      </c>
      <c r="F18">
        <v>42</v>
      </c>
      <c r="G18">
        <v>8</v>
      </c>
      <c r="H18">
        <v>19</v>
      </c>
      <c r="I18" s="138">
        <v>156</v>
      </c>
      <c r="K18" s="132" t="s">
        <v>366</v>
      </c>
      <c r="L18" s="132">
        <v>3</v>
      </c>
      <c r="M18">
        <v>7</v>
      </c>
      <c r="N18">
        <v>6</v>
      </c>
      <c r="O18">
        <v>6</v>
      </c>
      <c r="P18">
        <v>6</v>
      </c>
      <c r="Q18">
        <v>0</v>
      </c>
      <c r="R18">
        <v>4</v>
      </c>
      <c r="S18" s="138">
        <v>32</v>
      </c>
      <c r="U18" s="132" t="s">
        <v>366</v>
      </c>
      <c r="V18" s="132">
        <v>4.047463</v>
      </c>
      <c r="W18">
        <v>4.896077</v>
      </c>
      <c r="X18">
        <v>0.355944</v>
      </c>
      <c r="Y18">
        <v>0.529757000000001</v>
      </c>
      <c r="Z18">
        <v>0.051395</v>
      </c>
      <c r="AA18" s="138">
        <v>9.880636</v>
      </c>
    </row>
    <row r="19" ht="13.5" customHeight="1" spans="1:27">
      <c r="A19" s="132" t="s">
        <v>367</v>
      </c>
      <c r="B19" s="132">
        <v>40</v>
      </c>
      <c r="C19">
        <v>5</v>
      </c>
      <c r="D19">
        <v>41</v>
      </c>
      <c r="E19">
        <v>10</v>
      </c>
      <c r="F19">
        <v>43</v>
      </c>
      <c r="G19">
        <v>9</v>
      </c>
      <c r="H19">
        <v>21</v>
      </c>
      <c r="I19" s="138">
        <v>169</v>
      </c>
      <c r="K19" s="132" t="s">
        <v>367</v>
      </c>
      <c r="L19" s="132">
        <v>5</v>
      </c>
      <c r="M19">
        <v>11</v>
      </c>
      <c r="N19">
        <v>11</v>
      </c>
      <c r="O19">
        <v>10</v>
      </c>
      <c r="P19">
        <v>9</v>
      </c>
      <c r="Q19">
        <v>0</v>
      </c>
      <c r="R19">
        <v>5</v>
      </c>
      <c r="S19" s="138">
        <v>51</v>
      </c>
      <c r="U19" s="132" t="s">
        <v>367</v>
      </c>
      <c r="V19" s="132">
        <v>4.216098</v>
      </c>
      <c r="W19">
        <v>4.968803</v>
      </c>
      <c r="X19">
        <v>0.394006</v>
      </c>
      <c r="Y19">
        <v>0.529757000000001</v>
      </c>
      <c r="Z19">
        <v>0.051395</v>
      </c>
      <c r="AA19" s="138">
        <v>10.160059</v>
      </c>
    </row>
    <row r="20" ht="13.5" customHeight="1" spans="1:27">
      <c r="A20" s="133" t="s">
        <v>368</v>
      </c>
      <c r="B20" s="133">
        <v>42</v>
      </c>
      <c r="C20" s="134">
        <v>5</v>
      </c>
      <c r="D20" s="134">
        <v>46</v>
      </c>
      <c r="E20" s="134">
        <v>10</v>
      </c>
      <c r="F20" s="134">
        <v>48</v>
      </c>
      <c r="G20" s="134">
        <v>9</v>
      </c>
      <c r="H20" s="134">
        <v>21</v>
      </c>
      <c r="I20" s="139">
        <v>181</v>
      </c>
      <c r="K20" s="133" t="s">
        <v>368</v>
      </c>
      <c r="L20" s="133">
        <v>12</v>
      </c>
      <c r="M20" s="134">
        <v>13</v>
      </c>
      <c r="N20" s="134">
        <v>8</v>
      </c>
      <c r="O20" s="134">
        <v>8</v>
      </c>
      <c r="P20" s="134">
        <v>15</v>
      </c>
      <c r="Q20" s="134">
        <v>0</v>
      </c>
      <c r="R20" s="134">
        <v>9</v>
      </c>
      <c r="S20" s="139">
        <v>65</v>
      </c>
      <c r="U20" s="133" t="s">
        <v>368</v>
      </c>
      <c r="V20" s="133">
        <v>4.224302</v>
      </c>
      <c r="W20" s="134">
        <v>6.089119</v>
      </c>
      <c r="X20" s="134">
        <v>0.395135</v>
      </c>
      <c r="Y20" s="134">
        <v>0.529757000000001</v>
      </c>
      <c r="Z20" s="134">
        <v>0.051395</v>
      </c>
      <c r="AA20" s="139">
        <v>11.289708</v>
      </c>
    </row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spans="1:22">
      <c r="A36" s="128" t="s">
        <v>273</v>
      </c>
      <c r="B36" s="128" t="s">
        <v>308</v>
      </c>
      <c r="C36" s="135"/>
      <c r="D36" s="135"/>
      <c r="E36" s="135"/>
      <c r="F36" s="135"/>
      <c r="G36" s="135"/>
      <c r="H36" s="135"/>
      <c r="I36" s="135"/>
      <c r="K36" s="128" t="s">
        <v>272</v>
      </c>
      <c r="L36" s="128" t="s">
        <v>354</v>
      </c>
      <c r="M36" s="135"/>
      <c r="N36" s="135"/>
      <c r="O36" s="135"/>
      <c r="P36" s="135"/>
      <c r="Q36" s="135"/>
      <c r="R36" s="135"/>
      <c r="U36" s="128" t="s">
        <v>272</v>
      </c>
      <c r="V36" s="128" t="s">
        <v>354</v>
      </c>
    </row>
    <row r="37" spans="1:28">
      <c r="A37" s="128" t="s">
        <v>274</v>
      </c>
      <c r="B37" s="128" t="s">
        <v>309</v>
      </c>
      <c r="C37" s="135"/>
      <c r="D37" s="135"/>
      <c r="E37" s="135"/>
      <c r="F37" s="135"/>
      <c r="G37" s="135"/>
      <c r="H37" s="135"/>
      <c r="I37" s="135"/>
      <c r="K37" s="128" t="s">
        <v>273</v>
      </c>
      <c r="L37" s="128" t="s">
        <v>299</v>
      </c>
      <c r="M37" s="135"/>
      <c r="N37" s="135"/>
      <c r="O37" s="135"/>
      <c r="P37" s="135"/>
      <c r="Q37" s="135"/>
      <c r="R37" s="135"/>
      <c r="U37" s="128" t="s">
        <v>273</v>
      </c>
      <c r="V37" s="128" t="s">
        <v>299</v>
      </c>
      <c r="W37" s="135"/>
      <c r="X37" s="135"/>
      <c r="Y37" s="135"/>
      <c r="Z37" s="135"/>
      <c r="AA37" s="135"/>
      <c r="AB37" s="135"/>
    </row>
    <row r="38" spans="1:28">
      <c r="A38" s="128" t="s">
        <v>275</v>
      </c>
      <c r="B38" s="128" t="s">
        <v>292</v>
      </c>
      <c r="C38" s="135"/>
      <c r="D38" s="135"/>
      <c r="E38" s="135"/>
      <c r="F38" s="135"/>
      <c r="G38" s="135"/>
      <c r="H38" s="135"/>
      <c r="I38" s="135"/>
      <c r="K38" s="128" t="s">
        <v>274</v>
      </c>
      <c r="L38" s="128" t="s">
        <v>316</v>
      </c>
      <c r="M38" s="135"/>
      <c r="N38" s="135"/>
      <c r="O38" s="135"/>
      <c r="P38" s="135"/>
      <c r="Q38" s="135"/>
      <c r="R38" s="135"/>
      <c r="U38" s="128" t="s">
        <v>274</v>
      </c>
      <c r="V38" s="128" t="s">
        <v>343</v>
      </c>
      <c r="W38" s="135"/>
      <c r="X38" s="135"/>
      <c r="Y38" s="135"/>
      <c r="Z38" s="135"/>
      <c r="AA38" s="135"/>
      <c r="AB38" s="135"/>
    </row>
    <row r="39" spans="1:28">
      <c r="A39" s="128" t="s">
        <v>276</v>
      </c>
      <c r="B39" s="128" t="s">
        <v>310</v>
      </c>
      <c r="C39" s="135"/>
      <c r="D39" s="135"/>
      <c r="E39" s="135"/>
      <c r="F39" s="135"/>
      <c r="G39" s="135"/>
      <c r="H39" s="135"/>
      <c r="I39" s="135"/>
      <c r="K39" s="128" t="s">
        <v>275</v>
      </c>
      <c r="L39" s="128" t="s">
        <v>355</v>
      </c>
      <c r="M39" s="135"/>
      <c r="N39" s="135"/>
      <c r="O39" s="135"/>
      <c r="P39" s="135"/>
      <c r="Q39" s="135"/>
      <c r="R39" s="135"/>
      <c r="U39" s="128" t="s">
        <v>275</v>
      </c>
      <c r="V39" s="128" t="s">
        <v>294</v>
      </c>
      <c r="W39" s="135"/>
      <c r="X39" s="135"/>
      <c r="Y39" s="135"/>
      <c r="Z39" s="135"/>
      <c r="AA39" s="135"/>
      <c r="AB39" s="135"/>
    </row>
    <row r="40" ht="18" customHeight="1" spans="1:28">
      <c r="A40" s="135"/>
      <c r="B40" s="135"/>
      <c r="C40" s="135"/>
      <c r="D40" s="135"/>
      <c r="E40" s="135"/>
      <c r="F40" s="135"/>
      <c r="G40" s="135"/>
      <c r="H40" s="135"/>
      <c r="I40" s="135"/>
      <c r="K40" s="135"/>
      <c r="L40" s="135"/>
      <c r="M40" s="135"/>
      <c r="N40" s="135"/>
      <c r="O40" s="135"/>
      <c r="P40" s="135"/>
      <c r="Q40" s="135"/>
      <c r="R40" s="135"/>
      <c r="U40" s="135"/>
      <c r="V40" s="135"/>
      <c r="W40" s="135"/>
      <c r="X40" s="135"/>
      <c r="Y40" s="135"/>
      <c r="Z40" s="135"/>
      <c r="AA40" s="135"/>
      <c r="AB40" s="135"/>
    </row>
    <row r="41" ht="13.5" customHeight="1" spans="1:27">
      <c r="A41" s="129"/>
      <c r="B41" s="129" t="s">
        <v>272</v>
      </c>
      <c r="C41" s="129"/>
      <c r="D41" s="130"/>
      <c r="E41" s="130"/>
      <c r="F41" s="130"/>
      <c r="G41" s="130"/>
      <c r="H41" s="130"/>
      <c r="I41" s="136"/>
      <c r="K41" s="129"/>
      <c r="L41" s="129" t="s">
        <v>276</v>
      </c>
      <c r="M41" s="129"/>
      <c r="N41" s="130"/>
      <c r="O41" s="130"/>
      <c r="P41" s="130"/>
      <c r="Q41" s="130"/>
      <c r="R41" s="130"/>
      <c r="S41" s="136"/>
      <c r="T41" s="135"/>
      <c r="U41" s="129"/>
      <c r="V41" s="129" t="s">
        <v>276</v>
      </c>
      <c r="W41" s="129"/>
      <c r="X41" s="130"/>
      <c r="Y41" s="130"/>
      <c r="Z41" s="130"/>
      <c r="AA41" s="136"/>
    </row>
    <row r="42" ht="13.5" customHeight="1" spans="1:27">
      <c r="A42" s="129"/>
      <c r="B42" s="129" t="s">
        <v>289</v>
      </c>
      <c r="C42" s="131" t="s">
        <v>345</v>
      </c>
      <c r="D42" s="131" t="s">
        <v>346</v>
      </c>
      <c r="E42" s="131" t="s">
        <v>347</v>
      </c>
      <c r="F42" s="131" t="s">
        <v>348</v>
      </c>
      <c r="G42" s="131" t="s">
        <v>349</v>
      </c>
      <c r="H42" s="131" t="s">
        <v>350</v>
      </c>
      <c r="I42" s="137" t="s">
        <v>356</v>
      </c>
      <c r="K42" s="129"/>
      <c r="L42" s="129" t="s">
        <v>90</v>
      </c>
      <c r="M42" s="131" t="s">
        <v>82</v>
      </c>
      <c r="N42" s="131" t="s">
        <v>86</v>
      </c>
      <c r="O42" s="131" t="s">
        <v>97</v>
      </c>
      <c r="P42" s="131" t="s">
        <v>87</v>
      </c>
      <c r="Q42" s="131" t="s">
        <v>149</v>
      </c>
      <c r="R42" s="131" t="s">
        <v>83</v>
      </c>
      <c r="S42" s="137" t="s">
        <v>356</v>
      </c>
      <c r="T42" s="135"/>
      <c r="U42" s="129"/>
      <c r="V42" s="129" t="s">
        <v>93</v>
      </c>
      <c r="W42" s="131" t="s">
        <v>85</v>
      </c>
      <c r="X42" s="131" t="s">
        <v>81</v>
      </c>
      <c r="Y42" s="131" t="s">
        <v>96</v>
      </c>
      <c r="Z42" s="131" t="s">
        <v>160</v>
      </c>
      <c r="AA42" s="137" t="s">
        <v>356</v>
      </c>
    </row>
    <row r="43" ht="13.5" customHeight="1" spans="1:27">
      <c r="A43" s="129" t="s">
        <v>357</v>
      </c>
      <c r="B43" s="129">
        <v>2</v>
      </c>
      <c r="C43" s="131">
        <v>1</v>
      </c>
      <c r="D43" s="131">
        <v>0</v>
      </c>
      <c r="E43" s="131">
        <v>0</v>
      </c>
      <c r="F43" s="131">
        <v>0</v>
      </c>
      <c r="G43" s="131">
        <v>0</v>
      </c>
      <c r="H43" s="131">
        <v>0</v>
      </c>
      <c r="I43" s="137">
        <v>3</v>
      </c>
      <c r="K43" s="129" t="s">
        <v>357</v>
      </c>
      <c r="L43" s="129">
        <v>3</v>
      </c>
      <c r="M43" s="131">
        <v>6</v>
      </c>
      <c r="N43" s="131">
        <v>7</v>
      </c>
      <c r="O43" s="131">
        <v>4</v>
      </c>
      <c r="P43" s="131">
        <v>3</v>
      </c>
      <c r="Q43" s="131">
        <v>0</v>
      </c>
      <c r="R43" s="131">
        <v>2</v>
      </c>
      <c r="S43" s="137">
        <v>25</v>
      </c>
      <c r="T43" s="135"/>
      <c r="U43" s="129" t="s">
        <v>357</v>
      </c>
      <c r="V43" s="129">
        <v>16.785256</v>
      </c>
      <c r="W43" s="131">
        <v>5.412033</v>
      </c>
      <c r="X43" s="131">
        <v>1.8396</v>
      </c>
      <c r="Y43" s="131">
        <v>0.0947</v>
      </c>
      <c r="Z43" s="131">
        <v>0</v>
      </c>
      <c r="AA43" s="137">
        <v>24.131589</v>
      </c>
    </row>
    <row r="44" ht="13.5" customHeight="1" spans="1:27">
      <c r="A44" s="132" t="s">
        <v>358</v>
      </c>
      <c r="B44" s="132">
        <v>1</v>
      </c>
      <c r="C44">
        <v>0</v>
      </c>
      <c r="D44">
        <v>1</v>
      </c>
      <c r="E44">
        <v>0</v>
      </c>
      <c r="F44">
        <v>1</v>
      </c>
      <c r="G44">
        <v>1</v>
      </c>
      <c r="H44">
        <v>2</v>
      </c>
      <c r="I44" s="138">
        <v>6</v>
      </c>
      <c r="K44" s="132" t="s">
        <v>358</v>
      </c>
      <c r="L44" s="132">
        <v>5</v>
      </c>
      <c r="M44">
        <v>9</v>
      </c>
      <c r="N44">
        <v>8</v>
      </c>
      <c r="O44">
        <v>7</v>
      </c>
      <c r="P44">
        <v>3</v>
      </c>
      <c r="Q44">
        <v>0</v>
      </c>
      <c r="R44">
        <v>3</v>
      </c>
      <c r="S44" s="138">
        <v>35</v>
      </c>
      <c r="T44" s="135"/>
      <c r="U44" s="132" t="s">
        <v>358</v>
      </c>
      <c r="V44" s="132">
        <v>21.68142</v>
      </c>
      <c r="W44">
        <v>6.205402</v>
      </c>
      <c r="X44">
        <v>1.8396</v>
      </c>
      <c r="Y44">
        <v>8.6879</v>
      </c>
      <c r="Z44">
        <v>0</v>
      </c>
      <c r="AA44" s="138">
        <v>38.414322</v>
      </c>
    </row>
    <row r="45" ht="13.5" customHeight="1" spans="1:27">
      <c r="A45" s="132" t="s">
        <v>359</v>
      </c>
      <c r="B45" s="132">
        <v>4</v>
      </c>
      <c r="C45">
        <v>0</v>
      </c>
      <c r="D45">
        <v>6</v>
      </c>
      <c r="E45">
        <v>0</v>
      </c>
      <c r="F45">
        <v>1</v>
      </c>
      <c r="G45">
        <v>0</v>
      </c>
      <c r="H45">
        <v>0</v>
      </c>
      <c r="I45" s="138">
        <v>11</v>
      </c>
      <c r="K45" s="132" t="s">
        <v>359</v>
      </c>
      <c r="L45" s="132">
        <v>8</v>
      </c>
      <c r="M45">
        <v>12</v>
      </c>
      <c r="N45">
        <v>9</v>
      </c>
      <c r="O45">
        <v>12</v>
      </c>
      <c r="P45">
        <v>6</v>
      </c>
      <c r="Q45">
        <v>2</v>
      </c>
      <c r="R45">
        <v>3</v>
      </c>
      <c r="S45" s="138">
        <v>52</v>
      </c>
      <c r="T45" s="135"/>
      <c r="U45" s="132" t="s">
        <v>359</v>
      </c>
      <c r="V45" s="132">
        <v>23.79109621</v>
      </c>
      <c r="W45">
        <v>7.113226</v>
      </c>
      <c r="X45">
        <v>2.769864</v>
      </c>
      <c r="Y45">
        <v>8.790554</v>
      </c>
      <c r="Z45">
        <v>0</v>
      </c>
      <c r="AA45" s="138">
        <v>42.46474021</v>
      </c>
    </row>
    <row r="46" ht="13.5" customHeight="1" spans="1:27">
      <c r="A46" s="132" t="s">
        <v>360</v>
      </c>
      <c r="B46" s="132">
        <v>4</v>
      </c>
      <c r="C46">
        <v>0</v>
      </c>
      <c r="D46">
        <v>3</v>
      </c>
      <c r="E46">
        <v>0</v>
      </c>
      <c r="F46">
        <v>3</v>
      </c>
      <c r="G46">
        <v>0</v>
      </c>
      <c r="H46">
        <v>0</v>
      </c>
      <c r="I46" s="138">
        <v>10</v>
      </c>
      <c r="K46" s="132" t="s">
        <v>360</v>
      </c>
      <c r="L46" s="132">
        <v>15</v>
      </c>
      <c r="M46">
        <v>16</v>
      </c>
      <c r="N46">
        <v>11</v>
      </c>
      <c r="O46">
        <v>19</v>
      </c>
      <c r="P46">
        <v>12</v>
      </c>
      <c r="Q46">
        <v>2</v>
      </c>
      <c r="R46">
        <v>6</v>
      </c>
      <c r="S46" s="138">
        <v>81</v>
      </c>
      <c r="T46" s="135"/>
      <c r="U46" s="132" t="s">
        <v>360</v>
      </c>
      <c r="V46" s="132">
        <v>42.76270921</v>
      </c>
      <c r="W46">
        <v>11.068695</v>
      </c>
      <c r="X46">
        <v>3.86005</v>
      </c>
      <c r="Y46">
        <v>9.390528</v>
      </c>
      <c r="Z46">
        <v>0</v>
      </c>
      <c r="AA46" s="138">
        <v>67.08198221</v>
      </c>
    </row>
    <row r="47" ht="13.5" customHeight="1" spans="1:27">
      <c r="A47" s="132" t="s">
        <v>361</v>
      </c>
      <c r="B47" s="132">
        <v>0</v>
      </c>
      <c r="C47">
        <v>0</v>
      </c>
      <c r="D47">
        <v>1</v>
      </c>
      <c r="E47">
        <v>1</v>
      </c>
      <c r="F47">
        <v>3</v>
      </c>
      <c r="G47">
        <v>0</v>
      </c>
      <c r="H47">
        <v>1</v>
      </c>
      <c r="I47" s="138">
        <v>6</v>
      </c>
      <c r="K47" s="132" t="s">
        <v>361</v>
      </c>
      <c r="L47" s="132">
        <v>18</v>
      </c>
      <c r="M47">
        <v>22</v>
      </c>
      <c r="N47">
        <v>15</v>
      </c>
      <c r="O47">
        <v>25</v>
      </c>
      <c r="P47">
        <v>16</v>
      </c>
      <c r="Q47">
        <v>2</v>
      </c>
      <c r="R47">
        <v>8</v>
      </c>
      <c r="S47" s="138">
        <v>106</v>
      </c>
      <c r="T47" s="135"/>
      <c r="U47" s="132" t="s">
        <v>361</v>
      </c>
      <c r="V47" s="132">
        <v>51.87496321</v>
      </c>
      <c r="W47">
        <v>18.080601</v>
      </c>
      <c r="X47">
        <v>5.427764</v>
      </c>
      <c r="Y47">
        <v>9.390528</v>
      </c>
      <c r="Z47">
        <v>0.615324</v>
      </c>
      <c r="AA47" s="138">
        <v>85.38918021</v>
      </c>
    </row>
    <row r="48" ht="13.5" customHeight="1" spans="1:27">
      <c r="A48" s="132" t="s">
        <v>362</v>
      </c>
      <c r="B48" s="132">
        <v>3</v>
      </c>
      <c r="C48">
        <v>0</v>
      </c>
      <c r="D48">
        <v>1</v>
      </c>
      <c r="E48">
        <v>0</v>
      </c>
      <c r="F48">
        <v>3</v>
      </c>
      <c r="G48">
        <v>0</v>
      </c>
      <c r="H48">
        <v>0</v>
      </c>
      <c r="I48" s="138">
        <v>7</v>
      </c>
      <c r="K48" s="132" t="s">
        <v>362</v>
      </c>
      <c r="L48" s="132">
        <v>23</v>
      </c>
      <c r="M48">
        <v>26</v>
      </c>
      <c r="N48">
        <v>18</v>
      </c>
      <c r="O48">
        <v>31</v>
      </c>
      <c r="P48">
        <v>17</v>
      </c>
      <c r="Q48">
        <v>3</v>
      </c>
      <c r="R48">
        <v>10</v>
      </c>
      <c r="S48" s="138">
        <v>128</v>
      </c>
      <c r="T48" s="135"/>
      <c r="U48" s="132" t="s">
        <v>362</v>
      </c>
      <c r="V48" s="132">
        <v>64.64868521</v>
      </c>
      <c r="W48">
        <v>21.012062</v>
      </c>
      <c r="X48">
        <v>6.026794</v>
      </c>
      <c r="Y48">
        <v>17.792232</v>
      </c>
      <c r="Z48">
        <v>0.615324</v>
      </c>
      <c r="AA48" s="138">
        <v>110.09509721</v>
      </c>
    </row>
    <row r="49" ht="13.5" customHeight="1" spans="1:27">
      <c r="A49" s="132" t="s">
        <v>363</v>
      </c>
      <c r="B49" s="132">
        <v>3</v>
      </c>
      <c r="C49">
        <v>0</v>
      </c>
      <c r="D49">
        <v>3</v>
      </c>
      <c r="E49">
        <v>1</v>
      </c>
      <c r="F49">
        <v>5</v>
      </c>
      <c r="G49">
        <v>1</v>
      </c>
      <c r="H49">
        <v>0</v>
      </c>
      <c r="I49" s="138">
        <v>13</v>
      </c>
      <c r="K49" s="132" t="s">
        <v>363</v>
      </c>
      <c r="L49" s="132">
        <v>26</v>
      </c>
      <c r="M49">
        <v>32</v>
      </c>
      <c r="N49">
        <v>22</v>
      </c>
      <c r="O49">
        <v>33</v>
      </c>
      <c r="P49">
        <v>25</v>
      </c>
      <c r="Q49">
        <v>3</v>
      </c>
      <c r="R49">
        <v>11</v>
      </c>
      <c r="S49" s="138">
        <v>152</v>
      </c>
      <c r="T49" s="135"/>
      <c r="U49" s="132" t="s">
        <v>363</v>
      </c>
      <c r="V49" s="132">
        <v>68.77390821</v>
      </c>
      <c r="W49">
        <v>26.61987</v>
      </c>
      <c r="X49">
        <v>7.569236</v>
      </c>
      <c r="Y49">
        <v>18.63791</v>
      </c>
      <c r="Z49">
        <v>0.615324</v>
      </c>
      <c r="AA49" s="138">
        <v>122.21624821</v>
      </c>
    </row>
    <row r="50" ht="13.5" customHeight="1" spans="1:27">
      <c r="A50" s="132" t="s">
        <v>364</v>
      </c>
      <c r="B50" s="132">
        <v>4</v>
      </c>
      <c r="C50">
        <v>2</v>
      </c>
      <c r="D50">
        <v>2</v>
      </c>
      <c r="E50">
        <v>0</v>
      </c>
      <c r="F50">
        <v>2</v>
      </c>
      <c r="G50">
        <v>0</v>
      </c>
      <c r="H50">
        <v>0</v>
      </c>
      <c r="I50" s="138">
        <v>10</v>
      </c>
      <c r="K50" s="132" t="s">
        <v>364</v>
      </c>
      <c r="L50" s="132">
        <v>34</v>
      </c>
      <c r="M50">
        <v>40</v>
      </c>
      <c r="N50">
        <v>27</v>
      </c>
      <c r="O50">
        <v>39</v>
      </c>
      <c r="P50">
        <v>37</v>
      </c>
      <c r="Q50">
        <v>4</v>
      </c>
      <c r="R50">
        <v>14</v>
      </c>
      <c r="S50" s="138">
        <v>195</v>
      </c>
      <c r="T50" s="135"/>
      <c r="U50" s="132" t="s">
        <v>364</v>
      </c>
      <c r="V50" s="132">
        <v>83.37433121</v>
      </c>
      <c r="W50">
        <v>31.742807</v>
      </c>
      <c r="X50">
        <v>11.743614</v>
      </c>
      <c r="Y50">
        <v>18.63791</v>
      </c>
      <c r="Z50">
        <v>1.182381</v>
      </c>
      <c r="AA50" s="138">
        <v>146.68104321</v>
      </c>
    </row>
    <row r="51" ht="13.5" customHeight="1" spans="1:27">
      <c r="A51" s="132" t="s">
        <v>365</v>
      </c>
      <c r="B51" s="132">
        <v>5</v>
      </c>
      <c r="C51">
        <v>2</v>
      </c>
      <c r="D51">
        <v>2</v>
      </c>
      <c r="E51">
        <v>0</v>
      </c>
      <c r="F51">
        <v>4</v>
      </c>
      <c r="G51">
        <v>0</v>
      </c>
      <c r="H51">
        <v>4</v>
      </c>
      <c r="I51" s="138">
        <v>17</v>
      </c>
      <c r="K51" s="132" t="s">
        <v>365</v>
      </c>
      <c r="L51" s="132">
        <v>39</v>
      </c>
      <c r="M51">
        <v>47</v>
      </c>
      <c r="N51">
        <v>33</v>
      </c>
      <c r="O51">
        <v>44</v>
      </c>
      <c r="P51">
        <v>46</v>
      </c>
      <c r="Q51">
        <v>4</v>
      </c>
      <c r="R51">
        <v>15</v>
      </c>
      <c r="S51" s="138">
        <v>228</v>
      </c>
      <c r="T51" s="135"/>
      <c r="U51" s="132" t="s">
        <v>365</v>
      </c>
      <c r="V51" s="132">
        <v>99.58308921</v>
      </c>
      <c r="W51">
        <v>34.211973</v>
      </c>
      <c r="X51">
        <v>14.494514</v>
      </c>
      <c r="Y51">
        <v>18.63791</v>
      </c>
      <c r="Z51">
        <v>1.182381</v>
      </c>
      <c r="AA51" s="138">
        <v>168.10986721</v>
      </c>
    </row>
    <row r="52" ht="13.5" customHeight="1" spans="1:27">
      <c r="A52" s="132" t="s">
        <v>366</v>
      </c>
      <c r="B52" s="132">
        <v>11</v>
      </c>
      <c r="C52">
        <v>0</v>
      </c>
      <c r="D52">
        <v>1</v>
      </c>
      <c r="E52">
        <v>1</v>
      </c>
      <c r="F52">
        <v>2</v>
      </c>
      <c r="G52">
        <v>0</v>
      </c>
      <c r="H52">
        <v>2</v>
      </c>
      <c r="I52" s="138">
        <v>17</v>
      </c>
      <c r="K52" s="132" t="s">
        <v>366</v>
      </c>
      <c r="L52" s="132">
        <v>49</v>
      </c>
      <c r="M52">
        <v>52</v>
      </c>
      <c r="N52">
        <v>35</v>
      </c>
      <c r="O52">
        <v>46</v>
      </c>
      <c r="P52">
        <v>50</v>
      </c>
      <c r="Q52">
        <v>4</v>
      </c>
      <c r="R52">
        <v>21</v>
      </c>
      <c r="S52" s="138">
        <v>257</v>
      </c>
      <c r="T52" s="135"/>
      <c r="U52" s="132" t="s">
        <v>366</v>
      </c>
      <c r="V52" s="132">
        <v>102.60144421</v>
      </c>
      <c r="W52">
        <v>38.333687</v>
      </c>
      <c r="X52">
        <v>16.194099</v>
      </c>
      <c r="Y52">
        <v>18.63791</v>
      </c>
      <c r="Z52">
        <v>1.182381</v>
      </c>
      <c r="AA52" s="138">
        <v>176.94952121</v>
      </c>
    </row>
    <row r="53" ht="13.5" customHeight="1" spans="1:27">
      <c r="A53" s="132" t="s">
        <v>367</v>
      </c>
      <c r="B53" s="132">
        <v>14</v>
      </c>
      <c r="C53">
        <v>2</v>
      </c>
      <c r="D53">
        <v>5</v>
      </c>
      <c r="E53">
        <v>0</v>
      </c>
      <c r="F53">
        <v>5</v>
      </c>
      <c r="G53">
        <v>0</v>
      </c>
      <c r="H53">
        <v>2</v>
      </c>
      <c r="I53" s="138">
        <v>28</v>
      </c>
      <c r="K53" s="132" t="s">
        <v>367</v>
      </c>
      <c r="L53" s="132">
        <v>52</v>
      </c>
      <c r="M53">
        <v>57</v>
      </c>
      <c r="N53">
        <v>37</v>
      </c>
      <c r="O53">
        <v>51</v>
      </c>
      <c r="P53">
        <v>55</v>
      </c>
      <c r="Q53">
        <v>4</v>
      </c>
      <c r="R53">
        <v>23</v>
      </c>
      <c r="S53" s="138">
        <v>279</v>
      </c>
      <c r="T53" s="135"/>
      <c r="U53" s="132" t="s">
        <v>367</v>
      </c>
      <c r="V53" s="132">
        <v>107.86889421</v>
      </c>
      <c r="W53">
        <v>42.230785</v>
      </c>
      <c r="X53">
        <v>16.874637</v>
      </c>
      <c r="Y53">
        <v>18.63791</v>
      </c>
      <c r="Z53">
        <v>1.182381</v>
      </c>
      <c r="AA53" s="138">
        <v>186.79460721</v>
      </c>
    </row>
    <row r="54" ht="13.5" customHeight="1" spans="1:27">
      <c r="A54" s="133" t="s">
        <v>368</v>
      </c>
      <c r="B54" s="133">
        <v>14</v>
      </c>
      <c r="C54" s="134">
        <v>6</v>
      </c>
      <c r="D54" s="134">
        <v>6</v>
      </c>
      <c r="E54" s="134">
        <v>1</v>
      </c>
      <c r="F54" s="134">
        <v>6</v>
      </c>
      <c r="G54" s="134">
        <v>0</v>
      </c>
      <c r="H54" s="134">
        <v>3</v>
      </c>
      <c r="I54" s="139">
        <v>36</v>
      </c>
      <c r="K54" s="133" t="s">
        <v>368</v>
      </c>
      <c r="L54" s="133">
        <v>56</v>
      </c>
      <c r="M54" s="134">
        <v>59</v>
      </c>
      <c r="N54" s="134">
        <v>42</v>
      </c>
      <c r="O54" s="134">
        <v>56</v>
      </c>
      <c r="P54" s="134">
        <v>59</v>
      </c>
      <c r="Q54" s="134">
        <v>4</v>
      </c>
      <c r="R54" s="134">
        <v>23</v>
      </c>
      <c r="S54" s="139">
        <v>299</v>
      </c>
      <c r="T54" s="135"/>
      <c r="U54" s="133" t="s">
        <v>368</v>
      </c>
      <c r="V54" s="133">
        <v>109.24380621</v>
      </c>
      <c r="W54" s="134">
        <v>49.382132</v>
      </c>
      <c r="X54" s="134">
        <v>17.17208</v>
      </c>
      <c r="Y54" s="134">
        <v>18.63791</v>
      </c>
      <c r="Z54" s="134">
        <v>1.182381</v>
      </c>
      <c r="AA54" s="139">
        <v>195.61830921</v>
      </c>
    </row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24.75" customHeight="1"/>
    <row r="69" ht="24.75" customHeight="1"/>
    <row r="70" ht="24.75" customHeight="1" spans="22:23">
      <c r="V70" s="203"/>
      <c r="W70" s="203"/>
    </row>
    <row r="71" ht="24.75" customHeight="1" spans="22:23">
      <c r="V71" s="203"/>
      <c r="W71" s="203"/>
    </row>
    <row r="72" ht="24.75" customHeight="1" spans="22:23">
      <c r="V72" s="203"/>
      <c r="W72" s="203"/>
    </row>
    <row r="73" ht="24.75" customHeight="1" spans="22:23">
      <c r="V73" s="203"/>
      <c r="W73" s="203"/>
    </row>
    <row r="74" ht="24.75" customHeight="1" spans="22:23">
      <c r="V74" s="203"/>
      <c r="W74" s="203"/>
    </row>
    <row r="75" ht="24.75" customHeight="1"/>
    <row r="76" ht="24.75" customHeight="1"/>
    <row r="77" ht="24.75" customHeight="1"/>
    <row r="78" ht="24.75" customHeight="1"/>
    <row r="79" ht="24.75" customHeight="1"/>
    <row r="80" ht="24.75" customHeight="1"/>
    <row r="81" ht="24.75" customHeight="1"/>
    <row r="82" ht="24.75" customHeight="1"/>
    <row r="83" ht="24.75" customHeight="1"/>
    <row r="84" ht="24.75" customHeight="1"/>
    <row r="85" ht="24.75" customHeight="1"/>
    <row r="86" ht="24.75" customHeight="1"/>
    <row r="87" ht="24.75" customHeight="1"/>
    <row r="88" ht="24.75" customHeight="1"/>
    <row r="89" ht="24.75" customHeight="1"/>
    <row r="90" ht="24.75" customHeight="1"/>
    <row r="91" ht="24.75" customHeight="1"/>
    <row r="92" ht="24.75" customHeight="1"/>
    <row r="93" ht="24.75" customHeight="1"/>
    <row r="94" ht="24.75" customHeight="1"/>
    <row r="95" ht="24.75" customHeight="1"/>
    <row r="96" ht="24.75" customHeight="1"/>
    <row r="97" ht="24.75" customHeight="1"/>
    <row r="98" ht="24.75" customHeight="1"/>
    <row r="99" ht="24.75" customHeight="1"/>
    <row r="100" ht="24.75" customHeight="1"/>
    <row r="101" ht="24.75" customHeight="1"/>
    <row r="102" ht="24.7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" footer="0"/>
  <pageSetup paperSize="1" orientation="landscape"/>
  <headerFooter/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1000"/>
  <sheetViews>
    <sheetView workbookViewId="0">
      <selection activeCell="A1" sqref="A1:C1"/>
    </sheetView>
  </sheetViews>
  <sheetFormatPr defaultColWidth="14.4571428571429" defaultRowHeight="15" customHeight="1"/>
  <cols>
    <col min="1" max="1" width="13.7238095238095" customWidth="1"/>
    <col min="2" max="2" width="9" customWidth="1"/>
    <col min="3" max="3" width="11.8190476190476" customWidth="1"/>
    <col min="4" max="15" width="12.0857142857143" customWidth="1"/>
    <col min="16" max="22" width="9" customWidth="1"/>
    <col min="23" max="23" width="14.4571428571429" customWidth="1"/>
    <col min="24" max="24" width="9.54285714285714" customWidth="1"/>
    <col min="25" max="26" width="10.7238095238095" customWidth="1"/>
    <col min="27" max="37" width="12.0857142857143" customWidth="1"/>
  </cols>
  <sheetData>
    <row r="1" ht="24.75" customHeight="1" spans="1:25">
      <c r="A1" s="140" t="s">
        <v>369</v>
      </c>
      <c r="B1" s="141"/>
      <c r="C1" s="141"/>
      <c r="W1" s="140" t="s">
        <v>370</v>
      </c>
      <c r="X1" s="141"/>
      <c r="Y1" s="141"/>
    </row>
    <row r="2" ht="24.75" customHeight="1" spans="1:37">
      <c r="A2" s="161" t="s">
        <v>272</v>
      </c>
      <c r="B2" s="161" t="s">
        <v>371</v>
      </c>
      <c r="C2" s="161" t="s">
        <v>372</v>
      </c>
      <c r="D2" s="161" t="s">
        <v>277</v>
      </c>
      <c r="E2" s="161" t="s">
        <v>278</v>
      </c>
      <c r="F2" s="161" t="s">
        <v>279</v>
      </c>
      <c r="G2" s="161" t="s">
        <v>280</v>
      </c>
      <c r="H2" s="161" t="s">
        <v>281</v>
      </c>
      <c r="I2" s="161" t="s">
        <v>282</v>
      </c>
      <c r="J2" s="161" t="s">
        <v>283</v>
      </c>
      <c r="K2" s="161" t="s">
        <v>284</v>
      </c>
      <c r="L2" s="161" t="s">
        <v>285</v>
      </c>
      <c r="M2" s="161" t="s">
        <v>286</v>
      </c>
      <c r="N2" s="161" t="s">
        <v>287</v>
      </c>
      <c r="O2" s="161" t="s">
        <v>288</v>
      </c>
      <c r="W2" s="161" t="s">
        <v>272</v>
      </c>
      <c r="X2" s="161" t="s">
        <v>371</v>
      </c>
      <c r="Y2" s="161" t="s">
        <v>372</v>
      </c>
      <c r="Z2" s="161" t="s">
        <v>277</v>
      </c>
      <c r="AA2" s="161" t="s">
        <v>278</v>
      </c>
      <c r="AB2" s="161" t="s">
        <v>279</v>
      </c>
      <c r="AC2" s="161" t="s">
        <v>280</v>
      </c>
      <c r="AD2" s="161" t="s">
        <v>281</v>
      </c>
      <c r="AE2" s="161" t="s">
        <v>282</v>
      </c>
      <c r="AF2" s="161" t="s">
        <v>283</v>
      </c>
      <c r="AG2" s="161" t="s">
        <v>284</v>
      </c>
      <c r="AH2" s="161" t="s">
        <v>285</v>
      </c>
      <c r="AI2" s="161" t="s">
        <v>286</v>
      </c>
      <c r="AJ2" s="161" t="s">
        <v>287</v>
      </c>
      <c r="AK2" s="161" t="s">
        <v>288</v>
      </c>
    </row>
    <row r="3" ht="24.75" customHeight="1" spans="1:37">
      <c r="A3" s="162" t="s">
        <v>289</v>
      </c>
      <c r="B3" s="163" t="s">
        <v>373</v>
      </c>
      <c r="C3" s="163" t="s">
        <v>374</v>
      </c>
      <c r="D3" s="164">
        <v>6</v>
      </c>
      <c r="E3" s="164">
        <v>1</v>
      </c>
      <c r="F3" s="164">
        <v>2</v>
      </c>
      <c r="G3" s="164">
        <v>5</v>
      </c>
      <c r="H3" s="164">
        <v>8</v>
      </c>
      <c r="I3" s="164">
        <v>4</v>
      </c>
      <c r="J3" s="164">
        <v>4</v>
      </c>
      <c r="K3" s="164">
        <v>5</v>
      </c>
      <c r="L3" s="164">
        <v>5</v>
      </c>
      <c r="M3" s="164">
        <v>2</v>
      </c>
      <c r="N3" s="164">
        <v>3</v>
      </c>
      <c r="O3" s="164">
        <v>2</v>
      </c>
      <c r="W3" s="162" t="s">
        <v>289</v>
      </c>
      <c r="X3" s="163" t="s">
        <v>375</v>
      </c>
      <c r="Y3" s="163" t="s">
        <v>376</v>
      </c>
      <c r="Z3" s="164">
        <f ca="1" t="shared" ref="Z3:AK3" si="0">IF(D6=" "," ",D6-D4)</f>
        <v>-2</v>
      </c>
      <c r="AA3" s="164">
        <f ca="1" t="shared" si="0"/>
        <v>-1</v>
      </c>
      <c r="AB3" s="164">
        <f ca="1" t="shared" si="0"/>
        <v>-2</v>
      </c>
      <c r="AC3" s="164">
        <f ca="1" t="shared" si="0"/>
        <v>-2</v>
      </c>
      <c r="AD3" s="164">
        <f ca="1" t="shared" si="0"/>
        <v>-5</v>
      </c>
      <c r="AE3" s="164">
        <f ca="1" t="shared" si="0"/>
        <v>-7</v>
      </c>
      <c r="AF3" s="164">
        <f ca="1" t="shared" si="0"/>
        <v>-5</v>
      </c>
      <c r="AG3" s="164">
        <f ca="1" t="shared" si="0"/>
        <v>-6</v>
      </c>
      <c r="AH3" s="164">
        <f ca="1" t="shared" si="0"/>
        <v>-7</v>
      </c>
      <c r="AI3" s="164">
        <f ca="1" t="shared" si="0"/>
        <v>-8</v>
      </c>
      <c r="AJ3" s="164">
        <f ca="1" t="shared" si="0"/>
        <v>-5</v>
      </c>
      <c r="AK3" s="164">
        <f ca="1" t="shared" si="0"/>
        <v>-4</v>
      </c>
    </row>
    <row r="4" ht="24.75" customHeight="1" spans="1:37">
      <c r="A4" s="165" t="s">
        <v>289</v>
      </c>
      <c r="B4" s="166" t="s">
        <v>373</v>
      </c>
      <c r="C4" s="166" t="s">
        <v>377</v>
      </c>
      <c r="D4" s="167">
        <f>D3</f>
        <v>6</v>
      </c>
      <c r="E4" s="167">
        <f t="shared" ref="E4:O4" si="1">E3+D4</f>
        <v>7</v>
      </c>
      <c r="F4" s="167">
        <f t="shared" si="1"/>
        <v>9</v>
      </c>
      <c r="G4" s="167">
        <f t="shared" si="1"/>
        <v>14</v>
      </c>
      <c r="H4" s="167">
        <f t="shared" si="1"/>
        <v>22</v>
      </c>
      <c r="I4" s="167">
        <f t="shared" si="1"/>
        <v>26</v>
      </c>
      <c r="J4" s="167">
        <f t="shared" si="1"/>
        <v>30</v>
      </c>
      <c r="K4" s="167">
        <f t="shared" si="1"/>
        <v>35</v>
      </c>
      <c r="L4" s="167">
        <f t="shared" si="1"/>
        <v>40</v>
      </c>
      <c r="M4" s="167">
        <f t="shared" si="1"/>
        <v>42</v>
      </c>
      <c r="N4" s="167">
        <f t="shared" si="1"/>
        <v>45</v>
      </c>
      <c r="O4" s="167">
        <f t="shared" si="1"/>
        <v>47</v>
      </c>
      <c r="W4" s="165" t="s">
        <v>289</v>
      </c>
      <c r="X4" s="166" t="s">
        <v>375</v>
      </c>
      <c r="Y4" s="166" t="s">
        <v>378</v>
      </c>
      <c r="Z4" s="174">
        <f ca="1" t="shared" ref="Z4:AK4" si="2">IF(Z3=" "," ",Z3/D4)</f>
        <v>-0.333333333333333</v>
      </c>
      <c r="AA4" s="174">
        <f ca="1" t="shared" si="2"/>
        <v>-0.142857142857143</v>
      </c>
      <c r="AB4" s="174">
        <f ca="1" t="shared" si="2"/>
        <v>-0.222222222222222</v>
      </c>
      <c r="AC4" s="174">
        <f ca="1" t="shared" si="2"/>
        <v>-0.142857142857143</v>
      </c>
      <c r="AD4" s="174">
        <f ca="1" t="shared" si="2"/>
        <v>-0.227272727272727</v>
      </c>
      <c r="AE4" s="174">
        <f ca="1" t="shared" si="2"/>
        <v>-0.269230769230769</v>
      </c>
      <c r="AF4" s="174">
        <f ca="1" t="shared" si="2"/>
        <v>-0.166666666666667</v>
      </c>
      <c r="AG4" s="174">
        <f ca="1" t="shared" si="2"/>
        <v>-0.171428571428571</v>
      </c>
      <c r="AH4" s="174">
        <f ca="1" t="shared" si="2"/>
        <v>-0.175</v>
      </c>
      <c r="AI4" s="174">
        <f ca="1" t="shared" si="2"/>
        <v>-0.19047619047619</v>
      </c>
      <c r="AJ4" s="174">
        <f ca="1" t="shared" si="2"/>
        <v>-0.111111111111111</v>
      </c>
      <c r="AK4" s="174">
        <f ca="1" t="shared" si="2"/>
        <v>-0.0851063829787234</v>
      </c>
    </row>
    <row r="5" ht="24.75" customHeight="1" spans="1:37">
      <c r="A5" s="165" t="s">
        <v>289</v>
      </c>
      <c r="B5" s="168" t="s">
        <v>375</v>
      </c>
      <c r="C5" s="168" t="s">
        <v>374</v>
      </c>
      <c r="D5" s="169">
        <f ca="1">IF('2025整理'!$S$1&lt;DATE(2025,1,1)," ",'2025整理'!F24)</f>
        <v>4</v>
      </c>
      <c r="E5" s="169">
        <f ca="1">IF('2025整理'!$S$1&lt;DATE(2025,2,1)," ",'2025整理'!G24)</f>
        <v>2</v>
      </c>
      <c r="F5" s="169">
        <f ca="1">IF('2025整理'!$S$1&lt;DATE(2025,3,1)," ",'2025整理'!H24)</f>
        <v>1</v>
      </c>
      <c r="G5" s="169">
        <f ca="1">IF('2025整理'!$S$1&lt;DATE(2025,4,1)," ",'2025整理'!I24)</f>
        <v>5</v>
      </c>
      <c r="H5" s="169">
        <f ca="1">IF('2025整理'!$S$1&lt;DATE(2025,5,1)," ",'2025整理'!J24)</f>
        <v>5</v>
      </c>
      <c r="I5" s="169">
        <f ca="1">IF('2025整理'!$S$1&lt;DATE(2025,6,1)," ",'2025整理'!K24)</f>
        <v>2</v>
      </c>
      <c r="J5" s="169">
        <f ca="1">IF('2025整理'!$S$1&lt;DATE(2025,7,1)," ",'2025整理'!L24)</f>
        <v>6</v>
      </c>
      <c r="K5" s="169">
        <f ca="1">IF('2025整理'!$S$1&lt;DATE(2025,8,1)," ",'2025整理'!M24)</f>
        <v>4</v>
      </c>
      <c r="L5" s="169">
        <f ca="1">IF('2025整理'!$S$1&lt;DATE(2025,9,1)," ",'2025整理'!N24)</f>
        <v>4</v>
      </c>
      <c r="M5" s="169">
        <f ca="1">IF('2025整理'!$S$1&lt;DATE(2025,10,1)," ",'2025整理'!O24)</f>
        <v>1</v>
      </c>
      <c r="N5" s="169">
        <f ca="1">IF('2025整理'!$S$1&lt;DATE(2025,11,1)," ",'2025整理'!P24)</f>
        <v>6</v>
      </c>
      <c r="O5" s="169">
        <f ca="1">IF('2025整理'!$S$1&lt;DATE(2025,12,1)," ",'2025整理'!Q24)</f>
        <v>3</v>
      </c>
      <c r="W5" s="165" t="s">
        <v>289</v>
      </c>
      <c r="X5" s="168" t="s">
        <v>375</v>
      </c>
      <c r="Y5" s="168" t="s">
        <v>379</v>
      </c>
      <c r="Z5" s="169">
        <f ca="1">IF(D5=" "," ",D5-O3)</f>
        <v>2</v>
      </c>
      <c r="AA5" s="169">
        <f ca="1" t="shared" ref="AA5:AK5" si="3">IF(E5=" "," ",E5-D5)</f>
        <v>-2</v>
      </c>
      <c r="AB5" s="169">
        <f ca="1" t="shared" si="3"/>
        <v>-1</v>
      </c>
      <c r="AC5" s="169">
        <f ca="1" t="shared" si="3"/>
        <v>4</v>
      </c>
      <c r="AD5" s="169">
        <f ca="1" t="shared" si="3"/>
        <v>0</v>
      </c>
      <c r="AE5" s="169">
        <f ca="1" t="shared" si="3"/>
        <v>-3</v>
      </c>
      <c r="AF5" s="169">
        <f ca="1" t="shared" si="3"/>
        <v>4</v>
      </c>
      <c r="AG5" s="169">
        <f ca="1" t="shared" si="3"/>
        <v>-2</v>
      </c>
      <c r="AH5" s="169">
        <f ca="1" t="shared" si="3"/>
        <v>0</v>
      </c>
      <c r="AI5" s="169">
        <f ca="1" t="shared" si="3"/>
        <v>-3</v>
      </c>
      <c r="AJ5" s="169">
        <f ca="1" t="shared" si="3"/>
        <v>5</v>
      </c>
      <c r="AK5" s="169">
        <f ca="1" t="shared" si="3"/>
        <v>-3</v>
      </c>
    </row>
    <row r="6" ht="24.75" customHeight="1" spans="1:37">
      <c r="A6" s="170" t="s">
        <v>289</v>
      </c>
      <c r="B6" s="166" t="s">
        <v>375</v>
      </c>
      <c r="C6" s="166" t="s">
        <v>377</v>
      </c>
      <c r="D6" s="167">
        <f ca="1">IF(D5="","",D5)</f>
        <v>4</v>
      </c>
      <c r="E6" s="167">
        <f ca="1" t="shared" ref="E6:O6" si="4">IF(E5=" "," ",E5+D6)</f>
        <v>6</v>
      </c>
      <c r="F6" s="167">
        <f ca="1" t="shared" si="4"/>
        <v>7</v>
      </c>
      <c r="G6" s="167">
        <f ca="1" t="shared" si="4"/>
        <v>12</v>
      </c>
      <c r="H6" s="167">
        <f ca="1" t="shared" si="4"/>
        <v>17</v>
      </c>
      <c r="I6" s="167">
        <f ca="1" t="shared" si="4"/>
        <v>19</v>
      </c>
      <c r="J6" s="167">
        <f ca="1" t="shared" si="4"/>
        <v>25</v>
      </c>
      <c r="K6" s="167">
        <f ca="1" t="shared" si="4"/>
        <v>29</v>
      </c>
      <c r="L6" s="167">
        <f ca="1" t="shared" si="4"/>
        <v>33</v>
      </c>
      <c r="M6" s="167">
        <f ca="1" t="shared" si="4"/>
        <v>34</v>
      </c>
      <c r="N6" s="167">
        <f ca="1" t="shared" si="4"/>
        <v>40</v>
      </c>
      <c r="O6" s="167">
        <f ca="1" t="shared" si="4"/>
        <v>43</v>
      </c>
      <c r="W6" s="170" t="s">
        <v>289</v>
      </c>
      <c r="X6" s="166" t="s">
        <v>375</v>
      </c>
      <c r="Y6" s="166" t="s">
        <v>380</v>
      </c>
      <c r="Z6" s="174">
        <f ca="1">IFERROR(IF(Z5=" "," ",Z5/O3),"")</f>
        <v>1</v>
      </c>
      <c r="AA6" s="174">
        <f ca="1" t="shared" ref="AA6:AC6" si="5">IFERROR(IF(AA5=" "," ",AA5/D5),"")</f>
        <v>-0.5</v>
      </c>
      <c r="AB6" s="174">
        <f ca="1" t="shared" si="5"/>
        <v>-0.5</v>
      </c>
      <c r="AC6" s="174">
        <f ca="1" t="shared" si="5"/>
        <v>4</v>
      </c>
      <c r="AD6" s="174">
        <f ca="1" t="shared" ref="AD6:AK6" si="6">IF(AD5=" "," ",AD5/G5)</f>
        <v>0</v>
      </c>
      <c r="AE6" s="174">
        <f ca="1" t="shared" si="6"/>
        <v>-0.6</v>
      </c>
      <c r="AF6" s="174">
        <f ca="1" t="shared" si="6"/>
        <v>2</v>
      </c>
      <c r="AG6" s="174">
        <f ca="1" t="shared" si="6"/>
        <v>-0.333333333333333</v>
      </c>
      <c r="AH6" s="174">
        <f ca="1" t="shared" si="6"/>
        <v>0</v>
      </c>
      <c r="AI6" s="174">
        <f ca="1" t="shared" si="6"/>
        <v>-0.75</v>
      </c>
      <c r="AJ6" s="174">
        <f ca="1" t="shared" si="6"/>
        <v>5</v>
      </c>
      <c r="AK6" s="174">
        <f ca="1" t="shared" si="6"/>
        <v>-0.5</v>
      </c>
    </row>
    <row r="7" ht="24.75" customHeight="1" spans="1:37">
      <c r="A7" s="162" t="s">
        <v>345</v>
      </c>
      <c r="B7" s="168" t="s">
        <v>373</v>
      </c>
      <c r="C7" s="168" t="s">
        <v>374</v>
      </c>
      <c r="D7" s="171">
        <v>2</v>
      </c>
      <c r="E7" s="171">
        <v>1</v>
      </c>
      <c r="F7" s="171"/>
      <c r="G7" s="171">
        <v>1</v>
      </c>
      <c r="H7" s="171">
        <v>3</v>
      </c>
      <c r="I7" s="171"/>
      <c r="J7" s="171">
        <v>1</v>
      </c>
      <c r="K7" s="171">
        <v>1</v>
      </c>
      <c r="L7" s="171"/>
      <c r="M7" s="171">
        <v>1</v>
      </c>
      <c r="N7" s="171">
        <v>1</v>
      </c>
      <c r="O7" s="171">
        <v>2</v>
      </c>
      <c r="W7" s="162" t="s">
        <v>345</v>
      </c>
      <c r="X7" s="163" t="s">
        <v>375</v>
      </c>
      <c r="Y7" s="163" t="s">
        <v>376</v>
      </c>
      <c r="Z7" s="164">
        <f ca="1" t="shared" ref="Z7:AK7" si="7">IF(D10=" "," ",D10-D8)</f>
        <v>-2</v>
      </c>
      <c r="AA7" s="164">
        <f ca="1" t="shared" si="7"/>
        <v>-2</v>
      </c>
      <c r="AB7" s="164">
        <f ca="1" t="shared" si="7"/>
        <v>-2</v>
      </c>
      <c r="AC7" s="164">
        <f ca="1" t="shared" si="7"/>
        <v>-3</v>
      </c>
      <c r="AD7" s="164">
        <f ca="1" t="shared" si="7"/>
        <v>-6</v>
      </c>
      <c r="AE7" s="164">
        <f ca="1" t="shared" si="7"/>
        <v>-6</v>
      </c>
      <c r="AF7" s="164">
        <f ca="1" t="shared" si="7"/>
        <v>-7</v>
      </c>
      <c r="AG7" s="164">
        <f ca="1" t="shared" si="7"/>
        <v>-8</v>
      </c>
      <c r="AH7" s="164">
        <f ca="1" t="shared" si="7"/>
        <v>-7</v>
      </c>
      <c r="AI7" s="164">
        <f ca="1" t="shared" si="7"/>
        <v>-5</v>
      </c>
      <c r="AJ7" s="164">
        <f ca="1" t="shared" si="7"/>
        <v>-6</v>
      </c>
      <c r="AK7" s="164">
        <f ca="1" t="shared" si="7"/>
        <v>-8</v>
      </c>
    </row>
    <row r="8" ht="24.75" customHeight="1" spans="1:37">
      <c r="A8" s="165" t="s">
        <v>345</v>
      </c>
      <c r="B8" s="166" t="s">
        <v>373</v>
      </c>
      <c r="C8" s="166" t="s">
        <v>377</v>
      </c>
      <c r="D8" s="167">
        <f>D7</f>
        <v>2</v>
      </c>
      <c r="E8" s="167">
        <f t="shared" ref="E8:O8" si="8">E7+D8</f>
        <v>3</v>
      </c>
      <c r="F8" s="167">
        <f t="shared" si="8"/>
        <v>3</v>
      </c>
      <c r="G8" s="167">
        <f t="shared" si="8"/>
        <v>4</v>
      </c>
      <c r="H8" s="167">
        <f t="shared" si="8"/>
        <v>7</v>
      </c>
      <c r="I8" s="167">
        <f t="shared" si="8"/>
        <v>7</v>
      </c>
      <c r="J8" s="167">
        <f t="shared" si="8"/>
        <v>8</v>
      </c>
      <c r="K8" s="167">
        <f t="shared" si="8"/>
        <v>9</v>
      </c>
      <c r="L8" s="167">
        <f t="shared" si="8"/>
        <v>9</v>
      </c>
      <c r="M8" s="167">
        <f t="shared" si="8"/>
        <v>10</v>
      </c>
      <c r="N8" s="167">
        <f t="shared" si="8"/>
        <v>11</v>
      </c>
      <c r="O8" s="167">
        <f t="shared" si="8"/>
        <v>13</v>
      </c>
      <c r="W8" s="165" t="s">
        <v>345</v>
      </c>
      <c r="X8" s="166" t="s">
        <v>375</v>
      </c>
      <c r="Y8" s="166" t="s">
        <v>378</v>
      </c>
      <c r="Z8" s="174">
        <f ca="1" t="shared" ref="Z8:AK8" si="9">IF(Z7=" "," ",Z7/D8)</f>
        <v>-1</v>
      </c>
      <c r="AA8" s="174">
        <f ca="1" t="shared" si="9"/>
        <v>-0.666666666666667</v>
      </c>
      <c r="AB8" s="174">
        <f ca="1" t="shared" si="9"/>
        <v>-0.666666666666667</v>
      </c>
      <c r="AC8" s="174">
        <f ca="1" t="shared" si="9"/>
        <v>-0.75</v>
      </c>
      <c r="AD8" s="174">
        <f ca="1" t="shared" si="9"/>
        <v>-0.857142857142857</v>
      </c>
      <c r="AE8" s="174">
        <f ca="1" t="shared" si="9"/>
        <v>-0.857142857142857</v>
      </c>
      <c r="AF8" s="174">
        <f ca="1" t="shared" si="9"/>
        <v>-0.875</v>
      </c>
      <c r="AG8" s="174">
        <f ca="1" t="shared" si="9"/>
        <v>-0.888888888888889</v>
      </c>
      <c r="AH8" s="174">
        <f ca="1" t="shared" si="9"/>
        <v>-0.777777777777778</v>
      </c>
      <c r="AI8" s="174">
        <f ca="1" t="shared" si="9"/>
        <v>-0.5</v>
      </c>
      <c r="AJ8" s="174">
        <f ca="1" t="shared" si="9"/>
        <v>-0.545454545454545</v>
      </c>
      <c r="AK8" s="174">
        <f ca="1" t="shared" si="9"/>
        <v>-0.615384615384615</v>
      </c>
    </row>
    <row r="9" ht="24.75" customHeight="1" spans="1:37">
      <c r="A9" s="165" t="s">
        <v>345</v>
      </c>
      <c r="B9" s="168" t="s">
        <v>375</v>
      </c>
      <c r="C9" s="168" t="s">
        <v>374</v>
      </c>
      <c r="D9" s="169">
        <f ca="1">IF('2025整理'!$S$1&lt;DATE(2025,1,1)," ",'2025整理'!F359)</f>
        <v>0</v>
      </c>
      <c r="E9" s="169">
        <f ca="1">IF('2025整理'!$S$1&lt;DATE(2025,2,1)," ",'2025整理'!G359)</f>
        <v>1</v>
      </c>
      <c r="F9" s="169">
        <f ca="1">IF('2025整理'!$S$1&lt;DATE(2025,3,1)," ",'2025整理'!H359)</f>
        <v>0</v>
      </c>
      <c r="G9" s="169">
        <f ca="1">IF('2025整理'!$S$1&lt;DATE(2025,4,1)," ",'2025整理'!I359)</f>
        <v>0</v>
      </c>
      <c r="H9" s="169">
        <f ca="1">IF('2025整理'!$S$1&lt;DATE(2025,5,1)," ",'2025整理'!J359)</f>
        <v>0</v>
      </c>
      <c r="I9" s="169">
        <f ca="1">IF('2025整理'!$S$1&lt;DATE(2025,6,1)," ",'2025整理'!K359)</f>
        <v>0</v>
      </c>
      <c r="J9" s="169">
        <f ca="1">IF('2025整理'!$S$1&lt;DATE(2025,7,1)," ",'2025整理'!L359)</f>
        <v>0</v>
      </c>
      <c r="K9" s="169">
        <f ca="1">IF('2025整理'!$S$1&lt;DATE(2025,8,1)," ",'2025整理'!M359)</f>
        <v>0</v>
      </c>
      <c r="L9" s="169">
        <f ca="1">IF('2025整理'!$S$1&lt;DATE(2025,9,1)," ",'2025整理'!N359)</f>
        <v>1</v>
      </c>
      <c r="M9" s="169">
        <f ca="1">IF('2025整理'!$S$1&lt;DATE(2025,10,1)," ",'2025整理'!O359)</f>
        <v>3</v>
      </c>
      <c r="N9" s="169">
        <f ca="1">IF('2025整理'!$S$1&lt;DATE(2025,11,1)," ",'2025整理'!P359)</f>
        <v>0</v>
      </c>
      <c r="O9" s="169">
        <f ca="1">IF('2025整理'!$S$1&lt;DATE(2025,12,1)," ",'2025整理'!Q359)</f>
        <v>0</v>
      </c>
      <c r="W9" s="165" t="s">
        <v>345</v>
      </c>
      <c r="X9" s="168" t="s">
        <v>375</v>
      </c>
      <c r="Y9" s="168" t="s">
        <v>379</v>
      </c>
      <c r="Z9" s="169">
        <f ca="1">IF(D9=" "," ",D9-O7)</f>
        <v>-2</v>
      </c>
      <c r="AA9" s="169">
        <f ca="1" t="shared" ref="AA9:AK9" si="10">IF(E9=" "," ",E9-D9)</f>
        <v>1</v>
      </c>
      <c r="AB9" s="169">
        <f ca="1" t="shared" si="10"/>
        <v>-1</v>
      </c>
      <c r="AC9" s="169">
        <f ca="1" t="shared" si="10"/>
        <v>0</v>
      </c>
      <c r="AD9" s="169">
        <f ca="1" t="shared" si="10"/>
        <v>0</v>
      </c>
      <c r="AE9" s="169">
        <f ca="1" t="shared" si="10"/>
        <v>0</v>
      </c>
      <c r="AF9" s="169">
        <f ca="1" t="shared" si="10"/>
        <v>0</v>
      </c>
      <c r="AG9" s="169">
        <f ca="1" t="shared" si="10"/>
        <v>0</v>
      </c>
      <c r="AH9" s="169">
        <f ca="1" t="shared" si="10"/>
        <v>1</v>
      </c>
      <c r="AI9" s="169">
        <f ca="1" t="shared" si="10"/>
        <v>2</v>
      </c>
      <c r="AJ9" s="169">
        <f ca="1" t="shared" si="10"/>
        <v>-3</v>
      </c>
      <c r="AK9" s="169">
        <f ca="1" t="shared" si="10"/>
        <v>0</v>
      </c>
    </row>
    <row r="10" ht="24.75" customHeight="1" spans="1:37">
      <c r="A10" s="170" t="s">
        <v>345</v>
      </c>
      <c r="B10" s="166" t="s">
        <v>375</v>
      </c>
      <c r="C10" s="166" t="s">
        <v>377</v>
      </c>
      <c r="D10" s="167">
        <f ca="1">IF(D9="","",D9)</f>
        <v>0</v>
      </c>
      <c r="E10" s="167">
        <f ca="1" t="shared" ref="E10:O10" si="11">IF(E9=" "," ",E9+D10)</f>
        <v>1</v>
      </c>
      <c r="F10" s="167">
        <f ca="1" t="shared" si="11"/>
        <v>1</v>
      </c>
      <c r="G10" s="167">
        <f ca="1" t="shared" si="11"/>
        <v>1</v>
      </c>
      <c r="H10" s="167">
        <f ca="1" t="shared" si="11"/>
        <v>1</v>
      </c>
      <c r="I10" s="167">
        <f ca="1" t="shared" si="11"/>
        <v>1</v>
      </c>
      <c r="J10" s="167">
        <f ca="1" t="shared" si="11"/>
        <v>1</v>
      </c>
      <c r="K10" s="167">
        <f ca="1" t="shared" si="11"/>
        <v>1</v>
      </c>
      <c r="L10" s="167">
        <f ca="1" t="shared" si="11"/>
        <v>2</v>
      </c>
      <c r="M10" s="167">
        <f ca="1" t="shared" si="11"/>
        <v>5</v>
      </c>
      <c r="N10" s="167">
        <f ca="1" t="shared" si="11"/>
        <v>5</v>
      </c>
      <c r="O10" s="167">
        <f ca="1" t="shared" si="11"/>
        <v>5</v>
      </c>
      <c r="W10" s="170" t="s">
        <v>345</v>
      </c>
      <c r="X10" s="166" t="s">
        <v>375</v>
      </c>
      <c r="Y10" s="166" t="s">
        <v>380</v>
      </c>
      <c r="Z10" s="174">
        <f ca="1">IF(Z9=" "," ",Z9/O7)</f>
        <v>-1</v>
      </c>
      <c r="AA10" s="174" t="str">
        <f ca="1" t="shared" ref="AA10:AC10" si="12">IFERROR(IF(AA9=" "," ",AA9/D9),"")</f>
        <v/>
      </c>
      <c r="AB10" s="174">
        <f ca="1" t="shared" si="12"/>
        <v>-1</v>
      </c>
      <c r="AC10" s="174" t="str">
        <f ca="1" t="shared" si="12"/>
        <v/>
      </c>
      <c r="AD10" s="174" t="str">
        <f ca="1" t="shared" ref="AD10:AF10" si="13">IF(AD9=0,"",IF(AD9=" "," ",AD9/G9))</f>
        <v/>
      </c>
      <c r="AE10" s="174" t="str">
        <f ca="1" t="shared" si="13"/>
        <v/>
      </c>
      <c r="AF10" s="174" t="str">
        <f ca="1" t="shared" si="13"/>
        <v/>
      </c>
      <c r="AG10" s="174" t="e">
        <f ca="1" t="shared" ref="AG10:AK10" si="14">IF(AG9=" "," ",AG9/J9)</f>
        <v>#DIV/0!</v>
      </c>
      <c r="AH10" s="174" t="e">
        <f ca="1" t="shared" si="14"/>
        <v>#DIV/0!</v>
      </c>
      <c r="AI10" s="174">
        <f ca="1" t="shared" si="14"/>
        <v>2</v>
      </c>
      <c r="AJ10" s="174">
        <f ca="1" t="shared" si="14"/>
        <v>-1</v>
      </c>
      <c r="AK10" s="174" t="e">
        <f ca="1" t="shared" si="14"/>
        <v>#DIV/0!</v>
      </c>
    </row>
    <row r="11" ht="24.75" customHeight="1" spans="1:37">
      <c r="A11" s="162" t="s">
        <v>346</v>
      </c>
      <c r="B11" s="168" t="s">
        <v>373</v>
      </c>
      <c r="C11" s="168" t="s">
        <v>374</v>
      </c>
      <c r="D11" s="171">
        <v>8</v>
      </c>
      <c r="E11" s="171">
        <v>3</v>
      </c>
      <c r="F11" s="171">
        <v>5</v>
      </c>
      <c r="G11" s="171">
        <v>1</v>
      </c>
      <c r="H11" s="171">
        <v>3</v>
      </c>
      <c r="I11" s="171">
        <v>2</v>
      </c>
      <c r="J11" s="171">
        <v>2</v>
      </c>
      <c r="K11" s="171">
        <v>5</v>
      </c>
      <c r="L11" s="171">
        <v>6</v>
      </c>
      <c r="M11" s="171">
        <v>6</v>
      </c>
      <c r="N11" s="171">
        <v>5</v>
      </c>
      <c r="O11" s="171">
        <v>5</v>
      </c>
      <c r="W11" s="162" t="s">
        <v>346</v>
      </c>
      <c r="X11" s="163" t="s">
        <v>375</v>
      </c>
      <c r="Y11" s="163" t="s">
        <v>376</v>
      </c>
      <c r="Z11" s="164">
        <f ca="1" t="shared" ref="Z11:AK11" si="15">IF(D14=" "," ",D14-D12)</f>
        <v>-2</v>
      </c>
      <c r="AA11" s="164">
        <f ca="1" t="shared" si="15"/>
        <v>-5</v>
      </c>
      <c r="AB11" s="164">
        <f ca="1" t="shared" si="15"/>
        <v>-9</v>
      </c>
      <c r="AC11" s="164">
        <f ca="1" t="shared" si="15"/>
        <v>-2</v>
      </c>
      <c r="AD11" s="164">
        <f ca="1" t="shared" si="15"/>
        <v>-2</v>
      </c>
      <c r="AE11" s="164">
        <f ca="1" t="shared" si="15"/>
        <v>-1</v>
      </c>
      <c r="AF11" s="164">
        <f ca="1" t="shared" si="15"/>
        <v>1</v>
      </c>
      <c r="AG11" s="164">
        <f ca="1" t="shared" si="15"/>
        <v>2</v>
      </c>
      <c r="AH11" s="164">
        <f ca="1" t="shared" si="15"/>
        <v>0</v>
      </c>
      <c r="AI11" s="164">
        <f ca="1" t="shared" si="15"/>
        <v>-2</v>
      </c>
      <c r="AJ11" s="164">
        <f ca="1" t="shared" si="15"/>
        <v>-5</v>
      </c>
      <c r="AK11" s="164">
        <f ca="1" t="shared" si="15"/>
        <v>-5</v>
      </c>
    </row>
    <row r="12" ht="24.75" customHeight="1" spans="1:37">
      <c r="A12" s="165" t="s">
        <v>346</v>
      </c>
      <c r="B12" s="166" t="s">
        <v>373</v>
      </c>
      <c r="C12" s="166" t="s">
        <v>377</v>
      </c>
      <c r="D12" s="167">
        <f>D11</f>
        <v>8</v>
      </c>
      <c r="E12" s="167">
        <f t="shared" ref="E12:O12" si="16">E11+D12</f>
        <v>11</v>
      </c>
      <c r="F12" s="167">
        <f t="shared" si="16"/>
        <v>16</v>
      </c>
      <c r="G12" s="167">
        <f t="shared" si="16"/>
        <v>17</v>
      </c>
      <c r="H12" s="167">
        <f t="shared" si="16"/>
        <v>20</v>
      </c>
      <c r="I12" s="167">
        <f t="shared" si="16"/>
        <v>22</v>
      </c>
      <c r="J12" s="167">
        <f t="shared" si="16"/>
        <v>24</v>
      </c>
      <c r="K12" s="167">
        <f t="shared" si="16"/>
        <v>29</v>
      </c>
      <c r="L12" s="167">
        <f t="shared" si="16"/>
        <v>35</v>
      </c>
      <c r="M12" s="167">
        <f t="shared" si="16"/>
        <v>41</v>
      </c>
      <c r="N12" s="167">
        <f t="shared" si="16"/>
        <v>46</v>
      </c>
      <c r="O12" s="167">
        <f t="shared" si="16"/>
        <v>51</v>
      </c>
      <c r="W12" s="165" t="s">
        <v>346</v>
      </c>
      <c r="X12" s="166" t="s">
        <v>375</v>
      </c>
      <c r="Y12" s="166" t="s">
        <v>378</v>
      </c>
      <c r="Z12" s="174">
        <f ca="1" t="shared" ref="Z12:AK12" si="17">IF(Z11=" "," ",Z11/D12)</f>
        <v>-0.25</v>
      </c>
      <c r="AA12" s="174">
        <f ca="1" t="shared" si="17"/>
        <v>-0.454545454545455</v>
      </c>
      <c r="AB12" s="174">
        <f ca="1" t="shared" si="17"/>
        <v>-0.5625</v>
      </c>
      <c r="AC12" s="174">
        <f ca="1" t="shared" si="17"/>
        <v>-0.117647058823529</v>
      </c>
      <c r="AD12" s="174">
        <f ca="1" t="shared" si="17"/>
        <v>-0.1</v>
      </c>
      <c r="AE12" s="174">
        <f ca="1" t="shared" si="17"/>
        <v>-0.0454545454545455</v>
      </c>
      <c r="AF12" s="174">
        <f ca="1" t="shared" si="17"/>
        <v>0.0416666666666667</v>
      </c>
      <c r="AG12" s="174">
        <f ca="1" t="shared" si="17"/>
        <v>0.0689655172413793</v>
      </c>
      <c r="AH12" s="174">
        <f ca="1" t="shared" si="17"/>
        <v>0</v>
      </c>
      <c r="AI12" s="174">
        <f ca="1" t="shared" si="17"/>
        <v>-0.0487804878048781</v>
      </c>
      <c r="AJ12" s="174">
        <f ca="1" t="shared" si="17"/>
        <v>-0.108695652173913</v>
      </c>
      <c r="AK12" s="174">
        <f ca="1" t="shared" si="17"/>
        <v>-0.0980392156862745</v>
      </c>
    </row>
    <row r="13" ht="24.75" customHeight="1" spans="1:37">
      <c r="A13" s="165" t="s">
        <v>346</v>
      </c>
      <c r="B13" s="168" t="s">
        <v>375</v>
      </c>
      <c r="C13" s="168" t="s">
        <v>374</v>
      </c>
      <c r="D13" s="169">
        <f ca="1">IF('2025整理'!$S$1&lt;DATE(2025,1,1)," ",'2025整理'!F669)</f>
        <v>6</v>
      </c>
      <c r="E13" s="169">
        <f ca="1">IF('2025整理'!$S$1&lt;DATE(2025,2,1)," ",'2025整理'!G669)</f>
        <v>0</v>
      </c>
      <c r="F13" s="169">
        <f ca="1">IF('2025整理'!$S$1&lt;DATE(2025,3,1)," ",'2025整理'!H669)</f>
        <v>1</v>
      </c>
      <c r="G13" s="169">
        <f ca="1">IF('2025整理'!$S$1&lt;DATE(2025,4,1)," ",'2025整理'!I669)</f>
        <v>8</v>
      </c>
      <c r="H13" s="169">
        <f ca="1">IF('2025整理'!$S$1&lt;DATE(2025,5,1)," ",'2025整理'!J669)</f>
        <v>3</v>
      </c>
      <c r="I13" s="169">
        <f ca="1">IF('2025整理'!$S$1&lt;DATE(2025,6,1)," ",'2025整理'!K669)</f>
        <v>3</v>
      </c>
      <c r="J13" s="169">
        <f ca="1">IF('2025整理'!$S$1&lt;DATE(2025,7,1)," ",'2025整理'!L669)</f>
        <v>4</v>
      </c>
      <c r="K13" s="169">
        <f ca="1">IF('2025整理'!$S$1&lt;DATE(2025,8,1)," ",'2025整理'!M669)</f>
        <v>6</v>
      </c>
      <c r="L13" s="169">
        <f ca="1">IF('2025整理'!$S$1&lt;DATE(2025,9,1)," ",'2025整理'!N669)</f>
        <v>4</v>
      </c>
      <c r="M13" s="169">
        <f ca="1">IF('2025整理'!$S$1&lt;DATE(2025,10,1)," ",'2025整理'!O669)</f>
        <v>4</v>
      </c>
      <c r="N13" s="169">
        <f ca="1">IF('2025整理'!$S$1&lt;DATE(2025,11,1)," ",'2025整理'!P669)</f>
        <v>2</v>
      </c>
      <c r="O13" s="169">
        <f ca="1">IF('2025整理'!$S$1&lt;DATE(2025,12,1)," ",'2025整理'!Q669)</f>
        <v>5</v>
      </c>
      <c r="W13" s="165" t="s">
        <v>346</v>
      </c>
      <c r="X13" s="168" t="s">
        <v>375</v>
      </c>
      <c r="Y13" s="168" t="s">
        <v>379</v>
      </c>
      <c r="Z13" s="169">
        <f ca="1">IF(D13=" "," ",D13-O11)</f>
        <v>1</v>
      </c>
      <c r="AA13" s="169">
        <f ca="1" t="shared" ref="AA13:AK13" si="18">IF(E13=" "," ",E13-D13)</f>
        <v>-6</v>
      </c>
      <c r="AB13" s="169">
        <f ca="1" t="shared" si="18"/>
        <v>1</v>
      </c>
      <c r="AC13" s="169">
        <f ca="1" t="shared" si="18"/>
        <v>7</v>
      </c>
      <c r="AD13" s="169">
        <f ca="1" t="shared" si="18"/>
        <v>-5</v>
      </c>
      <c r="AE13" s="169">
        <f ca="1" t="shared" si="18"/>
        <v>0</v>
      </c>
      <c r="AF13" s="169">
        <f ca="1" t="shared" si="18"/>
        <v>1</v>
      </c>
      <c r="AG13" s="169">
        <f ca="1" t="shared" si="18"/>
        <v>2</v>
      </c>
      <c r="AH13" s="169">
        <f ca="1" t="shared" si="18"/>
        <v>-2</v>
      </c>
      <c r="AI13" s="169">
        <f ca="1" t="shared" si="18"/>
        <v>0</v>
      </c>
      <c r="AJ13" s="169">
        <f ca="1" t="shared" si="18"/>
        <v>-2</v>
      </c>
      <c r="AK13" s="169">
        <f ca="1" t="shared" si="18"/>
        <v>3</v>
      </c>
    </row>
    <row r="14" ht="24.75" customHeight="1" spans="1:37">
      <c r="A14" s="170" t="s">
        <v>346</v>
      </c>
      <c r="B14" s="166" t="s">
        <v>375</v>
      </c>
      <c r="C14" s="166" t="s">
        <v>377</v>
      </c>
      <c r="D14" s="167">
        <f ca="1">IF(D13="","",D13)</f>
        <v>6</v>
      </c>
      <c r="E14" s="167">
        <f ca="1" t="shared" ref="E14:O14" si="19">IF(E13=" "," ",E13+D14)</f>
        <v>6</v>
      </c>
      <c r="F14" s="167">
        <f ca="1" t="shared" si="19"/>
        <v>7</v>
      </c>
      <c r="G14" s="167">
        <f ca="1" t="shared" si="19"/>
        <v>15</v>
      </c>
      <c r="H14" s="167">
        <f ca="1" t="shared" si="19"/>
        <v>18</v>
      </c>
      <c r="I14" s="167">
        <f ca="1" t="shared" si="19"/>
        <v>21</v>
      </c>
      <c r="J14" s="167">
        <f ca="1" t="shared" si="19"/>
        <v>25</v>
      </c>
      <c r="K14" s="167">
        <f ca="1" t="shared" si="19"/>
        <v>31</v>
      </c>
      <c r="L14" s="167">
        <f ca="1" t="shared" si="19"/>
        <v>35</v>
      </c>
      <c r="M14" s="167">
        <f ca="1" t="shared" si="19"/>
        <v>39</v>
      </c>
      <c r="N14" s="167">
        <f ca="1" t="shared" si="19"/>
        <v>41</v>
      </c>
      <c r="O14" s="167">
        <f ca="1" t="shared" si="19"/>
        <v>46</v>
      </c>
      <c r="W14" s="170" t="s">
        <v>346</v>
      </c>
      <c r="X14" s="166" t="s">
        <v>375</v>
      </c>
      <c r="Y14" s="166" t="s">
        <v>380</v>
      </c>
      <c r="Z14" s="174">
        <f ca="1">IF(Z13=" "," ",Z13/O11)</f>
        <v>0.2</v>
      </c>
      <c r="AA14" s="174">
        <f ca="1" t="shared" ref="AA14:AC14" si="20">IFERROR(IF(AA13=" "," ",AA13/D13),"")</f>
        <v>-1</v>
      </c>
      <c r="AB14" s="174" t="str">
        <f ca="1" t="shared" si="20"/>
        <v/>
      </c>
      <c r="AC14" s="174">
        <f ca="1" t="shared" si="20"/>
        <v>7</v>
      </c>
      <c r="AD14" s="174">
        <f ca="1" t="shared" ref="AD14:AK14" si="21">IF(AD13=" "," ",AD13/G13)</f>
        <v>-0.625</v>
      </c>
      <c r="AE14" s="174">
        <f ca="1" t="shared" si="21"/>
        <v>0</v>
      </c>
      <c r="AF14" s="174">
        <f ca="1" t="shared" si="21"/>
        <v>0.333333333333333</v>
      </c>
      <c r="AG14" s="174">
        <f ca="1" t="shared" si="21"/>
        <v>0.5</v>
      </c>
      <c r="AH14" s="174">
        <f ca="1" t="shared" si="21"/>
        <v>-0.333333333333333</v>
      </c>
      <c r="AI14" s="174">
        <f ca="1" t="shared" si="21"/>
        <v>0</v>
      </c>
      <c r="AJ14" s="174">
        <f ca="1" t="shared" si="21"/>
        <v>-0.5</v>
      </c>
      <c r="AK14" s="174">
        <f ca="1" t="shared" si="21"/>
        <v>1.5</v>
      </c>
    </row>
    <row r="15" ht="24.75" customHeight="1" spans="1:37">
      <c r="A15" s="162" t="s">
        <v>347</v>
      </c>
      <c r="B15" s="168" t="s">
        <v>373</v>
      </c>
      <c r="C15" s="168" t="s">
        <v>374</v>
      </c>
      <c r="D15" s="171"/>
      <c r="E15" s="171"/>
      <c r="F15" s="171"/>
      <c r="G15" s="171">
        <v>1</v>
      </c>
      <c r="H15" s="171">
        <v>1</v>
      </c>
      <c r="I15" s="171"/>
      <c r="J15" s="171">
        <v>1</v>
      </c>
      <c r="K15" s="171"/>
      <c r="L15" s="171">
        <v>1</v>
      </c>
      <c r="M15" s="171">
        <v>1</v>
      </c>
      <c r="N15" s="171">
        <v>1</v>
      </c>
      <c r="O15" s="171"/>
      <c r="W15" s="162" t="s">
        <v>347</v>
      </c>
      <c r="X15" s="163" t="s">
        <v>375</v>
      </c>
      <c r="Y15" s="163" t="s">
        <v>376</v>
      </c>
      <c r="Z15" s="164">
        <f ca="1" t="shared" ref="Z15:AK15" si="22">IF(D18=" "," ",D18-D16)</f>
        <v>1</v>
      </c>
      <c r="AA15" s="164">
        <f ca="1" t="shared" si="22"/>
        <v>1</v>
      </c>
      <c r="AB15" s="164">
        <f ca="1" t="shared" si="22"/>
        <v>1</v>
      </c>
      <c r="AC15" s="164">
        <f ca="1" t="shared" si="22"/>
        <v>1</v>
      </c>
      <c r="AD15" s="164">
        <f ca="1" t="shared" si="22"/>
        <v>0</v>
      </c>
      <c r="AE15" s="164">
        <f ca="1" t="shared" si="22"/>
        <v>2</v>
      </c>
      <c r="AF15" s="164">
        <f ca="1" t="shared" si="22"/>
        <v>2</v>
      </c>
      <c r="AG15" s="164">
        <f ca="1" t="shared" si="22"/>
        <v>3</v>
      </c>
      <c r="AH15" s="164">
        <f ca="1" t="shared" si="22"/>
        <v>5</v>
      </c>
      <c r="AI15" s="164">
        <f ca="1" t="shared" si="22"/>
        <v>4</v>
      </c>
      <c r="AJ15" s="164">
        <f ca="1" t="shared" si="22"/>
        <v>4</v>
      </c>
      <c r="AK15" s="164">
        <f ca="1" t="shared" si="22"/>
        <v>4</v>
      </c>
    </row>
    <row r="16" ht="24.75" customHeight="1" spans="1:37">
      <c r="A16" s="165" t="s">
        <v>347</v>
      </c>
      <c r="B16" s="166" t="s">
        <v>373</v>
      </c>
      <c r="C16" s="166" t="s">
        <v>377</v>
      </c>
      <c r="D16" s="167">
        <f>D15</f>
        <v>0</v>
      </c>
      <c r="E16" s="167">
        <f t="shared" ref="E16:O16" si="23">E15+D16</f>
        <v>0</v>
      </c>
      <c r="F16" s="167">
        <f t="shared" si="23"/>
        <v>0</v>
      </c>
      <c r="G16" s="167">
        <f t="shared" si="23"/>
        <v>1</v>
      </c>
      <c r="H16" s="167">
        <f t="shared" si="23"/>
        <v>2</v>
      </c>
      <c r="I16" s="167">
        <f t="shared" si="23"/>
        <v>2</v>
      </c>
      <c r="J16" s="167">
        <f t="shared" si="23"/>
        <v>3</v>
      </c>
      <c r="K16" s="167">
        <f t="shared" si="23"/>
        <v>3</v>
      </c>
      <c r="L16" s="167">
        <f t="shared" si="23"/>
        <v>4</v>
      </c>
      <c r="M16" s="167">
        <f t="shared" si="23"/>
        <v>5</v>
      </c>
      <c r="N16" s="167">
        <f t="shared" si="23"/>
        <v>6</v>
      </c>
      <c r="O16" s="167">
        <f t="shared" si="23"/>
        <v>6</v>
      </c>
      <c r="W16" s="165" t="s">
        <v>347</v>
      </c>
      <c r="X16" s="166" t="s">
        <v>375</v>
      </c>
      <c r="Y16" s="166" t="s">
        <v>378</v>
      </c>
      <c r="Z16" s="174" t="str">
        <f ca="1">IF(OR(Z15=" ",D16=0)," ",Z15/D16)</f>
        <v> </v>
      </c>
      <c r="AA16" s="174" t="str">
        <f ca="1" t="shared" ref="AA16:AC16" si="24">IFERROR(IF(AA15=" "," ",AA15/E16),"")</f>
        <v/>
      </c>
      <c r="AB16" s="174" t="str">
        <f ca="1" t="shared" si="24"/>
        <v/>
      </c>
      <c r="AC16" s="174">
        <f ca="1" t="shared" si="24"/>
        <v>1</v>
      </c>
      <c r="AD16" s="174">
        <f ca="1" t="shared" ref="AD16:AK16" si="25">IF(AD15=" "," ",AD15/H16)</f>
        <v>0</v>
      </c>
      <c r="AE16" s="174">
        <f ca="1" t="shared" si="25"/>
        <v>1</v>
      </c>
      <c r="AF16" s="174">
        <f ca="1" t="shared" si="25"/>
        <v>0.666666666666667</v>
      </c>
      <c r="AG16" s="174">
        <f ca="1" t="shared" si="25"/>
        <v>1</v>
      </c>
      <c r="AH16" s="174">
        <f ca="1" t="shared" si="25"/>
        <v>1.25</v>
      </c>
      <c r="AI16" s="174">
        <f ca="1" t="shared" si="25"/>
        <v>0.8</v>
      </c>
      <c r="AJ16" s="174">
        <f ca="1" t="shared" si="25"/>
        <v>0.666666666666667</v>
      </c>
      <c r="AK16" s="174">
        <f ca="1" t="shared" si="25"/>
        <v>0.666666666666667</v>
      </c>
    </row>
    <row r="17" ht="24.75" customHeight="1" spans="1:37">
      <c r="A17" s="165" t="s">
        <v>347</v>
      </c>
      <c r="B17" s="168" t="s">
        <v>375</v>
      </c>
      <c r="C17" s="168" t="s">
        <v>374</v>
      </c>
      <c r="D17" s="169">
        <f ca="1">IF('2025整理'!$S$1&lt;DATE(2025,1,1)," ",'2025整理'!F979)</f>
        <v>1</v>
      </c>
      <c r="E17" s="169">
        <f ca="1">IF('2025整理'!$S$1&lt;DATE(2025,2,1)," ",'2025整理'!G979)</f>
        <v>0</v>
      </c>
      <c r="F17" s="169">
        <f ca="1">IF('2025整理'!$S$1&lt;DATE(2025,3,1)," ",'2025整理'!H979)</f>
        <v>0</v>
      </c>
      <c r="G17" s="169">
        <f ca="1">IF('2025整理'!$S$1&lt;DATE(2025,4,1)," ",'2025整理'!I979)</f>
        <v>1</v>
      </c>
      <c r="H17" s="169">
        <f ca="1">IF('2025整理'!$S$1&lt;DATE(2025,5,1)," ",'2025整理'!J979)</f>
        <v>0</v>
      </c>
      <c r="I17" s="169">
        <f ca="1">IF('2025整理'!$S$1&lt;DATE(2025,6,1)," ",'2025整理'!K979)</f>
        <v>2</v>
      </c>
      <c r="J17" s="169">
        <f ca="1">IF('2025整理'!$S$1&lt;DATE(2025,7,1)," ",'2025整理'!L979)</f>
        <v>1</v>
      </c>
      <c r="K17" s="169">
        <f ca="1">IF('2025整理'!$S$1&lt;DATE(2025,8,1)," ",'2025整理'!M979)</f>
        <v>1</v>
      </c>
      <c r="L17" s="169">
        <f ca="1">IF('2025整理'!$S$1&lt;DATE(2025,9,1)," ",'2025整理'!N979)</f>
        <v>3</v>
      </c>
      <c r="M17" s="169">
        <f ca="1">IF('2025整理'!$S$1&lt;DATE(2025,10,1)," ",'2025整理'!O979)</f>
        <v>0</v>
      </c>
      <c r="N17" s="169">
        <f ca="1">IF('2025整理'!$S$1&lt;DATE(2025,11,1)," ",'2025整理'!P979)</f>
        <v>1</v>
      </c>
      <c r="O17" s="169">
        <f ca="1">IF('2025整理'!$S$1&lt;DATE(2025,12,1)," ",'2025整理'!Q979)</f>
        <v>0</v>
      </c>
      <c r="W17" s="165" t="s">
        <v>347</v>
      </c>
      <c r="X17" s="168" t="s">
        <v>375</v>
      </c>
      <c r="Y17" s="168" t="s">
        <v>379</v>
      </c>
      <c r="Z17" s="169">
        <f ca="1">IF(D17=" "," ",D17-O15)</f>
        <v>1</v>
      </c>
      <c r="AA17" s="169">
        <f ca="1" t="shared" ref="AA17:AK17" si="26">IF(E17=" "," ",E17-D17)</f>
        <v>-1</v>
      </c>
      <c r="AB17" s="169">
        <f ca="1" t="shared" si="26"/>
        <v>0</v>
      </c>
      <c r="AC17" s="169">
        <f ca="1" t="shared" si="26"/>
        <v>1</v>
      </c>
      <c r="AD17" s="169">
        <f ca="1" t="shared" si="26"/>
        <v>-1</v>
      </c>
      <c r="AE17" s="169">
        <f ca="1" t="shared" si="26"/>
        <v>2</v>
      </c>
      <c r="AF17" s="169">
        <f ca="1" t="shared" si="26"/>
        <v>-1</v>
      </c>
      <c r="AG17" s="169">
        <f ca="1" t="shared" si="26"/>
        <v>0</v>
      </c>
      <c r="AH17" s="169">
        <f ca="1" t="shared" si="26"/>
        <v>2</v>
      </c>
      <c r="AI17" s="169">
        <f ca="1" t="shared" si="26"/>
        <v>-3</v>
      </c>
      <c r="AJ17" s="169">
        <f ca="1" t="shared" si="26"/>
        <v>1</v>
      </c>
      <c r="AK17" s="169">
        <f ca="1" t="shared" si="26"/>
        <v>-1</v>
      </c>
    </row>
    <row r="18" ht="24.75" customHeight="1" spans="1:37">
      <c r="A18" s="170" t="s">
        <v>347</v>
      </c>
      <c r="B18" s="166" t="s">
        <v>375</v>
      </c>
      <c r="C18" s="166" t="s">
        <v>377</v>
      </c>
      <c r="D18" s="167">
        <f ca="1">IF(D17="","",D17)</f>
        <v>1</v>
      </c>
      <c r="E18" s="167">
        <f ca="1" t="shared" ref="E18:O18" si="27">IF(E17=" "," ",E17+D18)</f>
        <v>1</v>
      </c>
      <c r="F18" s="167">
        <f ca="1" t="shared" si="27"/>
        <v>1</v>
      </c>
      <c r="G18" s="167">
        <f ca="1" t="shared" si="27"/>
        <v>2</v>
      </c>
      <c r="H18" s="167">
        <f ca="1" t="shared" si="27"/>
        <v>2</v>
      </c>
      <c r="I18" s="167">
        <f ca="1" t="shared" si="27"/>
        <v>4</v>
      </c>
      <c r="J18" s="167">
        <f ca="1" t="shared" si="27"/>
        <v>5</v>
      </c>
      <c r="K18" s="167">
        <f ca="1" t="shared" si="27"/>
        <v>6</v>
      </c>
      <c r="L18" s="167">
        <f ca="1" t="shared" si="27"/>
        <v>9</v>
      </c>
      <c r="M18" s="167">
        <f ca="1" t="shared" si="27"/>
        <v>9</v>
      </c>
      <c r="N18" s="167">
        <f ca="1" t="shared" si="27"/>
        <v>10</v>
      </c>
      <c r="O18" s="167">
        <f ca="1" t="shared" si="27"/>
        <v>10</v>
      </c>
      <c r="W18" s="170" t="s">
        <v>347</v>
      </c>
      <c r="X18" s="166" t="s">
        <v>375</v>
      </c>
      <c r="Y18" s="166" t="s">
        <v>380</v>
      </c>
      <c r="Z18" s="174" t="str">
        <f ca="1">IF(OR(Z17=" ",O15=0)," ",Z17/O15)</f>
        <v> </v>
      </c>
      <c r="AA18" s="174">
        <f ca="1" t="shared" ref="AA18:AC18" si="28">IFERROR(IF(AA17=" "," ",AA17/D17),"")</f>
        <v>-1</v>
      </c>
      <c r="AB18" s="174" t="str">
        <f ca="1" t="shared" si="28"/>
        <v/>
      </c>
      <c r="AC18" s="174" t="str">
        <f ca="1" t="shared" si="28"/>
        <v/>
      </c>
      <c r="AD18" s="174">
        <f ca="1">IF(AD17=" "," ",AD17/G17)</f>
        <v>-1</v>
      </c>
      <c r="AE18" s="174" t="e">
        <f ca="1">IF(AE17=0,"",IF(AE17=" "," ",AE17/H17))</f>
        <v>#DIV/0!</v>
      </c>
      <c r="AF18" s="174">
        <f ca="1" t="shared" ref="AF18:AK18" si="29">IF(AF17=" "," ",AF17/I17)</f>
        <v>-0.5</v>
      </c>
      <c r="AG18" s="174">
        <f ca="1" t="shared" si="29"/>
        <v>0</v>
      </c>
      <c r="AH18" s="174">
        <f ca="1" t="shared" si="29"/>
        <v>2</v>
      </c>
      <c r="AI18" s="174">
        <f ca="1" t="shared" si="29"/>
        <v>-1</v>
      </c>
      <c r="AJ18" s="174" t="e">
        <f ca="1" t="shared" si="29"/>
        <v>#DIV/0!</v>
      </c>
      <c r="AK18" s="174">
        <f ca="1" t="shared" si="29"/>
        <v>-1</v>
      </c>
    </row>
    <row r="19" ht="24.75" customHeight="1" spans="1:37">
      <c r="A19" s="162" t="s">
        <v>348</v>
      </c>
      <c r="B19" s="168" t="s">
        <v>373</v>
      </c>
      <c r="C19" s="168" t="s">
        <v>374</v>
      </c>
      <c r="D19" s="171">
        <v>2</v>
      </c>
      <c r="E19" s="171">
        <v>3</v>
      </c>
      <c r="F19" s="171">
        <v>5</v>
      </c>
      <c r="G19" s="171">
        <v>6</v>
      </c>
      <c r="H19" s="171">
        <v>6</v>
      </c>
      <c r="I19" s="171">
        <v>6</v>
      </c>
      <c r="J19" s="171">
        <v>4</v>
      </c>
      <c r="K19" s="171">
        <v>2</v>
      </c>
      <c r="L19" s="171">
        <v>1</v>
      </c>
      <c r="M19" s="171">
        <v>3</v>
      </c>
      <c r="N19" s="171">
        <v>4</v>
      </c>
      <c r="O19" s="171">
        <v>7</v>
      </c>
      <c r="W19" s="162" t="s">
        <v>348</v>
      </c>
      <c r="X19" s="163" t="s">
        <v>375</v>
      </c>
      <c r="Y19" s="163" t="s">
        <v>376</v>
      </c>
      <c r="Z19" s="164">
        <f ca="1" t="shared" ref="Z19:AK19" si="30">IF(D22=" "," ",D22-D20)</f>
        <v>3</v>
      </c>
      <c r="AA19" s="164">
        <f ca="1" t="shared" si="30"/>
        <v>2</v>
      </c>
      <c r="AB19" s="164">
        <f ca="1" t="shared" si="30"/>
        <v>-1</v>
      </c>
      <c r="AC19" s="164">
        <f ca="1" t="shared" si="30"/>
        <v>-5</v>
      </c>
      <c r="AD19" s="164">
        <f ca="1" t="shared" si="30"/>
        <v>-6</v>
      </c>
      <c r="AE19" s="164">
        <f ca="1" t="shared" si="30"/>
        <v>-7</v>
      </c>
      <c r="AF19" s="164">
        <f ca="1" t="shared" si="30"/>
        <v>-8</v>
      </c>
      <c r="AG19" s="164">
        <f ca="1" t="shared" si="30"/>
        <v>-2</v>
      </c>
      <c r="AH19" s="164">
        <f ca="1" t="shared" si="30"/>
        <v>2</v>
      </c>
      <c r="AI19" s="164">
        <f ca="1" t="shared" si="30"/>
        <v>4</v>
      </c>
      <c r="AJ19" s="164">
        <f ca="1" t="shared" si="30"/>
        <v>1</v>
      </c>
      <c r="AK19" s="164">
        <f ca="1" t="shared" si="30"/>
        <v>-1</v>
      </c>
    </row>
    <row r="20" ht="24.75" customHeight="1" spans="1:37">
      <c r="A20" s="162" t="s">
        <v>348</v>
      </c>
      <c r="B20" s="166" t="s">
        <v>373</v>
      </c>
      <c r="C20" s="166" t="s">
        <v>377</v>
      </c>
      <c r="D20" s="167">
        <f>D19</f>
        <v>2</v>
      </c>
      <c r="E20" s="167">
        <f t="shared" ref="E20:O20" si="31">E19+D20</f>
        <v>5</v>
      </c>
      <c r="F20" s="167">
        <f t="shared" si="31"/>
        <v>10</v>
      </c>
      <c r="G20" s="167">
        <f t="shared" si="31"/>
        <v>16</v>
      </c>
      <c r="H20" s="167">
        <f t="shared" si="31"/>
        <v>22</v>
      </c>
      <c r="I20" s="167">
        <f t="shared" si="31"/>
        <v>28</v>
      </c>
      <c r="J20" s="167">
        <f t="shared" si="31"/>
        <v>32</v>
      </c>
      <c r="K20" s="167">
        <f t="shared" si="31"/>
        <v>34</v>
      </c>
      <c r="L20" s="167">
        <f t="shared" si="31"/>
        <v>35</v>
      </c>
      <c r="M20" s="167">
        <f t="shared" si="31"/>
        <v>38</v>
      </c>
      <c r="N20" s="167">
        <f t="shared" si="31"/>
        <v>42</v>
      </c>
      <c r="O20" s="167">
        <f t="shared" si="31"/>
        <v>49</v>
      </c>
      <c r="W20" s="162" t="s">
        <v>348</v>
      </c>
      <c r="X20" s="166" t="s">
        <v>375</v>
      </c>
      <c r="Y20" s="166" t="s">
        <v>378</v>
      </c>
      <c r="Z20" s="174">
        <f ca="1" t="shared" ref="Z20:AK20" si="32">IF(Z19=" "," ",Z19/D20)</f>
        <v>1.5</v>
      </c>
      <c r="AA20" s="174">
        <f ca="1" t="shared" si="32"/>
        <v>0.4</v>
      </c>
      <c r="AB20" s="174">
        <f ca="1" t="shared" si="32"/>
        <v>-0.1</v>
      </c>
      <c r="AC20" s="174">
        <f ca="1" t="shared" si="32"/>
        <v>-0.3125</v>
      </c>
      <c r="AD20" s="174">
        <f ca="1" t="shared" si="32"/>
        <v>-0.272727272727273</v>
      </c>
      <c r="AE20" s="174">
        <f ca="1" t="shared" si="32"/>
        <v>-0.25</v>
      </c>
      <c r="AF20" s="174">
        <f ca="1" t="shared" si="32"/>
        <v>-0.25</v>
      </c>
      <c r="AG20" s="174">
        <f ca="1" t="shared" si="32"/>
        <v>-0.0588235294117647</v>
      </c>
      <c r="AH20" s="174">
        <f ca="1" t="shared" si="32"/>
        <v>0.0571428571428571</v>
      </c>
      <c r="AI20" s="174">
        <f ca="1" t="shared" si="32"/>
        <v>0.105263157894737</v>
      </c>
      <c r="AJ20" s="174">
        <f ca="1" t="shared" si="32"/>
        <v>0.0238095238095238</v>
      </c>
      <c r="AK20" s="174">
        <f ca="1" t="shared" si="32"/>
        <v>-0.0204081632653061</v>
      </c>
    </row>
    <row r="21" ht="24.75" customHeight="1" spans="1:37">
      <c r="A21" s="162" t="s">
        <v>348</v>
      </c>
      <c r="B21" s="168" t="s">
        <v>375</v>
      </c>
      <c r="C21" s="168" t="s">
        <v>374</v>
      </c>
      <c r="D21" s="169">
        <f ca="1">IF('2025整理'!$S$1&lt;DATE(2025,1,1)," ",'2025整理'!F1289)</f>
        <v>5</v>
      </c>
      <c r="E21" s="169">
        <f ca="1">IF('2025整理'!$S$1&lt;DATE(2025,2,1)," ",'2025整理'!G1289)</f>
        <v>2</v>
      </c>
      <c r="F21" s="169">
        <f ca="1">IF('2025整理'!$S$1&lt;DATE(2025,3,1)," ",'2025整理'!H1289)</f>
        <v>2</v>
      </c>
      <c r="G21" s="169">
        <f ca="1">IF('2025整理'!$S$1&lt;DATE(2025,4,1)," ",'2025整理'!I1289)</f>
        <v>2</v>
      </c>
      <c r="H21" s="169">
        <f ca="1">IF('2025整理'!$S$1&lt;DATE(2025,5,1)," ",'2025整理'!J1289)</f>
        <v>5</v>
      </c>
      <c r="I21" s="169">
        <f ca="1">IF('2025整理'!$S$1&lt;DATE(2025,6,1)," ",'2025整理'!K1289)</f>
        <v>5</v>
      </c>
      <c r="J21" s="169">
        <f ca="1">IF('2025整理'!$S$1&lt;DATE(2025,7,1)," ",'2025整理'!L1289)</f>
        <v>3</v>
      </c>
      <c r="K21" s="169">
        <f ca="1">IF('2025整理'!$S$1&lt;DATE(2025,8,1)," ",'2025整理'!M1289)</f>
        <v>8</v>
      </c>
      <c r="L21" s="169">
        <f ca="1">IF('2025整理'!$S$1&lt;DATE(2025,9,1)," ",'2025整理'!N1289)</f>
        <v>5</v>
      </c>
      <c r="M21" s="169">
        <f ca="1">IF('2025整理'!$S$1&lt;DATE(2025,10,1)," ",'2025整理'!O1289)</f>
        <v>5</v>
      </c>
      <c r="N21" s="169">
        <f ca="1">IF('2025整理'!$S$1&lt;DATE(2025,11,1)," ",'2025整理'!P1289)</f>
        <v>1</v>
      </c>
      <c r="O21" s="169">
        <f ca="1">IF('2025整理'!$S$1&lt;DATE(2025,12,1)," ",'2025整理'!Q1289)</f>
        <v>5</v>
      </c>
      <c r="W21" s="162" t="s">
        <v>348</v>
      </c>
      <c r="X21" s="168" t="s">
        <v>375</v>
      </c>
      <c r="Y21" s="168" t="s">
        <v>379</v>
      </c>
      <c r="Z21" s="169">
        <f ca="1">IF(D21=" "," ",D21-O19)</f>
        <v>-2</v>
      </c>
      <c r="AA21" s="169">
        <f ca="1" t="shared" ref="AA21:AK21" si="33">IF(E21=" "," ",E21-D21)</f>
        <v>-3</v>
      </c>
      <c r="AB21" s="169">
        <f ca="1" t="shared" si="33"/>
        <v>0</v>
      </c>
      <c r="AC21" s="169">
        <f ca="1" t="shared" si="33"/>
        <v>0</v>
      </c>
      <c r="AD21" s="169">
        <f ca="1" t="shared" si="33"/>
        <v>3</v>
      </c>
      <c r="AE21" s="169">
        <f ca="1" t="shared" si="33"/>
        <v>0</v>
      </c>
      <c r="AF21" s="169">
        <f ca="1" t="shared" si="33"/>
        <v>-2</v>
      </c>
      <c r="AG21" s="169">
        <f ca="1" t="shared" si="33"/>
        <v>5</v>
      </c>
      <c r="AH21" s="169">
        <f ca="1" t="shared" si="33"/>
        <v>-3</v>
      </c>
      <c r="AI21" s="169">
        <f ca="1" t="shared" si="33"/>
        <v>0</v>
      </c>
      <c r="AJ21" s="169">
        <f ca="1" t="shared" si="33"/>
        <v>-4</v>
      </c>
      <c r="AK21" s="169">
        <f ca="1" t="shared" si="33"/>
        <v>4</v>
      </c>
    </row>
    <row r="22" ht="24.75" customHeight="1" spans="1:37">
      <c r="A22" s="162" t="s">
        <v>348</v>
      </c>
      <c r="B22" s="166" t="s">
        <v>375</v>
      </c>
      <c r="C22" s="166" t="s">
        <v>377</v>
      </c>
      <c r="D22" s="167">
        <f ca="1">IF(D21="","",D21)</f>
        <v>5</v>
      </c>
      <c r="E22" s="167">
        <f ca="1" t="shared" ref="E22:O22" si="34">IF(E21=" "," ",E21+D22)</f>
        <v>7</v>
      </c>
      <c r="F22" s="167">
        <f ca="1" t="shared" si="34"/>
        <v>9</v>
      </c>
      <c r="G22" s="167">
        <f ca="1" t="shared" si="34"/>
        <v>11</v>
      </c>
      <c r="H22" s="167">
        <f ca="1" t="shared" si="34"/>
        <v>16</v>
      </c>
      <c r="I22" s="167">
        <f ca="1" t="shared" si="34"/>
        <v>21</v>
      </c>
      <c r="J22" s="167">
        <f ca="1" t="shared" si="34"/>
        <v>24</v>
      </c>
      <c r="K22" s="167">
        <f ca="1" t="shared" si="34"/>
        <v>32</v>
      </c>
      <c r="L22" s="167">
        <f ca="1" t="shared" si="34"/>
        <v>37</v>
      </c>
      <c r="M22" s="167">
        <f ca="1" t="shared" si="34"/>
        <v>42</v>
      </c>
      <c r="N22" s="167">
        <f ca="1" t="shared" si="34"/>
        <v>43</v>
      </c>
      <c r="O22" s="167">
        <f ca="1" t="shared" si="34"/>
        <v>48</v>
      </c>
      <c r="W22" s="162" t="s">
        <v>348</v>
      </c>
      <c r="X22" s="166" t="s">
        <v>375</v>
      </c>
      <c r="Y22" s="166" t="s">
        <v>380</v>
      </c>
      <c r="Z22" s="174">
        <f ca="1">IF(Z21=" "," ",Z21/O19)</f>
        <v>-0.285714285714286</v>
      </c>
      <c r="AA22" s="174">
        <f ca="1" t="shared" ref="AA22:AC22" si="35">IFERROR(IF(AA21=" "," ",AA21/D21),"")</f>
        <v>-0.6</v>
      </c>
      <c r="AB22" s="174">
        <f ca="1" t="shared" si="35"/>
        <v>0</v>
      </c>
      <c r="AC22" s="174">
        <f ca="1" t="shared" si="35"/>
        <v>0</v>
      </c>
      <c r="AD22" s="174">
        <f ca="1" t="shared" ref="AD22:AK22" si="36">IF(AD21=" "," ",AD21/G21)</f>
        <v>1.5</v>
      </c>
      <c r="AE22" s="174">
        <f ca="1" t="shared" si="36"/>
        <v>0</v>
      </c>
      <c r="AF22" s="174">
        <f ca="1" t="shared" si="36"/>
        <v>-0.4</v>
      </c>
      <c r="AG22" s="174">
        <f ca="1" t="shared" si="36"/>
        <v>1.66666666666667</v>
      </c>
      <c r="AH22" s="174">
        <f ca="1" t="shared" si="36"/>
        <v>-0.375</v>
      </c>
      <c r="AI22" s="174">
        <f ca="1" t="shared" si="36"/>
        <v>0</v>
      </c>
      <c r="AJ22" s="174">
        <f ca="1" t="shared" si="36"/>
        <v>-0.8</v>
      </c>
      <c r="AK22" s="174">
        <f ca="1" t="shared" si="36"/>
        <v>4</v>
      </c>
    </row>
    <row r="23" ht="24.75" customHeight="1" spans="1:37">
      <c r="A23" s="162" t="s">
        <v>349</v>
      </c>
      <c r="B23" s="168" t="s">
        <v>373</v>
      </c>
      <c r="C23" s="168" t="s">
        <v>374</v>
      </c>
      <c r="D23" s="171">
        <v>2</v>
      </c>
      <c r="E23" s="171"/>
      <c r="F23" s="171"/>
      <c r="G23" s="171"/>
      <c r="H23" s="171">
        <v>1</v>
      </c>
      <c r="I23" s="171"/>
      <c r="J23" s="171">
        <v>2</v>
      </c>
      <c r="K23" s="171"/>
      <c r="L23" s="171"/>
      <c r="M23" s="171"/>
      <c r="N23" s="171"/>
      <c r="O23" s="171">
        <v>2</v>
      </c>
      <c r="W23" s="162" t="s">
        <v>349</v>
      </c>
      <c r="X23" s="163" t="s">
        <v>375</v>
      </c>
      <c r="Y23" s="163" t="s">
        <v>376</v>
      </c>
      <c r="Z23" s="164">
        <f ca="1" t="shared" ref="Z23:AK23" si="37">IF(D26=" "," ",D26-D24)</f>
        <v>-2</v>
      </c>
      <c r="AA23" s="164">
        <f ca="1" t="shared" si="37"/>
        <v>-2</v>
      </c>
      <c r="AB23" s="164">
        <f ca="1" t="shared" si="37"/>
        <v>-1</v>
      </c>
      <c r="AC23" s="164">
        <f ca="1" t="shared" si="37"/>
        <v>-1</v>
      </c>
      <c r="AD23" s="164">
        <f ca="1" t="shared" si="37"/>
        <v>-2</v>
      </c>
      <c r="AE23" s="164">
        <f ca="1" t="shared" si="37"/>
        <v>-2</v>
      </c>
      <c r="AF23" s="164">
        <f ca="1" t="shared" si="37"/>
        <v>-3</v>
      </c>
      <c r="AG23" s="164">
        <f ca="1" t="shared" si="37"/>
        <v>-1</v>
      </c>
      <c r="AH23" s="164">
        <f ca="1" t="shared" si="37"/>
        <v>1</v>
      </c>
      <c r="AI23" s="164">
        <f ca="1" t="shared" si="37"/>
        <v>3</v>
      </c>
      <c r="AJ23" s="164">
        <f ca="1" t="shared" si="37"/>
        <v>4</v>
      </c>
      <c r="AK23" s="164">
        <f ca="1" t="shared" si="37"/>
        <v>2</v>
      </c>
    </row>
    <row r="24" ht="24.75" customHeight="1" spans="1:37">
      <c r="A24" s="165" t="s">
        <v>349</v>
      </c>
      <c r="B24" s="166" t="s">
        <v>373</v>
      </c>
      <c r="C24" s="166" t="s">
        <v>377</v>
      </c>
      <c r="D24" s="167">
        <f>D23</f>
        <v>2</v>
      </c>
      <c r="E24" s="167">
        <f t="shared" ref="E24:O24" si="38">E23+D24</f>
        <v>2</v>
      </c>
      <c r="F24" s="167">
        <f t="shared" si="38"/>
        <v>2</v>
      </c>
      <c r="G24" s="167">
        <f t="shared" si="38"/>
        <v>2</v>
      </c>
      <c r="H24" s="167">
        <f t="shared" si="38"/>
        <v>3</v>
      </c>
      <c r="I24" s="167">
        <f t="shared" si="38"/>
        <v>3</v>
      </c>
      <c r="J24" s="167">
        <f t="shared" si="38"/>
        <v>5</v>
      </c>
      <c r="K24" s="167">
        <f t="shared" si="38"/>
        <v>5</v>
      </c>
      <c r="L24" s="167">
        <f t="shared" si="38"/>
        <v>5</v>
      </c>
      <c r="M24" s="167">
        <f t="shared" si="38"/>
        <v>5</v>
      </c>
      <c r="N24" s="167">
        <f t="shared" si="38"/>
        <v>5</v>
      </c>
      <c r="O24" s="167">
        <f t="shared" si="38"/>
        <v>7</v>
      </c>
      <c r="W24" s="165" t="s">
        <v>349</v>
      </c>
      <c r="X24" s="166" t="s">
        <v>375</v>
      </c>
      <c r="Y24" s="166" t="s">
        <v>378</v>
      </c>
      <c r="Z24" s="174">
        <f ca="1" t="shared" ref="Z24:AK24" si="39">IF(Z23=" "," ",Z23/D24)</f>
        <v>-1</v>
      </c>
      <c r="AA24" s="174">
        <f ca="1" t="shared" si="39"/>
        <v>-1</v>
      </c>
      <c r="AB24" s="174">
        <f ca="1" t="shared" si="39"/>
        <v>-0.5</v>
      </c>
      <c r="AC24" s="174">
        <f ca="1" t="shared" si="39"/>
        <v>-0.5</v>
      </c>
      <c r="AD24" s="174">
        <f ca="1" t="shared" si="39"/>
        <v>-0.666666666666667</v>
      </c>
      <c r="AE24" s="174">
        <f ca="1" t="shared" si="39"/>
        <v>-0.666666666666667</v>
      </c>
      <c r="AF24" s="174">
        <f ca="1" t="shared" si="39"/>
        <v>-0.6</v>
      </c>
      <c r="AG24" s="174">
        <f ca="1" t="shared" si="39"/>
        <v>-0.2</v>
      </c>
      <c r="AH24" s="174">
        <f ca="1" t="shared" si="39"/>
        <v>0.2</v>
      </c>
      <c r="AI24" s="174">
        <f ca="1" t="shared" si="39"/>
        <v>0.6</v>
      </c>
      <c r="AJ24" s="174">
        <f ca="1" t="shared" si="39"/>
        <v>0.8</v>
      </c>
      <c r="AK24" s="174">
        <f ca="1" t="shared" si="39"/>
        <v>0.285714285714286</v>
      </c>
    </row>
    <row r="25" ht="24.75" customHeight="1" spans="1:37">
      <c r="A25" s="165" t="s">
        <v>349</v>
      </c>
      <c r="B25" s="168" t="s">
        <v>375</v>
      </c>
      <c r="C25" s="168" t="s">
        <v>374</v>
      </c>
      <c r="D25" s="169">
        <f ca="1">IF('2025整理'!$S$1&lt;DATE(2025,1,1)," ",'2025整理'!F1599)</f>
        <v>0</v>
      </c>
      <c r="E25" s="169">
        <f ca="1">IF('2025整理'!$S$1&lt;DATE(2025,2,1)," ",'2025整理'!G1599)</f>
        <v>0</v>
      </c>
      <c r="F25" s="169">
        <f ca="1">IF('2025整理'!$S$1&lt;DATE(2025,3,1)," ",'2025整理'!H1599)</f>
        <v>1</v>
      </c>
      <c r="G25" s="169">
        <f ca="1">IF('2025整理'!$S$1&lt;DATE(2025,4,1)," ",'2025整理'!I1599)</f>
        <v>0</v>
      </c>
      <c r="H25" s="169">
        <f ca="1">IF('2025整理'!$S$1&lt;DATE(2025,5,1)," ",'2025整理'!J1599)</f>
        <v>0</v>
      </c>
      <c r="I25" s="169">
        <f ca="1">IF('2025整理'!$S$1&lt;DATE(2025,6,1)," ",'2025整理'!K1599)</f>
        <v>0</v>
      </c>
      <c r="J25" s="169">
        <f ca="1">IF('2025整理'!$S$1&lt;DATE(2025,7,1)," ",'2025整理'!L1599)</f>
        <v>1</v>
      </c>
      <c r="K25" s="169">
        <f ca="1">IF('2025整理'!$S$1&lt;DATE(2025,8,1)," ",'2025整理'!M1599)</f>
        <v>2</v>
      </c>
      <c r="L25" s="169">
        <f ca="1">IF('2025整理'!$S$1&lt;DATE(2025,9,1)," ",'2025整理'!N1599)</f>
        <v>2</v>
      </c>
      <c r="M25" s="169">
        <f ca="1">IF('2025整理'!$S$1&lt;DATE(2025,10,1)," ",'2025整理'!O1599)</f>
        <v>2</v>
      </c>
      <c r="N25" s="169">
        <f ca="1">IF('2025整理'!$S$1&lt;DATE(2025,11,1)," ",'2025整理'!P1599)</f>
        <v>1</v>
      </c>
      <c r="O25" s="169">
        <f ca="1">IF('2025整理'!$S$1&lt;DATE(2025,12,1)," ",'2025整理'!Q1599)</f>
        <v>0</v>
      </c>
      <c r="W25" s="165" t="s">
        <v>349</v>
      </c>
      <c r="X25" s="168" t="s">
        <v>375</v>
      </c>
      <c r="Y25" s="168" t="s">
        <v>379</v>
      </c>
      <c r="Z25" s="169">
        <f ca="1">IF(D25=" "," ",D25-O23)</f>
        <v>-2</v>
      </c>
      <c r="AA25" s="169">
        <f ca="1" t="shared" ref="AA25:AK25" si="40">IF(E25=" "," ",E25-D25)</f>
        <v>0</v>
      </c>
      <c r="AB25" s="169">
        <f ca="1" t="shared" si="40"/>
        <v>1</v>
      </c>
      <c r="AC25" s="169">
        <f ca="1" t="shared" si="40"/>
        <v>-1</v>
      </c>
      <c r="AD25" s="169">
        <f ca="1" t="shared" si="40"/>
        <v>0</v>
      </c>
      <c r="AE25" s="169">
        <f ca="1" t="shared" si="40"/>
        <v>0</v>
      </c>
      <c r="AF25" s="169">
        <f ca="1" t="shared" si="40"/>
        <v>1</v>
      </c>
      <c r="AG25" s="169">
        <f ca="1" t="shared" si="40"/>
        <v>1</v>
      </c>
      <c r="AH25" s="169">
        <f ca="1" t="shared" si="40"/>
        <v>0</v>
      </c>
      <c r="AI25" s="169">
        <f ca="1" t="shared" si="40"/>
        <v>0</v>
      </c>
      <c r="AJ25" s="169">
        <f ca="1" t="shared" si="40"/>
        <v>-1</v>
      </c>
      <c r="AK25" s="169">
        <f ca="1" t="shared" si="40"/>
        <v>-1</v>
      </c>
    </row>
    <row r="26" ht="24.75" customHeight="1" spans="1:37">
      <c r="A26" s="170" t="s">
        <v>349</v>
      </c>
      <c r="B26" s="166" t="s">
        <v>375</v>
      </c>
      <c r="C26" s="166" t="s">
        <v>377</v>
      </c>
      <c r="D26" s="167">
        <f ca="1">IF(D25="","",D25)</f>
        <v>0</v>
      </c>
      <c r="E26" s="167">
        <f ca="1" t="shared" ref="E26:O26" si="41">IF(E25=" "," ",E25+D26)</f>
        <v>0</v>
      </c>
      <c r="F26" s="167">
        <f ca="1" t="shared" si="41"/>
        <v>1</v>
      </c>
      <c r="G26" s="167">
        <f ca="1" t="shared" si="41"/>
        <v>1</v>
      </c>
      <c r="H26" s="167">
        <f ca="1" t="shared" si="41"/>
        <v>1</v>
      </c>
      <c r="I26" s="167">
        <f ca="1" t="shared" si="41"/>
        <v>1</v>
      </c>
      <c r="J26" s="167">
        <f ca="1" t="shared" si="41"/>
        <v>2</v>
      </c>
      <c r="K26" s="167">
        <f ca="1" t="shared" si="41"/>
        <v>4</v>
      </c>
      <c r="L26" s="167">
        <f ca="1" t="shared" si="41"/>
        <v>6</v>
      </c>
      <c r="M26" s="167">
        <f ca="1" t="shared" si="41"/>
        <v>8</v>
      </c>
      <c r="N26" s="167">
        <f ca="1" t="shared" si="41"/>
        <v>9</v>
      </c>
      <c r="O26" s="167">
        <f ca="1" t="shared" si="41"/>
        <v>9</v>
      </c>
      <c r="W26" s="170" t="s">
        <v>349</v>
      </c>
      <c r="X26" s="166" t="s">
        <v>375</v>
      </c>
      <c r="Y26" s="166" t="s">
        <v>380</v>
      </c>
      <c r="Z26" s="174">
        <f ca="1">IF(Z25=" "," ",Z25/O23)</f>
        <v>-1</v>
      </c>
      <c r="AA26" s="174" t="str">
        <f ca="1" t="shared" ref="AA26:AC26" si="42">IFERROR(IF(AA25=" "," ",AA25/D25),"")</f>
        <v/>
      </c>
      <c r="AB26" s="174" t="str">
        <f ca="1" t="shared" si="42"/>
        <v/>
      </c>
      <c r="AC26" s="174">
        <f ca="1" t="shared" si="42"/>
        <v>-1</v>
      </c>
      <c r="AD26" s="174" t="str">
        <f ca="1" t="shared" ref="AD26:AE26" si="43">IF(AD25=0,"",IF(AD25=" "," ",AD25/G25))</f>
        <v/>
      </c>
      <c r="AE26" s="174" t="str">
        <f ca="1" t="shared" si="43"/>
        <v/>
      </c>
      <c r="AF26" s="174" t="e">
        <f ca="1" t="shared" ref="AF26:AK26" si="44">IF(AF25=" "," ",AF25/I25)</f>
        <v>#DIV/0!</v>
      </c>
      <c r="AG26" s="174">
        <f ca="1" t="shared" si="44"/>
        <v>1</v>
      </c>
      <c r="AH26" s="174">
        <f ca="1" t="shared" si="44"/>
        <v>0</v>
      </c>
      <c r="AI26" s="174">
        <f ca="1" t="shared" si="44"/>
        <v>0</v>
      </c>
      <c r="AJ26" s="174">
        <f ca="1" t="shared" si="44"/>
        <v>-0.5</v>
      </c>
      <c r="AK26" s="174">
        <f ca="1" t="shared" si="44"/>
        <v>-1</v>
      </c>
    </row>
    <row r="27" ht="24.75" customHeight="1" spans="1:37">
      <c r="A27" s="162" t="s">
        <v>350</v>
      </c>
      <c r="B27" s="168" t="s">
        <v>373</v>
      </c>
      <c r="C27" s="168" t="s">
        <v>374</v>
      </c>
      <c r="D27" s="171">
        <v>2</v>
      </c>
      <c r="E27" s="171">
        <v>1</v>
      </c>
      <c r="F27" s="171">
        <v>2</v>
      </c>
      <c r="G27" s="171"/>
      <c r="H27" s="171">
        <v>4</v>
      </c>
      <c r="I27" s="171">
        <v>2</v>
      </c>
      <c r="J27" s="171"/>
      <c r="K27" s="171">
        <v>1</v>
      </c>
      <c r="L27" s="171">
        <v>6</v>
      </c>
      <c r="M27" s="171">
        <v>1</v>
      </c>
      <c r="N27" s="171">
        <v>4</v>
      </c>
      <c r="O27" s="171">
        <v>2</v>
      </c>
      <c r="W27" s="162" t="s">
        <v>350</v>
      </c>
      <c r="X27" s="163" t="s">
        <v>375</v>
      </c>
      <c r="Y27" s="163" t="s">
        <v>376</v>
      </c>
      <c r="Z27" s="164">
        <f ca="1" t="shared" ref="Z27:AK27" si="45">IF(D30=" "," ",D30-D28)</f>
        <v>-1</v>
      </c>
      <c r="AA27" s="164">
        <f ca="1" t="shared" si="45"/>
        <v>-1</v>
      </c>
      <c r="AB27" s="164">
        <f ca="1" t="shared" si="45"/>
        <v>3</v>
      </c>
      <c r="AC27" s="164">
        <f ca="1" t="shared" si="45"/>
        <v>4</v>
      </c>
      <c r="AD27" s="164">
        <f ca="1" t="shared" si="45"/>
        <v>2</v>
      </c>
      <c r="AE27" s="164">
        <f ca="1" t="shared" si="45"/>
        <v>1</v>
      </c>
      <c r="AF27" s="164">
        <f ca="1" t="shared" si="45"/>
        <v>2</v>
      </c>
      <c r="AG27" s="164">
        <f ca="1" t="shared" si="45"/>
        <v>4</v>
      </c>
      <c r="AH27" s="164">
        <f ca="1" t="shared" si="45"/>
        <v>-2</v>
      </c>
      <c r="AI27" s="164">
        <f ca="1" t="shared" si="45"/>
        <v>0</v>
      </c>
      <c r="AJ27" s="164">
        <f ca="1" t="shared" si="45"/>
        <v>-2</v>
      </c>
      <c r="AK27" s="164">
        <f ca="1" t="shared" si="45"/>
        <v>-4</v>
      </c>
    </row>
    <row r="28" ht="24.75" customHeight="1" spans="1:37">
      <c r="A28" s="165" t="s">
        <v>350</v>
      </c>
      <c r="B28" s="166" t="s">
        <v>373</v>
      </c>
      <c r="C28" s="166" t="s">
        <v>377</v>
      </c>
      <c r="D28" s="167">
        <f>D27</f>
        <v>2</v>
      </c>
      <c r="E28" s="167">
        <f t="shared" ref="E28:O28" si="46">E27+D28</f>
        <v>3</v>
      </c>
      <c r="F28" s="167">
        <f t="shared" si="46"/>
        <v>5</v>
      </c>
      <c r="G28" s="167">
        <f t="shared" si="46"/>
        <v>5</v>
      </c>
      <c r="H28" s="167">
        <f t="shared" si="46"/>
        <v>9</v>
      </c>
      <c r="I28" s="167">
        <f t="shared" si="46"/>
        <v>11</v>
      </c>
      <c r="J28" s="167">
        <f t="shared" si="46"/>
        <v>11</v>
      </c>
      <c r="K28" s="167">
        <f t="shared" si="46"/>
        <v>12</v>
      </c>
      <c r="L28" s="167">
        <f t="shared" si="46"/>
        <v>18</v>
      </c>
      <c r="M28" s="167">
        <f t="shared" si="46"/>
        <v>19</v>
      </c>
      <c r="N28" s="167">
        <f t="shared" si="46"/>
        <v>23</v>
      </c>
      <c r="O28" s="167">
        <f t="shared" si="46"/>
        <v>25</v>
      </c>
      <c r="W28" s="165" t="s">
        <v>350</v>
      </c>
      <c r="X28" s="166" t="s">
        <v>375</v>
      </c>
      <c r="Y28" s="166" t="s">
        <v>378</v>
      </c>
      <c r="Z28" s="174">
        <f ca="1" t="shared" ref="Z28:AK28" si="47">IF(Z27=" "," ",Z27/D28)</f>
        <v>-0.5</v>
      </c>
      <c r="AA28" s="174">
        <f ca="1" t="shared" si="47"/>
        <v>-0.333333333333333</v>
      </c>
      <c r="AB28" s="174">
        <f ca="1" t="shared" si="47"/>
        <v>0.6</v>
      </c>
      <c r="AC28" s="174">
        <f ca="1" t="shared" si="47"/>
        <v>0.8</v>
      </c>
      <c r="AD28" s="174">
        <f ca="1" t="shared" si="47"/>
        <v>0.222222222222222</v>
      </c>
      <c r="AE28" s="174">
        <f ca="1" t="shared" si="47"/>
        <v>0.0909090909090909</v>
      </c>
      <c r="AF28" s="174">
        <f ca="1" t="shared" si="47"/>
        <v>0.181818181818182</v>
      </c>
      <c r="AG28" s="174">
        <f ca="1" t="shared" si="47"/>
        <v>0.333333333333333</v>
      </c>
      <c r="AH28" s="174">
        <f ca="1" t="shared" si="47"/>
        <v>-0.111111111111111</v>
      </c>
      <c r="AI28" s="174">
        <f ca="1" t="shared" si="47"/>
        <v>0</v>
      </c>
      <c r="AJ28" s="174">
        <f ca="1" t="shared" si="47"/>
        <v>-0.0869565217391304</v>
      </c>
      <c r="AK28" s="174">
        <f ca="1" t="shared" si="47"/>
        <v>-0.16</v>
      </c>
    </row>
    <row r="29" ht="24.75" customHeight="1" spans="1:37">
      <c r="A29" s="165" t="s">
        <v>350</v>
      </c>
      <c r="B29" s="168" t="s">
        <v>375</v>
      </c>
      <c r="C29" s="168" t="s">
        <v>374</v>
      </c>
      <c r="D29" s="169">
        <f ca="1">IF('2025整理'!$S$1&lt;DATE(2025,1,1)," ",'2025整理'!F1909)</f>
        <v>1</v>
      </c>
      <c r="E29" s="169">
        <f ca="1">IF('2025整理'!$S$1&lt;DATE(2025,2,1)," ",'2025整理'!G1909)</f>
        <v>1</v>
      </c>
      <c r="F29" s="169">
        <f ca="1">IF('2025整理'!$S$1&lt;DATE(2025,3,1)," ",'2025整理'!H1909)</f>
        <v>6</v>
      </c>
      <c r="G29" s="169">
        <f ca="1">IF('2025整理'!$S$1&lt;DATE(2025,4,1)," ",'2025整理'!I1909)</f>
        <v>1</v>
      </c>
      <c r="H29" s="169">
        <f ca="1">IF('2025整理'!$S$1&lt;DATE(2025,5,1)," ",'2025整理'!J1909)</f>
        <v>2</v>
      </c>
      <c r="I29" s="169">
        <f ca="1">IF('2025整理'!$S$1&lt;DATE(2025,6,1)," ",'2025整理'!K1909)</f>
        <v>1</v>
      </c>
      <c r="J29" s="169">
        <f ca="1">IF('2025整理'!$S$1&lt;DATE(2025,7,1)," ",'2025整理'!L1909)</f>
        <v>1</v>
      </c>
      <c r="K29" s="169">
        <f ca="1">IF('2025整理'!$S$1&lt;DATE(2025,8,1)," ",'2025整理'!M1909)</f>
        <v>3</v>
      </c>
      <c r="L29" s="169">
        <f ca="1">IF('2025整理'!$S$1&lt;DATE(2025,9,1)," ",'2025整理'!N1909)</f>
        <v>0</v>
      </c>
      <c r="M29" s="169">
        <f ca="1">IF('2025整理'!$S$1&lt;DATE(2025,10,1)," ",'2025整理'!O1909)</f>
        <v>3</v>
      </c>
      <c r="N29" s="169">
        <f ca="1">IF('2025整理'!$S$1&lt;DATE(2025,11,1)," ",'2025整理'!P1909)</f>
        <v>2</v>
      </c>
      <c r="O29" s="169">
        <f ca="1">IF('2025整理'!$S$1&lt;DATE(2025,12,1)," ",'2025整理'!Q1909)</f>
        <v>0</v>
      </c>
      <c r="W29" s="165" t="s">
        <v>350</v>
      </c>
      <c r="X29" s="168" t="s">
        <v>375</v>
      </c>
      <c r="Y29" s="168" t="s">
        <v>379</v>
      </c>
      <c r="Z29" s="169">
        <f ca="1">IF(D29=" "," ",D29-O27)</f>
        <v>-1</v>
      </c>
      <c r="AA29" s="169">
        <f ca="1" t="shared" ref="AA29:AK29" si="48">IF(E29=" "," ",E29-D29)</f>
        <v>0</v>
      </c>
      <c r="AB29" s="169">
        <f ca="1" t="shared" si="48"/>
        <v>5</v>
      </c>
      <c r="AC29" s="169">
        <f ca="1" t="shared" si="48"/>
        <v>-5</v>
      </c>
      <c r="AD29" s="169">
        <f ca="1" t="shared" si="48"/>
        <v>1</v>
      </c>
      <c r="AE29" s="169">
        <f ca="1" t="shared" si="48"/>
        <v>-1</v>
      </c>
      <c r="AF29" s="169">
        <f ca="1" t="shared" si="48"/>
        <v>0</v>
      </c>
      <c r="AG29" s="169">
        <f ca="1" t="shared" si="48"/>
        <v>2</v>
      </c>
      <c r="AH29" s="169">
        <f ca="1" t="shared" si="48"/>
        <v>-3</v>
      </c>
      <c r="AI29" s="169">
        <f ca="1" t="shared" si="48"/>
        <v>3</v>
      </c>
      <c r="AJ29" s="169">
        <f ca="1" t="shared" si="48"/>
        <v>-1</v>
      </c>
      <c r="AK29" s="169">
        <f ca="1" t="shared" si="48"/>
        <v>-2</v>
      </c>
    </row>
    <row r="30" ht="24.75" customHeight="1" spans="1:37">
      <c r="A30" s="170" t="s">
        <v>350</v>
      </c>
      <c r="B30" s="166" t="s">
        <v>375</v>
      </c>
      <c r="C30" s="166" t="s">
        <v>377</v>
      </c>
      <c r="D30" s="167">
        <f ca="1">IF(D29="","",D29)</f>
        <v>1</v>
      </c>
      <c r="E30" s="167">
        <f ca="1" t="shared" ref="E30:O30" si="49">IF(E29=" "," ",E29+D30)</f>
        <v>2</v>
      </c>
      <c r="F30" s="167">
        <f ca="1" t="shared" si="49"/>
        <v>8</v>
      </c>
      <c r="G30" s="167">
        <f ca="1" t="shared" si="49"/>
        <v>9</v>
      </c>
      <c r="H30" s="167">
        <f ca="1" t="shared" si="49"/>
        <v>11</v>
      </c>
      <c r="I30" s="167">
        <f ca="1" t="shared" si="49"/>
        <v>12</v>
      </c>
      <c r="J30" s="167">
        <f ca="1" t="shared" si="49"/>
        <v>13</v>
      </c>
      <c r="K30" s="167">
        <f ca="1" t="shared" si="49"/>
        <v>16</v>
      </c>
      <c r="L30" s="167">
        <f ca="1" t="shared" si="49"/>
        <v>16</v>
      </c>
      <c r="M30" s="167">
        <f ca="1" t="shared" si="49"/>
        <v>19</v>
      </c>
      <c r="N30" s="167">
        <f ca="1" t="shared" si="49"/>
        <v>21</v>
      </c>
      <c r="O30" s="167">
        <f ca="1" t="shared" si="49"/>
        <v>21</v>
      </c>
      <c r="W30" s="170" t="s">
        <v>350</v>
      </c>
      <c r="X30" s="166" t="s">
        <v>375</v>
      </c>
      <c r="Y30" s="166" t="s">
        <v>380</v>
      </c>
      <c r="Z30" s="174">
        <f ca="1">IF(Z29=" "," ",Z29/O27)</f>
        <v>-0.5</v>
      </c>
      <c r="AA30" s="174">
        <f ca="1" t="shared" ref="AA30:AC30" si="50">IFERROR(IF(AA29=" "," ",AA29/D29),"")</f>
        <v>0</v>
      </c>
      <c r="AB30" s="174">
        <f ca="1" t="shared" si="50"/>
        <v>5</v>
      </c>
      <c r="AC30" s="174">
        <f ca="1" t="shared" si="50"/>
        <v>-0.833333333333333</v>
      </c>
      <c r="AD30" s="174">
        <f ca="1" t="shared" ref="AD30:AK30" si="51">IF(AD29=" "," ",AD29/G29)</f>
        <v>1</v>
      </c>
      <c r="AE30" s="174">
        <f ca="1" t="shared" si="51"/>
        <v>-0.5</v>
      </c>
      <c r="AF30" s="174">
        <f ca="1" t="shared" si="51"/>
        <v>0</v>
      </c>
      <c r="AG30" s="174">
        <f ca="1" t="shared" si="51"/>
        <v>2</v>
      </c>
      <c r="AH30" s="174">
        <f ca="1" t="shared" si="51"/>
        <v>-1</v>
      </c>
      <c r="AI30" s="174" t="e">
        <f ca="1" t="shared" si="51"/>
        <v>#DIV/0!</v>
      </c>
      <c r="AJ30" s="174">
        <f ca="1" t="shared" si="51"/>
        <v>-0.333333333333333</v>
      </c>
      <c r="AK30" s="174">
        <f ca="1" t="shared" si="51"/>
        <v>-1</v>
      </c>
    </row>
    <row r="31" ht="24.75" customHeight="1" spans="1:37">
      <c r="A31" s="172" t="s">
        <v>381</v>
      </c>
      <c r="B31" s="168" t="s">
        <v>382</v>
      </c>
      <c r="C31" s="168" t="s">
        <v>374</v>
      </c>
      <c r="D31" s="171">
        <v>7</v>
      </c>
      <c r="E31" s="171">
        <v>8</v>
      </c>
      <c r="F31" s="171">
        <v>8</v>
      </c>
      <c r="G31" s="171">
        <v>18</v>
      </c>
      <c r="H31" s="171">
        <v>18</v>
      </c>
      <c r="I31" s="171">
        <v>12</v>
      </c>
      <c r="J31" s="171">
        <v>10</v>
      </c>
      <c r="K31" s="171">
        <v>17</v>
      </c>
      <c r="L31" s="171">
        <v>14</v>
      </c>
      <c r="M31" s="171">
        <v>9</v>
      </c>
      <c r="N31" s="171">
        <v>15</v>
      </c>
      <c r="O31" s="171">
        <v>35</v>
      </c>
      <c r="W31" s="165" t="s">
        <v>381</v>
      </c>
      <c r="X31" s="163" t="s">
        <v>375</v>
      </c>
      <c r="Y31" s="163" t="s">
        <v>376</v>
      </c>
      <c r="Z31" s="164">
        <f ca="1" t="shared" ref="Z31:AK31" si="52">IF(D36=" "," ",D36-D34)</f>
        <v>-5</v>
      </c>
      <c r="AA31" s="164">
        <f ca="1" t="shared" si="52"/>
        <v>-8</v>
      </c>
      <c r="AB31" s="164">
        <f ca="1" t="shared" si="52"/>
        <v>-11</v>
      </c>
      <c r="AC31" s="164">
        <f ca="1" t="shared" si="52"/>
        <v>-8</v>
      </c>
      <c r="AD31" s="164">
        <f ca="1" t="shared" si="52"/>
        <v>-19</v>
      </c>
      <c r="AE31" s="164">
        <f ca="1" t="shared" si="52"/>
        <v>-20</v>
      </c>
      <c r="AF31" s="164">
        <f ca="1" t="shared" si="52"/>
        <v>-18</v>
      </c>
      <c r="AG31" s="164">
        <f ca="1" t="shared" si="52"/>
        <v>-8</v>
      </c>
      <c r="AH31" s="164">
        <f ca="1" t="shared" si="52"/>
        <v>-8</v>
      </c>
      <c r="AI31" s="164">
        <f ca="1" t="shared" si="52"/>
        <v>-4</v>
      </c>
      <c r="AJ31" s="164">
        <f ca="1" t="shared" si="52"/>
        <v>-9</v>
      </c>
      <c r="AK31" s="164">
        <f ca="1" t="shared" si="52"/>
        <v>-16</v>
      </c>
    </row>
    <row r="32" ht="24.75" customHeight="1" spans="1:37">
      <c r="A32" s="165" t="s">
        <v>381</v>
      </c>
      <c r="B32" s="166" t="s">
        <v>382</v>
      </c>
      <c r="C32" s="166" t="s">
        <v>377</v>
      </c>
      <c r="D32" s="173">
        <f>D31</f>
        <v>7</v>
      </c>
      <c r="E32" s="173">
        <f t="shared" ref="E32:O32" si="53">D32+E31</f>
        <v>15</v>
      </c>
      <c r="F32" s="173">
        <f t="shared" si="53"/>
        <v>23</v>
      </c>
      <c r="G32" s="173">
        <f t="shared" si="53"/>
        <v>41</v>
      </c>
      <c r="H32" s="173">
        <f t="shared" si="53"/>
        <v>59</v>
      </c>
      <c r="I32" s="173">
        <f t="shared" si="53"/>
        <v>71</v>
      </c>
      <c r="J32" s="173">
        <f t="shared" si="53"/>
        <v>81</v>
      </c>
      <c r="K32" s="173">
        <f t="shared" si="53"/>
        <v>98</v>
      </c>
      <c r="L32" s="173">
        <f t="shared" si="53"/>
        <v>112</v>
      </c>
      <c r="M32" s="173">
        <f t="shared" si="53"/>
        <v>121</v>
      </c>
      <c r="N32" s="173">
        <f t="shared" si="53"/>
        <v>136</v>
      </c>
      <c r="O32" s="173">
        <f t="shared" si="53"/>
        <v>171</v>
      </c>
      <c r="W32" s="165" t="s">
        <v>381</v>
      </c>
      <c r="X32" s="166" t="s">
        <v>375</v>
      </c>
      <c r="Y32" s="166" t="s">
        <v>378</v>
      </c>
      <c r="Z32" s="174">
        <f ca="1" t="shared" ref="Z32:AK32" si="54">IF(Z31=" "," ",Z31/D34)</f>
        <v>-0.227272727272727</v>
      </c>
      <c r="AA32" s="174">
        <f ca="1" t="shared" si="54"/>
        <v>-0.258064516129032</v>
      </c>
      <c r="AB32" s="174">
        <f ca="1" t="shared" si="54"/>
        <v>-0.244444444444444</v>
      </c>
      <c r="AC32" s="174">
        <f ca="1" t="shared" si="54"/>
        <v>-0.135593220338983</v>
      </c>
      <c r="AD32" s="174">
        <f ca="1" t="shared" si="54"/>
        <v>-0.223529411764706</v>
      </c>
      <c r="AE32" s="174">
        <f ca="1" t="shared" si="54"/>
        <v>-0.202020202020202</v>
      </c>
      <c r="AF32" s="174">
        <f ca="1" t="shared" si="54"/>
        <v>-0.15929203539823</v>
      </c>
      <c r="AG32" s="174">
        <f ca="1" t="shared" si="54"/>
        <v>-0.062992125984252</v>
      </c>
      <c r="AH32" s="174">
        <f ca="1" t="shared" si="54"/>
        <v>-0.0547945205479452</v>
      </c>
      <c r="AI32" s="174">
        <f ca="1" t="shared" si="54"/>
        <v>-0.025</v>
      </c>
      <c r="AJ32" s="174">
        <f ca="1" t="shared" si="54"/>
        <v>-0.050561797752809</v>
      </c>
      <c r="AK32" s="174">
        <f ca="1" t="shared" si="54"/>
        <v>-0.0808080808080808</v>
      </c>
    </row>
    <row r="33" ht="24.75" customHeight="1" spans="1:37">
      <c r="A33" s="165" t="s">
        <v>381</v>
      </c>
      <c r="B33" s="168" t="s">
        <v>373</v>
      </c>
      <c r="C33" s="168" t="s">
        <v>374</v>
      </c>
      <c r="D33" s="171">
        <f t="shared" ref="D33:O33" si="55">SUM(D3,D7,D11,D15,D19,D23,D27)</f>
        <v>22</v>
      </c>
      <c r="E33" s="171">
        <f t="shared" si="55"/>
        <v>9</v>
      </c>
      <c r="F33" s="171">
        <f t="shared" si="55"/>
        <v>14</v>
      </c>
      <c r="G33" s="171">
        <f t="shared" si="55"/>
        <v>14</v>
      </c>
      <c r="H33" s="171">
        <f t="shared" si="55"/>
        <v>26</v>
      </c>
      <c r="I33" s="171">
        <f t="shared" si="55"/>
        <v>14</v>
      </c>
      <c r="J33" s="171">
        <f t="shared" si="55"/>
        <v>14</v>
      </c>
      <c r="K33" s="171">
        <f t="shared" si="55"/>
        <v>14</v>
      </c>
      <c r="L33" s="171">
        <f t="shared" si="55"/>
        <v>19</v>
      </c>
      <c r="M33" s="171">
        <f t="shared" si="55"/>
        <v>14</v>
      </c>
      <c r="N33" s="171">
        <f t="shared" si="55"/>
        <v>18</v>
      </c>
      <c r="O33" s="171">
        <f t="shared" si="55"/>
        <v>20</v>
      </c>
      <c r="W33" s="165" t="s">
        <v>381</v>
      </c>
      <c r="X33" s="168" t="s">
        <v>375</v>
      </c>
      <c r="Y33" s="168" t="s">
        <v>379</v>
      </c>
      <c r="Z33" s="169">
        <f ca="1">IF(D35=" "," ",D35-O33)</f>
        <v>-3</v>
      </c>
      <c r="AA33" s="169">
        <f ca="1" t="shared" ref="AA33:AK33" si="56">IF(E35=" "," ",E35-D35)</f>
        <v>-11</v>
      </c>
      <c r="AB33" s="169">
        <f ca="1" t="shared" si="56"/>
        <v>5</v>
      </c>
      <c r="AC33" s="169">
        <f ca="1" t="shared" si="56"/>
        <v>6</v>
      </c>
      <c r="AD33" s="169">
        <f ca="1" t="shared" si="56"/>
        <v>-2</v>
      </c>
      <c r="AE33" s="169">
        <f ca="1" t="shared" si="56"/>
        <v>-2</v>
      </c>
      <c r="AF33" s="169">
        <f ca="1" t="shared" si="56"/>
        <v>3</v>
      </c>
      <c r="AG33" s="169">
        <f ca="1" t="shared" si="56"/>
        <v>8</v>
      </c>
      <c r="AH33" s="169">
        <f ca="1" t="shared" si="56"/>
        <v>-5</v>
      </c>
      <c r="AI33" s="169">
        <f ca="1" t="shared" si="56"/>
        <v>-1</v>
      </c>
      <c r="AJ33" s="169">
        <f ca="1" t="shared" si="56"/>
        <v>-5</v>
      </c>
      <c r="AK33" s="169">
        <f ca="1" t="shared" si="56"/>
        <v>0</v>
      </c>
    </row>
    <row r="34" ht="24.75" customHeight="1" spans="1:37">
      <c r="A34" s="165" t="s">
        <v>381</v>
      </c>
      <c r="B34" s="166" t="s">
        <v>373</v>
      </c>
      <c r="C34" s="166" t="s">
        <v>377</v>
      </c>
      <c r="D34" s="167">
        <f t="shared" ref="D34:O34" si="57">SUM(D4,D8,D12,D16,D20,D24,D28)</f>
        <v>22</v>
      </c>
      <c r="E34" s="167">
        <f t="shared" si="57"/>
        <v>31</v>
      </c>
      <c r="F34" s="167">
        <f t="shared" si="57"/>
        <v>45</v>
      </c>
      <c r="G34" s="167">
        <f t="shared" si="57"/>
        <v>59</v>
      </c>
      <c r="H34" s="167">
        <f t="shared" si="57"/>
        <v>85</v>
      </c>
      <c r="I34" s="167">
        <f t="shared" si="57"/>
        <v>99</v>
      </c>
      <c r="J34" s="167">
        <f t="shared" si="57"/>
        <v>113</v>
      </c>
      <c r="K34" s="167">
        <f t="shared" si="57"/>
        <v>127</v>
      </c>
      <c r="L34" s="167">
        <f t="shared" si="57"/>
        <v>146</v>
      </c>
      <c r="M34" s="167">
        <f t="shared" si="57"/>
        <v>160</v>
      </c>
      <c r="N34" s="167">
        <f t="shared" si="57"/>
        <v>178</v>
      </c>
      <c r="O34" s="167">
        <f t="shared" si="57"/>
        <v>198</v>
      </c>
      <c r="W34" s="170" t="s">
        <v>381</v>
      </c>
      <c r="X34" s="166" t="s">
        <v>375</v>
      </c>
      <c r="Y34" s="166" t="s">
        <v>380</v>
      </c>
      <c r="Z34" s="174">
        <f ca="1">IF(Z33=" "," ",Z33/O33)</f>
        <v>-0.15</v>
      </c>
      <c r="AA34" s="174">
        <f ca="1" t="shared" ref="AA34:AC34" si="58">IFERROR(IF(AA33=" "," ",AA33/D33),"")</f>
        <v>-0.5</v>
      </c>
      <c r="AB34" s="174">
        <f ca="1" t="shared" si="58"/>
        <v>0.555555555555556</v>
      </c>
      <c r="AC34" s="174">
        <f ca="1" t="shared" si="58"/>
        <v>0.428571428571429</v>
      </c>
      <c r="AD34" s="174">
        <f ca="1" t="shared" ref="AD34:AK34" si="59">IF(AD33=" "," ",AD33/G35)</f>
        <v>-0.117647058823529</v>
      </c>
      <c r="AE34" s="174">
        <f ca="1" t="shared" si="59"/>
        <v>-0.133333333333333</v>
      </c>
      <c r="AF34" s="174">
        <f ca="1" t="shared" si="59"/>
        <v>0.230769230769231</v>
      </c>
      <c r="AG34" s="174">
        <f ca="1" t="shared" si="59"/>
        <v>0.5</v>
      </c>
      <c r="AH34" s="174">
        <f ca="1" t="shared" si="59"/>
        <v>-0.208333333333333</v>
      </c>
      <c r="AI34" s="174">
        <f ca="1" t="shared" si="59"/>
        <v>-0.0526315789473684</v>
      </c>
      <c r="AJ34" s="174">
        <f ca="1" t="shared" si="59"/>
        <v>-0.277777777777778</v>
      </c>
      <c r="AK34" s="174">
        <f ca="1" t="shared" si="59"/>
        <v>0</v>
      </c>
    </row>
    <row r="35" ht="24.75" customHeight="1" spans="1:15">
      <c r="A35" s="165" t="s">
        <v>381</v>
      </c>
      <c r="B35" s="168" t="s">
        <v>375</v>
      </c>
      <c r="C35" s="168" t="s">
        <v>374</v>
      </c>
      <c r="D35" s="169">
        <f ca="1">IF('2025整理'!$S$1&lt;DATE(2025,1,1)," ",SUM(D5,D9,D13,D17,D21,D25,D29))</f>
        <v>17</v>
      </c>
      <c r="E35" s="169">
        <f ca="1">IF('2025整理'!$S$1&lt;DATE(2025,2,1)," ",SUM(E5,E9,E13,E17,E21,E25,E29))</f>
        <v>6</v>
      </c>
      <c r="F35" s="169">
        <f ca="1">IF('2025整理'!$S$1&lt;DATE(2025,3,1)," ",SUM(F5,F9,F13,F17,F21,F25,F29))</f>
        <v>11</v>
      </c>
      <c r="G35" s="169">
        <f ca="1">IF('2025整理'!$S$1&lt;DATE(2025,4,1)," ",SUM(G5,G9,G13,G17,G21,G25,G29))</f>
        <v>17</v>
      </c>
      <c r="H35" s="169">
        <f ca="1">IF('2025整理'!$S$1&lt;DATE(2025,5,1)," ",SUM(H5,H9,H13,H17,H21,H25,H29))</f>
        <v>15</v>
      </c>
      <c r="I35" s="169">
        <f ca="1">IF('2025整理'!$S$1&lt;DATE(2025,6,1)," ",SUM(I5,I9,I13,I17,I21,I25,I29))</f>
        <v>13</v>
      </c>
      <c r="J35" s="169">
        <f ca="1">IF('2025整理'!$S$1&lt;DATE(2025,7,1)," ",SUM(J5,J9,J13,J17,J21,J25,J29))</f>
        <v>16</v>
      </c>
      <c r="K35" s="169">
        <f ca="1">IF('2025整理'!$S$1&lt;DATE(2025,8,1)," ",SUM(K5,K9,K13,K17,K21,K25,K29))</f>
        <v>24</v>
      </c>
      <c r="L35" s="169">
        <f ca="1">IF('2025整理'!$S$1&lt;DATE(2025,9,1)," ",SUM(L5,L9,L13,L17,L21,L25,L29))</f>
        <v>19</v>
      </c>
      <c r="M35" s="169">
        <f ca="1">IF('2025整理'!$S$1&lt;DATE(2025,10,1)," ",SUM(M5,M9,M13,M17,M21,M25,M29))</f>
        <v>18</v>
      </c>
      <c r="N35" s="169">
        <f ca="1">IF('2025整理'!$S$1&lt;DATE(2025,11,1)," ",SUM(N5,N9,N13,N17,N21,N25,N29))</f>
        <v>13</v>
      </c>
      <c r="O35" s="169">
        <f ca="1">IF('2025整理'!$S$1&lt;DATE(2025,12,1)," ",SUM(O5,O9,O13,O17,O21,O25,O29))</f>
        <v>13</v>
      </c>
    </row>
    <row r="36" ht="24.75" customHeight="1" spans="1:15">
      <c r="A36" s="170" t="s">
        <v>381</v>
      </c>
      <c r="B36" s="166" t="s">
        <v>375</v>
      </c>
      <c r="C36" s="166" t="s">
        <v>377</v>
      </c>
      <c r="D36" s="167">
        <f ca="1">IF(D35="","",D35)</f>
        <v>17</v>
      </c>
      <c r="E36" s="167">
        <f ca="1" t="shared" ref="E36:O36" si="60">IF(E35=" "," ",E35+D36)</f>
        <v>23</v>
      </c>
      <c r="F36" s="167">
        <f ca="1" t="shared" si="60"/>
        <v>34</v>
      </c>
      <c r="G36" s="167">
        <f ca="1" t="shared" si="60"/>
        <v>51</v>
      </c>
      <c r="H36" s="167">
        <f ca="1" t="shared" si="60"/>
        <v>66</v>
      </c>
      <c r="I36" s="167">
        <f ca="1" t="shared" si="60"/>
        <v>79</v>
      </c>
      <c r="J36" s="167">
        <f ca="1" t="shared" si="60"/>
        <v>95</v>
      </c>
      <c r="K36" s="167">
        <f ca="1" t="shared" si="60"/>
        <v>119</v>
      </c>
      <c r="L36" s="167">
        <f ca="1" t="shared" si="60"/>
        <v>138</v>
      </c>
      <c r="M36" s="167">
        <f ca="1" t="shared" si="60"/>
        <v>156</v>
      </c>
      <c r="N36" s="167">
        <f ca="1" t="shared" si="60"/>
        <v>169</v>
      </c>
      <c r="O36" s="167">
        <f ca="1" t="shared" si="60"/>
        <v>182</v>
      </c>
    </row>
    <row r="37" ht="24.75" customHeight="1"/>
    <row r="38" ht="24.75" customHeight="1"/>
    <row r="39" ht="24.75" customHeight="1"/>
    <row r="40" ht="24.75" customHeight="1"/>
    <row r="41" ht="24.75" customHeight="1"/>
    <row r="42" ht="24.75" customHeight="1"/>
    <row r="43" ht="24.75" customHeight="1"/>
    <row r="44" ht="24.75" customHeight="1"/>
    <row r="45" ht="24.75" customHeight="1"/>
    <row r="46" ht="24.75" customHeight="1"/>
    <row r="47" ht="24.75" customHeight="1"/>
    <row r="48" ht="24.75" customHeight="1"/>
    <row r="49" ht="24.75" customHeight="1"/>
    <row r="50" ht="24.75" customHeight="1"/>
    <row r="51" ht="24.75" customHeight="1"/>
    <row r="52" ht="24.75" customHeight="1"/>
    <row r="53" ht="24.75" customHeight="1" spans="1:25">
      <c r="A53" s="140" t="s">
        <v>383</v>
      </c>
      <c r="B53" s="141"/>
      <c r="C53" s="141"/>
      <c r="W53" s="140" t="s">
        <v>384</v>
      </c>
      <c r="X53" s="141"/>
      <c r="Y53" s="141"/>
    </row>
    <row r="54" ht="24.75" customHeight="1" spans="1:37">
      <c r="A54" s="161" t="s">
        <v>272</v>
      </c>
      <c r="B54" s="161" t="s">
        <v>371</v>
      </c>
      <c r="C54" s="161" t="s">
        <v>372</v>
      </c>
      <c r="D54" s="161" t="s">
        <v>277</v>
      </c>
      <c r="E54" s="161" t="s">
        <v>278</v>
      </c>
      <c r="F54" s="161" t="s">
        <v>279</v>
      </c>
      <c r="G54" s="161" t="s">
        <v>280</v>
      </c>
      <c r="H54" s="161" t="s">
        <v>281</v>
      </c>
      <c r="I54" s="161" t="s">
        <v>282</v>
      </c>
      <c r="J54" s="161" t="s">
        <v>283</v>
      </c>
      <c r="K54" s="161" t="s">
        <v>284</v>
      </c>
      <c r="L54" s="161" t="s">
        <v>285</v>
      </c>
      <c r="M54" s="161" t="s">
        <v>286</v>
      </c>
      <c r="N54" s="161" t="s">
        <v>287</v>
      </c>
      <c r="O54" s="161" t="s">
        <v>288</v>
      </c>
      <c r="W54" s="161" t="s">
        <v>272</v>
      </c>
      <c r="X54" s="161" t="s">
        <v>371</v>
      </c>
      <c r="Y54" s="161" t="s">
        <v>372</v>
      </c>
      <c r="Z54" s="161" t="s">
        <v>277</v>
      </c>
      <c r="AA54" s="161" t="s">
        <v>278</v>
      </c>
      <c r="AB54" s="161" t="s">
        <v>279</v>
      </c>
      <c r="AC54" s="161" t="s">
        <v>280</v>
      </c>
      <c r="AD54" s="161" t="s">
        <v>281</v>
      </c>
      <c r="AE54" s="161" t="s">
        <v>282</v>
      </c>
      <c r="AF54" s="161" t="s">
        <v>283</v>
      </c>
      <c r="AG54" s="161" t="s">
        <v>284</v>
      </c>
      <c r="AH54" s="161" t="s">
        <v>285</v>
      </c>
      <c r="AI54" s="161" t="s">
        <v>286</v>
      </c>
      <c r="AJ54" s="161" t="s">
        <v>287</v>
      </c>
      <c r="AK54" s="161" t="s">
        <v>288</v>
      </c>
    </row>
    <row r="55" ht="24.75" customHeight="1" spans="1:37">
      <c r="A55" s="162" t="s">
        <v>289</v>
      </c>
      <c r="B55" s="163" t="s">
        <v>382</v>
      </c>
      <c r="C55" s="163" t="s">
        <v>374</v>
      </c>
      <c r="D55" s="175">
        <v>1.084176</v>
      </c>
      <c r="E55" s="175">
        <v>2.058968</v>
      </c>
      <c r="F55" s="175">
        <v>2.449324</v>
      </c>
      <c r="G55" s="175">
        <v>0.871828</v>
      </c>
      <c r="H55" s="175">
        <v>1.368155</v>
      </c>
      <c r="I55" s="175">
        <v>0.840461</v>
      </c>
      <c r="J55" s="175">
        <v>3.311145</v>
      </c>
      <c r="K55" s="175">
        <v>13.973705</v>
      </c>
      <c r="L55" s="175">
        <v>0.972474</v>
      </c>
      <c r="M55" s="175">
        <v>2.043349</v>
      </c>
      <c r="N55" s="175">
        <v>7.0441</v>
      </c>
      <c r="O55" s="175">
        <v>13.225675</v>
      </c>
      <c r="W55" s="162" t="s">
        <v>289</v>
      </c>
      <c r="X55" s="163" t="s">
        <v>375</v>
      </c>
      <c r="Y55" s="163" t="s">
        <v>376</v>
      </c>
      <c r="Z55" s="178">
        <f ca="1" t="shared" ref="Z55:AK55" si="61">IF(D60=" "," ",D60-D58)</f>
        <v>4.34002</v>
      </c>
      <c r="AA55" s="178">
        <f ca="1" t="shared" si="61"/>
        <v>10.90711</v>
      </c>
      <c r="AB55" s="178">
        <f ca="1" t="shared" si="61"/>
        <v>8.403108</v>
      </c>
      <c r="AC55" s="178">
        <f ca="1" t="shared" si="61"/>
        <v>9.2944986454</v>
      </c>
      <c r="AD55" s="178">
        <f ca="1" t="shared" si="61"/>
        <v>-9.9150953546</v>
      </c>
      <c r="AE55" s="178">
        <f ca="1" t="shared" si="61"/>
        <v>-13.6671743546</v>
      </c>
      <c r="AF55" s="178">
        <f ca="1" t="shared" si="61"/>
        <v>-11.1761473546</v>
      </c>
      <c r="AG55" s="178">
        <f ca="1" t="shared" si="61"/>
        <v>-8.6121533546</v>
      </c>
      <c r="AH55" s="178">
        <f ca="1" t="shared" si="61"/>
        <v>-5.48535335459999</v>
      </c>
      <c r="AI55" s="178">
        <f ca="1" t="shared" si="61"/>
        <v>-5.7740023546</v>
      </c>
      <c r="AJ55" s="178">
        <f ca="1" t="shared" si="61"/>
        <v>-3.8841023546</v>
      </c>
      <c r="AK55" s="178">
        <f ca="1" t="shared" si="61"/>
        <v>-3.13135635459999</v>
      </c>
    </row>
    <row r="56" ht="24.75" customHeight="1" spans="1:37">
      <c r="A56" s="165" t="s">
        <v>289</v>
      </c>
      <c r="B56" s="166" t="s">
        <v>382</v>
      </c>
      <c r="C56" s="166" t="s">
        <v>377</v>
      </c>
      <c r="D56" s="175">
        <f>D55</f>
        <v>1.084176</v>
      </c>
      <c r="E56" s="175">
        <f t="shared" ref="E56:O56" si="62">E55+D56</f>
        <v>3.143144</v>
      </c>
      <c r="F56" s="175">
        <f t="shared" si="62"/>
        <v>5.592468</v>
      </c>
      <c r="G56" s="175">
        <f t="shared" si="62"/>
        <v>6.464296</v>
      </c>
      <c r="H56" s="175">
        <f t="shared" si="62"/>
        <v>7.832451</v>
      </c>
      <c r="I56" s="175">
        <f t="shared" si="62"/>
        <v>8.672912</v>
      </c>
      <c r="J56" s="175">
        <f t="shared" si="62"/>
        <v>11.984057</v>
      </c>
      <c r="K56" s="175">
        <f t="shared" si="62"/>
        <v>25.957762</v>
      </c>
      <c r="L56" s="175">
        <f t="shared" si="62"/>
        <v>26.930236</v>
      </c>
      <c r="M56" s="175">
        <f t="shared" si="62"/>
        <v>28.973585</v>
      </c>
      <c r="N56" s="175">
        <f t="shared" si="62"/>
        <v>36.017685</v>
      </c>
      <c r="O56" s="175">
        <f t="shared" si="62"/>
        <v>49.24336</v>
      </c>
      <c r="W56" s="165" t="s">
        <v>289</v>
      </c>
      <c r="X56" s="166" t="s">
        <v>375</v>
      </c>
      <c r="Y56" s="166" t="s">
        <v>378</v>
      </c>
      <c r="Z56" s="174">
        <f ca="1" t="shared" ref="Z56:AK56" si="63">IF(Z55=" "," ",Z55/D58)</f>
        <v>1.02404174673346</v>
      </c>
      <c r="AA56" s="174">
        <f ca="1" t="shared" si="63"/>
        <v>1.52033714429007</v>
      </c>
      <c r="AB56" s="174">
        <f ca="1" t="shared" si="63"/>
        <v>0.850322238944663</v>
      </c>
      <c r="AC56" s="174">
        <f ca="1" t="shared" si="63"/>
        <v>0.78169061246242</v>
      </c>
      <c r="AD56" s="174">
        <f ca="1" t="shared" si="63"/>
        <v>-0.245205105797636</v>
      </c>
      <c r="AE56" s="174">
        <f ca="1" t="shared" si="63"/>
        <v>-0.305941996225882</v>
      </c>
      <c r="AF56" s="174">
        <f ca="1" t="shared" si="63"/>
        <v>-0.232171308098402</v>
      </c>
      <c r="AG56" s="174">
        <f ca="1" t="shared" si="63"/>
        <v>-0.161741424899057</v>
      </c>
      <c r="AH56" s="174">
        <f ca="1" t="shared" si="63"/>
        <v>-0.1003851690787</v>
      </c>
      <c r="AI56" s="174">
        <f ca="1" t="shared" si="63"/>
        <v>-0.104717357599952</v>
      </c>
      <c r="AJ56" s="174">
        <f ca="1" t="shared" si="63"/>
        <v>-0.067735402190433</v>
      </c>
      <c r="AK56" s="174">
        <f ca="1" t="shared" si="63"/>
        <v>-0.0530184893901629</v>
      </c>
    </row>
    <row r="57" ht="24.75" customHeight="1" spans="1:37">
      <c r="A57" s="162" t="s">
        <v>289</v>
      </c>
      <c r="B57" s="163" t="s">
        <v>373</v>
      </c>
      <c r="C57" s="163" t="s">
        <v>374</v>
      </c>
      <c r="D57" s="175">
        <v>4.238128</v>
      </c>
      <c r="E57" s="175">
        <v>2.936011</v>
      </c>
      <c r="F57" s="175">
        <v>2.708124</v>
      </c>
      <c r="G57" s="175">
        <v>2.0079893546</v>
      </c>
      <c r="H57" s="175">
        <v>28.545673</v>
      </c>
      <c r="I57" s="175">
        <v>4.236511</v>
      </c>
      <c r="J57" s="175">
        <v>3.465068</v>
      </c>
      <c r="K57" s="175">
        <v>5.108925</v>
      </c>
      <c r="L57" s="175">
        <v>1.396636</v>
      </c>
      <c r="M57" s="175">
        <v>0.495858</v>
      </c>
      <c r="N57" s="175">
        <v>2.203356</v>
      </c>
      <c r="O57" s="175">
        <v>1.719312</v>
      </c>
      <c r="W57" s="165" t="s">
        <v>289</v>
      </c>
      <c r="X57" s="168" t="s">
        <v>375</v>
      </c>
      <c r="Y57" s="168" t="s">
        <v>379</v>
      </c>
      <c r="Z57" s="176">
        <f ca="1">IF(D59=" "," ",D59-O57)</f>
        <v>6.858836</v>
      </c>
      <c r="AA57" s="176">
        <f ca="1" t="shared" ref="AA57:AK57" si="64">IF(E59=" "," ",E59-D59)</f>
        <v>0.924953000000002</v>
      </c>
      <c r="AB57" s="176">
        <f ca="1" t="shared" si="64"/>
        <v>-9.298979</v>
      </c>
      <c r="AC57" s="176">
        <f ca="1" t="shared" si="64"/>
        <v>2.695258</v>
      </c>
      <c r="AD57" s="176">
        <f ca="1" t="shared" si="64"/>
        <v>6.436699</v>
      </c>
      <c r="AE57" s="176">
        <f ca="1" t="shared" si="64"/>
        <v>-8.851647</v>
      </c>
      <c r="AF57" s="176">
        <f ca="1" t="shared" si="64"/>
        <v>5.471663</v>
      </c>
      <c r="AG57" s="176">
        <f ca="1" t="shared" si="64"/>
        <v>1.716824</v>
      </c>
      <c r="AH57" s="176">
        <f ca="1" t="shared" si="64"/>
        <v>-3.149483</v>
      </c>
      <c r="AI57" s="176">
        <f ca="1" t="shared" si="64"/>
        <v>-4.316227</v>
      </c>
      <c r="AJ57" s="176">
        <f ca="1" t="shared" si="64"/>
        <v>3.886047</v>
      </c>
      <c r="AK57" s="176">
        <f ca="1" t="shared" si="64"/>
        <v>-1.621198</v>
      </c>
    </row>
    <row r="58" ht="24.75" customHeight="1" spans="1:37">
      <c r="A58" s="165" t="s">
        <v>289</v>
      </c>
      <c r="B58" s="166" t="s">
        <v>373</v>
      </c>
      <c r="C58" s="166" t="s">
        <v>377</v>
      </c>
      <c r="D58" s="175">
        <f>D57</f>
        <v>4.238128</v>
      </c>
      <c r="E58" s="175">
        <f t="shared" ref="E58:O58" si="65">E57+D58</f>
        <v>7.174139</v>
      </c>
      <c r="F58" s="175">
        <f t="shared" si="65"/>
        <v>9.882263</v>
      </c>
      <c r="G58" s="175">
        <f t="shared" si="65"/>
        <v>11.8902523546</v>
      </c>
      <c r="H58" s="175">
        <f t="shared" si="65"/>
        <v>40.4359253546</v>
      </c>
      <c r="I58" s="175">
        <f t="shared" si="65"/>
        <v>44.6724363546</v>
      </c>
      <c r="J58" s="175">
        <f t="shared" si="65"/>
        <v>48.1375043546</v>
      </c>
      <c r="K58" s="175">
        <f t="shared" si="65"/>
        <v>53.2464293546</v>
      </c>
      <c r="L58" s="175">
        <f t="shared" si="65"/>
        <v>54.6430653546</v>
      </c>
      <c r="M58" s="175">
        <f t="shared" si="65"/>
        <v>55.1389233546</v>
      </c>
      <c r="N58" s="175">
        <f t="shared" si="65"/>
        <v>57.3422793546</v>
      </c>
      <c r="O58" s="175">
        <f t="shared" si="65"/>
        <v>59.0615913546</v>
      </c>
      <c r="W58" s="170" t="s">
        <v>289</v>
      </c>
      <c r="X58" s="166" t="s">
        <v>375</v>
      </c>
      <c r="Y58" s="166" t="s">
        <v>380</v>
      </c>
      <c r="Z58" s="174">
        <f ca="1">IF(Z57=" "," ",Z57/O57)</f>
        <v>3.98929106526331</v>
      </c>
      <c r="AA58" s="174">
        <f ca="1" t="shared" ref="AA58:AC58" si="66">IFERROR(IF(AA57=" "," ",AA57/D59),"")</f>
        <v>0.107826654424708</v>
      </c>
      <c r="AB58" s="174">
        <f ca="1" t="shared" si="66"/>
        <v>-0.97852048505009</v>
      </c>
      <c r="AC58" s="174">
        <f ca="1" t="shared" si="66"/>
        <v>13.2041524186516</v>
      </c>
      <c r="AD58" s="174">
        <f ca="1" t="shared" ref="AD58:AK58" si="67">IF(AD57=" "," ",AD57/G59)</f>
        <v>2.22002600555981</v>
      </c>
      <c r="AE58" s="174">
        <f ca="1" t="shared" si="67"/>
        <v>-0.948111835814586</v>
      </c>
      <c r="AF58" s="174">
        <f ca="1" t="shared" si="67"/>
        <v>11.2950073488126</v>
      </c>
      <c r="AG58" s="174">
        <f ca="1" t="shared" si="67"/>
        <v>0.2882465776654</v>
      </c>
      <c r="AH58" s="174">
        <f ca="1" t="shared" si="67"/>
        <v>-0.410467385358818</v>
      </c>
      <c r="AI58" s="174">
        <f ca="1" t="shared" si="67"/>
        <v>-0.954192122979081</v>
      </c>
      <c r="AJ58" s="174">
        <f ca="1" t="shared" si="67"/>
        <v>18.7542384741975</v>
      </c>
      <c r="AK58" s="174">
        <f ca="1" t="shared" si="67"/>
        <v>-0.39606562599554</v>
      </c>
    </row>
    <row r="59" ht="24.75" customHeight="1" spans="1:37">
      <c r="A59" s="165" t="s">
        <v>289</v>
      </c>
      <c r="B59" s="168" t="s">
        <v>375</v>
      </c>
      <c r="C59" s="168" t="s">
        <v>374</v>
      </c>
      <c r="D59" s="176">
        <f ca="1">IF('2025整理'!$S$1&lt;DATE(2025,1,1)," ",'2025整理'!F218)</f>
        <v>8.578148</v>
      </c>
      <c r="E59" s="176">
        <f ca="1">IF('2025整理'!$S$1&lt;DATE(2025,2,1)," ",'2025整理'!G218)</f>
        <v>9.503101</v>
      </c>
      <c r="F59" s="176">
        <f ca="1">IF('2025整理'!$S$1&lt;DATE(2025,3,1)," ",'2025整理'!H218)</f>
        <v>0.204122</v>
      </c>
      <c r="G59" s="176">
        <f ca="1">IF('2025整理'!$S$1&lt;DATE(2025,4,1)," ",'2025整理'!I218)</f>
        <v>2.89938</v>
      </c>
      <c r="H59" s="176">
        <f ca="1">IF('2025整理'!$S$1&lt;DATE(2025,5,1)," ",'2025整理'!J218)</f>
        <v>9.336079</v>
      </c>
      <c r="I59" s="176">
        <f ca="1">IF('2025整理'!$S$1&lt;DATE(2025,6,1)," ",'2025整理'!K218)</f>
        <v>0.484432</v>
      </c>
      <c r="J59" s="176">
        <f ca="1">IF('2025整理'!$S$1&lt;DATE(2025,7,1)," ",'2025整理'!L218)</f>
        <v>5.956095</v>
      </c>
      <c r="K59" s="176">
        <f ca="1">IF('2025整理'!$S$1&lt;DATE(2025,8,1)," ",'2025整理'!M218)</f>
        <v>7.672919</v>
      </c>
      <c r="L59" s="176">
        <f ca="1">IF('2025整理'!$S$1&lt;DATE(2025,9,1)," ",'2025整理'!N218)</f>
        <v>4.523436</v>
      </c>
      <c r="M59" s="176">
        <f ca="1">IF('2025整理'!$S$1&lt;DATE(2025,10,1)," ",'2025整理'!O218)</f>
        <v>0.207209</v>
      </c>
      <c r="N59" s="176">
        <f ca="1">IF('2025整理'!$S$1&lt;DATE(2025,11,1)," ",'2025整理'!P218)</f>
        <v>4.093256</v>
      </c>
      <c r="O59" s="176">
        <f ca="1">IF('2025整理'!$S$1&lt;DATE(2025,12,1)," ",'2025整理'!Q218)</f>
        <v>2.472058</v>
      </c>
      <c r="W59" s="162" t="s">
        <v>346</v>
      </c>
      <c r="X59" s="163" t="s">
        <v>375</v>
      </c>
      <c r="Y59" s="163" t="s">
        <v>376</v>
      </c>
      <c r="Z59" s="178">
        <f ca="1" t="shared" ref="Z59:AK59" si="68">IF(D66=" "," ",D66-D64)</f>
        <v>0.789874999999999</v>
      </c>
      <c r="AA59" s="178">
        <f ca="1" t="shared" si="68"/>
        <v>-0.0875240000000002</v>
      </c>
      <c r="AB59" s="178">
        <f ca="1" t="shared" si="68"/>
        <v>-2.918402</v>
      </c>
      <c r="AC59" s="178">
        <f ca="1" t="shared" si="68"/>
        <v>16.740137</v>
      </c>
      <c r="AD59" s="178">
        <f ca="1" t="shared" si="68"/>
        <v>16.83158</v>
      </c>
      <c r="AE59" s="178">
        <f ca="1" t="shared" si="68"/>
        <v>29.460261</v>
      </c>
      <c r="AF59" s="178">
        <f ca="1" t="shared" si="68"/>
        <v>31.117015</v>
      </c>
      <c r="AG59" s="178">
        <f ca="1" t="shared" si="68"/>
        <v>31.425041</v>
      </c>
      <c r="AH59" s="178">
        <f ca="1" t="shared" si="68"/>
        <v>29.311461</v>
      </c>
      <c r="AI59" s="178">
        <f ca="1" t="shared" si="68"/>
        <v>25.540759</v>
      </c>
      <c r="AJ59" s="178">
        <f ca="1" t="shared" si="68"/>
        <v>17.652243</v>
      </c>
      <c r="AK59" s="178">
        <f ca="1" t="shared" si="68"/>
        <v>18.178828</v>
      </c>
    </row>
    <row r="60" ht="24.75" customHeight="1" spans="1:37">
      <c r="A60" s="170" t="s">
        <v>289</v>
      </c>
      <c r="B60" s="166" t="s">
        <v>375</v>
      </c>
      <c r="C60" s="166" t="s">
        <v>377</v>
      </c>
      <c r="D60" s="175">
        <f ca="1">IF(D59="","",D59)</f>
        <v>8.578148</v>
      </c>
      <c r="E60" s="175">
        <f ca="1" t="shared" ref="E60:O60" si="69">IF(E59=" "," ",E59+D60)</f>
        <v>18.081249</v>
      </c>
      <c r="F60" s="175">
        <f ca="1" t="shared" si="69"/>
        <v>18.285371</v>
      </c>
      <c r="G60" s="175">
        <f ca="1" t="shared" si="69"/>
        <v>21.184751</v>
      </c>
      <c r="H60" s="175">
        <f ca="1" t="shared" si="69"/>
        <v>30.52083</v>
      </c>
      <c r="I60" s="175">
        <f ca="1" t="shared" si="69"/>
        <v>31.005262</v>
      </c>
      <c r="J60" s="175">
        <f ca="1" t="shared" si="69"/>
        <v>36.961357</v>
      </c>
      <c r="K60" s="175">
        <f ca="1" t="shared" si="69"/>
        <v>44.634276</v>
      </c>
      <c r="L60" s="175">
        <f ca="1" t="shared" si="69"/>
        <v>49.157712</v>
      </c>
      <c r="M60" s="175">
        <f ca="1" t="shared" si="69"/>
        <v>49.364921</v>
      </c>
      <c r="N60" s="175">
        <f ca="1" t="shared" si="69"/>
        <v>53.458177</v>
      </c>
      <c r="O60" s="175">
        <f ca="1" t="shared" si="69"/>
        <v>55.930235</v>
      </c>
      <c r="W60" s="165" t="s">
        <v>346</v>
      </c>
      <c r="X60" s="166" t="s">
        <v>375</v>
      </c>
      <c r="Y60" s="166" t="s">
        <v>378</v>
      </c>
      <c r="Z60" s="174">
        <f ca="1" t="shared" ref="Z60:AK60" si="70">IF(Z59=" "," ",Z59/D64)</f>
        <v>0.18014830148005</v>
      </c>
      <c r="AA60" s="174">
        <f ca="1" t="shared" si="70"/>
        <v>-0.0166332793675994</v>
      </c>
      <c r="AB60" s="174">
        <f ca="1" t="shared" si="70"/>
        <v>-0.324276941474075</v>
      </c>
      <c r="AC60" s="174">
        <f ca="1" t="shared" si="70"/>
        <v>1.83118985235961</v>
      </c>
      <c r="AD60" s="174">
        <f ca="1" t="shared" si="70"/>
        <v>1.60815401822098</v>
      </c>
      <c r="AE60" s="174">
        <f ca="1" t="shared" si="70"/>
        <v>2.62461285966945</v>
      </c>
      <c r="AF60" s="174">
        <f ca="1" t="shared" si="70"/>
        <v>2.62316286169</v>
      </c>
      <c r="AG60" s="174">
        <f ca="1" t="shared" si="70"/>
        <v>2.00304532606795</v>
      </c>
      <c r="AH60" s="174">
        <f ca="1" t="shared" si="70"/>
        <v>1.36925602138979</v>
      </c>
      <c r="AI60" s="174">
        <f ca="1" t="shared" si="70"/>
        <v>0.924743603989488</v>
      </c>
      <c r="AJ60" s="174">
        <f ca="1" t="shared" si="70"/>
        <v>0.490741168816948</v>
      </c>
      <c r="AK60" s="174">
        <f ca="1" t="shared" si="70"/>
        <v>0.466861711704991</v>
      </c>
    </row>
    <row r="61" ht="24.75" customHeight="1" spans="1:37">
      <c r="A61" s="162" t="s">
        <v>346</v>
      </c>
      <c r="B61" s="168" t="s">
        <v>382</v>
      </c>
      <c r="C61" s="168" t="s">
        <v>374</v>
      </c>
      <c r="D61" s="177">
        <v>0</v>
      </c>
      <c r="E61" s="177">
        <v>3.4868</v>
      </c>
      <c r="F61" s="177">
        <v>0.0243</v>
      </c>
      <c r="G61" s="177">
        <v>6.599</v>
      </c>
      <c r="H61" s="177">
        <v>7.525</v>
      </c>
      <c r="I61" s="177">
        <v>2.8447</v>
      </c>
      <c r="J61" s="177">
        <v>0.9776</v>
      </c>
      <c r="K61" s="177">
        <v>2.578514</v>
      </c>
      <c r="L61" s="177">
        <v>10.13761</v>
      </c>
      <c r="M61" s="177">
        <v>2.248283</v>
      </c>
      <c r="N61" s="177">
        <v>7.250063</v>
      </c>
      <c r="O61" s="177">
        <v>3.293584</v>
      </c>
      <c r="W61" s="165" t="s">
        <v>346</v>
      </c>
      <c r="X61" s="168" t="s">
        <v>375</v>
      </c>
      <c r="Y61" s="168" t="s">
        <v>379</v>
      </c>
      <c r="Z61" s="176">
        <f ca="1">IF(D65=" "," ",D65-O63)</f>
        <v>2.206677</v>
      </c>
      <c r="AA61" s="176">
        <f ca="1" t="shared" ref="AA61:AK61" si="71">IF(E65=" "," ",E65-D65)</f>
        <v>-5.174457</v>
      </c>
      <c r="AB61" s="176">
        <f ca="1" t="shared" si="71"/>
        <v>0.906862</v>
      </c>
      <c r="AC61" s="176">
        <f ca="1" t="shared" si="71"/>
        <v>18.893628</v>
      </c>
      <c r="AD61" s="176">
        <f ca="1" t="shared" si="71"/>
        <v>-18.384321</v>
      </c>
      <c r="AE61" s="176">
        <f ca="1" t="shared" si="71"/>
        <v>11.970726</v>
      </c>
      <c r="AF61" s="176">
        <f ca="1" t="shared" si="71"/>
        <v>-11.09235</v>
      </c>
      <c r="AG61" s="176">
        <f ca="1" t="shared" si="71"/>
        <v>1.83971</v>
      </c>
      <c r="AH61" s="176">
        <f ca="1" t="shared" si="71"/>
        <v>-0.529615</v>
      </c>
      <c r="AI61" s="176">
        <f ca="1" t="shared" si="71"/>
        <v>-1.162907</v>
      </c>
      <c r="AJ61" s="176">
        <f ca="1" t="shared" si="71"/>
        <v>-1.978959</v>
      </c>
      <c r="AK61" s="176">
        <f ca="1" t="shared" si="71"/>
        <v>3.031591</v>
      </c>
    </row>
    <row r="62" ht="24.75" customHeight="1" spans="1:37">
      <c r="A62" s="165" t="s">
        <v>346</v>
      </c>
      <c r="B62" s="166" t="s">
        <v>382</v>
      </c>
      <c r="C62" s="166" t="s">
        <v>377</v>
      </c>
      <c r="D62" s="175">
        <f>D61</f>
        <v>0</v>
      </c>
      <c r="E62" s="175">
        <f t="shared" ref="E62:O62" si="72">E61+D62</f>
        <v>3.4868</v>
      </c>
      <c r="F62" s="175">
        <f t="shared" si="72"/>
        <v>3.5111</v>
      </c>
      <c r="G62" s="175">
        <f t="shared" si="72"/>
        <v>10.1101</v>
      </c>
      <c r="H62" s="175">
        <f t="shared" si="72"/>
        <v>17.6351</v>
      </c>
      <c r="I62" s="175">
        <f t="shared" si="72"/>
        <v>20.4798</v>
      </c>
      <c r="J62" s="175">
        <f t="shared" si="72"/>
        <v>21.4574</v>
      </c>
      <c r="K62" s="175">
        <f t="shared" si="72"/>
        <v>24.035914</v>
      </c>
      <c r="L62" s="175">
        <f t="shared" si="72"/>
        <v>34.173524</v>
      </c>
      <c r="M62" s="175">
        <f t="shared" si="72"/>
        <v>36.421807</v>
      </c>
      <c r="N62" s="175">
        <f t="shared" si="72"/>
        <v>43.67187</v>
      </c>
      <c r="O62" s="175">
        <f t="shared" si="72"/>
        <v>46.965454</v>
      </c>
      <c r="W62" s="170" t="s">
        <v>346</v>
      </c>
      <c r="X62" s="166" t="s">
        <v>375</v>
      </c>
      <c r="Y62" s="166" t="s">
        <v>380</v>
      </c>
      <c r="Z62" s="174">
        <f ca="1">IF(Z61=" "," ",Z61/O63)</f>
        <v>0.743544669753149</v>
      </c>
      <c r="AA62" s="174">
        <f ca="1" t="shared" ref="AA62:AC62" si="73">IFERROR(IF(AA61=" "," ",AA61/D65),"")</f>
        <v>-1</v>
      </c>
      <c r="AB62" s="174" t="str">
        <f ca="1" t="shared" si="73"/>
        <v/>
      </c>
      <c r="AC62" s="174">
        <f ca="1" t="shared" si="73"/>
        <v>20.8340717771833</v>
      </c>
      <c r="AD62" s="174">
        <f ca="1" t="shared" ref="AD62:AK62" si="74">IF(AD61=" "," ",AD61/G65)</f>
        <v>-0.928478083118145</v>
      </c>
      <c r="AE62" s="174">
        <f ca="1" t="shared" si="74"/>
        <v>8.4528936871235</v>
      </c>
      <c r="AF62" s="174">
        <f ca="1" t="shared" si="74"/>
        <v>-0.828597669586562</v>
      </c>
      <c r="AG62" s="174">
        <f ca="1" t="shared" si="74"/>
        <v>0.801775515407194</v>
      </c>
      <c r="AH62" s="174">
        <f ca="1" t="shared" si="74"/>
        <v>-0.128104096143078</v>
      </c>
      <c r="AI62" s="174">
        <f ca="1" t="shared" si="74"/>
        <v>-0.322613908739846</v>
      </c>
      <c r="AJ62" s="174">
        <f ca="1" t="shared" si="74"/>
        <v>-0.81047313526909</v>
      </c>
      <c r="AK62" s="174">
        <f ca="1" t="shared" si="74"/>
        <v>6.55091037958053</v>
      </c>
    </row>
    <row r="63" ht="24.75" customHeight="1" spans="1:37">
      <c r="A63" s="162" t="s">
        <v>346</v>
      </c>
      <c r="B63" s="168" t="s">
        <v>373</v>
      </c>
      <c r="C63" s="168" t="s">
        <v>374</v>
      </c>
      <c r="D63" s="177">
        <v>4.384582</v>
      </c>
      <c r="E63" s="177">
        <v>0.877399</v>
      </c>
      <c r="F63" s="177">
        <v>3.73774</v>
      </c>
      <c r="G63" s="177">
        <v>0.141951</v>
      </c>
      <c r="H63" s="177">
        <v>1.324726</v>
      </c>
      <c r="I63" s="177">
        <v>0.758214</v>
      </c>
      <c r="J63" s="177">
        <v>0.637791</v>
      </c>
      <c r="K63" s="177">
        <v>3.826229</v>
      </c>
      <c r="L63" s="177">
        <v>5.71822</v>
      </c>
      <c r="M63" s="177">
        <v>6.212435</v>
      </c>
      <c r="N63" s="177">
        <v>8.35129</v>
      </c>
      <c r="O63" s="177">
        <v>2.96778</v>
      </c>
      <c r="W63" s="162" t="s">
        <v>348</v>
      </c>
      <c r="X63" s="163" t="s">
        <v>375</v>
      </c>
      <c r="Y63" s="163" t="s">
        <v>376</v>
      </c>
      <c r="Z63" s="178">
        <f ca="1" t="shared" ref="Z63:AK63" si="75">IF(D72=" "," ",D72-D70)</f>
        <v>0.683575</v>
      </c>
      <c r="AA63" s="178">
        <f ca="1" t="shared" si="75"/>
        <v>3.233861</v>
      </c>
      <c r="AB63" s="178">
        <f ca="1" t="shared" si="75"/>
        <v>0.0863840000000007</v>
      </c>
      <c r="AC63" s="178">
        <f ca="1" t="shared" si="75"/>
        <v>-5.052878</v>
      </c>
      <c r="AD63" s="178">
        <f ca="1" t="shared" si="75"/>
        <v>-3.110275</v>
      </c>
      <c r="AE63" s="178">
        <f ca="1" t="shared" si="75"/>
        <v>-9.30028399999999</v>
      </c>
      <c r="AF63" s="178">
        <f ca="1" t="shared" si="75"/>
        <v>-9.075493</v>
      </c>
      <c r="AG63" s="178">
        <f ca="1" t="shared" si="75"/>
        <v>-2.82576599999999</v>
      </c>
      <c r="AH63" s="178">
        <f ca="1" t="shared" si="75"/>
        <v>4.03144</v>
      </c>
      <c r="AI63" s="178">
        <f ca="1" t="shared" si="75"/>
        <v>5.244837</v>
      </c>
      <c r="AJ63" s="178">
        <f ca="1" t="shared" si="75"/>
        <v>5.530062</v>
      </c>
      <c r="AK63" s="178">
        <f ca="1" t="shared" si="75"/>
        <v>4.399892</v>
      </c>
    </row>
    <row r="64" ht="24.75" customHeight="1" spans="1:37">
      <c r="A64" s="165" t="s">
        <v>346</v>
      </c>
      <c r="B64" s="166" t="s">
        <v>373</v>
      </c>
      <c r="C64" s="166" t="s">
        <v>377</v>
      </c>
      <c r="D64" s="175">
        <f>D63</f>
        <v>4.384582</v>
      </c>
      <c r="E64" s="175">
        <f t="shared" ref="E64:O64" si="76">E63+D64</f>
        <v>5.261981</v>
      </c>
      <c r="F64" s="175">
        <f t="shared" si="76"/>
        <v>8.999721</v>
      </c>
      <c r="G64" s="175">
        <f t="shared" si="76"/>
        <v>9.141672</v>
      </c>
      <c r="H64" s="175">
        <f t="shared" si="76"/>
        <v>10.466398</v>
      </c>
      <c r="I64" s="175">
        <f t="shared" si="76"/>
        <v>11.224612</v>
      </c>
      <c r="J64" s="175">
        <f t="shared" si="76"/>
        <v>11.862403</v>
      </c>
      <c r="K64" s="175">
        <f t="shared" si="76"/>
        <v>15.688632</v>
      </c>
      <c r="L64" s="175">
        <f t="shared" si="76"/>
        <v>21.406852</v>
      </c>
      <c r="M64" s="175">
        <f t="shared" si="76"/>
        <v>27.619287</v>
      </c>
      <c r="N64" s="175">
        <f t="shared" si="76"/>
        <v>35.970577</v>
      </c>
      <c r="O64" s="175">
        <f t="shared" si="76"/>
        <v>38.938357</v>
      </c>
      <c r="W64" s="162" t="s">
        <v>348</v>
      </c>
      <c r="X64" s="166" t="s">
        <v>375</v>
      </c>
      <c r="Y64" s="166" t="s">
        <v>378</v>
      </c>
      <c r="Z64" s="174">
        <f ca="1" t="shared" ref="Z64:AK64" si="77">IF(Z63=" "," ",Z63/D70)</f>
        <v>0.285142870729531</v>
      </c>
      <c r="AA64" s="174">
        <f ca="1" t="shared" si="77"/>
        <v>1.05330767156234</v>
      </c>
      <c r="AB64" s="174">
        <f ca="1" t="shared" si="77"/>
        <v>0.0109119507739447</v>
      </c>
      <c r="AC64" s="174">
        <f ca="1" t="shared" si="77"/>
        <v>-0.334729896659172</v>
      </c>
      <c r="AD64" s="174">
        <f ca="1" t="shared" si="77"/>
        <v>-0.149367781125529</v>
      </c>
      <c r="AE64" s="174">
        <f ca="1" t="shared" si="77"/>
        <v>-0.27714914027535</v>
      </c>
      <c r="AF64" s="174">
        <f ca="1" t="shared" si="77"/>
        <v>-0.254940184449808</v>
      </c>
      <c r="AG64" s="174">
        <f ca="1" t="shared" si="77"/>
        <v>-0.0788423401239432</v>
      </c>
      <c r="AH64" s="174">
        <f ca="1" t="shared" si="77"/>
        <v>0.111101934007142</v>
      </c>
      <c r="AI64" s="174">
        <f ca="1" t="shared" si="77"/>
        <v>0.139815200413258</v>
      </c>
      <c r="AJ64" s="174">
        <f ca="1" t="shared" si="77"/>
        <v>0.143938952244454</v>
      </c>
      <c r="AK64" s="174">
        <f ca="1" t="shared" si="77"/>
        <v>0.102430662458867</v>
      </c>
    </row>
    <row r="65" ht="24.75" customHeight="1" spans="1:37">
      <c r="A65" s="165" t="s">
        <v>346</v>
      </c>
      <c r="B65" s="168" t="s">
        <v>375</v>
      </c>
      <c r="C65" s="168" t="s">
        <v>374</v>
      </c>
      <c r="D65" s="176">
        <f ca="1">IF('2025整理'!$S$1&lt;DATE(2025,1,1)," ",'2025整理'!F863)</f>
        <v>5.174457</v>
      </c>
      <c r="E65" s="176">
        <f ca="1">IF('2025整理'!$S$1&lt;DATE(2025,2,1)," ",'2025整理'!G863)</f>
        <v>0</v>
      </c>
      <c r="F65" s="176">
        <f ca="1">IF('2025整理'!$S$1&lt;DATE(2025,3,1)," ",'2025整理'!H863)</f>
        <v>0.906862</v>
      </c>
      <c r="G65" s="176">
        <f ca="1">IF('2025整理'!$S$1&lt;DATE(2025,4,1)," ",'2025整理'!I863)</f>
        <v>19.80049</v>
      </c>
      <c r="H65" s="176">
        <f ca="1">IF('2025整理'!$S$1&lt;DATE(2025,5,1)," ",'2025整理'!J863)</f>
        <v>1.416169</v>
      </c>
      <c r="I65" s="176">
        <f ca="1">IF('2025整理'!$S$1&lt;DATE(2025,6,1)," ",'2025整理'!K863)</f>
        <v>13.386895</v>
      </c>
      <c r="J65" s="176">
        <f ca="1">IF('2025整理'!$S$1&lt;DATE(2025,7,1)," ",'2025整理'!L863)</f>
        <v>2.294545</v>
      </c>
      <c r="K65" s="176">
        <f ca="1">IF('2025整理'!$S$1&lt;DATE(2025,8,1)," ",'2025整理'!M863)</f>
        <v>4.134255</v>
      </c>
      <c r="L65" s="176">
        <f ca="1">IF('2025整理'!$S$1&lt;DATE(2025,9,1)," ",'2025整理'!N863)</f>
        <v>3.60464</v>
      </c>
      <c r="M65" s="176">
        <f ca="1">IF('2025整理'!$S$1&lt;DATE(2025,10,1)," ",'2025整理'!O863)</f>
        <v>2.441733</v>
      </c>
      <c r="N65" s="176">
        <f ca="1">IF('2025整理'!$S$1&lt;DATE(2025,11,1)," ",'2025整理'!P863)</f>
        <v>0.462774</v>
      </c>
      <c r="O65" s="176">
        <f ca="1">IF('2025整理'!$S$1&lt;DATE(2025,12,1)," ",'2025整理'!Q863)</f>
        <v>3.494365</v>
      </c>
      <c r="W65" s="162" t="s">
        <v>348</v>
      </c>
      <c r="X65" s="168" t="s">
        <v>375</v>
      </c>
      <c r="Y65" s="168" t="s">
        <v>379</v>
      </c>
      <c r="Z65" s="176">
        <f ca="1">IF(D71=" "," ",D71-O69)</f>
        <v>-1.454455</v>
      </c>
      <c r="AA65" s="176">
        <f ca="1" t="shared" ref="AA65:AK65" si="78">IF(E71=" "," ",E71-D71)</f>
        <v>0.142293</v>
      </c>
      <c r="AB65" s="176">
        <f ca="1" t="shared" si="78"/>
        <v>-1.52439</v>
      </c>
      <c r="AC65" s="176">
        <f ca="1" t="shared" si="78"/>
        <v>0.340884</v>
      </c>
      <c r="AD65" s="176">
        <f ca="1" t="shared" si="78"/>
        <v>5.630476</v>
      </c>
      <c r="AE65" s="176">
        <f ca="1" t="shared" si="78"/>
        <v>-1.12612</v>
      </c>
      <c r="AF65" s="176">
        <f ca="1" t="shared" si="78"/>
        <v>-4.27768</v>
      </c>
      <c r="AG65" s="176">
        <f ca="1" t="shared" si="78"/>
        <v>4.22558</v>
      </c>
      <c r="AH65" s="176">
        <f ca="1" t="shared" si="78"/>
        <v>0.810521</v>
      </c>
      <c r="AI65" s="176">
        <f ca="1" t="shared" si="78"/>
        <v>-4.862368</v>
      </c>
      <c r="AJ65" s="176">
        <f ca="1" t="shared" si="78"/>
        <v>-1.247995</v>
      </c>
      <c r="AK65" s="176">
        <f ca="1" t="shared" si="78"/>
        <v>2.213084</v>
      </c>
    </row>
    <row r="66" ht="24.75" customHeight="1" spans="1:37">
      <c r="A66" s="170" t="s">
        <v>346</v>
      </c>
      <c r="B66" s="166" t="s">
        <v>375</v>
      </c>
      <c r="C66" s="166" t="s">
        <v>377</v>
      </c>
      <c r="D66" s="175">
        <f ca="1">IF(D65="","",D65)</f>
        <v>5.174457</v>
      </c>
      <c r="E66" s="175">
        <f ca="1" t="shared" ref="E66:O66" si="79">IF(E65=" "," ",E65+D66)</f>
        <v>5.174457</v>
      </c>
      <c r="F66" s="175">
        <f ca="1" t="shared" si="79"/>
        <v>6.081319</v>
      </c>
      <c r="G66" s="175">
        <f ca="1" t="shared" si="79"/>
        <v>25.881809</v>
      </c>
      <c r="H66" s="175">
        <f ca="1" t="shared" si="79"/>
        <v>27.297978</v>
      </c>
      <c r="I66" s="175">
        <f ca="1" t="shared" si="79"/>
        <v>40.684873</v>
      </c>
      <c r="J66" s="175">
        <f ca="1" t="shared" si="79"/>
        <v>42.979418</v>
      </c>
      <c r="K66" s="175">
        <f ca="1" t="shared" si="79"/>
        <v>47.113673</v>
      </c>
      <c r="L66" s="175">
        <f ca="1" t="shared" si="79"/>
        <v>50.718313</v>
      </c>
      <c r="M66" s="175">
        <f ca="1" t="shared" si="79"/>
        <v>53.160046</v>
      </c>
      <c r="N66" s="175">
        <f ca="1" t="shared" si="79"/>
        <v>53.62282</v>
      </c>
      <c r="O66" s="175">
        <f ca="1" t="shared" si="79"/>
        <v>57.117185</v>
      </c>
      <c r="W66" s="162" t="s">
        <v>348</v>
      </c>
      <c r="X66" s="166" t="s">
        <v>375</v>
      </c>
      <c r="Y66" s="166" t="s">
        <v>380</v>
      </c>
      <c r="Z66" s="174">
        <f ca="1">IF(Z65=" "," ",Z65/O69)</f>
        <v>-0.320693919768255</v>
      </c>
      <c r="AA66" s="174">
        <f ca="1" t="shared" ref="AA66:AK66" si="80">IF(AA65=" "," ",AA65/D71)</f>
        <v>0.046185800040378</v>
      </c>
      <c r="AB66" s="174">
        <f ca="1" t="shared" si="80"/>
        <v>-0.472946706275644</v>
      </c>
      <c r="AC66" s="174">
        <f ca="1" t="shared" si="80"/>
        <v>0.200663415323304</v>
      </c>
      <c r="AD66" s="174">
        <f ca="1" t="shared" si="80"/>
        <v>2.7604851571505</v>
      </c>
      <c r="AE66" s="174">
        <f ca="1" t="shared" si="80"/>
        <v>-0.14681860642791</v>
      </c>
      <c r="AF66" s="174">
        <f ca="1" t="shared" si="80"/>
        <v>-0.653677209362739</v>
      </c>
      <c r="AG66" s="174">
        <f ca="1" t="shared" si="80"/>
        <v>1.86449106380538</v>
      </c>
      <c r="AH66" s="174">
        <f ca="1" t="shared" si="80"/>
        <v>0.124850641373707</v>
      </c>
      <c r="AI66" s="174">
        <f ca="1" t="shared" si="80"/>
        <v>-0.66585470128776</v>
      </c>
      <c r="AJ66" s="174">
        <f ca="1" t="shared" si="80"/>
        <v>-0.511457010800474</v>
      </c>
      <c r="AK66" s="174">
        <f ca="1" t="shared" si="80"/>
        <v>1.85648482530159</v>
      </c>
    </row>
    <row r="67" ht="24.75" customHeight="1" spans="1:37">
      <c r="A67" s="162" t="s">
        <v>348</v>
      </c>
      <c r="B67" s="168" t="s">
        <v>382</v>
      </c>
      <c r="C67" s="168" t="s">
        <v>374</v>
      </c>
      <c r="D67" s="177">
        <v>0.3869</v>
      </c>
      <c r="E67" s="177">
        <v>1.0496</v>
      </c>
      <c r="F67" s="177">
        <v>0.9706</v>
      </c>
      <c r="G67" s="177">
        <v>3.6923</v>
      </c>
      <c r="H67" s="177">
        <v>5.2549</v>
      </c>
      <c r="I67" s="177">
        <v>2.6181</v>
      </c>
      <c r="J67" s="177">
        <v>1.0464</v>
      </c>
      <c r="K67" s="177">
        <v>6.20324</v>
      </c>
      <c r="L67" s="177">
        <v>5.404382</v>
      </c>
      <c r="M67" s="177">
        <v>0</v>
      </c>
      <c r="N67" s="177">
        <v>0.754225</v>
      </c>
      <c r="O67" s="177">
        <v>2.058517</v>
      </c>
      <c r="W67" s="165" t="s">
        <v>381</v>
      </c>
      <c r="X67" s="163" t="s">
        <v>375</v>
      </c>
      <c r="Y67" s="163" t="s">
        <v>376</v>
      </c>
      <c r="Z67" s="178">
        <f ca="1" t="shared" ref="Z67:AK67" si="81">IF(D78=" "," ",D78-D76)</f>
        <v>5.81347</v>
      </c>
      <c r="AA67" s="178">
        <f ca="1" t="shared" si="81"/>
        <v>14.053447</v>
      </c>
      <c r="AB67" s="178">
        <f ca="1" t="shared" si="81"/>
        <v>5.57109</v>
      </c>
      <c r="AC67" s="178">
        <f ca="1" t="shared" si="81"/>
        <v>20.9817576454</v>
      </c>
      <c r="AD67" s="178">
        <f ca="1" t="shared" si="81"/>
        <v>3.8062096454</v>
      </c>
      <c r="AE67" s="178">
        <f ca="1" t="shared" si="81"/>
        <v>6.4928026454</v>
      </c>
      <c r="AF67" s="178">
        <f ca="1" t="shared" si="81"/>
        <v>10.8653746454</v>
      </c>
      <c r="AG67" s="178">
        <f ca="1" t="shared" si="81"/>
        <v>19.9871216454</v>
      </c>
      <c r="AH67" s="178">
        <f ca="1" t="shared" si="81"/>
        <v>27.8575476454</v>
      </c>
      <c r="AI67" s="178">
        <f ca="1" t="shared" si="81"/>
        <v>25.0115936454</v>
      </c>
      <c r="AJ67" s="178">
        <f ca="1" t="shared" si="81"/>
        <v>19.2982026454</v>
      </c>
      <c r="AK67" s="178">
        <f ca="1" t="shared" si="81"/>
        <v>19.4473636454</v>
      </c>
    </row>
    <row r="68" ht="24.75" customHeight="1" spans="1:37">
      <c r="A68" s="162" t="s">
        <v>348</v>
      </c>
      <c r="B68" s="166" t="s">
        <v>382</v>
      </c>
      <c r="C68" s="166" t="s">
        <v>377</v>
      </c>
      <c r="D68" s="175">
        <f>D67</f>
        <v>0.3869</v>
      </c>
      <c r="E68" s="175">
        <f t="shared" ref="E68:O68" si="82">E67+D68</f>
        <v>1.4365</v>
      </c>
      <c r="F68" s="175">
        <f t="shared" si="82"/>
        <v>2.4071</v>
      </c>
      <c r="G68" s="175">
        <f t="shared" si="82"/>
        <v>6.0994</v>
      </c>
      <c r="H68" s="175">
        <f t="shared" si="82"/>
        <v>11.3543</v>
      </c>
      <c r="I68" s="175">
        <f t="shared" si="82"/>
        <v>13.9724</v>
      </c>
      <c r="J68" s="175">
        <f t="shared" si="82"/>
        <v>15.0188</v>
      </c>
      <c r="K68" s="175">
        <f t="shared" si="82"/>
        <v>21.22204</v>
      </c>
      <c r="L68" s="175">
        <f t="shared" si="82"/>
        <v>26.626422</v>
      </c>
      <c r="M68" s="175">
        <f t="shared" si="82"/>
        <v>26.626422</v>
      </c>
      <c r="N68" s="175">
        <f t="shared" si="82"/>
        <v>27.380647</v>
      </c>
      <c r="O68" s="175">
        <f t="shared" si="82"/>
        <v>29.439164</v>
      </c>
      <c r="W68" s="165" t="s">
        <v>381</v>
      </c>
      <c r="X68" s="166" t="s">
        <v>375</v>
      </c>
      <c r="Y68" s="166" t="s">
        <v>378</v>
      </c>
      <c r="Z68" s="174">
        <f ca="1" t="shared" ref="Z68:AK68" si="83">IF(Z67=" "," ",Z67/D76)</f>
        <v>0.527537298717416</v>
      </c>
      <c r="AA68" s="174">
        <f ca="1" t="shared" si="83"/>
        <v>0.90630469545442</v>
      </c>
      <c r="AB68" s="174">
        <f ca="1" t="shared" si="83"/>
        <v>0.207888578000169</v>
      </c>
      <c r="AC68" s="174">
        <f ca="1" t="shared" si="83"/>
        <v>0.58077270898774</v>
      </c>
      <c r="AD68" s="174">
        <f ca="1" t="shared" si="83"/>
        <v>0.0530665200095717</v>
      </c>
      <c r="AE68" s="174">
        <f ca="1" t="shared" si="83"/>
        <v>0.0725825751345803</v>
      </c>
      <c r="AF68" s="174">
        <f ca="1" t="shared" si="83"/>
        <v>0.113656417367138</v>
      </c>
      <c r="AG68" s="174">
        <f ca="1" t="shared" si="83"/>
        <v>0.190760898742801</v>
      </c>
      <c r="AH68" s="174">
        <f ca="1" t="shared" si="83"/>
        <v>0.247984428887469</v>
      </c>
      <c r="AI68" s="174">
        <f ca="1" t="shared" si="83"/>
        <v>0.207960565569947</v>
      </c>
      <c r="AJ68" s="174">
        <f ca="1" t="shared" si="83"/>
        <v>0.14649554418836</v>
      </c>
      <c r="AK68" s="174">
        <f ca="1" t="shared" si="83"/>
        <v>0.137968811405384</v>
      </c>
    </row>
    <row r="69" ht="24.75" customHeight="1" spans="1:37">
      <c r="A69" s="162" t="s">
        <v>348</v>
      </c>
      <c r="B69" s="168" t="s">
        <v>373</v>
      </c>
      <c r="C69" s="168" t="s">
        <v>374</v>
      </c>
      <c r="D69" s="177">
        <v>2.397307</v>
      </c>
      <c r="E69" s="177">
        <v>0.672889</v>
      </c>
      <c r="F69" s="177">
        <v>4.846262</v>
      </c>
      <c r="G69" s="177">
        <v>7.178931</v>
      </c>
      <c r="H69" s="177">
        <v>5.727542</v>
      </c>
      <c r="I69" s="177">
        <v>12.734034</v>
      </c>
      <c r="J69" s="177">
        <v>2.041554</v>
      </c>
      <c r="K69" s="177">
        <v>0.242198</v>
      </c>
      <c r="L69" s="177">
        <v>0.44524</v>
      </c>
      <c r="M69" s="177">
        <v>1.226681</v>
      </c>
      <c r="N69" s="177">
        <v>0.906858</v>
      </c>
      <c r="O69" s="177">
        <v>4.535337</v>
      </c>
      <c r="W69" s="165" t="s">
        <v>381</v>
      </c>
      <c r="X69" s="168" t="s">
        <v>375</v>
      </c>
      <c r="Y69" s="168" t="s">
        <v>379</v>
      </c>
      <c r="Z69" s="176">
        <f ca="1">IF(D77=" "," ",D77-O75)</f>
        <v>7.611058</v>
      </c>
      <c r="AA69" s="176">
        <f ca="1" t="shared" ref="AA69:AK69" si="84">IF(E77=" "," ",E77-D77)</f>
        <v>-4.107211</v>
      </c>
      <c r="AB69" s="176">
        <f ca="1" t="shared" si="84"/>
        <v>-9.916507</v>
      </c>
      <c r="AC69" s="176">
        <f ca="1" t="shared" si="84"/>
        <v>21.92977</v>
      </c>
      <c r="AD69" s="176">
        <f ca="1" t="shared" si="84"/>
        <v>-6.317146</v>
      </c>
      <c r="AE69" s="176">
        <f ca="1" t="shared" si="84"/>
        <v>1.992959</v>
      </c>
      <c r="AF69" s="176">
        <f ca="1" t="shared" si="84"/>
        <v>-9.898367</v>
      </c>
      <c r="AG69" s="176">
        <f ca="1" t="shared" si="84"/>
        <v>7.782114</v>
      </c>
      <c r="AH69" s="176">
        <f ca="1" t="shared" si="84"/>
        <v>-2.868577</v>
      </c>
      <c r="AI69" s="176">
        <f ca="1" t="shared" si="84"/>
        <v>-10.341502</v>
      </c>
      <c r="AJ69" s="176">
        <f ca="1" t="shared" si="84"/>
        <v>0.659093</v>
      </c>
      <c r="AK69" s="176">
        <f ca="1" t="shared" si="84"/>
        <v>3.623477</v>
      </c>
    </row>
    <row r="70" ht="24.75" customHeight="1" spans="1:37">
      <c r="A70" s="162" t="s">
        <v>348</v>
      </c>
      <c r="B70" s="166" t="s">
        <v>373</v>
      </c>
      <c r="C70" s="166" t="s">
        <v>377</v>
      </c>
      <c r="D70" s="175">
        <f>D69</f>
        <v>2.397307</v>
      </c>
      <c r="E70" s="175">
        <f t="shared" ref="E70:O70" si="85">E69+D70</f>
        <v>3.070196</v>
      </c>
      <c r="F70" s="175">
        <f t="shared" si="85"/>
        <v>7.916458</v>
      </c>
      <c r="G70" s="175">
        <f t="shared" si="85"/>
        <v>15.095389</v>
      </c>
      <c r="H70" s="175">
        <f t="shared" si="85"/>
        <v>20.822931</v>
      </c>
      <c r="I70" s="175">
        <f t="shared" si="85"/>
        <v>33.556965</v>
      </c>
      <c r="J70" s="175">
        <f t="shared" si="85"/>
        <v>35.598519</v>
      </c>
      <c r="K70" s="175">
        <f t="shared" si="85"/>
        <v>35.840717</v>
      </c>
      <c r="L70" s="175">
        <f t="shared" si="85"/>
        <v>36.285957</v>
      </c>
      <c r="M70" s="175">
        <f t="shared" si="85"/>
        <v>37.512638</v>
      </c>
      <c r="N70" s="175">
        <f t="shared" si="85"/>
        <v>38.419496</v>
      </c>
      <c r="O70" s="175">
        <f t="shared" si="85"/>
        <v>42.954833</v>
      </c>
      <c r="W70" s="170" t="s">
        <v>381</v>
      </c>
      <c r="X70" s="166" t="s">
        <v>375</v>
      </c>
      <c r="Y70" s="166" t="s">
        <v>380</v>
      </c>
      <c r="Z70" s="174">
        <f ca="1">IF(Z69=" "," ",Z69/O75)</f>
        <v>0.825276941682066</v>
      </c>
      <c r="AA70" s="174">
        <f ca="1" t="shared" ref="AA70:AK70" si="86">IF(AA69=" "," ",AA69/D77)</f>
        <v>-0.243990505354001</v>
      </c>
      <c r="AB70" s="174">
        <f ca="1" t="shared" si="86"/>
        <v>-0.779215145106078</v>
      </c>
      <c r="AC70" s="174">
        <f ca="1" t="shared" si="86"/>
        <v>7.80483021913901</v>
      </c>
      <c r="AD70" s="174">
        <f ca="1" t="shared" si="86"/>
        <v>-0.255346148527667</v>
      </c>
      <c r="AE70" s="174">
        <f ca="1" t="shared" si="86"/>
        <v>0.10818133127439</v>
      </c>
      <c r="AF70" s="174">
        <f ca="1" t="shared" si="86"/>
        <v>-0.484849195840464</v>
      </c>
      <c r="AG70" s="174">
        <f ca="1" t="shared" si="86"/>
        <v>0.739956746158714</v>
      </c>
      <c r="AH70" s="174">
        <f ca="1" t="shared" si="86"/>
        <v>-0.156760559631925</v>
      </c>
      <c r="AI70" s="174">
        <f ca="1" t="shared" si="86"/>
        <v>-0.670197806658777</v>
      </c>
      <c r="AJ70" s="174">
        <f ca="1" t="shared" si="86"/>
        <v>0.129512754911555</v>
      </c>
      <c r="AK70" s="174">
        <f ca="1" t="shared" si="86"/>
        <v>0.630376786260117</v>
      </c>
    </row>
    <row r="71" ht="24.75" customHeight="1" spans="1:15">
      <c r="A71" s="162" t="s">
        <v>348</v>
      </c>
      <c r="B71" s="168" t="s">
        <v>375</v>
      </c>
      <c r="C71" s="168" t="s">
        <v>374</v>
      </c>
      <c r="D71" s="176">
        <f ca="1">IF('2025整理'!$S$1&lt;DATE(2025,1,1)," ",'2025整理'!F1483)</f>
        <v>3.080882</v>
      </c>
      <c r="E71" s="176">
        <f ca="1">IF('2025整理'!$S$1&lt;DATE(2025,2,1)," ",'2025整理'!G1483)</f>
        <v>3.223175</v>
      </c>
      <c r="F71" s="176">
        <f ca="1">IF('2025整理'!$S$1&lt;DATE(2025,3,1)," ",'2025整理'!H1483)</f>
        <v>1.698785</v>
      </c>
      <c r="G71" s="176">
        <f ca="1">IF('2025整理'!$S$1&lt;DATE(2025,4,1)," ",'2025整理'!I1483)</f>
        <v>2.039669</v>
      </c>
      <c r="H71" s="176">
        <f ca="1">IF('2025整理'!$S$1&lt;DATE(2025,5,1)," ",'2025整理'!J1483)</f>
        <v>7.670145</v>
      </c>
      <c r="I71" s="176">
        <f ca="1">IF('2025整理'!$S$1&lt;DATE(2025,6,1)," ",'2025整理'!K1483)</f>
        <v>6.544025</v>
      </c>
      <c r="J71" s="176">
        <f ca="1">IF('2025整理'!$S$1&lt;DATE(2025,7,1)," ",'2025整理'!L1483)</f>
        <v>2.266345</v>
      </c>
      <c r="K71" s="176">
        <f ca="1">IF('2025整理'!$S$1&lt;DATE(2025,8,1)," ",'2025整理'!M1483)</f>
        <v>6.491925</v>
      </c>
      <c r="L71" s="176">
        <f ca="1">IF('2025整理'!$S$1&lt;DATE(2025,9,1)," ",'2025整理'!N1483)</f>
        <v>7.302446</v>
      </c>
      <c r="M71" s="176">
        <f ca="1">IF('2025整理'!$S$1&lt;DATE(2025,10,1)," ",'2025整理'!O1483)</f>
        <v>2.440078</v>
      </c>
      <c r="N71" s="176">
        <f ca="1">IF('2025整理'!$S$1&lt;DATE(2025,11,1)," ",'2025整理'!P1483)</f>
        <v>1.192083</v>
      </c>
      <c r="O71" s="176">
        <f ca="1">IF('2025整理'!$S$1&lt;DATE(2025,12,1)," ",'2025整理'!Q1483)</f>
        <v>3.405167</v>
      </c>
    </row>
    <row r="72" ht="24.75" customHeight="1" spans="1:15">
      <c r="A72" s="162" t="s">
        <v>348</v>
      </c>
      <c r="B72" s="166" t="s">
        <v>375</v>
      </c>
      <c r="C72" s="166" t="s">
        <v>377</v>
      </c>
      <c r="D72" s="175">
        <f ca="1">IF(D71="","",D71)</f>
        <v>3.080882</v>
      </c>
      <c r="E72" s="175">
        <f ca="1" t="shared" ref="E72:O72" si="87">IF(E71=" "," ",E71+D72)</f>
        <v>6.304057</v>
      </c>
      <c r="F72" s="175">
        <f ca="1" t="shared" si="87"/>
        <v>8.002842</v>
      </c>
      <c r="G72" s="175">
        <f ca="1" t="shared" si="87"/>
        <v>10.042511</v>
      </c>
      <c r="H72" s="175">
        <f ca="1" t="shared" si="87"/>
        <v>17.712656</v>
      </c>
      <c r="I72" s="175">
        <f ca="1" t="shared" si="87"/>
        <v>24.256681</v>
      </c>
      <c r="J72" s="175">
        <f ca="1" t="shared" si="87"/>
        <v>26.523026</v>
      </c>
      <c r="K72" s="175">
        <f ca="1" t="shared" si="87"/>
        <v>33.014951</v>
      </c>
      <c r="L72" s="175">
        <f ca="1" t="shared" si="87"/>
        <v>40.317397</v>
      </c>
      <c r="M72" s="175">
        <f ca="1" t="shared" si="87"/>
        <v>42.757475</v>
      </c>
      <c r="N72" s="175">
        <f ca="1" t="shared" si="87"/>
        <v>43.949558</v>
      </c>
      <c r="O72" s="175">
        <f ca="1" t="shared" si="87"/>
        <v>47.354725</v>
      </c>
    </row>
    <row r="73" ht="24.75" customHeight="1" spans="1:15">
      <c r="A73" s="172" t="s">
        <v>381</v>
      </c>
      <c r="B73" s="168" t="s">
        <v>382</v>
      </c>
      <c r="C73" s="168" t="s">
        <v>374</v>
      </c>
      <c r="D73" s="179">
        <f t="shared" ref="D73:O73" si="88">SUM(D55,D61,D67)</f>
        <v>1.471076</v>
      </c>
      <c r="E73" s="179">
        <f t="shared" si="88"/>
        <v>6.595368</v>
      </c>
      <c r="F73" s="179">
        <f t="shared" si="88"/>
        <v>3.444224</v>
      </c>
      <c r="G73" s="179">
        <f t="shared" si="88"/>
        <v>11.163128</v>
      </c>
      <c r="H73" s="179">
        <f t="shared" si="88"/>
        <v>14.148055</v>
      </c>
      <c r="I73" s="179">
        <f t="shared" si="88"/>
        <v>6.303261</v>
      </c>
      <c r="J73" s="179">
        <f t="shared" si="88"/>
        <v>5.335145</v>
      </c>
      <c r="K73" s="179">
        <f t="shared" si="88"/>
        <v>22.755459</v>
      </c>
      <c r="L73" s="179">
        <f t="shared" si="88"/>
        <v>16.514466</v>
      </c>
      <c r="M73" s="179">
        <f t="shared" si="88"/>
        <v>4.291632</v>
      </c>
      <c r="N73" s="179">
        <f t="shared" si="88"/>
        <v>15.048388</v>
      </c>
      <c r="O73" s="179">
        <f t="shared" si="88"/>
        <v>18.577776</v>
      </c>
    </row>
    <row r="74" ht="24.75" customHeight="1" spans="1:15">
      <c r="A74" s="165" t="s">
        <v>381</v>
      </c>
      <c r="B74" s="166" t="s">
        <v>382</v>
      </c>
      <c r="C74" s="166" t="s">
        <v>377</v>
      </c>
      <c r="D74" s="180">
        <f>D73</f>
        <v>1.471076</v>
      </c>
      <c r="E74" s="180">
        <f t="shared" ref="E74:O74" si="89">D74+E73</f>
        <v>8.066444</v>
      </c>
      <c r="F74" s="180">
        <f t="shared" si="89"/>
        <v>11.510668</v>
      </c>
      <c r="G74" s="180">
        <f t="shared" si="89"/>
        <v>22.673796</v>
      </c>
      <c r="H74" s="180">
        <f t="shared" si="89"/>
        <v>36.821851</v>
      </c>
      <c r="I74" s="180">
        <f t="shared" si="89"/>
        <v>43.125112</v>
      </c>
      <c r="J74" s="180">
        <f t="shared" si="89"/>
        <v>48.460257</v>
      </c>
      <c r="K74" s="180">
        <f t="shared" si="89"/>
        <v>71.215716</v>
      </c>
      <c r="L74" s="180">
        <f t="shared" si="89"/>
        <v>87.730182</v>
      </c>
      <c r="M74" s="180">
        <f t="shared" si="89"/>
        <v>92.021814</v>
      </c>
      <c r="N74" s="180">
        <f t="shared" si="89"/>
        <v>107.070202</v>
      </c>
      <c r="O74" s="180">
        <f t="shared" si="89"/>
        <v>125.647978</v>
      </c>
    </row>
    <row r="75" ht="24.75" customHeight="1" spans="1:15">
      <c r="A75" s="165" t="s">
        <v>381</v>
      </c>
      <c r="B75" s="168" t="s">
        <v>373</v>
      </c>
      <c r="C75" s="168" t="s">
        <v>374</v>
      </c>
      <c r="D75" s="179">
        <f t="shared" ref="D75:O75" si="90">SUM(D57,D63,D69)</f>
        <v>11.020017</v>
      </c>
      <c r="E75" s="179">
        <f t="shared" si="90"/>
        <v>4.486299</v>
      </c>
      <c r="F75" s="179">
        <f t="shared" si="90"/>
        <v>11.292126</v>
      </c>
      <c r="G75" s="179">
        <f t="shared" si="90"/>
        <v>9.3288713546</v>
      </c>
      <c r="H75" s="179">
        <f t="shared" si="90"/>
        <v>35.597941</v>
      </c>
      <c r="I75" s="179">
        <f t="shared" si="90"/>
        <v>17.728759</v>
      </c>
      <c r="J75" s="179">
        <f t="shared" si="90"/>
        <v>6.144413</v>
      </c>
      <c r="K75" s="179">
        <f t="shared" si="90"/>
        <v>9.177352</v>
      </c>
      <c r="L75" s="179">
        <f t="shared" si="90"/>
        <v>7.560096</v>
      </c>
      <c r="M75" s="179">
        <f t="shared" si="90"/>
        <v>7.934974</v>
      </c>
      <c r="N75" s="179">
        <f t="shared" si="90"/>
        <v>11.461504</v>
      </c>
      <c r="O75" s="179">
        <f t="shared" si="90"/>
        <v>9.222429</v>
      </c>
    </row>
    <row r="76" ht="24.75" customHeight="1" spans="1:15">
      <c r="A76" s="165" t="s">
        <v>381</v>
      </c>
      <c r="B76" s="166" t="s">
        <v>373</v>
      </c>
      <c r="C76" s="166" t="s">
        <v>377</v>
      </c>
      <c r="D76" s="180">
        <f>D75</f>
        <v>11.020017</v>
      </c>
      <c r="E76" s="180">
        <f t="shared" ref="E76:O76" si="91">D76+E75</f>
        <v>15.506316</v>
      </c>
      <c r="F76" s="180">
        <f t="shared" si="91"/>
        <v>26.798442</v>
      </c>
      <c r="G76" s="180">
        <f t="shared" si="91"/>
        <v>36.1273133546</v>
      </c>
      <c r="H76" s="180">
        <f t="shared" si="91"/>
        <v>71.7252543546</v>
      </c>
      <c r="I76" s="180">
        <f t="shared" si="91"/>
        <v>89.4540133546</v>
      </c>
      <c r="J76" s="180">
        <f t="shared" si="91"/>
        <v>95.5984263546</v>
      </c>
      <c r="K76" s="180">
        <f t="shared" si="91"/>
        <v>104.7757783546</v>
      </c>
      <c r="L76" s="180">
        <f t="shared" si="91"/>
        <v>112.3358743546</v>
      </c>
      <c r="M76" s="180">
        <f t="shared" si="91"/>
        <v>120.2708483546</v>
      </c>
      <c r="N76" s="180">
        <f t="shared" si="91"/>
        <v>131.7323523546</v>
      </c>
      <c r="O76" s="180">
        <f t="shared" si="91"/>
        <v>140.9547813546</v>
      </c>
    </row>
    <row r="77" ht="24.75" customHeight="1" spans="1:15">
      <c r="A77" s="165" t="s">
        <v>381</v>
      </c>
      <c r="B77" s="168" t="s">
        <v>375</v>
      </c>
      <c r="C77" s="168" t="s">
        <v>374</v>
      </c>
      <c r="D77" s="176">
        <f ca="1">IF('2025整理'!$S$1&lt;DATE(2025,1,1)," ",SUM(D59,D65,D71))</f>
        <v>16.833487</v>
      </c>
      <c r="E77" s="176">
        <f ca="1">IF('2025整理'!$S$1&lt;DATE(2025,2,1)," ",SUM(E59,E65,E71))</f>
        <v>12.726276</v>
      </c>
      <c r="F77" s="176">
        <f ca="1">IF('2025整理'!$S$1&lt;DATE(2025,3,1)," ",SUM(F59,F65,F71))</f>
        <v>2.809769</v>
      </c>
      <c r="G77" s="176">
        <f ca="1">IF('2025整理'!$S$1&lt;DATE(2025,4,1)," ",SUM(G59,G65,G71))</f>
        <v>24.739539</v>
      </c>
      <c r="H77" s="176">
        <f ca="1">IF('2025整理'!$S$1&lt;DATE(2025,5,1)," ",SUM(H59,H65,H71))</f>
        <v>18.422393</v>
      </c>
      <c r="I77" s="176">
        <f ca="1">IF('2025整理'!$S$1&lt;DATE(2025,6,1)," ",SUM(I59,I65,I71))</f>
        <v>20.415352</v>
      </c>
      <c r="J77" s="176">
        <f ca="1">IF('2025整理'!$S$1&lt;DATE(2025,7,1)," ",SUM(J59,J65,J71))</f>
        <v>10.516985</v>
      </c>
      <c r="K77" s="176">
        <f ca="1">IF('2025整理'!$S$1&lt;DATE(2025,8,1)," ",SUM(K59,K65,K71))</f>
        <v>18.299099</v>
      </c>
      <c r="L77" s="176">
        <f ca="1">IF('2025整理'!$S$1&lt;DATE(2025,9,1)," ",SUM(L59,L65,L71))</f>
        <v>15.430522</v>
      </c>
      <c r="M77" s="176">
        <f ca="1">IF('2025整理'!$S$1&lt;DATE(2025,10,1)," ",SUM(M59,M65,M71))</f>
        <v>5.08902</v>
      </c>
      <c r="N77" s="176">
        <f ca="1">IF('2025整理'!$S$1&lt;DATE(2025,11,1)," ",SUM(N59,N65,N71))</f>
        <v>5.748113</v>
      </c>
      <c r="O77" s="176">
        <f ca="1">IF('2025整理'!$S$1&lt;DATE(2025,12,1)," ",SUM(O59,O65,O71))</f>
        <v>9.37159</v>
      </c>
    </row>
    <row r="78" ht="24.75" customHeight="1" spans="1:15">
      <c r="A78" s="170" t="s">
        <v>381</v>
      </c>
      <c r="B78" s="166" t="s">
        <v>375</v>
      </c>
      <c r="C78" s="166" t="s">
        <v>377</v>
      </c>
      <c r="D78" s="175">
        <f ca="1">IF(D77="","",D77)</f>
        <v>16.833487</v>
      </c>
      <c r="E78" s="175">
        <f ca="1" t="shared" ref="E78:O78" si="92">IF(E77=" "," ",E77+D78)</f>
        <v>29.559763</v>
      </c>
      <c r="F78" s="175">
        <f ca="1" t="shared" si="92"/>
        <v>32.369532</v>
      </c>
      <c r="G78" s="175">
        <f ca="1" t="shared" si="92"/>
        <v>57.109071</v>
      </c>
      <c r="H78" s="175">
        <f ca="1" t="shared" si="92"/>
        <v>75.531464</v>
      </c>
      <c r="I78" s="175">
        <f ca="1" t="shared" si="92"/>
        <v>95.946816</v>
      </c>
      <c r="J78" s="175">
        <f ca="1" t="shared" si="92"/>
        <v>106.463801</v>
      </c>
      <c r="K78" s="175">
        <f ca="1" t="shared" si="92"/>
        <v>124.7629</v>
      </c>
      <c r="L78" s="175">
        <f ca="1" t="shared" si="92"/>
        <v>140.193422</v>
      </c>
      <c r="M78" s="175">
        <f ca="1" t="shared" si="92"/>
        <v>145.282442</v>
      </c>
      <c r="N78" s="175">
        <f ca="1" t="shared" si="92"/>
        <v>151.030555</v>
      </c>
      <c r="O78" s="175">
        <f ca="1" t="shared" si="92"/>
        <v>160.402145</v>
      </c>
    </row>
    <row r="79" ht="24.75" customHeight="1"/>
    <row r="80" ht="24.75" customHeight="1"/>
    <row r="81" ht="24.75" customHeight="1"/>
    <row r="82" ht="24.75" customHeight="1"/>
    <row r="83" ht="24.75" customHeight="1"/>
    <row r="84" ht="24.75" customHeight="1"/>
    <row r="85" ht="24.75" customHeight="1"/>
    <row r="86" ht="24.75" customHeight="1"/>
    <row r="87" ht="24.75" customHeight="1"/>
    <row r="88" ht="24.75" customHeight="1"/>
    <row r="89" ht="24.75" customHeight="1"/>
    <row r="90" ht="24.75" customHeight="1"/>
    <row r="91" ht="24.75" customHeight="1"/>
    <row r="92" ht="24.75" customHeight="1"/>
    <row r="93" ht="24.75" customHeight="1"/>
    <row r="94" ht="24.75" customHeight="1"/>
    <row r="95" ht="24.75" customHeight="1" spans="1:25">
      <c r="A95" s="140" t="s">
        <v>385</v>
      </c>
      <c r="B95" s="141"/>
      <c r="C95" s="141"/>
      <c r="W95" s="140" t="s">
        <v>386</v>
      </c>
      <c r="X95" s="141"/>
      <c r="Y95" s="141"/>
    </row>
    <row r="96" ht="24.75" customHeight="1" spans="1:37">
      <c r="A96" s="181" t="s">
        <v>272</v>
      </c>
      <c r="B96" s="181" t="s">
        <v>371</v>
      </c>
      <c r="C96" s="181" t="s">
        <v>372</v>
      </c>
      <c r="D96" s="181" t="s">
        <v>277</v>
      </c>
      <c r="E96" s="181" t="s">
        <v>278</v>
      </c>
      <c r="F96" s="181" t="s">
        <v>279</v>
      </c>
      <c r="G96" s="181" t="s">
        <v>280</v>
      </c>
      <c r="H96" s="181" t="s">
        <v>281</v>
      </c>
      <c r="I96" s="181" t="s">
        <v>282</v>
      </c>
      <c r="J96" s="181" t="s">
        <v>283</v>
      </c>
      <c r="K96" s="181" t="s">
        <v>284</v>
      </c>
      <c r="L96" s="181" t="s">
        <v>285</v>
      </c>
      <c r="M96" s="181" t="s">
        <v>286</v>
      </c>
      <c r="N96" s="181" t="s">
        <v>287</v>
      </c>
      <c r="O96" s="181" t="s">
        <v>288</v>
      </c>
      <c r="W96" s="181" t="s">
        <v>272</v>
      </c>
      <c r="X96" s="181" t="s">
        <v>371</v>
      </c>
      <c r="Y96" s="181" t="s">
        <v>372</v>
      </c>
      <c r="Z96" s="181" t="s">
        <v>277</v>
      </c>
      <c r="AA96" s="181" t="s">
        <v>278</v>
      </c>
      <c r="AB96" s="181" t="s">
        <v>279</v>
      </c>
      <c r="AC96" s="181" t="s">
        <v>280</v>
      </c>
      <c r="AD96" s="181" t="s">
        <v>281</v>
      </c>
      <c r="AE96" s="181" t="s">
        <v>282</v>
      </c>
      <c r="AF96" s="181" t="s">
        <v>283</v>
      </c>
      <c r="AG96" s="181" t="s">
        <v>284</v>
      </c>
      <c r="AH96" s="181" t="s">
        <v>285</v>
      </c>
      <c r="AI96" s="181" t="s">
        <v>286</v>
      </c>
      <c r="AJ96" s="181" t="s">
        <v>287</v>
      </c>
      <c r="AK96" s="181" t="s">
        <v>288</v>
      </c>
    </row>
    <row r="97" ht="24.75" customHeight="1" spans="1:37">
      <c r="A97" s="182" t="s">
        <v>289</v>
      </c>
      <c r="B97" s="183" t="s">
        <v>373</v>
      </c>
      <c r="C97" s="183" t="s">
        <v>387</v>
      </c>
      <c r="D97" s="184">
        <f ca="1">IF('2025整理'!$S$1&gt;=DATE(2024,1,1),IF(COUNTIFS('2024数据'!$D$3:$D$152,"&gt;=2024-01-01",'2024数据'!$D$3:$D$152,"&lt;=2024-01-31")&gt;0,AVERAGEIFS('2024数据'!$F$3:$F$152,'2024数据'!$D$3:$D$152,"&gt;=2024-01-01",'2024数据'!$D$3:$D$152,"&lt;=2024-01-31"),""),"")</f>
        <v>34.6666666666667</v>
      </c>
      <c r="E97" s="184">
        <f ca="1">IF('2025整理'!$S$1&gt;=DATE(2024,2,1),IF(COUNTIFS('2024数据'!$D$3:$D$152,"&gt;=2024-02-01",'2024数据'!$D$3:$D$152,"&lt;=2024-02-28")&gt;0,AVERAGEIFS('2024数据'!$F$3:$F$152,'2024数据'!$D$3:$D$152,"&gt;=2024-02-01",'2024数据'!$D$3:$D$152,"&lt;=2024-02-28"),""),"")</f>
        <v>33</v>
      </c>
      <c r="F97" s="184">
        <f ca="1">IF('2025整理'!$S$1&gt;=DATE(2024,3,1),IF(COUNTIFS('2024数据'!$D$3:$D$152,"&gt;=2024-03-01",'2024数据'!$D$3:$D$152,"&lt;=2024-03-31")&gt;0,AVERAGEIFS('2024数据'!$F$3:$F$152,'2024数据'!$D$3:$D$152,"&gt;=2024-03-01",'2024数据'!$D$3:$D$152,"&lt;=2024-03-31"),""),"")</f>
        <v>64.5</v>
      </c>
      <c r="G97" s="184">
        <f ca="1">IF('2025整理'!$S$1&gt;=DATE(2024,4,1),IF(COUNTIFS('2024数据'!$D$3:$D$152,"&gt;=2024-04-01",'2024数据'!$D$3:$D$152,"&lt;=2024-04-30")&gt;0,AVERAGEIFS('2024数据'!$F$3:$F$152,'2024数据'!$D$3:$D$152,"&gt;=2024-04-01",'2024数据'!$D$3:$D$152,"&lt;=2024-04-30"),""),"")</f>
        <v>44.2</v>
      </c>
      <c r="H97" s="184">
        <f ca="1">IF('2025整理'!$S$1&gt;=DATE(2024,5,1),IF(COUNTIFS('2024数据'!$D$3:$D$152,"&gt;=2024-05-01",'2024数据'!$D$3:$D$152,"&lt;=2024-05-31")&gt;0,AVERAGEIFS('2024数据'!$F$3:$F$152,'2024数据'!$D$3:$D$152,"&gt;=2024-05-01",'2024数据'!$D$3:$D$152,"&lt;=2024-05-31"),""),"")</f>
        <v>60</v>
      </c>
      <c r="I97" s="184">
        <f ca="1">IF('2025整理'!$S$1&gt;=DATE(2024,6,1),IF(COUNTIFS('2024数据'!$D$3:$D$152,"&gt;=2024-06-01",'2024数据'!$D$3:$D$152,"&lt;=2024-06-30")&gt;0,AVERAGEIFS('2024数据'!$F$3:$F$152,'2024数据'!$D$3:$D$152,"&gt;=2024-06-01",'2024数据'!$D$3:$D$152,"&lt;=2024-06-30"),""),"")</f>
        <v>18.75</v>
      </c>
      <c r="J97" s="184">
        <f ca="1">IF('2025整理'!$S$1&gt;=DATE(2024,7,1),IF(COUNTIFS('2024数据'!$D$3:$D$152,"&gt;=2024-07-01",'2024数据'!$D$3:$D$152,"&lt;=2024-07-31")&gt;0,AVERAGEIFS('2024数据'!$F$3:$F$152,'2024数据'!$D$3:$D$152,"&gt;=2024-07-01",'2024数据'!$D$3:$D$152,"&lt;=2024-07-31"),""),"")</f>
        <v>16.5</v>
      </c>
      <c r="K97" s="184">
        <f ca="1">IF('2025整理'!$S$1&gt;=DATE(2024,8,1),IF(COUNTIFS('2024数据'!$D$3:$D$152,"&gt;=2024-08-01",'2024数据'!$D$3:$D$152,"&lt;=2024-08-31")&gt;0,AVERAGEIFS('2024数据'!$F$3:$F$152,'2024数据'!$D$3:$D$152,"&gt;=2024-08-01",'2024数据'!$D$3:$D$152,"&lt;=2024-08-31"),""),"")</f>
        <v>18.8</v>
      </c>
      <c r="L97" s="184">
        <f ca="1">IF('2025整理'!$S$1&gt;=DATE(2024,9,1),IF(COUNTIFS('2024数据'!$D$3:$D$152,"&gt;=2024-09-01",'2024数据'!$D$3:$D$152,"&lt;=2024-09-30")&gt;0,AVERAGEIFS('2024数据'!$F$3:$F$152,'2024数据'!$D$3:$D$152,"&gt;=2024-09-01",'2024数据'!$D$3:$D$152,"&lt;=2024-09-30"),""),"")</f>
        <v>12.2</v>
      </c>
      <c r="M97" s="184">
        <f ca="1">IF('2025整理'!$S$1&gt;=DATE(2024,10,1),IF(COUNTIFS('2024数据'!$D$3:$D$152,"&gt;=2024-10-01",'2024数据'!$D$3:$D$152,"&lt;=2024-10-31")&gt;0,AVERAGEIFS('2024数据'!$F$3:$F$152,'2024数据'!$D$3:$D$152,"&gt;=2024-10-01",'2024数据'!$D$3:$D$152,"&lt;=2024-10-31"),""),"")</f>
        <v>7.5</v>
      </c>
      <c r="N97" s="184">
        <f ca="1">IF('2025整理'!$S$1&gt;=DATE(2024,11,1),IF(COUNTIFS('2024数据'!$D$3:$D$152,"&gt;=2024-11-01",'2024数据'!$D$3:$D$152,"&lt;=2024-11-30")&gt;0,AVERAGEIFS('2024数据'!$F$3:$F$152,'2024数据'!$D$3:$D$152,"&gt;=2024-11-01",'2024数据'!$D$3:$D$152,"&lt;=2024-11-30"),""),"")</f>
        <v>10.6666666666667</v>
      </c>
      <c r="O97" s="184">
        <f ca="1">IF('2025整理'!$S$1&gt;=DATE(2024,12,1),IF(COUNTIFS('2024数据'!$D$3:$D$152,"&gt;=2024-12-01",'2024数据'!$D$3:$D$152,"&lt;=2024-12-31")&gt;0,AVERAGEIFS('2024数据'!$F$3:$F$152,'2024数据'!$D$3:$D$152,"&gt;=2024-12-01",'2024数据'!$D$3:$D$152,"&lt;=2024-12-31"),""),"")</f>
        <v>14.6666666666667</v>
      </c>
      <c r="W97" s="182" t="s">
        <v>289</v>
      </c>
      <c r="X97" s="163" t="s">
        <v>375</v>
      </c>
      <c r="Y97" s="163" t="s">
        <v>376</v>
      </c>
      <c r="Z97" s="195">
        <f ca="1" t="shared" ref="Z97:AK97" si="93">IF(D100="","",D100-D98)</f>
        <v>-16.9166666666667</v>
      </c>
      <c r="AA97" s="195">
        <f ca="1" t="shared" si="93"/>
        <v>-10.7619047619048</v>
      </c>
      <c r="AB97" s="195">
        <f ca="1" t="shared" si="93"/>
        <v>-18.6825396825397</v>
      </c>
      <c r="AC97" s="195">
        <f ca="1" t="shared" si="93"/>
        <v>-20.9642857142857</v>
      </c>
      <c r="AD97" s="195">
        <f ca="1" t="shared" si="93"/>
        <v>-28.4465240641711</v>
      </c>
      <c r="AE97" s="195">
        <f ca="1" t="shared" si="93"/>
        <v>-25.2348178137652</v>
      </c>
      <c r="AF97" s="195">
        <f ca="1" t="shared" si="93"/>
        <v>-22.28</v>
      </c>
      <c r="AG97" s="195">
        <f ca="1" t="shared" si="93"/>
        <v>-19.4522167487685</v>
      </c>
      <c r="AH97" s="195">
        <f ca="1" t="shared" si="93"/>
        <v>-16.205303030303</v>
      </c>
      <c r="AI97" s="195">
        <f ca="1" t="shared" si="93"/>
        <v>-15.1694677871148</v>
      </c>
      <c r="AJ97" s="195">
        <f ca="1" t="shared" si="93"/>
        <v>-13.0222222222222</v>
      </c>
      <c r="AK97" s="195">
        <f ca="1" t="shared" si="93"/>
        <v>-12.0726744186047</v>
      </c>
    </row>
    <row r="98" ht="24.75" customHeight="1" spans="1:37">
      <c r="A98" s="185" t="s">
        <v>289</v>
      </c>
      <c r="B98" s="186" t="s">
        <v>373</v>
      </c>
      <c r="C98" s="186" t="s">
        <v>388</v>
      </c>
      <c r="D98" s="187">
        <f ca="1">IF('2025整理'!$S$1&gt;=DATE(2024,1,1),IF(COUNTIFS('2024数据'!$D$3:$D$152,"&gt;=2024-01-01",'2024数据'!$D$3:$D$152,"&lt;=2024-01-31")&gt;0,AVERAGEIFS('2024数据'!$F$3:$F$152,'2024数据'!$D$3:$D$152,"&gt;=2024-01-01",'2024数据'!$D$3:$D$152,"&lt;=2024-01-31"),""),"")</f>
        <v>34.6666666666667</v>
      </c>
      <c r="E98" s="187">
        <f ca="1">IF('2025整理'!$S$1&gt;=DATE(2024,2,1),IF(COUNTIFS('2024数据'!$D$3:$D$152,"&gt;=2024-01-01",'2024数据'!$D$3:$D$152,"&lt;=2024-02-28")&gt;0,AVERAGEIFS('2024数据'!$F$3:$F$152,'2024数据'!$D$3:$D$152,"&gt;=2024-01-01",'2024数据'!$D$3:$D$152,"&lt;=2024-02-28"),""),"")</f>
        <v>34.4285714285714</v>
      </c>
      <c r="F98" s="187">
        <f ca="1">IF('2025整理'!$S$1&gt;=DATE(2024,3,1),IF(COUNTIFS('2024数据'!$D$3:$D$152,"&gt;=2024-01-01",'2024数据'!$D$3:$D$152,"&lt;=2024-03-31")&gt;0,AVERAGEIFS('2024数据'!$F$3:$F$152,'2024数据'!$D$3:$D$152,"&gt;=2024-01-01",'2024数据'!$D$3:$D$152,"&lt;=2024-03-31"),""),"")</f>
        <v>41.1111111111111</v>
      </c>
      <c r="G98" s="187">
        <f ca="1">IF('2025整理'!$S$1&gt;=DATE(2024,4,1),IF(COUNTIFS('2024数据'!$D$3:$D$152,"&gt;=2024-01-01",'2024数据'!$D$3:$D$152,"&lt;=2024-04-30")&gt;0,AVERAGEIFS('2024数据'!$F$3:$F$152,'2024数据'!$D$3:$D$152,"&gt;=2024-01-01",'2024数据'!$D$3:$D$152,"&lt;=2024-04-30"),""),"")</f>
        <v>42.2142857142857</v>
      </c>
      <c r="H98" s="187">
        <f ca="1">IF('2025整理'!$S$1&gt;=DATE(2024,5,1),IF(COUNTIFS('2024数据'!$D$3:$D$152,"&gt;=2024-01-01",'2024数据'!$D$3:$D$152,"&lt;=2024-05-31")&gt;0,AVERAGEIFS('2024数据'!$F$3:$F$152,'2024数据'!$D$3:$D$152,"&gt;=2024-01-01",'2024数据'!$D$3:$D$152,"&lt;=2024-05-31"),""),"")</f>
        <v>48.6818181818182</v>
      </c>
      <c r="I98" s="187">
        <f ca="1">IF('2025整理'!$S$1&gt;=DATE(2024,6,1),IF(COUNTIFS('2024数据'!$D$3:$D$152,"&gt;=2024-01-01",'2024数据'!$D$3:$D$152,"&lt;=2024-06-30")&gt;0,AVERAGEIFS('2024数据'!$F$3:$F$152,'2024数据'!$D$3:$D$152,"&gt;=2024-01-01",'2024数据'!$D$3:$D$152,"&lt;=2024-06-30"),""),"")</f>
        <v>44.0769230769231</v>
      </c>
      <c r="J98" s="187">
        <f ca="1">IF('2025整理'!$S$1&gt;=DATE(2024,7,1),IF(COUNTIFS('2024数据'!$D$3:$D$152,"&gt;=2024-01-01",'2024数据'!$D$3:$D$152,"&lt;=2024-07-31")&gt;0,AVERAGEIFS('2024数据'!$F$3:$F$152,'2024数据'!$D$3:$D$152,"&gt;=2024-01-01",'2024数据'!$D$3:$D$152,"&lt;=2024-07-31"),""),"")</f>
        <v>40.4</v>
      </c>
      <c r="K98" s="187">
        <f ca="1">IF('2025整理'!$S$1&gt;=DATE(2024,8,1),IF(COUNTIFS('2024数据'!$D$3:$D$152,"&gt;=2024-01-01",'2024数据'!$D$3:$D$152,"&lt;=2024-08-31")&gt;0,AVERAGEIFS('2024数据'!$F$3:$F$152,'2024数据'!$D$3:$D$152,"&gt;=2024-01-01",'2024数据'!$D$3:$D$152,"&lt;=2024-08-31"),""),"")</f>
        <v>37.3142857142857</v>
      </c>
      <c r="L98" s="187">
        <f ca="1">IF('2025整理'!$S$1&gt;=DATE(2024,9,1),IF(COUNTIFS('2024数据'!$D$3:$D$152,"&gt;=2024-01-01",'2024数据'!$D$3:$D$152,"&lt;=2024-09-30")&gt;0,AVERAGEIFS('2024数据'!$F$3:$F$152,'2024数据'!$D$3:$D$152,"&gt;=2024-01-01",'2024数据'!$D$3:$D$152,"&lt;=2024-09-30"),""),"")</f>
        <v>34.175</v>
      </c>
      <c r="M98" s="187">
        <f ca="1">IF('2025整理'!$S$1&gt;=DATE(2024,10,1),IF(COUNTIFS('2024数据'!$D$3:$D$152,"&gt;=2024-01-01",'2024数据'!$D$3:$D$152,"&lt;=2024-10-31")&gt;0,AVERAGEIFS('2024数据'!$F$3:$F$152,'2024数据'!$D$3:$D$152,"&gt;=2024-01-01",'2024数据'!$D$3:$D$152,"&lt;=2024-10-31"),""),"")</f>
        <v>32.9047619047619</v>
      </c>
      <c r="N98" s="187">
        <f ca="1">IF('2025整理'!$S$1&gt;=DATE(2024,11,1),IF(COUNTIFS('2024数据'!$D$3:$D$152,"&gt;=2024-01-01",'2024数据'!$D$3:$D$152,"&lt;=2024-11-30")&gt;0,AVERAGEIFS('2024数据'!$F$3:$F$152,'2024数据'!$D$3:$D$152,"&gt;=2024-01-01",'2024数据'!$D$3:$D$152,"&lt;=2024-11-30"),""),"")</f>
        <v>31.4222222222222</v>
      </c>
      <c r="O98" s="187">
        <f ca="1">IF('2025整理'!$S$1&gt;=DATE(2024,12,1),IF(COUNTIFS('2024数据'!$D$3:$D$152,"&gt;=2024-01-01",'2024数据'!$D$3:$D$152,"&lt;=2024-12-31")&gt;0,AVERAGEIFS('2024数据'!$F$3:$F$152,'2024数据'!$D$3:$D$152,"&gt;=2024-01-01",'2024数据'!$D$3:$D$152,"&lt;=2024-12-31"),""),"")</f>
        <v>30.375</v>
      </c>
      <c r="W98" s="185" t="s">
        <v>289</v>
      </c>
      <c r="X98" s="166" t="s">
        <v>375</v>
      </c>
      <c r="Y98" s="166" t="s">
        <v>378</v>
      </c>
      <c r="Z98" s="174">
        <f ca="1" t="shared" ref="Z98:AA98" si="94">IF(Z97="","",Z97/D98)</f>
        <v>-0.487980769230769</v>
      </c>
      <c r="AA98" s="174">
        <f ca="1" t="shared" si="94"/>
        <v>-0.312586445366528</v>
      </c>
      <c r="AB98" s="174">
        <f ca="1" t="shared" ref="AB98:AK98" si="95">IF(AB97="","",IF(F98="",(AB97-1)/1,AB97/F98))</f>
        <v>-0.454440154440155</v>
      </c>
      <c r="AC98" s="174">
        <f ca="1" t="shared" si="95"/>
        <v>-0.496615905245347</v>
      </c>
      <c r="AD98" s="174">
        <f ca="1" t="shared" si="95"/>
        <v>-0.584335695062339</v>
      </c>
      <c r="AE98" s="174">
        <f ca="1" t="shared" si="95"/>
        <v>-0.572517681638652</v>
      </c>
      <c r="AF98" s="174">
        <f ca="1" t="shared" si="95"/>
        <v>-0.551485148514851</v>
      </c>
      <c r="AG98" s="174">
        <f ca="1" t="shared" si="95"/>
        <v>-0.521307493267149</v>
      </c>
      <c r="AH98" s="174">
        <f ca="1" t="shared" si="95"/>
        <v>-0.474185897009599</v>
      </c>
      <c r="AI98" s="174">
        <f ca="1" t="shared" si="95"/>
        <v>-0.46101132203967</v>
      </c>
      <c r="AJ98" s="174">
        <f ca="1" t="shared" si="95"/>
        <v>-0.414427157001414</v>
      </c>
      <c r="AK98" s="174">
        <f ca="1" t="shared" si="95"/>
        <v>-0.397454301847067</v>
      </c>
    </row>
    <row r="99" ht="24.75" customHeight="1" spans="1:37">
      <c r="A99" s="185" t="s">
        <v>289</v>
      </c>
      <c r="B99" s="188" t="s">
        <v>375</v>
      </c>
      <c r="C99" s="183" t="s">
        <v>387</v>
      </c>
      <c r="D99" s="189">
        <f ca="1">IF('2025整理'!$S$1&gt;=DATE(2025,1,1),IF(COUNTIFS('2025数据'!$D$3:$D$181,"&gt;=2025-01-01",'2025数据'!$D$3:$D$181,"&lt;=2025-01-31")&gt;0,AVERAGEIFS('2025数据'!$F$3:$F$181,'2025数据'!$D$3:$D$181,"&gt;=2025-01-01",'2025数据'!$D$3:$D$181,"&lt;=2025-01-31"),""),"")</f>
        <v>17.75</v>
      </c>
      <c r="E99" s="189">
        <f ca="1">IF('2025整理'!$S$1&gt;=DATE(2025,2,1),IF(COUNTIFS('2025数据'!$D$3:$D$181,"&gt;=2025-02-01",'2025数据'!$D$3:$D$181,"&lt;=2025-02-28")&gt;0,AVERAGEIFS('2025数据'!$F$3:$F$181,'2025数据'!$D$3:$D$181,"&gt;=2025-02-01",'2025数据'!$D$3:$D$181,"&lt;=2025-02-28"),""),"")</f>
        <v>35.5</v>
      </c>
      <c r="F99" s="189">
        <f ca="1">IF('2025整理'!$S$1&gt;=DATE(2025,3,1),IF(COUNTIFS('2025数据'!$D$3:$D$181,"&gt;=2025-03-01",'2025数据'!$D$3:$D$181,"&lt;=2025-03-31")&gt;0,AVERAGEIFS('2025数据'!$F$3:$F$181,'2025数据'!$D$3:$D$181,"&gt;=2025-03-01",'2025数据'!$D$3:$D$181,"&lt;=2025-03-31"),""),"")</f>
        <v>15</v>
      </c>
      <c r="G99" s="189">
        <f ca="1">IF('2025整理'!$S$1&gt;=DATE(2025,4,1),IF(COUNTIFS('2025数据'!$D$3:$D$181,"&gt;=2025-04-01",'2025数据'!$D$3:$D$181,"&lt;=2025-04-30")&gt;0,AVERAGEIFS('2025数据'!$F$3:$F$181,'2025数据'!$D$3:$D$181,"&gt;=2025-04-01",'2025数据'!$D$3:$D$181,"&lt;=2025-04-30"),""),"")</f>
        <v>19.6</v>
      </c>
      <c r="H99" s="189">
        <f ca="1">IF('2025整理'!$S$1&gt;=DATE(2025,5,1),IF(COUNTIFS('2025数据'!$D$3:$D$181,"&gt;=2025-05-01",'2025数据'!$D$3:$D$181,"&lt;=2025-05-31")&gt;0,AVERAGEIFS('2025数据'!$F$3:$F$181,'2025数据'!$D$3:$D$181,"&gt;=2025-05-01",'2025数据'!$D$3:$D$181,"&lt;=2025-05-31"),""),"")</f>
        <v>17.8</v>
      </c>
      <c r="I99" s="189">
        <f ca="1">IF('2025整理'!$S$1&gt;=DATE(2025,6,1),IF(COUNTIFS('2025数据'!$D$3:$D$181,"&gt;=2025-06-01",'2025数据'!$D$3:$D$181,"&lt;=2025-06-30")&gt;0,AVERAGEIFS('2025数据'!$F$3:$F$181,'2025数据'!$D$3:$D$181,"&gt;=2025-06-01",'2025数据'!$D$3:$D$181,"&lt;=2025-06-30"),""),"")</f>
        <v>7</v>
      </c>
      <c r="J99" s="189">
        <f ca="1">IF('2025整理'!$S$1&gt;=DATE(2025,7,1),IF(COUNTIFS('2025数据'!$D$3:$D$181,"&gt;=2025-07-01",'2025数据'!$D$3:$D$181,"&lt;=2025-07-31")&gt;0,AVERAGEIFS('2025数据'!$F$3:$F$181,'2025数据'!$D$3:$D$181,"&gt;=2025-07-01",'2025数据'!$D$3:$D$181,"&lt;=2025-07-31"),""),"")</f>
        <v>15.8333333333333</v>
      </c>
      <c r="K99" s="189">
        <f ca="1">IF('2025整理'!$S$1&gt;=DATE(2025,8,1),IF(COUNTIFS('2025数据'!$D$3:$D$181,"&gt;=2025-08-01",'2025数据'!$D$3:$D$181,"&lt;=2025-08-31")&gt;0,AVERAGEIFS('2025数据'!$F$3:$F$181,'2025数据'!$D$3:$D$181,"&gt;=2025-08-01",'2025数据'!$D$3:$D$181,"&lt;=2025-08-31"),""),"")</f>
        <v>16.25</v>
      </c>
      <c r="L99" s="189">
        <f ca="1">IF('2025整理'!$S$1&gt;=DATE(2025,9,1),IF(COUNTIFS('2025数据'!$D$3:$D$181,"&gt;=2025-09-01",'2025数据'!$D$3:$D$181,"&lt;=2025-09-30")&gt;0,AVERAGEIFS('2025数据'!$F$3:$F$181,'2025数据'!$D$3:$D$181,"&gt;=2025-09-01",'2025数据'!$D$3:$D$181,"&lt;=2025-09-30"),""),"")</f>
        <v>18.75</v>
      </c>
      <c r="M99" s="189">
        <f ca="1">IF('2025整理'!$S$1&gt;=DATE(2025,10,1),IF(COUNTIFS('2025数据'!$D$3:$D$181,"&gt;=2025-10-01",'2025数据'!$D$3:$D$181,"&lt;=2025-10-31")&gt;0,AVERAGEIFS('2025数据'!$F$3:$F$181,'2025数据'!$D$3:$D$181,"&gt;=2025-10-01",'2025数据'!$D$3:$D$181,"&lt;=2025-10-31"),""),"")</f>
        <v>10</v>
      </c>
      <c r="N99" s="189">
        <f ca="1">IF('2025整理'!$S$1&gt;=DATE(2025,11,1),IF(COUNTIFS('2025数据'!$D$3:$D$181,"&gt;=2025-11-01",'2025数据'!$D$3:$D$181,"&lt;=2025-11-30")&gt;0,AVERAGEIFS('2025数据'!$F$3:$F$181,'2025数据'!$D$3:$D$181,"&gt;=2025-11-01",'2025数据'!$D$3:$D$181,"&lt;=2025-11-30"),""),"")</f>
        <v>22.1666666666667</v>
      </c>
      <c r="O99" s="189">
        <f ca="1">IF('2025整理'!$S$1&gt;=DATE(2025,12,1),IF(COUNTIFS('2025数据'!$D$3:$D$181,"&gt;=2025-12-01",'2025数据'!$D$3:$D$181,"&lt;=2025-12-31")&gt;0,AVERAGEIFS('2025数据'!$F$3:$F$181,'2025数据'!$D$3:$D$181,"&gt;=2025-12-01",'2025数据'!$D$3:$D$181,"&lt;=2025-12-31"),""),"")</f>
        <v>17</v>
      </c>
      <c r="W99" s="185" t="s">
        <v>289</v>
      </c>
      <c r="X99" s="168" t="s">
        <v>375</v>
      </c>
      <c r="Y99" s="168" t="s">
        <v>379</v>
      </c>
      <c r="Z99" s="195">
        <f ca="1">IF(D99="","",D99-O97)</f>
        <v>3.08333333333333</v>
      </c>
      <c r="AA99" s="195">
        <f ca="1" t="shared" ref="AA99:AK99" si="96">IF(E99="","",IF(D99="",E99,E99-D99))</f>
        <v>17.75</v>
      </c>
      <c r="AB99" s="195">
        <f ca="1" t="shared" si="96"/>
        <v>-20.5</v>
      </c>
      <c r="AC99" s="195">
        <f ca="1" t="shared" si="96"/>
        <v>4.6</v>
      </c>
      <c r="AD99" s="195">
        <f ca="1" t="shared" si="96"/>
        <v>-1.8</v>
      </c>
      <c r="AE99" s="195">
        <f ca="1" t="shared" si="96"/>
        <v>-10.8</v>
      </c>
      <c r="AF99" s="195">
        <f ca="1" t="shared" si="96"/>
        <v>8.83333333333333</v>
      </c>
      <c r="AG99" s="195">
        <f ca="1" t="shared" si="96"/>
        <v>0.416666666666666</v>
      </c>
      <c r="AH99" s="195">
        <f ca="1" t="shared" si="96"/>
        <v>2.5</v>
      </c>
      <c r="AI99" s="195">
        <f ca="1" t="shared" si="96"/>
        <v>-8.75</v>
      </c>
      <c r="AJ99" s="195">
        <f ca="1" t="shared" si="96"/>
        <v>12.1666666666667</v>
      </c>
      <c r="AK99" s="195">
        <f ca="1" t="shared" si="96"/>
        <v>-5.16666666666667</v>
      </c>
    </row>
    <row r="100" ht="24.75" customHeight="1" spans="1:37">
      <c r="A100" s="190" t="s">
        <v>289</v>
      </c>
      <c r="B100" s="186" t="s">
        <v>375</v>
      </c>
      <c r="C100" s="186" t="s">
        <v>388</v>
      </c>
      <c r="D100" s="189">
        <f ca="1">IF('2025整理'!$S$1&gt;=DATE(2025,1,1),IF(COUNTIFS('2025数据'!$D$3:$D$181,"&gt;=2025-01-01",'2025数据'!$D$3:$D$181,"&lt;=2025-01-31")&gt;0,AVERAGEIFS('2025数据'!$F$3:$F$181,'2025数据'!$D$3:$D$181,"&gt;=2025-01-01",'2025数据'!$D$3:$D$181,"&lt;=2025-01-31"),""),"")</f>
        <v>17.75</v>
      </c>
      <c r="E100" s="189">
        <f ca="1">IF('2025整理'!$S$1&gt;=DATE(2025,2,1),IF(COUNTIFS('2025数据'!$D$3:$D$181,"&gt;=2025-01-01",'2025数据'!$D$3:$D$181,"&lt;=2025-02-28")&gt;0,AVERAGEIFS('2025数据'!$F$3:$F$181,'2025数据'!$D$3:$D$181,"&gt;=2025-01-01",'2025数据'!$D$3:$D$181,"&lt;=2025-02-28"),""),"")</f>
        <v>23.6666666666667</v>
      </c>
      <c r="F100" s="189">
        <f ca="1">IF('2025整理'!$S$1&gt;=DATE(2025,3,1),IF(COUNTIFS('2025数据'!$D$3:$D$181,"&gt;=2025-01-01",'2025数据'!$D$3:$D$181,"&lt;=2025-03-31")&gt;0,AVERAGEIFS('2025数据'!$F$3:$F$181,'2025数据'!$D$3:$D$181,"&gt;=2025-01-01",'2025数据'!$D$3:$D$181,"&lt;=2025-03-31"),""),"")</f>
        <v>22.4285714285714</v>
      </c>
      <c r="G100" s="189">
        <f ca="1">IF('2025整理'!$S$1&gt;=DATE(2025,4,1),IF(COUNTIFS('2025数据'!$D$3:$D$181,"&gt;=2025-01-01",'2025数据'!$D$3:$D$181,"&lt;=2025-04-30")&gt;0,AVERAGEIFS('2025数据'!$F$3:$F$181,'2025数据'!$D$3:$D$181,"&gt;=2025-01-01",'2025数据'!$D$3:$D$181,"&lt;=2025-04-30"),""),"")</f>
        <v>21.25</v>
      </c>
      <c r="H100" s="189">
        <f ca="1">IF('2025整理'!$S$1&gt;=DATE(2025,5,1),IF(COUNTIFS('2025数据'!$D$3:$D$181,"&gt;=2025-01-01",'2025数据'!$D$3:$D$181,"&lt;=2025-05-31")&gt;0,AVERAGEIFS('2025数据'!$F$3:$F$181,'2025数据'!$D$3:$D$181,"&gt;=2025-01-01",'2025数据'!$D$3:$D$181,"&lt;=2025-05-31"),""),"")</f>
        <v>20.2352941176471</v>
      </c>
      <c r="I100" s="189">
        <f ca="1">IF('2025整理'!$S$1&gt;=DATE(2025,6,1),IF(COUNTIFS('2025数据'!$D$3:$D$181,"&gt;=2025-01-01",'2025数据'!$D$3:$D$181,"&lt;=2025-06-30")&gt;0,AVERAGEIFS('2025数据'!$F$3:$F$181,'2025数据'!$D$3:$D$181,"&gt;=2025-01-01",'2025数据'!$D$3:$D$181,"&lt;=2025-06-30"),""),"")</f>
        <v>18.8421052631579</v>
      </c>
      <c r="J100" s="189">
        <f ca="1">IF('2025整理'!$S$1&gt;=DATE(2025,7,1),IF(COUNTIFS('2025数据'!$D$3:$D$181,"&gt;=2025-01-01",'2025数据'!$D$3:$D$181,"&lt;=2025-07-31")&gt;0,AVERAGEIFS('2025数据'!$F$3:$F$181,'2025数据'!$D$3:$D$181,"&gt;=2025-01-01",'2025数据'!$D$3:$D$181,"&lt;=2025-07-31"),""),"")</f>
        <v>18.12</v>
      </c>
      <c r="K100" s="189">
        <f ca="1">IF('2025整理'!$S$1&gt;=DATE(2025,8,1),IF(COUNTIFS('2025数据'!$D$3:$D$181,"&gt;=2025-01-01",'2025数据'!$D$3:$D$181,"&lt;=2025-08-31")&gt;0,AVERAGEIFS('2025数据'!$F$3:$F$181,'2025数据'!$D$3:$D$181,"&gt;=2025-01-01",'2025数据'!$D$3:$D$181,"&lt;=2025-08-31"),""),"")</f>
        <v>17.8620689655172</v>
      </c>
      <c r="L100" s="189">
        <f ca="1">IF('2025整理'!$S$1&gt;=DATE(2025,9,1),IF(COUNTIFS('2025数据'!$D$3:$D$181,"&gt;=2025-01-01",'2025数据'!$D$3:$D$181,"&lt;=2025-09-30")&gt;0,AVERAGEIFS('2025数据'!$F$3:$F$181,'2025数据'!$D$3:$D$181,"&gt;=2025-01-01",'2025数据'!$D$3:$D$181,"&lt;=2025-09-30"),""),"")</f>
        <v>17.969696969697</v>
      </c>
      <c r="M100" s="189">
        <f ca="1">IF('2025整理'!$S$1&gt;=DATE(2025,10,1),IF(COUNTIFS('2025数据'!$D$3:$D$181,"&gt;=2025-01-01",'2025数据'!$D$3:$D$181,"&lt;=2025-10-31")&gt;0,AVERAGEIFS('2025数据'!$F$3:$F$181,'2025数据'!$D$3:$D$181,"&gt;=2025-01-01",'2025数据'!$D$3:$D$181,"&lt;=2025-10-31"),""),"")</f>
        <v>17.7352941176471</v>
      </c>
      <c r="N100" s="189">
        <f ca="1">IF('2025整理'!$S$1&gt;=DATE(2025,11,1),IF(COUNTIFS('2025数据'!$D$3:$D$181,"&gt;=2025-01-01",'2025数据'!$D$3:$D$181,"&lt;=2025-11-30")&gt;0,AVERAGEIFS('2025数据'!$F$3:$F$181,'2025数据'!$D$3:$D$181,"&gt;=2025-01-01",'2025数据'!$D$3:$D$181,"&lt;=2025-11-30"),""),"")</f>
        <v>18.4</v>
      </c>
      <c r="O100" s="189">
        <f ca="1">IF('2025整理'!$S$1&gt;=DATE(2025,12,1),IF(COUNTIFS('2025数据'!$D$3:$D$181,"&gt;=2025-01-01",'2025数据'!$D$3:$D$181,"&lt;=2025-12-31")&gt;0,AVERAGEIFS('2025数据'!$F$3:$F$181,'2025数据'!$D$3:$D$181,"&gt;=2025-01-01",'2025数据'!$D$3:$D$181,"&lt;=2025-12-31"),""),"")</f>
        <v>18.3023255813953</v>
      </c>
      <c r="W100" s="190" t="s">
        <v>289</v>
      </c>
      <c r="X100" s="166" t="s">
        <v>375</v>
      </c>
      <c r="Y100" s="166" t="s">
        <v>380</v>
      </c>
      <c r="Z100" s="174">
        <f ca="1">IF(Z99="","",Z99/O97)</f>
        <v>0.210227272727273</v>
      </c>
      <c r="AA100" s="174">
        <f ca="1" t="shared" ref="AA100:AB100" si="97">IF(AA99="","",AA99/D99)</f>
        <v>1</v>
      </c>
      <c r="AB100" s="174">
        <f ca="1" t="shared" si="97"/>
        <v>-0.577464788732394</v>
      </c>
      <c r="AC100" s="174">
        <f ca="1" t="shared" ref="AC100:AK100" si="98">IF(AC99="","",IF(F99="",(AC99-1)/1,AC99/F99))</f>
        <v>0.306666666666667</v>
      </c>
      <c r="AD100" s="174">
        <f ca="1" t="shared" si="98"/>
        <v>-0.0918367346938776</v>
      </c>
      <c r="AE100" s="174">
        <f ca="1" t="shared" si="98"/>
        <v>-0.606741573033708</v>
      </c>
      <c r="AF100" s="174">
        <f ca="1" t="shared" si="98"/>
        <v>1.26190476190476</v>
      </c>
      <c r="AG100" s="174">
        <f ca="1" t="shared" si="98"/>
        <v>0.0263157894736842</v>
      </c>
      <c r="AH100" s="174">
        <f ca="1" t="shared" si="98"/>
        <v>0.153846153846154</v>
      </c>
      <c r="AI100" s="174">
        <f ca="1" t="shared" si="98"/>
        <v>-0.466666666666667</v>
      </c>
      <c r="AJ100" s="174">
        <f ca="1" t="shared" si="98"/>
        <v>1.21666666666667</v>
      </c>
      <c r="AK100" s="174">
        <f ca="1" t="shared" si="98"/>
        <v>-0.233082706766917</v>
      </c>
    </row>
    <row r="101" ht="24.75" customHeight="1" spans="1:37">
      <c r="A101" s="182" t="s">
        <v>345</v>
      </c>
      <c r="B101" s="188" t="s">
        <v>373</v>
      </c>
      <c r="C101" s="183" t="s">
        <v>387</v>
      </c>
      <c r="D101" s="184">
        <f ca="1">IF('2025整理'!$S$1&gt;=DATE(2024,1,1),IF(COUNTIFS('2024数据'!$H$3:$H$152,"&gt;=2024-01-01",'2024数据'!$H$3:$H$152,"&lt;=2024-01-31")&gt;0,AVERAGEIFS('2024数据'!$J$3:$J$152,'2024数据'!$H$3:$H$152,"&gt;=2024-01-01",'2024数据'!$H$3:$H$152,"&lt;=2024-01-31"),""),"")</f>
        <v>32</v>
      </c>
      <c r="E101" s="184">
        <f ca="1">IF('2025整理'!$S$1&gt;=DATE(2024,2,1),IF(COUNTIFS('2024数据'!$H$3:$H$152,"&gt;=2024-02-01",'2024数据'!$H$3:$H$152,"&lt;=2024-02-28")&gt;0,AVERAGEIFS('2024数据'!$J$3:$J$152,'2024数据'!$H$3:$H$152,"&gt;=2024-02-01",'2024数据'!$H$3:$H$152,"&lt;=2024-02-28"),""),"")</f>
        <v>22</v>
      </c>
      <c r="F101" s="184" t="str">
        <f ca="1">IF('2025整理'!$S$1&gt;=DATE(2024,3,1),IF(COUNTIFS('2024数据'!$H$3:$H$152,"&gt;=2024-03-01",'2024数据'!$H$3:$H$152,"&lt;=2024-03-31")&gt;0,AVERAGEIFS('2024数据'!$J$3:$J$152,'2024数据'!$H$3:$H$152,"&gt;=2024-03-01",'2024数据'!$H$3:$H$152,"&lt;=2024-03-31"),""),"")</f>
        <v/>
      </c>
      <c r="G101" s="184">
        <f ca="1">IF('2025整理'!$S$1&gt;=DATE(2024,4,1),IF(COUNTIFS('2024数据'!$H$3:$H$152,"&gt;=2024-04-01",'2024数据'!$H$3:$H$152,"&lt;=2024-04-30")&gt;0,AVERAGEIFS('2024数据'!$J$3:$J$152,'2024数据'!$H$3:$H$152,"&gt;=2024-04-01",'2024数据'!$H$3:$H$152,"&lt;=2024-04-30"),""),"")</f>
        <v>16</v>
      </c>
      <c r="H101" s="184">
        <f ca="1">IF('2025整理'!$S$1&gt;=DATE(2024,5,1),IF(COUNTIFS('2024数据'!$H$3:$H$152,"&gt;=2024-05-01",'2024数据'!$H$3:$H$152,"&lt;=2024-05-31")&gt;0,AVERAGEIFS('2024数据'!$J$3:$J$152,'2024数据'!$H$3:$H$152,"&gt;=2024-05-01",'2024数据'!$H$3:$H$152,"&lt;=2024-05-31"),""),"")</f>
        <v>12.6666666666667</v>
      </c>
      <c r="I101" s="184" t="str">
        <f ca="1">IF('2025整理'!$S$1&gt;=DATE(2024,6,1),IF(COUNTIFS('2024数据'!$H$3:$H$152,"&gt;=2024-06-01",'2024数据'!$H$3:$H$152,"&lt;=2024-06-30")&gt;0,AVERAGEIFS('2024数据'!$J$3:$J$152,'2024数据'!$H$3:$H$152,"&gt;=2024-06-01",'2024数据'!$H$3:$H$152,"&lt;=2024-06-30"),""),"")</f>
        <v/>
      </c>
      <c r="J101" s="184">
        <f ca="1">IF('2025整理'!$S$1&gt;=DATE(2024,7,1),IF(COUNTIFS('2024数据'!$H$3:$H$152,"&gt;=2024-07-01",'2024数据'!$H$3:$H$152,"&lt;=2024-07-31")&gt;0,AVERAGEIFS('2024数据'!$J$3:$J$152,'2024数据'!$H$3:$H$152,"&gt;=2024-07-01",'2024数据'!$H$3:$H$152,"&lt;=2024-07-31"),""),"")</f>
        <v>6</v>
      </c>
      <c r="K101" s="184">
        <f ca="1">IF('2025整理'!$S$1&gt;=DATE(2024,8,1),IF(COUNTIFS('2024数据'!$H$3:$H$152,"&gt;=2024-08-01",'2024数据'!$H$3:$H$152,"&lt;=2024-08-31")&gt;0,AVERAGEIFS('2024数据'!$J$3:$J$152,'2024数据'!$H$3:$H$152,"&gt;=2024-08-01",'2024数据'!$H$3:$H$152,"&lt;=2024-08-31"),""),"")</f>
        <v>8</v>
      </c>
      <c r="L101" s="184" t="str">
        <f ca="1">IF('2025整理'!$S$1&gt;=DATE(2024,9,1),IF(COUNTIFS('2024数据'!$H$3:$H$152,"&gt;=2024-09-01",'2024数据'!$H$3:$H$152,"&lt;=2024-09-30")&gt;0,AVERAGEIFS('2024数据'!$J$3:$J$152,'2024数据'!$H$3:$H$152,"&gt;=2024-09-01",'2024数据'!$H$3:$H$152,"&lt;=2024-09-30"),""),"")</f>
        <v/>
      </c>
      <c r="M101" s="184">
        <f ca="1">IF('2025整理'!$S$1&gt;=DATE(2024,10,1),IF(COUNTIFS('2024数据'!$H$3:$H$152,"&gt;=2024-10-01",'2024数据'!$H$3:$H$152,"&lt;=2024-10-31")&gt;0,AVERAGEIFS('2024数据'!$J$3:$J$152,'2024数据'!$H$3:$H$152,"&gt;=2024-10-01",'2024数据'!$H$3:$H$152,"&lt;=2024-10-31"),""),"")</f>
        <v>29</v>
      </c>
      <c r="N101" s="184">
        <f ca="1">IF('2025整理'!$S$1&gt;=DATE(2024,11,1),IF(COUNTIFS('2024数据'!$H$3:$H$152,"&gt;=2024-11-01",'2024数据'!$H$3:$H$152,"&lt;=2024-11-30")&gt;0,AVERAGEIFS('2024数据'!$J$3:$J$152,'2024数据'!$H$3:$H$152,"&gt;=2024-11-01",'2024数据'!$H$3:$H$152,"&lt;=2024-11-30"),""),"")</f>
        <v>11</v>
      </c>
      <c r="O101" s="184">
        <f ca="1">IF('2025整理'!$S$1&gt;=DATE(2024,12,1),IF(COUNTIFS('2024数据'!$H$3:$H$152,"&gt;=2024-12-01",'2024数据'!$H$3:$H$152,"&lt;=2024-12-31")&gt;0,AVERAGEIFS('2024数据'!$J$3:$J$152,'2024数据'!$H$3:$H$152,"&gt;=2024-12-01",'2024数据'!$H$3:$H$152,"&lt;=2024-12-31"),""),"")</f>
        <v>21</v>
      </c>
      <c r="W101" s="182" t="s">
        <v>345</v>
      </c>
      <c r="X101" s="163" t="s">
        <v>375</v>
      </c>
      <c r="Y101" s="163" t="s">
        <v>376</v>
      </c>
      <c r="Z101" s="195" t="str">
        <f ca="1" t="shared" ref="Z101:AK101" si="99">IF(D104="","",D104-D102)</f>
        <v/>
      </c>
      <c r="AA101" s="195">
        <f ca="1" t="shared" si="99"/>
        <v>15.3333333333333</v>
      </c>
      <c r="AB101" s="195">
        <f ca="1" t="shared" si="99"/>
        <v>15.3333333333333</v>
      </c>
      <c r="AC101" s="195">
        <f ca="1" t="shared" si="99"/>
        <v>18.5</v>
      </c>
      <c r="AD101" s="195">
        <f ca="1" t="shared" si="99"/>
        <v>24</v>
      </c>
      <c r="AE101" s="195">
        <f ca="1" t="shared" si="99"/>
        <v>24</v>
      </c>
      <c r="AF101" s="195">
        <f ca="1" t="shared" si="99"/>
        <v>25.75</v>
      </c>
      <c r="AG101" s="195">
        <f ca="1" t="shared" si="99"/>
        <v>26.8888888888889</v>
      </c>
      <c r="AH101" s="195">
        <f ca="1" t="shared" si="99"/>
        <v>11.3888888888889</v>
      </c>
      <c r="AI101" s="195">
        <f ca="1" t="shared" si="99"/>
        <v>4.1</v>
      </c>
      <c r="AJ101" s="195">
        <f ca="1" t="shared" si="99"/>
        <v>4.76363636363636</v>
      </c>
      <c r="AK101" s="195">
        <f ca="1" t="shared" si="99"/>
        <v>4.48333333333333</v>
      </c>
    </row>
    <row r="102" ht="24.75" customHeight="1" spans="1:37">
      <c r="A102" s="185" t="s">
        <v>345</v>
      </c>
      <c r="B102" s="186" t="s">
        <v>373</v>
      </c>
      <c r="C102" s="186" t="s">
        <v>388</v>
      </c>
      <c r="D102" s="187">
        <f ca="1">IF('2025整理'!$S$1&gt;=DATE(2024,1,1),IF(COUNTIFS('2024数据'!$H$3:$H$152,"&gt;=2024-01-01",'2024数据'!$H$3:$H$152,"&lt;=2024-01-31")&gt;0,AVERAGEIFS('2024数据'!$J$3:$J$152,'2024数据'!$H$3:$H$152,"&gt;=2024-01-01",'2024数据'!$H$3:$H$152,"&lt;=2024-01-31"),""),"")</f>
        <v>32</v>
      </c>
      <c r="E102" s="187">
        <f ca="1">IF('2025整理'!$S$1&gt;=DATE(2024,2,1),IF(COUNTIFS('2024数据'!$H$3:$H$152,"&gt;=2024-01-01",'2024数据'!$H$3:$H$152,"&lt;=2024-02-28")&gt;0,AVERAGEIFS('2024数据'!$J$3:$J$152,'2024数据'!$H$3:$H$152,"&gt;=2024-01-01",'2024数据'!$H$3:$H$152,"&lt;=2024-02-28"),""),"")</f>
        <v>28.6666666666667</v>
      </c>
      <c r="F102" s="187">
        <f ca="1">IF('2025整理'!$S$1&gt;=DATE(2024,3,1),IF(COUNTIFS('2024数据'!$H$3:$H$152,"&gt;=2024-01-01",'2024数据'!$H$3:$H$152,"&lt;=2024-03-31")&gt;0,AVERAGEIFS('2024数据'!$J$3:$J$152,'2024数据'!$H$3:$H$152,"&gt;=2024-01-01",'2024数据'!$H$3:$H$152,"&lt;=2024-03-31"),""),"")</f>
        <v>28.6666666666667</v>
      </c>
      <c r="G102" s="187">
        <f ca="1">IF('2025整理'!$S$1&gt;=DATE(2024,4,1),IF(COUNTIFS('2024数据'!$H$3:$H$152,"&gt;=2024-01-01",'2024数据'!$H$3:$H$152,"&lt;=2024-04-30")&gt;0,AVERAGEIFS('2024数据'!$J$3:$J$152,'2024数据'!$H$3:$H$152,"&gt;=2024-01-01",'2024数据'!$H$3:$H$152,"&lt;=2024-04-30"),""),"")</f>
        <v>25.5</v>
      </c>
      <c r="H102" s="187">
        <f ca="1">IF('2025整理'!$S$1&gt;=DATE(2024,5,1),IF(COUNTIFS('2024数据'!$H$3:$H$152,"&gt;=2024-01-01",'2024数据'!$H$3:$H$152,"&lt;=2024-05-31")&gt;0,AVERAGEIFS('2024数据'!$J$3:$J$152,'2024数据'!$H$3:$H$152,"&gt;=2024-01-01",'2024数据'!$H$3:$H$152,"&lt;=2024-05-31"),""),"")</f>
        <v>20</v>
      </c>
      <c r="I102" s="187">
        <f ca="1">IF('2025整理'!$S$1&gt;=DATE(2024,6,1),IF(COUNTIFS('2024数据'!$H$3:$H$152,"&gt;=2024-01-01",'2024数据'!$H$3:$H$152,"&lt;=2024-06-30")&gt;0,AVERAGEIFS('2024数据'!$J$3:$J$152,'2024数据'!$H$3:$H$152,"&gt;=2024-01-01",'2024数据'!$H$3:$H$152,"&lt;=2024-06-30"),""),"")</f>
        <v>20</v>
      </c>
      <c r="J102" s="187">
        <f ca="1">IF('2025整理'!$S$1&gt;=DATE(2024,7,1),IF(COUNTIFS('2024数据'!$H$3:$H$152,"&gt;=2024-01-01",'2024数据'!$H$3:$H$152,"&lt;=2024-07-31")&gt;0,AVERAGEIFS('2024数据'!$J$3:$J$152,'2024数据'!$H$3:$H$152,"&gt;=2024-01-01",'2024数据'!$H$3:$H$152,"&lt;=2024-07-31"),""),"")</f>
        <v>18.25</v>
      </c>
      <c r="K102" s="187">
        <f ca="1">IF('2025整理'!$S$1&gt;=DATE(2024,8,1),IF(COUNTIFS('2024数据'!$H$3:$H$152,"&gt;=2024-01-01",'2024数据'!$H$3:$H$152,"&lt;=2024-08-31")&gt;0,AVERAGEIFS('2024数据'!$J$3:$J$152,'2024数据'!$H$3:$H$152,"&gt;=2024-01-01",'2024数据'!$H$3:$H$152,"&lt;=2024-08-31"),""),"")</f>
        <v>17.1111111111111</v>
      </c>
      <c r="L102" s="187">
        <f ca="1">IF('2025整理'!$S$1&gt;=DATE(2024,9,1),IF(COUNTIFS('2024数据'!$H$3:$H$152,"&gt;=2024-01-01",'2024数据'!$H$3:$H$152,"&lt;=2024-09-30")&gt;0,AVERAGEIFS('2024数据'!$J$3:$J$152,'2024数据'!$H$3:$H$152,"&gt;=2024-01-01",'2024数据'!$H$3:$H$152,"&lt;=2024-09-30"),""),"")</f>
        <v>17.1111111111111</v>
      </c>
      <c r="M102" s="187">
        <f ca="1">IF('2025整理'!$S$1&gt;=DATE(2024,10,1),IF(COUNTIFS('2024数据'!$H$3:$H$152,"&gt;=2024-01-01",'2024数据'!$H$3:$H$152,"&lt;=2024-10-31")&gt;0,AVERAGEIFS('2024数据'!$J$3:$J$152,'2024数据'!$H$3:$H$152,"&gt;=2024-01-01",'2024数据'!$H$3:$H$152,"&lt;=2024-10-31"),""),"")</f>
        <v>18.3</v>
      </c>
      <c r="N102" s="187">
        <f ca="1">IF('2025整理'!$S$1&gt;=DATE(2024,11,1),IF(COUNTIFS('2024数据'!$H$3:$H$152,"&gt;=2024-01-01",'2024数据'!$H$3:$H$152,"&lt;=2024-11-30")&gt;0,AVERAGEIFS('2024数据'!$J$3:$J$152,'2024数据'!$H$3:$H$152,"&gt;=2024-01-01",'2024数据'!$H$3:$H$152,"&lt;=2024-11-30"),""),"")</f>
        <v>17.6363636363636</v>
      </c>
      <c r="O102" s="187">
        <f ca="1">IF('2025整理'!$S$1&gt;=DATE(2024,12,1),IF(COUNTIFS('2024数据'!$H$3:$H$152,"&gt;=2024-01-01",'2024数据'!$H$3:$H$152,"&lt;=2024-12-31")&gt;0,AVERAGEIFS('2024数据'!$J$3:$J$152,'2024数据'!$H$3:$H$152,"&gt;=2024-01-01",'2024数据'!$H$3:$H$152,"&lt;=2024-12-31"),""),"")</f>
        <v>17.9166666666667</v>
      </c>
      <c r="W102" s="185" t="s">
        <v>345</v>
      </c>
      <c r="X102" s="166" t="s">
        <v>375</v>
      </c>
      <c r="Y102" s="166" t="s">
        <v>378</v>
      </c>
      <c r="Z102" s="174" t="str">
        <f ca="1" t="shared" ref="Z102:AA102" si="100">IF(Z101="","",Z101/D102)</f>
        <v/>
      </c>
      <c r="AA102" s="174">
        <f ca="1" t="shared" si="100"/>
        <v>0.534883720930233</v>
      </c>
      <c r="AB102" s="174">
        <f ca="1" t="shared" ref="AB102:AK102" si="101">IF(AB101="","",IF(F102="",(AB101-1)/1,AB101/F102))</f>
        <v>0.534883720930233</v>
      </c>
      <c r="AC102" s="174">
        <f ca="1" t="shared" si="101"/>
        <v>0.725490196078431</v>
      </c>
      <c r="AD102" s="174">
        <f ca="1" t="shared" si="101"/>
        <v>1.2</v>
      </c>
      <c r="AE102" s="174">
        <f ca="1" t="shared" si="101"/>
        <v>1.2</v>
      </c>
      <c r="AF102" s="174">
        <f ca="1" t="shared" si="101"/>
        <v>1.41095890410959</v>
      </c>
      <c r="AG102" s="174">
        <f ca="1" t="shared" si="101"/>
        <v>1.57142857142857</v>
      </c>
      <c r="AH102" s="174">
        <f ca="1" t="shared" si="101"/>
        <v>0.665584415584416</v>
      </c>
      <c r="AI102" s="174">
        <f ca="1" t="shared" si="101"/>
        <v>0.224043715846994</v>
      </c>
      <c r="AJ102" s="174">
        <f ca="1" t="shared" si="101"/>
        <v>0.270103092783505</v>
      </c>
      <c r="AK102" s="174">
        <f ca="1" t="shared" si="101"/>
        <v>0.250232558139535</v>
      </c>
    </row>
    <row r="103" ht="24.75" customHeight="1" spans="1:37">
      <c r="A103" s="185" t="s">
        <v>345</v>
      </c>
      <c r="B103" s="188" t="s">
        <v>375</v>
      </c>
      <c r="C103" s="183" t="s">
        <v>387</v>
      </c>
      <c r="D103" s="191" t="str">
        <f ca="1">IF('2025整理'!$S$1&gt;=DATE(2025,1,1),IF(COUNTIFS('2025数据'!$H$3:$H$181,"&gt;=2025-01-01",'2025数据'!$H$3:$H$181,"&lt;=2025-01-31")&gt;0,AVERAGEIFS('2025数据'!$J$3:$J$181,'2025数据'!$H$3:$H$181,"&gt;=2025-01-01",'2025数据'!$H$3:$H$181,"&lt;=2025-01-31"),""),"")</f>
        <v/>
      </c>
      <c r="E103" s="191">
        <f ca="1">IF('2025整理'!$S$1&gt;=DATE(2025,2,1),IF(COUNTIFS('2025数据'!$H$3:$H$181,"&gt;=2025-02-01",'2025数据'!$H$3:$H$181,"&lt;=2025-02-28")&gt;0,AVERAGEIFS('2025数据'!$J$3:$J$181,'2025数据'!$H$3:$H$181,"&gt;=2025-02-01",'2025数据'!$H$3:$H$181,"&lt;=2025-02-28"),""),"")</f>
        <v>44</v>
      </c>
      <c r="F103" s="191" t="str">
        <f ca="1">IF('2025整理'!$S$1&gt;=DATE(2025,3,1),IF(COUNTIFS('2025数据'!$H$3:$H$181,"&gt;=2025-03-01",'2025数据'!$H$3:$H$181,"&lt;=2025-03-31")&gt;0,AVERAGEIFS('2025数据'!$J$3:$J$181,'2025数据'!$H$3:$H$181,"&gt;=2025-03-01",'2025数据'!$H$3:$H$181,"&lt;=2025-03-31"),""),"")</f>
        <v/>
      </c>
      <c r="G103" s="191" t="str">
        <f ca="1">IF('2025整理'!$S$1&gt;=DATE(2025,4,1),IF(COUNTIFS('2025数据'!$H$3:$H$181,"&gt;=2025-04-01",'2025数据'!$H$3:$H$181,"&lt;=2025-04-30")&gt;0,AVERAGEIFS('2025数据'!$J$3:$J$181,'2025数据'!$H$3:$H$181,"&gt;=2025-04-01",'2025数据'!$H$3:$H$181,"&lt;=2025-04-30"),""),"")</f>
        <v/>
      </c>
      <c r="H103" s="191" t="str">
        <f ca="1">IF('2025整理'!$S$1&gt;=DATE(2025,5,1),IF(COUNTIFS('2025数据'!$H$3:$H$181,"&gt;=2025-05-01",'2025数据'!$H$3:$H$181,"&lt;=2025-05-31")&gt;0,AVERAGEIFS('2025数据'!$J$3:$J$181,'2025数据'!$H$3:$H$181,"&gt;=2025-05-01",'2025数据'!$H$3:$H$181,"&lt;=2025-05-31"),""),"")</f>
        <v/>
      </c>
      <c r="I103" s="191" t="str">
        <f ca="1">IF('2025整理'!$S$1&gt;=DATE(2025,6,1),IF(COUNTIFS('2025数据'!$H$3:$H$181,"&gt;=2025-06-01",'2025数据'!$H$3:$H$181,"&lt;=2025-06-30")&gt;0,AVERAGEIFS('2025数据'!$J$3:$J$181,'2025数据'!$H$3:$H$181,"&gt;=2025-06-01",'2025数据'!$H$3:$H$181,"&lt;=2025-06-30"),""),"")</f>
        <v/>
      </c>
      <c r="J103" s="191" t="str">
        <f ca="1">IF('2025整理'!$S$1&gt;=DATE(2025,7,1),IF(COUNTIFS('2025数据'!$H$3:$H$181,"&gt;=2025-07-01",'2025数据'!$H$3:$H$181,"&lt;=2025-07-31")&gt;0,AVERAGEIFS('2025数据'!$J$3:$J$181,'2025数据'!$H$3:$H$181,"&gt;=2025-07-01",'2025数据'!$H$3:$H$181,"&lt;=2025-07-31"),""),"")</f>
        <v/>
      </c>
      <c r="K103" s="191" t="str">
        <f ca="1">IF('2025整理'!$S$1&gt;=DATE(2025,8,1),IF(COUNTIFS('2025数据'!$H$3:$H$181,"&gt;=2025-08-01",'2025数据'!$H$3:$H$181,"&lt;=2025-08-31")&gt;0,AVERAGEIFS('2025数据'!$J$3:$J$181,'2025数据'!$H$3:$H$181,"&gt;=2025-08-01",'2025数据'!$H$3:$H$181,"&lt;=2025-08-31"),""),"")</f>
        <v/>
      </c>
      <c r="L103" s="191">
        <f ca="1">IF('2025整理'!$S$1&gt;=DATE(2025,9,1),IF(COUNTIFS('2025数据'!$H$3:$H$181,"&gt;=2025-09-01",'2025数据'!$H$3:$H$181,"&lt;=2025-09-30")&gt;0,AVERAGEIFS('2025数据'!$J$3:$J$181,'2025数据'!$H$3:$H$181,"&gt;=2025-09-01",'2025数据'!$H$3:$H$181,"&lt;=2025-09-30"),""),"")</f>
        <v>13</v>
      </c>
      <c r="M103" s="191">
        <f ca="1">IF('2025整理'!$S$1&gt;=DATE(2025,10,1),IF(COUNTIFS('2025数据'!$H$3:$H$181,"&gt;=2025-10-01",'2025数据'!$H$3:$H$181,"&lt;=2025-10-31")&gt;0,AVERAGEIFS('2025数据'!$J$3:$J$181,'2025数据'!$H$3:$H$181,"&gt;=2025-10-01",'2025数据'!$H$3:$H$181,"&lt;=2025-10-31"),""),"")</f>
        <v>18.3333333333333</v>
      </c>
      <c r="N103" s="191" t="str">
        <f ca="1">IF('2025整理'!$S$1&gt;=DATE(2025,11,1),IF(COUNTIFS('2025数据'!$H$3:$H$181,"&gt;=2025-11-01",'2025数据'!$H$3:$H$181,"&lt;=2025-11-30")&gt;0,AVERAGEIFS('2025数据'!$J$3:$J$181,'2025数据'!$H$3:$H$181,"&gt;=2025-11-01",'2025数据'!$H$3:$H$181,"&lt;=2025-11-30"),""),"")</f>
        <v/>
      </c>
      <c r="O103" s="191" t="str">
        <f ca="1">IF('2025整理'!$S$1&gt;=DATE(2025,12,1),IF(COUNTIFS('2025数据'!$H$3:$H$181,"&gt;=2025-12-01",'2025数据'!$H$3:$H$181,"&lt;=2025-12-31")&gt;0,AVERAGEIFS('2025数据'!$J$3:$J$181,'2025数据'!$H$3:$H$181,"&gt;=2025-12-01",'2025数据'!$H$3:$H$181,"&lt;=2025-12-31"),""),"")</f>
        <v/>
      </c>
      <c r="W103" s="185" t="s">
        <v>345</v>
      </c>
      <c r="X103" s="168" t="s">
        <v>375</v>
      </c>
      <c r="Y103" s="168" t="s">
        <v>379</v>
      </c>
      <c r="Z103" s="195" t="str">
        <f ca="1">IF(D103="","",D103-O101)</f>
        <v/>
      </c>
      <c r="AA103" s="195">
        <f ca="1">IF(E103="","",IF(D103="",E103,E103-D103))</f>
        <v>44</v>
      </c>
      <c r="AB103" s="195" t="str">
        <f ca="1">IF(F103="","",F103-E103)</f>
        <v/>
      </c>
      <c r="AC103" s="195" t="str">
        <f ca="1" t="shared" ref="AC103:AK103" si="102">IF(G103="","",IF(F103="",G103,G103-F103))</f>
        <v/>
      </c>
      <c r="AD103" s="195" t="str">
        <f ca="1" t="shared" si="102"/>
        <v/>
      </c>
      <c r="AE103" s="195" t="str">
        <f ca="1" t="shared" si="102"/>
        <v/>
      </c>
      <c r="AF103" s="195" t="str">
        <f ca="1" t="shared" si="102"/>
        <v/>
      </c>
      <c r="AG103" s="195" t="str">
        <f ca="1" t="shared" si="102"/>
        <v/>
      </c>
      <c r="AH103" s="195">
        <f ca="1" t="shared" si="102"/>
        <v>13</v>
      </c>
      <c r="AI103" s="195">
        <f ca="1" t="shared" si="102"/>
        <v>5.33333333333333</v>
      </c>
      <c r="AJ103" s="195" t="str">
        <f ca="1" t="shared" si="102"/>
        <v/>
      </c>
      <c r="AK103" s="195" t="str">
        <f ca="1" t="shared" si="102"/>
        <v/>
      </c>
    </row>
    <row r="104" ht="24.75" customHeight="1" spans="1:37">
      <c r="A104" s="190" t="s">
        <v>345</v>
      </c>
      <c r="B104" s="186" t="s">
        <v>375</v>
      </c>
      <c r="C104" s="186" t="s">
        <v>388</v>
      </c>
      <c r="D104" s="192" t="str">
        <f ca="1">IF('2025整理'!$S$1&gt;=DATE(2025,1,1),IF(COUNTIFS('2025数据'!$H$3:$H$181,"&gt;=2025-01-01",'2025数据'!$H$3:$H$181,"&lt;=2025-01-31")&gt;0,AVERAGEIFS('2025数据'!$J$3:$J$181,'2025数据'!$H$3:$H$181,"&gt;=2025-01-01",'2025数据'!$H$3:$H$181,"&lt;=2025-01-31"),""),"")</f>
        <v/>
      </c>
      <c r="E104" s="192">
        <f ca="1">IF('2025整理'!$S$1&gt;=DATE(2025,2,1),IF(COUNTIFS('2025数据'!$H$3:$H$181,"&gt;=2025-01-01",'2025数据'!$H$3:$H$181,"&lt;=2025-02-28")&gt;0,AVERAGEIFS('2025数据'!$J$3:$J$181,'2025数据'!$H$3:$H$181,"&gt;=2025-01-01",'2025数据'!$H$3:$H$181,"&lt;=2025-02-28"),""),"")</f>
        <v>44</v>
      </c>
      <c r="F104" s="192">
        <f ca="1">IF('2025整理'!$S$1&gt;=DATE(2025,3,1),IF(COUNTIFS('2025数据'!$H$3:$H$181,"&gt;=2025-01-01",'2025数据'!$H$3:$H$181,"&lt;=2025-03-31")&gt;0,AVERAGEIFS('2025数据'!$J$3:$J$181,'2025数据'!$H$3:$H$181,"&gt;=2025-01-01",'2025数据'!$H$3:$H$181,"&lt;=2025-03-31"),""),"")</f>
        <v>44</v>
      </c>
      <c r="G104" s="192">
        <f ca="1">IF('2025整理'!$S$1&gt;=DATE(2025,4,1),IF(COUNTIFS('2025数据'!$H$3:$H$181,"&gt;=2025-01-01",'2025数据'!$H$3:$H$181,"&lt;=2025-04-30")&gt;0,AVERAGEIFS('2025数据'!$J$3:$J$181,'2025数据'!$H$3:$H$181,"&gt;=2025-01-01",'2025数据'!$H$3:$H$181,"&lt;=2025-04-30"),""),"")</f>
        <v>44</v>
      </c>
      <c r="H104" s="192">
        <f ca="1">IF('2025整理'!$S$1&gt;=DATE(2025,5,1),IF(COUNTIFS('2025数据'!$H$3:$H$181,"&gt;=2025-01-01",'2025数据'!$H$3:$H$181,"&lt;=2025-05-31")&gt;0,AVERAGEIFS('2025数据'!$J$3:$J$181,'2025数据'!$H$3:$H$181,"&gt;=2025-01-01",'2025数据'!$H$3:$H$181,"&lt;=2025-05-31"),""),"")</f>
        <v>44</v>
      </c>
      <c r="I104" s="192">
        <f ca="1">IF('2025整理'!$S$1&gt;=DATE(2025,6,1),IF(COUNTIFS('2025数据'!$H$3:$H$181,"&gt;=2025-01-01",'2025数据'!$H$3:$H$181,"&lt;=2025-06-30")&gt;0,AVERAGEIFS('2025数据'!$J$3:$J$181,'2025数据'!$H$3:$H$181,"&gt;=2025-01-01",'2025数据'!$H$3:$H$181,"&lt;=2025-06-30"),""),"")</f>
        <v>44</v>
      </c>
      <c r="J104" s="192">
        <f ca="1">IF('2025整理'!$S$1&gt;=DATE(2025,7,1),IF(COUNTIFS('2025数据'!$H$3:$H$181,"&gt;=2025-01-01",'2025数据'!$H$3:$H$181,"&lt;=2025-07-31")&gt;0,AVERAGEIFS('2025数据'!$J$3:$J$181,'2025数据'!$H$3:$H$181,"&gt;=2025-01-01",'2025数据'!$H$3:$H$181,"&lt;=2025-07-31"),""),"")</f>
        <v>44</v>
      </c>
      <c r="K104" s="192">
        <f ca="1">IF('2025整理'!$S$1&gt;=DATE(2025,8,1),IF(COUNTIFS('2025数据'!$H$3:$H$181,"&gt;=2025-01-01",'2025数据'!$H$3:$H$181,"&lt;=2025-08-31")&gt;0,AVERAGEIFS('2025数据'!$J$3:$J$181,'2025数据'!$H$3:$H$181,"&gt;=2025-01-01",'2025数据'!$H$3:$H$181,"&lt;=2025-08-31"),""),"")</f>
        <v>44</v>
      </c>
      <c r="L104" s="192">
        <f ca="1">IF('2025整理'!$S$1&gt;=DATE(2025,9,1),IF(COUNTIFS('2025数据'!$H$3:$H$181,"&gt;=2025-01-01",'2025数据'!$H$3:$H$181,"&lt;=2025-09-30")&gt;0,AVERAGEIFS('2025数据'!$J$3:$J$181,'2025数据'!$H$3:$H$181,"&gt;=2025-01-01",'2025数据'!$H$3:$H$181,"&lt;=2025-09-30"),""),"")</f>
        <v>28.5</v>
      </c>
      <c r="M104" s="192">
        <f ca="1">IF('2025整理'!$S$1&gt;=DATE(2025,10,1),IF(COUNTIFS('2025数据'!$H$3:$H$181,"&gt;=2025-01-01",'2025数据'!$H$3:$H$181,"&lt;=2025-10-31")&gt;0,AVERAGEIFS('2025数据'!$J$3:$J$181,'2025数据'!$H$3:$H$181,"&gt;=2025-01-01",'2025数据'!$H$3:$H$181,"&lt;=2025-10-31"),""),"")</f>
        <v>22.4</v>
      </c>
      <c r="N104" s="192">
        <f ca="1">IF('2025整理'!$S$1&gt;=DATE(2025,11,1),IF(COUNTIFS('2025数据'!$H$3:$H$181,"&gt;=2025-01-01",'2025数据'!$H$3:$H$181,"&lt;=2025-11-30")&gt;0,AVERAGEIFS('2025数据'!$J$3:$J$181,'2025数据'!$H$3:$H$181,"&gt;=2025-01-01",'2025数据'!$H$3:$H$181,"&lt;=2025-11-30"),""),"")</f>
        <v>22.4</v>
      </c>
      <c r="O104" s="192">
        <f ca="1">IF('2025整理'!$S$1&gt;=DATE(2025,12,1),IF(COUNTIFS('2025数据'!$H$3:$H$181,"&gt;=2025-01-01",'2025数据'!$H$3:$H$181,"&lt;=2025-12-31")&gt;0,AVERAGEIFS('2025数据'!$J$3:$J$181,'2025数据'!$H$3:$H$181,"&gt;=2025-01-01",'2025数据'!$H$3:$H$181,"&lt;=2025-12-31"),""),"")</f>
        <v>22.4</v>
      </c>
      <c r="W104" s="190" t="s">
        <v>345</v>
      </c>
      <c r="X104" s="166" t="s">
        <v>375</v>
      </c>
      <c r="Y104" s="166" t="s">
        <v>380</v>
      </c>
      <c r="Z104" s="174" t="str">
        <f ca="1">IF(Z103="","",Z103/O101)</f>
        <v/>
      </c>
      <c r="AA104" s="174">
        <f ca="1" t="shared" ref="AA104:AK104" si="103">IF(AA103="","",IF(D103="",(AA103-1)/1,AA103/D103))</f>
        <v>43</v>
      </c>
      <c r="AB104" s="174" t="str">
        <f ca="1" t="shared" si="103"/>
        <v/>
      </c>
      <c r="AC104" s="174" t="str">
        <f ca="1" t="shared" si="103"/>
        <v/>
      </c>
      <c r="AD104" s="174" t="str">
        <f ca="1" t="shared" si="103"/>
        <v/>
      </c>
      <c r="AE104" s="174" t="str">
        <f ca="1" t="shared" si="103"/>
        <v/>
      </c>
      <c r="AF104" s="174" t="str">
        <f ca="1" t="shared" si="103"/>
        <v/>
      </c>
      <c r="AG104" s="174" t="str">
        <f ca="1" t="shared" si="103"/>
        <v/>
      </c>
      <c r="AH104" s="174">
        <f ca="1" t="shared" si="103"/>
        <v>12</v>
      </c>
      <c r="AI104" s="174">
        <f ca="1" t="shared" si="103"/>
        <v>0.41025641025641</v>
      </c>
      <c r="AJ104" s="174" t="str">
        <f ca="1" t="shared" si="103"/>
        <v/>
      </c>
      <c r="AK104" s="174" t="str">
        <f ca="1" t="shared" si="103"/>
        <v/>
      </c>
    </row>
    <row r="105" ht="24.75" customHeight="1" spans="1:37">
      <c r="A105" s="182" t="s">
        <v>346</v>
      </c>
      <c r="B105" s="188" t="s">
        <v>373</v>
      </c>
      <c r="C105" s="183" t="s">
        <v>387</v>
      </c>
      <c r="D105" s="184">
        <f ca="1">IF('2025整理'!$S$1&gt;=DATE(2024,1,1),IF(COUNTIFS('2024数据'!$L$3:$L$152,"&gt;=2024-01-01",'2024数据'!$L$3:$L$152,"&lt;=2024-01-31")&gt;0,AVERAGEIFS('2024数据'!$N$3:$N$152,'2024数据'!$L$3:$L$152,"&gt;=2024-01-01",'2024数据'!$L$3:$L$152,"&lt;=2024-01-31"),""),"")</f>
        <v>21.375</v>
      </c>
      <c r="E105" s="184">
        <f ca="1">IF('2025整理'!$S$1&gt;=DATE(2024,2,1),IF(COUNTIFS('2024数据'!$L$3:$L$152,"&gt;=2024-02-01",'2024数据'!$L$3:$L$152,"&lt;=2024-02-28")&gt;0,AVERAGEIFS('2024数据'!$N$3:$N$152,'2024数据'!$L$3:$L$152,"&gt;=2024-02-01",'2024数据'!$L$3:$L$152,"&lt;=2024-02-28"),""),"")</f>
        <v>29.3333333333333</v>
      </c>
      <c r="F105" s="184">
        <f ca="1">IF('2025整理'!$S$1&gt;=DATE(2024,3,1),IF(COUNTIFS('2024数据'!$L$3:$L$152,"&gt;=2024-03-01",'2024数据'!$L$3:$L$152,"&lt;=2024-03-31")&gt;0,AVERAGEIFS('2024数据'!$N$3:$N$152,'2024数据'!$L$3:$L$152,"&gt;=2024-03-01",'2024数据'!$L$3:$L$152,"&lt;=2024-03-31"),""),"")</f>
        <v>24.6</v>
      </c>
      <c r="G105" s="184">
        <f ca="1">IF('2025整理'!$S$1&gt;=DATE(2024,4,1),IF(COUNTIFS('2024数据'!$L$3:$L$152,"&gt;=2024-04-01",'2024数据'!$L$3:$L$152,"&lt;=2024-04-30")&gt;0,AVERAGEIFS('2024数据'!$N$3:$N$152,'2024数据'!$L$3:$L$152,"&gt;=2024-04-01",'2024数据'!$L$3:$L$152,"&lt;=2024-04-30"),""),"")</f>
        <v>18</v>
      </c>
      <c r="H105" s="184">
        <f ca="1">IF('2025整理'!$S$1&gt;=DATE(2024,5,1),IF(COUNTIFS('2024数据'!$L$3:$L$152,"&gt;=2024-05-01",'2024数据'!$L$3:$L$152,"&lt;=2024-05-31")&gt;0,AVERAGEIFS('2024数据'!$N$3:$N$152,'2024数据'!$L$3:$L$152,"&gt;=2024-05-01",'2024数据'!$L$3:$L$152,"&lt;=2024-05-31"),""),"")</f>
        <v>12.3333333333333</v>
      </c>
      <c r="I105" s="184">
        <f ca="1">IF('2025整理'!$S$1&gt;=DATE(2024,6,1),IF(COUNTIFS('2024数据'!$L$3:$L$152,"&gt;=2024-06-01",'2024数据'!$L$3:$L$152,"&lt;=2024-06-30")&gt;0,AVERAGEIFS('2024数据'!$N$3:$N$152,'2024数据'!$L$3:$L$152,"&gt;=2024-06-01",'2024数据'!$L$3:$L$152,"&lt;=2024-06-30"),""),"")</f>
        <v>5.5</v>
      </c>
      <c r="J105" s="184">
        <f ca="1">IF('2025整理'!$S$1&gt;=DATE(2024,7,1),IF(COUNTIFS('2024数据'!$L$3:$L$152,"&gt;=2024-07-01",'2024数据'!$L$3:$L$152,"&lt;=2024-07-31")&gt;0,AVERAGEIFS('2024数据'!$N$3:$N$152,'2024数据'!$L$3:$L$152,"&gt;=2024-07-01",'2024数据'!$L$3:$L$152,"&lt;=2024-07-31"),""),"")</f>
        <v>11.5</v>
      </c>
      <c r="K105" s="184">
        <f ca="1">IF('2025整理'!$S$1&gt;=DATE(2024,8,1),IF(COUNTIFS('2024数据'!$L$3:$L$152,"&gt;=2024-08-01",'2024数据'!$L$3:$L$152,"&lt;=2024-08-31")&gt;0,AVERAGEIFS('2024数据'!$N$3:$N$152,'2024数据'!$L$3:$L$152,"&gt;=2024-08-01",'2024数据'!$L$3:$L$152,"&lt;=2024-08-31"),""),"")</f>
        <v>19.8</v>
      </c>
      <c r="L105" s="184">
        <f ca="1">IF('2025整理'!$S$1&gt;=DATE(2024,9,1),IF(COUNTIFS('2024数据'!$L$3:$L$152,"&gt;=2024-09-01",'2024数据'!$L$3:$L$152,"&lt;=2024-09-30")&gt;0,AVERAGEIFS('2024数据'!$N$3:$N$152,'2024数据'!$L$3:$L$152,"&gt;=2024-09-01",'2024数据'!$L$3:$L$152,"&lt;=2024-09-30"),""),"")</f>
        <v>8.42857142857143</v>
      </c>
      <c r="M105" s="184">
        <f ca="1">IF('2025整理'!$S$1&gt;=DATE(2024,10,1),IF(COUNTIFS('2024数据'!$L$3:$L$152,"&gt;=2024-10-01",'2024数据'!$L$3:$L$152,"&lt;=2024-10-31")&gt;0,AVERAGEIFS('2024数据'!$N$3:$N$152,'2024数据'!$L$3:$L$152,"&gt;=2024-10-01",'2024数据'!$L$3:$L$152,"&lt;=2024-10-31"),""),"")</f>
        <v>11.1428571428571</v>
      </c>
      <c r="N105" s="184">
        <f ca="1">IF('2025整理'!$S$1&gt;=DATE(2024,11,1),IF(COUNTIFS('2024数据'!$L$3:$L$152,"&gt;=2024-11-01",'2024数据'!$L$3:$L$152,"&lt;=2024-11-30")&gt;0,AVERAGEIFS('2024数据'!$N$3:$N$152,'2024数据'!$L$3:$L$152,"&gt;=2024-11-01",'2024数据'!$L$3:$L$152,"&lt;=2024-11-30"),""),"")</f>
        <v>12.8</v>
      </c>
      <c r="O105" s="184">
        <f ca="1">IF('2025整理'!$S$1&gt;=DATE(2024,12,1),IF(COUNTIFS('2024数据'!$L$3:$L$152,"&gt;=2024-12-01",'2024数据'!$L$3:$L$152,"&lt;=2024-12-31")&gt;0,AVERAGEIFS('2024数据'!$N$3:$N$152,'2024数据'!$L$3:$L$152,"&gt;=2024-12-01",'2024数据'!$L$3:$L$152,"&lt;=2024-12-31"),""),"")</f>
        <v>9.2</v>
      </c>
      <c r="W105" s="182" t="s">
        <v>346</v>
      </c>
      <c r="X105" s="163" t="s">
        <v>375</v>
      </c>
      <c r="Y105" s="163" t="s">
        <v>376</v>
      </c>
      <c r="Z105" s="195">
        <f ca="1" t="shared" ref="Z105:AK105" si="104">IF(D108="","",D108-D106)</f>
        <v>-6.54166666666667</v>
      </c>
      <c r="AA105" s="195">
        <f ca="1" t="shared" si="104"/>
        <v>-8.71212121212121</v>
      </c>
      <c r="AB105" s="195">
        <f ca="1" t="shared" si="104"/>
        <v>-10.1607142857143</v>
      </c>
      <c r="AC105" s="195">
        <f ca="1" t="shared" si="104"/>
        <v>-8.66274509803922</v>
      </c>
      <c r="AD105" s="195">
        <f ca="1" t="shared" si="104"/>
        <v>-5.62777777777778</v>
      </c>
      <c r="AE105" s="195">
        <f ca="1" t="shared" si="104"/>
        <v>-4.22077922077922</v>
      </c>
      <c r="AF105" s="195">
        <f ca="1" t="shared" si="104"/>
        <v>-5.065</v>
      </c>
      <c r="AG105" s="195">
        <f ca="1" t="shared" si="104"/>
        <v>-5.04226918798665</v>
      </c>
      <c r="AH105" s="195">
        <f ca="1" t="shared" si="104"/>
        <v>-2.84365079365079</v>
      </c>
      <c r="AI105" s="195">
        <f ca="1" t="shared" si="104"/>
        <v>-1.90339892665474</v>
      </c>
      <c r="AJ105" s="195">
        <f ca="1" t="shared" si="104"/>
        <v>-1.98932926829268</v>
      </c>
      <c r="AK105" s="195">
        <f ca="1" t="shared" si="104"/>
        <v>-1.69770303527481</v>
      </c>
    </row>
    <row r="106" ht="24.75" customHeight="1" spans="1:37">
      <c r="A106" s="185" t="s">
        <v>346</v>
      </c>
      <c r="B106" s="186" t="s">
        <v>373</v>
      </c>
      <c r="C106" s="186" t="s">
        <v>388</v>
      </c>
      <c r="D106" s="187">
        <f ca="1">IF('2025整理'!$S$1&gt;=DATE(2024,1,1),IF(COUNTIFS('2024数据'!$L$3:$L$152,"&gt;=2024-01-01",'2024数据'!$L$3:$L$152,"&lt;=2024-01-31")&gt;0,AVERAGEIFS('2024数据'!$N$3:$N$152,'2024数据'!$L$3:$L$152,"&gt;=2024-01-01",'2024数据'!$L$3:$L$152,"&lt;=2024-01-31"),""),"")</f>
        <v>21.375</v>
      </c>
      <c r="E106" s="187">
        <f ca="1">IF('2025整理'!$S$1&gt;=DATE(2024,2,1),IF(COUNTIFS('2024数据'!$L$3:$L$152,"&gt;=2024-01-01",'2024数据'!$L$3:$L$152,"&lt;=2024-02-28")&gt;0,AVERAGEIFS('2024数据'!$N$3:$N$152,'2024数据'!$L$3:$L$152,"&gt;=2024-01-01",'2024数据'!$L$3:$L$152,"&lt;=2024-02-28"),""),"")</f>
        <v>23.5454545454545</v>
      </c>
      <c r="F106" s="187">
        <f ca="1">IF('2025整理'!$S$1&gt;=DATE(2024,3,1),IF(COUNTIFS('2024数据'!$L$3:$L$152,"&gt;=2024-01-01",'2024数据'!$L$3:$L$152,"&lt;=2024-03-31")&gt;0,AVERAGEIFS('2024数据'!$N$3:$N$152,'2024数据'!$L$3:$L$152,"&gt;=2024-01-01",'2024数据'!$L$3:$L$152,"&lt;=2024-03-31"),""),"")</f>
        <v>23.875</v>
      </c>
      <c r="G106" s="187">
        <f ca="1">IF('2025整理'!$S$1&gt;=DATE(2024,4,1),IF(COUNTIFS('2024数据'!$L$3:$L$152,"&gt;=2024-01-01",'2024数据'!$L$3:$L$152,"&lt;=2024-04-30")&gt;0,AVERAGEIFS('2024数据'!$N$3:$N$152,'2024数据'!$L$3:$L$152,"&gt;=2024-01-01",'2024数据'!$L$3:$L$152,"&lt;=2024-04-30"),""),"")</f>
        <v>23.5294117647059</v>
      </c>
      <c r="H106" s="187">
        <f ca="1">IF('2025整理'!$S$1&gt;=DATE(2024,5,1),IF(COUNTIFS('2024数据'!$L$3:$L$152,"&gt;=2024-01-01",'2024数据'!$L$3:$L$152,"&lt;=2024-05-31")&gt;0,AVERAGEIFS('2024数据'!$N$3:$N$152,'2024数据'!$L$3:$L$152,"&gt;=2024-01-01",'2024数据'!$L$3:$L$152,"&lt;=2024-05-31"),""),"")</f>
        <v>21.85</v>
      </c>
      <c r="I106" s="187">
        <f ca="1">IF('2025整理'!$S$1&gt;=DATE(2024,6,1),IF(COUNTIFS('2024数据'!$L$3:$L$152,"&gt;=2024-01-01",'2024数据'!$L$3:$L$152,"&lt;=2024-06-30")&gt;0,AVERAGEIFS('2024数据'!$N$3:$N$152,'2024数据'!$L$3:$L$152,"&gt;=2024-01-01",'2024数据'!$L$3:$L$152,"&lt;=2024-06-30"),""),"")</f>
        <v>20.3636363636364</v>
      </c>
      <c r="J106" s="187">
        <f ca="1">IF('2025整理'!$S$1&gt;=DATE(2024,7,1),IF(COUNTIFS('2024数据'!$L$3:$L$152,"&gt;=2024-01-01",'2024数据'!$L$3:$L$152,"&lt;=2024-07-31")&gt;0,AVERAGEIFS('2024数据'!$N$3:$N$152,'2024数据'!$L$3:$L$152,"&gt;=2024-01-01",'2024数据'!$L$3:$L$152,"&lt;=2024-07-31"),""),"")</f>
        <v>19.625</v>
      </c>
      <c r="K106" s="187">
        <f ca="1">IF('2025整理'!$S$1&gt;=DATE(2024,8,1),IF(COUNTIFS('2024数据'!$L$3:$L$152,"&gt;=2024-01-01",'2024数据'!$L$3:$L$152,"&lt;=2024-08-31")&gt;0,AVERAGEIFS('2024数据'!$N$3:$N$152,'2024数据'!$L$3:$L$152,"&gt;=2024-01-01",'2024数据'!$L$3:$L$152,"&lt;=2024-08-31"),""),"")</f>
        <v>19.6551724137931</v>
      </c>
      <c r="L106" s="187">
        <f ca="1">IF('2025整理'!$S$1&gt;=DATE(2024,9,1),IF(COUNTIFS('2024数据'!$L$3:$L$152,"&gt;=2024-01-01",'2024数据'!$L$3:$L$152,"&lt;=2024-09-30")&gt;0,AVERAGEIFS('2024数据'!$N$3:$N$152,'2024数据'!$L$3:$L$152,"&gt;=2024-01-01",'2024数据'!$L$3:$L$152,"&lt;=2024-09-30"),""),"")</f>
        <v>17.4722222222222</v>
      </c>
      <c r="M106" s="187">
        <f ca="1">IF('2025整理'!$S$1&gt;=DATE(2024,10,1),IF(COUNTIFS('2024数据'!$L$3:$L$152,"&gt;=2024-01-01",'2024数据'!$L$3:$L$152,"&lt;=2024-10-31")&gt;0,AVERAGEIFS('2024数据'!$N$3:$N$152,'2024数据'!$L$3:$L$152,"&gt;=2024-01-01",'2024数据'!$L$3:$L$152,"&lt;=2024-10-31"),""),"")</f>
        <v>16.4418604651163</v>
      </c>
      <c r="N106" s="187">
        <f ca="1">IF('2025整理'!$S$1&gt;=DATE(2024,11,1),IF(COUNTIFS('2024数据'!$L$3:$L$152,"&gt;=2024-01-01",'2024数据'!$L$3:$L$152,"&lt;=2024-11-30")&gt;0,AVERAGEIFS('2024数据'!$N$3:$N$152,'2024数据'!$L$3:$L$152,"&gt;=2024-01-01",'2024数据'!$L$3:$L$152,"&lt;=2024-11-30"),""),"")</f>
        <v>16.0625</v>
      </c>
      <c r="O106" s="187">
        <f ca="1">IF('2025整理'!$S$1&gt;=DATE(2024,12,1),IF(COUNTIFS('2024数据'!$L$3:$L$152,"&gt;=2024-01-01",'2024数据'!$L$3:$L$152,"&lt;=2024-12-31")&gt;0,AVERAGEIFS('2024数据'!$N$3:$N$152,'2024数据'!$L$3:$L$152,"&gt;=2024-01-01",'2024数据'!$L$3:$L$152,"&lt;=2024-12-31"),""),"")</f>
        <v>15.4150943396226</v>
      </c>
      <c r="W106" s="185" t="s">
        <v>346</v>
      </c>
      <c r="X106" s="166" t="s">
        <v>375</v>
      </c>
      <c r="Y106" s="166" t="s">
        <v>378</v>
      </c>
      <c r="Z106" s="174">
        <f ca="1" t="shared" ref="Z106:AA106" si="105">IF(Z105="","",Z105/D106)</f>
        <v>-0.306042884990253</v>
      </c>
      <c r="AA106" s="174">
        <f ca="1" t="shared" si="105"/>
        <v>-0.37001287001287</v>
      </c>
      <c r="AB106" s="174">
        <f ca="1" t="shared" ref="AB106:AK106" si="106">IF(AB105="","",IF(F106="",(AB105-1)/1,AB105/F106))</f>
        <v>-0.425579655946148</v>
      </c>
      <c r="AC106" s="174">
        <f ca="1" t="shared" si="106"/>
        <v>-0.368166666666667</v>
      </c>
      <c r="AD106" s="174">
        <f ca="1" t="shared" si="106"/>
        <v>-0.257564200355962</v>
      </c>
      <c r="AE106" s="174">
        <f ca="1" t="shared" si="106"/>
        <v>-0.207270408163265</v>
      </c>
      <c r="AF106" s="174">
        <f ca="1" t="shared" si="106"/>
        <v>-0.258089171974522</v>
      </c>
      <c r="AG106" s="174">
        <f ca="1" t="shared" si="106"/>
        <v>-0.256536502546689</v>
      </c>
      <c r="AH106" s="174">
        <f ca="1" t="shared" si="106"/>
        <v>-0.162752668635022</v>
      </c>
      <c r="AI106" s="174">
        <f ca="1" t="shared" si="106"/>
        <v>-0.115765422696116</v>
      </c>
      <c r="AJ106" s="174">
        <f ca="1" t="shared" si="106"/>
        <v>-0.123849292967638</v>
      </c>
      <c r="AK106" s="174">
        <f ca="1" t="shared" si="106"/>
        <v>-0.110132510244266</v>
      </c>
    </row>
    <row r="107" ht="24.75" customHeight="1" spans="1:37">
      <c r="A107" s="185" t="s">
        <v>346</v>
      </c>
      <c r="B107" s="188" t="s">
        <v>375</v>
      </c>
      <c r="C107" s="183" t="s">
        <v>387</v>
      </c>
      <c r="D107" s="191">
        <f ca="1">IF('2025整理'!$S$1&gt;=DATE(2025,1,1),IF(COUNTIFS('2025数据'!$L$3:$L$181,"&gt;=2025-01-01",'2025数据'!$L$3:$L$181,"&lt;=2025-01-31")&gt;0,AVERAGEIFS('2025数据'!$N$3:$N$181,'2025数据'!$L$3:$L$181,"&gt;=2025-01-01",'2025数据'!$L$3:$L$181,"&lt;=2025-01-31"),""),"")</f>
        <v>14.8333333333333</v>
      </c>
      <c r="E107" s="189" t="str">
        <f ca="1">IF('2025整理'!$S$1&gt;=DATE(2025,2,1),IF(COUNTIFS('2025数据'!$L$3:$L$181,"&gt;=2025-02-01",'2025数据'!$L$3:$L$181,"&lt;=2025-02-28")&gt;0,AVERAGEIFS('2025数据'!$N$3:$N$181,'2025数据'!$L$3:$L$181,"&gt;=2025-02-01",'2025数据'!$L$3:$L$181,"&lt;=2025-02-28"),""),"")</f>
        <v/>
      </c>
      <c r="F107" s="191">
        <f ca="1">IF('2025整理'!$S$1&gt;=DATE(2025,3,1),IF(COUNTIFS('2025数据'!$L$3:$L$181,"&gt;=2025-03-01",'2025数据'!$L$3:$L$181,"&lt;=2025-03-31")&gt;0,AVERAGEIFS('2025数据'!$N$3:$N$181,'2025数据'!$L$3:$L$181,"&gt;=2025-03-01",'2025数据'!$L$3:$L$181,"&lt;=2025-03-31"),""),"")</f>
        <v>7</v>
      </c>
      <c r="G107" s="191">
        <f ca="1">IF('2025整理'!$S$1&gt;=DATE(2025,4,1),IF(COUNTIFS('2025数据'!$L$3:$L$181,"&gt;=2025-04-01",'2025数据'!$L$3:$L$181,"&lt;=2025-04-30")&gt;0,AVERAGEIFS('2025数据'!$N$3:$N$181,'2025数据'!$L$3:$L$181,"&gt;=2025-04-01",'2025数据'!$L$3:$L$181,"&lt;=2025-04-30"),""),"")</f>
        <v>15.875</v>
      </c>
      <c r="H107" s="191">
        <f ca="1">IF('2025整理'!$S$1&gt;=DATE(2025,5,1),IF(COUNTIFS('2025数据'!$L$3:$L$181,"&gt;=2025-05-01",'2025数据'!$L$3:$L$181,"&lt;=2025-05-31")&gt;0,AVERAGEIFS('2025数据'!$N$3:$N$181,'2025数据'!$L$3:$L$181,"&gt;=2025-05-01",'2025数据'!$L$3:$L$181,"&lt;=2025-05-31"),""),"")</f>
        <v>23</v>
      </c>
      <c r="I107" s="191">
        <f ca="1">IF('2025整理'!$S$1&gt;=DATE(2025,6,1),IF(COUNTIFS('2025数据'!$L$3:$L$181,"&gt;=2025-06-01",'2025数据'!$L$3:$L$181,"&lt;=2025-06-30")&gt;0,AVERAGEIFS('2025数据'!$N$3:$N$181,'2025数据'!$L$3:$L$181,"&gt;=2025-06-01",'2025数据'!$L$3:$L$181,"&lt;=2025-06-30"),""),"")</f>
        <v>15.6666666666667</v>
      </c>
      <c r="J107" s="191">
        <f ca="1">IF('2025整理'!$S$1&gt;=DATE(2025,7,1),IF(COUNTIFS('2025数据'!$L$3:$L$181,"&gt;=2025-07-01",'2025数据'!$L$3:$L$181,"&lt;=2025-07-31")&gt;0,AVERAGEIFS('2025数据'!$N$3:$N$181,'2025数据'!$L$3:$L$181,"&gt;=2025-07-01",'2025数据'!$L$3:$L$181,"&lt;=2025-07-31"),""),"")</f>
        <v>6.25</v>
      </c>
      <c r="K107" s="191">
        <f ca="1">IF('2025整理'!$S$1&gt;=DATE(2025,8,1),IF(COUNTIFS('2025数据'!$L$3:$L$181,"&gt;=2025-08-01",'2025数据'!$L$3:$L$181,"&lt;=2025-08-31")&gt;0,AVERAGEIFS('2025数据'!$N$3:$N$181,'2025数据'!$L$3:$L$181,"&gt;=2025-08-01",'2025数据'!$L$3:$L$181,"&lt;=2025-08-31"),""),"")</f>
        <v>14.8333333333333</v>
      </c>
      <c r="L107" s="191">
        <f ca="1">IF('2025整理'!$S$1&gt;=DATE(2025,9,1),IF(COUNTIFS('2025数据'!$L$3:$L$181,"&gt;=2025-09-01",'2025数据'!$L$3:$L$181,"&lt;=2025-09-30")&gt;0,AVERAGEIFS('2025数据'!$N$3:$N$181,'2025数据'!$L$3:$L$181,"&gt;=2025-09-01",'2025数据'!$L$3:$L$181,"&lt;=2025-09-30"),""),"")</f>
        <v>14.75</v>
      </c>
      <c r="M107" s="191">
        <f ca="1">IF('2025整理'!$S$1&gt;=DATE(2025,10,1),IF(COUNTIFS('2025数据'!$L$3:$L$181,"&gt;=2025-10-01",'2025数据'!$L$3:$L$181,"&lt;=2025-10-31")&gt;0,AVERAGEIFS('2025数据'!$N$3:$N$181,'2025数据'!$L$3:$L$181,"&gt;=2025-10-01",'2025数据'!$L$3:$L$181,"&lt;=2025-10-31"),""),"")</f>
        <v>13.75</v>
      </c>
      <c r="N107" s="191">
        <f ca="1">IF('2025整理'!$S$1&gt;=DATE(2025,11,1),IF(COUNTIFS('2025数据'!$L$3:$L$181,"&gt;=2025-11-01",'2025数据'!$L$3:$L$181,"&lt;=2025-11-30")&gt;0,AVERAGEIFS('2025数据'!$N$3:$N$181,'2025数据'!$L$3:$L$181,"&gt;=2025-11-01",'2025数据'!$L$3:$L$181,"&lt;=2025-11-30"),""),"")</f>
        <v>5</v>
      </c>
      <c r="O107" s="191">
        <f ca="1">IF('2025整理'!$S$1&gt;=DATE(2025,12,1),IF(COUNTIFS('2025数据'!$L$3:$L$181,"&gt;=2025-12-01",'2025数据'!$L$3:$L$181,"&lt;=2025-12-31")&gt;0,AVERAGEIFS('2025数据'!$N$3:$N$181,'2025数据'!$L$3:$L$181,"&gt;=2025-12-01",'2025数据'!$L$3:$L$181,"&lt;=2025-12-31"),""),"")</f>
        <v>10.8</v>
      </c>
      <c r="R107" s="193"/>
      <c r="W107" s="185" t="s">
        <v>346</v>
      </c>
      <c r="X107" s="168" t="s">
        <v>375</v>
      </c>
      <c r="Y107" s="168" t="s">
        <v>379</v>
      </c>
      <c r="Z107" s="195">
        <f ca="1">IF(D107="","",D107-O105)</f>
        <v>5.63333333333333</v>
      </c>
      <c r="AA107" s="195" t="str">
        <f ca="1">IF(E107="","",E107-D107)</f>
        <v/>
      </c>
      <c r="AB107" s="195">
        <f ca="1">F107-D107</f>
        <v>-7.83333333333333</v>
      </c>
      <c r="AC107" s="195">
        <f ca="1" t="shared" ref="AC107:AK107" si="107">IF(G107="","",IF(F107="",G107,G107-F107))</f>
        <v>8.875</v>
      </c>
      <c r="AD107" s="195">
        <f ca="1" t="shared" si="107"/>
        <v>7.125</v>
      </c>
      <c r="AE107" s="195">
        <f ca="1" t="shared" si="107"/>
        <v>-7.33333333333333</v>
      </c>
      <c r="AF107" s="195">
        <f ca="1" t="shared" si="107"/>
        <v>-9.41666666666667</v>
      </c>
      <c r="AG107" s="195">
        <f ca="1" t="shared" si="107"/>
        <v>8.58333333333333</v>
      </c>
      <c r="AH107" s="195">
        <f ca="1" t="shared" si="107"/>
        <v>-0.0833333333333339</v>
      </c>
      <c r="AI107" s="195">
        <f ca="1" t="shared" si="107"/>
        <v>-1</v>
      </c>
      <c r="AJ107" s="195">
        <f ca="1" t="shared" si="107"/>
        <v>-8.75</v>
      </c>
      <c r="AK107" s="195">
        <f ca="1" t="shared" si="107"/>
        <v>5.8</v>
      </c>
    </row>
    <row r="108" ht="24.75" customHeight="1" spans="1:37">
      <c r="A108" s="190" t="s">
        <v>346</v>
      </c>
      <c r="B108" s="186" t="s">
        <v>375</v>
      </c>
      <c r="C108" s="186" t="s">
        <v>388</v>
      </c>
      <c r="D108" s="192">
        <f ca="1">IF('2025整理'!$S$1&gt;=DATE(2025,1,1),IF(COUNTIFS('2025数据'!$L$3:$L$181,"&gt;=2025-01-01",'2025数据'!$L$3:$L$181,"&lt;=2025-01-31")&gt;0,AVERAGEIFS('2025数据'!$N$3:$N$181,'2025数据'!$L$3:$L$181,"&gt;=2025-01-01",'2025数据'!$L$3:$L$181,"&lt;=2025-01-31"),""),"")</f>
        <v>14.8333333333333</v>
      </c>
      <c r="E108" s="192">
        <f ca="1">IF('2025整理'!$S$1&gt;=DATE(2025,2,1),IF(COUNTIFS('2025数据'!$L$3:$L$181,"&gt;=2025-01-01",'2025数据'!$L$3:$L$181,"&lt;=2025-02-28")&gt;0,AVERAGEIFS('2025数据'!$N$3:$N$181,'2025数据'!$L$3:$L$181,"&gt;=2025-01-01",'2025数据'!$L$3:$L$181,"&lt;=2025-02-28"),""),"")</f>
        <v>14.8333333333333</v>
      </c>
      <c r="F108" s="192">
        <f ca="1">IF('2025整理'!$S$1&gt;=DATE(2025,3,1),IF(COUNTIFS('2025数据'!$L$3:$L$181,"&gt;=2025-01-01",'2025数据'!$L$3:$L$181,"&lt;=2025-03-31")&gt;0,AVERAGEIFS('2025数据'!$N$3:$N$181,'2025数据'!$L$3:$L$181,"&gt;=2025-01-01",'2025数据'!$L$3:$L$181,"&lt;=2025-03-31"),""),"")</f>
        <v>13.7142857142857</v>
      </c>
      <c r="G108" s="192">
        <f ca="1">IF('2025整理'!$S$1&gt;=DATE(2025,4,1),IF(COUNTIFS('2025数据'!$L$3:$L$181,"&gt;=2025-01-01",'2025数据'!$L$3:$L$181,"&lt;=2025-04-30")&gt;0,AVERAGEIFS('2025数据'!$N$3:$N$181,'2025数据'!$L$3:$L$181,"&gt;=2025-01-01",'2025数据'!$L$3:$L$181,"&lt;=2025-04-30"),""),"")</f>
        <v>14.8666666666667</v>
      </c>
      <c r="H108" s="192">
        <f ca="1">IF('2025整理'!$S$1&gt;=DATE(2025,5,1),IF(COUNTIFS('2025数据'!$L$3:$L$181,"&gt;=2025-01-01",'2025数据'!$L$3:$L$181,"&lt;=2025-05-31")&gt;0,AVERAGEIFS('2025数据'!$N$3:$N$181,'2025数据'!$L$3:$L$181,"&gt;=2025-01-01",'2025数据'!$L$3:$L$181,"&lt;=2025-05-31"),""),"")</f>
        <v>16.2222222222222</v>
      </c>
      <c r="I108" s="192">
        <f ca="1">IF('2025整理'!$S$1&gt;=DATE(2025,6,1),IF(COUNTIFS('2025数据'!$L$3:$L$181,"&gt;=2025-01-01",'2025数据'!$L$3:$L$181,"&lt;=2025-06-30")&gt;0,AVERAGEIFS('2025数据'!$N$3:$N$181,'2025数据'!$L$3:$L$181,"&gt;=2025-01-01",'2025数据'!$L$3:$L$181,"&lt;=2025-06-30"),""),"")</f>
        <v>16.1428571428571</v>
      </c>
      <c r="J108" s="192">
        <f ca="1">IF('2025整理'!$S$1&gt;=DATE(2025,7,1),IF(COUNTIFS('2025数据'!$L$3:$L$181,"&gt;=2025-01-01",'2025数据'!$L$3:$L$181,"&lt;=2025-07-31")&gt;0,AVERAGEIFS('2025数据'!$N$3:$N$181,'2025数据'!$L$3:$L$181,"&gt;=2025-01-01",'2025数据'!$L$3:$L$181,"&lt;=2025-07-31"),""),"")</f>
        <v>14.56</v>
      </c>
      <c r="K108" s="192">
        <f ca="1">IF('2025整理'!$S$1&gt;=DATE(2025,8,1),IF(COUNTIFS('2025数据'!$L$3:$L$181,"&gt;=2025-01-01",'2025数据'!$L$3:$L$181,"&lt;=2025-08-31")&gt;0,AVERAGEIFS('2025数据'!$N$3:$N$181,'2025数据'!$L$3:$L$181,"&gt;=2025-01-01",'2025数据'!$L$3:$L$181,"&lt;=2025-08-31"),""),"")</f>
        <v>14.6129032258065</v>
      </c>
      <c r="L108" s="192">
        <f ca="1">IF('2025整理'!$S$1&gt;=DATE(2025,9,1),IF(COUNTIFS('2025数据'!$L$3:$L$181,"&gt;=2025-01-01",'2025数据'!$L$3:$L$181,"&lt;=2025-09-30")&gt;0,AVERAGEIFS('2025数据'!$N$3:$N$181,'2025数据'!$L$3:$L$181,"&gt;=2025-01-01",'2025数据'!$L$3:$L$181,"&lt;=2025-09-30"),""),"")</f>
        <v>14.6285714285714</v>
      </c>
      <c r="M108" s="192">
        <f ca="1">IF('2025整理'!$S$1&gt;=DATE(2025,10,1),IF(COUNTIFS('2025数据'!$L$3:$L$181,"&gt;=2025-01-01",'2025数据'!$L$3:$L$181,"&lt;=2025-10-31")&gt;0,AVERAGEIFS('2025数据'!$N$3:$N$181,'2025数据'!$L$3:$L$181,"&gt;=2025-01-01",'2025数据'!$L$3:$L$181,"&lt;=2025-10-31"),""),"")</f>
        <v>14.5384615384615</v>
      </c>
      <c r="N108" s="192">
        <f ca="1">IF('2025整理'!$S$1&gt;=DATE(2025,11,1),IF(COUNTIFS('2025数据'!$L$3:$L$181,"&gt;=2025-01-01",'2025数据'!$L$3:$L$181,"&lt;=2025-11-30")&gt;0,AVERAGEIFS('2025数据'!$N$3:$N$181,'2025数据'!$L$3:$L$181,"&gt;=2025-01-01",'2025数据'!$L$3:$L$181,"&lt;=2025-11-30"),""),"")</f>
        <v>14.0731707317073</v>
      </c>
      <c r="O108" s="192">
        <f ca="1">IF('2025整理'!$S$1&gt;=DATE(2025,12,1),IF(COUNTIFS('2025数据'!$L$3:$L$181,"&gt;=2025-01-01",'2025数据'!$L$3:$L$181,"&lt;=2025-12-31")&gt;0,AVERAGEIFS('2025数据'!$N$3:$N$181,'2025数据'!$L$3:$L$181,"&gt;=2025-01-01",'2025数据'!$L$3:$L$181,"&lt;=2025-12-31"),""),"")</f>
        <v>13.7173913043478</v>
      </c>
      <c r="W108" s="190" t="s">
        <v>346</v>
      </c>
      <c r="X108" s="166" t="s">
        <v>375</v>
      </c>
      <c r="Y108" s="166" t="s">
        <v>380</v>
      </c>
      <c r="Z108" s="174">
        <f ca="1">IF(Z107="","",Z107/O105)</f>
        <v>0.61231884057971</v>
      </c>
      <c r="AA108" s="174" t="str">
        <f ca="1">IF(AA107="","",AA107/D107)</f>
        <v/>
      </c>
      <c r="AB108" s="174">
        <f ca="1">IF(AB107="","",IF(D107="",(AB107-1)/1,AB107/D107))</f>
        <v>-0.52808988764045</v>
      </c>
      <c r="AC108" s="174">
        <f ca="1" t="shared" ref="AC108:AK108" si="108">IF(AC107="","",IF(F107="",(AC107-1)/1,AC107/F107))</f>
        <v>1.26785714285714</v>
      </c>
      <c r="AD108" s="174">
        <f ca="1" t="shared" si="108"/>
        <v>0.448818897637795</v>
      </c>
      <c r="AE108" s="174">
        <f ca="1" t="shared" si="108"/>
        <v>-0.318840579710145</v>
      </c>
      <c r="AF108" s="174">
        <f ca="1" t="shared" si="108"/>
        <v>-0.601063829787234</v>
      </c>
      <c r="AG108" s="174">
        <f ca="1" t="shared" si="108"/>
        <v>1.37333333333333</v>
      </c>
      <c r="AH108" s="174">
        <f ca="1" t="shared" si="108"/>
        <v>-0.00561797752808993</v>
      </c>
      <c r="AI108" s="174">
        <f ca="1" t="shared" si="108"/>
        <v>-0.0677966101694915</v>
      </c>
      <c r="AJ108" s="174">
        <f ca="1" t="shared" si="108"/>
        <v>-0.636363636363636</v>
      </c>
      <c r="AK108" s="174">
        <f ca="1" t="shared" si="108"/>
        <v>1.16</v>
      </c>
    </row>
    <row r="109" ht="24.75" customHeight="1" spans="1:37">
      <c r="A109" s="182" t="s">
        <v>347</v>
      </c>
      <c r="B109" s="188" t="s">
        <v>373</v>
      </c>
      <c r="C109" s="183" t="s">
        <v>387</v>
      </c>
      <c r="D109" s="184" t="str">
        <f ca="1">IF('2025整理'!$S$1&gt;=DATE(2024,1,1),IF(COUNTIFS('2024数据'!$P$3:$P$152,"&gt;=2024-01-01",'2024数据'!$P$3:$P$152,"&lt;=2024-01-31")&gt;0,AVERAGEIFS('2024数据'!$R$3:$R$152,'2024数据'!$P$3:$P$152,"&gt;=2024-01-01",'2024数据'!$P$3:$P$152,"&lt;=2024-01-31"),""),"")</f>
        <v/>
      </c>
      <c r="E109" s="184" t="str">
        <f ca="1">IF('2025整理'!$S$1&gt;=DATE(2024,2,1),IF(COUNTIFS('2024数据'!$P$3:$P$152,"&gt;=2024-02-01",'2024数据'!$P$3:$P$152,"&lt;=2024-02-28")&gt;0,AVERAGEIFS('2024数据'!$R$3:$R$152,'2024数据'!$P$3:$P$152,"&gt;=2024-02-01",'2024数据'!$P$3:$P$152,"&lt;=2024-02-28"),""),"")</f>
        <v/>
      </c>
      <c r="F109" s="184" t="str">
        <f ca="1">IF('2025整理'!$S$1&gt;=DATE(2024,3,1),IF(COUNTIFS('2024数据'!$P$3:$P$152,"&gt;=2024-03-01",'2024数据'!$P$3:$P$152,"&lt;=2024-03-31")&gt;0,AVERAGEIFS('2024数据'!$R$3:$R$152,'2024数据'!$P$3:$P$152,"&gt;=2024-03-01",'2024数据'!$P$3:$P$152,"&lt;=2024-03-31"),""),"")</f>
        <v/>
      </c>
      <c r="G109" s="184">
        <f ca="1">IF('2025整理'!$S$1&gt;=DATE(2024,4,1),IF(COUNTIFS('2024数据'!$P$3:$P$152,"&gt;=2024-04-01",'2024数据'!$P$3:$P$152,"&lt;=2024-04-30")&gt;0,AVERAGEIFS('2024数据'!$R$3:$R$152,'2024数据'!$P$3:$P$152,"&gt;=2024-04-01",'2024数据'!$P$3:$P$152,"&lt;=2024-04-30"),""),"")</f>
        <v>19</v>
      </c>
      <c r="H109" s="184">
        <f ca="1">IF('2025整理'!$S$1&gt;=DATE(2024,5,1),IF(COUNTIFS('2024数据'!$P$3:$P$152,"&gt;=2024-05-01",'2024数据'!$P$3:$P$152,"&lt;=2024-05-31")&gt;0,AVERAGEIFS('2024数据'!$R$3:$R$152,'2024数据'!$P$3:$P$152,"&gt;=2024-05-01",'2024数据'!$P$3:$P$152,"&lt;=2024-05-31"),""),"")</f>
        <v>22</v>
      </c>
      <c r="I109" s="184" t="str">
        <f ca="1">IF('2025整理'!$S$1&gt;=DATE(2024,6,1),IF(COUNTIFS('2024数据'!$P$3:$P$152,"&gt;=2024-06-01",'2024数据'!$P$3:$P$152,"&lt;=2024-06-30")&gt;0,AVERAGEIFS('2024数据'!$R$3:$R$152,'2024数据'!$P$3:$P$152,"&gt;=2024-06-01",'2024数据'!$P$3:$P$152,"&lt;=2024-06-30"),""),"")</f>
        <v/>
      </c>
      <c r="J109" s="184">
        <f ca="1">IF('2025整理'!$S$1&gt;=DATE(2024,7,1),IF(COUNTIFS('2024数据'!$P$3:$P$152,"&gt;=2024-07-01",'2024数据'!$P$3:$P$152,"&lt;=2024-07-31")&gt;0,AVERAGEIFS('2024数据'!$R$3:$R$152,'2024数据'!$P$3:$P$152,"&gt;=2024-07-01",'2024数据'!$P$3:$P$152,"&lt;=2024-07-31"),""),"")</f>
        <v>6</v>
      </c>
      <c r="K109" s="184" t="str">
        <f ca="1">IF('2025整理'!$S$1&gt;=DATE(2024,8,1),IF(COUNTIFS('2024数据'!$P$3:$P$152,"&gt;=2024-08-01",'2024数据'!$P$3:$P$152,"&lt;=2024-08-31")&gt;0,AVERAGEIFS('2024数据'!$R$3:$R$152,'2024数据'!$P$3:$P$152,"&gt;=2024-08-01",'2024数据'!$P$3:$P$152,"&lt;=2024-08-31"),""),"")</f>
        <v/>
      </c>
      <c r="L109" s="184" t="str">
        <f ca="1">IF('2025整理'!$S$1&gt;=DATE(2024,9,1),IF(COUNTIFS('2024数据'!$P$3:$P$152,"&gt;=2024-09-01",'2024数据'!$P$3:$P$152,"&lt;=2024-09-30")&gt;0,AVERAGEIFS('2024数据'!$R$3:$R$152,'2024数据'!$P$3:$P$152,"&gt;=2024-09-01",'2024数据'!$P$3:$P$152,"&lt;=2024-09-30"),""),"")</f>
        <v/>
      </c>
      <c r="M109" s="184" t="str">
        <f ca="1">IF('2025整理'!$S$1&gt;=DATE(2024,10,1),IF(COUNTIFS('2024数据'!$P$3:$P$152,"&gt;=2024-10-01",'2024数据'!$P$3:$P$152,"&lt;=2024-10-31")&gt;0,AVERAGEIFS('2024数据'!$R$3:$R$152,'2024数据'!$P$3:$P$152,"&gt;=2024-10-01",'2024数据'!$P$3:$P$152,"&lt;=2024-10-31"),""),"")</f>
        <v/>
      </c>
      <c r="N109" s="184">
        <f ca="1">IF('2025整理'!$S$1&gt;=DATE(2024,11,1),IF(COUNTIFS('2024数据'!$P$3:$P$152,"&gt;=2024-11-01",'2024数据'!$P$3:$P$152,"&lt;=2024-11-30")&gt;0,AVERAGEIFS('2024数据'!$R$3:$R$152,'2024数据'!$P$3:$P$152,"&gt;=2024-11-01",'2024数据'!$P$3:$P$152,"&lt;=2024-11-30"),""),"")</f>
        <v>4</v>
      </c>
      <c r="O109" s="184" t="str">
        <f ca="1">IF('2025整理'!$S$1&gt;=DATE(2024,12,1),IF(COUNTIFS('2024数据'!$P$3:$P$152,"&gt;=2024-12-01",'2024数据'!$P$3:$P$152,"&lt;=2024-12-31")&gt;0,AVERAGEIFS('2024数据'!$R$3:$R$152,'2024数据'!$P$3:$P$152,"&gt;=2024-12-01",'2024数据'!$P$3:$P$152,"&lt;=2024-12-31"),""),"")</f>
        <v/>
      </c>
      <c r="W109" s="182" t="s">
        <v>347</v>
      </c>
      <c r="X109" s="163" t="s">
        <v>375</v>
      </c>
      <c r="Y109" s="163" t="s">
        <v>376</v>
      </c>
      <c r="Z109" s="195" t="str">
        <f ca="1">IFERROR(IF(D112="","",D112-D110),"")</f>
        <v/>
      </c>
      <c r="AA109" s="195">
        <f ca="1" t="shared" ref="AA109:AK109" si="109">IF(E112="","",IF(E110="",E112,E112-E110))</f>
        <v>17</v>
      </c>
      <c r="AB109" s="195">
        <f ca="1" t="shared" si="109"/>
        <v>17</v>
      </c>
      <c r="AC109" s="195">
        <f ca="1" t="shared" si="109"/>
        <v>-6.5</v>
      </c>
      <c r="AD109" s="195">
        <f ca="1" t="shared" si="109"/>
        <v>-8</v>
      </c>
      <c r="AE109" s="195">
        <f ca="1" t="shared" si="109"/>
        <v>-6.5</v>
      </c>
      <c r="AF109" s="195">
        <f ca="1" t="shared" si="109"/>
        <v>-3.46666666666667</v>
      </c>
      <c r="AG109" s="195">
        <f ca="1" t="shared" si="109"/>
        <v>-3.16666666666667</v>
      </c>
      <c r="AH109" s="195">
        <f ca="1" t="shared" si="109"/>
        <v>-5.22222222222222</v>
      </c>
      <c r="AI109" s="195">
        <f ca="1" t="shared" si="109"/>
        <v>-5.22222222222222</v>
      </c>
      <c r="AJ109" s="195">
        <f ca="1" t="shared" si="109"/>
        <v>-2.75</v>
      </c>
      <c r="AK109" s="195">
        <f ca="1" t="shared" si="109"/>
        <v>-2.75</v>
      </c>
    </row>
    <row r="110" ht="24.75" customHeight="1" spans="1:37">
      <c r="A110" s="185" t="s">
        <v>347</v>
      </c>
      <c r="B110" s="186" t="s">
        <v>373</v>
      </c>
      <c r="C110" s="186" t="s">
        <v>388</v>
      </c>
      <c r="D110" s="187" t="str">
        <f ca="1">IF('2025整理'!$S$1&gt;=DATE(2024,1,1),IF(COUNTIFS('2024数据'!$P$3:$P$152,"&gt;=2024-01-01",'2024数据'!$P$3:$P$152,"&lt;=2024-01-31")&gt;0,AVERAGEIFS('2024数据'!$R$3:$R$152,'2024数据'!$P$3:$P$152,"&gt;=2024-01-01",'2024数据'!$P$3:$P$152,"&lt;=2024-01-31"),""),"")</f>
        <v/>
      </c>
      <c r="E110" s="187" t="str">
        <f ca="1">IF('2025整理'!$S$1&gt;=DATE(2024,2,1),IF(COUNTIFS('2024数据'!$P$3:$P$152,"&gt;=2024-01-01",'2024数据'!$P$3:$P$152,"&lt;=2024-02-28")&gt;0,AVERAGEIFS('2024数据'!$R$3:$R$152,'2024数据'!$P$3:$P$152,"&gt;=2024-01-01",'2024数据'!$P$3:$P$152,"&lt;=2024-02-28"),""),"")</f>
        <v/>
      </c>
      <c r="F110" s="187" t="str">
        <f ca="1">IF('2025整理'!$S$1&gt;=DATE(2024,3,1),IF(COUNTIFS('2024数据'!$P$3:$P$152,"&gt;=2024-01-01",'2024数据'!$P$3:$P$152,"&lt;=2024-03-31")&gt;0,AVERAGEIFS('2024数据'!$R$3:$R$152,'2024数据'!$P$3:$P$152,"&gt;=2024-01-01",'2024数据'!$P$3:$P$152,"&lt;=2024-03-31"),""),"")</f>
        <v/>
      </c>
      <c r="G110" s="187">
        <f ca="1">IF('2025整理'!$S$1&gt;=DATE(2024,4,1),IF(COUNTIFS('2024数据'!$P$3:$P$152,"&gt;=2024-01-01",'2024数据'!$P$3:$P$152,"&lt;=2024-04-30")&gt;0,AVERAGEIFS('2024数据'!$R$3:$R$152,'2024数据'!$P$3:$P$152,"&gt;=2024-01-01",'2024数据'!$P$3:$P$152,"&lt;=2024-04-30"),""),"")</f>
        <v>19</v>
      </c>
      <c r="H110" s="187">
        <f ca="1">IF('2025整理'!$S$1&gt;=DATE(2024,5,1),IF(COUNTIFS('2024数据'!$P$3:$P$152,"&gt;=2024-01-01",'2024数据'!$P$3:$P$152,"&lt;=2024-05-31")&gt;0,AVERAGEIFS('2024数据'!$R$3:$R$152,'2024数据'!$P$3:$P$152,"&gt;=2024-01-01",'2024数据'!$P$3:$P$152,"&lt;=2024-05-31"),""),"")</f>
        <v>20.5</v>
      </c>
      <c r="I110" s="187">
        <f ca="1">IF('2025整理'!$S$1&gt;=DATE(2024,6,1),IF(COUNTIFS('2024数据'!$P$3:$P$152,"&gt;=2024-01-01",'2024数据'!$P$3:$P$152,"&lt;=2024-06-30")&gt;0,AVERAGEIFS('2024数据'!$R$3:$R$152,'2024数据'!$P$3:$P$152,"&gt;=2024-01-01",'2024数据'!$P$3:$P$152,"&lt;=2024-06-30"),""),"")</f>
        <v>20.5</v>
      </c>
      <c r="J110" s="187">
        <f ca="1">IF('2025整理'!$S$1&gt;=DATE(2024,7,1),IF(COUNTIFS('2024数据'!$P$3:$P$152,"&gt;=2024-01-01",'2024数据'!$P$3:$P$152,"&lt;=2024-07-31")&gt;0,AVERAGEIFS('2024数据'!$R$3:$R$152,'2024数据'!$P$3:$P$152,"&gt;=2024-01-01",'2024数据'!$P$3:$P$152,"&lt;=2024-07-31"),""),"")</f>
        <v>15.6666666666667</v>
      </c>
      <c r="K110" s="187">
        <f ca="1">IF('2025整理'!$S$1&gt;=DATE(2024,8,1),IF(COUNTIFS('2024数据'!$P$3:$P$152,"&gt;=2024-01-01",'2024数据'!$P$3:$P$152,"&lt;=2024-08-31")&gt;0,AVERAGEIFS('2024数据'!$R$3:$R$152,'2024数据'!$P$3:$P$152,"&gt;=2024-01-01",'2024数据'!$P$3:$P$152,"&lt;=2024-08-31"),""),"")</f>
        <v>15.6666666666667</v>
      </c>
      <c r="L110" s="187">
        <f ca="1">IF('2025整理'!$S$1&gt;=DATE(2024,9,1),IF(COUNTIFS('2024数据'!$P$3:$P$152,"&gt;=2024-01-01",'2024数据'!$P$3:$P$152,"&lt;=2024-09-30")&gt;0,AVERAGEIFS('2024数据'!$R$3:$R$152,'2024数据'!$P$3:$P$152,"&gt;=2024-01-01",'2024数据'!$P$3:$P$152,"&lt;=2024-09-30"),""),"")</f>
        <v>15.6666666666667</v>
      </c>
      <c r="M110" s="187">
        <f ca="1">IF('2025整理'!$S$1&gt;=DATE(2024,10,1),IF(COUNTIFS('2024数据'!$P$3:$P$152,"&gt;=2024-01-01",'2024数据'!$P$3:$P$152,"&lt;=2024-10-31")&gt;0,AVERAGEIFS('2024数据'!$R$3:$R$152,'2024数据'!$P$3:$P$152,"&gt;=2024-01-01",'2024数据'!$P$3:$P$152,"&lt;=2024-10-31"),""),"")</f>
        <v>15.6666666666667</v>
      </c>
      <c r="N110" s="187">
        <f ca="1">IF('2025整理'!$S$1&gt;=DATE(2024,11,1),IF(COUNTIFS('2024数据'!$P$3:$P$152,"&gt;=2024-01-01",'2024数据'!$P$3:$P$152,"&lt;=2024-11-30")&gt;0,AVERAGEIFS('2024数据'!$R$3:$R$152,'2024数据'!$P$3:$P$152,"&gt;=2024-01-01",'2024数据'!$P$3:$P$152,"&lt;=2024-11-30"),""),"")</f>
        <v>12.75</v>
      </c>
      <c r="O110" s="187">
        <f ca="1">IF('2025整理'!$S$1&gt;=DATE(2024,12,1),IF(COUNTIFS('2024数据'!$P$3:$P$152,"&gt;=2024-01-01",'2024数据'!$P$3:$P$152,"&lt;=2024-12-31")&gt;0,AVERAGEIFS('2024数据'!$R$3:$R$152,'2024数据'!$P$3:$P$152,"&gt;=2024-01-01",'2024数据'!$P$3:$P$152,"&lt;=2024-12-31"),""),"")</f>
        <v>12.75</v>
      </c>
      <c r="W110" s="185" t="s">
        <v>347</v>
      </c>
      <c r="X110" s="166" t="s">
        <v>375</v>
      </c>
      <c r="Y110" s="166" t="s">
        <v>378</v>
      </c>
      <c r="Z110" s="174" t="str">
        <f ca="1">IF(Z109="","",Z109/D110)</f>
        <v/>
      </c>
      <c r="AA110" s="174">
        <f ca="1" t="shared" ref="AA110:AK110" si="110">IF(AA109="","",IF(E110="",(AA109-1)/1,AA109/E110))</f>
        <v>16</v>
      </c>
      <c r="AB110" s="174">
        <f ca="1" t="shared" si="110"/>
        <v>16</v>
      </c>
      <c r="AC110" s="174">
        <f ca="1" t="shared" si="110"/>
        <v>-0.342105263157895</v>
      </c>
      <c r="AD110" s="174">
        <f ca="1" t="shared" si="110"/>
        <v>-0.390243902439024</v>
      </c>
      <c r="AE110" s="174">
        <f ca="1" t="shared" si="110"/>
        <v>-0.317073170731707</v>
      </c>
      <c r="AF110" s="174">
        <f ca="1" t="shared" si="110"/>
        <v>-0.221276595744681</v>
      </c>
      <c r="AG110" s="174">
        <f ca="1" t="shared" si="110"/>
        <v>-0.202127659574468</v>
      </c>
      <c r="AH110" s="174">
        <f ca="1" t="shared" si="110"/>
        <v>-0.333333333333333</v>
      </c>
      <c r="AI110" s="174">
        <f ca="1" t="shared" si="110"/>
        <v>-0.333333333333333</v>
      </c>
      <c r="AJ110" s="174">
        <f ca="1" t="shared" si="110"/>
        <v>-0.215686274509804</v>
      </c>
      <c r="AK110" s="174">
        <f ca="1" t="shared" si="110"/>
        <v>-0.215686274509804</v>
      </c>
    </row>
    <row r="111" ht="24.75" customHeight="1" spans="1:37">
      <c r="A111" s="185" t="s">
        <v>347</v>
      </c>
      <c r="B111" s="188" t="s">
        <v>375</v>
      </c>
      <c r="C111" s="183" t="s">
        <v>387</v>
      </c>
      <c r="D111" s="191">
        <f ca="1">IF('2025整理'!$S$1&gt;=DATE(2025,1,1),IF(COUNTIFS('2025数据'!$P$3:$P$181,"&gt;=2025-01-01",'2025数据'!$P$3:$P$181,"&lt;=2025-01-31")&gt;0,AVERAGEIFS('2025数据'!$R$3:$R$181,'2025数据'!$P$3:$P$181,"&gt;=2025-01-01",'2025数据'!$P$3:$P$181,"&lt;=2025-01-31"),""),"")</f>
        <v>17</v>
      </c>
      <c r="E111" s="191" t="str">
        <f ca="1">IF('2025整理'!$S$1&gt;=DATE(2025,2,1),IF(COUNTIFS('2025数据'!$P$3:$P$181,"&gt;=2025-02-01",'2025数据'!$P$3:$P$181,"&lt;=2025-02-28")&gt;0,AVERAGEIFS('2025数据'!$R$3:$R$181,'2025数据'!$P$3:$P$181,"&gt;=2025-02-01",'2025数据'!$P$3:$P$181,"&lt;=2025-02-28"),""),"")</f>
        <v/>
      </c>
      <c r="F111" s="191" t="str">
        <f ca="1">IF('2025整理'!$S$1&gt;=DATE(2025,3,1),IF(COUNTIFS('2025数据'!$P$3:$P$181,"&gt;=2025-03-01",'2025数据'!$P$3:$P$181,"&lt;=2025-03-31")&gt;0,AVERAGEIFS('2025数据'!$R$3:$R$181,'2025数据'!$P$3:$P$181,"&gt;=2025-03-01",'2025数据'!$P$3:$P$181,"&lt;=2025-03-31"),""),"")</f>
        <v/>
      </c>
      <c r="G111" s="191">
        <f ca="1">IF('2025整理'!$S$1&gt;=DATE(2025,4,1),IF(COUNTIFS('2025数据'!$P$3:$P$181,"&gt;=2025-04-01",'2025数据'!$P$3:$P$181,"&lt;=2025-04-30")&gt;0,AVERAGEIFS('2025数据'!$R$3:$R$181,'2025数据'!$P$3:$P$181,"&gt;=2025-04-01",'2025数据'!$P$3:$P$181,"&lt;=2025-04-30"),""),"")</f>
        <v>8</v>
      </c>
      <c r="H111" s="191" t="str">
        <f ca="1">IF('2025整理'!$S$1&gt;=DATE(2025,5,1),IF(COUNTIFS('2025数据'!$P$3:$P$181,"&gt;=2025-05-01",'2025数据'!$P$3:$P$181,"&lt;=2025-05-31")&gt;0,AVERAGEIFS('2025数据'!$R$3:$R$181,'2025数据'!$P$3:$P$181,"&gt;=2025-05-01",'2025数据'!$P$3:$P$181,"&lt;=2025-05-31"),""),"")</f>
        <v/>
      </c>
      <c r="I111" s="191">
        <f ca="1">IF('2025整理'!$S$1&gt;=DATE(2025,6,1),IF(COUNTIFS('2025数据'!$P$3:$P$181,"&gt;=2025-06-01",'2025数据'!$P$3:$P$181,"&lt;=2025-06-30")&gt;0,AVERAGEIFS('2025数据'!$R$3:$R$181,'2025数据'!$P$3:$P$181,"&gt;=2025-06-01",'2025数据'!$P$3:$P$181,"&lt;=2025-06-30"),""),"")</f>
        <v>15.5</v>
      </c>
      <c r="J111" s="191">
        <f ca="1">IF('2025整理'!$S$1&gt;=DATE(2025,7,1),IF(COUNTIFS('2025数据'!$P$3:$P$181,"&gt;=2025-07-01",'2025数据'!$P$3:$P$181,"&lt;=2025-07-31")&gt;0,AVERAGEIFS('2025数据'!$R$3:$R$181,'2025数据'!$P$3:$P$181,"&gt;=2025-07-01",'2025数据'!$P$3:$P$181,"&lt;=2025-07-31"),""),"")</f>
        <v>5</v>
      </c>
      <c r="K111" s="191">
        <f ca="1">IF('2025整理'!$S$1&gt;=DATE(2025,8,1),IF(COUNTIFS('2025数据'!$P$3:$P$181,"&gt;=2025-08-01",'2025数据'!$P$3:$P$181,"&lt;=2025-08-31")&gt;0,AVERAGEIFS('2025数据'!$R$3:$R$181,'2025数据'!$P$3:$P$181,"&gt;=2025-08-01",'2025数据'!$P$3:$P$181,"&lt;=2025-08-31"),""),"")</f>
        <v>14</v>
      </c>
      <c r="L111" s="191">
        <f ca="1">IF('2025整理'!$S$1&gt;=DATE(2025,9,1),IF(COUNTIFS('2025数据'!$P$3:$P$181,"&gt;=2025-09-01",'2025数据'!$P$3:$P$181,"&lt;=2025-09-30")&gt;0,AVERAGEIFS('2025数据'!$R$3:$R$181,'2025数据'!$P$3:$P$181,"&gt;=2025-09-01",'2025数据'!$P$3:$P$181,"&lt;=2025-09-30"),""),"")</f>
        <v>6.33333333333333</v>
      </c>
      <c r="M111" s="191" t="str">
        <f ca="1">IF('2025整理'!$S$1&gt;=DATE(2025,10,1),IF(COUNTIFS('2025数据'!$P$3:$P$181,"&gt;=2025-10-01",'2025数据'!$P$3:$P$181,"&lt;=2025-10-31")&gt;0,AVERAGEIFS('2025数据'!$R$3:$R$181,'2025数据'!$P$3:$P$181,"&gt;=2025-10-01",'2025数据'!$P$3:$P$181,"&lt;=2025-10-31"),""),"")</f>
        <v/>
      </c>
      <c r="N111" s="191">
        <f ca="1">IF('2025整理'!$S$1&gt;=DATE(2025,11,1),IF(COUNTIFS('2025数据'!$P$3:$P$181,"&gt;=2025-11-01",'2025数据'!$P$3:$P$181,"&lt;=2025-11-30")&gt;0,AVERAGEIFS('2025数据'!$R$3:$R$181,'2025数据'!$P$3:$P$181,"&gt;=2025-11-01",'2025数据'!$P$3:$P$181,"&lt;=2025-11-30"),""),"")</f>
        <v>6</v>
      </c>
      <c r="O111" s="191" t="str">
        <f ca="1">IF('2025整理'!$S$1&gt;=DATE(2025,12,1),IF(COUNTIFS('2025数据'!$P$3:$P$181,"&gt;=2025-12-01",'2025数据'!$P$3:$P$181,"&lt;=2025-12-31")&gt;0,AVERAGEIFS('2025数据'!$R$3:$R$181,'2025数据'!$P$3:$P$181,"&gt;=2025-12-01",'2025数据'!$P$3:$P$181,"&lt;=2025-12-31"),""),"")</f>
        <v/>
      </c>
      <c r="W111" s="185" t="s">
        <v>347</v>
      </c>
      <c r="X111" s="168" t="s">
        <v>375</v>
      </c>
      <c r="Y111" s="168" t="s">
        <v>379</v>
      </c>
      <c r="Z111" s="195" t="str">
        <f ca="1">IFERROR(IF(D111="","",D111-O109),"")</f>
        <v/>
      </c>
      <c r="AA111" s="195" t="str">
        <f ca="1" t="shared" ref="AA111:AB111" si="111">IF(E111="","",E111-D111)</f>
        <v/>
      </c>
      <c r="AB111" s="195" t="str">
        <f ca="1" t="shared" si="111"/>
        <v/>
      </c>
      <c r="AC111" s="195">
        <f ca="1">G111-D111</f>
        <v>-9</v>
      </c>
      <c r="AD111" s="195" t="str">
        <f ca="1" t="shared" ref="AD111:AK111" si="112">IF(H111="","",H111-G111)</f>
        <v/>
      </c>
      <c r="AE111" s="195" t="e">
        <f ca="1" t="shared" si="112"/>
        <v>#VALUE!</v>
      </c>
      <c r="AF111" s="195">
        <f ca="1" t="shared" si="112"/>
        <v>-10.5</v>
      </c>
      <c r="AG111" s="195">
        <f ca="1" t="shared" si="112"/>
        <v>9</v>
      </c>
      <c r="AH111" s="195">
        <f ca="1" t="shared" si="112"/>
        <v>-7.66666666666667</v>
      </c>
      <c r="AI111" s="195" t="str">
        <f ca="1" t="shared" si="112"/>
        <v/>
      </c>
      <c r="AJ111" s="195" t="e">
        <f ca="1" t="shared" si="112"/>
        <v>#VALUE!</v>
      </c>
      <c r="AK111" s="195" t="str">
        <f ca="1" t="shared" si="112"/>
        <v/>
      </c>
    </row>
    <row r="112" ht="24.75" customHeight="1" spans="1:37">
      <c r="A112" s="190" t="s">
        <v>347</v>
      </c>
      <c r="B112" s="186" t="s">
        <v>375</v>
      </c>
      <c r="C112" s="186" t="s">
        <v>388</v>
      </c>
      <c r="D112" s="192">
        <f ca="1">IF('2025整理'!$S$1&gt;=DATE(2025,1,1),IF(COUNTIFS('2025数据'!$P$3:$P$181,"&gt;=2025-01-01",'2025数据'!$P$3:$P$181,"&lt;=2025-01-31")&gt;0,AVERAGEIFS('2025数据'!$R$3:$R$181,'2025数据'!$P$3:$P$181,"&gt;=2025-01-01",'2025数据'!$P$3:$P$181,"&lt;=2025-01-31"),""),"")</f>
        <v>17</v>
      </c>
      <c r="E112" s="192">
        <f ca="1">IF('2025整理'!$S$1&gt;=DATE(2025,2,1),IF(COUNTIFS('2025数据'!$P$3:$P$181,"&gt;=2025-01-01",'2025数据'!$P$3:$P$181,"&lt;=2025-02-28")&gt;0,AVERAGEIFS('2025数据'!$R$3:$R$181,'2025数据'!$P$3:$P$181,"&gt;=2025-01-01",'2025数据'!$P$3:$P$181,"&lt;=2025-02-28"),""),"")</f>
        <v>17</v>
      </c>
      <c r="F112" s="192">
        <f ca="1">IF('2025整理'!$S$1&gt;=DATE(2025,3,1),IF(COUNTIFS('2025数据'!$P$3:$P$181,"&gt;=2025-01-01",'2025数据'!$P$3:$P$181,"&lt;=2025-03-31")&gt;0,AVERAGEIFS('2025数据'!$R$3:$R$181,'2025数据'!$P$3:$P$181,"&gt;=2025-01-01",'2025数据'!$P$3:$P$181,"&lt;=2025-03-31"),""),"")</f>
        <v>17</v>
      </c>
      <c r="G112" s="192">
        <f ca="1">IF('2025整理'!$S$1&gt;=DATE(2025,4,1),IF(COUNTIFS('2025数据'!$P$3:$P$181,"&gt;=2025-01-01",'2025数据'!$P$3:$P$181,"&lt;=2025-04-30")&gt;0,AVERAGEIFS('2025数据'!$R$3:$R$181,'2025数据'!$P$3:$P$181,"&gt;=2025-01-01",'2025数据'!$P$3:$P$181,"&lt;=2025-04-30"),""),"")</f>
        <v>12.5</v>
      </c>
      <c r="H112" s="192">
        <f ca="1">IF('2025整理'!$S$1&gt;=DATE(2025,5,1),IF(COUNTIFS('2025数据'!$P$3:$P$181,"&gt;=2025-01-01",'2025数据'!$P$3:$P$181,"&lt;=2025-05-31")&gt;0,AVERAGEIFS('2025数据'!$R$3:$R$181,'2025数据'!$P$3:$P$181,"&gt;=2025-01-01",'2025数据'!$P$3:$P$181,"&lt;=2025-05-31"),""),"")</f>
        <v>12.5</v>
      </c>
      <c r="I112" s="192">
        <f ca="1">IF('2025整理'!$S$1&gt;=DATE(2025,6,1),IF(COUNTIFS('2025数据'!$P$3:$P$181,"&gt;=2025-01-01",'2025数据'!$P$3:$P$181,"&lt;=2025-06-30")&gt;0,AVERAGEIFS('2025数据'!$R$3:$R$181,'2025数据'!$P$3:$P$181,"&gt;=2025-01-01",'2025数据'!$P$3:$P$181,"&lt;=2025-06-30"),""),"")</f>
        <v>14</v>
      </c>
      <c r="J112" s="192">
        <f ca="1">IF('2025整理'!$S$1&gt;=DATE(2025,7,1),IF(COUNTIFS('2025数据'!$P$3:$P$181,"&gt;=2025-01-01",'2025数据'!$P$3:$P$181,"&lt;=2025-07-31")&gt;0,AVERAGEIFS('2025数据'!$R$3:$R$181,'2025数据'!$P$3:$P$181,"&gt;=2025-01-01",'2025数据'!$P$3:$P$181,"&lt;=2025-07-31"),""),"")</f>
        <v>12.2</v>
      </c>
      <c r="K112" s="192">
        <f ca="1">IF('2025整理'!$S$1&gt;=DATE(2025,8,1),IF(COUNTIFS('2025数据'!$P$3:$P$181,"&gt;=2025-01-01",'2025数据'!$P$3:$P$181,"&lt;=2025-08-31")&gt;0,AVERAGEIFS('2025数据'!$R$3:$R$181,'2025数据'!$P$3:$P$181,"&gt;=2025-01-01",'2025数据'!$P$3:$P$181,"&lt;=2025-08-31"),""),"")</f>
        <v>12.5</v>
      </c>
      <c r="L112" s="192">
        <f ca="1">IF('2025整理'!$S$1&gt;=DATE(2025,9,1),IF(COUNTIFS('2025数据'!$P$3:$P$181,"&gt;=2025-01-01",'2025数据'!$P$3:$P$181,"&lt;=2025-09-30")&gt;0,AVERAGEIFS('2025数据'!$R$3:$R$181,'2025数据'!$P$3:$P$181,"&gt;=2025-01-01",'2025数据'!$P$3:$P$181,"&lt;=2025-09-30"),""),"")</f>
        <v>10.4444444444444</v>
      </c>
      <c r="M112" s="192">
        <f ca="1">IF('2025整理'!$S$1&gt;=DATE(2025,10,1),IF(COUNTIFS('2025数据'!$P$3:$P$181,"&gt;=2025-01-01",'2025数据'!$P$3:$P$181,"&lt;=2025-10-31")&gt;0,AVERAGEIFS('2025数据'!$R$3:$R$181,'2025数据'!$P$3:$P$181,"&gt;=2025-01-01",'2025数据'!$P$3:$P$181,"&lt;=2025-10-31"),""),"")</f>
        <v>10.4444444444444</v>
      </c>
      <c r="N112" s="192">
        <f ca="1">IF('2025整理'!$S$1&gt;=DATE(2025,11,1),IF(COUNTIFS('2025数据'!$P$3:$P$181,"&gt;=2025-01-01",'2025数据'!$P$3:$P$181,"&lt;=2025-11-30")&gt;0,AVERAGEIFS('2025数据'!$R$3:$R$181,'2025数据'!$P$3:$P$181,"&gt;=2025-01-01",'2025数据'!$P$3:$P$181,"&lt;=2025-11-30"),""),"")</f>
        <v>10</v>
      </c>
      <c r="O112" s="192">
        <f ca="1">IF('2025整理'!$S$1&gt;=DATE(2025,12,1),IF(COUNTIFS('2025数据'!$P$3:$P$181,"&gt;=2025-01-01",'2025数据'!$P$3:$P$181,"&lt;=2025-12-31")&gt;0,AVERAGEIFS('2025数据'!$R$3:$R$181,'2025数据'!$P$3:$P$181,"&gt;=2025-01-01",'2025数据'!$P$3:$P$181,"&lt;=2025-12-31"),""),"")</f>
        <v>10</v>
      </c>
      <c r="T112" s="194"/>
      <c r="W112" s="190" t="s">
        <v>347</v>
      </c>
      <c r="X112" s="166" t="s">
        <v>375</v>
      </c>
      <c r="Y112" s="166" t="s">
        <v>380</v>
      </c>
      <c r="Z112" s="174" t="str">
        <f ca="1">IF(Z111="","",Z111/O109)</f>
        <v/>
      </c>
      <c r="AA112" s="174" t="str">
        <f ca="1">IF(AA111="","",AA111/D111)</f>
        <v/>
      </c>
      <c r="AB112" s="174" t="str">
        <f ca="1">IF(AB111="","",IF(E111="",(AB111-1)/1,AB111/E111))</f>
        <v/>
      </c>
      <c r="AC112" s="174">
        <f ca="1">IF(AC111="","",IF(D111="",(AC111-1)/1,AC111/D111))</f>
        <v>-0.529411764705882</v>
      </c>
      <c r="AD112" s="174" t="str">
        <f ca="1" t="shared" ref="AD112:AK112" si="113">IF(AD111="","",AD111/G111)</f>
        <v/>
      </c>
      <c r="AE112" s="174" t="e">
        <f ca="1" t="shared" si="113"/>
        <v>#VALUE!</v>
      </c>
      <c r="AF112" s="174">
        <f ca="1" t="shared" si="113"/>
        <v>-0.67741935483871</v>
      </c>
      <c r="AG112" s="174">
        <f ca="1" t="shared" si="113"/>
        <v>1.8</v>
      </c>
      <c r="AH112" s="174">
        <f ca="1" t="shared" si="113"/>
        <v>-0.547619047619048</v>
      </c>
      <c r="AI112" s="174" t="str">
        <f ca="1" t="shared" si="113"/>
        <v/>
      </c>
      <c r="AJ112" s="174" t="e">
        <f ca="1" t="shared" si="113"/>
        <v>#VALUE!</v>
      </c>
      <c r="AK112" s="174" t="str">
        <f ca="1" t="shared" si="113"/>
        <v/>
      </c>
    </row>
    <row r="113" ht="24.75" customHeight="1" spans="1:37">
      <c r="A113" s="182" t="s">
        <v>348</v>
      </c>
      <c r="B113" s="188" t="s">
        <v>373</v>
      </c>
      <c r="C113" s="183" t="s">
        <v>387</v>
      </c>
      <c r="D113" s="184">
        <f ca="1">IF('2025整理'!$S$1&gt;=DATE(2024,1,1),IF(COUNTIFS('2024数据'!$T$3:$T$152,"&gt;=2024-01-01",'2024数据'!$T$3:$T$152,"&lt;=2024-01-31")&gt;0,AVERAGEIFS('2024数据'!$V$3:$V$152,'2024数据'!$T$3:$T$152,"&gt;=2024-01-01",'2024数据'!$T$3:$T$152,"&lt;=2024-01-31"),""),"")</f>
        <v>32</v>
      </c>
      <c r="E113" s="184">
        <f ca="1">IF('2025整理'!$S$1&gt;=DATE(2024,2,1),IF(COUNTIFS('2024数据'!$T$3:$T$152,"&gt;=2024-02-01",'2024数据'!$T$3:$T$152,"&lt;=2024-02-28")&gt;0,AVERAGEIFS('2024数据'!$V$3:$V$152,'2024数据'!$T$3:$T$152,"&gt;=2024-02-01",'2024数据'!$T$3:$T$152,"&lt;=2024-02-28"),""),"")</f>
        <v>15.6666666666667</v>
      </c>
      <c r="F113" s="184">
        <f ca="1">IF('2025整理'!$S$1&gt;=DATE(2024,3,1),IF(COUNTIFS('2024数据'!$T$3:$T$152,"&gt;=2024-03-01",'2024数据'!$T$3:$T$152,"&lt;=2024-03-31")&gt;0,AVERAGEIFS('2024数据'!$V$3:$V$152,'2024数据'!$T$3:$T$152,"&gt;=2024-03-01",'2024数据'!$T$3:$T$152,"&lt;=2024-03-31"),""),"")</f>
        <v>10.4</v>
      </c>
      <c r="G113" s="184">
        <f ca="1">IF('2025整理'!$S$1&gt;=DATE(2024,4,1),IF(COUNTIFS('2024数据'!$T$3:$T$152,"&gt;=2024-04-01",'2024数据'!$T$3:$T$152,"&lt;=2024-04-30")&gt;0,AVERAGEIFS('2024数据'!$V$3:$V$152,'2024数据'!$T$3:$T$152,"&gt;=2024-04-01",'2024数据'!$T$3:$T$152,"&lt;=2024-04-30"),""),"")</f>
        <v>19.5</v>
      </c>
      <c r="H113" s="184">
        <f ca="1">IF('2025整理'!$S$1&gt;=DATE(2024,5,1),IF(COUNTIFS('2024数据'!$T$3:$T$152,"&gt;=2024-05-01",'2024数据'!$T$3:$T$152,"&lt;=2024-05-31")&gt;0,AVERAGEIFS('2024数据'!$V$3:$V$152,'2024数据'!$T$3:$T$152,"&gt;=2024-05-01",'2024数据'!$T$3:$T$152,"&lt;=2024-05-31"),""),"")</f>
        <v>28</v>
      </c>
      <c r="I113" s="184">
        <f ca="1">IF('2025整理'!$S$1&gt;=DATE(2024,6,1),IF(COUNTIFS('2024数据'!$T$3:$T$152,"&gt;=2024-06-01",'2024数据'!$T$3:$T$152,"&lt;=2024-06-30")&gt;0,AVERAGEIFS('2024数据'!$V$3:$V$152,'2024数据'!$T$3:$T$152,"&gt;=2024-06-01",'2024数据'!$T$3:$T$152,"&lt;=2024-06-30"),""),"")</f>
        <v>17.6666666666667</v>
      </c>
      <c r="J113" s="184">
        <f ca="1">IF('2025整理'!$S$1&gt;=DATE(2024,7,1),IF(COUNTIFS('2024数据'!$T$3:$T$152,"&gt;=2024-07-01",'2024数据'!$T$3:$T$152,"&lt;=2024-07-31")&gt;0,AVERAGEIFS('2024数据'!$V$3:$V$152,'2024数据'!$T$3:$T$152,"&gt;=2024-07-01",'2024数据'!$T$3:$T$152,"&lt;=2024-07-31"),""),"")</f>
        <v>8</v>
      </c>
      <c r="K113" s="184">
        <f ca="1">IF('2025整理'!$S$1&gt;=DATE(2024,8,1),IF(COUNTIFS('2024数据'!$T$3:$T$152,"&gt;=2024-08-01",'2024数据'!$T$3:$T$152,"&lt;=2024-08-31")&gt;0,AVERAGEIFS('2024数据'!$V$3:$V$152,'2024数据'!$T$3:$T$152,"&gt;=2024-08-01",'2024数据'!$T$3:$T$152,"&lt;=2024-08-31"),""),"")</f>
        <v>10</v>
      </c>
      <c r="L113" s="184">
        <f ca="1">IF('2025整理'!$S$1&gt;=DATE(2024,9,1),IF(COUNTIFS('2024数据'!$T$3:$T$152,"&gt;=2024-09-01",'2024数据'!$T$3:$T$152,"&lt;=2024-09-30")&gt;0,AVERAGEIFS('2024数据'!$V$3:$V$152,'2024数据'!$T$3:$T$152,"&gt;=2024-09-01",'2024数据'!$T$3:$T$152,"&lt;=2024-09-30"),""),"")</f>
        <v>6</v>
      </c>
      <c r="M113" s="184">
        <f ca="1">IF('2025整理'!$S$1&gt;=DATE(2024,10,1),IF(COUNTIFS('2024数据'!$T$3:$T$152,"&gt;=2024-10-01",'2024数据'!$T$3:$T$152,"&lt;=2024-10-31")&gt;0,AVERAGEIFS('2024数据'!$V$3:$V$152,'2024数据'!$T$3:$T$152,"&gt;=2024-10-01",'2024数据'!$T$3:$T$152,"&lt;=2024-10-31"),""),"")</f>
        <v>4.66666666666667</v>
      </c>
      <c r="N113" s="184">
        <f ca="1">IF('2025整理'!$S$1&gt;=DATE(2024,11,1),IF(COUNTIFS('2024数据'!$T$3:$T$152,"&gt;=2024-11-01",'2024数据'!$T$3:$T$152,"&lt;=2024-11-30")&gt;0,AVERAGEIFS('2024数据'!$V$3:$V$152,'2024数据'!$T$3:$T$152,"&gt;=2024-11-01",'2024数据'!$T$3:$T$152,"&lt;=2024-11-30"),""),"")</f>
        <v>16.75</v>
      </c>
      <c r="O113" s="184">
        <f ca="1">IF('2025整理'!$S$1&gt;=DATE(2024,12,1),IF(COUNTIFS('2024数据'!$T$3:$T$152,"&gt;=2024-12-01",'2024数据'!$T$3:$T$152,"&lt;=2024-12-31")&gt;0,AVERAGEIFS('2024数据'!$V$3:$V$152,'2024数据'!$T$3:$T$152,"&gt;=2024-12-01",'2024数据'!$T$3:$T$152,"&lt;=2024-12-31"),""),"")</f>
        <v>8.42857142857143</v>
      </c>
      <c r="W113" s="182" t="s">
        <v>348</v>
      </c>
      <c r="X113" s="163" t="s">
        <v>375</v>
      </c>
      <c r="Y113" s="163" t="s">
        <v>376</v>
      </c>
      <c r="Z113" s="195">
        <f ca="1" t="shared" ref="Z113:AK113" si="114">IF(D116="","",D116-D114)</f>
        <v>-22.2</v>
      </c>
      <c r="AA113" s="195">
        <f ca="1" t="shared" si="114"/>
        <v>-14.0571428571429</v>
      </c>
      <c r="AB113" s="195">
        <f ca="1" t="shared" si="114"/>
        <v>-8.63333333333333</v>
      </c>
      <c r="AC113" s="195">
        <f ca="1" t="shared" si="114"/>
        <v>-9.22727272727273</v>
      </c>
      <c r="AD113" s="195">
        <f ca="1" t="shared" si="114"/>
        <v>-9.86363636363636</v>
      </c>
      <c r="AE113" s="195">
        <f ca="1" t="shared" si="114"/>
        <v>-8.16666666666667</v>
      </c>
      <c r="AF113" s="195">
        <f ca="1" t="shared" si="114"/>
        <v>-5.85416666666667</v>
      </c>
      <c r="AG113" s="195">
        <f ca="1" t="shared" si="114"/>
        <v>-3.63602941176471</v>
      </c>
      <c r="AH113" s="195">
        <f ca="1" t="shared" si="114"/>
        <v>-2.81003861003861</v>
      </c>
      <c r="AI113" s="195">
        <f ca="1" t="shared" si="114"/>
        <v>-1.06892230576441</v>
      </c>
      <c r="AJ113" s="195">
        <f ca="1" t="shared" si="114"/>
        <v>-1.17441860465116</v>
      </c>
      <c r="AK113" s="195">
        <f ca="1" t="shared" si="114"/>
        <v>-0.576105442176869</v>
      </c>
    </row>
    <row r="114" ht="24.75" customHeight="1" spans="1:37">
      <c r="A114" s="182" t="s">
        <v>348</v>
      </c>
      <c r="B114" s="186" t="s">
        <v>373</v>
      </c>
      <c r="C114" s="186" t="s">
        <v>388</v>
      </c>
      <c r="D114" s="187">
        <f ca="1">IF('2025整理'!$S$1&gt;=DATE(2024,1,1),IF(COUNTIFS('2024数据'!$T$3:$T$152,"&gt;=2024-01-01",'2024数据'!$T$3:$T$152,"&lt;=2024-01-31")&gt;0,AVERAGEIFS('2024数据'!$V$3:$V$152,'2024数据'!$T$3:$T$152,"&gt;=2024-01-01",'2024数据'!$T$3:$T$152,"&lt;=2024-01-31"),""),"")</f>
        <v>32</v>
      </c>
      <c r="E114" s="187">
        <f ca="1">IF('2025整理'!$S$1&gt;=DATE(2024,2,1),IF(COUNTIFS('2024数据'!$T$3:$T$152,"&gt;=2024-01-01",'2024数据'!$T$3:$T$152,"&lt;=2024-02-28")&gt;0,AVERAGEIFS('2024数据'!$V$3:$V$152,'2024数据'!$T$3:$T$152,"&gt;=2024-01-01",'2024数据'!$T$3:$T$152,"&lt;=2024-02-28"),""),"")</f>
        <v>22.2</v>
      </c>
      <c r="F114" s="187">
        <f ca="1">IF('2025整理'!$S$1&gt;=DATE(2024,3,1),IF(COUNTIFS('2024数据'!$T$3:$T$152,"&gt;=2024-01-01",'2024数据'!$T$3:$T$152,"&lt;=2024-03-31")&gt;0,AVERAGEIFS('2024数据'!$V$3:$V$152,'2024数据'!$T$3:$T$152,"&gt;=2024-01-01",'2024数据'!$T$3:$T$152,"&lt;=2024-03-31"),""),"")</f>
        <v>16.3</v>
      </c>
      <c r="G114" s="187">
        <f ca="1">IF('2025整理'!$S$1&gt;=DATE(2024,4,1),IF(COUNTIFS('2024数据'!$T$3:$T$152,"&gt;=2024-01-01",'2024数据'!$T$3:$T$152,"&lt;=2024-04-30")&gt;0,AVERAGEIFS('2024数据'!$V$3:$V$152,'2024数据'!$T$3:$T$152,"&gt;=2024-01-01",'2024数据'!$T$3:$T$152,"&lt;=2024-04-30"),""),"")</f>
        <v>17.5</v>
      </c>
      <c r="H114" s="187">
        <f ca="1">IF('2025整理'!$S$1&gt;=DATE(2024,5,1),IF(COUNTIFS('2024数据'!$T$3:$T$152,"&gt;=2024-01-01",'2024数据'!$T$3:$T$152,"&lt;=2024-05-31")&gt;0,AVERAGEIFS('2024数据'!$V$3:$V$152,'2024数据'!$T$3:$T$152,"&gt;=2024-01-01",'2024数据'!$T$3:$T$152,"&lt;=2024-05-31"),""),"")</f>
        <v>20.3636363636364</v>
      </c>
      <c r="I114" s="187">
        <f ca="1">IF('2025整理'!$S$1&gt;=DATE(2024,6,1),IF(COUNTIFS('2024数据'!$T$3:$T$152,"&gt;=2024-01-01",'2024数据'!$T$3:$T$152,"&lt;=2024-06-30")&gt;0,AVERAGEIFS('2024数据'!$V$3:$V$152,'2024数据'!$T$3:$T$152,"&gt;=2024-01-01",'2024数据'!$T$3:$T$152,"&lt;=2024-06-30"),""),"")</f>
        <v>19.7857142857143</v>
      </c>
      <c r="J114" s="187">
        <f ca="1">IF('2025整理'!$S$1&gt;=DATE(2024,7,1),IF(COUNTIFS('2024数据'!$T$3:$T$152,"&gt;=2024-01-01",'2024数据'!$T$3:$T$152,"&lt;=2024-07-31")&gt;0,AVERAGEIFS('2024数据'!$V$3:$V$152,'2024数据'!$T$3:$T$152,"&gt;=2024-01-01",'2024数据'!$T$3:$T$152,"&lt;=2024-07-31"),""),"")</f>
        <v>18.3125</v>
      </c>
      <c r="K114" s="187">
        <f ca="1">IF('2025整理'!$S$1&gt;=DATE(2024,8,1),IF(COUNTIFS('2024数据'!$T$3:$T$152,"&gt;=2024-01-01",'2024数据'!$T$3:$T$152,"&lt;=2024-08-31")&gt;0,AVERAGEIFS('2024数据'!$V$3:$V$152,'2024数据'!$T$3:$T$152,"&gt;=2024-01-01",'2024数据'!$T$3:$T$152,"&lt;=2024-08-31"),""),"")</f>
        <v>17.8235294117647</v>
      </c>
      <c r="L114" s="187">
        <f ca="1">IF('2025整理'!$S$1&gt;=DATE(2024,9,1),IF(COUNTIFS('2024数据'!$T$3:$T$152,"&gt;=2024-01-01",'2024数据'!$T$3:$T$152,"&lt;=2024-09-30")&gt;0,AVERAGEIFS('2024数据'!$V$3:$V$152,'2024数据'!$T$3:$T$152,"&gt;=2024-01-01",'2024数据'!$T$3:$T$152,"&lt;=2024-09-30"),""),"")</f>
        <v>17.4857142857143</v>
      </c>
      <c r="M114" s="187">
        <f ca="1">IF('2025整理'!$S$1&gt;=DATE(2024,10,1),IF(COUNTIFS('2024数据'!$T$3:$T$152,"&gt;=2024-01-01",'2024数据'!$T$3:$T$152,"&lt;=2024-10-31")&gt;0,AVERAGEIFS('2024数据'!$V$3:$V$152,'2024数据'!$T$3:$T$152,"&gt;=2024-01-01",'2024数据'!$T$3:$T$152,"&lt;=2024-10-31"),""),"")</f>
        <v>16.4736842105263</v>
      </c>
      <c r="N114" s="187">
        <f ca="1">IF('2025整理'!$S$1&gt;=DATE(2024,11,1),IF(COUNTIFS('2024数据'!$T$3:$T$152,"&gt;=2024-01-01",'2024数据'!$T$3:$T$152,"&lt;=2024-11-30")&gt;0,AVERAGEIFS('2024数据'!$V$3:$V$152,'2024数据'!$T$3:$T$152,"&gt;=2024-01-01",'2024数据'!$T$3:$T$152,"&lt;=2024-11-30"),""),"")</f>
        <v>16.5</v>
      </c>
      <c r="O114" s="187">
        <f ca="1">IF('2025整理'!$S$1&gt;=DATE(2024,12,1),IF(COUNTIFS('2024数据'!$T$3:$T$152,"&gt;=2024-01-01",'2024数据'!$T$3:$T$152,"&lt;=2024-12-31")&gt;0,AVERAGEIFS('2024数据'!$V$3:$V$152,'2024数据'!$T$3:$T$152,"&gt;=2024-01-01",'2024数据'!$T$3:$T$152,"&lt;=2024-12-31"),""),"")</f>
        <v>15.3469387755102</v>
      </c>
      <c r="W114" s="182" t="s">
        <v>348</v>
      </c>
      <c r="X114" s="166" t="s">
        <v>375</v>
      </c>
      <c r="Y114" s="166" t="s">
        <v>378</v>
      </c>
      <c r="Z114" s="174">
        <f ca="1" t="shared" ref="Z114:AA114" si="115">IF(Z113="","",Z113/D114)</f>
        <v>-0.69375</v>
      </c>
      <c r="AA114" s="174">
        <f ca="1" t="shared" si="115"/>
        <v>-0.633204633204633</v>
      </c>
      <c r="AB114" s="174">
        <f ca="1" t="shared" ref="AB114:AK114" si="116">IF(AB113="","",IF(F114="",(AB113-1)/1,AB113/F114))</f>
        <v>-0.529652351738241</v>
      </c>
      <c r="AC114" s="174">
        <f ca="1" t="shared" si="116"/>
        <v>-0.527272727272727</v>
      </c>
      <c r="AD114" s="174">
        <f ca="1" t="shared" si="116"/>
        <v>-0.484375</v>
      </c>
      <c r="AE114" s="174">
        <f ca="1" t="shared" si="116"/>
        <v>-0.412755716004813</v>
      </c>
      <c r="AF114" s="174">
        <f ca="1" t="shared" si="116"/>
        <v>-0.319681456200227</v>
      </c>
      <c r="AG114" s="174">
        <f ca="1" t="shared" si="116"/>
        <v>-0.204001650165017</v>
      </c>
      <c r="AH114" s="174">
        <f ca="1" t="shared" si="116"/>
        <v>-0.160704822469528</v>
      </c>
      <c r="AI114" s="174">
        <f ca="1" t="shared" si="116"/>
        <v>-0.0648866575384147</v>
      </c>
      <c r="AJ114" s="174">
        <f ca="1" t="shared" si="116"/>
        <v>-0.0711768851303735</v>
      </c>
      <c r="AK114" s="174">
        <f ca="1" t="shared" si="116"/>
        <v>-0.0375387854609928</v>
      </c>
    </row>
    <row r="115" ht="24.75" customHeight="1" spans="1:37">
      <c r="A115" s="182" t="s">
        <v>348</v>
      </c>
      <c r="B115" s="188" t="s">
        <v>375</v>
      </c>
      <c r="C115" s="183" t="s">
        <v>387</v>
      </c>
      <c r="D115" s="191">
        <f ca="1">IF('2025整理'!$S$1&gt;=DATE(2025,1,1),IF(COUNTIFS('2025数据'!$T$3:$T$181,"&gt;=2025-01-01",'2025数据'!$T$3:$T$181,"&lt;=2025-01-31")&gt;0,AVERAGEIFS('2025数据'!$V$3:$V$181,'2025数据'!$T$3:$T$181,"&gt;=2025-01-01",'2025数据'!$T$3:$T$181,"&lt;=2025-01-31"),""),"")</f>
        <v>9.8</v>
      </c>
      <c r="E115" s="191">
        <f ca="1">IF('2025整理'!$S$1&gt;=DATE(2025,2,1),IF(COUNTIFS('2025数据'!$T$3:$T$181,"&gt;=2025-02-01",'2025数据'!$T$3:$T$181,"&lt;=2025-02-28")&gt;0,AVERAGEIFS('2025数据'!$V$3:$V$181,'2025数据'!$T$3:$T$181,"&gt;=2025-02-01",'2025数据'!$T$3:$T$181,"&lt;=2025-02-28"),""),"")</f>
        <v>4</v>
      </c>
      <c r="F115" s="191">
        <f ca="1">IF('2025整理'!$S$1&gt;=DATE(2025,3,1),IF(COUNTIFS('2025数据'!$T$3:$T$181,"&gt;=2025-03-01",'2025数据'!$T$3:$T$181,"&lt;=2025-03-31")&gt;0,AVERAGEIFS('2025数据'!$V$3:$V$181,'2025数据'!$T$3:$T$181,"&gt;=2025-03-01",'2025数据'!$T$3:$T$181,"&lt;=2025-03-31"),""),"")</f>
        <v>6</v>
      </c>
      <c r="G115" s="191">
        <f ca="1">IF('2025整理'!$S$1&gt;=DATE(2025,4,1),IF(COUNTIFS('2025数据'!$T$3:$T$181,"&gt;=2025-04-01",'2025数据'!$T$3:$T$181,"&lt;=2025-04-30")&gt;0,AVERAGEIFS('2025数据'!$V$3:$V$181,'2025数据'!$T$3:$T$181,"&gt;=2025-04-01",'2025数据'!$T$3:$T$181,"&lt;=2025-04-30"),""),"")</f>
        <v>11</v>
      </c>
      <c r="H115" s="191">
        <f ca="1">IF('2025整理'!$S$1&gt;=DATE(2025,5,1),IF(COUNTIFS('2025数据'!$T$3:$T$181,"&gt;=2025-05-01",'2025数据'!$T$3:$T$181,"&lt;=2025-05-31")&gt;0,AVERAGEIFS('2025数据'!$V$3:$V$181,'2025数据'!$T$3:$T$181,"&gt;=2025-05-01",'2025数据'!$T$3:$T$181,"&lt;=2025-05-31"),""),"")</f>
        <v>15.4</v>
      </c>
      <c r="I115" s="191">
        <f ca="1">IF('2025整理'!$S$1&gt;=DATE(2025,6,1),IF(COUNTIFS('2025数据'!$T$3:$T$181,"&gt;=2025-06-01",'2025数据'!$T$3:$T$181,"&lt;=2025-06-30")&gt;0,AVERAGEIFS('2025数据'!$V$3:$V$181,'2025数据'!$T$3:$T$181,"&gt;=2025-06-01",'2025数据'!$T$3:$T$181,"&lt;=2025-06-30"),""),"")</f>
        <v>15.2</v>
      </c>
      <c r="J115" s="191">
        <f ca="1">IF('2025整理'!$S$1&gt;=DATE(2025,7,1),IF(COUNTIFS('2025数据'!$T$3:$T$181,"&gt;=2025-07-01",'2025数据'!$T$3:$T$181,"&lt;=2025-07-31")&gt;0,AVERAGEIFS('2025数据'!$V$3:$V$181,'2025数据'!$T$3:$T$181,"&gt;=2025-07-01",'2025数据'!$T$3:$T$181,"&lt;=2025-07-31"),""),"")</f>
        <v>18.3333333333333</v>
      </c>
      <c r="K115" s="191">
        <f ca="1">IF('2025整理'!$S$1&gt;=DATE(2025,8,1),IF(COUNTIFS('2025数据'!$T$3:$T$181,"&gt;=2025-08-01",'2025数据'!$T$3:$T$181,"&lt;=2025-08-31")&gt;0,AVERAGEIFS('2025数据'!$V$3:$V$181,'2025数据'!$T$3:$T$181,"&gt;=2025-08-01",'2025数据'!$T$3:$T$181,"&lt;=2025-08-31"),""),"")</f>
        <v>19.375</v>
      </c>
      <c r="L115" s="191">
        <f ca="1">IF('2025整理'!$S$1&gt;=DATE(2025,9,1),IF(COUNTIFS('2025数据'!$T$3:$T$181,"&gt;=2025-09-01",'2025数据'!$T$3:$T$181,"&lt;=2025-09-30")&gt;0,AVERAGEIFS('2025数据'!$V$3:$V$181,'2025数据'!$T$3:$T$181,"&gt;=2025-09-01",'2025数据'!$T$3:$T$181,"&lt;=2025-09-30"),""),"")</f>
        <v>17.8</v>
      </c>
      <c r="M115" s="191">
        <f ca="1">IF('2025整理'!$S$1&gt;=DATE(2025,10,1),IF(COUNTIFS('2025数据'!$T$3:$T$181,"&gt;=2025-10-01",'2025数据'!$T$3:$T$181,"&lt;=2025-10-31")&gt;0,AVERAGEIFS('2025数据'!$V$3:$V$181,'2025数据'!$T$3:$T$181,"&gt;=2025-10-01",'2025数据'!$T$3:$T$181,"&lt;=2025-10-31"),""),"")</f>
        <v>20.8</v>
      </c>
      <c r="N115" s="191">
        <f ca="1">IF('2025整理'!$S$1&gt;=DATE(2025,11,1),IF(COUNTIFS('2025数据'!$T$3:$T$181,"&gt;=2025-11-01",'2025数据'!$T$3:$T$181,"&lt;=2025-11-30")&gt;0,AVERAGEIFS('2025数据'!$V$3:$V$181,'2025数据'!$T$3:$T$181,"&gt;=2025-11-01",'2025数据'!$T$3:$T$181,"&lt;=2025-11-30"),""),"")</f>
        <v>12</v>
      </c>
      <c r="O115" s="191">
        <f ca="1">IF('2025整理'!$S$1&gt;=DATE(2025,12,1),IF(COUNTIFS('2025数据'!$T$3:$T$181,"&gt;=2025-12-01",'2025数据'!$T$3:$T$181,"&lt;=2025-12-31")&gt;0,AVERAGEIFS('2025数据'!$V$3:$V$181,'2025数据'!$T$3:$T$181,"&gt;=2025-12-01",'2025数据'!$T$3:$T$181,"&lt;=2025-12-31"),""),"")</f>
        <v>10</v>
      </c>
      <c r="T115" s="194"/>
      <c r="W115" s="182" t="s">
        <v>348</v>
      </c>
      <c r="X115" s="168" t="s">
        <v>375</v>
      </c>
      <c r="Y115" s="168" t="s">
        <v>379</v>
      </c>
      <c r="Z115" s="195">
        <f ca="1">IF(D115="","",D115-O113)</f>
        <v>1.37142857142857</v>
      </c>
      <c r="AA115" s="195">
        <f ca="1" t="shared" ref="AA115:AK115" si="117">IF(E115="","",E115-D115)</f>
        <v>-5.8</v>
      </c>
      <c r="AB115" s="195">
        <f ca="1" t="shared" si="117"/>
        <v>2</v>
      </c>
      <c r="AC115" s="195">
        <f ca="1" t="shared" si="117"/>
        <v>5</v>
      </c>
      <c r="AD115" s="195">
        <f ca="1" t="shared" si="117"/>
        <v>4.4</v>
      </c>
      <c r="AE115" s="195">
        <f ca="1" t="shared" si="117"/>
        <v>-0.200000000000001</v>
      </c>
      <c r="AF115" s="195">
        <f ca="1" t="shared" si="117"/>
        <v>3.13333333333333</v>
      </c>
      <c r="AG115" s="195">
        <f ca="1" t="shared" si="117"/>
        <v>1.04166666666667</v>
      </c>
      <c r="AH115" s="195">
        <f ca="1" t="shared" si="117"/>
        <v>-1.575</v>
      </c>
      <c r="AI115" s="195">
        <f ca="1" t="shared" si="117"/>
        <v>3</v>
      </c>
      <c r="AJ115" s="195">
        <f ca="1" t="shared" si="117"/>
        <v>-8.8</v>
      </c>
      <c r="AK115" s="195">
        <f ca="1" t="shared" si="117"/>
        <v>-2</v>
      </c>
    </row>
    <row r="116" ht="24.75" customHeight="1" spans="1:37">
      <c r="A116" s="182" t="s">
        <v>348</v>
      </c>
      <c r="B116" s="186" t="s">
        <v>375</v>
      </c>
      <c r="C116" s="186" t="s">
        <v>388</v>
      </c>
      <c r="D116" s="192">
        <f ca="1">IF('2025整理'!$S$1&gt;=DATE(2025,1,1),IF(COUNTIFS('2025数据'!$T$3:$T$181,"&gt;=2025-01-01",'2025数据'!$T$3:$T$181,"&lt;=2025-01-31")&gt;0,AVERAGEIFS('2025数据'!$V$3:$V$181,'2025数据'!$T$3:$T$181,"&gt;=2025-01-01",'2025数据'!$T$3:$T$181,"&lt;=2025-01-31"),""),"")</f>
        <v>9.8</v>
      </c>
      <c r="E116" s="192">
        <f ca="1">IF('2025整理'!$S$1&gt;=DATE(2025,2,1),IF(COUNTIFS('2025数据'!$T$3:$T$181,"&gt;=2025-01-01",'2025数据'!$T$3:$T$181,"&lt;=2025-02-28")&gt;0,AVERAGEIFS('2025数据'!$V$3:$V$181,'2025数据'!$T$3:$T$181,"&gt;=2025-01-01",'2025数据'!$T$3:$T$181,"&lt;=2025-02-28"),""),"")</f>
        <v>8.14285714285714</v>
      </c>
      <c r="F116" s="192">
        <f ca="1">IF('2025整理'!$S$1&gt;=DATE(2025,3,1),IF(COUNTIFS('2025数据'!$T$3:$T$181,"&gt;=2025-01-01",'2025数据'!$T$3:$T$181,"&lt;=2025-03-31")&gt;0,AVERAGEIFS('2025数据'!$V$3:$V$181,'2025数据'!$T$3:$T$181,"&gt;=2025-01-01",'2025数据'!$T$3:$T$181,"&lt;=2025-03-31"),""),"")</f>
        <v>7.66666666666667</v>
      </c>
      <c r="G116" s="192">
        <f ca="1">IF('2025整理'!$S$1&gt;=DATE(2025,4,1),IF(COUNTIFS('2025数据'!$T$3:$T$181,"&gt;=2025-01-01",'2025数据'!$T$3:$T$181,"&lt;=2025-04-30")&gt;0,AVERAGEIFS('2025数据'!$V$3:$V$181,'2025数据'!$T$3:$T$181,"&gt;=2025-01-01",'2025数据'!$T$3:$T$181,"&lt;=2025-04-30"),""),"")</f>
        <v>8.27272727272727</v>
      </c>
      <c r="H116" s="192">
        <f ca="1">IF('2025整理'!$S$1&gt;=DATE(2025,5,1),IF(COUNTIFS('2025数据'!$T$3:$T$181,"&gt;=2025-01-01",'2025数据'!$T$3:$T$181,"&lt;=2025-05-31")&gt;0,AVERAGEIFS('2025数据'!$V$3:$V$181,'2025数据'!$T$3:$T$181,"&gt;=2025-01-01",'2025数据'!$T$3:$T$181,"&lt;=2025-05-31"),""),"")</f>
        <v>10.5</v>
      </c>
      <c r="I116" s="192">
        <f ca="1">IF('2025整理'!$S$1&gt;=DATE(2025,6,1),IF(COUNTIFS('2025数据'!$T$3:$T$181,"&gt;=2025-01-01",'2025数据'!$T$3:$T$181,"&lt;=2025-06-30")&gt;0,AVERAGEIFS('2025数据'!$V$3:$V$181,'2025数据'!$T$3:$T$181,"&gt;=2025-01-01",'2025数据'!$T$3:$T$181,"&lt;=2025-06-30"),""),"")</f>
        <v>11.6190476190476</v>
      </c>
      <c r="J116" s="192">
        <f ca="1">IF('2025整理'!$S$1&gt;=DATE(2025,7,1),IF(COUNTIFS('2025数据'!$T$3:$T$181,"&gt;=2025-01-01",'2025数据'!$T$3:$T$181,"&lt;=2025-07-31")&gt;0,AVERAGEIFS('2025数据'!$V$3:$V$181,'2025数据'!$T$3:$T$181,"&gt;=2025-01-01",'2025数据'!$T$3:$T$181,"&lt;=2025-07-31"),""),"")</f>
        <v>12.4583333333333</v>
      </c>
      <c r="K116" s="192">
        <f ca="1">IF('2025整理'!$S$1&gt;=DATE(2025,8,1),IF(COUNTIFS('2025数据'!$T$3:$T$181,"&gt;=2025-01-01",'2025数据'!$T$3:$T$181,"&lt;=2025-08-31")&gt;0,AVERAGEIFS('2025数据'!$V$3:$V$181,'2025数据'!$T$3:$T$181,"&gt;=2025-01-01",'2025数据'!$T$3:$T$181,"&lt;=2025-08-31"),""),"")</f>
        <v>14.1875</v>
      </c>
      <c r="L116" s="192">
        <f ca="1">IF('2025整理'!$S$1&gt;=DATE(2025,9,1),IF(COUNTIFS('2025数据'!$T$3:$T$181,"&gt;=2025-01-01",'2025数据'!$T$3:$T$181,"&lt;=2025-09-30")&gt;0,AVERAGEIFS('2025数据'!$V$3:$V$181,'2025数据'!$T$3:$T$181,"&gt;=2025-01-01",'2025数据'!$T$3:$T$181,"&lt;=2025-09-30"),""),"")</f>
        <v>14.6756756756757</v>
      </c>
      <c r="M116" s="192">
        <f ca="1">IF('2025整理'!$S$1&gt;=DATE(2025,10,1),IF(COUNTIFS('2025数据'!$T$3:$T$181,"&gt;=2025-01-01",'2025数据'!$T$3:$T$181,"&lt;=2025-10-31")&gt;0,AVERAGEIFS('2025数据'!$V$3:$V$181,'2025数据'!$T$3:$T$181,"&gt;=2025-01-01",'2025数据'!$T$3:$T$181,"&lt;=2025-10-31"),""),"")</f>
        <v>15.4047619047619</v>
      </c>
      <c r="N116" s="192">
        <f ca="1">IF('2025整理'!$S$1&gt;=DATE(2025,11,1),IF(COUNTIFS('2025数据'!$T$3:$T$181,"&gt;=2025-01-01",'2025数据'!$T$3:$T$181,"&lt;=2025-11-30")&gt;0,AVERAGEIFS('2025数据'!$V$3:$V$181,'2025数据'!$T$3:$T$181,"&gt;=2025-01-01",'2025数据'!$T$3:$T$181,"&lt;=2025-11-30"),""),"")</f>
        <v>15.3255813953488</v>
      </c>
      <c r="O116" s="192">
        <f ca="1">IF('2025整理'!$S$1&gt;=DATE(2025,12,1),IF(COUNTIFS('2025数据'!$T$3:$T$181,"&gt;=2025-01-01",'2025数据'!$T$3:$T$181,"&lt;=2025-12-31")&gt;0,AVERAGEIFS('2025数据'!$V$3:$V$181,'2025数据'!$T$3:$T$181,"&gt;=2025-01-01",'2025数据'!$T$3:$T$181,"&lt;=2025-12-31"),""),"")</f>
        <v>14.7708333333333</v>
      </c>
      <c r="T116" s="194"/>
      <c r="W116" s="182" t="s">
        <v>348</v>
      </c>
      <c r="X116" s="166" t="s">
        <v>375</v>
      </c>
      <c r="Y116" s="166" t="s">
        <v>380</v>
      </c>
      <c r="Z116" s="174">
        <f ca="1">IF(Z115="","",Z115/O113)</f>
        <v>0.16271186440678</v>
      </c>
      <c r="AA116" s="174">
        <f ca="1">IF(AA115="","",AA115/D115)</f>
        <v>-0.591836734693878</v>
      </c>
      <c r="AB116" s="174">
        <f ca="1">IF(AB115="","",IF(E115="",(AB115-1)/1,AB115/E115))</f>
        <v>0.5</v>
      </c>
      <c r="AC116" s="174">
        <f ca="1" t="shared" ref="AC116:AK116" si="118">IF(AC115="","",AC115/F115)</f>
        <v>0.833333333333333</v>
      </c>
      <c r="AD116" s="174">
        <f ca="1" t="shared" si="118"/>
        <v>0.4</v>
      </c>
      <c r="AE116" s="174">
        <f ca="1" t="shared" si="118"/>
        <v>-0.0129870129870131</v>
      </c>
      <c r="AF116" s="174">
        <f ca="1" t="shared" si="118"/>
        <v>0.206140350877193</v>
      </c>
      <c r="AG116" s="174">
        <f ca="1" t="shared" si="118"/>
        <v>0.0568181818181819</v>
      </c>
      <c r="AH116" s="174">
        <f ca="1" t="shared" si="118"/>
        <v>-0.0812903225806451</v>
      </c>
      <c r="AI116" s="174">
        <f ca="1" t="shared" si="118"/>
        <v>0.168539325842697</v>
      </c>
      <c r="AJ116" s="174">
        <f ca="1" t="shared" si="118"/>
        <v>-0.423076923076923</v>
      </c>
      <c r="AK116" s="174">
        <f ca="1" t="shared" si="118"/>
        <v>-0.166666666666667</v>
      </c>
    </row>
    <row r="117" ht="24.75" customHeight="1" spans="1:37">
      <c r="A117" s="182" t="s">
        <v>349</v>
      </c>
      <c r="B117" s="188" t="s">
        <v>373</v>
      </c>
      <c r="C117" s="183" t="s">
        <v>387</v>
      </c>
      <c r="D117" s="184">
        <f ca="1">IF('2025整理'!$S$1&gt;=DATE(2024,1,1),IF(COUNTIFS('2024数据'!$X$3:$X$152,"&gt;=2024-01-01",'2024数据'!$X$3:$X$152,"&lt;=2024-01-31")&gt;0,AVERAGEIFS('2024数据'!$Z$3:$Z$152,'2024数据'!$X$3:$X$152,"&gt;=2024-01-01",'2024数据'!$X$3:$X$152,"&lt;=2024-01-31"),""),"")</f>
        <v>15.5</v>
      </c>
      <c r="E117" s="184" t="str">
        <f ca="1">IF('2025整理'!$S$1&gt;=DATE(2024,2,1),IF(COUNTIFS('2024数据'!$X$3:$X$152,"&gt;=2024-02-01",'2024数据'!$X$3:$X$152,"&lt;=2024-02-28")&gt;0,AVERAGEIFS('2024数据'!$Z$3:$Z$152,'2024数据'!$X$3:$X$152,"&gt;=2024-02-01",'2024数据'!$X$3:$X$152,"&lt;=2024-02-28"),""),"")</f>
        <v/>
      </c>
      <c r="F117" s="184" t="str">
        <f ca="1">IF('2025整理'!$S$1&gt;=DATE(2024,3,1),IF(COUNTIFS('2024数据'!$X$3:$X$152,"&gt;=2024-03-01",'2024数据'!$X$3:$X$152,"&lt;=2024-03-31")&gt;0,AVERAGEIFS('2024数据'!$Z$3:$Z$152,'2024数据'!$X$3:$X$152,"&gt;=2024-03-01",'2024数据'!$X$3:$X$152,"&lt;=2024-03-31"),""),"")</f>
        <v/>
      </c>
      <c r="G117" s="184" t="str">
        <f ca="1">IF('2025整理'!$S$1&gt;=DATE(2024,4,1),IF(COUNTIFS('2024数据'!$X$3:$X$152,"&gt;=2024-04-01",'2024数据'!$X$3:$X$152,"&lt;=2024-04-30")&gt;0,AVERAGEIFS('2024数据'!$Z$3:$Z$152,'2024数据'!$X$3:$X$152,"&gt;=2024-04-01",'2024数据'!$X$3:$X$152,"&lt;=2024-04-30"),""),"")</f>
        <v/>
      </c>
      <c r="H117" s="184">
        <f ca="1">IF('2025整理'!$S$1&gt;=DATE(2024,5,1),IF(COUNTIFS('2024数据'!$X$3:$X$152,"&gt;=2024-05-01",'2024数据'!$X$3:$X$152,"&lt;=2024-05-31")&gt;0,AVERAGEIFS('2024数据'!$Z$3:$Z$152,'2024数据'!$X$3:$X$152,"&gt;=2024-05-01",'2024数据'!$X$3:$X$152,"&lt;=2024-05-31"),""),"")</f>
        <v>85</v>
      </c>
      <c r="I117" s="184" t="str">
        <f ca="1">IF('2025整理'!$S$1&gt;=DATE(2024,6,1),IF(COUNTIFS('2024数据'!$X$3:$X$152,"&gt;=2024-06-01",'2024数据'!$X$3:$X$152,"&lt;=2024-06-30")&gt;0,AVERAGEIFS('2024数据'!$Z$3:$Z$152,'2024数据'!$X$3:$X$152,"&gt;=2024-06-01",'2024数据'!$X$3:$X$152,"&lt;=2024-06-30"),""),"")</f>
        <v/>
      </c>
      <c r="J117" s="184">
        <f ca="1">IF('2025整理'!$S$1&gt;=DATE(2024,7,1),IF(COUNTIFS('2024数据'!$X$3:$X$152,"&gt;=2024-07-01",'2024数据'!$X$3:$X$152,"&lt;=2024-07-31")&gt;0,AVERAGEIFS('2024数据'!$Z$3:$Z$152,'2024数据'!$X$3:$X$152,"&gt;=2024-07-01",'2024数据'!$X$3:$X$152,"&lt;=2024-07-31"),""),"")</f>
        <v>4</v>
      </c>
      <c r="K117" s="184" t="str">
        <f ca="1">IF('2025整理'!$S$1&gt;=DATE(2024,8,1),IF(COUNTIFS('2024数据'!$X$3:$X$152,"&gt;=2024-08-01",'2024数据'!$X$3:$X$152,"&lt;=2024-08-31")&gt;0,AVERAGEIFS('2024数据'!$Z$3:$Z$152,'2024数据'!$X$3:$X$152,"&gt;=2024-08-01",'2024数据'!$X$3:$X$152,"&lt;=2024-08-31"),""),"")</f>
        <v/>
      </c>
      <c r="L117" s="184" t="str">
        <f ca="1">IF('2025整理'!$S$1&gt;=DATE(2024,9,1),IF(COUNTIFS('2024数据'!$X$3:$X$152,"&gt;=2024-09-01",'2024数据'!$X$3:$X$152,"&lt;=2024-09-30")&gt;0,AVERAGEIFS('2024数据'!$Z$3:$Z$152,'2024数据'!$X$3:$X$152,"&gt;=2024-09-01",'2024数据'!$X$3:$X$152,"&lt;=2024-09-30"),""),"")</f>
        <v/>
      </c>
      <c r="M117" s="184" t="str">
        <f ca="1">IF('2025整理'!$S$1&gt;=DATE(2024,10,1),IF(COUNTIFS('2024数据'!$X$3:$X$152,"&gt;=2024-10-01",'2024数据'!$X$3:$X$152,"&lt;=2024-10-31")&gt;0,AVERAGEIFS('2024数据'!$Z$3:$Z$152,'2024数据'!$X$3:$X$152,"&gt;=2024-10-01",'2024数据'!$X$3:$X$152,"&lt;=2024-10-31"),""),"")</f>
        <v/>
      </c>
      <c r="N117" s="184" t="str">
        <f ca="1">IF('2025整理'!$S$1&gt;=DATE(2024,11,1),IF(COUNTIFS('2024数据'!$X$3:$X$152,"&gt;=2024-11-01",'2024数据'!$X$3:$X$152,"&lt;=2024-11-30")&gt;0,AVERAGEIFS('2024数据'!$Z$3:$Z$152,'2024数据'!$X$3:$X$152,"&gt;=2024-11-01",'2024数据'!$X$3:$X$152,"&lt;=2024-11-30"),""),"")</f>
        <v/>
      </c>
      <c r="O117" s="184">
        <f ca="1">IF('2025整理'!$S$1&gt;=DATE(2024,12,1),IF(COUNTIFS('2024数据'!$X$3:$X$152,"&gt;=2024-12-01",'2024数据'!$X$3:$X$152,"&lt;=2024-12-31")&gt;0,AVERAGEIFS('2024数据'!$Z$3:$Z$152,'2024数据'!$X$3:$X$152,"&gt;=2024-12-01",'2024数据'!$X$3:$X$152,"&lt;=2024-12-31"),""),"")</f>
        <v>2</v>
      </c>
      <c r="W117" s="182" t="s">
        <v>349</v>
      </c>
      <c r="X117" s="163" t="s">
        <v>375</v>
      </c>
      <c r="Y117" s="163" t="s">
        <v>376</v>
      </c>
      <c r="Z117" s="195" t="str">
        <f ca="1" t="shared" ref="Z117:AK117" si="119">IF(D120="","",D120-D118)</f>
        <v/>
      </c>
      <c r="AA117" s="195" t="str">
        <f ca="1" t="shared" si="119"/>
        <v/>
      </c>
      <c r="AB117" s="195">
        <f ca="1" t="shared" si="119"/>
        <v>-6.5</v>
      </c>
      <c r="AC117" s="195">
        <f ca="1" t="shared" si="119"/>
        <v>-6.5</v>
      </c>
      <c r="AD117" s="195">
        <f ca="1" t="shared" si="119"/>
        <v>-29.6666666666667</v>
      </c>
      <c r="AE117" s="195">
        <f ca="1" t="shared" si="119"/>
        <v>-29.6666666666667</v>
      </c>
      <c r="AF117" s="195">
        <f ca="1" t="shared" si="119"/>
        <v>-19.8</v>
      </c>
      <c r="AG117" s="195">
        <f ca="1" t="shared" si="119"/>
        <v>-21.3</v>
      </c>
      <c r="AH117" s="195">
        <f ca="1" t="shared" si="119"/>
        <v>-21.4666666666667</v>
      </c>
      <c r="AI117" s="195">
        <f ca="1" t="shared" si="119"/>
        <v>-21.55</v>
      </c>
      <c r="AJ117" s="195">
        <f ca="1" t="shared" si="119"/>
        <v>-20.6888888888889</v>
      </c>
      <c r="AK117" s="195">
        <f ca="1" t="shared" si="119"/>
        <v>-14.1746031746032</v>
      </c>
    </row>
    <row r="118" ht="24.75" customHeight="1" spans="1:37">
      <c r="A118" s="185" t="s">
        <v>349</v>
      </c>
      <c r="B118" s="186" t="s">
        <v>373</v>
      </c>
      <c r="C118" s="186" t="s">
        <v>388</v>
      </c>
      <c r="D118" s="187">
        <f ca="1">IF('2025整理'!$S$1&gt;=DATE(2024,1,1),IF(COUNTIFS('2024数据'!$X$3:$X$152,"&gt;=2024-01-01",'2024数据'!$X$3:$X$152,"&lt;=2024-01-31")&gt;0,AVERAGEIFS('2024数据'!$Z$3:$Z$152,'2024数据'!$X$3:$X$152,"&gt;=2024-01-01",'2024数据'!$X$3:$X$152,"&lt;=2024-01-31"),""),"")</f>
        <v>15.5</v>
      </c>
      <c r="E118" s="187">
        <f ca="1">IF('2025整理'!$S$1&gt;=DATE(2024,2,1),IF(COUNTIFS('2024数据'!$X$3:$X$152,"&gt;=2024-01-01",'2024数据'!$X$3:$X$152,"&lt;=2024-02-28")&gt;0,AVERAGEIFS('2024数据'!$Z$3:$Z$152,'2024数据'!$X$3:$X$152,"&gt;=2024-01-01",'2024数据'!$X$3:$X$152,"&lt;=2024-02-28"),""),"")</f>
        <v>15.5</v>
      </c>
      <c r="F118" s="187">
        <f ca="1">IF('2025整理'!$S$1&gt;=DATE(2024,3,1),IF(COUNTIFS('2024数据'!$X$3:$X$152,"&gt;=2024-01-01",'2024数据'!$X$3:$X$152,"&lt;=2024-03-31")&gt;0,AVERAGEIFS('2024数据'!$Z$3:$Z$152,'2024数据'!$X$3:$X$152,"&gt;=2024-01-01",'2024数据'!$X$3:$X$152,"&lt;=2024-03-31"),""),"")</f>
        <v>15.5</v>
      </c>
      <c r="G118" s="187">
        <f ca="1">IF('2025整理'!$S$1&gt;=DATE(2024,4,1),IF(COUNTIFS('2024数据'!$X$3:$X$152,"&gt;=2024-01-01",'2024数据'!$X$3:$X$152,"&lt;=2024-04-30")&gt;0,AVERAGEIFS('2024数据'!$Z$3:$Z$152,'2024数据'!$X$3:$X$152,"&gt;=2024-01-01",'2024数据'!$X$3:$X$152,"&lt;=2024-04-30"),""),"")</f>
        <v>15.5</v>
      </c>
      <c r="H118" s="187">
        <f ca="1">IF('2025整理'!$S$1&gt;=DATE(2024,5,1),IF(COUNTIFS('2024数据'!$X$3:$X$152,"&gt;=2024-01-01",'2024数据'!$X$3:$X$152,"&lt;=2024-05-31")&gt;0,AVERAGEIFS('2024数据'!$Z$3:$Z$152,'2024数据'!$X$3:$X$152,"&gt;=2024-01-01",'2024数据'!$X$3:$X$152,"&lt;=2024-05-31"),""),"")</f>
        <v>38.6666666666667</v>
      </c>
      <c r="I118" s="187">
        <f ca="1">IF('2025整理'!$S$1&gt;=DATE(2024,6,1),IF(COUNTIFS('2024数据'!$X$3:$X$152,"&gt;=2024-01-01",'2024数据'!$X$3:$X$152,"&lt;=2024-06-30")&gt;0,AVERAGEIFS('2024数据'!$Z$3:$Z$152,'2024数据'!$X$3:$X$152,"&gt;=2024-01-01",'2024数据'!$X$3:$X$152,"&lt;=2024-06-30"),""),"")</f>
        <v>38.6666666666667</v>
      </c>
      <c r="J118" s="187">
        <f ca="1">IF('2025整理'!$S$1&gt;=DATE(2024,7,1),IF(COUNTIFS('2024数据'!$X$3:$X$152,"&gt;=2024-01-01",'2024数据'!$X$3:$X$152,"&lt;=2024-07-31")&gt;0,AVERAGEIFS('2024数据'!$Z$3:$Z$152,'2024数据'!$X$3:$X$152,"&gt;=2024-01-01",'2024数据'!$X$3:$X$152,"&lt;=2024-07-31"),""),"")</f>
        <v>24.8</v>
      </c>
      <c r="K118" s="187">
        <f ca="1">IF('2025整理'!$S$1&gt;=DATE(2024,8,1),IF(COUNTIFS('2024数据'!$X$3:$X$152,"&gt;=2024-01-01",'2024数据'!$X$3:$X$152,"&lt;=2024-08-31")&gt;0,AVERAGEIFS('2024数据'!$Z$3:$Z$152,'2024数据'!$X$3:$X$152,"&gt;=2024-01-01",'2024数据'!$X$3:$X$152,"&lt;=2024-08-31"),""),"")</f>
        <v>24.8</v>
      </c>
      <c r="L118" s="187">
        <f ca="1">IF('2025整理'!$S$1&gt;=DATE(2024,9,1),IF(COUNTIFS('2024数据'!$X$3:$X$152,"&gt;=2024-01-01",'2024数据'!$X$3:$X$152,"&lt;=2024-09-30")&gt;0,AVERAGEIFS('2024数据'!$Z$3:$Z$152,'2024数据'!$X$3:$X$152,"&gt;=2024-01-01",'2024数据'!$X$3:$X$152,"&lt;=2024-09-30"),""),"")</f>
        <v>24.8</v>
      </c>
      <c r="M118" s="187">
        <f ca="1">IF('2025整理'!$S$1&gt;=DATE(2024,10,1),IF(COUNTIFS('2024数据'!$X$3:$X$152,"&gt;=2024-01-01",'2024数据'!$X$3:$X$152,"&lt;=2024-10-31")&gt;0,AVERAGEIFS('2024数据'!$Z$3:$Z$152,'2024数据'!$X$3:$X$152,"&gt;=2024-01-01",'2024数据'!$X$3:$X$152,"&lt;=2024-10-31"),""),"")</f>
        <v>24.8</v>
      </c>
      <c r="N118" s="187">
        <f ca="1">IF('2025整理'!$S$1&gt;=DATE(2024,11,1),IF(COUNTIFS('2024数据'!$X$3:$X$152,"&gt;=2024-01-01",'2024数据'!$X$3:$X$152,"&lt;=2024-11-30")&gt;0,AVERAGEIFS('2024数据'!$Z$3:$Z$152,'2024数据'!$X$3:$X$152,"&gt;=2024-01-01",'2024数据'!$X$3:$X$152,"&lt;=2024-11-30"),""),"")</f>
        <v>24.8</v>
      </c>
      <c r="O118" s="187">
        <f ca="1">IF('2025整理'!$S$1&gt;=DATE(2024,12,1),IF(COUNTIFS('2024数据'!$X$3:$X$152,"&gt;=2024-01-01",'2024数据'!$X$3:$X$152,"&lt;=2024-12-31")&gt;0,AVERAGEIFS('2024数据'!$Z$3:$Z$152,'2024数据'!$X$3:$X$152,"&gt;=2024-01-01",'2024数据'!$X$3:$X$152,"&lt;=2024-12-31"),""),"")</f>
        <v>18.2857142857143</v>
      </c>
      <c r="W118" s="185" t="s">
        <v>349</v>
      </c>
      <c r="X118" s="166" t="s">
        <v>375</v>
      </c>
      <c r="Y118" s="166" t="s">
        <v>378</v>
      </c>
      <c r="Z118" s="174" t="str">
        <f ca="1" t="shared" ref="Z118:AA118" si="120">IF(Z117="","",Z117/D118)</f>
        <v/>
      </c>
      <c r="AA118" s="174" t="str">
        <f ca="1" t="shared" si="120"/>
        <v/>
      </c>
      <c r="AB118" s="174">
        <f ca="1" t="shared" ref="AB118:AK118" si="121">IF(AB117="","",IF(F118="",(AB117-1)/1,AB117/F118))</f>
        <v>-0.419354838709677</v>
      </c>
      <c r="AC118" s="174">
        <f ca="1" t="shared" si="121"/>
        <v>-0.419354838709677</v>
      </c>
      <c r="AD118" s="174">
        <f ca="1" t="shared" si="121"/>
        <v>-0.767241379310345</v>
      </c>
      <c r="AE118" s="174">
        <f ca="1" t="shared" si="121"/>
        <v>-0.767241379310345</v>
      </c>
      <c r="AF118" s="174">
        <f ca="1" t="shared" si="121"/>
        <v>-0.798387096774194</v>
      </c>
      <c r="AG118" s="174">
        <f ca="1" t="shared" si="121"/>
        <v>-0.858870967741935</v>
      </c>
      <c r="AH118" s="174">
        <f ca="1" t="shared" si="121"/>
        <v>-0.865591397849462</v>
      </c>
      <c r="AI118" s="174">
        <f ca="1" t="shared" si="121"/>
        <v>-0.868951612903226</v>
      </c>
      <c r="AJ118" s="174">
        <f ca="1" t="shared" si="121"/>
        <v>-0.834229390681004</v>
      </c>
      <c r="AK118" s="174">
        <f ca="1" t="shared" si="121"/>
        <v>-0.775173611111111</v>
      </c>
    </row>
    <row r="119" ht="24.75" customHeight="1" spans="1:37">
      <c r="A119" s="185" t="s">
        <v>349</v>
      </c>
      <c r="B119" s="188" t="s">
        <v>375</v>
      </c>
      <c r="C119" s="183" t="s">
        <v>387</v>
      </c>
      <c r="D119" s="191" t="str">
        <f ca="1">IF('2025整理'!$S$1&gt;=DATE(2025,1,1),IF(COUNTIFS('2025数据'!$X$3:$X$181,"&gt;=2025-01-01",'2025数据'!$X$3:$X$181,"&lt;=2025-01-31")&gt;0,AVERAGEIFS('2025数据'!$Z$3:$Z$181,'2025数据'!$X$3:$X$181,"&gt;=2025-01-01",'2025数据'!$X$3:$X$181,"&lt;=2025-01-31"),""),"")</f>
        <v/>
      </c>
      <c r="E119" s="191" t="str">
        <f ca="1">IF('2025整理'!$S$1&gt;=DATE(2025,2,1),IF(COUNTIFS('2025数据'!$X$3:$X$181,"&gt;=2025-02-01",'2025数据'!$X$3:$X$181,"&lt;=2025-02-28")&gt;0,AVERAGEIFS('2025数据'!$Z$3:$Z$181,'2025数据'!$X$3:$X$181,"&gt;=2025-02-01",'2025数据'!$X$3:$X$181,"&lt;=2025-02-28"),""),"")</f>
        <v/>
      </c>
      <c r="F119" s="191">
        <f ca="1">IF('2025整理'!$S$1&gt;=DATE(2025,3,1),IF(COUNTIFS('2025数据'!$X$3:$X$181,"&gt;=2025-03-01",'2025数据'!$X$3:$X$181,"&lt;=2025-03-31")&gt;0,AVERAGEIFS('2025数据'!$Z$3:$Z$181,'2025数据'!$X$3:$X$181,"&gt;=2025-03-01",'2025数据'!$X$3:$X$181,"&lt;=2025-03-31"),""),"")</f>
        <v>9</v>
      </c>
      <c r="G119" s="191" t="str">
        <f ca="1">IF('2025整理'!$S$1&gt;=DATE(2025,4,1),IF(COUNTIFS('2025数据'!$X$3:$X$181,"&gt;=2025-04-01",'2025数据'!$X$3:$X$181,"&lt;=2025-04-30")&gt;0,AVERAGEIFS('2025数据'!$Z$3:$Z$181,'2025数据'!$X$3:$X$181,"&gt;=2025-04-01",'2025数据'!$X$3:$X$181,"&lt;=2025-04-30"),""),"")</f>
        <v/>
      </c>
      <c r="H119" s="191" t="str">
        <f ca="1">IF('2025整理'!$S$1&gt;=DATE(2025,5,1),IF(COUNTIFS('2025数据'!$X$3:$X$181,"&gt;=2025-05-01",'2025数据'!$X$3:$X$181,"&lt;=2025-05-31")&gt;0,AVERAGEIFS('2025数据'!$Z$3:$Z$181,'2025数据'!$X$3:$X$181,"&gt;=2025-05-01",'2025数据'!$X$3:$X$181,"&lt;=2025-05-31"),""),"")</f>
        <v/>
      </c>
      <c r="I119" s="191" t="str">
        <f ca="1">IF('2025整理'!$S$1&gt;=DATE(2025,6,1),IF(COUNTIFS('2025数据'!$X$3:$X$181,"&gt;=2025-06-01",'2025数据'!$X$3:$X$181,"&lt;=2025-06-30")&gt;0,AVERAGEIFS('2025数据'!$Z$3:$Z$181,'2025数据'!$X$3:$X$181,"&gt;=2025-06-01",'2025数据'!$X$3:$X$181,"&lt;=2025-06-30"),""),"")</f>
        <v/>
      </c>
      <c r="J119" s="191">
        <f ca="1">IF('2025整理'!$S$1&gt;=DATE(2025,7,1),IF(COUNTIFS('2025数据'!$X$3:$X$181,"&gt;=2025-07-01",'2025数据'!$X$3:$X$181,"&lt;=2025-07-31")&gt;0,AVERAGEIFS('2025数据'!$Z$3:$Z$181,'2025数据'!$X$3:$X$181,"&gt;=2025-07-01",'2025数据'!$X$3:$X$181,"&lt;=2025-07-31"),""),"")</f>
        <v>1</v>
      </c>
      <c r="K119" s="191">
        <f ca="1">IF('2025整理'!$S$1&gt;=DATE(2025,8,1),IF(COUNTIFS('2025数据'!$X$3:$X$181,"&gt;=2025-08-01",'2025数据'!$X$3:$X$181,"&lt;=2025-08-31")&gt;0,AVERAGEIFS('2025数据'!$Z$3:$Z$181,'2025数据'!$X$3:$X$181,"&gt;=2025-08-01",'2025数据'!$X$3:$X$181,"&lt;=2025-08-31"),""),"")</f>
        <v>2</v>
      </c>
      <c r="L119" s="191">
        <f ca="1">IF('2025整理'!$S$1&gt;=DATE(2025,9,1),IF(COUNTIFS('2025数据'!$X$3:$X$181,"&gt;=2025-09-01",'2025数据'!$X$3:$X$181,"&lt;=2025-09-30")&gt;0,AVERAGEIFS('2025数据'!$Z$3:$Z$181,'2025数据'!$X$3:$X$181,"&gt;=2025-09-01",'2025数据'!$X$3:$X$181,"&lt;=2025-09-30"),""),"")</f>
        <v>3</v>
      </c>
      <c r="M119" s="191">
        <f ca="1">IF('2025整理'!$S$1&gt;=DATE(2025,10,1),IF(COUNTIFS('2025数据'!$X$3:$X$181,"&gt;=2025-10-01",'2025数据'!$X$3:$X$181,"&lt;=2025-10-31")&gt;0,AVERAGEIFS('2025数据'!$Z$3:$Z$181,'2025数据'!$X$3:$X$181,"&gt;=2025-10-01",'2025数据'!$X$3:$X$181,"&lt;=2025-10-31"),""),"")</f>
        <v>3</v>
      </c>
      <c r="N119" s="191">
        <f ca="1">IF('2025整理'!$S$1&gt;=DATE(2025,11,1),IF(COUNTIFS('2025数据'!$X$3:$X$181,"&gt;=2025-11-01",'2025数据'!$X$3:$X$181,"&lt;=2025-11-30")&gt;0,AVERAGEIFS('2025数据'!$Z$3:$Z$181,'2025数据'!$X$3:$X$181,"&gt;=2025-11-01",'2025数据'!$X$3:$X$181,"&lt;=2025-11-30"),""),"")</f>
        <v>11</v>
      </c>
      <c r="O119" s="191" t="str">
        <f ca="1">IF('2025整理'!$S$1&gt;=DATE(2025,12,1),IF(COUNTIFS('2025数据'!$X$3:$X$181,"&gt;=2025-12-01",'2025数据'!$X$3:$X$181,"&lt;=2025-12-31")&gt;0,AVERAGEIFS('2025数据'!$Z$3:$Z$181,'2025数据'!$X$3:$X$181,"&gt;=2025-12-01",'2025数据'!$X$3:$X$181,"&lt;=2025-12-31"),""),"")</f>
        <v/>
      </c>
      <c r="T119" s="194"/>
      <c r="W119" s="185" t="s">
        <v>349</v>
      </c>
      <c r="X119" s="168" t="s">
        <v>375</v>
      </c>
      <c r="Y119" s="168" t="s">
        <v>379</v>
      </c>
      <c r="Z119" s="195" t="str">
        <f ca="1">IF(D119="","",D119-O117)</f>
        <v/>
      </c>
      <c r="AA119" s="195" t="str">
        <f ca="1" t="shared" ref="AA119:AB119" si="122">IF(E119="","",IF(D119="",E119,E119-D119))</f>
        <v/>
      </c>
      <c r="AB119" s="195">
        <f ca="1" t="shared" si="122"/>
        <v>9</v>
      </c>
      <c r="AC119" s="195" t="str">
        <f ca="1" t="shared" ref="AC119:AK119" si="123">IF(G119="","",G119-F119)</f>
        <v/>
      </c>
      <c r="AD119" s="195" t="str">
        <f ca="1" t="shared" si="123"/>
        <v/>
      </c>
      <c r="AE119" s="195" t="str">
        <f ca="1" t="shared" si="123"/>
        <v/>
      </c>
      <c r="AF119" s="195" t="e">
        <f ca="1" t="shared" si="123"/>
        <v>#VALUE!</v>
      </c>
      <c r="AG119" s="195">
        <f ca="1" t="shared" si="123"/>
        <v>1</v>
      </c>
      <c r="AH119" s="195">
        <f ca="1" t="shared" si="123"/>
        <v>1</v>
      </c>
      <c r="AI119" s="195">
        <f ca="1" t="shared" si="123"/>
        <v>0</v>
      </c>
      <c r="AJ119" s="195">
        <f ca="1" t="shared" si="123"/>
        <v>8</v>
      </c>
      <c r="AK119" s="195" t="str">
        <f ca="1" t="shared" si="123"/>
        <v/>
      </c>
    </row>
    <row r="120" ht="24.75" customHeight="1" spans="1:37">
      <c r="A120" s="190" t="s">
        <v>349</v>
      </c>
      <c r="B120" s="186" t="s">
        <v>375</v>
      </c>
      <c r="C120" s="186" t="s">
        <v>388</v>
      </c>
      <c r="D120" s="192" t="str">
        <f ca="1">IF('2025整理'!$S$1&gt;=DATE(2025,1,1),IF(COUNTIFS('2025数据'!$X$3:$X$181,"&gt;=2025-01-01",'2025数据'!$X$3:$X$181,"&lt;=2025-01-31")&gt;0,AVERAGEIFS('2025数据'!$Z$3:$Z$181,'2025数据'!$X$3:$X$181,"&gt;=2025-01-01",'2025数据'!$X$3:$X$181,"&lt;=2025-01-31"),""),"")</f>
        <v/>
      </c>
      <c r="E120" s="192" t="str">
        <f ca="1">IF('2025整理'!$S$1&gt;=DATE(2025,2,1),IF(COUNTIFS('2025数据'!$X$3:$X$181,"&gt;=2025-01-01",'2025数据'!$X$3:$X$181,"&lt;=2025-02-28")&gt;0,AVERAGEIFS('2025数据'!$Z$3:$Z$181,'2025数据'!$X$3:$X$181,"&gt;=2025-01-01",'2025数据'!$X$3:$X$181,"&lt;=2025-02-28"),""),"")</f>
        <v/>
      </c>
      <c r="F120" s="192">
        <f ca="1">IF('2025整理'!$S$1&gt;=DATE(2025,3,1),IF(COUNTIFS('2025数据'!$X$3:$X$181,"&gt;=2025-01-01",'2025数据'!$X$3:$X$181,"&lt;=2025-03-31")&gt;0,AVERAGEIFS('2025数据'!$Z$3:$Z$181,'2025数据'!$X$3:$X$181,"&gt;=2025-01-01",'2025数据'!$X$3:$X$181,"&lt;=2025-03-31"),""),"")</f>
        <v>9</v>
      </c>
      <c r="G120" s="192">
        <f ca="1">IF('2025整理'!$S$1&gt;=DATE(2025,4,1),IF(COUNTIFS('2025数据'!$X$3:$X$181,"&gt;=2025-01-01",'2025数据'!$X$3:$X$181,"&lt;=2025-04-30")&gt;0,AVERAGEIFS('2025数据'!$Z$3:$Z$181,'2025数据'!$X$3:$X$181,"&gt;=2025-01-01",'2025数据'!$X$3:$X$181,"&lt;=2025-04-30"),""),"")</f>
        <v>9</v>
      </c>
      <c r="H120" s="192">
        <f ca="1">IF('2025整理'!$S$1&gt;=DATE(2025,5,1),IF(COUNTIFS('2025数据'!$X$3:$X$181,"&gt;=2025-01-01",'2025数据'!$X$3:$X$181,"&lt;=2025-05-31")&gt;0,AVERAGEIFS('2025数据'!$Z$3:$Z$181,'2025数据'!$X$3:$X$181,"&gt;=2025-01-01",'2025数据'!$X$3:$X$181,"&lt;=2025-05-31"),""),"")</f>
        <v>9</v>
      </c>
      <c r="I120" s="192">
        <f ca="1">IF('2025整理'!$S$1&gt;=DATE(2025,6,1),IF(COUNTIFS('2025数据'!$X$3:$X$181,"&gt;=2025-01-01",'2025数据'!$X$3:$X$181,"&lt;=2025-06-30")&gt;0,AVERAGEIFS('2025数据'!$Z$3:$Z$181,'2025数据'!$X$3:$X$181,"&gt;=2025-01-01",'2025数据'!$X$3:$X$181,"&lt;=2025-06-30"),""),"")</f>
        <v>9</v>
      </c>
      <c r="J120" s="192">
        <f ca="1">IF('2025整理'!$S$1&gt;=DATE(2025,7,1),IF(COUNTIFS('2025数据'!$X$3:$X$181,"&gt;=2025-01-01",'2025数据'!$X$3:$X$181,"&lt;=2025-07-31")&gt;0,AVERAGEIFS('2025数据'!$Z$3:$Z$181,'2025数据'!$X$3:$X$181,"&gt;=2025-01-01",'2025数据'!$X$3:$X$181,"&lt;=2025-07-31"),""),"")</f>
        <v>5</v>
      </c>
      <c r="K120" s="192">
        <f ca="1">IF('2025整理'!$S$1&gt;=DATE(2025,8,1),IF(COUNTIFS('2025数据'!$X$3:$X$181,"&gt;=2025-01-01",'2025数据'!$X$3:$X$181,"&lt;=2025-08-31")&gt;0,AVERAGEIFS('2025数据'!$Z$3:$Z$181,'2025数据'!$X$3:$X$181,"&gt;=2025-01-01",'2025数据'!$X$3:$X$181,"&lt;=2025-08-31"),""),"")</f>
        <v>3.5</v>
      </c>
      <c r="L120" s="192">
        <f ca="1">IF('2025整理'!$S$1&gt;=DATE(2025,9,1),IF(COUNTIFS('2025数据'!$X$3:$X$181,"&gt;=2025-01-01",'2025数据'!$X$3:$X$181,"&lt;=2025-09-30")&gt;0,AVERAGEIFS('2025数据'!$Z$3:$Z$181,'2025数据'!$X$3:$X$181,"&gt;=2025-01-01",'2025数据'!$X$3:$X$181,"&lt;=2025-09-30"),""),"")</f>
        <v>3.33333333333333</v>
      </c>
      <c r="M120" s="192">
        <f ca="1">IF('2025整理'!$S$1&gt;=DATE(2025,10,1),IF(COUNTIFS('2025数据'!$X$3:$X$181,"&gt;=2025-01-01",'2025数据'!$X$3:$X$181,"&lt;=2025-10-31")&gt;0,AVERAGEIFS('2025数据'!$Z$3:$Z$181,'2025数据'!$X$3:$X$181,"&gt;=2025-01-01",'2025数据'!$X$3:$X$181,"&lt;=2025-10-31"),""),"")</f>
        <v>3.25</v>
      </c>
      <c r="N120" s="192">
        <f ca="1">IF('2025整理'!$S$1&gt;=DATE(2025,11,1),IF(COUNTIFS('2025数据'!$X$3:$X$181,"&gt;=2025-01-01",'2025数据'!$X$3:$X$181,"&lt;=2025-11-30")&gt;0,AVERAGEIFS('2025数据'!$Z$3:$Z$181,'2025数据'!$X$3:$X$181,"&gt;=2025-01-01",'2025数据'!$X$3:$X$181,"&lt;=2025-11-30"),""),"")</f>
        <v>4.11111111111111</v>
      </c>
      <c r="O120" s="192">
        <f ca="1">IF('2025整理'!$S$1&gt;=DATE(2025,12,1),IF(COUNTIFS('2025数据'!$X$3:$X$181,"&gt;=2025-01-01",'2025数据'!$X$3:$X$181,"&lt;=2025-12-31")&gt;0,AVERAGEIFS('2025数据'!$Z$3:$Z$181,'2025数据'!$X$3:$X$181,"&gt;=2025-01-01",'2025数据'!$X$3:$X$181,"&lt;=2025-12-31"),""),"")</f>
        <v>4.11111111111111</v>
      </c>
      <c r="W120" s="190" t="s">
        <v>349</v>
      </c>
      <c r="X120" s="166" t="s">
        <v>375</v>
      </c>
      <c r="Y120" s="166" t="s">
        <v>380</v>
      </c>
      <c r="Z120" s="174" t="str">
        <f ca="1">IF(Z119="","",Z119/O117)</f>
        <v/>
      </c>
      <c r="AA120" s="174" t="str">
        <f ca="1">IF(AA119="","",AA119/D119)</f>
        <v/>
      </c>
      <c r="AB120" s="174">
        <f ca="1">IF(AB119="","",IF(E119="",(AB119-1)/1,AB119/E119))</f>
        <v>8</v>
      </c>
      <c r="AC120" s="174" t="str">
        <f ca="1" t="shared" ref="AC120:AK120" si="124">IF(AC119="","",AC119/F119)</f>
        <v/>
      </c>
      <c r="AD120" s="174" t="str">
        <f ca="1" t="shared" si="124"/>
        <v/>
      </c>
      <c r="AE120" s="174" t="str">
        <f ca="1" t="shared" si="124"/>
        <v/>
      </c>
      <c r="AF120" s="174" t="e">
        <f ca="1" t="shared" si="124"/>
        <v>#VALUE!</v>
      </c>
      <c r="AG120" s="174">
        <f ca="1" t="shared" si="124"/>
        <v>1</v>
      </c>
      <c r="AH120" s="174">
        <f ca="1" t="shared" si="124"/>
        <v>0.5</v>
      </c>
      <c r="AI120" s="174">
        <f ca="1" t="shared" si="124"/>
        <v>0</v>
      </c>
      <c r="AJ120" s="174">
        <f ca="1" t="shared" si="124"/>
        <v>2.66666666666667</v>
      </c>
      <c r="AK120" s="174" t="str">
        <f ca="1" t="shared" si="124"/>
        <v/>
      </c>
    </row>
    <row r="121" ht="24.75" customHeight="1" spans="1:37">
      <c r="A121" s="182" t="s">
        <v>350</v>
      </c>
      <c r="B121" s="188" t="s">
        <v>373</v>
      </c>
      <c r="C121" s="183" t="s">
        <v>387</v>
      </c>
      <c r="D121" s="184">
        <f ca="1">IF('2025整理'!$S$1&gt;=DATE(2024,1,1),IF(COUNTIFS('2024数据'!$AB$3:$AB$152,"&gt;=2024-01-01",'2024数据'!$AB$3:$AB$152,"&lt;=2024-01-31")&gt;0,AVERAGEIFS('2024数据'!$AD$3:$AD$152,'2024数据'!$AB$3:$AB$152,"&gt;=2024-01-01",'2024数据'!$AB$3:$AB$152,"&lt;=2024-01-31"),""),"")</f>
        <v>5</v>
      </c>
      <c r="E121" s="184">
        <f ca="1">IF('2025整理'!$S$1&gt;=DATE(2024,2,1),IF(COUNTIFS('2024数据'!$AB$3:$AB$152,"&gt;=2024-02-01",'2024数据'!$AB$3:$AB$152,"&lt;=2024-02-28")&gt;0,AVERAGEIFS('2024数据'!$AD$3:$AD$152,'2024数据'!$AB$3:$AB$152,"&gt;=2024-02-01",'2024数据'!$AB$3:$AB$152,"&lt;=2024-02-28"),""),"")</f>
        <v>30</v>
      </c>
      <c r="F121" s="184">
        <f ca="1">IF('2025整理'!$S$1&gt;=DATE(2024,3,1),IF(COUNTIFS('2024数据'!$AB$3:$AB$152,"&gt;=2024-03-01",'2024数据'!$AB$3:$AB$152,"&lt;=2024-03-31")&gt;0,AVERAGEIFS('2024数据'!$AD$3:$AD$152,'2024数据'!$AB$3:$AB$152,"&gt;=2024-03-01",'2024数据'!$AB$3:$AB$152,"&lt;=2024-03-31"),""),"")</f>
        <v>7</v>
      </c>
      <c r="G121" s="184" t="str">
        <f ca="1">IF('2025整理'!$S$1&gt;=DATE(2024,4,1),IF(COUNTIFS('2024数据'!$AB$3:$AB$152,"&gt;=2024-04-01",'2024数据'!$AB$3:$AB$152,"&lt;=2024-04-30")&gt;0,AVERAGEIFS('2024数据'!$AD$3:$AD$152,'2024数据'!$AB$3:$AB$152,"&gt;=2024-04-01",'2024数据'!$AB$3:$AB$152,"&lt;=2024-04-30"),""),"")</f>
        <v/>
      </c>
      <c r="H121" s="184">
        <f ca="1">IF('2025整理'!$S$1&gt;=DATE(2024,5,1),IF(COUNTIFS('2024数据'!$AB$3:$AB$152,"&gt;=2024-05-01",'2024数据'!$AB$3:$AB$152,"&lt;=2024-05-31")&gt;0,AVERAGEIFS('2024数据'!$AD$3:$AD$152,'2024数据'!$AB$3:$AB$152,"&gt;=2024-05-01",'2024数据'!$AB$3:$AB$152,"&lt;=2024-05-31"),""),"")</f>
        <v>24</v>
      </c>
      <c r="I121" s="184">
        <f ca="1">IF('2025整理'!$S$1&gt;=DATE(2024,6,1),IF(COUNTIFS('2024数据'!$AB$3:$AB$152,"&gt;=2024-06-01",'2024数据'!$AB$3:$AB$152,"&lt;=2024-06-30")&gt;0,AVERAGEIFS('2024数据'!$AD$3:$AD$152,'2024数据'!$AB$3:$AB$152,"&gt;=2024-06-01",'2024数据'!$AB$3:$AB$152,"&lt;=2024-06-30"),""),"")</f>
        <v>24.5</v>
      </c>
      <c r="J121" s="184" t="str">
        <f ca="1">IF('2025整理'!$S$1&gt;=DATE(2024,7,1),IF(COUNTIFS('2024数据'!$AB$3:$AB$152,"&gt;=2024-07-01",'2024数据'!$AB$3:$AB$152,"&lt;=2024-07-31")&gt;0,AVERAGEIFS('2024数据'!$AD$3:$AD$152,'2024数据'!$AB$3:$AB$152,"&gt;=2024-07-01",'2024数据'!$AB$3:$AB$152,"&lt;=2024-07-31"),""),"")</f>
        <v/>
      </c>
      <c r="K121" s="184">
        <f ca="1">IF('2025整理'!$S$1&gt;=DATE(2024,8,1),IF(COUNTIFS('2024数据'!$AB$3:$AB$152,"&gt;=2024-08-01",'2024数据'!$AB$3:$AB$152,"&lt;=2024-08-31")&gt;0,AVERAGEIFS('2024数据'!$AD$3:$AD$152,'2024数据'!$AB$3:$AB$152,"&gt;=2024-08-01",'2024数据'!$AB$3:$AB$152,"&lt;=2024-08-31"),""),"")</f>
        <v>14</v>
      </c>
      <c r="L121" s="184">
        <f ca="1">IF('2025整理'!$S$1&gt;=DATE(2024,9,1),IF(COUNTIFS('2024数据'!$AB$3:$AB$152,"&gt;=2024-09-01",'2024数据'!$AB$3:$AB$152,"&lt;=2024-09-30")&gt;0,AVERAGEIFS('2024数据'!$AD$3:$AD$152,'2024数据'!$AB$3:$AB$152,"&gt;=2024-09-01",'2024数据'!$AB$3:$AB$152,"&lt;=2024-09-30"),""),"")</f>
        <v>16</v>
      </c>
      <c r="M121" s="184">
        <f ca="1">IF('2025整理'!$S$1&gt;=DATE(2024,10,1),IF(COUNTIFS('2024数据'!$AB$3:$AB$152,"&gt;=2024-10-01",'2024数据'!$AB$3:$AB$152,"&lt;=2024-10-31")&gt;0,AVERAGEIFS('2024数据'!$AD$3:$AD$152,'2024数据'!$AB$3:$AB$152,"&gt;=2024-10-01",'2024数据'!$AB$3:$AB$152,"&lt;=2024-10-31"),""),"")</f>
        <v>6</v>
      </c>
      <c r="N121" s="184">
        <f ca="1">IF('2025整理'!$S$1&gt;=DATE(2024,11,1),IF(COUNTIFS('2024数据'!$AB$3:$AB$152,"&gt;=2024-11-01",'2024数据'!$AB$3:$AB$152,"&lt;=2024-11-30")&gt;0,AVERAGEIFS('2024数据'!$AD$3:$AD$152,'2024数据'!$AB$3:$AB$152,"&gt;=2024-11-01",'2024数据'!$AB$3:$AB$152,"&lt;=2024-11-30"),""),"")</f>
        <v>5.5</v>
      </c>
      <c r="O121" s="184">
        <f ca="1">IF('2025整理'!$S$1&gt;=DATE(2024,12,1),IF(COUNTIFS('2024数据'!$AB$3:$AB$152,"&gt;=2024-12-01",'2024数据'!$AB$3:$AB$152,"&lt;=2024-12-31")&gt;0,AVERAGEIFS('2024数据'!$AD$3:$AD$152,'2024数据'!$AB$3:$AB$152,"&gt;=2024-12-01",'2024数据'!$AB$3:$AB$152,"&lt;=2024-12-31"),""),"")</f>
        <v>5</v>
      </c>
      <c r="W121" s="182" t="s">
        <v>350</v>
      </c>
      <c r="X121" s="163" t="s">
        <v>375</v>
      </c>
      <c r="Y121" s="163" t="s">
        <v>376</v>
      </c>
      <c r="Z121" s="195">
        <f ca="1" t="shared" ref="Z121:AK121" si="125">IF(D124="","",D124-D122)</f>
        <v>6</v>
      </c>
      <c r="AA121" s="195">
        <f ca="1" t="shared" si="125"/>
        <v>-4.33333333333333</v>
      </c>
      <c r="AB121" s="195">
        <f ca="1" t="shared" si="125"/>
        <v>-2.675</v>
      </c>
      <c r="AC121" s="195">
        <f ca="1" t="shared" si="125"/>
        <v>-3.46666666666667</v>
      </c>
      <c r="AD121" s="195">
        <f ca="1" t="shared" si="125"/>
        <v>-9.12121212121212</v>
      </c>
      <c r="AE121" s="195">
        <f ca="1" t="shared" si="125"/>
        <v>-8.92424242424242</v>
      </c>
      <c r="AF121" s="195">
        <f ca="1" t="shared" si="125"/>
        <v>-9.3986013986014</v>
      </c>
      <c r="AG121" s="195">
        <f ca="1" t="shared" si="125"/>
        <v>-9.3125</v>
      </c>
      <c r="AH121" s="195">
        <f ca="1" t="shared" si="125"/>
        <v>-8.72916666666667</v>
      </c>
      <c r="AI121" s="195">
        <f ca="1" t="shared" si="125"/>
        <v>-5.78947368421053</v>
      </c>
      <c r="AJ121" s="195">
        <f ca="1" t="shared" si="125"/>
        <v>-3.46169772256729</v>
      </c>
      <c r="AK121" s="195">
        <f ca="1" t="shared" si="125"/>
        <v>-2.68952380952381</v>
      </c>
    </row>
    <row r="122" ht="24.75" customHeight="1" spans="1:37">
      <c r="A122" s="185" t="s">
        <v>350</v>
      </c>
      <c r="B122" s="186" t="s">
        <v>373</v>
      </c>
      <c r="C122" s="186" t="s">
        <v>388</v>
      </c>
      <c r="D122" s="187">
        <f ca="1">IF('2025整理'!$S$1&gt;=DATE(2024,1,1),IF(COUNTIFS('2024数据'!$AB$3:$AB$152,"&gt;=2024-01-01",'2024数据'!$AB$3:$AB$152,"&lt;=2024-01-31")&gt;0,AVERAGEIFS('2024数据'!$AD$3:$AD$152,'2024数据'!$AB$3:$AB$152,"&gt;=2024-01-01",'2024数据'!$AB$3:$AB$152,"&lt;=2024-01-31"),""),"")</f>
        <v>5</v>
      </c>
      <c r="E122" s="187">
        <f ca="1">IF('2025整理'!$S$1&gt;=DATE(2024,2,1),IF(COUNTIFS('2024数据'!$AB$3:$AB$152,"&gt;=2024-01-01",'2024数据'!$AB$3:$AB$152,"&lt;=2024-02-28")&gt;0,AVERAGEIFS('2024数据'!$AD$3:$AD$152,'2024数据'!$AB$3:$AB$152,"&gt;=2024-01-01",'2024数据'!$AB$3:$AB$152,"&lt;=2024-02-28"),""),"")</f>
        <v>13.3333333333333</v>
      </c>
      <c r="F122" s="187">
        <f ca="1">IF('2025整理'!$S$1&gt;=DATE(2024,3,1),IF(COUNTIFS('2024数据'!$AB$3:$AB$152,"&gt;=2024-01-01",'2024数据'!$AB$3:$AB$152,"&lt;=2024-03-31")&gt;0,AVERAGEIFS('2024数据'!$AD$3:$AD$152,'2024数据'!$AB$3:$AB$152,"&gt;=2024-01-01",'2024数据'!$AB$3:$AB$152,"&lt;=2024-03-31"),""),"")</f>
        <v>10.8</v>
      </c>
      <c r="G122" s="187">
        <f ca="1">IF('2025整理'!$S$1&gt;=DATE(2024,4,1),IF(COUNTIFS('2024数据'!$AB$3:$AB$152,"&gt;=2024-01-01",'2024数据'!$AB$3:$AB$152,"&lt;=2024-04-30")&gt;0,AVERAGEIFS('2024数据'!$AD$3:$AD$152,'2024数据'!$AB$3:$AB$152,"&gt;=2024-01-01",'2024数据'!$AB$3:$AB$152,"&lt;=2024-04-30"),""),"")</f>
        <v>10.8</v>
      </c>
      <c r="H122" s="187">
        <f ca="1">IF('2025整理'!$S$1&gt;=DATE(2024,5,1),IF(COUNTIFS('2024数据'!$AB$3:$AB$152,"&gt;=2024-01-01",'2024数据'!$AB$3:$AB$152,"&lt;=2024-05-31")&gt;0,AVERAGEIFS('2024数据'!$AD$3:$AD$152,'2024数据'!$AB$3:$AB$152,"&gt;=2024-01-01",'2024数据'!$AB$3:$AB$152,"&lt;=2024-05-31"),""),"")</f>
        <v>16.6666666666667</v>
      </c>
      <c r="I122" s="187">
        <f ca="1">IF('2025整理'!$S$1&gt;=DATE(2024,6,1),IF(COUNTIFS('2024数据'!$AB$3:$AB$152,"&gt;=2024-01-01",'2024数据'!$AB$3:$AB$152,"&lt;=2024-06-30")&gt;0,AVERAGEIFS('2024数据'!$AD$3:$AD$152,'2024数据'!$AB$3:$AB$152,"&gt;=2024-01-01",'2024数据'!$AB$3:$AB$152,"&lt;=2024-06-30"),""),"")</f>
        <v>18.0909090909091</v>
      </c>
      <c r="J122" s="187">
        <f ca="1">IF('2025整理'!$S$1&gt;=DATE(2024,7,1),IF(COUNTIFS('2024数据'!$AB$3:$AB$152,"&gt;=2024-01-01",'2024数据'!$AB$3:$AB$152,"&lt;=2024-07-31")&gt;0,AVERAGEIFS('2024数据'!$AD$3:$AD$152,'2024数据'!$AB$3:$AB$152,"&gt;=2024-01-01",'2024数据'!$AB$3:$AB$152,"&lt;=2024-07-31"),""),"")</f>
        <v>18.0909090909091</v>
      </c>
      <c r="K122" s="187">
        <f ca="1">IF('2025整理'!$S$1&gt;=DATE(2024,8,1),IF(COUNTIFS('2024数据'!$AB$3:$AB$152,"&gt;=2024-01-01",'2024数据'!$AB$3:$AB$152,"&lt;=2024-08-31")&gt;0,AVERAGEIFS('2024数据'!$AD$3:$AD$152,'2024数据'!$AB$3:$AB$152,"&gt;=2024-01-01",'2024数据'!$AB$3:$AB$152,"&lt;=2024-08-31"),""),"")</f>
        <v>17.75</v>
      </c>
      <c r="L122" s="187">
        <f ca="1">IF('2025整理'!$S$1&gt;=DATE(2024,9,1),IF(COUNTIFS('2024数据'!$AB$3:$AB$152,"&gt;=2024-01-01",'2024数据'!$AB$3:$AB$152,"&lt;=2024-09-30")&gt;0,AVERAGEIFS('2024数据'!$AD$3:$AD$152,'2024数据'!$AB$3:$AB$152,"&gt;=2024-01-01",'2024数据'!$AB$3:$AB$152,"&lt;=2024-09-30"),""),"")</f>
        <v>17.1666666666667</v>
      </c>
      <c r="M122" s="187">
        <f ca="1">IF('2025整理'!$S$1&gt;=DATE(2024,10,1),IF(COUNTIFS('2024数据'!$AB$3:$AB$152,"&gt;=2024-01-01",'2024数据'!$AB$3:$AB$152,"&lt;=2024-10-31")&gt;0,AVERAGEIFS('2024数据'!$AD$3:$AD$152,'2024数据'!$AB$3:$AB$152,"&gt;=2024-01-01",'2024数据'!$AB$3:$AB$152,"&lt;=2024-10-31"),""),"")</f>
        <v>16.5789473684211</v>
      </c>
      <c r="N122" s="187">
        <f ca="1">IF('2025整理'!$S$1&gt;=DATE(2024,11,1),IF(COUNTIFS('2024数据'!$AB$3:$AB$152,"&gt;=2024-01-01",'2024数据'!$AB$3:$AB$152,"&lt;=2024-11-30")&gt;0,AVERAGEIFS('2024数据'!$AD$3:$AD$152,'2024数据'!$AB$3:$AB$152,"&gt;=2024-01-01",'2024数据'!$AB$3:$AB$152,"&lt;=2024-11-30"),""),"")</f>
        <v>14.6521739130435</v>
      </c>
      <c r="O122" s="187">
        <f ca="1">IF('2025整理'!$S$1&gt;=DATE(2024,12,1),IF(COUNTIFS('2024数据'!$AB$3:$AB$152,"&gt;=2024-01-01",'2024数据'!$AB$3:$AB$152,"&lt;=2024-12-31")&gt;0,AVERAGEIFS('2024数据'!$AD$3:$AD$152,'2024数据'!$AB$3:$AB$152,"&gt;=2024-01-01",'2024数据'!$AB$3:$AB$152,"&lt;=2024-12-31"),""),"")</f>
        <v>13.88</v>
      </c>
      <c r="W122" s="185" t="s">
        <v>350</v>
      </c>
      <c r="X122" s="166" t="s">
        <v>375</v>
      </c>
      <c r="Y122" s="166" t="s">
        <v>378</v>
      </c>
      <c r="Z122" s="174">
        <f ca="1" t="shared" ref="Z122:AA122" si="126">IF(Z121="","",Z121/D122)</f>
        <v>1.2</v>
      </c>
      <c r="AA122" s="174">
        <f ca="1" t="shared" si="126"/>
        <v>-0.325</v>
      </c>
      <c r="AB122" s="174">
        <f ca="1" t="shared" ref="AB122:AK122" si="127">IF(AB121="","",IF(F122="",(AB121-1)/1,AB121/F122))</f>
        <v>-0.247685185185185</v>
      </c>
      <c r="AC122" s="174">
        <f ca="1" t="shared" si="127"/>
        <v>-0.320987654320988</v>
      </c>
      <c r="AD122" s="174">
        <f ca="1" t="shared" si="127"/>
        <v>-0.547272727272727</v>
      </c>
      <c r="AE122" s="174">
        <f ca="1" t="shared" si="127"/>
        <v>-0.493299832495812</v>
      </c>
      <c r="AF122" s="174">
        <f ca="1" t="shared" si="127"/>
        <v>-0.5195206803247</v>
      </c>
      <c r="AG122" s="174">
        <f ca="1" t="shared" si="127"/>
        <v>-0.524647887323944</v>
      </c>
      <c r="AH122" s="174">
        <f ca="1" t="shared" si="127"/>
        <v>-0.508495145631068</v>
      </c>
      <c r="AI122" s="174">
        <f ca="1" t="shared" si="127"/>
        <v>-0.349206349206349</v>
      </c>
      <c r="AJ122" s="174">
        <f ca="1" t="shared" si="127"/>
        <v>-0.236258301540201</v>
      </c>
      <c r="AK122" s="174">
        <f ca="1" t="shared" si="127"/>
        <v>-0.193769726910937</v>
      </c>
    </row>
    <row r="123" ht="24.75" customHeight="1" spans="1:37">
      <c r="A123" s="185" t="s">
        <v>350</v>
      </c>
      <c r="B123" s="188" t="s">
        <v>375</v>
      </c>
      <c r="C123" s="183" t="s">
        <v>387</v>
      </c>
      <c r="D123" s="191">
        <f ca="1">IF('2025整理'!$S$1&gt;=DATE(2025,1,1),IF(COUNTIFS('2025数据'!$AB$3:$AB$181,"&gt;=2025-01-01",'2025数据'!$AB$3:$AB$181,"&lt;=2025-01-31")&gt;0,AVERAGEIFS('2025数据'!$AD$3:$AD$181,'2025数据'!$AB$3:$AB$181,"&gt;=2025-01-01",'2025数据'!$AB$3:$AB$181,"&lt;=2025-01-31"),""),"")</f>
        <v>11</v>
      </c>
      <c r="E123" s="191">
        <f ca="1">IF('2025整理'!$S$1&gt;=DATE(2025,2,1),IF(COUNTIFS('2025数据'!$AB$3:$AB$181,"&gt;=2025-02-01",'2025数据'!$AB$3:$AB$181,"&lt;=2025-02-28")&gt;0,AVERAGEIFS('2025数据'!$AD$3:$AD$181,'2025数据'!$AB$3:$AB$181,"&gt;=2025-02-01",'2025数据'!$AB$3:$AB$181,"&lt;=2025-02-28"),""),"")</f>
        <v>7</v>
      </c>
      <c r="F123" s="191">
        <f ca="1">IF('2025整理'!$S$1&gt;=DATE(2025,3,1),IF(COUNTIFS('2025数据'!$AB$3:$AB$181,"&gt;=2025-03-01",'2025数据'!$AB$3:$AB$181,"&lt;=2025-03-31")&gt;0,AVERAGEIFS('2025数据'!$AD$3:$AD$181,'2025数据'!$AB$3:$AB$181,"&gt;=2025-03-01",'2025数据'!$AB$3:$AB$181,"&lt;=2025-03-31"),""),"")</f>
        <v>7.83333333333333</v>
      </c>
      <c r="G123" s="191">
        <f ca="1">IF('2025整理'!$S$1&gt;=DATE(2025,4,1),IF(COUNTIFS('2025数据'!$AB$3:$AB$181,"&gt;=2025-04-01",'2025数据'!$AB$3:$AB$181,"&lt;=2025-04-30")&gt;0,AVERAGEIFS('2025数据'!$AD$3:$AD$181,'2025数据'!$AB$3:$AB$181,"&gt;=2025-04-01",'2025数据'!$AB$3:$AB$181,"&lt;=2025-04-30"),""),"")</f>
        <v>1</v>
      </c>
      <c r="H123" s="191">
        <f ca="1">IF('2025整理'!$S$1&gt;=DATE(2025,5,1),IF(COUNTIFS('2025数据'!$AB$3:$AB$181,"&gt;=2025-05-01",'2025数据'!$AB$3:$AB$181,"&lt;=2025-05-31")&gt;0,AVERAGEIFS('2025数据'!$AD$3:$AD$181,'2025数据'!$AB$3:$AB$181,"&gt;=2025-05-01",'2025数据'!$AB$3:$AB$181,"&lt;=2025-05-31"),""),"")</f>
        <v>8.5</v>
      </c>
      <c r="I123" s="191">
        <f ca="1">IF('2025整理'!$S$1&gt;=DATE(2025,6,1),IF(COUNTIFS('2025数据'!$AB$3:$AB$181,"&gt;=2025-06-01",'2025数据'!$AB$3:$AB$181,"&lt;=2025-06-30")&gt;0,AVERAGEIFS('2025数据'!$AD$3:$AD$181,'2025数据'!$AB$3:$AB$181,"&gt;=2025-06-01",'2025数据'!$AB$3:$AB$181,"&lt;=2025-06-30"),""),"")</f>
        <v>27</v>
      </c>
      <c r="J123" s="191">
        <f ca="1">IF('2025整理'!$S$1&gt;=DATE(2025,7,1),IF(COUNTIFS('2025数据'!$AB$3:$AB$181,"&gt;=2025-07-01",'2025数据'!$AB$3:$AB$181,"&lt;=2025-07-31")&gt;0,AVERAGEIFS('2025数据'!$AD$3:$AD$181,'2025数据'!$AB$3:$AB$181,"&gt;=2025-07-01",'2025数据'!$AB$3:$AB$181,"&lt;=2025-07-31"),""),"")</f>
        <v>3</v>
      </c>
      <c r="K123" s="191">
        <f ca="1">IF('2025整理'!$S$1&gt;=DATE(2025,8,1),IF(COUNTIFS('2025数据'!$AB$3:$AB$181,"&gt;=2025-08-01",'2025数据'!$AB$3:$AB$181,"&lt;=2025-08-31")&gt;0,AVERAGEIFS('2025数据'!$AD$3:$AD$181,'2025数据'!$AB$3:$AB$181,"&gt;=2025-08-01",'2025数据'!$AB$3:$AB$181,"&lt;=2025-08-31"),""),"")</f>
        <v>7.33333333333333</v>
      </c>
      <c r="L123" s="191" t="str">
        <f ca="1">IF('2025整理'!$S$1&gt;=DATE(2025,9,1),IF(COUNTIFS('2025数据'!$AB$3:$AB$181,"&gt;=2025-09-01",'2025数据'!$AB$3:$AB$181,"&lt;=2025-09-30")&gt;0,AVERAGEIFS('2025数据'!$AD$3:$AD$181,'2025数据'!$AB$3:$AB$181,"&gt;=2025-09-01",'2025数据'!$AB$3:$AB$181,"&lt;=2025-09-30"),""),"")</f>
        <v/>
      </c>
      <c r="M123" s="191">
        <f ca="1">IF('2025整理'!$S$1&gt;=DATE(2025,10,1),IF(COUNTIFS('2025数据'!$AB$3:$AB$181,"&gt;=2025-10-01",'2025数据'!$AB$3:$AB$181,"&lt;=2025-10-31")&gt;0,AVERAGEIFS('2025数据'!$AD$3:$AD$181,'2025数据'!$AB$3:$AB$181,"&gt;=2025-10-01",'2025数据'!$AB$3:$AB$181,"&lt;=2025-10-31"),""),"")</f>
        <v>23.3333333333333</v>
      </c>
      <c r="N123" s="191">
        <f ca="1">IF('2025整理'!$S$1&gt;=DATE(2025,11,1),IF(COUNTIFS('2025数据'!$AB$3:$AB$181,"&gt;=2025-11-01",'2025数据'!$AB$3:$AB$181,"&lt;=2025-11-30")&gt;0,AVERAGEIFS('2025数据'!$AD$3:$AD$181,'2025数据'!$AB$3:$AB$181,"&gt;=2025-11-01",'2025数据'!$AB$3:$AB$181,"&lt;=2025-11-30"),""),"")</f>
        <v>15</v>
      </c>
      <c r="O123" s="191" t="str">
        <f ca="1">IF('2025整理'!$S$1&gt;=DATE(2025,12,1),IF(COUNTIFS('2025数据'!$AB$3:$AB$181,"&gt;=2025-12-01",'2025数据'!$AB$3:$AB$181,"&lt;=2025-12-31")&gt;0,AVERAGEIFS('2025数据'!$AD$3:$AD$181,'2025数据'!$AB$3:$AB$181,"&gt;=2025-12-01",'2025数据'!$AB$3:$AB$181,"&lt;=2025-12-31"),""),"")</f>
        <v/>
      </c>
      <c r="T123" s="194"/>
      <c r="W123" s="185" t="s">
        <v>350</v>
      </c>
      <c r="X123" s="168" t="s">
        <v>375</v>
      </c>
      <c r="Y123" s="168" t="s">
        <v>379</v>
      </c>
      <c r="Z123" s="195">
        <f ca="1">IF(D123="","",D123-O121)</f>
        <v>6</v>
      </c>
      <c r="AA123" s="195">
        <f ca="1" t="shared" ref="AA123:AH123" si="128">IF(E123="","",E123-D123)</f>
        <v>-4</v>
      </c>
      <c r="AB123" s="195">
        <f ca="1" t="shared" si="128"/>
        <v>0.833333333333333</v>
      </c>
      <c r="AC123" s="195">
        <f ca="1" t="shared" si="128"/>
        <v>-6.83333333333333</v>
      </c>
      <c r="AD123" s="195">
        <f ca="1" t="shared" si="128"/>
        <v>7.5</v>
      </c>
      <c r="AE123" s="195">
        <f ca="1" t="shared" si="128"/>
        <v>18.5</v>
      </c>
      <c r="AF123" s="195">
        <f ca="1" t="shared" si="128"/>
        <v>-24</v>
      </c>
      <c r="AG123" s="195">
        <f ca="1" t="shared" si="128"/>
        <v>4.33333333333333</v>
      </c>
      <c r="AH123" s="195" t="str">
        <f ca="1" t="shared" si="128"/>
        <v/>
      </c>
      <c r="AI123" s="195" t="e">
        <f ca="1">IF(N123="","",M123-L123)</f>
        <v>#VALUE!</v>
      </c>
      <c r="AJ123" s="195">
        <f ca="1" t="shared" ref="AJ123:AK123" si="129">IF(N123="","",N123-M123)</f>
        <v>-8.33333333333333</v>
      </c>
      <c r="AK123" s="195" t="str">
        <f ca="1" t="shared" si="129"/>
        <v/>
      </c>
    </row>
    <row r="124" ht="24.75" customHeight="1" spans="1:37">
      <c r="A124" s="190" t="s">
        <v>350</v>
      </c>
      <c r="B124" s="186" t="s">
        <v>375</v>
      </c>
      <c r="C124" s="186" t="s">
        <v>388</v>
      </c>
      <c r="D124" s="192">
        <f ca="1">IF('2025整理'!$S$1&gt;=DATE(2025,1,1),IF(COUNTIFS('2025数据'!$AB$3:$AB$181,"&gt;=2025-01-01",'2025数据'!$AB$3:$AB$181,"&lt;=2025-01-31")&gt;0,AVERAGEIFS('2025数据'!$AD$3:$AD$181,'2025数据'!$AB$3:$AB$181,"&gt;=2025-01-01",'2025数据'!$AB$3:$AB$181,"&lt;=2025-01-31"),""),"")</f>
        <v>11</v>
      </c>
      <c r="E124" s="192">
        <f ca="1">IF('2025整理'!$S$1&gt;=DATE(2025,2,1),IF(COUNTIFS('2025数据'!$AB$3:$AB$181,"&gt;=2025-01-01",'2025数据'!$AB$3:$AB$181,"&lt;=2025-02-28")&gt;0,AVERAGEIFS('2025数据'!$AD$3:$AD$181,'2025数据'!$AB$3:$AB$181,"&gt;=2025-01-01",'2025数据'!$AB$3:$AB$181,"&lt;=2025-02-28"),""),"")</f>
        <v>9</v>
      </c>
      <c r="F124" s="192">
        <f ca="1">IF('2025整理'!$S$1&gt;=DATE(2025,3,1),IF(COUNTIFS('2025数据'!$AB$3:$AB$181,"&gt;=2025-01-01",'2025数据'!$AB$3:$AB$181,"&lt;=2025-03-31")&gt;0,AVERAGEIFS('2025数据'!$AD$3:$AD$181,'2025数据'!$AB$3:$AB$181,"&gt;=2025-01-01",'2025数据'!$AB$3:$AB$181,"&lt;=2025-03-31"),""),"")</f>
        <v>8.125</v>
      </c>
      <c r="G124" s="192">
        <f ca="1">IF('2025整理'!$S$1&gt;=DATE(2025,4,1),IF(COUNTIFS('2025数据'!$AB$3:$AB$181,"&gt;=2025-01-01",'2025数据'!$AB$3:$AB$181,"&lt;=2025-04-30")&gt;0,AVERAGEIFS('2025数据'!$AD$3:$AD$181,'2025数据'!$AB$3:$AB$181,"&gt;=2025-01-01",'2025数据'!$AB$3:$AB$181,"&lt;=2025-04-30"),""),"")</f>
        <v>7.33333333333333</v>
      </c>
      <c r="H124" s="192">
        <f ca="1">IF('2025整理'!$S$1&gt;=DATE(2025,5,1),IF(COUNTIFS('2025数据'!$AB$3:$AB$181,"&gt;=2025-01-01",'2025数据'!$AB$3:$AB$181,"&lt;=2025-05-31")&gt;0,AVERAGEIFS('2025数据'!$AD$3:$AD$181,'2025数据'!$AB$3:$AB$181,"&gt;=2025-01-01",'2025数据'!$AB$3:$AB$181,"&lt;=2025-05-31"),""),"")</f>
        <v>7.54545454545455</v>
      </c>
      <c r="I124" s="192">
        <f ca="1">IF('2025整理'!$S$1&gt;=DATE(2025,6,1),IF(COUNTIFS('2025数据'!$AB$3:$AB$181,"&gt;=2025-01-01",'2025数据'!$AB$3:$AB$181,"&lt;=2025-06-30")&gt;0,AVERAGEIFS('2025数据'!$AD$3:$AD$181,'2025数据'!$AB$3:$AB$181,"&gt;=2025-01-01",'2025数据'!$AB$3:$AB$181,"&lt;=2025-06-30"),""),"")</f>
        <v>9.16666666666667</v>
      </c>
      <c r="J124" s="192">
        <f ca="1">IF('2025整理'!$S$1&gt;=DATE(2025,7,1),IF(COUNTIFS('2025数据'!$AB$3:$AB$181,"&gt;=2025-01-01",'2025数据'!$AB$3:$AB$181,"&lt;=2025-07-31")&gt;0,AVERAGEIFS('2025数据'!$AD$3:$AD$181,'2025数据'!$AB$3:$AB$181,"&gt;=2025-01-01",'2025数据'!$AB$3:$AB$181,"&lt;=2025-07-31"),""),"")</f>
        <v>8.69230769230769</v>
      </c>
      <c r="K124" s="192">
        <f ca="1">IF('2025整理'!$S$1&gt;=DATE(2025,8,1),IF(COUNTIFS('2025数据'!$AB$3:$AB$181,"&gt;=2025-01-01",'2025数据'!$AB$3:$AB$181,"&lt;=2025-08-31")&gt;0,AVERAGEIFS('2025数据'!$AD$3:$AD$181,'2025数据'!$AB$3:$AB$181,"&gt;=2025-01-01",'2025数据'!$AB$3:$AB$181,"&lt;=2025-08-31"),""),"")</f>
        <v>8.4375</v>
      </c>
      <c r="L124" s="192">
        <f ca="1">IF('2025整理'!$S$1&gt;=DATE(2025,9,1),IF(COUNTIFS('2025数据'!$AB$3:$AB$181,"&gt;=2025-01-01",'2025数据'!$AB$3:$AB$181,"&lt;=2025-09-30")&gt;0,AVERAGEIFS('2025数据'!$AD$3:$AD$181,'2025数据'!$AB$3:$AB$181,"&gt;=2025-01-01",'2025数据'!$AB$3:$AB$181,"&lt;=2025-09-30"),""),"")</f>
        <v>8.4375</v>
      </c>
      <c r="M124" s="192">
        <f ca="1">IF('2025整理'!$S$1&gt;=DATE(2025,10,1),IF(COUNTIFS('2025数据'!$AB$3:$AB$181,"&gt;=2025-01-01",'2025数据'!$AB$3:$AB$181,"&lt;=2025-10-31")&gt;0,AVERAGEIFS('2025数据'!$AD$3:$AD$181,'2025数据'!$AB$3:$AB$181,"&gt;=2025-01-01",'2025数据'!$AB$3:$AB$181,"&lt;=2025-10-31"),""),"")</f>
        <v>10.7894736842105</v>
      </c>
      <c r="N124" s="192">
        <f ca="1">IF('2025整理'!$S$1&gt;=DATE(2025,11,1),IF(COUNTIFS('2025数据'!$AB$3:$AB$181,"&gt;=2025-01-01",'2025数据'!$AB$3:$AB$181,"&lt;=2025-11-30")&gt;0,AVERAGEIFS('2025数据'!$AD$3:$AD$181,'2025数据'!$AB$3:$AB$181,"&gt;=2025-01-01",'2025数据'!$AB$3:$AB$181,"&lt;=2025-11-30"),""),"")</f>
        <v>11.1904761904762</v>
      </c>
      <c r="O124" s="192">
        <f ca="1">IF('2025整理'!$S$1&gt;=DATE(2025,12,1),IF(COUNTIFS('2025数据'!$AB$3:$AB$181,"&gt;=2025-01-01",'2025数据'!$AB$3:$AB$181,"&lt;=2025-12-31")&gt;0,AVERAGEIFS('2025数据'!$AD$3:$AD$181,'2025数据'!$AB$3:$AB$181,"&gt;=2025-01-01",'2025数据'!$AB$3:$AB$181,"&lt;=2025-12-31"),""),"")</f>
        <v>11.1904761904762</v>
      </c>
      <c r="W124" s="190" t="s">
        <v>350</v>
      </c>
      <c r="X124" s="166" t="s">
        <v>375</v>
      </c>
      <c r="Y124" s="166" t="s">
        <v>380</v>
      </c>
      <c r="Z124" s="174">
        <f ca="1">IF(Z123="","",Z123/O121)</f>
        <v>1.2</v>
      </c>
      <c r="AA124" s="174">
        <f ca="1">IF(AA123="","",AA123/D123)</f>
        <v>-0.363636363636364</v>
      </c>
      <c r="AB124" s="174">
        <f ca="1">IF(AB123="","",IF(E123="",(AB123-1)/1,AB123/E123))</f>
        <v>0.119047619047619</v>
      </c>
      <c r="AC124" s="174">
        <f ca="1" t="shared" ref="AC124:AH124" si="130">IF(AC123="","",AC123/F123)</f>
        <v>-0.872340425531915</v>
      </c>
      <c r="AD124" s="174">
        <f ca="1" t="shared" si="130"/>
        <v>7.5</v>
      </c>
      <c r="AE124" s="174">
        <f ca="1" t="shared" si="130"/>
        <v>2.17647058823529</v>
      </c>
      <c r="AF124" s="174">
        <f ca="1" t="shared" si="130"/>
        <v>-0.888888888888889</v>
      </c>
      <c r="AG124" s="174">
        <f ca="1" t="shared" si="130"/>
        <v>1.44444444444444</v>
      </c>
      <c r="AH124" s="174" t="str">
        <f ca="1" t="shared" si="130"/>
        <v/>
      </c>
      <c r="AI124" s="174" t="e">
        <f ca="1">IF(AI123="","",AI123/N123)</f>
        <v>#VALUE!</v>
      </c>
      <c r="AJ124" s="174">
        <f ca="1" t="shared" ref="AJ124:AK124" si="131">IF(AJ123="","",AJ123/M123)</f>
        <v>-0.357142857142857</v>
      </c>
      <c r="AK124" s="174" t="str">
        <f ca="1" t="shared" si="131"/>
        <v/>
      </c>
    </row>
    <row r="125" ht="24.75" customHeight="1"/>
    <row r="126" ht="24.75" customHeight="1"/>
    <row r="127" ht="24.75" customHeight="1"/>
    <row r="128" ht="24.75" customHeight="1"/>
    <row r="129" ht="24.75" customHeight="1"/>
    <row r="130" ht="24.75" customHeight="1"/>
    <row r="131" ht="24.75" customHeight="1"/>
    <row r="132" ht="24.75" customHeight="1"/>
    <row r="133" ht="24.75" customHeight="1"/>
    <row r="134" ht="24.75" customHeight="1"/>
    <row r="135" ht="24.75" customHeight="1"/>
    <row r="136" ht="24.75" customHeight="1"/>
    <row r="137" ht="24.75" customHeight="1"/>
    <row r="138" ht="24.75" customHeight="1"/>
    <row r="139" ht="24.75" customHeight="1" spans="24:24">
      <c r="X139" s="194"/>
    </row>
    <row r="140" ht="24.75" customHeight="1"/>
    <row r="141" ht="24.75" customHeight="1" spans="1:3">
      <c r="A141" s="196" t="s">
        <v>389</v>
      </c>
      <c r="B141" s="141"/>
      <c r="C141" s="141"/>
    </row>
    <row r="142" ht="24.75" customHeight="1" spans="1:15">
      <c r="A142" s="181" t="s">
        <v>272</v>
      </c>
      <c r="B142" s="181" t="s">
        <v>390</v>
      </c>
      <c r="C142" s="181" t="s">
        <v>372</v>
      </c>
      <c r="D142" s="181" t="s">
        <v>277</v>
      </c>
      <c r="E142" s="181" t="s">
        <v>278</v>
      </c>
      <c r="F142" s="181" t="s">
        <v>279</v>
      </c>
      <c r="G142" s="181" t="s">
        <v>280</v>
      </c>
      <c r="H142" s="181" t="s">
        <v>281</v>
      </c>
      <c r="I142" s="181" t="s">
        <v>282</v>
      </c>
      <c r="J142" s="181" t="s">
        <v>283</v>
      </c>
      <c r="K142" s="181" t="s">
        <v>284</v>
      </c>
      <c r="L142" s="181" t="s">
        <v>285</v>
      </c>
      <c r="M142" s="181" t="s">
        <v>286</v>
      </c>
      <c r="N142" s="181" t="s">
        <v>287</v>
      </c>
      <c r="O142" s="181" t="s">
        <v>288</v>
      </c>
    </row>
    <row r="143" ht="24.75" customHeight="1" spans="1:15">
      <c r="A143" s="182" t="s">
        <v>289</v>
      </c>
      <c r="B143" s="197" t="s">
        <v>301</v>
      </c>
      <c r="C143" s="163" t="s">
        <v>303</v>
      </c>
      <c r="D143" s="178">
        <f ca="1">IF('2025整理'!$S$1&gt;=DATE(2025,1,1),'2025整理'!F231," ")</f>
        <v>2.02294</v>
      </c>
      <c r="E143" s="178">
        <f ca="1">IF('2025整理'!$S$1&gt;=DATE(2025,2,1),'2025整理'!G231," ")</f>
        <v>0.334588</v>
      </c>
      <c r="F143" s="178">
        <f ca="1">IF('2025整理'!$S$1&gt;=DATE(2025,3,1),'2025整理'!H231," ")</f>
        <v>0</v>
      </c>
      <c r="G143" s="178">
        <f ca="1">IF('2025整理'!$S$1&gt;=DATE(2025,4,1),'2025整理'!I231," ")</f>
        <v>0.0326</v>
      </c>
      <c r="H143" s="178">
        <f ca="1">IF('2025整理'!$S$1&gt;=DATE(2025,5,1),'2025整理'!J231," ")</f>
        <v>4.011593</v>
      </c>
      <c r="I143" s="178">
        <f ca="1">IF('2025整理'!$S$1&gt;=DATE(2025,6,1),'2025整理'!K231," ")</f>
        <v>0.00298000000000002</v>
      </c>
      <c r="J143" s="178">
        <f ca="1">IF('2025整理'!$S$1&gt;=DATE(2025,7,1),'2025整理'!L231," ")</f>
        <v>0.240443</v>
      </c>
      <c r="K143" s="178">
        <f ca="1">IF('2025整理'!$S$1&gt;=DATE(2025,8,1),'2025整理'!M231," ")</f>
        <v>0.356869000000001</v>
      </c>
      <c r="L143" s="178">
        <f ca="1">IF('2025整理'!$S$1&gt;=DATE(2025,9,1),'2025整理'!N231," ")</f>
        <v>0.195578</v>
      </c>
      <c r="M143" s="178">
        <f ca="1">IF('2025整理'!$S$1&gt;=DATE(2025,10,1),'2025整理'!O231," ")</f>
        <v>0</v>
      </c>
      <c r="N143" s="178">
        <f ca="1">IF('2025整理'!$S$1&gt;=DATE(2025,11,1),'2025整理'!P231," ")</f>
        <v>0.244689</v>
      </c>
      <c r="O143" s="178">
        <f ca="1">IF('2025整理'!$S$1&gt;=DATE(2025,12,1),'2025整理'!Q231," ")</f>
        <v>1.054204</v>
      </c>
    </row>
    <row r="144" ht="24.75" customHeight="1" spans="1:15">
      <c r="A144" s="185" t="s">
        <v>289</v>
      </c>
      <c r="B144" s="197" t="s">
        <v>301</v>
      </c>
      <c r="C144" s="166" t="s">
        <v>391</v>
      </c>
      <c r="D144" s="198">
        <f ca="1">IF('2025整理'!$S$1&gt;=DATE(2025,1,1),'2025整理'!F231/'2025整理'!F244," ")</f>
        <v>0.193008864645824</v>
      </c>
      <c r="E144" s="198">
        <f ca="1">IF('2025整理'!$S$1&gt;=DATE(2025,2,1),'2025整理'!G231/'2025整理'!G244," ")</f>
        <v>0.0374771443945578</v>
      </c>
      <c r="F144" s="198" t="str">
        <f ca="1">IF(F143=0,"",IF('2025整理'!$S$1&gt;=DATE(2025,3,1),'2025整理'!H231/'2025整理'!H244," "))</f>
        <v/>
      </c>
      <c r="G144" s="198">
        <f ca="1">IF(G143=0,"",IF('2025整理'!$S$1&gt;=DATE(2025,4,1),'2025整理'!I231/'2025整理'!I244," "))</f>
        <v>0.0189521661279446</v>
      </c>
      <c r="H144" s="198">
        <f ca="1">IF(H143=0,"",IF('2025整理'!$S$1&gt;=DATE(2025,5,1),'2025整理'!J231/'2025整理'!J244," "))</f>
        <v>0.376781711647277</v>
      </c>
      <c r="I144" s="198">
        <f ca="1">IF(I143=0,"",IF('2025整理'!$S$1&gt;=DATE(2025,6,1),'2025整理'!K231/'2025整理'!K244," "))</f>
        <v>0.00671426736753408</v>
      </c>
      <c r="J144" s="198">
        <f ca="1">IF(J143=0,"",IF('2025整理'!$S$1&gt;=DATE(2025,7,1),'2025整理'!L231/'2025整理'!L244," "))</f>
        <v>0.0405378429968901</v>
      </c>
      <c r="K144" s="198">
        <f ca="1">IF(K143=0,"",IF('2025整理'!$S$1&gt;=DATE(2025,8,1),'2025整理'!M231/'2025整理'!M244," "))</f>
        <v>0.046838648168278</v>
      </c>
      <c r="L144" s="198">
        <f ca="1">IF(L143=0,"",IF('2025整理'!$S$1&gt;=DATE(2025,9,1),'2025整理'!N231/'2025整理'!N244," "))</f>
        <v>0.0872406073093192</v>
      </c>
      <c r="M144" s="198" t="str">
        <f ca="1">IF(M143=0,"",IF('2025整理'!$S$1&gt;=DATE(2025,10,1),'2025整理'!O231/'2025整理'!O244," "))</f>
        <v/>
      </c>
      <c r="N144" s="198">
        <f ca="1">IF(N143=0,"",IF('2025整理'!$S$1&gt;=DATE(2025,11,1),'2025整理'!P231/'2025整理'!P244," "))</f>
        <v>0.0571228003990138</v>
      </c>
      <c r="O144" s="198">
        <f ca="1">IF(O143=0,"",IF('2025整理'!$S$1&gt;=DATE(2025,12,1),'2025整理'!Q231/'2025整理'!Q244," "))</f>
        <v>0.30274983802859</v>
      </c>
    </row>
    <row r="145" ht="24.75" customHeight="1" spans="1:15">
      <c r="A145" s="185" t="s">
        <v>289</v>
      </c>
      <c r="B145" s="197" t="s">
        <v>301</v>
      </c>
      <c r="C145" s="163" t="s">
        <v>326</v>
      </c>
      <c r="D145" s="199">
        <f ca="1">D143</f>
        <v>2.02294</v>
      </c>
      <c r="E145" s="199">
        <f ca="1" t="shared" ref="E145:H145" si="132">E143+D145</f>
        <v>2.357528</v>
      </c>
      <c r="F145" s="199">
        <f ca="1" t="shared" si="132"/>
        <v>2.357528</v>
      </c>
      <c r="G145" s="199">
        <f ca="1" t="shared" si="132"/>
        <v>2.390128</v>
      </c>
      <c r="H145" s="199">
        <f ca="1" t="shared" si="132"/>
        <v>6.401721</v>
      </c>
      <c r="I145" s="199">
        <f ca="1" t="shared" ref="I145:O145" si="133">IF(I143=" "," ",I143+H145)</f>
        <v>6.404701</v>
      </c>
      <c r="J145" s="199">
        <f ca="1" t="shared" si="133"/>
        <v>6.645144</v>
      </c>
      <c r="K145" s="199">
        <f ca="1" t="shared" si="133"/>
        <v>7.002013</v>
      </c>
      <c r="L145" s="199">
        <f ca="1" t="shared" si="133"/>
        <v>7.197591</v>
      </c>
      <c r="M145" s="199">
        <f ca="1" t="shared" si="133"/>
        <v>7.197591</v>
      </c>
      <c r="N145" s="199">
        <f ca="1" t="shared" si="133"/>
        <v>7.44228</v>
      </c>
      <c r="O145" s="199">
        <f ca="1" t="shared" si="133"/>
        <v>8.496484</v>
      </c>
    </row>
    <row r="146" ht="24.75" customHeight="1" spans="1:15">
      <c r="A146" s="190" t="s">
        <v>289</v>
      </c>
      <c r="B146" s="197" t="s">
        <v>301</v>
      </c>
      <c r="C146" s="166" t="s">
        <v>392</v>
      </c>
      <c r="D146" s="200">
        <f ca="1">IF('2025整理'!$S$1&gt;=DATE(2025,1,1),D145/'2025整理'!F247," ")</f>
        <v>0.193008864645824</v>
      </c>
      <c r="E146" s="200">
        <f ca="1">IF('2025整理'!$S$1&gt;=DATE(2025,2,1),E145/'2025整理'!G247," ")</f>
        <v>0.121466581681429</v>
      </c>
      <c r="F146" s="200">
        <f ca="1">IF('2025整理'!$S$1&gt;=DATE(2025,3,1),F145/'2025整理'!H247," ")</f>
        <v>0.121466581681429</v>
      </c>
      <c r="G146" s="200">
        <f ca="1">IF('2025整理'!$S$1&gt;=DATE(2025,4,1),G145/'2025整理'!I247," ")</f>
        <v>0.113120836258029</v>
      </c>
      <c r="H146" s="200">
        <f ca="1">IF('2025整理'!$S$1&gt;=DATE(2025,5,1),H145/'2025整理'!J247," ")</f>
        <v>0.201464181619472</v>
      </c>
      <c r="I146" s="200">
        <f ca="1">IF('2025整理'!$S$1&gt;=DATE(2025,6,1),I145/'2025整理'!K247," ")</f>
        <v>0.198781482458911</v>
      </c>
      <c r="J146" s="200">
        <f ca="1">IF('2025整理'!$S$1&gt;=DATE(2025,7,1),J145/'2025整理'!L247," ")</f>
        <v>0.174179484963604</v>
      </c>
      <c r="K146" s="200">
        <f ca="1">IF('2025整理'!$S$1&gt;=DATE(2025,8,1),K145/'2025整理'!M247," ")</f>
        <v>0.152981774643408</v>
      </c>
      <c r="L146" s="200">
        <f ca="1">IF('2025整理'!$S$1&gt;=DATE(2025,9,1),L145/'2025整理'!N247," ")</f>
        <v>0.149912128338739</v>
      </c>
      <c r="M146" s="200">
        <f ca="1">IF('2025整理'!$S$1&gt;=DATE(2025,10,1),M145/'2025整理'!O247," ")</f>
        <v>0.149912128338739</v>
      </c>
      <c r="N146" s="200">
        <f ca="1">IF('2025整理'!$S$1&gt;=DATE(2025,11,1),N145/'2025整理'!P247," ")</f>
        <v>0.142311708013368</v>
      </c>
      <c r="O146" s="200">
        <f ca="1">IF('2025整理'!$S$1&gt;=DATE(2025,12,1),O145/'2025整理'!Q247," ")</f>
        <v>0.152327551987018</v>
      </c>
    </row>
    <row r="147" ht="24.75" customHeight="1" spans="1:15">
      <c r="A147" s="182" t="s">
        <v>345</v>
      </c>
      <c r="B147" s="197" t="s">
        <v>301</v>
      </c>
      <c r="C147" s="163" t="s">
        <v>303</v>
      </c>
      <c r="D147" s="178">
        <f ca="1">IF('2025整理'!$S$1&gt;=DATE(2025,1,1),'2025整理'!F566," ")</f>
        <v>0</v>
      </c>
      <c r="E147" s="178">
        <f ca="1">IF('2025整理'!$S$1&gt;=DATE(2025,2,1),'2025整理'!G566," ")</f>
        <v>0</v>
      </c>
      <c r="F147" s="178">
        <f ca="1">IF('2025整理'!$S$1&gt;=DATE(2025,3,1),'2025整理'!H566," ")</f>
        <v>0</v>
      </c>
      <c r="G147" s="178">
        <f ca="1">IF('2025整理'!$S$1&gt;=DATE(2025,4,1),'2025整理'!I566," ")</f>
        <v>0</v>
      </c>
      <c r="H147" s="178">
        <f ca="1">IF('2025整理'!$S$1&gt;=DATE(2025,5,1),'2025整理'!J566," ")</f>
        <v>0</v>
      </c>
      <c r="I147" s="178">
        <f ca="1">IF('2025整理'!$S$1&gt;=DATE(2025,6,1),'2025整理'!K566," ")</f>
        <v>0</v>
      </c>
      <c r="J147" s="178">
        <f ca="1">IF('2025整理'!$S$1&gt;=DATE(2025,7,1),'2025整理'!L566," ")</f>
        <v>0</v>
      </c>
      <c r="K147" s="178">
        <f ca="1">IF('2025整理'!$S$1&gt;=DATE(2025,8,1),'2025整理'!M566," ")</f>
        <v>0</v>
      </c>
      <c r="L147" s="178">
        <f ca="1">IF('2025整理'!$S$1&gt;=DATE(2025,9,1),'2025整理'!N566," ")</f>
        <v>0</v>
      </c>
      <c r="M147" s="178">
        <f ca="1">IF('2025整理'!$S$1&gt;=DATE(2025,10,1),'2025整理'!O566," ")</f>
        <v>0.0587880000000001</v>
      </c>
      <c r="N147" s="178">
        <f ca="1">IF('2025整理'!$S$1&gt;=DATE(2025,11,1),'2025整理'!P566," ")</f>
        <v>0</v>
      </c>
      <c r="O147" s="178">
        <f ca="1">IF('2025整理'!$S$1&gt;=DATE(2025,12,1),'2025整理'!Q566," ")</f>
        <v>0</v>
      </c>
    </row>
    <row r="148" ht="24.75" customHeight="1" spans="1:15">
      <c r="A148" s="185" t="s">
        <v>345</v>
      </c>
      <c r="B148" s="197" t="s">
        <v>301</v>
      </c>
      <c r="C148" s="166" t="s">
        <v>391</v>
      </c>
      <c r="D148" s="198" t="str">
        <f ca="1">IF(D147=0,"",IF('2025整理'!$S$1&gt;=DATE(2025,1,1),'2025整理'!F566/'2025整理'!F579," "))</f>
        <v/>
      </c>
      <c r="E148" s="198" t="str">
        <f ca="1">IF(E147=0,"",IF('2025整理'!$S$1&gt;=DATE(2025,2,1),'2025整理'!G566/'2025整理'!G579," "))</f>
        <v/>
      </c>
      <c r="F148" s="198" t="str">
        <f ca="1">IF(F147=0,"",IF('2025整理'!$S$1&gt;=DATE(2025,3,1),'2025整理'!H566/'2025整理'!H579," "))</f>
        <v/>
      </c>
      <c r="G148" s="198" t="str">
        <f ca="1">IF(G147=0,"",IF('2025整理'!$S$1&gt;=DATE(2025,4,1),'2025整理'!I566/'2025整理'!I579," "))</f>
        <v/>
      </c>
      <c r="H148" s="198" t="str">
        <f ca="1">IF(H147=0,"",IF('2025整理'!$S$1&gt;=DATE(2025,5,1),'2025整理'!J566/'2025整理'!J579," "))</f>
        <v/>
      </c>
      <c r="I148" s="198" t="str">
        <f ca="1">IF(I147=0,"",IF('2025整理'!$S$1&gt;=DATE(2025,6,1),'2025整理'!K566/'2025整理'!K579," "))</f>
        <v/>
      </c>
      <c r="J148" s="198" t="str">
        <f ca="1">IF(J147=0,"",IF('2025整理'!$S$1&gt;=DATE(2025,7,1),'2025整理'!L566/'2025整理'!L579," "))</f>
        <v/>
      </c>
      <c r="K148" s="198" t="str">
        <f ca="1">IF(K147=0,"",IF('2025整理'!$S$1&gt;=DATE(2025,8,1),'2025整理'!M566/'2025整理'!M579," "))</f>
        <v/>
      </c>
      <c r="L148" s="198" t="str">
        <f ca="1">IF(L147=0,"",IF('2025整理'!$S$1&gt;=DATE(2025,9,1),'2025整理'!N566/'2025整理'!N579," "))</f>
        <v/>
      </c>
      <c r="M148" s="198">
        <f ca="1">IF(M147=0,"",IF('2025整理'!$S$1&gt;=DATE(2025,10,1),'2025整理'!O566/'2025整理'!O579," "))</f>
        <v>0.0266179115344284</v>
      </c>
      <c r="N148" s="198" t="str">
        <f ca="1">IF(N147=0,"",IF('2025整理'!$S$1&gt;=DATE(2025,11,1),'2025整理'!P566/'2025整理'!P579," "))</f>
        <v/>
      </c>
      <c r="O148" s="198" t="str">
        <f ca="1">IF(O147=0,"",IF('2025整理'!$S$1&gt;=DATE(2025,12,1),'2025整理'!Q566/'2025整理'!Q579," "))</f>
        <v/>
      </c>
    </row>
    <row r="149" ht="24.75" customHeight="1" spans="1:15">
      <c r="A149" s="185" t="s">
        <v>345</v>
      </c>
      <c r="B149" s="197" t="s">
        <v>301</v>
      </c>
      <c r="C149" s="163" t="s">
        <v>326</v>
      </c>
      <c r="D149" s="199">
        <f ca="1">D147</f>
        <v>0</v>
      </c>
      <c r="E149" s="199">
        <f ca="1" t="shared" ref="E149:H149" si="134">E147+D149</f>
        <v>0</v>
      </c>
      <c r="F149" s="199">
        <f ca="1" t="shared" si="134"/>
        <v>0</v>
      </c>
      <c r="G149" s="199">
        <f ca="1" t="shared" si="134"/>
        <v>0</v>
      </c>
      <c r="H149" s="199">
        <f ca="1" t="shared" si="134"/>
        <v>0</v>
      </c>
      <c r="I149" s="199">
        <f ca="1" t="shared" ref="I149:O149" si="135">IF(I147=" "," ",I147+H149)</f>
        <v>0</v>
      </c>
      <c r="J149" s="199">
        <f ca="1" t="shared" si="135"/>
        <v>0</v>
      </c>
      <c r="K149" s="199">
        <f ca="1" t="shared" si="135"/>
        <v>0</v>
      </c>
      <c r="L149" s="199">
        <f ca="1" t="shared" si="135"/>
        <v>0</v>
      </c>
      <c r="M149" s="199">
        <f ca="1" t="shared" si="135"/>
        <v>0.0587880000000001</v>
      </c>
      <c r="N149" s="199">
        <f ca="1" t="shared" si="135"/>
        <v>0.0587880000000001</v>
      </c>
      <c r="O149" s="199">
        <f ca="1" t="shared" si="135"/>
        <v>0.0587880000000001</v>
      </c>
    </row>
    <row r="150" ht="24.75" customHeight="1" spans="1:15">
      <c r="A150" s="190" t="s">
        <v>345</v>
      </c>
      <c r="B150" s="197" t="s">
        <v>301</v>
      </c>
      <c r="C150" s="166" t="s">
        <v>392</v>
      </c>
      <c r="D150" s="200" t="str">
        <f ca="1">IF('2025整理'!F582=0,"",IF('2025整理'!$S$1&gt;=DATE(2025,1,1),D149/'2025整理'!F582," "))</f>
        <v/>
      </c>
      <c r="E150" s="200" t="str">
        <f ca="1">IF('2025整理'!G582=0,"",IF('2025整理'!$S$1&gt;=DATE(2025,2,1),E149/'2025整理'!G582," "))</f>
        <v/>
      </c>
      <c r="F150" s="200" t="str">
        <f ca="1">IF('2025整理'!H582=0,"",IF('2025整理'!$S$1&gt;=DATE(2025,3,1),F149/'2025整理'!H582," "))</f>
        <v/>
      </c>
      <c r="G150" s="200" t="str">
        <f ca="1">IF('2025整理'!I582=0,"",IF('2025整理'!$S$1&gt;=DATE(2025,4,1),G149/'2025整理'!I582," "))</f>
        <v/>
      </c>
      <c r="H150" s="200" t="str">
        <f ca="1">IF('2025整理'!J582=0,"",IF('2025整理'!$S$1&gt;=DATE(2025,5,1),H149/'2025整理'!J582," "))</f>
        <v/>
      </c>
      <c r="I150" s="200" t="str">
        <f ca="1">IF('2025整理'!K582=0,"",IF('2025整理'!$S$1&gt;=DATE(2025,6,1),I149/'2025整理'!K582," "))</f>
        <v/>
      </c>
      <c r="J150" s="200" t="str">
        <f ca="1">IF('2025整理'!L582=0,"",IF('2025整理'!$S$1&gt;=DATE(2025,7,1),J149/'2025整理'!L582," "))</f>
        <v/>
      </c>
      <c r="K150" s="200" t="str">
        <f ca="1">IF('2025整理'!M582=0,"",IF('2025整理'!$S$1&gt;=DATE(2025,8,1),K149/'2025整理'!M582," "))</f>
        <v/>
      </c>
      <c r="L150" s="200" t="str">
        <f ca="1">IF('2025整理'!N582=0,"",IF('2025整理'!$S$1&gt;=DATE(2025,9,1),L149/'2025整理'!N582," "))</f>
        <v/>
      </c>
      <c r="M150" s="200">
        <f ca="1">IF('2025整理'!O582=0,"",IF('2025整理'!$S$1&gt;=DATE(2025,10,1),M149/'2025整理'!O582," "))</f>
        <v>0.0266179115344284</v>
      </c>
      <c r="N150" s="200">
        <f ca="1">IF('2025整理'!P582=0,"",IF('2025整理'!$S$1&gt;=DATE(2025,11,1),N149/'2025整理'!P582," "))</f>
        <v>0.0266179115344284</v>
      </c>
      <c r="O150" s="200">
        <f ca="1">IF('2025整理'!Q582=0,"",IF('2025整理'!$S$1&gt;=DATE(2025,12,1),O149/'2025整理'!Q582," "))</f>
        <v>0.0266179115344284</v>
      </c>
    </row>
    <row r="151" ht="24.75" customHeight="1" spans="1:15">
      <c r="A151" s="182" t="s">
        <v>346</v>
      </c>
      <c r="B151" s="197" t="s">
        <v>301</v>
      </c>
      <c r="C151" s="163" t="s">
        <v>303</v>
      </c>
      <c r="D151" s="178">
        <f ca="1">IF('2025整理'!$S$1&gt;=DATE(2025,1,1),'2025整理'!F876," ")</f>
        <v>0.320264</v>
      </c>
      <c r="E151" s="178">
        <f ca="1">IF('2025整理'!$S$1&gt;=DATE(2025,2,1),'2025整理'!G876," ")</f>
        <v>0</v>
      </c>
      <c r="F151" s="178">
        <f ca="1">IF('2025整理'!$S$1&gt;=DATE(2025,3,1),'2025整理'!H876," ")</f>
        <v>0</v>
      </c>
      <c r="G151" s="178">
        <f ca="1">IF('2025整理'!$S$1&gt;=DATE(2025,4,1),'2025整理'!I876," ")</f>
        <v>0.0835249999999999</v>
      </c>
      <c r="H151" s="178">
        <f ca="1">IF('2025整理'!$S$1&gt;=DATE(2025,5,1),'2025整理'!J876," ")</f>
        <v>0.092946</v>
      </c>
      <c r="I151" s="178">
        <f ca="1">IF('2025整理'!$S$1&gt;=DATE(2025,6,1),'2025整理'!K876," ")</f>
        <v>0.174503000000001</v>
      </c>
      <c r="J151" s="178">
        <f ca="1">IF('2025整理'!$S$1&gt;=DATE(2025,7,1),'2025整理'!L876," ")</f>
        <v>0.065021</v>
      </c>
      <c r="K151" s="178">
        <f ca="1">IF('2025整理'!$S$1&gt;=DATE(2025,8,1),'2025整理'!M876," ")</f>
        <v>0.115628</v>
      </c>
      <c r="L151" s="178">
        <f ca="1">IF('2025整理'!$S$1&gt;=DATE(2025,9,1),'2025整理'!N876," ")</f>
        <v>0.110118</v>
      </c>
      <c r="M151" s="178">
        <f ca="1">IF('2025整理'!$S$1&gt;=DATE(2025,10,1),'2025整理'!O876," ")</f>
        <v>0.057938</v>
      </c>
      <c r="N151" s="178">
        <f ca="1">IF('2025整理'!$S$1&gt;=DATE(2025,11,1),'2025整理'!P876," ")</f>
        <v>0.00626499999999999</v>
      </c>
      <c r="O151" s="178">
        <f ca="1">IF('2025整理'!$S$1&gt;=DATE(2025,12,1),'2025整理'!Q876," ")</f>
        <v>0.037756</v>
      </c>
    </row>
    <row r="152" ht="24.75" customHeight="1" spans="1:15">
      <c r="A152" s="185" t="s">
        <v>346</v>
      </c>
      <c r="B152" s="197" t="s">
        <v>301</v>
      </c>
      <c r="C152" s="166" t="s">
        <v>391</v>
      </c>
      <c r="D152" s="198">
        <f ca="1">IF('2025整理'!$S$1&gt;=DATE(2025,1,1),'2025整理'!F876/'2025整理'!F889," ")</f>
        <v>0.0813776655578783</v>
      </c>
      <c r="E152" s="198" t="str">
        <f ca="1">IF(E151=0,"",IF('2025整理'!$S$1&gt;=DATE(2025,2,1),'2025整理'!G876/'2025整理'!G889," "))</f>
        <v/>
      </c>
      <c r="F152" s="198" t="str">
        <f ca="1">IF(F151=0,"",IF('2025整理'!$S$1&gt;=DATE(2025,3,1),'2025整理'!H876/'2025整理'!H889," "))</f>
        <v/>
      </c>
      <c r="G152" s="198">
        <f ca="1">IF(G151=0,"",IF('2025整理'!$S$1&gt;=DATE(2025,4,1),'2025整理'!I876/'2025整理'!I889," "))</f>
        <v>0.0211823840674996</v>
      </c>
      <c r="H152" s="198">
        <f ca="1">IF(H151=0,"",IF('2025整理'!$S$1&gt;=DATE(2025,5,1),'2025整理'!J876/'2025整理'!J889," "))</f>
        <v>0.0622009441298386</v>
      </c>
      <c r="I152" s="198" t="str">
        <f ca="1">IF(F151=0,"",IF(I151=0,"",IF('2025整理'!$S$1&gt;=DATE(2025,6,1),'2025整理'!K876/'2025整理'!K889," ")))</f>
        <v/>
      </c>
      <c r="J152" s="198">
        <f ca="1">IF(G151=0,"",IF(J151=0,"",IF('2025整理'!$S$1&gt;=DATE(2025,7,1),'2025整理'!L876/'2025整理'!L889," ")))</f>
        <v>0.0594848083698284</v>
      </c>
      <c r="K152" s="198">
        <f ca="1">IF(H151=0,"",IF(K151=0,"",IF('2025整理'!$S$1&gt;=DATE(2025,8,1),'2025整理'!M876/'2025整理'!M889," ")))</f>
        <v>0.0366848714087831</v>
      </c>
      <c r="L152" s="198">
        <f ca="1">IF(I151=0,"",IF(L151=0,"",IF('2025整理'!$S$1&gt;=DATE(2025,9,1),'2025整理'!N876/'2025整理'!N889," ")))</f>
        <v>0.0300820852628979</v>
      </c>
      <c r="M152" s="198">
        <f ca="1">IF(J151=0,"",IF(M151=0,"",IF('2025整理'!$S$1&gt;=DATE(2025,10,1),'2025整理'!O876/'2025整理'!O889," ")))</f>
        <v>0.0367862419531286</v>
      </c>
      <c r="N152" s="198">
        <f ca="1">IF(K151=0,"",IF(N151=0,"",IF('2025整理'!$S$1&gt;=DATE(2025,11,1),'2025整理'!P876/'2025整理'!P889," ")))</f>
        <v>0.0306383935994366</v>
      </c>
      <c r="O152" s="198">
        <f ca="1">IF(L151=0,"",IF(O151=0,"",IF('2025整理'!$S$1&gt;=DATE(2025,12,1),'2025整理'!Q876/'2025整理'!Q889," ")))</f>
        <v>0.0161066289895432</v>
      </c>
    </row>
    <row r="153" ht="24.75" customHeight="1" spans="1:15">
      <c r="A153" s="185" t="s">
        <v>346</v>
      </c>
      <c r="B153" s="197" t="s">
        <v>301</v>
      </c>
      <c r="C153" s="163" t="s">
        <v>326</v>
      </c>
      <c r="D153" s="199">
        <f ca="1">D151</f>
        <v>0.320264</v>
      </c>
      <c r="E153" s="199">
        <f ca="1" t="shared" ref="E153:H153" si="136">E151+D153</f>
        <v>0.320264</v>
      </c>
      <c r="F153" s="199">
        <f ca="1" t="shared" si="136"/>
        <v>0.320264</v>
      </c>
      <c r="G153" s="199">
        <f ca="1" t="shared" si="136"/>
        <v>0.403789</v>
      </c>
      <c r="H153" s="199">
        <f ca="1" t="shared" si="136"/>
        <v>0.496735</v>
      </c>
      <c r="I153" s="199">
        <f ca="1" t="shared" ref="I153:O153" si="137">IF(I151=" "," ",I151+H153)</f>
        <v>0.671238000000001</v>
      </c>
      <c r="J153" s="199">
        <f ca="1" t="shared" si="137"/>
        <v>0.736259000000001</v>
      </c>
      <c r="K153" s="199">
        <f ca="1" t="shared" si="137"/>
        <v>0.851887000000001</v>
      </c>
      <c r="L153" s="199">
        <f ca="1" t="shared" si="137"/>
        <v>0.962005000000001</v>
      </c>
      <c r="M153" s="199">
        <f ca="1" t="shared" si="137"/>
        <v>1.019943</v>
      </c>
      <c r="N153" s="199">
        <f ca="1" t="shared" si="137"/>
        <v>1.026208</v>
      </c>
      <c r="O153" s="199">
        <f ca="1" t="shared" si="137"/>
        <v>1.063964</v>
      </c>
    </row>
    <row r="154" ht="24.75" customHeight="1" spans="1:15">
      <c r="A154" s="190" t="s">
        <v>346</v>
      </c>
      <c r="B154" s="197" t="s">
        <v>301</v>
      </c>
      <c r="C154" s="166" t="s">
        <v>392</v>
      </c>
      <c r="D154" s="200">
        <f ca="1">IF('2025整理'!$S$1&gt;=DATE(2025,1,1),D153/'2025整理'!F892," ")</f>
        <v>0.0813776655578783</v>
      </c>
      <c r="E154" s="200">
        <f ca="1">IF('2025整理'!$S$1&gt;=DATE(2025,2,1),E153/'2025整理'!G892," ")</f>
        <v>0.0813776655578783</v>
      </c>
      <c r="F154" s="200">
        <f ca="1">IF('2025整理'!$S$1&gt;=DATE(2025,3,1),F153/'2025整理'!H892," ")</f>
        <v>0.0813776655578783</v>
      </c>
      <c r="G154" s="200">
        <f ca="1">IF('2025整理'!$S$1&gt;=DATE(2025,4,1),G153/'2025整理'!I892," ")</f>
        <v>0.0512509611403561</v>
      </c>
      <c r="H154" s="200">
        <f ca="1">IF('2025整理'!$S$1&gt;=DATE(2025,5,1),H153/'2025整理'!J892," ")</f>
        <v>0.052996666577047</v>
      </c>
      <c r="I154" s="200">
        <f ca="1">IF('2025整理'!$S$1&gt;=DATE(2025,6,1),I153/'2025整理'!K892," ")</f>
        <v>0.0294820021731644</v>
      </c>
      <c r="J154" s="200">
        <f ca="1">IF('2025整理'!$S$1&gt;=DATE(2025,7,1),J153/'2025整理'!L892," ")</f>
        <v>0.0308564385336781</v>
      </c>
      <c r="K154" s="200">
        <f ca="1">IF('2025整理'!$S$1&gt;=DATE(2025,8,1),K153/'2025整理'!M892," ")</f>
        <v>0.0315365178384877</v>
      </c>
      <c r="L154" s="200">
        <f ca="1">IF('2025整理'!$S$1&gt;=DATE(2025,9,1),L153/'2025整理'!N892," ")</f>
        <v>0.0313629443196526</v>
      </c>
      <c r="M154" s="200">
        <f ca="1">IF('2025整理'!$S$1&gt;=DATE(2025,10,1),M153/'2025整理'!O892," ")</f>
        <v>0.0316278155639318</v>
      </c>
      <c r="N154" s="200">
        <f ca="1">IF('2025整理'!$S$1&gt;=DATE(2025,11,1),N153/'2025整理'!P892," ")</f>
        <v>0.0316215813052401</v>
      </c>
      <c r="O154" s="200">
        <f ca="1">IF('2025整理'!$S$1&gt;=DATE(2025,12,1),O153/'2025整理'!Q892," ")</f>
        <v>0.0305764010421503</v>
      </c>
    </row>
    <row r="155" ht="24.75" customHeight="1" spans="1:15">
      <c r="A155" s="182" t="s">
        <v>347</v>
      </c>
      <c r="B155" s="197" t="s">
        <v>301</v>
      </c>
      <c r="C155" s="163" t="s">
        <v>303</v>
      </c>
      <c r="D155" s="178">
        <f ca="1">IF('2025整理'!$S$1&gt;=DATE(2025,1,1),'2025整理'!F1186," ")</f>
        <v>0</v>
      </c>
      <c r="E155" s="178">
        <f ca="1">IF('2025整理'!$S$1&gt;=DATE(2025,2,1),'2025整理'!G1186," ")</f>
        <v>0</v>
      </c>
      <c r="F155" s="178">
        <f ca="1">IF('2025整理'!$S$1&gt;=DATE(2025,3,1),'2025整理'!H1186," ")</f>
        <v>0</v>
      </c>
      <c r="G155" s="178">
        <f ca="1">IF('2025整理'!$S$1&gt;=DATE(2025,4,1),'2025整理'!I1186," ")</f>
        <v>0</v>
      </c>
      <c r="H155" s="178">
        <f ca="1">IF('2025整理'!$S$1&gt;=DATE(2025,5,1),'2025整理'!J1186," ")</f>
        <v>0</v>
      </c>
      <c r="I155" s="178">
        <f ca="1">IF('2025整理'!$S$1&gt;=DATE(2025,6,1),'2025整理'!K1186," ")</f>
        <v>0.00148899999999994</v>
      </c>
      <c r="J155" s="178">
        <f ca="1">IF('2025整理'!$S$1&gt;=DATE(2025,7,1),'2025整理'!L1186," ")</f>
        <v>0.00201399999999999</v>
      </c>
      <c r="K155" s="178">
        <f ca="1">IF('2025整理'!$S$1&gt;=DATE(2025,8,1),'2025整理'!M1186," ")</f>
        <v>0.00702699999999968</v>
      </c>
      <c r="L155" s="178">
        <f ca="1">IF('2025整理'!$S$1&gt;=DATE(2025,9,1),'2025整理'!N1186," ")</f>
        <v>0.00674599999999991</v>
      </c>
      <c r="M155" s="178">
        <f ca="1">IF('2025整理'!$S$1&gt;=DATE(2025,10,1),'2025整理'!O1186," ")</f>
        <v>0</v>
      </c>
      <c r="N155" s="178">
        <f ca="1">IF('2025整理'!$S$1&gt;=DATE(2025,11,1),'2025整理'!P1186," ")</f>
        <v>0</v>
      </c>
      <c r="O155" s="178">
        <f ca="1">IF('2025整理'!$S$1&gt;=DATE(2025,12,1),'2025整理'!Q1186," ")</f>
        <v>0</v>
      </c>
    </row>
    <row r="156" ht="24.75" customHeight="1" spans="1:15">
      <c r="A156" s="185" t="s">
        <v>347</v>
      </c>
      <c r="B156" s="197" t="s">
        <v>301</v>
      </c>
      <c r="C156" s="166" t="s">
        <v>391</v>
      </c>
      <c r="D156" s="198" t="str">
        <f ca="1">IF(D155=0,"",IF('2025整理'!$S$1&gt;=DATE(2025,1,1),'2025整理'!F1186/'2025整理'!F1199," "))</f>
        <v/>
      </c>
      <c r="E156" s="198" t="str">
        <f ca="1">IF(E155=0,"",IF('2025整理'!$S$1&gt;=DATE(2025,2,1),'2025整理'!G1186/'2025整理'!G1199," "))</f>
        <v/>
      </c>
      <c r="F156" s="198" t="str">
        <f ca="1">IF(F155=0,"",IF('2025整理'!$S$1&gt;=DATE(2025,3,1),'2025整理'!H1186/'2025整理'!H1199," "))</f>
        <v/>
      </c>
      <c r="G156" s="198" t="str">
        <f ca="1">IF(G155=0,"",IF('2025整理'!$S$1&gt;=DATE(2025,4,1),'2025整理'!I1186/'2025整理'!I1199," "))</f>
        <v/>
      </c>
      <c r="H156" s="198" t="str">
        <f ca="1">IF(H155=0,"",IF('2025整理'!$S$1&gt;=DATE(2025,5,1),'2025整理'!J1186/'2025整理'!J1199," "))</f>
        <v/>
      </c>
      <c r="I156" s="198" t="str">
        <f ca="1">IF(F155=0,"",IF(I155=0,"",IF('2025整理'!$S$1&gt;=DATE(2025,6,1),'2025整理'!K1186/'2025整理'!K1199," ")))</f>
        <v/>
      </c>
      <c r="J156" s="198" t="str">
        <f ca="1">IF(G155=0,"",IF(J155=0,"",IF('2025整理'!$S$1&gt;=DATE(2025,7,1),'2025整理'!L1186/'2025整理'!L1199," ")))</f>
        <v/>
      </c>
      <c r="K156" s="198" t="str">
        <f ca="1">IF(H155=0,"",IF(K155=0,"",IF('2025整理'!$S$1&gt;=DATE(2025,8,1),'2025整理'!M1186/'2025整理'!M1199," ")))</f>
        <v/>
      </c>
      <c r="L156" s="198">
        <f ca="1">IF(I155=0,"",IF(L155=0,"",IF('2025整理'!$S$1&gt;=DATE(2025,9,1),'2025整理'!N1186/'2025整理'!N1199," ")))</f>
        <v>0.00166799072393416</v>
      </c>
      <c r="M156" s="198" t="str">
        <f ca="1">IF(J155=0,"",IF(M155=0,"",IF('2025整理'!$S$1&gt;=DATE(2025,10,1),'2025整理'!O1186/'2025整理'!O1199," ")))</f>
        <v/>
      </c>
      <c r="N156" s="198" t="str">
        <f ca="1">IF(K155=0,"",IF(N155=0,"",IF('2025整理'!$S$1&gt;=DATE(2025,11,1),'2025整理'!P1186/'2025整理'!P1199," ")))</f>
        <v/>
      </c>
      <c r="O156" s="198" t="str">
        <f ca="1">IF(L155=0,"",IF(O155=0,"",IF('2025整理'!$S$1&gt;=DATE(2025,12,1),'2025整理'!Q1186/'2025整理'!Q1199," ")))</f>
        <v/>
      </c>
    </row>
    <row r="157" ht="24.75" customHeight="1" spans="1:15">
      <c r="A157" s="185" t="s">
        <v>347</v>
      </c>
      <c r="B157" s="197" t="s">
        <v>301</v>
      </c>
      <c r="C157" s="163" t="s">
        <v>326</v>
      </c>
      <c r="D157" s="199">
        <f ca="1">D155</f>
        <v>0</v>
      </c>
      <c r="E157" s="199">
        <f ca="1" t="shared" ref="E157:H157" si="138">E155+D157</f>
        <v>0</v>
      </c>
      <c r="F157" s="199">
        <f ca="1" t="shared" si="138"/>
        <v>0</v>
      </c>
      <c r="G157" s="199">
        <f ca="1" t="shared" si="138"/>
        <v>0</v>
      </c>
      <c r="H157" s="199">
        <f ca="1" t="shared" si="138"/>
        <v>0</v>
      </c>
      <c r="I157" s="199">
        <f ca="1" t="shared" ref="I157:O157" si="139">IF(I155=" "," ",I155+H157)</f>
        <v>0.00148899999999994</v>
      </c>
      <c r="J157" s="199">
        <f ca="1" t="shared" si="139"/>
        <v>0.00350299999999993</v>
      </c>
      <c r="K157" s="199">
        <f ca="1" t="shared" si="139"/>
        <v>0.0105299999999996</v>
      </c>
      <c r="L157" s="199">
        <f ca="1" t="shared" si="139"/>
        <v>0.0172759999999995</v>
      </c>
      <c r="M157" s="199">
        <f ca="1" t="shared" si="139"/>
        <v>0.0172759999999995</v>
      </c>
      <c r="N157" s="199">
        <f ca="1" t="shared" si="139"/>
        <v>0.0172759999999995</v>
      </c>
      <c r="O157" s="199">
        <f ca="1" t="shared" si="139"/>
        <v>0.0172759999999995</v>
      </c>
    </row>
    <row r="158" ht="24.75" customHeight="1" spans="1:15">
      <c r="A158" s="190" t="s">
        <v>347</v>
      </c>
      <c r="B158" s="197" t="s">
        <v>301</v>
      </c>
      <c r="C158" s="166" t="s">
        <v>392</v>
      </c>
      <c r="D158" s="200" t="str">
        <f ca="1">IF(D157=0,"",IF('2025整理'!$S$1&gt;=DATE(2025,1,1),D157/'2025整理'!F1202," "))</f>
        <v/>
      </c>
      <c r="E158" s="200" t="str">
        <f ca="1">IF(E157=0,"",IF('2025整理'!$S$1&gt;=DATE(2025,2,1),E157/'2025整理'!G1202," "))</f>
        <v/>
      </c>
      <c r="F158" s="200" t="str">
        <f ca="1">IF(F157=0,"",IF('2025整理'!$S$1&gt;=DATE(2025,3,1),F157/'2025整理'!H1202," "))</f>
        <v/>
      </c>
      <c r="G158" s="200" t="str">
        <f ca="1">IF(G157=0,"",IF('2025整理'!$S$1&gt;=DATE(2025,4,1),G157/'2025整理'!I1202," "))</f>
        <v/>
      </c>
      <c r="H158" s="200" t="str">
        <f ca="1">IF(H157=0,"",IF('2025整理'!$S$1&gt;=DATE(2025,5,1),H157/'2025整理'!J1202," "))</f>
        <v/>
      </c>
      <c r="I158" s="200">
        <f ca="1">IF(I157=0,"",IF('2025整理'!$S$1&gt;=DATE(2025,6,1),I157/'2025整理'!K1202," "))</f>
        <v>0.000588861772509504</v>
      </c>
      <c r="J158" s="200">
        <f ca="1">IF(J157=0,"",IF('2025整理'!$S$1&gt;=DATE(2025,7,1),J157/'2025整理'!L1202," "))</f>
        <v>0.00120944701375687</v>
      </c>
      <c r="K158" s="200">
        <f ca="1">IF(K157=0,"",IF('2025整理'!$S$1&gt;=DATE(2025,8,1),K157/'2025整理'!M1202," "))</f>
        <v>0.00133742053111974</v>
      </c>
      <c r="L158" s="200">
        <f ca="1">IF(L157=0,"",IF('2025整理'!$S$1&gt;=DATE(2025,9,1),L157/'2025整理'!N1202," "))</f>
        <v>0.00144960224042248</v>
      </c>
      <c r="M158" s="200">
        <f ca="1">IF(M157=0,"",IF('2025整理'!$S$1&gt;=DATE(2025,10,1),M157/'2025整理'!O1202," "))</f>
        <v>0.00144960224042248</v>
      </c>
      <c r="N158" s="200">
        <f ca="1">IF(N157=0,"",IF('2025整理'!$S$1&gt;=DATE(2025,11,1),N157/'2025整理'!P1202," "))</f>
        <v>0.00144960224042248</v>
      </c>
      <c r="O158" s="200">
        <f ca="1">IF(O157=0,"",IF('2025整理'!$S$1&gt;=DATE(2025,12,1),O157/'2025整理'!Q1202," "))</f>
        <v>0.00144960224042248</v>
      </c>
    </row>
    <row r="159" ht="24.75" customHeight="1" spans="1:15">
      <c r="A159" s="182" t="s">
        <v>348</v>
      </c>
      <c r="B159" s="197" t="s">
        <v>301</v>
      </c>
      <c r="C159" s="163" t="s">
        <v>303</v>
      </c>
      <c r="D159" s="178">
        <f ca="1">IF('2025整理'!$S$1&gt;=DATE(2025,1,1),'2025整理'!F1496," ")</f>
        <v>0.102369</v>
      </c>
      <c r="E159" s="178">
        <f ca="1">IF('2025整理'!$S$1&gt;=DATE(2025,2,1),'2025整理'!G1496," ")</f>
        <v>0.085059</v>
      </c>
      <c r="F159" s="178">
        <f ca="1">IF('2025整理'!$S$1&gt;=DATE(2025,3,1),'2025整理'!H1496," ")</f>
        <v>0</v>
      </c>
      <c r="G159" s="178">
        <f ca="1">IF('2025整理'!$S$1&gt;=DATE(2025,4,1),'2025整理'!I1496," ")</f>
        <v>0</v>
      </c>
      <c r="H159" s="178">
        <f ca="1">IF('2025整理'!$S$1&gt;=DATE(2025,5,1),'2025整理'!J1496," ")</f>
        <v>0.10842</v>
      </c>
      <c r="I159" s="178">
        <f ca="1">IF('2025整理'!$S$1&gt;=DATE(2025,6,1),'2025整理'!K1496," ")</f>
        <v>0.325424</v>
      </c>
      <c r="J159" s="178">
        <f ca="1">IF('2025整理'!$S$1&gt;=DATE(2025,7,1),'2025整理'!L1496," ")</f>
        <v>0.0178470000000001</v>
      </c>
      <c r="K159" s="178">
        <f ca="1">IF('2025整理'!$S$1&gt;=DATE(2025,8,1),'2025整理'!M1496," ")</f>
        <v>0.130188</v>
      </c>
      <c r="L159" s="178">
        <f ca="1">IF('2025整理'!$S$1&gt;=DATE(2025,9,1),'2025整理'!N1496," ")</f>
        <v>0.161575</v>
      </c>
      <c r="M159" s="178">
        <f ca="1">IF('2025整理'!$S$1&gt;=DATE(2025,10,1),'2025整理'!O1496," ")</f>
        <v>0.006678</v>
      </c>
      <c r="N159" s="178">
        <f ca="1">IF('2025整理'!$S$1&gt;=DATE(2025,11,1),'2025整理'!P1496," ")</f>
        <v>0.0284690000000001</v>
      </c>
      <c r="O159" s="178">
        <f ca="1">IF('2025整理'!$S$1&gt;=DATE(2025,12,1),'2025整理'!Q1496," ")</f>
        <v>0.0443229999999999</v>
      </c>
    </row>
    <row r="160" ht="24.75" customHeight="1" spans="1:15">
      <c r="A160" s="182" t="s">
        <v>348</v>
      </c>
      <c r="B160" s="197" t="s">
        <v>301</v>
      </c>
      <c r="C160" s="166" t="s">
        <v>391</v>
      </c>
      <c r="D160" s="198">
        <f ca="1">IF(D159=0,"",IF('2025整理'!$S$1&gt;=DATE(2025,1,1),'2025整理'!F1496/'2025整理'!F1509," "))</f>
        <v>0.0336718422101733</v>
      </c>
      <c r="E160" s="198">
        <f ca="1">IF(E159=0,"",IF('2025整理'!$S$1&gt;=DATE(2025,2,1),'2025整理'!G1496/'2025整理'!G1509," "))</f>
        <v>0.0298822962351939</v>
      </c>
      <c r="F160" s="198" t="str">
        <f ca="1">IF(F159=0,"",IF('2025整理'!$S$1&gt;=DATE(2025,3,1),'2025整理'!H1496/'2025整理'!H1509," "))</f>
        <v/>
      </c>
      <c r="G160" s="198" t="str">
        <f ca="1">IF(G159=0,"",IF('2025整理'!$S$1&gt;=DATE(2025,4,1),'2025整理'!I1496/'2025整理'!I1509," "))</f>
        <v/>
      </c>
      <c r="H160" s="198">
        <f ca="1">IF(H159=0,"",IF('2025整理'!$S$1&gt;=DATE(2025,5,1),'2025整理'!J1496/'2025整理'!J1509," "))</f>
        <v>0.035426128092802</v>
      </c>
      <c r="I160" s="198" t="str">
        <f ca="1">IF(F159=0,"",IF(I159=0,"",IF('2025整理'!$S$1&gt;=DATE(2025,6,1),'2025整理'!K1496/'2025整理'!K1509," ")))</f>
        <v/>
      </c>
      <c r="J160" s="198" t="str">
        <f ca="1">IF(G159=0,"",IF(J159=0,"",IF('2025整理'!$S$1&gt;=DATE(2025,7,1),'2025整理'!L1496/'2025整理'!L1509," ")))</f>
        <v/>
      </c>
      <c r="K160" s="198">
        <f ca="1">IF(H159=0,"",IF(K159=0,"",IF('2025整理'!$S$1&gt;=DATE(2025,8,1),'2025整理'!M1496/'2025整理'!M1509," ")))</f>
        <v>0.0267545524436536</v>
      </c>
      <c r="L160" s="198">
        <f ca="1">IF(I159=0,"",IF(L159=0,"",IF('2025整理'!$S$1&gt;=DATE(2025,9,1),'2025整理'!N1496/'2025整理'!N1509," ")))</f>
        <v>0.0352624391896154</v>
      </c>
      <c r="M160" s="198">
        <f ca="1">IF(J159=0,"",IF(M159=0,"",IF('2025整理'!$S$1&gt;=DATE(2025,10,1),'2025整理'!O1496/'2025整理'!O1509," ")))</f>
        <v>0.0112160646023823</v>
      </c>
      <c r="N160" s="198">
        <f ca="1">IF(K159=0,"",IF(N159=0,"",IF('2025整理'!$S$1&gt;=DATE(2025,11,1),'2025整理'!P1496/'2025整理'!P1509," ")))</f>
        <v>0.0236710055334063</v>
      </c>
      <c r="O160" s="198">
        <f ca="1">IF(L159=0,"",IF(O159=0,"",IF('2025整理'!$S$1&gt;=DATE(2025,12,1),'2025整理'!Q1496/'2025整理'!Q1509," ")))</f>
        <v>0.0182268813498822</v>
      </c>
    </row>
    <row r="161" ht="24.75" customHeight="1" spans="1:15">
      <c r="A161" s="182" t="s">
        <v>348</v>
      </c>
      <c r="B161" s="197" t="s">
        <v>301</v>
      </c>
      <c r="C161" s="163" t="s">
        <v>326</v>
      </c>
      <c r="D161" s="199">
        <f ca="1">D159</f>
        <v>0.102369</v>
      </c>
      <c r="E161" s="199">
        <f ca="1" t="shared" ref="E161:H161" si="140">E159+D161</f>
        <v>0.187428</v>
      </c>
      <c r="F161" s="199">
        <f ca="1" t="shared" si="140"/>
        <v>0.187428</v>
      </c>
      <c r="G161" s="199">
        <f ca="1" t="shared" si="140"/>
        <v>0.187428</v>
      </c>
      <c r="H161" s="199">
        <f ca="1" t="shared" si="140"/>
        <v>0.295848</v>
      </c>
      <c r="I161" s="199">
        <f ca="1" t="shared" ref="I161:O161" si="141">IF(I159=" "," ",I159+H161)</f>
        <v>0.621272</v>
      </c>
      <c r="J161" s="199">
        <f ca="1" t="shared" si="141"/>
        <v>0.639119</v>
      </c>
      <c r="K161" s="199">
        <f ca="1" t="shared" si="141"/>
        <v>0.769307</v>
      </c>
      <c r="L161" s="199">
        <f ca="1" t="shared" si="141"/>
        <v>0.930882</v>
      </c>
      <c r="M161" s="199">
        <f ca="1" t="shared" si="141"/>
        <v>0.93756</v>
      </c>
      <c r="N161" s="199">
        <f ca="1" t="shared" si="141"/>
        <v>0.966029</v>
      </c>
      <c r="O161" s="199">
        <f ca="1" t="shared" si="141"/>
        <v>1.010352</v>
      </c>
    </row>
    <row r="162" ht="24.75" customHeight="1" spans="1:15">
      <c r="A162" s="182" t="s">
        <v>348</v>
      </c>
      <c r="B162" s="197" t="s">
        <v>301</v>
      </c>
      <c r="C162" s="166" t="s">
        <v>392</v>
      </c>
      <c r="D162" s="198">
        <f ca="1">IF(D161=0,"",IF('2025整理'!$S$1&gt;=DATE(2025,1,1),'2025整理'!F1565/'2025整理'!F1512," "))</f>
        <v>0.0336718422101733</v>
      </c>
      <c r="E162" s="198">
        <f ca="1">IF(E161=0,"",IF('2025整理'!$S$1&gt;=DATE(2025,2,1),'2025整理'!G1565/'2025整理'!G1512," "))</f>
        <v>0.0318394255218236</v>
      </c>
      <c r="F162" s="198">
        <f ca="1">IF(F161=0,"",IF('2025整理'!$S$1&gt;=DATE(2025,3,1),'2025整理'!H1565/'2025整理'!H1512," "))</f>
        <v>0.0318394255218236</v>
      </c>
      <c r="G162" s="198">
        <f ca="1">IF(G161=0,"",IF('2025整理'!$S$1&gt;=DATE(2025,4,1),'2025整理'!I1565/'2025整理'!I1512," "))</f>
        <v>0.0318394255218236</v>
      </c>
      <c r="H162" s="198">
        <f ca="1">IF(H161=0,"",IF('2025整理'!$S$1&gt;=DATE(2025,5,1),'2025整理'!J1565/'2025整理'!J1512," "))</f>
        <v>0.0330662938687401</v>
      </c>
      <c r="I162" s="198">
        <f ca="1">IF(F161=0,"",IF(I161=0,"",IF('2025整理'!$S$1&gt;=DATE(2025,6,1),'2025整理'!K1565/'2025整理'!K1512," ")))</f>
        <v>0.0573253796974121</v>
      </c>
      <c r="J162" s="198">
        <f ca="1">IF(G161=0,"",IF(J161=0,"",IF('2025整理'!$S$1&gt;=DATE(2025,7,1),'2025整理'!L1565/'2025整理'!L1512," ")))</f>
        <v>0.0540174620559951</v>
      </c>
      <c r="K162" s="198">
        <f ca="1">IF(H161=0,"",IF(K161=0,"",IF('2025整理'!$S$1&gt;=DATE(2025,8,1),'2025整理'!M1565/'2025整理'!M1512," ")))</f>
        <v>0.046072566536613</v>
      </c>
      <c r="L162" s="198">
        <f ca="1">IF(I161=0,"",IF(L161=0,"",IF('2025整理'!$S$1&gt;=DATE(2025,9,1),'2025整理'!N1565/'2025整理'!N1512," ")))</f>
        <v>0.0437448763016749</v>
      </c>
      <c r="M162" s="198">
        <f ca="1">IF(J161=0,"",IF(M161=0,"",IF('2025整理'!$S$1&gt;=DATE(2025,10,1),'2025整理'!O1565/'2025整理'!O1512," ")))</f>
        <v>0.0428595114895226</v>
      </c>
      <c r="N162" s="198">
        <f ca="1">IF(K161=0,"",IF(N161=0,"",IF('2025整理'!$S$1&gt;=DATE(2025,11,1),'2025整理'!P1565/'2025整理'!P1512," ")))</f>
        <v>0.0418595100088457</v>
      </c>
      <c r="O162" s="198">
        <f ca="1">IF(L161=0,"",IF(O161=0,"",IF('2025整理'!$S$1&gt;=DATE(2025,12,1),'2025整理'!Q1565/'2025整理'!Q1512," ")))</f>
        <v>0.0396066990246505</v>
      </c>
    </row>
    <row r="163" ht="24.75" customHeight="1" spans="1:15">
      <c r="A163" s="182" t="s">
        <v>349</v>
      </c>
      <c r="B163" s="197" t="s">
        <v>301</v>
      </c>
      <c r="C163" s="163" t="s">
        <v>303</v>
      </c>
      <c r="D163" s="178">
        <f ca="1">IF('2025整理'!$S$1&gt;=DATE(2025,1,1),'2025整理'!F1806," ")</f>
        <v>0</v>
      </c>
      <c r="E163" s="178">
        <f ca="1">IF('2025整理'!$S$1&gt;=DATE(2025,2,1),'2025整理'!G1806," ")</f>
        <v>0</v>
      </c>
      <c r="F163" s="178">
        <f ca="1">IF('2025整理'!$S$1&gt;=DATE(2025,3,1),'2025整理'!H1806," ")</f>
        <v>0</v>
      </c>
      <c r="G163" s="178">
        <f ca="1">IF('2025整理'!$S$1&gt;=DATE(2025,4,1),'2025整理'!I1806," ")</f>
        <v>0</v>
      </c>
      <c r="H163" s="178">
        <f ca="1">IF('2025整理'!$S$1&gt;=DATE(2025,5,1),'2025整理'!J1806," ")</f>
        <v>0</v>
      </c>
      <c r="I163" s="178">
        <f ca="1">IF('2025整理'!$S$1&gt;=DATE(2025,6,1),'2025整理'!K1806," ")</f>
        <v>0</v>
      </c>
      <c r="J163" s="178">
        <f ca="1">IF('2025整理'!$S$1&gt;=DATE(2025,7,1),'2025整理'!L1806," ")</f>
        <v>0</v>
      </c>
      <c r="K163" s="178">
        <f ca="1">IF('2025整理'!$S$1&gt;=DATE(2025,8,1),'2025整理'!M1806," ")</f>
        <v>0</v>
      </c>
      <c r="L163" s="178">
        <f ca="1">IF('2025整理'!$S$1&gt;=DATE(2025,9,1),'2025整理'!N1806," ")</f>
        <v>0</v>
      </c>
      <c r="M163" s="178">
        <f ca="1">IF('2025整理'!$S$1&gt;=DATE(2025,10,1),'2025整理'!O1806," ")</f>
        <v>0</v>
      </c>
      <c r="N163" s="178">
        <f ca="1">IF('2025整理'!$S$1&gt;=DATE(2025,11,1),'2025整理'!P1806," ")</f>
        <v>0</v>
      </c>
      <c r="O163" s="178">
        <f ca="1">IF('2025整理'!$S$1&gt;=DATE(2025,12,1),'2025整理'!Q1806," ")</f>
        <v>0</v>
      </c>
    </row>
    <row r="164" ht="24.75" customHeight="1" spans="1:15">
      <c r="A164" s="185" t="s">
        <v>349</v>
      </c>
      <c r="B164" s="197" t="s">
        <v>301</v>
      </c>
      <c r="C164" s="166" t="s">
        <v>391</v>
      </c>
      <c r="D164" s="198" t="str">
        <f ca="1">IF(D163=0,"",IF('2025整理'!$S$1&gt;=DATE(2025,1,1),'2025整理'!F1806/'2025整理'!F1819," "))</f>
        <v/>
      </c>
      <c r="E164" s="198" t="str">
        <f ca="1">IF(E163=0,"",IF('2025整理'!$S$1&gt;=DATE(2025,2,1),'2025整理'!G1806/'2025整理'!G1819," "))</f>
        <v/>
      </c>
      <c r="F164" s="198" t="str">
        <f ca="1">IF(F163=0,"",IF('2025整理'!$S$1&gt;=DATE(2025,3,1),'2025整理'!H1806/'2025整理'!H1819," "))</f>
        <v/>
      </c>
      <c r="G164" s="198" t="str">
        <f ca="1">IF(G163=0,"",IF('2025整理'!$S$1&gt;=DATE(2025,4,1),'2025整理'!I1806/'2025整理'!I1819," "))</f>
        <v/>
      </c>
      <c r="H164" s="198" t="str">
        <f ca="1">IF(H163=0,"",IF('2025整理'!$S$1&gt;=DATE(2025,5,1),'2025整理'!J1806/'2025整理'!J1819," "))</f>
        <v/>
      </c>
      <c r="I164" s="198" t="str">
        <f ca="1">IF(F163=0,"",IF(I163=0,"",IF('2025整理'!$S$1&gt;=DATE(2025,6,1),'2025整理'!K1806/'2025整理'!K1819," ")))</f>
        <v/>
      </c>
      <c r="J164" s="198" t="str">
        <f ca="1">IF(G163=0,"",IF(J163=0,"",IF('2025整理'!$S$1&gt;=DATE(2025,7,1),'2025整理'!L1806/'2025整理'!L1819," ")))</f>
        <v/>
      </c>
      <c r="K164" s="198" t="str">
        <f ca="1">IF(H163=0,"",IF(K163=0,"",IF('2025整理'!$S$1&gt;=DATE(2025,8,1),'2025整理'!M1806/'2025整理'!M1819," ")))</f>
        <v/>
      </c>
      <c r="L164" s="198" t="str">
        <f ca="1">IF(I163=0,"",IF(L163=0,"",IF('2025整理'!$S$1&gt;=DATE(2025,9,1),'2025整理'!N1806/'2025整理'!N1819," ")))</f>
        <v/>
      </c>
      <c r="M164" s="198" t="str">
        <f ca="1">IF(J163=0,"",IF(M163=0,"",IF('2025整理'!$S$1&gt;=DATE(2025,10,1),'2025整理'!O1806/'2025整理'!O1819," ")))</f>
        <v/>
      </c>
      <c r="N164" s="198" t="str">
        <f ca="1">IF(K163=0,"",IF(N163=0,"",IF('2025整理'!$S$1&gt;=DATE(2025,11,1),'2025整理'!P1806/'2025整理'!P1819," ")))</f>
        <v/>
      </c>
      <c r="O164" s="198" t="str">
        <f ca="1">IF(L163=0,"",IF(O163=0,"",IF('2025整理'!$S$1&gt;=DATE(2025,12,1),'2025整理'!Q1806/'2025整理'!Q1819," ")))</f>
        <v/>
      </c>
    </row>
    <row r="165" ht="24.75" customHeight="1" spans="1:15">
      <c r="A165" s="185" t="s">
        <v>349</v>
      </c>
      <c r="B165" s="197" t="s">
        <v>301</v>
      </c>
      <c r="C165" s="163" t="s">
        <v>326</v>
      </c>
      <c r="D165" s="199">
        <f ca="1">D163</f>
        <v>0</v>
      </c>
      <c r="E165" s="199">
        <f ca="1" t="shared" ref="E165:H165" si="142">E163+D165</f>
        <v>0</v>
      </c>
      <c r="F165" s="199">
        <f ca="1" t="shared" si="142"/>
        <v>0</v>
      </c>
      <c r="G165" s="199">
        <f ca="1" t="shared" si="142"/>
        <v>0</v>
      </c>
      <c r="H165" s="199">
        <f ca="1" t="shared" si="142"/>
        <v>0</v>
      </c>
      <c r="I165" s="199">
        <f ca="1" t="shared" ref="I165:O165" si="143">IF(I163=" "," ",I163+H165)</f>
        <v>0</v>
      </c>
      <c r="J165" s="199">
        <f ca="1" t="shared" si="143"/>
        <v>0</v>
      </c>
      <c r="K165" s="199">
        <f ca="1" t="shared" si="143"/>
        <v>0</v>
      </c>
      <c r="L165" s="199">
        <f ca="1" t="shared" si="143"/>
        <v>0</v>
      </c>
      <c r="M165" s="199">
        <f ca="1" t="shared" si="143"/>
        <v>0</v>
      </c>
      <c r="N165" s="199">
        <f ca="1" t="shared" si="143"/>
        <v>0</v>
      </c>
      <c r="O165" s="199">
        <f ca="1" t="shared" si="143"/>
        <v>0</v>
      </c>
    </row>
    <row r="166" ht="24.75" customHeight="1" spans="1:15">
      <c r="A166" s="190" t="s">
        <v>349</v>
      </c>
      <c r="B166" s="197" t="s">
        <v>301</v>
      </c>
      <c r="C166" s="166" t="s">
        <v>392</v>
      </c>
      <c r="D166" s="198" t="str">
        <f ca="1">IF(D165=0,"",IF('2025整理'!$S$1&gt;=DATE(2025,1,1),'2025整理'!F1875/'2025整理'!F1822," "))</f>
        <v/>
      </c>
      <c r="E166" s="198" t="str">
        <f ca="1">IF(E165=0,"",IF('2025整理'!$S$1&gt;=DATE(2025,2,1),'2025整理'!G1875/'2025整理'!G1822," "))</f>
        <v/>
      </c>
      <c r="F166" s="198" t="str">
        <f ca="1">IF(F165=0,"",IF('2025整理'!$S$1&gt;=DATE(2025,3,1),'2025整理'!H1875/'2025整理'!H1822," "))</f>
        <v/>
      </c>
      <c r="G166" s="198" t="str">
        <f ca="1">IF(G165=0,"",IF('2025整理'!$S$1&gt;=DATE(2025,4,1),'2025整理'!I1875/'2025整理'!I1822," "))</f>
        <v/>
      </c>
      <c r="H166" s="198" t="str">
        <f ca="1">IF(H165=0,"",IF('2025整理'!$S$1&gt;=DATE(2025,5,1),'2025整理'!J1875/'2025整理'!J1822," "))</f>
        <v/>
      </c>
      <c r="I166" s="198" t="str">
        <f ca="1">IF(F165=0,"",IF(I165=0,"",IF('2025整理'!$S$1&gt;=DATE(2025,6,1),'2025整理'!K1875/'2025整理'!K1822," ")))</f>
        <v/>
      </c>
      <c r="J166" s="198" t="str">
        <f ca="1">IF(G165=0,"",IF(J165=0,"",IF('2025整理'!$S$1&gt;=DATE(2025,7,1),'2025整理'!L1875/'2025整理'!L1822," ")))</f>
        <v/>
      </c>
      <c r="K166" s="198" t="str">
        <f ca="1">IF(H165=0,"",IF(K165=0,"",IF('2025整理'!$S$1&gt;=DATE(2025,8,1),'2025整理'!M1875/'2025整理'!M1822," ")))</f>
        <v/>
      </c>
      <c r="L166" s="198" t="str">
        <f ca="1">IF(I165=0,"",IF(L165=0,"",IF('2025整理'!$S$1&gt;=DATE(2025,9,1),'2025整理'!N1875/'2025整理'!N1822," ")))</f>
        <v/>
      </c>
      <c r="M166" s="198" t="str">
        <f ca="1">IF(J165=0,"",IF(M165=0,"",IF('2025整理'!$S$1&gt;=DATE(2025,10,1),'2025整理'!O1875/'2025整理'!O1822," ")))</f>
        <v/>
      </c>
      <c r="N166" s="198" t="str">
        <f ca="1">IF(K165=0,"",IF(N165=0,"",IF('2025整理'!$S$1&gt;=DATE(2025,11,1),'2025整理'!P1875/'2025整理'!P1822," ")))</f>
        <v/>
      </c>
      <c r="O166" s="198" t="str">
        <f ca="1">IF(L165=0,"",IF(O165=0,"",IF('2025整理'!$S$1&gt;=DATE(2025,12,1),'2025整理'!Q1875/'2025整理'!Q1822," ")))</f>
        <v/>
      </c>
    </row>
    <row r="167" ht="24.75" customHeight="1" spans="1:15">
      <c r="A167" s="182" t="s">
        <v>350</v>
      </c>
      <c r="B167" s="197" t="s">
        <v>301</v>
      </c>
      <c r="C167" s="163" t="s">
        <v>303</v>
      </c>
      <c r="D167" s="178">
        <f ca="1">IF('2025整理'!$S$1&gt;=DATE(2025,1,1),'2025整理'!F2116," ")</f>
        <v>0.006113</v>
      </c>
      <c r="E167" s="178">
        <f ca="1">IF('2025整理'!$S$1&gt;=DATE(2025,2,1),'2025整理'!G2116," ")</f>
        <v>0</v>
      </c>
      <c r="F167" s="178">
        <f ca="1">IF('2025整理'!$S$1&gt;=DATE(2025,3,1),'2025整理'!H2116," ")</f>
        <v>0.03444</v>
      </c>
      <c r="G167" s="178">
        <f ca="1">IF('2025整理'!$S$1&gt;=DATE(2025,4,1),'2025整理'!I2116," ")</f>
        <v>0.010281</v>
      </c>
      <c r="H167" s="178">
        <f ca="1">IF('2025整理'!$S$1&gt;=DATE(2025,5,1),'2025整理'!J2116," ")</f>
        <v>0.005673</v>
      </c>
      <c r="I167" s="178">
        <f ca="1">IF('2025整理'!$S$1&gt;=DATE(2025,6,1),'2025整理'!K2116," ")</f>
        <v>0.067707</v>
      </c>
      <c r="J167" s="178">
        <f ca="1">IF('2025整理'!$S$1&gt;=DATE(2025,7,1),'2025整理'!L2116," ")</f>
        <v>0.067521</v>
      </c>
      <c r="K167" s="178">
        <f ca="1">IF('2025整理'!$S$1&gt;=DATE(2025,8,1),'2025整理'!M2116," ")</f>
        <v>0.423543</v>
      </c>
      <c r="L167" s="178">
        <f ca="1">IF('2025整理'!$S$1&gt;=DATE(2025,9,1),'2025整理'!N2116," ")</f>
        <v>0</v>
      </c>
      <c r="M167" s="178">
        <f ca="1">IF('2025整理'!$S$1&gt;=DATE(2025,10,1),'2025整理'!O2116," ")</f>
        <v>0.0342</v>
      </c>
      <c r="N167" s="178">
        <f ca="1">IF('2025整理'!$S$1&gt;=DATE(2025,11,1),'2025整理'!P2116," ")</f>
        <v>0</v>
      </c>
      <c r="O167" s="178">
        <f ca="1">IF('2025整理'!$S$1&gt;=DATE(2025,12,1),'2025整理'!Q2116," ")</f>
        <v>0</v>
      </c>
    </row>
    <row r="168" ht="24.75" customHeight="1" spans="1:15">
      <c r="A168" s="185" t="s">
        <v>350</v>
      </c>
      <c r="B168" s="197" t="s">
        <v>301</v>
      </c>
      <c r="C168" s="166" t="s">
        <v>391</v>
      </c>
      <c r="D168" s="198">
        <f ca="1">IF(D167=0,"",IF('2025整理'!$S$1&gt;=DATE(2025,1,1),'2025整理'!F2116/'2025整理'!F2129," "))</f>
        <v>0.184409786117228</v>
      </c>
      <c r="E168" s="198" t="str">
        <f ca="1">IF(E167=0,"",IF('2025整理'!$S$1&gt;=DATE(2025,2,1),'2025整理'!G2116/'2025整理'!G2129," "))</f>
        <v/>
      </c>
      <c r="F168" s="198">
        <f ca="1">IF(F167=0,"",IF('2025整理'!$S$1&gt;=DATE(2025,3,1),'2025整理'!H2116/'2025整理'!H2129," "))</f>
        <v>0.350266971777269</v>
      </c>
      <c r="G168" s="198">
        <f ca="1">IF(G167=0,"",IF('2025整理'!$S$1&gt;=DATE(2025,4,1),'2025整理'!I2116/'2025整理'!I2129," "))</f>
        <v>0.129650180332417</v>
      </c>
      <c r="H168" s="198">
        <f ca="1">IF(H167=0,"",IF('2025整理'!$S$1&gt;=DATE(2025,5,1),'2025整理'!J2116/'2025整理'!J2129," "))</f>
        <v>0.0883548522746741</v>
      </c>
      <c r="I168" s="198">
        <f ca="1">IF(F167=0,"",IF(I167=0,"",IF('2025整理'!$S$1&gt;=DATE(2025,6,1),'2025整理'!K2116/'2025整理'!K2129," ")))</f>
        <v>0.159499736157702</v>
      </c>
      <c r="J168" s="198">
        <f ca="1">IF(G167=0,"",IF(J167=0,"",IF('2025整理'!$S$1&gt;=DATE(2025,7,1),'2025整理'!L2116/'2025整理'!L2129," ")))</f>
        <v>0.436856645596237</v>
      </c>
      <c r="K168" s="198">
        <f ca="1">IF(H167=0,"",IF(K167=0,"",IF('2025整理'!$S$1&gt;=DATE(2025,8,1),'2025整理'!M2116/'2025整理'!M2129," ")))</f>
        <v>0.719325210680598</v>
      </c>
      <c r="L168" s="198" t="str">
        <f ca="1">IF(I167=0,"",IF(L167=0,"",IF('2025整理'!$S$1&gt;=DATE(2025,9,1),'2025整理'!N2116/'2025整理'!N2129," ")))</f>
        <v/>
      </c>
      <c r="M168" s="198">
        <f ca="1">IF(J167=0,"",IF(M167=0,"",IF('2025整理'!$S$1&gt;=DATE(2025,10,1),'2025整理'!O2116/'2025整理'!O2129," ")))</f>
        <v>0.0608373135523121</v>
      </c>
      <c r="N168" s="198" t="str">
        <f ca="1">IF(K167=0,"",IF(N167=0,"",IF('2025整理'!$S$1&gt;=DATE(2025,11,1),'2025整理'!P2116/'2025整理'!P2129," ")))</f>
        <v/>
      </c>
      <c r="O168" s="198" t="str">
        <f ca="1">IF(L167=0,"",IF(O167=0,"",IF('2025整理'!$S$1&gt;=DATE(2025,12,1),'2025整理'!Q2116/'2025整理'!Q2129," ")))</f>
        <v/>
      </c>
    </row>
    <row r="169" ht="24.75" customHeight="1" spans="1:15">
      <c r="A169" s="185" t="s">
        <v>350</v>
      </c>
      <c r="B169" s="197" t="s">
        <v>301</v>
      </c>
      <c r="C169" s="163" t="s">
        <v>326</v>
      </c>
      <c r="D169" s="199">
        <f ca="1">D167</f>
        <v>0.006113</v>
      </c>
      <c r="E169" s="199">
        <f ca="1" t="shared" ref="E169:H169" si="144">E167+D169</f>
        <v>0.006113</v>
      </c>
      <c r="F169" s="199">
        <f ca="1" t="shared" si="144"/>
        <v>0.040553</v>
      </c>
      <c r="G169" s="199">
        <f ca="1" t="shared" si="144"/>
        <v>0.050834</v>
      </c>
      <c r="H169" s="199">
        <f ca="1" t="shared" si="144"/>
        <v>0.056507</v>
      </c>
      <c r="I169" s="199">
        <f ca="1" t="shared" ref="I169:O169" si="145">IF(I167=" "," ",I167+H169)</f>
        <v>0.124214</v>
      </c>
      <c r="J169" s="199">
        <f ca="1" t="shared" si="145"/>
        <v>0.191735</v>
      </c>
      <c r="K169" s="199">
        <f ca="1" t="shared" si="145"/>
        <v>0.615278</v>
      </c>
      <c r="L169" s="199">
        <f ca="1" t="shared" si="145"/>
        <v>0.615278</v>
      </c>
      <c r="M169" s="199">
        <f ca="1" t="shared" si="145"/>
        <v>0.649478</v>
      </c>
      <c r="N169" s="199">
        <f ca="1" t="shared" si="145"/>
        <v>0.649478</v>
      </c>
      <c r="O169" s="199">
        <f ca="1" t="shared" si="145"/>
        <v>0.649478</v>
      </c>
    </row>
    <row r="170" ht="24.75" customHeight="1" spans="1:15">
      <c r="A170" s="190" t="s">
        <v>350</v>
      </c>
      <c r="B170" s="197" t="s">
        <v>301</v>
      </c>
      <c r="C170" s="166" t="s">
        <v>392</v>
      </c>
      <c r="D170" s="198">
        <f ca="1">IF(D169=0,"",IF('2025整理'!$S$1&gt;=DATE(2025,1,1),'2025整理'!F2185/'2025整理'!F2132," "))</f>
        <v>0.184409786117228</v>
      </c>
      <c r="E170" s="198">
        <f ca="1">IF(E169=0,"",IF('2025整理'!$S$1&gt;=DATE(2025,2,1),'2025整理'!G2185/'2025整理'!G2132," "))</f>
        <v>0.184409786117228</v>
      </c>
      <c r="F170" s="198">
        <f ca="1">IF(F169=0,"",IF('2025整理'!$S$1&gt;=DATE(2025,3,1),'2025整理'!H2185/'2025整理'!H2132," "))</f>
        <v>0.308448818777857</v>
      </c>
      <c r="G170" s="198">
        <f ca="1">IF(G169=0,"",IF('2025整理'!$S$1&gt;=DATE(2025,4,1),'2025整理'!I2185/'2025整理'!I2132," "))</f>
        <v>0.241180042889947</v>
      </c>
      <c r="H170" s="198">
        <f ca="1">IF(H169=0,"",IF('2025整理'!$S$1&gt;=DATE(2025,5,1),'2025整理'!J2185/'2025整理'!J2132," "))</f>
        <v>0.205495692398329</v>
      </c>
      <c r="I170" s="198">
        <f ca="1">IF(F169=0,"",IF(I169=0,"",IF('2025整理'!$S$1&gt;=DATE(2025,6,1),'2025整理'!K2185/'2025整理'!K2132," ")))</f>
        <v>0.177581757746882</v>
      </c>
      <c r="J170" s="198">
        <f ca="1">IF(G169=0,"",IF(J169=0,"",IF('2025整理'!$S$1&gt;=DATE(2025,7,1),'2025整理'!L2185/'2025整理'!L2132," ")))</f>
        <v>0.224504587628625</v>
      </c>
      <c r="K170" s="198">
        <f ca="1">IF(H169=0,"",IF(K169=0,"",IF('2025整理'!$S$1&gt;=DATE(2025,8,1),'2025整理'!M2185/'2025整理'!M2132," ")))</f>
        <v>0.426434772483751</v>
      </c>
      <c r="L170" s="198">
        <f ca="1">IF(I169=0,"",IF(L169=0,"",IF('2025整理'!$S$1&gt;=DATE(2025,9,1),'2025整理'!N2185/'2025整理'!N2132," ")))</f>
        <v>0.426434772483751</v>
      </c>
      <c r="M170" s="198">
        <f ca="1">IF(J169=0,"",IF(M169=0,"",IF('2025整理'!$S$1&gt;=DATE(2025,10,1),'2025整理'!O2185/'2025整理'!O2132," ")))</f>
        <v>0.323929661740142</v>
      </c>
      <c r="N170" s="198">
        <f ca="1">IF(K169=0,"",IF(N169=0,"",IF('2025整理'!$S$1&gt;=DATE(2025,11,1),'2025整理'!P2185/'2025整理'!P2132," ")))</f>
        <v>0.323929661740142</v>
      </c>
      <c r="O170" s="198">
        <f ca="1">IF(L169=0,"",IF(O169=0,"",IF('2025整理'!$S$1&gt;=DATE(2025,12,1),'2025整理'!Q2185/'2025整理'!Q2132," ")))</f>
        <v>0.323929661740142</v>
      </c>
    </row>
    <row r="171" ht="24.75" customHeight="1" spans="1:15">
      <c r="A171" s="182" t="s">
        <v>289</v>
      </c>
      <c r="B171" s="201" t="s">
        <v>302</v>
      </c>
      <c r="C171" s="163" t="s">
        <v>304</v>
      </c>
      <c r="D171" s="178">
        <f ca="1">IF('2025整理'!$S$1&gt;=DATE(2025,1,1),'2025整理'!F232," ")</f>
        <v>0</v>
      </c>
      <c r="E171" s="178">
        <f ca="1">IF('2025整理'!$S$1&gt;=DATE(2025,2,1),'2025整理'!G232," ")</f>
        <v>0.0100419999999999</v>
      </c>
      <c r="F171" s="202">
        <f ca="1">IF('2025整理'!$S$1&gt;=DATE(2025,3,1),'2025整理'!H232," ")</f>
        <v>0.00223299999999999</v>
      </c>
      <c r="G171" s="178">
        <f ca="1">IF('2025整理'!$S$1&gt;=DATE(2025,4,1),'2025整理'!I232," ")</f>
        <v>0.0773030000000001</v>
      </c>
      <c r="H171" s="178">
        <f ca="1">IF('2025整理'!$S$1&gt;=DATE(2025,5,1),'2025整理'!J232," ")</f>
        <v>0.055888</v>
      </c>
      <c r="I171" s="178">
        <f ca="1">IF('2025整理'!$S$1&gt;=DATE(2025,6,1),'2025整理'!K232," ")</f>
        <v>0.009491</v>
      </c>
      <c r="J171" s="178">
        <f ca="1">IF('2025整理'!$S$1&gt;=DATE(2025,7,1),'2025整理'!L232," ")</f>
        <v>0.016223</v>
      </c>
      <c r="K171" s="178">
        <f ca="1">IF('2025整理'!$S$1&gt;=DATE(2025,8,1),'2025整理'!M232," ")</f>
        <v>0.00027800000000002</v>
      </c>
      <c r="L171" s="178">
        <f ca="1">IF('2025整理'!$S$1&gt;=DATE(2025,9,1),'2025整理'!N232," ")</f>
        <v>0.0616679999999998</v>
      </c>
      <c r="M171" s="178">
        <f ca="1">IF('2025整理'!$S$1&gt;=DATE(2025,10,1),'2025整理'!O232," ")</f>
        <v>0.000227999999999975</v>
      </c>
      <c r="N171" s="178">
        <f ca="1">IF('2025整理'!$S$1&gt;=DATE(2025,11,1),'2025整理'!P232," ")</f>
        <v>0</v>
      </c>
      <c r="O171" s="178">
        <f ca="1">IF('2025整理'!$S$1&gt;=DATE(2025,12,1),'2025整理'!Q232," ")</f>
        <v>0</v>
      </c>
    </row>
    <row r="172" ht="24.75" customHeight="1" spans="1:15">
      <c r="A172" s="185" t="s">
        <v>289</v>
      </c>
      <c r="B172" s="201" t="s">
        <v>302</v>
      </c>
      <c r="C172" s="166" t="s">
        <v>393</v>
      </c>
      <c r="D172" s="198" t="str">
        <f ca="1">IF(D171=0,"",IF('2025整理'!$S$1&gt;=DATE(2025,1,1),'2025整理'!F232/'2025整理'!F245," "))</f>
        <v/>
      </c>
      <c r="E172" s="198">
        <f ca="1">IF('2025整理'!$S$1&gt;=DATE(2025,2,1),'2025整理'!G232/'2025整理'!G245," ")</f>
        <v>0.0128196781165463</v>
      </c>
      <c r="F172" s="198">
        <f ca="1">IF(F171=0,"",IF('2025整理'!$S$1&gt;=DATE(2025,3,1),'2025整理'!H232/'2025整理'!H245," "))</f>
        <v>0.0111655024476101</v>
      </c>
      <c r="G172" s="198">
        <f ca="1">IF(G171=0,"",IF('2025整理'!$S$1&gt;=DATE(2025,4,1),'2025整理'!I232/'2025整理'!I245," "))</f>
        <v>0.0711386247495751</v>
      </c>
      <c r="H172" s="198">
        <f ca="1">IF(H171=0,"",IF('2025整理'!$S$1&gt;=DATE(2025,5,1),'2025整理'!J232/'2025整理'!J245," "))</f>
        <v>0.0216489254559259</v>
      </c>
      <c r="I172" s="198">
        <f ca="1">IF(I171=0,"",IF('2025整理'!$S$1&gt;=DATE(2025,6,1),'2025整理'!K232/'2025整理'!K245," "))</f>
        <v>0.35893654035247</v>
      </c>
      <c r="J172" s="198">
        <f ca="1">IF(J171=0,"",IF('2025整理'!$S$1&gt;=DATE(2025,7,1),'2025整理'!L232/'2025整理'!L245," "))</f>
        <v>0.0972543612493256</v>
      </c>
      <c r="K172" s="198">
        <f ca="1">IF(K171=0,"",IF('2025整理'!$S$1&gt;=DATE(2025,8,1),'2025整理'!M232/'2025整理'!M245," "))</f>
        <v>0.000890266631653846</v>
      </c>
      <c r="L172" s="198">
        <f ca="1">IF(L171=0,"",IF('2025整理'!$S$1&gt;=DATE(2025,9,1),'2025整理'!N232/'2025整理'!N245," "))</f>
        <v>0.0263646286109318</v>
      </c>
      <c r="M172" s="198">
        <f ca="1">IF(M171=0,"",IF('2025整理'!$S$1&gt;=DATE(2025,10,1),'2025整理'!O232/'2025整理'!O245," "))</f>
        <v>0.00111210289878388</v>
      </c>
      <c r="N172" s="198" t="str">
        <f ca="1">IF(N171=0,"",IF('2025整理'!$S$1&gt;=DATE(2025,11,1),'2025整理'!P232/'2025整理'!P245," "))</f>
        <v/>
      </c>
      <c r="O172" s="198" t="str">
        <f ca="1">IF(O171=0,"",IF('2025整理'!$S$1&gt;=DATE(2025,12,1),'2025整理'!Q232/'2025整理'!Q245," "))</f>
        <v/>
      </c>
    </row>
    <row r="173" ht="24.75" customHeight="1" spans="1:15">
      <c r="A173" s="185" t="s">
        <v>289</v>
      </c>
      <c r="B173" s="201" t="s">
        <v>302</v>
      </c>
      <c r="C173" s="163" t="s">
        <v>327</v>
      </c>
      <c r="D173" s="199">
        <f ca="1">D171</f>
        <v>0</v>
      </c>
      <c r="E173" s="199">
        <f ca="1" t="shared" ref="E173:H173" si="146">E171+D173</f>
        <v>0.0100419999999999</v>
      </c>
      <c r="F173" s="199">
        <f ca="1" t="shared" si="146"/>
        <v>0.0122749999999999</v>
      </c>
      <c r="G173" s="199">
        <f ca="1" t="shared" si="146"/>
        <v>0.089578</v>
      </c>
      <c r="H173" s="199">
        <f ca="1" t="shared" si="146"/>
        <v>0.145466</v>
      </c>
      <c r="I173" s="199">
        <f ca="1" t="shared" ref="I173:O173" si="147">IF(I171=" "," ",I171+H173)</f>
        <v>0.154957</v>
      </c>
      <c r="J173" s="199">
        <f ca="1" t="shared" si="147"/>
        <v>0.17118</v>
      </c>
      <c r="K173" s="199">
        <f ca="1" t="shared" si="147"/>
        <v>0.171458</v>
      </c>
      <c r="L173" s="199">
        <f ca="1" t="shared" si="147"/>
        <v>0.233126</v>
      </c>
      <c r="M173" s="199">
        <f ca="1" t="shared" si="147"/>
        <v>0.233354</v>
      </c>
      <c r="N173" s="199">
        <f ca="1" t="shared" si="147"/>
        <v>0.233354</v>
      </c>
      <c r="O173" s="199">
        <f ca="1" t="shared" si="147"/>
        <v>0.233354</v>
      </c>
    </row>
    <row r="174" ht="24.75" customHeight="1" spans="1:15">
      <c r="A174" s="190" t="s">
        <v>289</v>
      </c>
      <c r="B174" s="201" t="s">
        <v>302</v>
      </c>
      <c r="C174" s="166" t="s">
        <v>394</v>
      </c>
      <c r="D174" s="200" t="str">
        <f ca="1">IF(D173=0,"",IF('2025整理'!$S$1&gt;=DATE(2025,1,1),D173/'2025整理'!F248," "))</f>
        <v/>
      </c>
      <c r="E174" s="200">
        <f ca="1">IF('2025整理'!$S$1&gt;=DATE(2025,2,1),E173/'2025整理'!G248," ")</f>
        <v>0.0128196781165463</v>
      </c>
      <c r="F174" s="200">
        <f ca="1">IF('2025整理'!$S$1&gt;=DATE(2025,3,1),F173/'2025整理'!H248," ")</f>
        <v>0.0124832455014552</v>
      </c>
      <c r="G174" s="200">
        <f ca="1">IF('2025整理'!$S$1&gt;=DATE(2025,4,1),G173/'2025整理'!I248," ")</f>
        <v>0.0432750024034153</v>
      </c>
      <c r="H174" s="200">
        <f ca="1">IF('2025整理'!$S$1&gt;=DATE(2025,5,1),H173/'2025整理'!J248," ")</f>
        <v>0.0312727142955728</v>
      </c>
      <c r="I174" s="200">
        <f ca="1">IF('2025整理'!$S$1&gt;=DATE(2025,6,1),I173/'2025整理'!K248," ")</f>
        <v>0.0331248170949255</v>
      </c>
      <c r="J174" s="200">
        <f ca="1">IF('2025整理'!$S$1&gt;=DATE(2025,7,1),J173/'2025整理'!L248," ")</f>
        <v>0.0353328518532202</v>
      </c>
      <c r="K174" s="200">
        <f ca="1">IF('2025整理'!$S$1&gt;=DATE(2025,8,1),K173/'2025整理'!M248," ")</f>
        <v>0.0332473086837065</v>
      </c>
      <c r="L174" s="200">
        <f ca="1">IF('2025整理'!$S$1&gt;=DATE(2025,9,1),L173/'2025整理'!N248," ")</f>
        <v>0.0310996716689176</v>
      </c>
      <c r="M174" s="200">
        <f ca="1">IF('2025整理'!$S$1&gt;=DATE(2025,10,1),M173/'2025整理'!O248," ")</f>
        <v>0.0303013501042512</v>
      </c>
      <c r="N174" s="200">
        <f ca="1">IF('2025整理'!$S$1&gt;=DATE(2025,11,1),N173/'2025整理'!P248," ")</f>
        <v>0.0303013501042512</v>
      </c>
      <c r="O174" s="200">
        <f ca="1">IF('2025整理'!$S$1&gt;=DATE(2025,12,1),O173/'2025整理'!Q248," ")</f>
        <v>0.0303013501042512</v>
      </c>
    </row>
    <row r="175" ht="24.75" customHeight="1" spans="1:15">
      <c r="A175" s="182" t="s">
        <v>345</v>
      </c>
      <c r="B175" s="201" t="s">
        <v>302</v>
      </c>
      <c r="C175" s="163" t="s">
        <v>304</v>
      </c>
      <c r="D175" s="178">
        <f ca="1">IF('2025整理'!$S$1&gt;=DATE(2025,1,1),'2025整理'!F567," ")</f>
        <v>0</v>
      </c>
      <c r="E175" s="178">
        <f ca="1">IF('2025整理'!$S$1&gt;=DATE(2025,2,1),'2025整理'!G567," ")</f>
        <v>0.144451</v>
      </c>
      <c r="F175" s="178">
        <f ca="1">IF('2025整理'!$S$1&gt;=DATE(2025,3,1),'2025整理'!H567," ")</f>
        <v>0</v>
      </c>
      <c r="G175" s="178">
        <f ca="1">IF('2025整理'!$S$1&gt;=DATE(2025,4,1),'2025整理'!I567," ")</f>
        <v>0</v>
      </c>
      <c r="H175" s="178">
        <f ca="1">IF('2025整理'!$S$1&gt;=DATE(2025,5,1),'2025整理'!J567," ")</f>
        <v>0</v>
      </c>
      <c r="I175" s="178">
        <f ca="1">IF('2025整理'!$S$1&gt;=DATE(2025,6,1),'2025整理'!K567," ")</f>
        <v>0</v>
      </c>
      <c r="J175" s="178">
        <f ca="1">IF('2025整理'!$S$1&gt;=DATE(2025,7,1),'2025整理'!L567," ")</f>
        <v>0</v>
      </c>
      <c r="K175" s="178">
        <f ca="1">IF('2025整理'!$S$1&gt;=DATE(2025,8,1),'2025整理'!M567," ")</f>
        <v>0</v>
      </c>
      <c r="L175" s="178">
        <f ca="1">IF('2025整理'!$S$1&gt;=DATE(2025,9,1),'2025整理'!N567," ")</f>
        <v>0.017071</v>
      </c>
      <c r="M175" s="178">
        <f ca="1">IF('2025整理'!$S$1&gt;=DATE(2025,10,1),'2025整理'!O567," ")</f>
        <v>0</v>
      </c>
      <c r="N175" s="178">
        <f ca="1">IF('2025整理'!$S$1&gt;=DATE(2025,11,1),'2025整理'!P567," ")</f>
        <v>0</v>
      </c>
      <c r="O175" s="178">
        <f ca="1">IF('2025整理'!$S$1&gt;=DATE(2025,12,1),'2025整理'!Q567," ")</f>
        <v>0</v>
      </c>
    </row>
    <row r="176" ht="24.75" customHeight="1" spans="1:15">
      <c r="A176" s="185" t="s">
        <v>345</v>
      </c>
      <c r="B176" s="201" t="s">
        <v>302</v>
      </c>
      <c r="C176" s="166" t="s">
        <v>393</v>
      </c>
      <c r="D176" s="198" t="str">
        <f ca="1">IF(D175=0,"",IF('2025整理'!$S$1&gt;=DATE(2025,1,1),'2025整理'!F567/'2025整理'!F580," "))</f>
        <v/>
      </c>
      <c r="E176" s="198">
        <f ca="1">IF(E175=0,"",IF('2025整理'!$S$1&gt;=DATE(2025,2,1),'2025整理'!G567/'2025整理'!G580," "))</f>
        <v>0.0936382806458242</v>
      </c>
      <c r="F176" s="198" t="str">
        <f ca="1">IF(F175=0,"",IF('2025整理'!$S$1&gt;=DATE(2025,3,1),'2025整理'!H567/'2025整理'!H580," "))</f>
        <v/>
      </c>
      <c r="G176" s="198" t="str">
        <f ca="1">IF(G175=0,"",IF('2025整理'!$S$1&gt;=DATE(2025,4,1),'2025整理'!I567/'2025整理'!I580," "))</f>
        <v/>
      </c>
      <c r="H176" s="198" t="str">
        <f ca="1">IF(H175=0,"",IF('2025整理'!$S$1&gt;=DATE(2025,5,1),'2025整理'!J567/'2025整理'!J580," "))</f>
        <v/>
      </c>
      <c r="I176" s="198" t="str">
        <f ca="1">IF(I175=0,"",IF('2025整理'!$S$1&gt;=DATE(2025,6,1),'2025整理'!K567/'2025整理'!K580," "))</f>
        <v/>
      </c>
      <c r="J176" s="198" t="str">
        <f ca="1">IF(J175=0,"",IF('2025整理'!$S$1&gt;=DATE(2025,7,1),'2025整理'!L567/'2025整理'!L580," "))</f>
        <v/>
      </c>
      <c r="K176" s="198" t="str">
        <f ca="1">IF(K175=0,"",IF('2025整理'!$S$1&gt;=DATE(2025,8,1),'2025整理'!M567/'2025整理'!M580," "))</f>
        <v/>
      </c>
      <c r="L176" s="198">
        <f ca="1">IF(L175=0,"",IF('2025整理'!$S$1&gt;=DATE(2025,9,1),'2025整理'!N567/'2025整理'!N580," "))</f>
        <v>0.141448540439318</v>
      </c>
      <c r="M176" s="198" t="str">
        <f ca="1">IF(M175=0,"",IF('2025整理'!$S$1&gt;=DATE(2025,10,1),'2025整理'!O567/'2025整理'!O580," "))</f>
        <v/>
      </c>
      <c r="N176" s="198" t="str">
        <f ca="1">IF(N175=0,"",IF('2025整理'!$S$1&gt;=DATE(2025,11,1),'2025整理'!P567/'2025整理'!P580," "))</f>
        <v/>
      </c>
      <c r="O176" s="198" t="str">
        <f ca="1">IF(O175=0,"",IF('2025整理'!$S$1&gt;=DATE(2025,12,1),'2025整理'!Q567/'2025整理'!Q580," "))</f>
        <v/>
      </c>
    </row>
    <row r="177" ht="24.75" customHeight="1" spans="1:15">
      <c r="A177" s="185" t="s">
        <v>345</v>
      </c>
      <c r="B177" s="201" t="s">
        <v>302</v>
      </c>
      <c r="C177" s="163" t="s">
        <v>327</v>
      </c>
      <c r="D177" s="199">
        <f ca="1">D175</f>
        <v>0</v>
      </c>
      <c r="E177" s="199">
        <f ca="1" t="shared" ref="E177:H177" si="148">E175+D177</f>
        <v>0.144451</v>
      </c>
      <c r="F177" s="199">
        <f ca="1" t="shared" si="148"/>
        <v>0.144451</v>
      </c>
      <c r="G177" s="199">
        <f ca="1" t="shared" si="148"/>
        <v>0.144451</v>
      </c>
      <c r="H177" s="199">
        <f ca="1" t="shared" si="148"/>
        <v>0.144451</v>
      </c>
      <c r="I177" s="199">
        <f ca="1" t="shared" ref="I177:O177" si="149">IF(I175=" "," ",I175+H177)</f>
        <v>0.144451</v>
      </c>
      <c r="J177" s="199">
        <f ca="1" t="shared" si="149"/>
        <v>0.144451</v>
      </c>
      <c r="K177" s="199">
        <f ca="1" t="shared" si="149"/>
        <v>0.144451</v>
      </c>
      <c r="L177" s="199">
        <f ca="1" t="shared" si="149"/>
        <v>0.161522</v>
      </c>
      <c r="M177" s="199">
        <f ca="1" t="shared" si="149"/>
        <v>0.161522</v>
      </c>
      <c r="N177" s="199">
        <f ca="1" t="shared" si="149"/>
        <v>0.161522</v>
      </c>
      <c r="O177" s="199">
        <f ca="1" t="shared" si="149"/>
        <v>0.161522</v>
      </c>
    </row>
    <row r="178" ht="24.75" customHeight="1" spans="1:15">
      <c r="A178" s="190" t="s">
        <v>345</v>
      </c>
      <c r="B178" s="201" t="s">
        <v>302</v>
      </c>
      <c r="C178" s="166" t="s">
        <v>394</v>
      </c>
      <c r="D178" s="200" t="str">
        <f ca="1">IF('2025整理'!F583=0,"",IF('2025整理'!$S$1&gt;=DATE(2025,1,1),D177/'2025整理'!F583," "))</f>
        <v/>
      </c>
      <c r="E178" s="200">
        <f ca="1">IF('2025整理'!G583=0,"",IF('2025整理'!$S$1&gt;=DATE(2025,2,1),E177/'2025整理'!G583," "))</f>
        <v>0.0936382806458242</v>
      </c>
      <c r="F178" s="200">
        <f ca="1">IF('2025整理'!H583=0,"",IF('2025整理'!$S$1&gt;=DATE(2025,3,1),F177/'2025整理'!H583," "))</f>
        <v>0.0936382806458242</v>
      </c>
      <c r="G178" s="200">
        <f ca="1">IF('2025整理'!I583=0,"",IF('2025整理'!$S$1&gt;=DATE(2025,4,1),G177/'2025整理'!I583," "))</f>
        <v>0.0936382806458242</v>
      </c>
      <c r="H178" s="200">
        <f ca="1">IF('2025整理'!J583=0,"",IF('2025整理'!$S$1&gt;=DATE(2025,5,1),H177/'2025整理'!J583," "))</f>
        <v>0.0936382806458242</v>
      </c>
      <c r="I178" s="200">
        <f ca="1">IF('2025整理'!K583=0,"",IF('2025整理'!$S$1&gt;=DATE(2025,6,1),I177/'2025整理'!K583," "))</f>
        <v>0.0936382806458242</v>
      </c>
      <c r="J178" s="200">
        <f ca="1">IF('2025整理'!L583=0,"",IF('2025整理'!$S$1&gt;=DATE(2025,7,1),J177/'2025整理'!L583," "))</f>
        <v>0.0936382806458242</v>
      </c>
      <c r="K178" s="200">
        <f ca="1">IF('2025整理'!M583=0,"",IF('2025整理'!$S$1&gt;=DATE(2025,8,1),K177/'2025整理'!M583," "))</f>
        <v>0.0936382806458242</v>
      </c>
      <c r="L178" s="200">
        <f ca="1">IF('2025整理'!N583=0,"",IF('2025整理'!$S$1&gt;=DATE(2025,9,1),L177/'2025整理'!N583," "))</f>
        <v>0.0971072591466787</v>
      </c>
      <c r="M178" s="200">
        <f ca="1">IF('2025整理'!O583=0,"",IF('2025整理'!$S$1&gt;=DATE(2025,10,1),M177/'2025整理'!O583," "))</f>
        <v>0.0971072591466787</v>
      </c>
      <c r="N178" s="200">
        <f ca="1">IF('2025整理'!P583=0,"",IF('2025整理'!$S$1&gt;=DATE(2025,11,1),N177/'2025整理'!P583," "))</f>
        <v>0.0971072591466787</v>
      </c>
      <c r="O178" s="200">
        <f ca="1">IF('2025整理'!Q583=0,"",IF('2025整理'!$S$1&gt;=DATE(2025,12,1),O177/'2025整理'!Q583," "))</f>
        <v>0.0971072591466787</v>
      </c>
    </row>
    <row r="179" ht="24.75" customHeight="1" spans="1:15">
      <c r="A179" s="182" t="s">
        <v>346</v>
      </c>
      <c r="B179" s="201" t="s">
        <v>302</v>
      </c>
      <c r="C179" s="163" t="s">
        <v>304</v>
      </c>
      <c r="D179" s="178">
        <f ca="1">IF('2025整理'!$S$1&gt;=DATE(2025,1,1),'2025整理'!F877," ")</f>
        <v>0.0224000000000001</v>
      </c>
      <c r="E179" s="178">
        <f ca="1">IF('2025整理'!$S$1&gt;=DATE(2025,2,1),'2025整理'!G877," ")</f>
        <v>0</v>
      </c>
      <c r="F179" s="178">
        <f ca="1">IF('2025整理'!$S$1&gt;=DATE(2025,3,1),'2025整理'!H877," ")</f>
        <v>0.0274939999999999</v>
      </c>
      <c r="G179" s="178">
        <f ca="1">IF('2025整理'!$S$1&gt;=DATE(2025,4,1),'2025整理'!I877," ")</f>
        <v>0.323753</v>
      </c>
      <c r="H179" s="178">
        <f ca="1">IF('2025整理'!$S$1&gt;=DATE(2025,5,1),'2025整理'!J877," ")</f>
        <v>0</v>
      </c>
      <c r="I179" s="178">
        <f ca="1">IF('2025整理'!$S$1&gt;=DATE(2025,6,1),'2025整理'!K877," ")</f>
        <v>0</v>
      </c>
      <c r="J179" s="178">
        <f ca="1">IF('2025整理'!$S$1&gt;=DATE(2025,7,1),'2025整理'!L877," ")</f>
        <v>0.033444</v>
      </c>
      <c r="K179" s="178">
        <f ca="1">IF('2025整理'!$S$1&gt;=DATE(2025,8,1),'2025整理'!M877," ")</f>
        <v>0.000640999999999985</v>
      </c>
      <c r="L179" s="178">
        <f ca="1">IF('2025整理'!$S$1&gt;=DATE(2025,9,1),'2025整理'!N877," ")</f>
        <v>0</v>
      </c>
      <c r="M179" s="178">
        <f ca="1">IF('2025整理'!$S$1&gt;=DATE(2025,10,1),'2025整理'!O877," ")</f>
        <v>0.00536599999999999</v>
      </c>
      <c r="N179" s="178">
        <f ca="1">IF('2025整理'!$S$1&gt;=DATE(2025,11,1),'2025整理'!P877," ")</f>
        <v>0.000198000000000002</v>
      </c>
      <c r="O179" s="178">
        <f ca="1">IF('2025整理'!$S$1&gt;=DATE(2025,12,1),'2025整理'!Q877," ")</f>
        <v>0.00455599999999995</v>
      </c>
    </row>
    <row r="180" ht="24.75" customHeight="1" spans="1:15">
      <c r="A180" s="185" t="s">
        <v>346</v>
      </c>
      <c r="B180" s="201" t="s">
        <v>302</v>
      </c>
      <c r="C180" s="166" t="s">
        <v>393</v>
      </c>
      <c r="D180" s="198">
        <f ca="1">IF('2025整理'!$S$1&gt;=DATE(2025,1,1),'2025整理'!F877/'2025整理'!F890," ")</f>
        <v>0.0153228818510042</v>
      </c>
      <c r="E180" s="198" t="str">
        <f ca="1">IF(E179=0,"",IF('2025整理'!$S$1&gt;=DATE(2025,2,1),'2025整理'!G877/'2025整理'!G890," "))</f>
        <v/>
      </c>
      <c r="F180" s="198">
        <f ca="1">IF(F179=0,"",IF('2025整理'!$S$1&gt;=DATE(2025,3,1),'2025整理'!H877/'2025整理'!H890," "))</f>
        <v>0.0317701327934697</v>
      </c>
      <c r="G180" s="198">
        <f ca="1">IF(G179=0,"",IF('2025整理'!$S$1&gt;=DATE(2025,4,1),'2025整理'!I877/'2025整理'!I890," "))</f>
        <v>0.0215136498274771</v>
      </c>
      <c r="H180" s="198" t="str">
        <f ca="1">IF(H179=0,"",IF('2025整理'!$S$1&gt;=DATE(2025,5,1),'2025整理'!J877/'2025整理'!J890," "))</f>
        <v/>
      </c>
      <c r="I180" s="198" t="str">
        <f ca="1">IF(F179=0,"",IF(I179=0,"",IF('2025整理'!$S$1&gt;=DATE(2025,6,1),'2025整理'!K877/'2025整理'!K890," ")))</f>
        <v/>
      </c>
      <c r="J180" s="198">
        <f ca="1">IF(G179=0,"",IF(J179=0,"",IF('2025整理'!$S$1&gt;=DATE(2025,7,1),'2025整理'!L877/'2025整理'!L890," ")))</f>
        <v>0.0279066041624597</v>
      </c>
      <c r="K180" s="198" t="str">
        <f ca="1">IF(H179=0,"",IF(K179=0,"",IF('2025整理'!$S$1&gt;=DATE(2025,8,1),'2025整理'!M877/'2025整理'!M890," ")))</f>
        <v/>
      </c>
      <c r="L180" s="198" t="str">
        <f ca="1">IF(I179=0,"",IF(L179=0,"",IF('2025整理'!$S$1&gt;=DATE(2025,9,1),'2025整理'!N877/'2025整理'!N890," ")))</f>
        <v/>
      </c>
      <c r="M180" s="198">
        <f ca="1">IF(J179=0,"",IF(M179=0,"",IF('2025整理'!$S$1&gt;=DATE(2025,10,1),'2025整理'!O877/'2025整理'!O890," ")))</f>
        <v>0.00607014947997619</v>
      </c>
      <c r="N180" s="198">
        <f ca="1">IF(K179=0,"",IF(N179=0,"",IF('2025整理'!$S$1&gt;=DATE(2025,11,1),'2025整理'!P877/'2025整理'!P890," ")))</f>
        <v>0.000760754299414457</v>
      </c>
      <c r="O180" s="198" t="str">
        <f ca="1">IF(L179=0,"",IF(O179=0,"",IF('2025整理'!$S$1&gt;=DATE(2025,12,1),'2025整理'!Q877/'2025整理'!Q890," ")))</f>
        <v/>
      </c>
    </row>
    <row r="181" ht="24.75" customHeight="1" spans="1:15">
      <c r="A181" s="185" t="s">
        <v>346</v>
      </c>
      <c r="B181" s="201" t="s">
        <v>302</v>
      </c>
      <c r="C181" s="163" t="s">
        <v>327</v>
      </c>
      <c r="D181" s="199">
        <f ca="1">D179</f>
        <v>0.0224000000000001</v>
      </c>
      <c r="E181" s="199">
        <f ca="1" t="shared" ref="E181:H181" si="150">E179+D181</f>
        <v>0.0224000000000001</v>
      </c>
      <c r="F181" s="199">
        <f ca="1" t="shared" si="150"/>
        <v>0.049894</v>
      </c>
      <c r="G181" s="199">
        <f ca="1" t="shared" si="150"/>
        <v>0.373647</v>
      </c>
      <c r="H181" s="199">
        <f ca="1" t="shared" si="150"/>
        <v>0.373647</v>
      </c>
      <c r="I181" s="199">
        <f ca="1" t="shared" ref="I181:O181" si="151">IF(I179=" "," ",I179+H181)</f>
        <v>0.373647</v>
      </c>
      <c r="J181" s="199">
        <f ca="1" t="shared" si="151"/>
        <v>0.407091</v>
      </c>
      <c r="K181" s="199">
        <f ca="1" t="shared" si="151"/>
        <v>0.407732</v>
      </c>
      <c r="L181" s="199">
        <f ca="1" t="shared" si="151"/>
        <v>0.407732</v>
      </c>
      <c r="M181" s="199">
        <f ca="1" t="shared" si="151"/>
        <v>0.413098</v>
      </c>
      <c r="N181" s="199">
        <f ca="1" t="shared" si="151"/>
        <v>0.413296</v>
      </c>
      <c r="O181" s="199">
        <f ca="1" t="shared" si="151"/>
        <v>0.417852</v>
      </c>
    </row>
    <row r="182" ht="24.75" customHeight="1" spans="1:15">
      <c r="A182" s="190" t="s">
        <v>346</v>
      </c>
      <c r="B182" s="201" t="s">
        <v>302</v>
      </c>
      <c r="C182" s="166" t="s">
        <v>394</v>
      </c>
      <c r="D182" s="200">
        <f ca="1">IF('2025整理'!$S$1&gt;=DATE(2025,1,1),D181/'2025整理'!F893," ")</f>
        <v>0.0153228818510042</v>
      </c>
      <c r="E182" s="200">
        <f ca="1">IF('2025整理'!$S$1&gt;=DATE(2025,2,1),E181/'2025整理'!G893," ")</f>
        <v>0.0153228818510042</v>
      </c>
      <c r="F182" s="200">
        <f ca="1">IF('2025整理'!$S$1&gt;=DATE(2025,3,1),F181/'2025整理'!H893," ")</f>
        <v>0.0214388532486561</v>
      </c>
      <c r="G182" s="200">
        <f ca="1">IF('2025整理'!$S$1&gt;=DATE(2025,4,1),G181/'2025整理'!I893," ")</f>
        <v>0.0215036318783471</v>
      </c>
      <c r="H182" s="200">
        <f ca="1">IF('2025整理'!$S$1&gt;=DATE(2025,5,1),H181/'2025整理'!J893," ")</f>
        <v>0.0215036318783471</v>
      </c>
      <c r="I182" s="200">
        <f ca="1">IF('2025整理'!$S$1&gt;=DATE(2025,6,1),I181/'2025整理'!K893," ")</f>
        <v>0.0215036318783471</v>
      </c>
      <c r="J182" s="200">
        <f ca="1">IF('2025整理'!$S$1&gt;=DATE(2025,7,1),J181/'2025整理'!L893," ")</f>
        <v>0.0219167531520902</v>
      </c>
      <c r="K182" s="200">
        <f ca="1">IF('2025整理'!$S$1&gt;=DATE(2025,8,1),K181/'2025整理'!M893," ")</f>
        <v>0.0207885147499175</v>
      </c>
      <c r="L182" s="200">
        <f ca="1">IF('2025整理'!$S$1&gt;=DATE(2025,9,1),L181/'2025整理'!N893," ")</f>
        <v>0.0207885147499175</v>
      </c>
      <c r="M182" s="200">
        <f ca="1">IF('2025整理'!$S$1&gt;=DATE(2025,10,1),M181/'2025整理'!O893," ")</f>
        <v>0.020153748820334</v>
      </c>
      <c r="N182" s="200">
        <f ca="1">IF('2025整理'!$S$1&gt;=DATE(2025,11,1),N181/'2025整理'!P893," ")</f>
        <v>0.0199105908025187</v>
      </c>
      <c r="O182" s="200">
        <f ca="1">IF('2025整理'!$S$1&gt;=DATE(2025,12,1),O181/'2025整理'!Q893," ")</f>
        <v>0.0190896145410222</v>
      </c>
    </row>
    <row r="183" ht="24.75" customHeight="1" spans="1:15">
      <c r="A183" s="182" t="s">
        <v>347</v>
      </c>
      <c r="B183" s="201" t="s">
        <v>302</v>
      </c>
      <c r="C183" s="163" t="s">
        <v>304</v>
      </c>
      <c r="D183" s="178">
        <f ca="1">IF('2025整理'!$S$1&gt;=DATE(2025,1,1),'2025整理'!F1187," ")</f>
        <v>0.0150929999999993</v>
      </c>
      <c r="E183" s="178">
        <f ca="1">IF('2025整理'!$S$1&gt;=DATE(2025,2,1),'2025整理'!G1187," ")</f>
        <v>0</v>
      </c>
      <c r="F183" s="178">
        <f ca="1">IF('2025整理'!$S$1&gt;=DATE(2025,3,1),'2025整理'!H1187," ")</f>
        <v>0</v>
      </c>
      <c r="G183" s="178">
        <f ca="1">IF('2025整理'!$S$1&gt;=DATE(2025,4,1),'2025整理'!I1187," ")</f>
        <v>0</v>
      </c>
      <c r="H183" s="178">
        <f ca="1">IF('2025整理'!$S$1&gt;=DATE(2025,5,1),'2025整理'!J1187," ")</f>
        <v>0</v>
      </c>
      <c r="I183" s="178">
        <f ca="1">IF('2025整理'!$S$1&gt;=DATE(2025,6,1),'2025整理'!K1187," ")</f>
        <v>0.000219000000000233</v>
      </c>
      <c r="J183" s="178">
        <f ca="1">IF('2025整理'!$S$1&gt;=DATE(2025,7,1),'2025整理'!L1187," ")</f>
        <v>0</v>
      </c>
      <c r="K183" s="178">
        <f ca="1">IF('2025整理'!$S$1&gt;=DATE(2025,8,1),'2025整理'!M1187," ")</f>
        <v>0</v>
      </c>
      <c r="L183" s="178">
        <f ca="1">IF('2025整理'!$S$1&gt;=DATE(2025,9,1),'2025整理'!N1187," ")</f>
        <v>0</v>
      </c>
      <c r="M183" s="178">
        <f ca="1">IF('2025整理'!$S$1&gt;=DATE(2025,10,1),'2025整理'!O1187," ")</f>
        <v>0</v>
      </c>
      <c r="N183" s="178">
        <f ca="1">IF('2025整理'!$S$1&gt;=DATE(2025,11,1),'2025整理'!P1187," ")</f>
        <v>0.010577</v>
      </c>
      <c r="O183" s="178">
        <f ca="1">IF('2025整理'!$S$1&gt;=DATE(2025,12,1),'2025整理'!Q1187," ")</f>
        <v>0</v>
      </c>
    </row>
    <row r="184" ht="24.75" customHeight="1" spans="1:15">
      <c r="A184" s="185" t="s">
        <v>347</v>
      </c>
      <c r="B184" s="201" t="s">
        <v>302</v>
      </c>
      <c r="C184" s="166" t="s">
        <v>393</v>
      </c>
      <c r="D184" s="198">
        <f ca="1">IF(D183=0,"",IF('2025整理'!$S$1&gt;=DATE(2025,1,1),'2025整理'!F1187/'2025整理'!F1200," "))</f>
        <v>0.00201259562429459</v>
      </c>
      <c r="E184" s="198" t="str">
        <f ca="1">IF(E183=0,"",IF('2025整理'!$S$1&gt;=DATE(2025,2,1),'2025整理'!G1187/'2025整理'!G1200," "))</f>
        <v/>
      </c>
      <c r="F184" s="198" t="str">
        <f ca="1">IF(F183=0,"",IF('2025整理'!$S$1&gt;=DATE(2025,3,1),'2025整理'!H1187/'2025整理'!H1200," "))</f>
        <v/>
      </c>
      <c r="G184" s="198" t="str">
        <f ca="1">IF(G183=0,"",IF('2025整理'!$S$1&gt;=DATE(2025,4,1),'2025整理'!I1187/'2025整理'!I1200," "))</f>
        <v/>
      </c>
      <c r="H184" s="198" t="str">
        <f ca="1">IF(H183=0,"",IF('2025整理'!$S$1&gt;=DATE(2025,5,1),'2025整理'!J1187/'2025整理'!J1200," "))</f>
        <v/>
      </c>
      <c r="I184" s="198" t="str">
        <f ca="1">IF(F183=0,"",IF(I183=0,"",IF('2025整理'!$S$1&gt;=DATE(2025,6,1),'2025整理'!K1187/'2025整理'!K1200," ")))</f>
        <v/>
      </c>
      <c r="J184" s="198" t="str">
        <f ca="1">IF(G183=0,"",IF(J183=0,"",IF('2025整理'!$S$1&gt;=DATE(2025,7,1),'2025整理'!L1187/'2025整理'!L1200," ")))</f>
        <v/>
      </c>
      <c r="K184" s="198" t="str">
        <f ca="1">IF(H183=0,"",IF(K183=0,"",IF('2025整理'!$S$1&gt;=DATE(2025,8,1),'2025整理'!M1187/'2025整理'!M1200," ")))</f>
        <v/>
      </c>
      <c r="L184" s="198" t="str">
        <f ca="1">IF(I183=0,"",IF(L183=0,"",IF('2025整理'!$S$1&gt;=DATE(2025,9,1),'2025整理'!N1187/'2025整理'!N1200," ")))</f>
        <v/>
      </c>
      <c r="M184" s="198" t="str">
        <f ca="1">IF(J183=0,"",IF(M183=0,"",IF('2025整理'!$S$1&gt;=DATE(2025,10,1),'2025整理'!O1187/'2025整理'!O1200," ")))</f>
        <v/>
      </c>
      <c r="N184" s="198" t="str">
        <f ca="1">IF(K183=0,"",IF(N183=0,"",IF('2025整理'!$S$1&gt;=DATE(2025,11,1),'2025整理'!P1187/'2025整理'!P1200," ")))</f>
        <v/>
      </c>
      <c r="O184" s="198" t="str">
        <f ca="1">IF(L183=0,"",IF(O183=0,"",IF('2025整理'!$S$1&gt;=DATE(2025,12,1),'2025整理'!Q1187/'2025整理'!Q1200," ")))</f>
        <v/>
      </c>
    </row>
    <row r="185" ht="24.75" customHeight="1" spans="1:15">
      <c r="A185" s="185" t="s">
        <v>347</v>
      </c>
      <c r="B185" s="201" t="s">
        <v>302</v>
      </c>
      <c r="C185" s="163" t="s">
        <v>327</v>
      </c>
      <c r="D185" s="199">
        <f ca="1">D183</f>
        <v>0.0150929999999993</v>
      </c>
      <c r="E185" s="199">
        <f ca="1" t="shared" ref="E185:H185" si="152">E183+D185</f>
        <v>0.0150929999999993</v>
      </c>
      <c r="F185" s="199">
        <f ca="1" t="shared" si="152"/>
        <v>0.0150929999999993</v>
      </c>
      <c r="G185" s="199">
        <f ca="1" t="shared" si="152"/>
        <v>0.0150929999999993</v>
      </c>
      <c r="H185" s="199">
        <f ca="1" t="shared" si="152"/>
        <v>0.0150929999999993</v>
      </c>
      <c r="I185" s="199">
        <f ca="1" t="shared" ref="I185:O185" si="153">IF(I183=" "," ",I183+H185)</f>
        <v>0.0153119999999995</v>
      </c>
      <c r="J185" s="199">
        <f ca="1" t="shared" si="153"/>
        <v>0.0153119999999995</v>
      </c>
      <c r="K185" s="199">
        <f ca="1" t="shared" si="153"/>
        <v>0.0153119999999995</v>
      </c>
      <c r="L185" s="199">
        <f ca="1" t="shared" si="153"/>
        <v>0.0153119999999995</v>
      </c>
      <c r="M185" s="199">
        <f ca="1" t="shared" si="153"/>
        <v>0.0153119999999995</v>
      </c>
      <c r="N185" s="199">
        <f ca="1" t="shared" si="153"/>
        <v>0.0258889999999995</v>
      </c>
      <c r="O185" s="199">
        <f ca="1" t="shared" si="153"/>
        <v>0.0258889999999995</v>
      </c>
    </row>
    <row r="186" ht="24.75" customHeight="1" spans="1:15">
      <c r="A186" s="190" t="s">
        <v>347</v>
      </c>
      <c r="B186" s="201" t="s">
        <v>302</v>
      </c>
      <c r="C186" s="166" t="s">
        <v>394</v>
      </c>
      <c r="D186" s="200">
        <f ca="1">IF(D185=0,"",IF('2025整理'!$S$1&gt;=DATE(2025,1,1),D185/'2025整理'!F1203," "))</f>
        <v>0.00201259562429459</v>
      </c>
      <c r="E186" s="200">
        <f ca="1">IF(E185=0,"",IF('2025整理'!$S$1&gt;=DATE(2025,2,1),E185/'2025整理'!G1203," "))</f>
        <v>0.00201259562429459</v>
      </c>
      <c r="F186" s="200">
        <f ca="1">IF(F185=0,"",IF('2025整理'!$S$1&gt;=DATE(2025,3,1),F185/'2025整理'!H1203," "))</f>
        <v>0.00201259562429459</v>
      </c>
      <c r="G186" s="200">
        <f ca="1">IF(G185=0,"",IF('2025整理'!$S$1&gt;=DATE(2025,4,1),G185/'2025整理'!I1203," "))</f>
        <v>0.00201259562429459</v>
      </c>
      <c r="H186" s="200">
        <f ca="1">IF(H185=0,"",IF('2025整理'!$S$1&gt;=DATE(2025,5,1),H185/'2025整理'!J1203," "))</f>
        <v>0.00201259562429459</v>
      </c>
      <c r="I186" s="200">
        <f ca="1">IF(I185=0,"",IF('2025整理'!$S$1&gt;=DATE(2025,6,1),I185/'2025整理'!K1203," "))</f>
        <v>0.00166792607139899</v>
      </c>
      <c r="J186" s="200">
        <f ca="1">IF(J185=0,"",IF('2025整理'!$S$1&gt;=DATE(2025,7,1),J185/'2025整理'!L1203," "))</f>
        <v>0.00166792607139899</v>
      </c>
      <c r="K186" s="200">
        <f ca="1">IF(K185=0,"",IF('2025整理'!$S$1&gt;=DATE(2025,8,1),K185/'2025整理'!M1203," "))</f>
        <v>0.00166792607139899</v>
      </c>
      <c r="L186" s="200">
        <f ca="1">IF(L185=0,"",IF('2025整理'!$S$1&gt;=DATE(2025,9,1),L185/'2025整理'!N1203," "))</f>
        <v>0.00166792607139899</v>
      </c>
      <c r="M186" s="200">
        <f ca="1">IF(M185=0,"",IF('2025整理'!$S$1&gt;=DATE(2025,10,1),M185/'2025整理'!O1203," "))</f>
        <v>0.00166792607139899</v>
      </c>
      <c r="N186" s="200">
        <f ca="1">IF(N185=0,"",IF('2025整理'!$S$1&gt;=DATE(2025,11,1),N185/'2025整理'!P1203," "))</f>
        <v>0.00278179823501027</v>
      </c>
      <c r="O186" s="200">
        <f ca="1">IF(O185=0,"",IF('2025整理'!$S$1&gt;=DATE(2025,12,1),O185/'2025整理'!Q1203," "))</f>
        <v>0.00278179823501027</v>
      </c>
    </row>
    <row r="187" ht="24.75" customHeight="1" spans="1:15">
      <c r="A187" s="182" t="s">
        <v>348</v>
      </c>
      <c r="B187" s="201" t="s">
        <v>302</v>
      </c>
      <c r="C187" s="163" t="s">
        <v>304</v>
      </c>
      <c r="D187" s="178">
        <f ca="1">IF('2025整理'!$S$1&gt;=DATE(2025,1,1),'2025整理'!F1497," ")</f>
        <v>0.0004</v>
      </c>
      <c r="E187" s="178">
        <f ca="1">IF('2025整理'!$S$1&gt;=DATE(2025,2,1),'2025整理'!G1497," ")</f>
        <v>0.033737</v>
      </c>
      <c r="F187" s="178">
        <f ca="1">IF('2025整理'!$S$1&gt;=DATE(2025,3,1),'2025整理'!H1497," ")</f>
        <v>0.0146529999999999</v>
      </c>
      <c r="G187" s="178">
        <f ca="1">IF('2025整理'!$S$1&gt;=DATE(2025,4,1),'2025整理'!I1497," ")</f>
        <v>0.0150879999999997</v>
      </c>
      <c r="H187" s="178">
        <f ca="1">IF('2025整理'!$S$1&gt;=DATE(2025,5,1),'2025整理'!J1497," ")</f>
        <v>0.02881</v>
      </c>
      <c r="I187" s="178">
        <f ca="1">IF('2025整理'!$S$1&gt;=DATE(2025,6,1),'2025整理'!K1497," ")</f>
        <v>0.128292999999999</v>
      </c>
      <c r="J187" s="178">
        <f ca="1">IF('2025整理'!$S$1&gt;=DATE(2025,7,1),'2025整理'!L1497," ")</f>
        <v>0.01792</v>
      </c>
      <c r="K187" s="178">
        <f ca="1">IF('2025整理'!$S$1&gt;=DATE(2025,8,1),'2025整理'!M1497," ")</f>
        <v>0.0103080000000001</v>
      </c>
      <c r="L187" s="178">
        <f ca="1">IF('2025整理'!$S$1&gt;=DATE(2025,9,1),'2025整理'!N1497," ")</f>
        <v>0.104057</v>
      </c>
      <c r="M187" s="178">
        <f ca="1">IF('2025整理'!$S$1&gt;=DATE(2025,10,1),'2025整理'!O1497," ")</f>
        <v>0.037835</v>
      </c>
      <c r="N187" s="178">
        <f ca="1">IF('2025整理'!$S$1&gt;=DATE(2025,11,1),'2025整理'!P1497," ")</f>
        <v>0</v>
      </c>
      <c r="O187" s="178">
        <f ca="1">IF('2025整理'!$S$1&gt;=DATE(2025,12,1),'2025整理'!Q1497," ")</f>
        <v>0.077664</v>
      </c>
    </row>
    <row r="188" ht="24.75" customHeight="1" spans="1:15">
      <c r="A188" s="182" t="s">
        <v>348</v>
      </c>
      <c r="B188" s="201" t="s">
        <v>302</v>
      </c>
      <c r="C188" s="166" t="s">
        <v>393</v>
      </c>
      <c r="D188" s="198">
        <f ca="1">IF(D187=0,"",IF('2025整理'!$S$1&gt;=DATE(2025,1,1),'2025整理'!F1497/'2025整理'!F1510," "))</f>
        <v>0.00424178154825027</v>
      </c>
      <c r="E188" s="198">
        <f ca="1">IF(E187=0,"",IF('2025整理'!$S$1&gt;=DATE(2025,2,1),'2025整理'!G1497/'2025整理'!G1510," "))</f>
        <v>0.0909333491461101</v>
      </c>
      <c r="F188" s="198">
        <f ca="1">IF(F187=0,"",IF('2025整理'!$S$1&gt;=DATE(2025,3,1),'2025整理'!H1497/'2025整理'!H1510," "))</f>
        <v>0.00883377101283613</v>
      </c>
      <c r="G188" s="198">
        <f ca="1">IF(G187=0,"",IF('2025整理'!$S$1&gt;=DATE(2025,4,1),'2025整理'!I1497/'2025整理'!I1510," "))</f>
        <v>0.0088581041848787</v>
      </c>
      <c r="H188" s="198">
        <f ca="1">IF(H187=0,"",IF('2025整理'!$S$1&gt;=DATE(2025,5,1),'2025整理'!J1497/'2025整理'!J1510," "))</f>
        <v>0.00630425411330152</v>
      </c>
      <c r="I188" s="198">
        <f ca="1">IF(F187=0,"",IF(I187=0,"",IF('2025整理'!$S$1&gt;=DATE(2025,6,1),'2025整理'!K1497/'2025整理'!K1510," ")))</f>
        <v>0.0270070626374897</v>
      </c>
      <c r="J188" s="198">
        <f ca="1">IF(G187=0,"",IF(J187=0,"",IF('2025整理'!$S$1&gt;=DATE(2025,7,1),'2025整理'!L1497/'2025整理'!L1510," ")))</f>
        <v>0.0442932848216404</v>
      </c>
      <c r="K188" s="198">
        <f ca="1">IF(H187=0,"",IF(K187=0,"",IF('2025整理'!$S$1&gt;=DATE(2025,8,1),'2025整理'!M1497/'2025整理'!M1510," ")))</f>
        <v>0.00621949608083663</v>
      </c>
      <c r="L188" s="198">
        <f ca="1">IF(I187=0,"",IF(L187=0,"",IF('2025整理'!$S$1&gt;=DATE(2025,9,1),'2025整理'!N1497/'2025整理'!N1510," ")))</f>
        <v>0.038794408314158</v>
      </c>
      <c r="M188" s="198">
        <f ca="1">IF(J187=0,"",IF(M187=0,"",IF('2025整理'!$S$1&gt;=DATE(2025,10,1),'2025整理'!O1497/'2025整理'!O1510," ")))</f>
        <v>0.0212709139156247</v>
      </c>
      <c r="N188" s="198" t="str">
        <f ca="1">IF(K187=0,"",IF(N187=0,"",IF('2025整理'!$S$1&gt;=DATE(2025,11,1),'2025整理'!P1497/'2025整理'!P1510," ")))</f>
        <v/>
      </c>
      <c r="O188" s="198">
        <f ca="1">IF(L187=0,"",IF(O187=0,"",IF('2025整理'!$S$1&gt;=DATE(2025,12,1),'2025整理'!Q1497/'2025整理'!Q1510," ")))</f>
        <v>0.087167428940206</v>
      </c>
    </row>
    <row r="189" ht="24.75" customHeight="1" spans="1:15">
      <c r="A189" s="182" t="s">
        <v>348</v>
      </c>
      <c r="B189" s="201" t="s">
        <v>302</v>
      </c>
      <c r="C189" s="163" t="s">
        <v>327</v>
      </c>
      <c r="D189" s="199">
        <f ca="1">D187</f>
        <v>0.0004</v>
      </c>
      <c r="E189" s="199">
        <f ca="1" t="shared" ref="E189:H189" si="154">E187+D189</f>
        <v>0.034137</v>
      </c>
      <c r="F189" s="199">
        <f ca="1" t="shared" si="154"/>
        <v>0.0487899999999999</v>
      </c>
      <c r="G189" s="199">
        <f ca="1" t="shared" si="154"/>
        <v>0.0638779999999996</v>
      </c>
      <c r="H189" s="199">
        <f ca="1" t="shared" si="154"/>
        <v>0.0926879999999996</v>
      </c>
      <c r="I189" s="199">
        <f ca="1" t="shared" ref="I189:O189" si="155">IF(I187=" "," ",I187+H189)</f>
        <v>0.220980999999999</v>
      </c>
      <c r="J189" s="199">
        <f ca="1" t="shared" si="155"/>
        <v>0.238900999999999</v>
      </c>
      <c r="K189" s="199">
        <f ca="1" t="shared" si="155"/>
        <v>0.249208999999999</v>
      </c>
      <c r="L189" s="199">
        <f ca="1" t="shared" si="155"/>
        <v>0.353265999999999</v>
      </c>
      <c r="M189" s="199">
        <f ca="1" t="shared" si="155"/>
        <v>0.391100999999999</v>
      </c>
      <c r="N189" s="199">
        <f ca="1" t="shared" si="155"/>
        <v>0.391100999999999</v>
      </c>
      <c r="O189" s="199">
        <f ca="1" t="shared" si="155"/>
        <v>0.468764999999999</v>
      </c>
    </row>
    <row r="190" ht="24.75" customHeight="1" spans="1:15">
      <c r="A190" s="182" t="s">
        <v>348</v>
      </c>
      <c r="B190" s="201" t="s">
        <v>302</v>
      </c>
      <c r="C190" s="166" t="s">
        <v>394</v>
      </c>
      <c r="D190" s="198">
        <f ca="1">IF(D189=0,"",IF('2025整理'!$S$1&gt;=DATE(2025,1,1),D189/'2025整理'!F1513," "))</f>
        <v>0.00424178154825027</v>
      </c>
      <c r="E190" s="198">
        <f ca="1">IF(E189=0,"",IF('2025整理'!$S$1&gt;=DATE(2025,2,1),E189/'2025整理'!G1513," "))</f>
        <v>0.0733643092317347</v>
      </c>
      <c r="F190" s="198">
        <f ca="1">IF(F189=0,"",IF('2025整理'!$S$1&gt;=DATE(2025,3,1),F189/'2025整理'!H1513," "))</f>
        <v>0.0229702041754078</v>
      </c>
      <c r="G190" s="198">
        <f ca="1">IF(G189=0,"",IF('2025整理'!$S$1&gt;=DATE(2025,4,1),G189/'2025整理'!I1513," "))</f>
        <v>0.0166898550043044</v>
      </c>
      <c r="H190" s="198">
        <f ca="1">IF(H189=0,"",IF('2025整理'!$S$1&gt;=DATE(2025,5,1),H189/'2025整理'!J1513," "))</f>
        <v>0.0110378533061578</v>
      </c>
      <c r="I190" s="198">
        <f ca="1">IF(I189=0,"",IF('2025整理'!$S$1&gt;=DATE(2025,6,1),I189/'2025整理'!K1513," "))</f>
        <v>0.0168076616060606</v>
      </c>
      <c r="J190" s="198">
        <f ca="1">IF(J189=0,"",IF('2025整理'!$S$1&gt;=DATE(2025,7,1),J189/'2025整理'!L1513," "))</f>
        <v>0.0176281936578466</v>
      </c>
      <c r="K190" s="198">
        <f ca="1">IF(K189=0,"",IF('2025整理'!$S$1&gt;=DATE(2025,8,1),K189/'2025整理'!M1513," "))</f>
        <v>0.0163850020842127</v>
      </c>
      <c r="L190" s="198">
        <f ca="1">IF(L189=0,"",IF('2025整理'!$S$1&gt;=DATE(2025,9,1),L189/'2025整理'!N1513," "))</f>
        <v>0.0197445227569561</v>
      </c>
      <c r="M190" s="198">
        <f ca="1">IF(M189=0,"",IF('2025整理'!$S$1&gt;=DATE(2025,10,1),M189/'2025整理'!O1513," "))</f>
        <v>0.0198825473672138</v>
      </c>
      <c r="N190" s="198">
        <f ca="1">IF(N189=0,"",IF('2025整理'!$S$1&gt;=DATE(2025,11,1),N189/'2025整理'!P1513," "))</f>
        <v>0.0198825473672138</v>
      </c>
      <c r="O190" s="198">
        <f ca="1">IF(O189=0,"",IF('2025整理'!$S$1&gt;=DATE(2025,12,1),O189/'2025整理'!Q1513," "))</f>
        <v>0.0227981431160103</v>
      </c>
    </row>
    <row r="191" ht="24.75" customHeight="1" spans="1:15">
      <c r="A191" s="182" t="s">
        <v>349</v>
      </c>
      <c r="B191" s="201" t="s">
        <v>302</v>
      </c>
      <c r="C191" s="163" t="s">
        <v>304</v>
      </c>
      <c r="D191" s="178">
        <f ca="1">IF('2025整理'!$S$1&gt;=DATE(2025,1,1),'2025整理'!F1807," ")</f>
        <v>0</v>
      </c>
      <c r="E191" s="178">
        <f ca="1">IF('2025整理'!$S$1&gt;=DATE(2025,2,1),'2025整理'!G1807," ")</f>
        <v>0</v>
      </c>
      <c r="F191" s="178">
        <f ca="1">IF('2025整理'!$S$1&gt;=DATE(2025,3,1),'2025整理'!H1807," ")</f>
        <v>0</v>
      </c>
      <c r="G191" s="178">
        <f ca="1">IF('2025整理'!$S$1&gt;=DATE(2025,4,1),'2025整理'!I1807," ")</f>
        <v>0</v>
      </c>
      <c r="H191" s="178">
        <f ca="1">IF('2025整理'!$S$1&gt;=DATE(2025,5,1),'2025整理'!J1807," ")</f>
        <v>0</v>
      </c>
      <c r="I191" s="178">
        <f ca="1">IF('2025整理'!$S$1&gt;=DATE(2025,6,1),'2025整理'!K1807," ")</f>
        <v>0</v>
      </c>
      <c r="J191" s="178">
        <f ca="1">IF('2025整理'!$S$1&gt;=DATE(2025,7,1),'2025整理'!L1807," ")</f>
        <v>0</v>
      </c>
      <c r="K191" s="178">
        <f ca="1">IF('2025整理'!$S$1&gt;=DATE(2025,8,1),'2025整理'!M1807," ")</f>
        <v>0</v>
      </c>
      <c r="L191" s="178">
        <f ca="1">IF('2025整理'!$S$1&gt;=DATE(2025,9,1),'2025整理'!N1807," ")</f>
        <v>0</v>
      </c>
      <c r="M191" s="178">
        <f ca="1">IF('2025整理'!$S$1&gt;=DATE(2025,10,1),'2025整理'!O1807," ")</f>
        <v>0</v>
      </c>
      <c r="N191" s="178">
        <f ca="1">IF('2025整理'!$S$1&gt;=DATE(2025,11,1),'2025整理'!P1807," ")</f>
        <v>0</v>
      </c>
      <c r="O191" s="178">
        <f ca="1">IF('2025整理'!$S$1&gt;=DATE(2025,12,1),'2025整理'!Q1807," ")</f>
        <v>0</v>
      </c>
    </row>
    <row r="192" ht="24.75" customHeight="1" spans="1:15">
      <c r="A192" s="185" t="s">
        <v>349</v>
      </c>
      <c r="B192" s="201" t="s">
        <v>302</v>
      </c>
      <c r="C192" s="166" t="s">
        <v>393</v>
      </c>
      <c r="D192" s="198" t="str">
        <f ca="1">IF(D191=0,"",IF('2025整理'!$S$1&gt;=DATE(2025,1,1),'2025整理'!F1807/'2025整理'!F1820," "))</f>
        <v/>
      </c>
      <c r="E192" s="198" t="str">
        <f ca="1">IF(E191=0,"",IF('2025整理'!$S$1&gt;=DATE(2025,2,1),'2025整理'!G1807/'2025整理'!G1820," "))</f>
        <v/>
      </c>
      <c r="F192" s="198" t="str">
        <f ca="1">IF(F191=0,"",IF('2025整理'!$S$1&gt;=DATE(2025,3,1),'2025整理'!H1807/'2025整理'!H1820," "))</f>
        <v/>
      </c>
      <c r="G192" s="198" t="str">
        <f ca="1">IF(G191=0,"",IF('2025整理'!$S$1&gt;=DATE(2025,4,1),'2025整理'!I1807/'2025整理'!I1820," "))</f>
        <v/>
      </c>
      <c r="H192" s="198" t="str">
        <f ca="1">IF(H191=0,"",IF('2025整理'!$S$1&gt;=DATE(2025,5,1),'2025整理'!J1807/'2025整理'!J1820," "))</f>
        <v/>
      </c>
      <c r="I192" s="198" t="str">
        <f ca="1">IF(F191=0,"",IF(I191=0,"",IF('2025整理'!$S$1&gt;=DATE(2025,6,1),'2025整理'!K1807/'2025整理'!K1820," ")))</f>
        <v/>
      </c>
      <c r="J192" s="198" t="str">
        <f ca="1">IF(G191=0,"",IF(J191=0,"",IF('2025整理'!$S$1&gt;=DATE(2025,7,1),'2025整理'!L1807/'2025整理'!L1820," ")))</f>
        <v/>
      </c>
      <c r="K192" s="198" t="str">
        <f ca="1">IF(H191=0,"",IF(K191=0,"",IF('2025整理'!$S$1&gt;=DATE(2025,8,1),'2025整理'!M1807/'2025整理'!M1820," ")))</f>
        <v/>
      </c>
      <c r="L192" s="198" t="str">
        <f ca="1">IF(I191=0,"",IF(L191=0,"",IF('2025整理'!$S$1&gt;=DATE(2025,9,1),'2025整理'!N1807/'2025整理'!N1820," ")))</f>
        <v/>
      </c>
      <c r="M192" s="198" t="str">
        <f ca="1">IF(J191=0,"",IF(M191=0,"",IF('2025整理'!$S$1&gt;=DATE(2025,10,1),'2025整理'!O1807/'2025整理'!O1820," ")))</f>
        <v/>
      </c>
      <c r="N192" s="198" t="str">
        <f ca="1">IF(K191=0,"",IF(N191=0,"",IF('2025整理'!$S$1&gt;=DATE(2025,11,1),'2025整理'!P1807/'2025整理'!P1820," ")))</f>
        <v/>
      </c>
      <c r="O192" s="198" t="str">
        <f ca="1">IF(L191=0,"",IF(O191=0,"",IF('2025整理'!$S$1&gt;=DATE(2025,12,1),'2025整理'!Q1807/'2025整理'!Q1820," ")))</f>
        <v/>
      </c>
    </row>
    <row r="193" ht="24.75" customHeight="1" spans="1:15">
      <c r="A193" s="185" t="s">
        <v>349</v>
      </c>
      <c r="B193" s="201" t="s">
        <v>302</v>
      </c>
      <c r="C193" s="163" t="s">
        <v>327</v>
      </c>
      <c r="D193" s="199">
        <f ca="1">D191</f>
        <v>0</v>
      </c>
      <c r="E193" s="199">
        <f ca="1" t="shared" ref="E193:H193" si="156">E191+D193</f>
        <v>0</v>
      </c>
      <c r="F193" s="199">
        <f ca="1" t="shared" si="156"/>
        <v>0</v>
      </c>
      <c r="G193" s="199">
        <f ca="1" t="shared" si="156"/>
        <v>0</v>
      </c>
      <c r="H193" s="199">
        <f ca="1" t="shared" si="156"/>
        <v>0</v>
      </c>
      <c r="I193" s="199">
        <f ca="1" t="shared" ref="I193:O193" si="157">IF(I191=" "," ",I191+H193)</f>
        <v>0</v>
      </c>
      <c r="J193" s="199">
        <f ca="1" t="shared" si="157"/>
        <v>0</v>
      </c>
      <c r="K193" s="199">
        <f ca="1" t="shared" si="157"/>
        <v>0</v>
      </c>
      <c r="L193" s="199">
        <f ca="1" t="shared" si="157"/>
        <v>0</v>
      </c>
      <c r="M193" s="199">
        <f ca="1" t="shared" si="157"/>
        <v>0</v>
      </c>
      <c r="N193" s="199">
        <f ca="1" t="shared" si="157"/>
        <v>0</v>
      </c>
      <c r="O193" s="199">
        <f ca="1" t="shared" si="157"/>
        <v>0</v>
      </c>
    </row>
    <row r="194" ht="24.75" customHeight="1" spans="1:15">
      <c r="A194" s="190" t="s">
        <v>349</v>
      </c>
      <c r="B194" s="201" t="s">
        <v>302</v>
      </c>
      <c r="C194" s="166" t="s">
        <v>394</v>
      </c>
      <c r="D194" s="198" t="str">
        <f ca="1">IF(D193=0,"",IF('2025整理'!$S$1&gt;=DATE(2025,1,1),'2025整理'!F1876/'2025整理'!F1823," "))</f>
        <v/>
      </c>
      <c r="E194" s="198" t="str">
        <f ca="1">IF(E193=0,"",IF('2025整理'!$S$1&gt;=DATE(2025,2,1),'2025整理'!G1876/'2025整理'!G1823," "))</f>
        <v/>
      </c>
      <c r="F194" s="198" t="str">
        <f ca="1">IF(F193=0,"",IF('2025整理'!$S$1&gt;=DATE(2025,3,1),'2025整理'!H1876/'2025整理'!H1823," "))</f>
        <v/>
      </c>
      <c r="G194" s="198" t="str">
        <f ca="1">IF(G193=0,"",IF('2025整理'!$S$1&gt;=DATE(2025,4,1),'2025整理'!I1876/'2025整理'!I1823," "))</f>
        <v/>
      </c>
      <c r="H194" s="198" t="str">
        <f ca="1">IF(H193=0,"",IF('2025整理'!$S$1&gt;=DATE(2025,5,1),'2025整理'!J1876/'2025整理'!J1823," "))</f>
        <v/>
      </c>
      <c r="I194" s="198" t="str">
        <f ca="1">IF(F193=0,"",IF(I193=0,"",IF('2025整理'!$S$1&gt;=DATE(2025,6,1),'2025整理'!K1876/'2025整理'!K1823," ")))</f>
        <v/>
      </c>
      <c r="J194" s="198" t="str">
        <f ca="1">IF(G193=0,"",IF(J193=0,"",IF('2025整理'!$S$1&gt;=DATE(2025,7,1),'2025整理'!L1876/'2025整理'!L1823," ")))</f>
        <v/>
      </c>
      <c r="K194" s="198" t="str">
        <f ca="1">IF(H193=0,"",IF(K193=0,"",IF('2025整理'!$S$1&gt;=DATE(2025,8,1),'2025整理'!M1876/'2025整理'!M1823," ")))</f>
        <v/>
      </c>
      <c r="L194" s="198" t="str">
        <f ca="1">IF(I193=0,"",IF(L193=0,"",IF('2025整理'!$S$1&gt;=DATE(2025,9,1),'2025整理'!N1876/'2025整理'!N1823," ")))</f>
        <v/>
      </c>
      <c r="M194" s="198" t="str">
        <f ca="1">IF(J193=0,"",IF(M193=0,"",IF('2025整理'!$S$1&gt;=DATE(2025,10,1),'2025整理'!O1876/'2025整理'!O1823," ")))</f>
        <v/>
      </c>
      <c r="N194" s="198" t="str">
        <f ca="1">IF(K193=0,"",IF(N193=0,"",IF('2025整理'!$S$1&gt;=DATE(2025,11,1),'2025整理'!P1876/'2025整理'!P1823," ")))</f>
        <v/>
      </c>
      <c r="O194" s="198" t="str">
        <f ca="1">IF(L193=0,"",IF(O193=0,"",IF('2025整理'!$S$1&gt;=DATE(2025,12,1),'2025整理'!Q1876/'2025整理'!Q1823," ")))</f>
        <v/>
      </c>
    </row>
    <row r="195" ht="24.75" customHeight="1" spans="1:15">
      <c r="A195" s="182" t="s">
        <v>350</v>
      </c>
      <c r="B195" s="201" t="s">
        <v>302</v>
      </c>
      <c r="C195" s="163" t="s">
        <v>304</v>
      </c>
      <c r="D195" s="178">
        <f ca="1">IF('2025整理'!$S$1&gt;=DATE(2025,1,1),'2025整理'!F2117," ")</f>
        <v>0</v>
      </c>
      <c r="E195" s="178">
        <f ca="1">IF('2025整理'!$S$1&gt;=DATE(2025,2,1),'2025整理'!G2117," ")</f>
        <v>0</v>
      </c>
      <c r="F195" s="178">
        <f ca="1">IF('2025整理'!$S$1&gt;=DATE(2025,3,1),'2025整理'!H2117," ")</f>
        <v>0</v>
      </c>
      <c r="G195" s="178">
        <f ca="1">IF('2025整理'!$S$1&gt;=DATE(2025,4,1),'2025整理'!I2117," ")</f>
        <v>0</v>
      </c>
      <c r="H195" s="178">
        <f ca="1">IF('2025整理'!$S$1&gt;=DATE(2025,5,1),'2025整理'!J2117," ")</f>
        <v>0</v>
      </c>
      <c r="I195" s="178">
        <f ca="1">IF('2025整理'!$S$1&gt;=DATE(2025,6,1),'2025整理'!K2117," ")</f>
        <v>0</v>
      </c>
      <c r="J195" s="178">
        <f ca="1">IF('2025整理'!$S$1&gt;=DATE(2025,7,1),'2025整理'!L2117," ")</f>
        <v>0</v>
      </c>
      <c r="K195" s="178">
        <f ca="1">IF('2025整理'!$S$1&gt;=DATE(2025,8,1),'2025整理'!M2117," ")</f>
        <v>0</v>
      </c>
      <c r="L195" s="178">
        <f ca="1">IF('2025整理'!$S$1&gt;=DATE(2025,9,1),'2025整理'!N2117," ")</f>
        <v>0</v>
      </c>
      <c r="M195" s="178">
        <f ca="1">IF('2025整理'!$S$1&gt;=DATE(2025,10,1),'2025整理'!O2117," ")</f>
        <v>0</v>
      </c>
      <c r="N195" s="178">
        <f ca="1">IF('2025整理'!$S$1&gt;=DATE(2025,11,1),'2025整理'!P2117," ")</f>
        <v>0.181329</v>
      </c>
      <c r="O195" s="178">
        <f ca="1">IF('2025整理'!$S$1&gt;=DATE(2025,12,1),'2025整理'!Q2117," ")</f>
        <v>0</v>
      </c>
    </row>
    <row r="196" ht="24.75" customHeight="1" spans="1:15">
      <c r="A196" s="185" t="s">
        <v>350</v>
      </c>
      <c r="B196" s="201" t="s">
        <v>302</v>
      </c>
      <c r="C196" s="166" t="s">
        <v>393</v>
      </c>
      <c r="D196" s="198" t="str">
        <f ca="1">IF(D195=0,"",IF('2025整理'!$S$1&gt;=DATE(2025,1,1),'2025整理'!F2117/'2025整理'!F2130," "))</f>
        <v/>
      </c>
      <c r="E196" s="198" t="str">
        <f ca="1">IF(E195=0,"",IF('2025整理'!$S$1&gt;=DATE(2025,2,1),'2025整理'!G2117/'2025整理'!G2130," "))</f>
        <v/>
      </c>
      <c r="F196" s="198" t="str">
        <f ca="1">IF(F195=0,"",IF('2025整理'!$S$1&gt;=DATE(2025,3,1),'2025整理'!H2117/'2025整理'!H2130," "))</f>
        <v/>
      </c>
      <c r="G196" s="198" t="str">
        <f ca="1">IF(G195=0,"",IF('2025整理'!$S$1&gt;=DATE(2025,4,1),'2025整理'!I2117/'2025整理'!I2130," "))</f>
        <v/>
      </c>
      <c r="H196" s="198" t="str">
        <f ca="1">IF(H195=0,"",IF('2025整理'!$S$1&gt;=DATE(2025,5,1),'2025整理'!J2117/'2025整理'!J2130," "))</f>
        <v/>
      </c>
      <c r="I196" s="198" t="str">
        <f ca="1">IF(F195=0,"",IF(I195=0,"",IF('2025整理'!$S$1&gt;=DATE(2025,6,1),'2025整理'!K2117/'2025整理'!K2130," ")))</f>
        <v/>
      </c>
      <c r="J196" s="198" t="str">
        <f ca="1">IF(G195=0,"",IF(J195=0,"",IF('2025整理'!$S$1&gt;=DATE(2025,7,1),'2025整理'!L2117/'2025整理'!L2130," ")))</f>
        <v/>
      </c>
      <c r="K196" s="198" t="str">
        <f ca="1">IF(H195=0,"",IF(K195=0,"",IF('2025整理'!$S$1&gt;=DATE(2025,8,1),'2025整理'!M2117/'2025整理'!M2130," ")))</f>
        <v/>
      </c>
      <c r="L196" s="198" t="str">
        <f ca="1">IF(I195=0,"",IF(L195=0,"",IF('2025整理'!$S$1&gt;=DATE(2025,9,1),'2025整理'!N2117/'2025整理'!N2130," ")))</f>
        <v/>
      </c>
      <c r="M196" s="198" t="str">
        <f ca="1">IF(J195=0,"",IF(M195=0,"",IF('2025整理'!$S$1&gt;=DATE(2025,10,1),'2025整理'!O2117/'2025整理'!O2130," ")))</f>
        <v/>
      </c>
      <c r="N196" s="198" t="str">
        <f ca="1">IF(K195=0,"",IF(N195=0,"",IF('2025整理'!$S$1&gt;=DATE(2025,11,1),'2025整理'!P2117/'2025整理'!P2130," ")))</f>
        <v/>
      </c>
      <c r="O196" s="198" t="str">
        <f ca="1">IF(L195=0,"",IF(O195=0,"",IF('2025整理'!$S$1&gt;=DATE(2025,12,1),'2025整理'!Q2117/'2025整理'!Q2130," ")))</f>
        <v/>
      </c>
    </row>
    <row r="197" ht="24.75" customHeight="1" spans="1:15">
      <c r="A197" s="185" t="s">
        <v>350</v>
      </c>
      <c r="B197" s="201" t="s">
        <v>302</v>
      </c>
      <c r="C197" s="163" t="s">
        <v>327</v>
      </c>
      <c r="D197" s="199">
        <f ca="1">D195</f>
        <v>0</v>
      </c>
      <c r="E197" s="199">
        <f ca="1" t="shared" ref="E197:H197" si="158">E195+D197</f>
        <v>0</v>
      </c>
      <c r="F197" s="199">
        <f ca="1" t="shared" si="158"/>
        <v>0</v>
      </c>
      <c r="G197" s="199">
        <f ca="1" t="shared" si="158"/>
        <v>0</v>
      </c>
      <c r="H197" s="199">
        <f ca="1" t="shared" si="158"/>
        <v>0</v>
      </c>
      <c r="I197" s="199">
        <f ca="1" t="shared" ref="I197:O197" si="159">IF(I195=" "," ",I195+H197)</f>
        <v>0</v>
      </c>
      <c r="J197" s="199">
        <f ca="1" t="shared" si="159"/>
        <v>0</v>
      </c>
      <c r="K197" s="199">
        <f ca="1" t="shared" si="159"/>
        <v>0</v>
      </c>
      <c r="L197" s="199">
        <f ca="1" t="shared" si="159"/>
        <v>0</v>
      </c>
      <c r="M197" s="199">
        <f ca="1" t="shared" si="159"/>
        <v>0</v>
      </c>
      <c r="N197" s="199">
        <f ca="1" t="shared" si="159"/>
        <v>0.181329</v>
      </c>
      <c r="O197" s="199">
        <f ca="1" t="shared" si="159"/>
        <v>0.181329</v>
      </c>
    </row>
    <row r="198" ht="24.75" customHeight="1" spans="1:15">
      <c r="A198" s="190" t="s">
        <v>350</v>
      </c>
      <c r="B198" s="201" t="s">
        <v>302</v>
      </c>
      <c r="C198" s="166" t="s">
        <v>394</v>
      </c>
      <c r="D198" s="198" t="str">
        <f ca="1">IF(D197=0,"",IF('2025整理'!$S$1&gt;=DATE(2025,1,1),'2025整理'!F2186/'2025整理'!F2133," "))</f>
        <v/>
      </c>
      <c r="E198" s="198" t="str">
        <f ca="1">IF(E197=0,"",IF('2025整理'!$S$1&gt;=DATE(2025,2,1),'2025整理'!G2186/'2025整理'!G2133," "))</f>
        <v/>
      </c>
      <c r="F198" s="198" t="str">
        <f ca="1">IF(F197=0,"",IF('2025整理'!$S$1&gt;=DATE(2025,3,1),'2025整理'!H2186/'2025整理'!H2133," "))</f>
        <v/>
      </c>
      <c r="G198" s="198" t="str">
        <f ca="1">IF(G197=0,"",IF('2025整理'!$S$1&gt;=DATE(2025,4,1),'2025整理'!I2186/'2025整理'!I2133," "))</f>
        <v/>
      </c>
      <c r="H198" s="198" t="str">
        <f ca="1">IF(H197=0,"",IF('2025整理'!$S$1&gt;=DATE(2025,5,1),'2025整理'!J2186/'2025整理'!J2133," "))</f>
        <v/>
      </c>
      <c r="I198" s="198" t="str">
        <f ca="1">IF(F197=0,"",IF(I197=0,"",IF('2025整理'!$S$1&gt;=DATE(2025,6,1),'2025整理'!K2186/'2025整理'!K2133," ")))</f>
        <v/>
      </c>
      <c r="J198" s="198" t="str">
        <f ca="1">IF(G197=0,"",IF(J197=0,"",IF('2025整理'!$S$1&gt;=DATE(2025,7,1),'2025整理'!L2186/'2025整理'!L2133," ")))</f>
        <v/>
      </c>
      <c r="K198" s="198" t="str">
        <f ca="1">IF(H197=0,"",IF(K197=0,"",IF('2025整理'!$S$1&gt;=DATE(2025,8,1),'2025整理'!M2186/'2025整理'!M2133," ")))</f>
        <v/>
      </c>
      <c r="L198" s="198" t="str">
        <f ca="1">IF(I197=0,"",IF(L197=0,"",IF('2025整理'!$S$1&gt;=DATE(2025,9,1),'2025整理'!N2186/'2025整理'!N2133," ")))</f>
        <v/>
      </c>
      <c r="M198" s="198" t="str">
        <f ca="1">IF(J197=0,"",IF(M197=0,"",IF('2025整理'!$S$1&gt;=DATE(2025,10,1),'2025整理'!O2186/'2025整理'!O2133," ")))</f>
        <v/>
      </c>
      <c r="N198" s="198" t="str">
        <f ca="1">IF(K197=0,"",IF(N197=0,"",IF('2025整理'!$S$1&gt;=DATE(2025,11,1),'2025整理'!P2186/'2025整理'!P2133," ")))</f>
        <v/>
      </c>
      <c r="O198" s="198" t="str">
        <f ca="1">IF(L197=0,"",IF(O197=0,"",IF('2025整理'!$S$1&gt;=DATE(2025,12,1),'2025整理'!Q2186/'2025整理'!Q2133," ")))</f>
        <v/>
      </c>
    </row>
    <row r="199" ht="24.75" customHeight="1"/>
    <row r="200" ht="24.75" customHeight="1"/>
    <row r="201" ht="24.75" customHeight="1"/>
    <row r="202" ht="24.75" customHeight="1"/>
    <row r="203" ht="24.75" customHeight="1"/>
    <row r="204" ht="24.75" customHeight="1"/>
    <row r="205" ht="24.75" customHeight="1"/>
    <row r="206" ht="24.75" customHeight="1"/>
    <row r="207" ht="24.75" customHeight="1"/>
    <row r="208" ht="24.75" customHeight="1"/>
    <row r="209" ht="24.75" customHeight="1"/>
    <row r="210" ht="24.75" customHeight="1"/>
    <row r="211" ht="24.75" customHeight="1"/>
    <row r="212" ht="24.75" customHeight="1"/>
    <row r="213" ht="24.75" customHeight="1"/>
    <row r="214" ht="24.75" customHeight="1"/>
    <row r="215" ht="24.75" customHeight="1"/>
    <row r="216" ht="24.75" customHeight="1"/>
    <row r="217" ht="24.75" customHeight="1"/>
    <row r="218" ht="24.75" customHeight="1"/>
    <row r="219" ht="24.75" customHeight="1"/>
    <row r="220" ht="24.75" customHeight="1"/>
    <row r="221" ht="24" customHeight="1"/>
    <row r="222" ht="24" customHeight="1"/>
    <row r="223" ht="24" customHeight="1"/>
    <row r="224" ht="24" customHeight="1"/>
    <row r="225" ht="24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sheetProtection formatCells="0" formatColumns="0" formatRows="0" insertRows="0" insertColumns="0" insertHyperlinks="0" deleteColumns="0" deleteRows="0" sort="0" autoFilter="0" pivotTables="0"/>
  <customSheetViews>
    <customSheetView guid="{2DC6DF81-3091-4B69-B551-220C410A6C56}" filter="1" showAutoFilter="1">
      <pageMargins left="0.7" right="0.7" top="0.75" bottom="0.75" header="0.3" footer="0.3"/>
      <headerFooter/>
      <autoFilter ref="W96:AK124"/>
    </customSheetView>
    <customSheetView guid="{2DC6DF81-3091-4B69-B551-220C410A6C56}" filter="1" showAutoFilter="1">
      <pageMargins left="0.7" right="0.7" top="0.75" bottom="0.75" header="0.3" footer="0.3"/>
      <headerFooter/>
      <autoFilter ref="A142:O198"/>
    </customSheetView>
    <customSheetView guid="{2DC6DF81-3091-4B69-B551-220C410A6C56}" filter="1" showAutoFilter="1">
      <pageMargins left="0.7" right="0.7" top="0.75" bottom="0.75" header="0.3" footer="0.3"/>
      <headerFooter/>
      <autoFilter ref="W54:AK70"/>
    </customSheetView>
    <customSheetView guid="{2DC6DF81-3091-4B69-B551-220C410A6C56}" filter="1" showAutoFilter="1">
      <pageMargins left="0.7" right="0.7" top="0.75" bottom="0.75" header="0.3" footer="0.3"/>
      <headerFooter/>
      <autoFilter ref="W2:AK34"/>
    </customSheetView>
  </customSheetViews>
  <mergeCells count="7">
    <mergeCell ref="A1:C1"/>
    <mergeCell ref="W1:Y1"/>
    <mergeCell ref="A53:C53"/>
    <mergeCell ref="W53:Y53"/>
    <mergeCell ref="A95:C95"/>
    <mergeCell ref="W95:Y95"/>
    <mergeCell ref="A141:C141"/>
  </mergeCells>
  <pageMargins left="0.75" right="0.75" top="1" bottom="1" header="0" footer="0"/>
  <pageSetup paperSize="1" orientation="landscape"/>
  <headerFooter/>
  <drawing r:id="rId1"/>
  <tableParts count="7">
    <tablePart r:id="rId2"/>
    <tablePart r:id="rId3"/>
    <tablePart r:id="rId4"/>
    <tablePart r:id="rId5"/>
    <tablePart r:id="rId6"/>
    <tablePart r:id="rId7"/>
    <tablePart r:id="rId8"/>
  </tableParts>
  <extLst>
    <ext xmlns:x14="http://schemas.microsoft.com/office/spreadsheetml/2009/9/main" uri="{A8765BA9-456A-4dab-B4F3-ACF838C121DE}">
      <x14:slicerList>
        <x14:slicer r:id="rId9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000"/>
  <sheetViews>
    <sheetView workbookViewId="0">
      <selection activeCell="A20" sqref="A20"/>
    </sheetView>
  </sheetViews>
  <sheetFormatPr defaultColWidth="14.4571428571429" defaultRowHeight="15" customHeight="1"/>
  <cols>
    <col min="1" max="1" width="14.5428571428571" customWidth="1"/>
    <col min="2" max="2" width="9" customWidth="1"/>
    <col min="3" max="3" width="10.4571428571429" customWidth="1"/>
    <col min="4" max="4" width="12.8190476190476" customWidth="1"/>
    <col min="5" max="5" width="9" customWidth="1"/>
    <col min="6" max="6" width="10.9047619047619" customWidth="1"/>
    <col min="7" max="8" width="9.45714285714286" customWidth="1"/>
    <col min="9" max="9" width="9" customWidth="1"/>
    <col min="10" max="10" width="10.5428571428571" customWidth="1"/>
    <col min="11" max="11" width="9.45714285714286" customWidth="1"/>
    <col min="12" max="13" width="9" customWidth="1"/>
    <col min="14" max="16" width="12.5428571428571" customWidth="1"/>
    <col min="17" max="26" width="9" customWidth="1"/>
  </cols>
  <sheetData>
    <row r="1" ht="13.5" customHeight="1" spans="1:4">
      <c r="A1" s="140" t="s">
        <v>395</v>
      </c>
      <c r="B1" s="141"/>
      <c r="C1" s="141"/>
      <c r="D1" s="141"/>
    </row>
    <row r="2" ht="13.5" customHeight="1" spans="1:1">
      <c r="A2" s="142" t="str">
        <f ca="1">"   统计至"&amp;TEXT(TODAY(),"YYYY年M月D日")&amp;"，共完成"&amp;B23&amp;"项主网项目的收口工作。送审金额"&amp;TEXT(C23,"0.00")&amp;"亿元，审定金额"&amp;TEXT(D23,"0.00")&amp;"亿元。其中，核减项目"&amp;E23&amp;"个，核减金额"&amp;TEXT(F23,"0.00")&amp;"亿元，核减率为"&amp;TEXT(H23,"0.00%")&amp;"；核增项目"&amp;I23&amp;"个，核增金额"&amp;TEXT(J23,"0.00")&amp;"亿元，核增率"&amp;TEXT(L23,"0.00%")&amp;"。"</f>
        <v>   统计至2025年12月29日，共完成182项主网项目的收口工作。送审金额205.85亿元，审定金额196.02亿元。其中，核减项目103个，核减金额11.30亿元，核减率为8.54%；核增项目58个，核增金额1.49亿元，核增率2.43%。</v>
      </c>
    </row>
    <row r="3" ht="13.5" customHeight="1"/>
    <row r="4" ht="13.5" customHeight="1"/>
    <row r="5" ht="13.5" customHeight="1"/>
    <row r="6" ht="13.5" customHeight="1"/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 spans="1:1">
      <c r="A14" s="143">
        <f ca="1">'2025整理'!S1</f>
        <v>46020</v>
      </c>
    </row>
    <row r="15" ht="13.5" customHeight="1" spans="1:15">
      <c r="A15" s="144" t="s">
        <v>272</v>
      </c>
      <c r="B15" s="144" t="s">
        <v>299</v>
      </c>
      <c r="C15" s="144" t="s">
        <v>396</v>
      </c>
      <c r="D15" s="144" t="s">
        <v>397</v>
      </c>
      <c r="E15" s="144" t="s">
        <v>301</v>
      </c>
      <c r="F15" s="144" t="s">
        <v>398</v>
      </c>
      <c r="G15" s="144" t="s">
        <v>340</v>
      </c>
      <c r="H15" s="144" t="s">
        <v>399</v>
      </c>
      <c r="I15" s="144" t="s">
        <v>302</v>
      </c>
      <c r="J15" s="144" t="s">
        <v>400</v>
      </c>
      <c r="K15" s="157" t="s">
        <v>341</v>
      </c>
      <c r="L15" s="157" t="s">
        <v>401</v>
      </c>
      <c r="N15" s="158" t="s">
        <v>402</v>
      </c>
      <c r="O15" s="158"/>
    </row>
    <row r="16" ht="13.5" customHeight="1" spans="1:16">
      <c r="A16" s="135" t="s">
        <v>289</v>
      </c>
      <c r="B16" s="145">
        <f ca="1">'2025整理'!Q122</f>
        <v>43</v>
      </c>
      <c r="C16" s="146">
        <f ca="1">'2025整理'!Q217</f>
        <v>63.478832</v>
      </c>
      <c r="D16" s="146">
        <f ca="1">'2025整理'!Q263</f>
        <v>55.215702</v>
      </c>
      <c r="E16" s="145">
        <f ca="1">'2025整理'!Q158</f>
        <v>30</v>
      </c>
      <c r="F16" s="146">
        <f ca="1">'2025整理'!Q313</f>
        <v>8.496484</v>
      </c>
      <c r="G16" s="146">
        <f ca="1">'2025整理'!Q247</f>
        <v>55.777723</v>
      </c>
      <c r="H16" s="155">
        <f ca="1" t="shared" ref="H16:H23" si="0">IFERROR(F16/G16," ")</f>
        <v>0.152327551987018</v>
      </c>
      <c r="I16" s="145">
        <f ca="1">'2025整理'!Q159</f>
        <v>13</v>
      </c>
      <c r="J16" s="146">
        <f ca="1">'2025整理'!Q314</f>
        <v>0.233354</v>
      </c>
      <c r="K16" s="146">
        <f ca="1">'2025整理'!Q248</f>
        <v>7.701109</v>
      </c>
      <c r="L16" s="155">
        <f ca="1" t="shared" ref="L16:L23" si="1">IFERROR(J16/K16," ")</f>
        <v>0.0303013501042512</v>
      </c>
      <c r="N16" s="159">
        <f ca="1">分析!O100</f>
        <v>18.3023255813953</v>
      </c>
      <c r="O16" s="160">
        <f ca="1" t="shared" ref="O16:O22" si="2">B16*N16</f>
        <v>787</v>
      </c>
      <c r="P16" s="158"/>
    </row>
    <row r="17" ht="13.5" customHeight="1" spans="1:16">
      <c r="A17" s="135" t="s">
        <v>345</v>
      </c>
      <c r="B17" s="145">
        <f ca="1">'2025整理'!Q457</f>
        <v>5</v>
      </c>
      <c r="C17" s="146">
        <f ca="1">'2025整理'!Q552</f>
        <v>3.871924</v>
      </c>
      <c r="D17" s="146">
        <f ca="1">'2025整理'!Q585</f>
        <v>3.974658</v>
      </c>
      <c r="E17" s="145">
        <f ca="1">'2025整理'!Q493</f>
        <v>3</v>
      </c>
      <c r="F17" s="146">
        <f ca="1">'2025整理'!Q635</f>
        <v>0.0587880000000001</v>
      </c>
      <c r="G17" s="146">
        <f ca="1">'2025整理'!Q582</f>
        <v>2.208588</v>
      </c>
      <c r="H17" s="155">
        <f ca="1" t="shared" si="0"/>
        <v>0.0266179115344284</v>
      </c>
      <c r="I17" s="145">
        <f ca="1">'2025整理'!Q494</f>
        <v>2</v>
      </c>
      <c r="J17" s="146">
        <f ca="1">'2025整理'!Q636</f>
        <v>0.161522</v>
      </c>
      <c r="K17" s="146">
        <f ca="1">'2025整理'!Q583</f>
        <v>1.663336</v>
      </c>
      <c r="L17" s="155">
        <f ca="1" t="shared" si="1"/>
        <v>0.0971072591466787</v>
      </c>
      <c r="N17" s="159">
        <f ca="1">分析!O104</f>
        <v>22.4</v>
      </c>
      <c r="O17" s="160">
        <f ca="1" t="shared" si="2"/>
        <v>112</v>
      </c>
      <c r="P17" s="158"/>
    </row>
    <row r="18" ht="13.5" customHeight="1" spans="1:16">
      <c r="A18" s="135" t="s">
        <v>346</v>
      </c>
      <c r="B18" s="145">
        <f ca="1">'2025整理'!Q767</f>
        <v>46</v>
      </c>
      <c r="C18" s="146">
        <f ca="1">'2025整理'!Q862</f>
        <v>56.985865</v>
      </c>
      <c r="D18" s="146">
        <f ca="1">'2025整理'!Q895</f>
        <v>56.339753</v>
      </c>
      <c r="E18" s="145">
        <f ca="1">'2025整理'!Q803</f>
        <v>32</v>
      </c>
      <c r="F18" s="146">
        <f ca="1">'2025整理'!Q945</f>
        <v>1.063964</v>
      </c>
      <c r="G18" s="146">
        <f ca="1">'2025整理'!Q892</f>
        <v>34.796901</v>
      </c>
      <c r="H18" s="155">
        <f ca="1" t="shared" si="0"/>
        <v>0.0305764010421503</v>
      </c>
      <c r="I18" s="145">
        <f ca="1">'2025整理'!Q804</f>
        <v>13</v>
      </c>
      <c r="J18" s="146">
        <f ca="1">'2025整理'!Q946</f>
        <v>0.417852</v>
      </c>
      <c r="K18" s="146">
        <f ca="1">'2025整理'!Q893</f>
        <v>21.88897</v>
      </c>
      <c r="L18" s="155">
        <f ca="1" t="shared" si="1"/>
        <v>0.0190896145410222</v>
      </c>
      <c r="N18" s="159">
        <f ca="1">分析!O108</f>
        <v>13.7173913043478</v>
      </c>
      <c r="O18" s="160">
        <f ca="1" t="shared" si="2"/>
        <v>631</v>
      </c>
      <c r="P18" s="158"/>
    </row>
    <row r="19" ht="13.5" customHeight="1" spans="1:16">
      <c r="A19" s="135" t="s">
        <v>347</v>
      </c>
      <c r="B19" s="145">
        <f ca="1">'2025整理'!Q1077</f>
        <v>10</v>
      </c>
      <c r="C19" s="146">
        <f ca="1">'2025整理'!Q1172</f>
        <v>22.050039</v>
      </c>
      <c r="D19" s="146">
        <f ca="1">'2025整理'!Q1205</f>
        <v>22.058652</v>
      </c>
      <c r="E19" s="145">
        <f ca="1">'2025整理'!Q1113</f>
        <v>4</v>
      </c>
      <c r="F19" s="146">
        <f ca="1">'2025整理'!Q1255</f>
        <v>0.0172759999999995</v>
      </c>
      <c r="G19" s="146">
        <f ca="1">'2025整理'!Q1202</f>
        <v>11.917752</v>
      </c>
      <c r="H19" s="155">
        <f ca="1" t="shared" si="0"/>
        <v>0.00144960224042248</v>
      </c>
      <c r="I19" s="145">
        <f ca="1">'2025整理'!Q1114</f>
        <v>3</v>
      </c>
      <c r="J19" s="146">
        <f ca="1">'2025整理'!Q1256</f>
        <v>0.0258889999999995</v>
      </c>
      <c r="K19" s="146">
        <f ca="1">'2025整理'!Q1203</f>
        <v>9.30657</v>
      </c>
      <c r="L19" s="155">
        <f ca="1" t="shared" si="1"/>
        <v>0.00278179823501027</v>
      </c>
      <c r="N19" s="159">
        <f ca="1">分析!O112</f>
        <v>10</v>
      </c>
      <c r="O19" s="160">
        <f ca="1" t="shared" si="2"/>
        <v>100</v>
      </c>
      <c r="P19" s="158"/>
    </row>
    <row r="20" ht="13.5" customHeight="1" spans="1:16">
      <c r="A20" s="135" t="s">
        <v>348</v>
      </c>
      <c r="B20" s="145">
        <f ca="1">'2025整理'!Q1387</f>
        <v>48</v>
      </c>
      <c r="C20" s="146">
        <f ca="1">'2025整理'!Q1482</f>
        <v>47.216825</v>
      </c>
      <c r="D20" s="146">
        <f ca="1">'2025整理'!Q1515</f>
        <v>46.675238</v>
      </c>
      <c r="E20" s="145">
        <f ca="1">'2025整理'!Q1423</f>
        <v>21</v>
      </c>
      <c r="F20" s="146">
        <f ca="1">'2025整理'!Q1565</f>
        <v>1.010352</v>
      </c>
      <c r="G20" s="146">
        <f ca="1">'2025整理'!Q1512</f>
        <v>25.509624</v>
      </c>
      <c r="H20" s="155">
        <f ca="1" t="shared" si="0"/>
        <v>0.0396066990246505</v>
      </c>
      <c r="I20" s="145">
        <f ca="1">'2025整理'!Q1424</f>
        <v>25</v>
      </c>
      <c r="J20" s="146">
        <f ca="1">'2025整理'!Q1566</f>
        <v>0.468764999999999</v>
      </c>
      <c r="K20" s="146">
        <f ca="1">'2025整理'!Q1513</f>
        <v>20.561543</v>
      </c>
      <c r="L20" s="155">
        <f ca="1" t="shared" si="1"/>
        <v>0.0227981431160103</v>
      </c>
      <c r="N20" s="159">
        <f ca="1">分析!O116</f>
        <v>14.7708333333333</v>
      </c>
      <c r="O20" s="160">
        <f ca="1" t="shared" si="2"/>
        <v>709</v>
      </c>
      <c r="P20" s="158"/>
    </row>
    <row r="21" ht="13.5" customHeight="1" spans="1:16">
      <c r="A21" s="135" t="s">
        <v>349</v>
      </c>
      <c r="B21" s="145">
        <f ca="1">'2025整理'!Q1697</f>
        <v>9</v>
      </c>
      <c r="C21" s="146">
        <f ca="1">'2025整理'!Q1792</f>
        <v>9.554554</v>
      </c>
      <c r="D21" s="146">
        <f ca="1">'2025整理'!Q1825</f>
        <v>9.554554</v>
      </c>
      <c r="E21" s="145">
        <f ca="1">'2025整理'!Q1733</f>
        <v>0</v>
      </c>
      <c r="F21" s="146">
        <f ca="1">'2025整理'!Q1875</f>
        <v>0</v>
      </c>
      <c r="G21" s="146">
        <f ca="1">'2025整理'!Q1822</f>
        <v>0</v>
      </c>
      <c r="H21" s="155" t="str">
        <f ca="1" t="shared" si="0"/>
        <v> </v>
      </c>
      <c r="I21" s="145">
        <f ca="1">'2025整理'!Q1734</f>
        <v>0</v>
      </c>
      <c r="J21" s="146">
        <f ca="1">'2025整理'!Q1876</f>
        <v>0</v>
      </c>
      <c r="K21" s="146">
        <f ca="1">'2025整理'!Q1823</f>
        <v>0</v>
      </c>
      <c r="L21" s="155" t="str">
        <f ca="1" t="shared" si="1"/>
        <v> </v>
      </c>
      <c r="N21" s="159">
        <f ca="1">分析!O120</f>
        <v>4.11111111111111</v>
      </c>
      <c r="O21" s="160">
        <f ca="1" t="shared" si="2"/>
        <v>37</v>
      </c>
      <c r="P21" s="158"/>
    </row>
    <row r="22" ht="13.5" customHeight="1" spans="1:16">
      <c r="A22" s="135" t="s">
        <v>350</v>
      </c>
      <c r="B22" s="145">
        <f ca="1">'2025整理'!Q2007</f>
        <v>21</v>
      </c>
      <c r="C22" s="146">
        <f ca="1">'2025整理'!Q2102</f>
        <v>2.68787121</v>
      </c>
      <c r="D22" s="146">
        <f ca="1">'2025整理'!Q2135</f>
        <v>2.20229821</v>
      </c>
      <c r="E22" s="145">
        <f ca="1">'2025整理'!Q2043</f>
        <v>13</v>
      </c>
      <c r="F22" s="146">
        <f ca="1">'2025整理'!Q2185</f>
        <v>0.649478</v>
      </c>
      <c r="G22" s="146">
        <f ca="1">'2025整理'!Q2132</f>
        <v>2.004997</v>
      </c>
      <c r="H22" s="155">
        <f ca="1" t="shared" si="0"/>
        <v>0.323929661740142</v>
      </c>
      <c r="I22" s="145">
        <f ca="1">'2025整理'!Q2044</f>
        <v>2</v>
      </c>
      <c r="J22" s="146">
        <f ca="1">'2025整理'!Q2186</f>
        <v>0.181329</v>
      </c>
      <c r="K22" s="146">
        <f ca="1">'2025整理'!Q2133</f>
        <v>0.172733</v>
      </c>
      <c r="L22" s="155">
        <f ca="1" t="shared" si="1"/>
        <v>1.04976466569793</v>
      </c>
      <c r="N22" s="159">
        <f ca="1">分析!O124</f>
        <v>11.1904761904762</v>
      </c>
      <c r="O22" s="160">
        <f ca="1" t="shared" si="2"/>
        <v>235</v>
      </c>
      <c r="P22" s="158"/>
    </row>
    <row r="23" ht="13.5" customHeight="1" spans="1:15">
      <c r="A23" s="147" t="s">
        <v>403</v>
      </c>
      <c r="B23" s="148">
        <f ca="1" t="shared" ref="B23:G23" si="3">SUM(B16:B22)</f>
        <v>182</v>
      </c>
      <c r="C23" s="149">
        <f ca="1" t="shared" si="3"/>
        <v>205.84591021</v>
      </c>
      <c r="D23" s="149">
        <f ca="1" t="shared" si="3"/>
        <v>196.02085521</v>
      </c>
      <c r="E23" s="148">
        <f ca="1" t="shared" si="3"/>
        <v>103</v>
      </c>
      <c r="F23" s="149">
        <f ca="1" t="shared" si="3"/>
        <v>11.296342</v>
      </c>
      <c r="G23" s="149">
        <f ca="1" t="shared" si="3"/>
        <v>132.215585</v>
      </c>
      <c r="H23" s="156">
        <f ca="1" t="shared" si="0"/>
        <v>0.0854388081405078</v>
      </c>
      <c r="I23" s="148">
        <f ca="1" t="shared" ref="I23:K23" si="4">SUM(I16:I22)</f>
        <v>58</v>
      </c>
      <c r="J23" s="149">
        <f ca="1" t="shared" si="4"/>
        <v>1.488711</v>
      </c>
      <c r="K23" s="149">
        <f ca="1" t="shared" si="4"/>
        <v>61.294261</v>
      </c>
      <c r="L23" s="156">
        <f ca="1" t="shared" si="1"/>
        <v>0.0242879345588325</v>
      </c>
      <c r="N23" s="159">
        <f ca="1">O23/B23</f>
        <v>14.3461538461538</v>
      </c>
      <c r="O23" s="160">
        <f ca="1">SUM(O16:O22)</f>
        <v>2611</v>
      </c>
    </row>
    <row r="24" ht="13.5" customHeight="1"/>
    <row r="25" ht="13.5" customHeight="1" spans="2:4">
      <c r="B25" s="150"/>
      <c r="C25" s="151" t="s">
        <v>404</v>
      </c>
      <c r="D25" s="152" t="s">
        <v>405</v>
      </c>
    </row>
    <row r="26" ht="13.5" customHeight="1" spans="2:4">
      <c r="B26" s="150"/>
      <c r="C26" s="153">
        <f ca="1">SUMPRODUCT((TEXT('2025数据'!$D$3:$D$181,"YYYY-MM")=TEXT($A$14,"YYYY-MM"))*'2025数据'!$AK$3:$AK$181)/10000</f>
        <v>2.427892</v>
      </c>
      <c r="D26" s="154">
        <f ca="1">D23/GETPIVOTDATA("2024年11月",'2024统计'!$T$41)-1</f>
        <v>0.158175365774167</v>
      </c>
    </row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sheetProtection formatCells="0" formatColumns="0" formatRows="0" insertRows="0" insertColumns="0" insertHyperlinks="0" deleteColumns="0" deleteRows="0" sort="0" autoFilter="0" pivotTables="0"/>
  <mergeCells count="2">
    <mergeCell ref="A1:D1"/>
    <mergeCell ref="A2:E7"/>
  </mergeCells>
  <pageMargins left="0.75" right="0.75" top="1" bottom="1" header="0" footer="0"/>
  <pageSetup paperSize="1" orientation="landscape"/>
  <headerFooter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000"/>
  <sheetViews>
    <sheetView workbookViewId="0">
      <selection activeCell="A1" sqref="A1"/>
    </sheetView>
  </sheetViews>
  <sheetFormatPr defaultColWidth="14.4571428571429" defaultRowHeight="15" customHeight="1"/>
  <cols>
    <col min="1" max="9" width="16.5428571428571" customWidth="1"/>
    <col min="10" max="10" width="12.2666666666667" customWidth="1"/>
    <col min="11" max="18" width="15.5428571428571" customWidth="1"/>
    <col min="19" max="19" width="12.5428571428571" customWidth="1"/>
    <col min="20" max="26" width="15.5428571428571" customWidth="1"/>
    <col min="27" max="27" width="12.5428571428571" customWidth="1"/>
  </cols>
  <sheetData>
    <row r="1" ht="24.75" customHeight="1" spans="1:20">
      <c r="A1" s="127" t="s">
        <v>351</v>
      </c>
      <c r="K1" s="127" t="s">
        <v>352</v>
      </c>
      <c r="T1" s="127" t="s">
        <v>353</v>
      </c>
    </row>
    <row r="2" spans="1:21">
      <c r="A2" s="128" t="s">
        <v>273</v>
      </c>
      <c r="B2" s="128" t="s">
        <v>299</v>
      </c>
      <c r="K2" s="128" t="s">
        <v>272</v>
      </c>
      <c r="L2" s="128" t="s">
        <v>354</v>
      </c>
      <c r="T2" s="128" t="s">
        <v>272</v>
      </c>
      <c r="U2" s="128" t="s">
        <v>354</v>
      </c>
    </row>
    <row r="3" spans="1:21">
      <c r="A3" s="128" t="s">
        <v>274</v>
      </c>
      <c r="B3" s="128" t="s">
        <v>344</v>
      </c>
      <c r="K3" s="128" t="s">
        <v>273</v>
      </c>
      <c r="L3" s="128" t="s">
        <v>308</v>
      </c>
      <c r="T3" s="128" t="s">
        <v>273</v>
      </c>
      <c r="U3" s="128" t="s">
        <v>299</v>
      </c>
    </row>
    <row r="4" spans="1:21">
      <c r="A4" s="128" t="s">
        <v>275</v>
      </c>
      <c r="B4" s="128" t="s">
        <v>292</v>
      </c>
      <c r="K4" s="128" t="s">
        <v>274</v>
      </c>
      <c r="L4" s="128" t="s">
        <v>309</v>
      </c>
      <c r="T4" s="128" t="s">
        <v>274</v>
      </c>
      <c r="U4" s="128" t="s">
        <v>343</v>
      </c>
    </row>
    <row r="5" spans="1:21">
      <c r="A5" s="128" t="s">
        <v>276</v>
      </c>
      <c r="B5" s="128" t="s">
        <v>320</v>
      </c>
      <c r="K5" s="128" t="s">
        <v>275</v>
      </c>
      <c r="L5" s="128" t="s">
        <v>31</v>
      </c>
      <c r="T5" s="128" t="s">
        <v>275</v>
      </c>
      <c r="U5" s="128" t="s">
        <v>326</v>
      </c>
    </row>
    <row r="6" ht="24.75" customHeight="1"/>
    <row r="7" ht="13.5" customHeight="1" spans="1:26">
      <c r="A7" s="129"/>
      <c r="B7" s="129" t="s">
        <v>272</v>
      </c>
      <c r="C7" s="129"/>
      <c r="D7" s="130"/>
      <c r="E7" s="130"/>
      <c r="F7" s="130"/>
      <c r="G7" s="130"/>
      <c r="H7" s="130"/>
      <c r="I7" s="136"/>
      <c r="K7" s="129"/>
      <c r="L7" s="129" t="s">
        <v>276</v>
      </c>
      <c r="M7" s="129"/>
      <c r="N7" s="130"/>
      <c r="O7" s="130"/>
      <c r="P7" s="130"/>
      <c r="Q7" s="130"/>
      <c r="R7" s="136"/>
      <c r="T7" s="129"/>
      <c r="U7" s="129" t="s">
        <v>276</v>
      </c>
      <c r="V7" s="129"/>
      <c r="W7" s="130"/>
      <c r="X7" s="130"/>
      <c r="Y7" s="130"/>
      <c r="Z7" s="136"/>
    </row>
    <row r="8" ht="13.5" customHeight="1" spans="1:26">
      <c r="A8" s="129"/>
      <c r="B8" s="129" t="s">
        <v>346</v>
      </c>
      <c r="C8" s="131" t="s">
        <v>347</v>
      </c>
      <c r="D8" s="131" t="s">
        <v>289</v>
      </c>
      <c r="E8" s="131" t="s">
        <v>345</v>
      </c>
      <c r="F8" s="131" t="s">
        <v>348</v>
      </c>
      <c r="G8" s="131" t="s">
        <v>349</v>
      </c>
      <c r="H8" s="131" t="s">
        <v>350</v>
      </c>
      <c r="I8" s="137" t="s">
        <v>356</v>
      </c>
      <c r="K8" s="129"/>
      <c r="L8" s="129" t="s">
        <v>97</v>
      </c>
      <c r="M8" s="131" t="s">
        <v>86</v>
      </c>
      <c r="N8" s="131" t="s">
        <v>406</v>
      </c>
      <c r="O8" s="131" t="s">
        <v>87</v>
      </c>
      <c r="P8" s="131" t="s">
        <v>83</v>
      </c>
      <c r="Q8" s="131" t="s">
        <v>82</v>
      </c>
      <c r="R8" s="137" t="s">
        <v>356</v>
      </c>
      <c r="T8" s="129"/>
      <c r="U8" s="129" t="s">
        <v>85</v>
      </c>
      <c r="V8" s="131" t="s">
        <v>93</v>
      </c>
      <c r="W8" s="131" t="s">
        <v>81</v>
      </c>
      <c r="X8" s="131" t="s">
        <v>160</v>
      </c>
      <c r="Y8" s="131" t="s">
        <v>96</v>
      </c>
      <c r="Z8" s="137" t="s">
        <v>356</v>
      </c>
    </row>
    <row r="9" ht="13.5" customHeight="1" spans="1:26">
      <c r="A9" s="129" t="s">
        <v>407</v>
      </c>
      <c r="B9" s="129">
        <v>4.384582</v>
      </c>
      <c r="C9" s="131">
        <v>0</v>
      </c>
      <c r="D9" s="131">
        <v>4.238128</v>
      </c>
      <c r="E9" s="131">
        <v>3.654331</v>
      </c>
      <c r="F9" s="131">
        <v>2.397307</v>
      </c>
      <c r="G9" s="131">
        <v>0.9405</v>
      </c>
      <c r="H9" s="131">
        <v>0.060156</v>
      </c>
      <c r="I9" s="137">
        <v>15.675004</v>
      </c>
      <c r="K9" s="129" t="s">
        <v>407</v>
      </c>
      <c r="L9" s="129">
        <v>3</v>
      </c>
      <c r="M9" s="131">
        <v>5</v>
      </c>
      <c r="N9" s="131">
        <v>5</v>
      </c>
      <c r="O9" s="131">
        <v>4</v>
      </c>
      <c r="P9" s="131">
        <v>0</v>
      </c>
      <c r="Q9" s="131">
        <v>2</v>
      </c>
      <c r="R9" s="137">
        <v>19</v>
      </c>
      <c r="T9" s="129" t="s">
        <v>407</v>
      </c>
      <c r="U9" s="129">
        <v>0.091628</v>
      </c>
      <c r="V9" s="131">
        <v>0.665843</v>
      </c>
      <c r="W9" s="131">
        <v>0.0780969999999999</v>
      </c>
      <c r="X9" s="131">
        <v>0</v>
      </c>
      <c r="Y9" s="131">
        <v>0</v>
      </c>
      <c r="Z9" s="137">
        <v>0.835568</v>
      </c>
    </row>
    <row r="10" ht="13.5" customHeight="1" spans="1:26">
      <c r="A10" s="132" t="s">
        <v>408</v>
      </c>
      <c r="B10" s="132">
        <v>5.261981</v>
      </c>
      <c r="C10">
        <v>0</v>
      </c>
      <c r="D10">
        <v>7.174139</v>
      </c>
      <c r="E10">
        <v>4.448156</v>
      </c>
      <c r="F10">
        <v>3.070196</v>
      </c>
      <c r="G10">
        <v>0.9405</v>
      </c>
      <c r="H10">
        <v>0.174182</v>
      </c>
      <c r="I10" s="138">
        <v>21.069154</v>
      </c>
      <c r="K10" s="132" t="s">
        <v>408</v>
      </c>
      <c r="L10" s="132">
        <v>4</v>
      </c>
      <c r="M10">
        <v>5</v>
      </c>
      <c r="N10">
        <v>6</v>
      </c>
      <c r="O10">
        <v>1</v>
      </c>
      <c r="P10">
        <v>0</v>
      </c>
      <c r="Q10">
        <v>4</v>
      </c>
      <c r="R10" s="138">
        <v>20</v>
      </c>
      <c r="T10" s="132" t="s">
        <v>408</v>
      </c>
      <c r="U10" s="132">
        <v>0.099693</v>
      </c>
      <c r="V10">
        <v>0.889831</v>
      </c>
      <c r="W10">
        <v>0.0780969999999999</v>
      </c>
      <c r="X10">
        <v>0</v>
      </c>
      <c r="Y10">
        <v>0</v>
      </c>
      <c r="Z10" s="138">
        <v>1.067621</v>
      </c>
    </row>
    <row r="11" ht="13.5" customHeight="1" spans="1:26">
      <c r="A11" s="132" t="s">
        <v>409</v>
      </c>
      <c r="B11" s="132">
        <v>8.999721</v>
      </c>
      <c r="C11">
        <v>0</v>
      </c>
      <c r="D11">
        <v>9.882263</v>
      </c>
      <c r="E11">
        <v>4.448156</v>
      </c>
      <c r="F11">
        <v>7.916458</v>
      </c>
      <c r="G11">
        <v>0.9405</v>
      </c>
      <c r="H11">
        <v>0.326341</v>
      </c>
      <c r="I11" s="138">
        <v>32.513439</v>
      </c>
      <c r="K11" s="132" t="s">
        <v>409</v>
      </c>
      <c r="L11" s="132">
        <v>4</v>
      </c>
      <c r="M11">
        <v>7</v>
      </c>
      <c r="N11">
        <v>6</v>
      </c>
      <c r="O11">
        <v>2</v>
      </c>
      <c r="P11">
        <v>1</v>
      </c>
      <c r="Q11">
        <v>6</v>
      </c>
      <c r="R11" s="138">
        <v>26</v>
      </c>
      <c r="T11" s="132" t="s">
        <v>409</v>
      </c>
      <c r="U11" s="132">
        <v>0.135</v>
      </c>
      <c r="V11">
        <v>1.015044</v>
      </c>
      <c r="W11">
        <v>0.0780969999999999</v>
      </c>
      <c r="X11">
        <v>0</v>
      </c>
      <c r="Y11">
        <v>0.0129359999999999</v>
      </c>
      <c r="Z11" s="138">
        <v>1.241077</v>
      </c>
    </row>
    <row r="12" ht="13.5" customHeight="1" spans="1:26">
      <c r="A12" s="132" t="s">
        <v>410</v>
      </c>
      <c r="B12" s="132">
        <v>9.141672</v>
      </c>
      <c r="C12">
        <v>0.853543</v>
      </c>
      <c r="D12">
        <v>11.8902523546</v>
      </c>
      <c r="E12">
        <v>5.085188</v>
      </c>
      <c r="F12">
        <v>15.095389</v>
      </c>
      <c r="G12">
        <v>0.9405</v>
      </c>
      <c r="H12">
        <v>0.326341</v>
      </c>
      <c r="I12" s="138">
        <v>43.3328853546</v>
      </c>
      <c r="K12" s="132" t="s">
        <v>410</v>
      </c>
      <c r="L12" s="132">
        <v>5</v>
      </c>
      <c r="M12">
        <v>4</v>
      </c>
      <c r="N12">
        <v>6</v>
      </c>
      <c r="O12">
        <v>2</v>
      </c>
      <c r="P12">
        <v>0</v>
      </c>
      <c r="Q12">
        <v>8</v>
      </c>
      <c r="R12" s="138">
        <v>25</v>
      </c>
      <c r="T12" s="132" t="s">
        <v>410</v>
      </c>
      <c r="U12" s="132">
        <v>0.169898</v>
      </c>
      <c r="V12">
        <v>1.167403</v>
      </c>
      <c r="W12">
        <v>0.2961366454</v>
      </c>
      <c r="X12">
        <v>0.014471</v>
      </c>
      <c r="Y12">
        <v>0.0204539999999999</v>
      </c>
      <c r="Z12" s="138">
        <v>1.6683626454</v>
      </c>
    </row>
    <row r="13" ht="13.5" customHeight="1" spans="1:26">
      <c r="A13" s="132" t="s">
        <v>411</v>
      </c>
      <c r="B13" s="132">
        <v>10.466398</v>
      </c>
      <c r="C13">
        <v>3.793141</v>
      </c>
      <c r="D13">
        <v>40.4359253546</v>
      </c>
      <c r="E13">
        <v>10.13237</v>
      </c>
      <c r="F13">
        <v>20.822931</v>
      </c>
      <c r="G13">
        <v>2.8851</v>
      </c>
      <c r="H13">
        <v>0.43776</v>
      </c>
      <c r="I13" s="138">
        <v>88.9736253546</v>
      </c>
      <c r="K13" s="132" t="s">
        <v>411</v>
      </c>
      <c r="L13" s="132">
        <v>2</v>
      </c>
      <c r="M13">
        <v>4</v>
      </c>
      <c r="N13">
        <v>1</v>
      </c>
      <c r="O13">
        <v>1</v>
      </c>
      <c r="P13">
        <v>0</v>
      </c>
      <c r="Q13">
        <v>1</v>
      </c>
      <c r="R13" s="138">
        <v>9</v>
      </c>
      <c r="T13" s="132" t="s">
        <v>411</v>
      </c>
      <c r="U13" s="132">
        <v>0.919885</v>
      </c>
      <c r="V13">
        <v>1.43876</v>
      </c>
      <c r="W13">
        <v>0.3014426454</v>
      </c>
      <c r="X13">
        <v>0.014471</v>
      </c>
      <c r="Y13">
        <v>0.0204539999999999</v>
      </c>
      <c r="Z13" s="138">
        <v>2.6950126454</v>
      </c>
    </row>
    <row r="14" ht="13.5" customHeight="1" spans="1:26">
      <c r="A14" s="132" t="s">
        <v>412</v>
      </c>
      <c r="B14" s="132">
        <v>11.224612</v>
      </c>
      <c r="C14">
        <v>3.793141</v>
      </c>
      <c r="D14">
        <v>44.6724363546</v>
      </c>
      <c r="E14">
        <v>10.13237</v>
      </c>
      <c r="F14">
        <v>33.556965</v>
      </c>
      <c r="G14">
        <v>2.8851</v>
      </c>
      <c r="H14">
        <v>0.76262</v>
      </c>
      <c r="I14" s="138">
        <v>107.0272443546</v>
      </c>
      <c r="K14" s="132" t="s">
        <v>412</v>
      </c>
      <c r="L14" s="132">
        <v>1</v>
      </c>
      <c r="M14">
        <v>2</v>
      </c>
      <c r="N14">
        <v>3</v>
      </c>
      <c r="O14">
        <v>0</v>
      </c>
      <c r="P14">
        <v>0</v>
      </c>
      <c r="Q14">
        <v>1</v>
      </c>
      <c r="R14" s="138">
        <v>7</v>
      </c>
      <c r="T14" s="132" t="s">
        <v>412</v>
      </c>
      <c r="U14" s="132">
        <v>0.97346</v>
      </c>
      <c r="V14">
        <v>1.509433</v>
      </c>
      <c r="W14">
        <v>0.4160856454</v>
      </c>
      <c r="X14">
        <v>0.014471</v>
      </c>
      <c r="Y14">
        <v>0.170499</v>
      </c>
      <c r="Z14" s="138">
        <v>3.0839486454</v>
      </c>
    </row>
    <row r="15" ht="13.5" customHeight="1" spans="1:26">
      <c r="A15" s="132" t="s">
        <v>413</v>
      </c>
      <c r="B15" s="132">
        <v>11.862403</v>
      </c>
      <c r="C15">
        <v>6.550304</v>
      </c>
      <c r="D15">
        <v>48.1375043546</v>
      </c>
      <c r="E15">
        <v>12.038284</v>
      </c>
      <c r="F15">
        <v>35.598519</v>
      </c>
      <c r="G15">
        <v>6.0521</v>
      </c>
      <c r="H15">
        <v>0.76262</v>
      </c>
      <c r="I15" s="138">
        <v>121.0017343546</v>
      </c>
      <c r="K15" s="132" t="s">
        <v>413</v>
      </c>
      <c r="L15" s="132">
        <v>3</v>
      </c>
      <c r="M15">
        <v>4</v>
      </c>
      <c r="N15">
        <v>2</v>
      </c>
      <c r="O15">
        <v>1</v>
      </c>
      <c r="P15">
        <v>0</v>
      </c>
      <c r="Q15">
        <v>1</v>
      </c>
      <c r="R15" s="138">
        <v>11</v>
      </c>
      <c r="T15" s="132" t="s">
        <v>413</v>
      </c>
      <c r="U15" s="132">
        <v>0.97346</v>
      </c>
      <c r="V15">
        <v>1.618059</v>
      </c>
      <c r="W15">
        <v>0.4336736454</v>
      </c>
      <c r="X15">
        <v>0.014471</v>
      </c>
      <c r="Y15">
        <v>0.27255</v>
      </c>
      <c r="Z15" s="138">
        <v>3.3122136454</v>
      </c>
    </row>
    <row r="16" ht="13.5" customHeight="1" spans="1:26">
      <c r="A16" s="132" t="s">
        <v>414</v>
      </c>
      <c r="B16" s="132">
        <v>15.688632</v>
      </c>
      <c r="C16">
        <v>6.550304</v>
      </c>
      <c r="D16">
        <v>53.2464293546</v>
      </c>
      <c r="E16">
        <v>14.015994</v>
      </c>
      <c r="F16">
        <v>35.840717</v>
      </c>
      <c r="G16">
        <v>6.0521</v>
      </c>
      <c r="H16">
        <v>0.779982</v>
      </c>
      <c r="I16" s="138">
        <v>132.1741583546</v>
      </c>
      <c r="K16" s="132" t="s">
        <v>414</v>
      </c>
      <c r="L16" s="132">
        <v>1</v>
      </c>
      <c r="M16">
        <v>4</v>
      </c>
      <c r="N16">
        <v>2</v>
      </c>
      <c r="O16">
        <v>2</v>
      </c>
      <c r="P16">
        <v>0</v>
      </c>
      <c r="Q16">
        <v>3</v>
      </c>
      <c r="R16" s="138">
        <v>12</v>
      </c>
      <c r="T16" s="132" t="s">
        <v>414</v>
      </c>
      <c r="U16" s="132">
        <v>0.993838</v>
      </c>
      <c r="V16">
        <v>1.734099</v>
      </c>
      <c r="W16">
        <v>0.4721006454</v>
      </c>
      <c r="X16">
        <v>0.014471</v>
      </c>
      <c r="Y16">
        <v>0.27255</v>
      </c>
      <c r="Z16" s="138">
        <v>3.4870586454</v>
      </c>
    </row>
    <row r="17" ht="13.5" customHeight="1" spans="1:26">
      <c r="A17" s="132" t="s">
        <v>415</v>
      </c>
      <c r="B17" s="132">
        <v>23.270098</v>
      </c>
      <c r="C17">
        <v>6.550304</v>
      </c>
      <c r="D17">
        <v>54.6430653546</v>
      </c>
      <c r="E17">
        <v>14.015994</v>
      </c>
      <c r="F17">
        <v>36.285957</v>
      </c>
      <c r="G17">
        <v>6.0521</v>
      </c>
      <c r="H17">
        <v>1.314742</v>
      </c>
      <c r="I17" s="138">
        <v>142.1322603546</v>
      </c>
      <c r="K17" s="132" t="s">
        <v>415</v>
      </c>
      <c r="L17" s="132">
        <v>1</v>
      </c>
      <c r="M17">
        <v>5</v>
      </c>
      <c r="N17">
        <v>0</v>
      </c>
      <c r="O17">
        <v>1</v>
      </c>
      <c r="P17">
        <v>0</v>
      </c>
      <c r="Q17">
        <v>3</v>
      </c>
      <c r="R17" s="138">
        <v>10</v>
      </c>
      <c r="T17" s="132" t="s">
        <v>415</v>
      </c>
      <c r="U17" s="132">
        <v>1.020352</v>
      </c>
      <c r="V17">
        <v>1.809952</v>
      </c>
      <c r="W17">
        <v>0.5403896454</v>
      </c>
      <c r="X17">
        <v>0.014471</v>
      </c>
      <c r="Y17">
        <v>0.294963</v>
      </c>
      <c r="Z17" s="138">
        <v>3.6801276454</v>
      </c>
    </row>
    <row r="18" ht="13.5" customHeight="1" spans="1:26">
      <c r="A18" s="132" t="s">
        <v>416</v>
      </c>
      <c r="B18" s="132">
        <v>29.954228</v>
      </c>
      <c r="C18">
        <v>6.550304</v>
      </c>
      <c r="D18">
        <v>55.1389233546</v>
      </c>
      <c r="E18">
        <v>22.025957</v>
      </c>
      <c r="F18">
        <v>37.512638</v>
      </c>
      <c r="G18">
        <v>6.0521</v>
      </c>
      <c r="H18">
        <v>1.358223</v>
      </c>
      <c r="I18" s="138">
        <v>158.5923733546</v>
      </c>
      <c r="K18" s="132" t="s">
        <v>416</v>
      </c>
      <c r="L18" s="132">
        <v>3</v>
      </c>
      <c r="M18">
        <v>4</v>
      </c>
      <c r="N18">
        <v>1</v>
      </c>
      <c r="O18">
        <v>1</v>
      </c>
      <c r="P18">
        <v>0</v>
      </c>
      <c r="Q18">
        <v>3</v>
      </c>
      <c r="R18" s="138">
        <v>12</v>
      </c>
      <c r="T18" s="132" t="s">
        <v>416</v>
      </c>
      <c r="U18" s="132">
        <v>1.047796</v>
      </c>
      <c r="V18">
        <v>2.083331</v>
      </c>
      <c r="W18">
        <v>0.6700486454</v>
      </c>
      <c r="X18">
        <v>0.014471</v>
      </c>
      <c r="Y18">
        <v>0.294963</v>
      </c>
      <c r="Z18" s="138">
        <v>4.1106096454</v>
      </c>
    </row>
    <row r="19" ht="13.5" customHeight="1" spans="1:26">
      <c r="A19" s="132" t="s">
        <v>417</v>
      </c>
      <c r="B19" s="132">
        <v>38.305518</v>
      </c>
      <c r="C19">
        <v>8.321078</v>
      </c>
      <c r="D19">
        <v>57.3422793546</v>
      </c>
      <c r="E19">
        <v>22.172651</v>
      </c>
      <c r="F19">
        <v>38.419496</v>
      </c>
      <c r="G19">
        <v>6.0521</v>
      </c>
      <c r="H19">
        <v>1.465502</v>
      </c>
      <c r="I19" s="138">
        <v>172.0786243546</v>
      </c>
      <c r="K19" s="132" t="s">
        <v>417</v>
      </c>
      <c r="L19" s="132">
        <v>1</v>
      </c>
      <c r="M19">
        <v>3</v>
      </c>
      <c r="N19">
        <v>4</v>
      </c>
      <c r="O19">
        <v>3</v>
      </c>
      <c r="P19">
        <v>1</v>
      </c>
      <c r="Q19">
        <v>1</v>
      </c>
      <c r="R19" s="138">
        <v>13</v>
      </c>
      <c r="T19" s="132" t="s">
        <v>417</v>
      </c>
      <c r="U19" s="132">
        <v>1.068515</v>
      </c>
      <c r="V19">
        <v>2.214144</v>
      </c>
      <c r="W19">
        <v>0.8693496454</v>
      </c>
      <c r="X19">
        <v>0.014471</v>
      </c>
      <c r="Y19">
        <v>0.332738</v>
      </c>
      <c r="Z19" s="138">
        <v>4.4992176454</v>
      </c>
    </row>
    <row r="20" ht="13.5" customHeight="1" spans="1:26">
      <c r="A20" s="133" t="s">
        <v>418</v>
      </c>
      <c r="B20" s="133">
        <v>41.273298</v>
      </c>
      <c r="C20" s="134">
        <v>8.321078</v>
      </c>
      <c r="D20" s="134">
        <v>61.8129653546</v>
      </c>
      <c r="E20" s="134">
        <v>26.336237</v>
      </c>
      <c r="F20" s="134">
        <v>42.954833</v>
      </c>
      <c r="G20" s="134">
        <v>7.8213</v>
      </c>
      <c r="H20" s="134">
        <v>1.443316</v>
      </c>
      <c r="I20" s="139">
        <v>189.9630273546</v>
      </c>
      <c r="K20" s="133" t="s">
        <v>418</v>
      </c>
      <c r="L20" s="133">
        <v>0</v>
      </c>
      <c r="M20" s="134">
        <v>1</v>
      </c>
      <c r="N20" s="134">
        <v>0</v>
      </c>
      <c r="O20" s="134">
        <v>1</v>
      </c>
      <c r="P20" s="134">
        <v>0</v>
      </c>
      <c r="Q20" s="134">
        <v>0</v>
      </c>
      <c r="R20" s="139">
        <v>2</v>
      </c>
      <c r="T20" s="133" t="s">
        <v>418</v>
      </c>
      <c r="U20" s="133">
        <v>1.312097</v>
      </c>
      <c r="V20" s="134">
        <v>2.288975</v>
      </c>
      <c r="W20" s="134">
        <v>0.9189286454</v>
      </c>
      <c r="X20" s="134">
        <v>0.014471</v>
      </c>
      <c r="Y20" s="134">
        <v>0.332738</v>
      </c>
      <c r="Z20" s="139">
        <v>4.8672096454</v>
      </c>
    </row>
    <row r="21" ht="24.75" customHeight="1" spans="1:9">
      <c r="A21" s="135"/>
      <c r="B21" s="135"/>
      <c r="C21" s="135"/>
      <c r="D21" s="135"/>
      <c r="E21" s="135"/>
      <c r="F21" s="135"/>
      <c r="G21" s="135"/>
      <c r="H21" s="135"/>
      <c r="I21" s="135"/>
    </row>
    <row r="22" ht="24.75" customHeight="1"/>
    <row r="23" ht="24.75" customHeight="1"/>
    <row r="24" ht="24.75" customHeight="1"/>
    <row r="25" ht="24.75" customHeight="1"/>
    <row r="26" ht="24.75" customHeight="1"/>
    <row r="27" ht="24.75" customHeight="1"/>
    <row r="28" ht="24.75" customHeight="1"/>
    <row r="29" ht="24.75" customHeight="1"/>
    <row r="30" ht="24.75" customHeight="1"/>
    <row r="31" ht="24.75" customHeight="1"/>
    <row r="32" ht="24.75" customHeight="1"/>
    <row r="33" ht="24.75" customHeight="1"/>
    <row r="34" ht="24.75" customHeight="1"/>
    <row r="35" ht="24.75" customHeight="1"/>
    <row r="36" spans="1:21">
      <c r="A36" s="128" t="s">
        <v>273</v>
      </c>
      <c r="B36" s="128" t="s">
        <v>308</v>
      </c>
      <c r="C36" s="135"/>
      <c r="D36" s="135"/>
      <c r="E36" s="135"/>
      <c r="F36" s="135"/>
      <c r="G36" s="135"/>
      <c r="H36" s="135"/>
      <c r="I36" s="135"/>
      <c r="K36" s="128" t="s">
        <v>272</v>
      </c>
      <c r="L36" s="128" t="s">
        <v>354</v>
      </c>
      <c r="M36" s="135"/>
      <c r="N36" s="135"/>
      <c r="O36" s="135"/>
      <c r="P36" s="135"/>
      <c r="Q36" s="135"/>
      <c r="R36" s="135"/>
      <c r="T36" s="128" t="s">
        <v>272</v>
      </c>
      <c r="U36" s="128" t="s">
        <v>354</v>
      </c>
    </row>
    <row r="37" spans="1:27">
      <c r="A37" s="128" t="s">
        <v>274</v>
      </c>
      <c r="B37" s="128" t="s">
        <v>309</v>
      </c>
      <c r="C37" s="135"/>
      <c r="D37" s="135"/>
      <c r="E37" s="135"/>
      <c r="F37" s="135"/>
      <c r="G37" s="135"/>
      <c r="H37" s="135"/>
      <c r="I37" s="135"/>
      <c r="K37" s="128" t="s">
        <v>273</v>
      </c>
      <c r="L37" s="128" t="s">
        <v>299</v>
      </c>
      <c r="M37" s="135"/>
      <c r="N37" s="135"/>
      <c r="O37" s="135"/>
      <c r="P37" s="135"/>
      <c r="Q37" s="135"/>
      <c r="R37" s="135"/>
      <c r="T37" s="128" t="s">
        <v>273</v>
      </c>
      <c r="U37" s="128" t="s">
        <v>299</v>
      </c>
      <c r="V37" s="135"/>
      <c r="W37" s="135"/>
      <c r="X37" s="135"/>
      <c r="Y37" s="135"/>
      <c r="Z37" s="135"/>
      <c r="AA37" s="135"/>
    </row>
    <row r="38" spans="1:27">
      <c r="A38" s="128" t="s">
        <v>275</v>
      </c>
      <c r="B38" s="128" t="s">
        <v>292</v>
      </c>
      <c r="C38" s="135"/>
      <c r="D38" s="135"/>
      <c r="E38" s="135"/>
      <c r="F38" s="135"/>
      <c r="G38" s="135"/>
      <c r="H38" s="135"/>
      <c r="I38" s="135"/>
      <c r="K38" s="128" t="s">
        <v>274</v>
      </c>
      <c r="L38" s="128" t="s">
        <v>316</v>
      </c>
      <c r="M38" s="135"/>
      <c r="N38" s="135"/>
      <c r="O38" s="135"/>
      <c r="P38" s="135"/>
      <c r="Q38" s="135"/>
      <c r="R38" s="135"/>
      <c r="T38" s="128" t="s">
        <v>274</v>
      </c>
      <c r="U38" s="128" t="s">
        <v>343</v>
      </c>
      <c r="V38" s="135"/>
      <c r="W38" s="135"/>
      <c r="X38" s="135"/>
      <c r="Y38" s="135"/>
      <c r="Z38" s="135"/>
      <c r="AA38" s="135"/>
    </row>
    <row r="39" spans="1:27">
      <c r="A39" s="128" t="s">
        <v>276</v>
      </c>
      <c r="B39" s="128" t="s">
        <v>310</v>
      </c>
      <c r="C39" s="135"/>
      <c r="D39" s="135"/>
      <c r="E39" s="135"/>
      <c r="F39" s="135"/>
      <c r="G39" s="135"/>
      <c r="H39" s="135"/>
      <c r="I39" s="135"/>
      <c r="K39" s="128" t="s">
        <v>275</v>
      </c>
      <c r="L39" s="128" t="s">
        <v>355</v>
      </c>
      <c r="M39" s="135"/>
      <c r="N39" s="135"/>
      <c r="O39" s="135"/>
      <c r="P39" s="135"/>
      <c r="Q39" s="135"/>
      <c r="R39" s="135"/>
      <c r="T39" s="128" t="s">
        <v>275</v>
      </c>
      <c r="U39" s="128" t="s">
        <v>294</v>
      </c>
      <c r="V39" s="135"/>
      <c r="W39" s="135"/>
      <c r="X39" s="135"/>
      <c r="Y39" s="135"/>
      <c r="Z39" s="135"/>
      <c r="AA39" s="135"/>
    </row>
    <row r="40" ht="24.75" customHeight="1" spans="1:27">
      <c r="A40" s="135"/>
      <c r="B40" s="135"/>
      <c r="C40" s="135"/>
      <c r="D40" s="135"/>
      <c r="E40" s="135"/>
      <c r="F40" s="135"/>
      <c r="G40" s="135"/>
      <c r="H40" s="135"/>
      <c r="I40" s="135"/>
      <c r="K40" s="135"/>
      <c r="L40" s="135"/>
      <c r="M40" s="135"/>
      <c r="N40" s="135"/>
      <c r="O40" s="135"/>
      <c r="P40" s="135"/>
      <c r="Q40" s="135"/>
      <c r="R40" s="135"/>
      <c r="T40" s="135"/>
      <c r="U40" s="135"/>
      <c r="V40" s="135"/>
      <c r="W40" s="135"/>
      <c r="X40" s="135"/>
      <c r="Y40" s="135"/>
      <c r="Z40" s="135"/>
      <c r="AA40" s="135"/>
    </row>
    <row r="41" ht="13.5" customHeight="1" spans="1:26">
      <c r="A41" s="129"/>
      <c r="B41" s="129" t="s">
        <v>272</v>
      </c>
      <c r="C41" s="129"/>
      <c r="D41" s="130"/>
      <c r="E41" s="130"/>
      <c r="F41" s="130"/>
      <c r="G41" s="130"/>
      <c r="H41" s="130"/>
      <c r="I41" s="136"/>
      <c r="K41" s="129"/>
      <c r="L41" s="129" t="s">
        <v>276</v>
      </c>
      <c r="M41" s="129"/>
      <c r="N41" s="130"/>
      <c r="O41" s="130"/>
      <c r="P41" s="130"/>
      <c r="Q41" s="130"/>
      <c r="R41" s="136"/>
      <c r="T41" s="129"/>
      <c r="U41" s="129" t="s">
        <v>276</v>
      </c>
      <c r="V41" s="129"/>
      <c r="W41" s="130"/>
      <c r="X41" s="130"/>
      <c r="Y41" s="130"/>
      <c r="Z41" s="136"/>
    </row>
    <row r="42" ht="13.5" customHeight="1" spans="1:26">
      <c r="A42" s="129"/>
      <c r="B42" s="129" t="s">
        <v>346</v>
      </c>
      <c r="C42" s="131" t="s">
        <v>347</v>
      </c>
      <c r="D42" s="131" t="s">
        <v>289</v>
      </c>
      <c r="E42" s="131" t="s">
        <v>345</v>
      </c>
      <c r="F42" s="131" t="s">
        <v>348</v>
      </c>
      <c r="G42" s="131" t="s">
        <v>349</v>
      </c>
      <c r="H42" s="131" t="s">
        <v>350</v>
      </c>
      <c r="I42" s="137" t="s">
        <v>356</v>
      </c>
      <c r="K42" s="129"/>
      <c r="L42" s="129" t="s">
        <v>97</v>
      </c>
      <c r="M42" s="131" t="s">
        <v>86</v>
      </c>
      <c r="N42" s="131" t="s">
        <v>406</v>
      </c>
      <c r="O42" s="131" t="s">
        <v>87</v>
      </c>
      <c r="P42" s="131" t="s">
        <v>83</v>
      </c>
      <c r="Q42" s="131" t="s">
        <v>82</v>
      </c>
      <c r="R42" s="137" t="s">
        <v>356</v>
      </c>
      <c r="T42" s="129"/>
      <c r="U42" s="129" t="s">
        <v>85</v>
      </c>
      <c r="V42" s="131" t="s">
        <v>93</v>
      </c>
      <c r="W42" s="131" t="s">
        <v>81</v>
      </c>
      <c r="X42" s="131" t="s">
        <v>160</v>
      </c>
      <c r="Y42" s="131" t="s">
        <v>96</v>
      </c>
      <c r="Z42" s="137" t="s">
        <v>356</v>
      </c>
    </row>
    <row r="43" ht="13.5" customHeight="1" spans="1:26">
      <c r="A43" s="129" t="s">
        <v>407</v>
      </c>
      <c r="B43" s="129">
        <v>5</v>
      </c>
      <c r="C43" s="131">
        <v>0</v>
      </c>
      <c r="D43" s="131">
        <v>8</v>
      </c>
      <c r="E43" s="131">
        <v>1</v>
      </c>
      <c r="F43" s="131">
        <v>3</v>
      </c>
      <c r="G43" s="131">
        <v>1</v>
      </c>
      <c r="H43" s="131">
        <v>1</v>
      </c>
      <c r="I43" s="137">
        <v>19</v>
      </c>
      <c r="K43" s="129" t="s">
        <v>407</v>
      </c>
      <c r="L43" s="129">
        <v>8</v>
      </c>
      <c r="M43" s="131">
        <v>3</v>
      </c>
      <c r="N43" s="131">
        <v>4</v>
      </c>
      <c r="O43" s="131">
        <v>6</v>
      </c>
      <c r="P43" s="131">
        <v>0</v>
      </c>
      <c r="Q43" s="131">
        <v>10</v>
      </c>
      <c r="R43" s="137">
        <v>31</v>
      </c>
      <c r="T43" s="129" t="s">
        <v>407</v>
      </c>
      <c r="U43" s="129">
        <v>3.408133</v>
      </c>
      <c r="V43" s="131">
        <v>10.956255</v>
      </c>
      <c r="W43" s="131">
        <v>1.083147</v>
      </c>
      <c r="X43" s="131">
        <v>0</v>
      </c>
      <c r="Y43" s="131">
        <v>0</v>
      </c>
      <c r="Z43" s="137">
        <v>15.447535</v>
      </c>
    </row>
    <row r="44" ht="13.5" customHeight="1" spans="1:26">
      <c r="A44" s="132" t="s">
        <v>408</v>
      </c>
      <c r="B44" s="132">
        <v>4</v>
      </c>
      <c r="C44">
        <v>0</v>
      </c>
      <c r="D44">
        <v>9</v>
      </c>
      <c r="E44">
        <v>0</v>
      </c>
      <c r="F44">
        <v>4</v>
      </c>
      <c r="G44">
        <v>1</v>
      </c>
      <c r="H44">
        <v>2</v>
      </c>
      <c r="I44" s="138">
        <v>20</v>
      </c>
      <c r="K44" s="132" t="s">
        <v>408</v>
      </c>
      <c r="L44" s="132">
        <v>10</v>
      </c>
      <c r="M44">
        <v>4</v>
      </c>
      <c r="N44">
        <v>7</v>
      </c>
      <c r="O44">
        <v>9</v>
      </c>
      <c r="P44">
        <v>0</v>
      </c>
      <c r="Q44">
        <v>11</v>
      </c>
      <c r="R44" s="138">
        <v>41</v>
      </c>
      <c r="T44" s="132" t="s">
        <v>408</v>
      </c>
      <c r="U44" s="132">
        <v>3.678328</v>
      </c>
      <c r="V44">
        <v>16.057362</v>
      </c>
      <c r="W44">
        <v>1.083147</v>
      </c>
      <c r="X44">
        <v>0</v>
      </c>
      <c r="Y44">
        <v>0</v>
      </c>
      <c r="Z44" s="138">
        <v>20.818837</v>
      </c>
    </row>
    <row r="45" ht="13.5" customHeight="1" spans="1:26">
      <c r="A45" s="132" t="s">
        <v>409</v>
      </c>
      <c r="B45" s="132">
        <v>0</v>
      </c>
      <c r="C45">
        <v>1</v>
      </c>
      <c r="D45">
        <v>13</v>
      </c>
      <c r="E45">
        <v>1</v>
      </c>
      <c r="F45">
        <v>8</v>
      </c>
      <c r="G45">
        <v>1</v>
      </c>
      <c r="H45">
        <v>2</v>
      </c>
      <c r="I45" s="138">
        <v>26</v>
      </c>
      <c r="K45" s="132" t="s">
        <v>409</v>
      </c>
      <c r="L45" s="132">
        <v>15</v>
      </c>
      <c r="M45">
        <v>8</v>
      </c>
      <c r="N45">
        <v>12</v>
      </c>
      <c r="O45">
        <v>9</v>
      </c>
      <c r="P45">
        <v>0</v>
      </c>
      <c r="Q45">
        <v>15</v>
      </c>
      <c r="R45" s="138">
        <v>59</v>
      </c>
      <c r="T45" s="132" t="s">
        <v>409</v>
      </c>
      <c r="U45" s="132">
        <v>9.134929</v>
      </c>
      <c r="V45">
        <v>21.021775</v>
      </c>
      <c r="W45">
        <v>1.083147</v>
      </c>
      <c r="X45">
        <v>0</v>
      </c>
      <c r="Y45">
        <v>0.851377</v>
      </c>
      <c r="Z45" s="138">
        <v>32.091228</v>
      </c>
    </row>
    <row r="46" ht="13.5" customHeight="1" spans="1:26">
      <c r="A46" s="132" t="s">
        <v>410</v>
      </c>
      <c r="B46" s="132">
        <v>2</v>
      </c>
      <c r="C46">
        <v>1</v>
      </c>
      <c r="D46">
        <v>8</v>
      </c>
      <c r="E46">
        <v>2</v>
      </c>
      <c r="F46">
        <v>6</v>
      </c>
      <c r="G46">
        <v>1</v>
      </c>
      <c r="H46">
        <v>5</v>
      </c>
      <c r="I46" s="138">
        <v>25</v>
      </c>
      <c r="K46" s="132" t="s">
        <v>410</v>
      </c>
      <c r="L46" s="132">
        <v>17</v>
      </c>
      <c r="M46">
        <v>14</v>
      </c>
      <c r="N46">
        <v>15</v>
      </c>
      <c r="O46">
        <v>14</v>
      </c>
      <c r="P46">
        <v>3</v>
      </c>
      <c r="Q46">
        <v>17</v>
      </c>
      <c r="R46" s="138">
        <v>80</v>
      </c>
      <c r="T46" s="132" t="s">
        <v>410</v>
      </c>
      <c r="U46" s="132">
        <v>10.553852</v>
      </c>
      <c r="V46">
        <v>26.99875</v>
      </c>
      <c r="W46">
        <v>3.071371</v>
      </c>
      <c r="X46">
        <v>0.624034</v>
      </c>
      <c r="Y46">
        <v>1.492271</v>
      </c>
      <c r="Z46" s="138">
        <v>42.740278</v>
      </c>
    </row>
    <row r="47" ht="13.5" customHeight="1" spans="1:26">
      <c r="A47" s="132" t="s">
        <v>411</v>
      </c>
      <c r="B47" s="132">
        <v>0</v>
      </c>
      <c r="C47">
        <v>0</v>
      </c>
      <c r="D47">
        <v>3</v>
      </c>
      <c r="E47">
        <v>1</v>
      </c>
      <c r="F47">
        <v>3</v>
      </c>
      <c r="G47">
        <v>0</v>
      </c>
      <c r="H47">
        <v>2</v>
      </c>
      <c r="I47" s="138">
        <v>9</v>
      </c>
      <c r="K47" s="132" t="s">
        <v>411</v>
      </c>
      <c r="L47" s="132">
        <v>31</v>
      </c>
      <c r="M47">
        <v>19</v>
      </c>
      <c r="N47">
        <v>23</v>
      </c>
      <c r="O47">
        <v>20</v>
      </c>
      <c r="P47">
        <v>4</v>
      </c>
      <c r="Q47">
        <v>26</v>
      </c>
      <c r="R47" s="138">
        <v>123</v>
      </c>
      <c r="T47" s="132" t="s">
        <v>411</v>
      </c>
      <c r="U47" s="132">
        <v>15.636906</v>
      </c>
      <c r="V47">
        <v>58.858266</v>
      </c>
      <c r="W47">
        <v>8.059655</v>
      </c>
      <c r="X47">
        <v>0.624034</v>
      </c>
      <c r="Y47">
        <v>4.198949</v>
      </c>
      <c r="Z47" s="138">
        <v>87.37781</v>
      </c>
    </row>
    <row r="48" ht="13.5" customHeight="1" spans="1:26">
      <c r="A48" s="132" t="s">
        <v>412</v>
      </c>
      <c r="B48" s="132">
        <v>1</v>
      </c>
      <c r="C48">
        <v>0</v>
      </c>
      <c r="D48">
        <v>3</v>
      </c>
      <c r="E48">
        <v>1</v>
      </c>
      <c r="F48">
        <v>2</v>
      </c>
      <c r="G48">
        <v>0</v>
      </c>
      <c r="H48">
        <v>0</v>
      </c>
      <c r="I48" s="138">
        <v>7</v>
      </c>
      <c r="K48" s="132" t="s">
        <v>412</v>
      </c>
      <c r="L48" s="132">
        <v>37</v>
      </c>
      <c r="M48">
        <v>24</v>
      </c>
      <c r="N48">
        <v>28</v>
      </c>
      <c r="O48">
        <v>22</v>
      </c>
      <c r="P48">
        <v>6</v>
      </c>
      <c r="Q48">
        <v>27</v>
      </c>
      <c r="R48" s="138">
        <v>144</v>
      </c>
      <c r="T48" s="132" t="s">
        <v>412</v>
      </c>
      <c r="U48" s="132">
        <v>17.271895</v>
      </c>
      <c r="V48">
        <v>63.706684</v>
      </c>
      <c r="W48">
        <v>10.484665</v>
      </c>
      <c r="X48">
        <v>0.624034</v>
      </c>
      <c r="Y48">
        <v>13.083094</v>
      </c>
      <c r="Z48" s="138">
        <v>105.170372</v>
      </c>
    </row>
    <row r="49" ht="13.5" customHeight="1" spans="1:26">
      <c r="A49" s="132" t="s">
        <v>413</v>
      </c>
      <c r="B49" s="132">
        <v>4</v>
      </c>
      <c r="C49">
        <v>0</v>
      </c>
      <c r="D49">
        <v>3</v>
      </c>
      <c r="E49">
        <v>2</v>
      </c>
      <c r="F49">
        <v>1</v>
      </c>
      <c r="G49">
        <v>0</v>
      </c>
      <c r="H49">
        <v>1</v>
      </c>
      <c r="I49" s="138">
        <v>11</v>
      </c>
      <c r="K49" s="132" t="s">
        <v>413</v>
      </c>
      <c r="L49" s="132">
        <v>40</v>
      </c>
      <c r="M49">
        <v>25</v>
      </c>
      <c r="N49">
        <v>34</v>
      </c>
      <c r="O49">
        <v>26</v>
      </c>
      <c r="P49">
        <v>7</v>
      </c>
      <c r="Q49">
        <v>31</v>
      </c>
      <c r="R49" s="138">
        <v>163</v>
      </c>
      <c r="T49" s="132" t="s">
        <v>413</v>
      </c>
      <c r="U49" s="132">
        <v>18.365517</v>
      </c>
      <c r="V49">
        <v>68.186271</v>
      </c>
      <c r="W49">
        <v>14.068032</v>
      </c>
      <c r="X49">
        <v>0.624034</v>
      </c>
      <c r="Y49">
        <v>17.682491</v>
      </c>
      <c r="Z49" s="138">
        <v>118.926345</v>
      </c>
    </row>
    <row r="50" ht="13.5" customHeight="1" spans="1:26">
      <c r="A50" s="132" t="s">
        <v>414</v>
      </c>
      <c r="B50" s="132">
        <v>3</v>
      </c>
      <c r="C50">
        <v>0</v>
      </c>
      <c r="D50">
        <v>3</v>
      </c>
      <c r="E50">
        <v>2</v>
      </c>
      <c r="F50">
        <v>0</v>
      </c>
      <c r="G50">
        <v>0</v>
      </c>
      <c r="H50">
        <v>4</v>
      </c>
      <c r="I50" s="138">
        <v>12</v>
      </c>
      <c r="K50" s="132" t="s">
        <v>414</v>
      </c>
      <c r="L50" s="132">
        <v>47</v>
      </c>
      <c r="M50">
        <v>30</v>
      </c>
      <c r="N50">
        <v>38</v>
      </c>
      <c r="O50">
        <v>29</v>
      </c>
      <c r="P50">
        <v>7</v>
      </c>
      <c r="Q50">
        <v>35</v>
      </c>
      <c r="R50" s="138">
        <v>186</v>
      </c>
      <c r="T50" s="132" t="s">
        <v>414</v>
      </c>
      <c r="U50" s="132">
        <v>19.45936</v>
      </c>
      <c r="V50">
        <v>74.979582</v>
      </c>
      <c r="W50">
        <v>17.200101</v>
      </c>
      <c r="X50">
        <v>0.624034</v>
      </c>
      <c r="Y50">
        <v>17.682491</v>
      </c>
      <c r="Z50" s="138">
        <v>129.945568</v>
      </c>
    </row>
    <row r="51" ht="13.5" customHeight="1" spans="1:26">
      <c r="A51" s="132" t="s">
        <v>415</v>
      </c>
      <c r="B51" s="132">
        <v>3</v>
      </c>
      <c r="C51">
        <v>0</v>
      </c>
      <c r="D51">
        <v>3</v>
      </c>
      <c r="E51">
        <v>2</v>
      </c>
      <c r="F51">
        <v>2</v>
      </c>
      <c r="G51">
        <v>0</v>
      </c>
      <c r="H51">
        <v>0</v>
      </c>
      <c r="I51" s="138">
        <v>10</v>
      </c>
      <c r="K51" s="132" t="s">
        <v>415</v>
      </c>
      <c r="L51" s="132">
        <v>51</v>
      </c>
      <c r="M51">
        <v>35</v>
      </c>
      <c r="N51">
        <v>44</v>
      </c>
      <c r="O51">
        <v>36</v>
      </c>
      <c r="P51">
        <v>7</v>
      </c>
      <c r="Q51">
        <v>40</v>
      </c>
      <c r="R51" s="138">
        <v>213</v>
      </c>
      <c r="T51" s="132" t="s">
        <v>415</v>
      </c>
      <c r="U51" s="132">
        <v>20.276055</v>
      </c>
      <c r="V51">
        <v>79.683434</v>
      </c>
      <c r="W51">
        <v>19.434231</v>
      </c>
      <c r="X51">
        <v>0.624034</v>
      </c>
      <c r="Y51">
        <v>19.769261</v>
      </c>
      <c r="Z51" s="138">
        <v>139.787015</v>
      </c>
    </row>
    <row r="52" ht="13.5" customHeight="1" spans="1:26">
      <c r="A52" s="132" t="s">
        <v>416</v>
      </c>
      <c r="B52" s="132">
        <v>3</v>
      </c>
      <c r="C52">
        <v>0</v>
      </c>
      <c r="D52">
        <v>2</v>
      </c>
      <c r="E52">
        <v>2</v>
      </c>
      <c r="F52">
        <v>4</v>
      </c>
      <c r="G52">
        <v>0</v>
      </c>
      <c r="H52">
        <v>1</v>
      </c>
      <c r="I52" s="138">
        <v>12</v>
      </c>
      <c r="K52" s="132" t="s">
        <v>416</v>
      </c>
      <c r="L52" s="132">
        <v>56</v>
      </c>
      <c r="M52">
        <v>41</v>
      </c>
      <c r="N52">
        <v>45</v>
      </c>
      <c r="O52">
        <v>40</v>
      </c>
      <c r="P52">
        <v>9</v>
      </c>
      <c r="Q52">
        <v>44</v>
      </c>
      <c r="R52" s="138">
        <v>235</v>
      </c>
      <c r="T52" s="132" t="s">
        <v>416</v>
      </c>
      <c r="U52" s="132">
        <v>21.399925</v>
      </c>
      <c r="V52">
        <v>91.105777</v>
      </c>
      <c r="W52">
        <v>23.078211</v>
      </c>
      <c r="X52">
        <v>0.624034</v>
      </c>
      <c r="Y52">
        <v>19.769261</v>
      </c>
      <c r="Z52" s="138">
        <v>155.977208</v>
      </c>
    </row>
    <row r="53" ht="13.5" customHeight="1" spans="1:26">
      <c r="A53" s="132" t="s">
        <v>417</v>
      </c>
      <c r="B53" s="132">
        <v>2</v>
      </c>
      <c r="C53">
        <v>0</v>
      </c>
      <c r="D53">
        <v>3</v>
      </c>
      <c r="E53">
        <v>2</v>
      </c>
      <c r="F53">
        <v>6</v>
      </c>
      <c r="G53">
        <v>0</v>
      </c>
      <c r="H53">
        <v>0</v>
      </c>
      <c r="I53" s="138">
        <v>13</v>
      </c>
      <c r="K53" s="132" t="s">
        <v>417</v>
      </c>
      <c r="L53" s="132">
        <v>66</v>
      </c>
      <c r="M53">
        <v>44</v>
      </c>
      <c r="N53">
        <v>52</v>
      </c>
      <c r="O53">
        <v>43</v>
      </c>
      <c r="P53">
        <v>12</v>
      </c>
      <c r="Q53">
        <v>47</v>
      </c>
      <c r="R53" s="138">
        <v>264</v>
      </c>
      <c r="T53" s="132" t="s">
        <v>417</v>
      </c>
      <c r="U53" s="132">
        <v>21.868573</v>
      </c>
      <c r="V53">
        <v>103.110267</v>
      </c>
      <c r="W53">
        <v>23.577586</v>
      </c>
      <c r="X53">
        <v>0.624034</v>
      </c>
      <c r="Y53">
        <v>20.069259</v>
      </c>
      <c r="Z53" s="138">
        <v>169.249719</v>
      </c>
    </row>
    <row r="54" ht="13.5" customHeight="1" spans="1:26">
      <c r="A54" s="133" t="s">
        <v>418</v>
      </c>
      <c r="B54" s="133">
        <v>0</v>
      </c>
      <c r="C54" s="134">
        <v>0</v>
      </c>
      <c r="D54" s="134">
        <v>1</v>
      </c>
      <c r="E54" s="134">
        <v>1</v>
      </c>
      <c r="F54" s="134">
        <v>0</v>
      </c>
      <c r="G54" s="134">
        <v>0</v>
      </c>
      <c r="H54" s="134">
        <v>0</v>
      </c>
      <c r="I54" s="139">
        <v>2</v>
      </c>
      <c r="K54" s="133" t="s">
        <v>418</v>
      </c>
      <c r="L54" s="133">
        <v>70</v>
      </c>
      <c r="M54" s="134">
        <v>47</v>
      </c>
      <c r="N54" s="134">
        <v>63</v>
      </c>
      <c r="O54" s="134">
        <v>52</v>
      </c>
      <c r="P54" s="134">
        <v>15</v>
      </c>
      <c r="Q54" s="134">
        <v>51</v>
      </c>
      <c r="R54" s="139">
        <v>298</v>
      </c>
      <c r="T54" s="133" t="s">
        <v>418</v>
      </c>
      <c r="U54" s="133">
        <v>26.285282</v>
      </c>
      <c r="V54" s="134">
        <v>111.00042</v>
      </c>
      <c r="W54" s="134">
        <v>27.861389</v>
      </c>
      <c r="X54" s="134">
        <v>0.624034</v>
      </c>
      <c r="Y54" s="134">
        <v>21.058211</v>
      </c>
      <c r="Z54" s="139">
        <v>186.829336</v>
      </c>
    </row>
    <row r="55" ht="24.75" customHeight="1"/>
    <row r="56" ht="24.75" customHeight="1"/>
    <row r="57" ht="24.75" customHeight="1"/>
    <row r="58" ht="24.75" customHeight="1"/>
    <row r="59" ht="24.75" customHeight="1"/>
    <row r="60" ht="24.75" customHeight="1"/>
    <row r="61" ht="24.75" customHeight="1"/>
    <row r="62" ht="24.75" customHeight="1"/>
    <row r="63" ht="24.75" customHeight="1"/>
    <row r="64" ht="24.75" customHeight="1"/>
    <row r="65" ht="24.75" customHeight="1"/>
    <row r="66" ht="24.75" customHeight="1"/>
    <row r="67" ht="24.75" customHeight="1"/>
    <row r="68" ht="24.75" customHeight="1"/>
    <row r="69" ht="24.75" customHeight="1"/>
    <row r="70" ht="24.75" customHeight="1"/>
    <row r="71" ht="24.75" customHeight="1"/>
    <row r="72" ht="24.75" customHeight="1"/>
    <row r="73" ht="24.75" customHeight="1"/>
    <row r="74" ht="24.75" customHeight="1"/>
    <row r="75" ht="24.75" customHeight="1"/>
    <row r="76" ht="24.75" customHeight="1"/>
    <row r="77" ht="24.75" customHeight="1"/>
    <row r="78" ht="24.75" customHeight="1"/>
    <row r="79" ht="24.75" customHeight="1"/>
    <row r="80" ht="24.75" customHeight="1"/>
    <row r="81" ht="24.75" customHeight="1"/>
    <row r="82" ht="24.75" customHeight="1"/>
    <row r="83" ht="24.75" customHeight="1"/>
    <row r="84" ht="24.75" customHeight="1"/>
    <row r="85" ht="24.75" customHeight="1"/>
    <row r="86" ht="24.75" customHeight="1"/>
    <row r="87" ht="24.75" customHeight="1"/>
    <row r="88" ht="24.75" customHeight="1"/>
    <row r="89" ht="24.75" customHeight="1"/>
    <row r="90" ht="24.75" customHeight="1"/>
    <row r="91" ht="24.75" customHeight="1"/>
    <row r="92" ht="24.75" customHeight="1"/>
    <row r="93" ht="24.75" customHeight="1"/>
    <row r="94" ht="24.75" customHeight="1"/>
    <row r="95" ht="24.75" customHeight="1"/>
    <row r="96" ht="24.75" customHeight="1"/>
    <row r="97" ht="24.75" customHeight="1"/>
    <row r="98" ht="24.75" customHeight="1"/>
    <row r="99" ht="24.75" customHeight="1"/>
    <row r="100" ht="24.75" customHeight="1"/>
    <row r="101" ht="24.75" customHeight="1"/>
    <row r="102" ht="24.7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" footer="0"/>
  <pageSetup paperSize="1" orientation="landscape"/>
  <headerFooter/>
  <drawing r:id="rId7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I2117"/>
  <sheetViews>
    <sheetView workbookViewId="0">
      <pane xSplit="5" ySplit="2" topLeftCell="F3" activePane="bottomRight" state="frozen"/>
      <selection/>
      <selection pane="topRight"/>
      <selection pane="bottomLeft"/>
      <selection pane="bottomRight" activeCell="F3" sqref="F3"/>
    </sheetView>
  </sheetViews>
  <sheetFormatPr defaultColWidth="14.4571428571429" defaultRowHeight="15" customHeight="1"/>
  <cols>
    <col min="1" max="1" width="15.5428571428571" customWidth="1"/>
    <col min="2" max="2" width="11.4571428571429" customWidth="1"/>
    <col min="3" max="3" width="15.7238095238095" customWidth="1"/>
    <col min="4" max="4" width="11.5428571428571" customWidth="1"/>
    <col min="5" max="5" width="13.5428571428571" customWidth="1"/>
    <col min="6" max="7" width="9.45714285714286" customWidth="1"/>
    <col min="8" max="8" width="9" customWidth="1"/>
    <col min="9" max="9" width="9.26666666666667" customWidth="1"/>
    <col min="10" max="10" width="9.45714285714286" customWidth="1"/>
    <col min="11" max="11" width="9.26666666666667" customWidth="1"/>
    <col min="12" max="12" width="9.45714285714286" customWidth="1"/>
    <col min="13" max="13" width="9.26666666666667" customWidth="1"/>
    <col min="14" max="35" width="9" customWidth="1"/>
  </cols>
  <sheetData>
    <row r="1" ht="24" customHeight="1" spans="1:17">
      <c r="A1" s="96"/>
      <c r="B1" s="96"/>
      <c r="C1" s="96"/>
      <c r="D1" s="96"/>
      <c r="E1" s="96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</row>
    <row r="2" ht="24" customHeight="1" spans="1:35">
      <c r="A2" s="97" t="s">
        <v>272</v>
      </c>
      <c r="B2" s="97" t="s">
        <v>273</v>
      </c>
      <c r="C2" s="97" t="s">
        <v>274</v>
      </c>
      <c r="D2" s="98" t="s">
        <v>275</v>
      </c>
      <c r="E2" s="98" t="s">
        <v>276</v>
      </c>
      <c r="F2" s="102" t="s">
        <v>277</v>
      </c>
      <c r="G2" s="103" t="s">
        <v>278</v>
      </c>
      <c r="H2" s="102" t="s">
        <v>279</v>
      </c>
      <c r="I2" s="103" t="s">
        <v>280</v>
      </c>
      <c r="J2" s="102" t="s">
        <v>281</v>
      </c>
      <c r="K2" s="103" t="s">
        <v>282</v>
      </c>
      <c r="L2" s="102" t="s">
        <v>283</v>
      </c>
      <c r="M2" s="103" t="s">
        <v>284</v>
      </c>
      <c r="N2" s="102" t="s">
        <v>285</v>
      </c>
      <c r="O2" s="103" t="s">
        <v>286</v>
      </c>
      <c r="P2" s="102" t="s">
        <v>287</v>
      </c>
      <c r="Q2" s="107" t="s">
        <v>288</v>
      </c>
      <c r="S2" s="108" t="s">
        <v>272</v>
      </c>
      <c r="T2" s="108" t="s">
        <v>273</v>
      </c>
      <c r="U2" s="108" t="s">
        <v>274</v>
      </c>
      <c r="V2" s="98" t="s">
        <v>275</v>
      </c>
      <c r="W2" s="98" t="s">
        <v>276</v>
      </c>
      <c r="X2" s="102" t="s">
        <v>277</v>
      </c>
      <c r="Y2" s="103" t="s">
        <v>278</v>
      </c>
      <c r="Z2" s="102" t="s">
        <v>279</v>
      </c>
      <c r="AA2" s="103" t="s">
        <v>280</v>
      </c>
      <c r="AB2" s="102" t="s">
        <v>281</v>
      </c>
      <c r="AC2" s="103" t="s">
        <v>282</v>
      </c>
      <c r="AD2" s="102" t="s">
        <v>283</v>
      </c>
      <c r="AE2" s="103" t="s">
        <v>284</v>
      </c>
      <c r="AF2" s="102" t="s">
        <v>285</v>
      </c>
      <c r="AG2" s="103" t="s">
        <v>286</v>
      </c>
      <c r="AH2" s="102" t="s">
        <v>287</v>
      </c>
      <c r="AI2" s="107" t="s">
        <v>288</v>
      </c>
    </row>
    <row r="3" ht="24" customHeight="1" spans="1:35">
      <c r="A3" s="99" t="s">
        <v>289</v>
      </c>
      <c r="B3" s="99" t="s">
        <v>290</v>
      </c>
      <c r="C3" s="99" t="s">
        <v>291</v>
      </c>
      <c r="D3" s="100" t="s">
        <v>292</v>
      </c>
      <c r="E3" s="100" t="s">
        <v>293</v>
      </c>
      <c r="F3" s="104">
        <f t="shared" ref="F3:Q3" si="0">IF((SUM(F4:F9)-MAX(F15,F19))&lt;0,"ERR",SUM(F4:F9))</f>
        <v>14</v>
      </c>
      <c r="G3" s="104">
        <f t="shared" si="0"/>
        <v>2</v>
      </c>
      <c r="H3" s="104">
        <f t="shared" si="0"/>
        <v>6</v>
      </c>
      <c r="I3" s="104">
        <f t="shared" si="0"/>
        <v>0</v>
      </c>
      <c r="J3" s="104">
        <f t="shared" si="0"/>
        <v>3</v>
      </c>
      <c r="K3" s="104">
        <f t="shared" si="0"/>
        <v>4</v>
      </c>
      <c r="L3" s="104">
        <f t="shared" si="0"/>
        <v>4</v>
      </c>
      <c r="M3" s="104">
        <f t="shared" si="0"/>
        <v>5</v>
      </c>
      <c r="N3" s="104">
        <f t="shared" si="0"/>
        <v>5</v>
      </c>
      <c r="O3" s="104">
        <f t="shared" si="0"/>
        <v>1</v>
      </c>
      <c r="P3" s="104">
        <f t="shared" si="0"/>
        <v>4</v>
      </c>
      <c r="Q3" s="104">
        <f t="shared" si="0"/>
        <v>1</v>
      </c>
      <c r="R3" s="109"/>
      <c r="S3" s="109"/>
      <c r="T3" s="109"/>
      <c r="U3" s="109"/>
      <c r="V3" s="109"/>
      <c r="W3" s="109"/>
      <c r="X3" s="109"/>
      <c r="Y3" s="109"/>
      <c r="Z3" s="109"/>
      <c r="AA3" s="109"/>
      <c r="AB3" s="109"/>
      <c r="AC3" s="109"/>
      <c r="AD3" s="109"/>
      <c r="AE3" s="109"/>
      <c r="AF3" s="109"/>
      <c r="AG3" s="109"/>
      <c r="AH3" s="109"/>
      <c r="AI3" s="109"/>
    </row>
    <row r="4" ht="24" customHeight="1" spans="1:17">
      <c r="A4" s="99" t="s">
        <v>289</v>
      </c>
      <c r="B4" s="99" t="s">
        <v>290</v>
      </c>
      <c r="C4" s="99" t="s">
        <v>291</v>
      </c>
      <c r="D4" s="48" t="s">
        <v>31</v>
      </c>
      <c r="E4" s="48" t="s">
        <v>406</v>
      </c>
      <c r="F4" s="105">
        <f>COUNTIFS('2024数据'!$C$3:$C$152,"&gt;="&amp;DATE(2023,1,1),'2024数据'!$C$3:$C$152,"&lt;="&amp;DATE(2024,1,31),'2024数据'!$AE$3:$AE$152,$E4)</f>
        <v>2</v>
      </c>
      <c r="G4" s="105">
        <f>COUNTIFS('2024数据'!$C$3:$C$152,"&gt;="&amp;DATE(2024,2,1),'2024数据'!$C$3:$C$152,"&lt;="&amp;DATE(2024,2,29),'2024数据'!$AE$3:$AE$152,$E4)</f>
        <v>0</v>
      </c>
      <c r="H4" s="105">
        <f>COUNTIFS('2024数据'!$C$3:$C$152,"&gt;="&amp;DATE(2024,3,1),'2024数据'!$C$3:$C$152,"&lt;="&amp;DATE(2024,3,31),'2024数据'!$AE$3:$AE$152,$E4)</f>
        <v>0</v>
      </c>
      <c r="I4" s="105">
        <f>COUNTIFS('2024数据'!$C$3:$C$152,"&gt;="&amp;DATE(2024,4,1),'2024数据'!$C$3:$C$152,"&lt;="&amp;DATE(2024,4,30),'2024数据'!$AE$3:$AE$152,$E4)</f>
        <v>0</v>
      </c>
      <c r="J4" s="105">
        <f>COUNTIFS('2024数据'!$C$3:$C$152,"&gt;="&amp;DATE(2024,5,1),'2024数据'!$C$3:$C$152,"&lt;="&amp;DATE(2024,5,31),'2024数据'!$AE$3:$AE$152,$E4)</f>
        <v>1</v>
      </c>
      <c r="K4" s="105">
        <f>COUNTIFS('2024数据'!$C$3:$C$152,"&gt;="&amp;DATE(2024,6,1),'2024数据'!$C$3:$C$152,"&lt;="&amp;DATE(2024,6,30),'2024数据'!$AE$3:$AE$152,$E4)</f>
        <v>2</v>
      </c>
      <c r="L4" s="105">
        <f>COUNTIFS('2024数据'!$C$3:$C$152,"&gt;="&amp;DATE(2024,7,1),'2024数据'!$C$3:$C$152,"&lt;="&amp;DATE(2024,7,31),'2024数据'!$AE$3:$AE$152,$E4)</f>
        <v>2</v>
      </c>
      <c r="M4" s="105">
        <f>COUNTIFS('2024数据'!$C$3:$C$152,"&gt;="&amp;DATE(2024,8,1),'2024数据'!$C$3:$C$152,"&lt;="&amp;DATE(2024,8,31),'2024数据'!$AE$3:$AE$152,$E4)</f>
        <v>1</v>
      </c>
      <c r="N4" s="105">
        <f>COUNTIFS('2024数据'!$C$3:$C$152,"&gt;="&amp;DATE(2024,9,1),'2024数据'!$C$3:$C$152,"&lt;="&amp;DATE(2024,9,30),'2024数据'!$AE$3:$AE$152,$E4)</f>
        <v>0</v>
      </c>
      <c r="O4" s="105">
        <f>COUNTIFS('2024数据'!$C$3:$C$152,"&gt;="&amp;DATE(2024,10,1),'2024数据'!$C$3:$C$152,"&lt;="&amp;DATE(2024,10,31),'2024数据'!$AE$3:$AE$152,$E4)</f>
        <v>0</v>
      </c>
      <c r="P4" s="105">
        <f>COUNTIFS('2024数据'!$C$3:$C$152,"&gt;="&amp;DATE(2024,11,1),'2024数据'!$C$3:$C$152,"&lt;="&amp;DATE(2024,11,30),'2024数据'!$AE$3:$AE$152,$E4)</f>
        <v>2</v>
      </c>
      <c r="Q4" s="105">
        <f>COUNTIFS('2024数据'!$C$3:$C$152,"&gt;="&amp;DATE(2024,12,1),'2024数据'!$C$3:$C$152,"&lt;="&amp;DATE(2024,12,31),'2024数据'!$AE$3:$AE$152,$E4)</f>
        <v>0</v>
      </c>
    </row>
    <row r="5" ht="24" customHeight="1" spans="1:17">
      <c r="A5" s="99" t="s">
        <v>289</v>
      </c>
      <c r="B5" s="99" t="s">
        <v>290</v>
      </c>
      <c r="C5" s="99" t="s">
        <v>291</v>
      </c>
      <c r="D5" s="48" t="s">
        <v>31</v>
      </c>
      <c r="E5" s="48" t="s">
        <v>82</v>
      </c>
      <c r="F5" s="105">
        <f>COUNTIFS('2024数据'!$C$3:$C$152,"&gt;="&amp;DATE(2023,1,1),'2024数据'!$C$3:$C$152,"&lt;="&amp;DATE(2024,1,31),'2024数据'!$AE$3:$AE$152,$E5)</f>
        <v>2</v>
      </c>
      <c r="G5" s="105">
        <f>COUNTIFS('2024数据'!$C$3:$C$152,"&gt;="&amp;DATE(2024,2,1),'2024数据'!$C$3:$C$152,"&lt;="&amp;DATE(2024,2,29),'2024数据'!$AE$3:$AE$152,$E5)</f>
        <v>0</v>
      </c>
      <c r="H5" s="105">
        <f>COUNTIFS('2024数据'!$C$3:$C$152,"&gt;="&amp;DATE(2024,3,1),'2024数据'!$C$3:$C$152,"&lt;="&amp;DATE(2024,3,31),'2024数据'!$AE$3:$AE$152,$E5)</f>
        <v>2</v>
      </c>
      <c r="I5" s="105">
        <f>COUNTIFS('2024数据'!$C$3:$C$152,"&gt;="&amp;DATE(2024,4,1),'2024数据'!$C$3:$C$152,"&lt;="&amp;DATE(2024,4,30),'2024数据'!$AE$3:$AE$152,$E5)</f>
        <v>0</v>
      </c>
      <c r="J5" s="105">
        <f>COUNTIFS('2024数据'!$C$3:$C$152,"&gt;="&amp;DATE(2024,5,1),'2024数据'!$C$3:$C$152,"&lt;="&amp;DATE(2024,5,31),'2024数据'!$AE$3:$AE$152,$E5)</f>
        <v>0</v>
      </c>
      <c r="K5" s="105">
        <f>COUNTIFS('2024数据'!$C$3:$C$152,"&gt;="&amp;DATE(2024,6,1),'2024数据'!$C$3:$C$152,"&lt;="&amp;DATE(2024,6,30),'2024数据'!$AE$3:$AE$152,$E5)</f>
        <v>0</v>
      </c>
      <c r="L5" s="105">
        <f>COUNTIFS('2024数据'!$C$3:$C$152,"&gt;="&amp;DATE(2024,7,1),'2024数据'!$C$3:$C$152,"&lt;="&amp;DATE(2024,7,31),'2024数据'!$AE$3:$AE$152,$E5)</f>
        <v>0</v>
      </c>
      <c r="M5" s="105">
        <f>COUNTIFS('2024数据'!$C$3:$C$152,"&gt;="&amp;DATE(2024,8,1),'2024数据'!$C$3:$C$152,"&lt;="&amp;DATE(2024,8,31),'2024数据'!$AE$3:$AE$152,$E5)</f>
        <v>2</v>
      </c>
      <c r="N5" s="105">
        <f>COUNTIFS('2024数据'!$C$3:$C$152,"&gt;="&amp;DATE(2024,9,1),'2024数据'!$C$3:$C$152,"&lt;="&amp;DATE(2024,9,30),'2024数据'!$AE$3:$AE$152,$E5)</f>
        <v>2</v>
      </c>
      <c r="O5" s="105">
        <f>COUNTIFS('2024数据'!$C$3:$C$152,"&gt;="&amp;DATE(2024,10,1),'2024数据'!$C$3:$C$152,"&lt;="&amp;DATE(2024,10,31),'2024数据'!$AE$3:$AE$152,$E5)</f>
        <v>1</v>
      </c>
      <c r="P5" s="105">
        <f>COUNTIFS('2024数据'!$C$3:$C$152,"&gt;="&amp;DATE(2024,11,1),'2024数据'!$C$3:$C$152,"&lt;="&amp;DATE(2024,11,30),'2024数据'!$AE$3:$AE$152,$E5)</f>
        <v>1</v>
      </c>
      <c r="Q5" s="105">
        <f>COUNTIFS('2024数据'!$C$3:$C$152,"&gt;="&amp;DATE(2024,12,1),'2024数据'!$C$3:$C$152,"&lt;="&amp;DATE(2024,12,31),'2024数据'!$AE$3:$AE$152,$E5)</f>
        <v>0</v>
      </c>
    </row>
    <row r="6" ht="24" customHeight="1" spans="1:17">
      <c r="A6" s="99" t="s">
        <v>289</v>
      </c>
      <c r="B6" s="99" t="s">
        <v>290</v>
      </c>
      <c r="C6" s="99" t="s">
        <v>291</v>
      </c>
      <c r="D6" s="48" t="s">
        <v>31</v>
      </c>
      <c r="E6" s="48" t="s">
        <v>86</v>
      </c>
      <c r="F6" s="105">
        <f>COUNTIFS('2024数据'!$C$3:$C$152,"&gt;="&amp;DATE(2023,1,1),'2024数据'!$C$3:$C$152,"&lt;="&amp;DATE(2024,1,31),'2024数据'!$AE$3:$AE$152,$E6)</f>
        <v>5</v>
      </c>
      <c r="G6" s="105">
        <f>COUNTIFS('2024数据'!$C$3:$C$152,"&gt;="&amp;DATE(2024,2,1),'2024数据'!$C$3:$C$152,"&lt;="&amp;DATE(2024,2,29),'2024数据'!$AE$3:$AE$152,$E6)</f>
        <v>0</v>
      </c>
      <c r="H6" s="105">
        <f>COUNTIFS('2024数据'!$C$3:$C$152,"&gt;="&amp;DATE(2024,3,1),'2024数据'!$C$3:$C$152,"&lt;="&amp;DATE(2024,3,31),'2024数据'!$AE$3:$AE$152,$E6)</f>
        <v>4</v>
      </c>
      <c r="I6" s="105">
        <f>COUNTIFS('2024数据'!$C$3:$C$152,"&gt;="&amp;DATE(2024,4,1),'2024数据'!$C$3:$C$152,"&lt;="&amp;DATE(2024,4,30),'2024数据'!$AE$3:$AE$152,$E6)</f>
        <v>0</v>
      </c>
      <c r="J6" s="105">
        <f>COUNTIFS('2024数据'!$C$3:$C$152,"&gt;="&amp;DATE(2024,5,1),'2024数据'!$C$3:$C$152,"&lt;="&amp;DATE(2024,5,31),'2024数据'!$AE$3:$AE$152,$E6)</f>
        <v>2</v>
      </c>
      <c r="K6" s="105">
        <f>COUNTIFS('2024数据'!$C$3:$C$152,"&gt;="&amp;DATE(2024,6,1),'2024数据'!$C$3:$C$152,"&lt;="&amp;DATE(2024,6,30),'2024数据'!$AE$3:$AE$152,$E6)</f>
        <v>2</v>
      </c>
      <c r="L6" s="105">
        <f>COUNTIFS('2024数据'!$C$3:$C$152,"&gt;="&amp;DATE(2024,7,1),'2024数据'!$C$3:$C$152,"&lt;="&amp;DATE(2024,7,31),'2024数据'!$AE$3:$AE$152,$E6)</f>
        <v>1</v>
      </c>
      <c r="M6" s="105">
        <f>COUNTIFS('2024数据'!$C$3:$C$152,"&gt;="&amp;DATE(2024,8,1),'2024数据'!$C$3:$C$152,"&lt;="&amp;DATE(2024,8,31),'2024数据'!$AE$3:$AE$152,$E6)</f>
        <v>1</v>
      </c>
      <c r="N6" s="105">
        <f>COUNTIFS('2024数据'!$C$3:$C$152,"&gt;="&amp;DATE(2024,9,1),'2024数据'!$C$3:$C$152,"&lt;="&amp;DATE(2024,9,30),'2024数据'!$AE$3:$AE$152,$E6)</f>
        <v>0</v>
      </c>
      <c r="O6" s="105">
        <f>COUNTIFS('2024数据'!$C$3:$C$152,"&gt;="&amp;DATE(2024,10,1),'2024数据'!$C$3:$C$152,"&lt;="&amp;DATE(2024,10,31),'2024数据'!$AE$3:$AE$152,$E6)</f>
        <v>0</v>
      </c>
      <c r="P6" s="105">
        <f>COUNTIFS('2024数据'!$C$3:$C$152,"&gt;="&amp;DATE(2024,11,1),'2024数据'!$C$3:$C$152,"&lt;="&amp;DATE(2024,11,30),'2024数据'!$AE$3:$AE$152,$E6)</f>
        <v>0</v>
      </c>
      <c r="Q6" s="105">
        <f>COUNTIFS('2024数据'!$C$3:$C$152,"&gt;="&amp;DATE(2024,12,1),'2024数据'!$C$3:$C$152,"&lt;="&amp;DATE(2024,12,31),'2024数据'!$AE$3:$AE$152,$E6)</f>
        <v>0</v>
      </c>
    </row>
    <row r="7" ht="24" customHeight="1" spans="1:17">
      <c r="A7" s="99" t="s">
        <v>289</v>
      </c>
      <c r="B7" s="99" t="s">
        <v>290</v>
      </c>
      <c r="C7" s="99" t="s">
        <v>291</v>
      </c>
      <c r="D7" s="48" t="s">
        <v>31</v>
      </c>
      <c r="E7" s="48" t="s">
        <v>97</v>
      </c>
      <c r="F7" s="105">
        <f>COUNTIFS('2024数据'!$C$3:$C$152,"&gt;="&amp;DATE(2023,1,1),'2024数据'!$C$3:$C$152,"&lt;="&amp;DATE(2024,1,31),'2024数据'!$AE$3:$AE$152,$E7)</f>
        <v>4</v>
      </c>
      <c r="G7" s="105">
        <f>COUNTIFS('2024数据'!$C$3:$C$152,"&gt;="&amp;DATE(2024,2,1),'2024数据'!$C$3:$C$152,"&lt;="&amp;DATE(2024,2,29),'2024数据'!$AE$3:$AE$152,$E7)</f>
        <v>2</v>
      </c>
      <c r="H7" s="105">
        <f>COUNTIFS('2024数据'!$C$3:$C$152,"&gt;="&amp;DATE(2024,3,1),'2024数据'!$C$3:$C$152,"&lt;="&amp;DATE(2024,3,31),'2024数据'!$AE$3:$AE$152,$E7)</f>
        <v>0</v>
      </c>
      <c r="I7" s="105">
        <f>COUNTIFS('2024数据'!$C$3:$C$152,"&gt;="&amp;DATE(2024,4,1),'2024数据'!$C$3:$C$152,"&lt;="&amp;DATE(2024,4,30),'2024数据'!$AE$3:$AE$152,$E7)</f>
        <v>0</v>
      </c>
      <c r="J7" s="105">
        <f>COUNTIFS('2024数据'!$C$3:$C$152,"&gt;="&amp;DATE(2024,5,1),'2024数据'!$C$3:$C$152,"&lt;="&amp;DATE(2024,5,31),'2024数据'!$AE$3:$AE$152,$E7)</f>
        <v>0</v>
      </c>
      <c r="K7" s="105">
        <f>COUNTIFS('2024数据'!$C$3:$C$152,"&gt;="&amp;DATE(2024,6,1),'2024数据'!$C$3:$C$152,"&lt;="&amp;DATE(2024,6,30),'2024数据'!$AE$3:$AE$152,$E7)</f>
        <v>0</v>
      </c>
      <c r="L7" s="105">
        <f>COUNTIFS('2024数据'!$C$3:$C$152,"&gt;="&amp;DATE(2024,7,1),'2024数据'!$C$3:$C$152,"&lt;="&amp;DATE(2024,7,31),'2024数据'!$AE$3:$AE$152,$E7)</f>
        <v>1</v>
      </c>
      <c r="M7" s="105">
        <f>COUNTIFS('2024数据'!$C$3:$C$152,"&gt;="&amp;DATE(2024,8,1),'2024数据'!$C$3:$C$152,"&lt;="&amp;DATE(2024,8,31),'2024数据'!$AE$3:$AE$152,$E7)</f>
        <v>0</v>
      </c>
      <c r="N7" s="105">
        <f>COUNTIFS('2024数据'!$C$3:$C$152,"&gt;="&amp;DATE(2024,9,1),'2024数据'!$C$3:$C$152,"&lt;="&amp;DATE(2024,9,30),'2024数据'!$AE$3:$AE$152,$E7)</f>
        <v>1</v>
      </c>
      <c r="O7" s="105">
        <f>COUNTIFS('2024数据'!$C$3:$C$152,"&gt;="&amp;DATE(2024,10,1),'2024数据'!$C$3:$C$152,"&lt;="&amp;DATE(2024,10,31),'2024数据'!$AE$3:$AE$152,$E7)</f>
        <v>0</v>
      </c>
      <c r="P7" s="105">
        <f>COUNTIFS('2024数据'!$C$3:$C$152,"&gt;="&amp;DATE(2024,11,1),'2024数据'!$C$3:$C$152,"&lt;="&amp;DATE(2024,11,30),'2024数据'!$AE$3:$AE$152,$E7)</f>
        <v>1</v>
      </c>
      <c r="Q7" s="105">
        <f>COUNTIFS('2024数据'!$C$3:$C$152,"&gt;="&amp;DATE(2024,12,1),'2024数据'!$C$3:$C$152,"&lt;="&amp;DATE(2024,12,31),'2024数据'!$AE$3:$AE$152,$E7)</f>
        <v>0</v>
      </c>
    </row>
    <row r="8" ht="24" customHeight="1" spans="1:17">
      <c r="A8" s="99" t="s">
        <v>289</v>
      </c>
      <c r="B8" s="99" t="s">
        <v>290</v>
      </c>
      <c r="C8" s="99" t="s">
        <v>291</v>
      </c>
      <c r="D8" s="48" t="s">
        <v>31</v>
      </c>
      <c r="E8" s="48" t="s">
        <v>87</v>
      </c>
      <c r="F8" s="105">
        <f>COUNTIFS('2024数据'!$C$3:$C$152,"&gt;="&amp;DATE(2023,1,1),'2024数据'!$C$3:$C$152,"&lt;="&amp;DATE(2024,1,31),'2024数据'!$AE$3:$AE$152,$E8)</f>
        <v>1</v>
      </c>
      <c r="G8" s="105">
        <f>COUNTIFS('2024数据'!$C$3:$C$152,"&gt;="&amp;DATE(2024,2,1),'2024数据'!$C$3:$C$152,"&lt;="&amp;DATE(2024,2,29),'2024数据'!$AE$3:$AE$152,$E8)</f>
        <v>0</v>
      </c>
      <c r="H8" s="105">
        <f>COUNTIFS('2024数据'!$C$3:$C$152,"&gt;="&amp;DATE(2024,3,1),'2024数据'!$C$3:$C$152,"&lt;="&amp;DATE(2024,3,31),'2024数据'!$AE$3:$AE$152,$E8)</f>
        <v>0</v>
      </c>
      <c r="I8" s="105">
        <f>COUNTIFS('2024数据'!$C$3:$C$152,"&gt;="&amp;DATE(2024,4,1),'2024数据'!$C$3:$C$152,"&lt;="&amp;DATE(2024,4,30),'2024数据'!$AE$3:$AE$152,$E8)</f>
        <v>0</v>
      </c>
      <c r="J8" s="105">
        <f>COUNTIFS('2024数据'!$C$3:$C$152,"&gt;="&amp;DATE(2024,5,1),'2024数据'!$C$3:$C$152,"&lt;="&amp;DATE(2024,5,31),'2024数据'!$AE$3:$AE$152,$E8)</f>
        <v>0</v>
      </c>
      <c r="K8" s="105">
        <f>COUNTIFS('2024数据'!$C$3:$C$152,"&gt;="&amp;DATE(2024,6,1),'2024数据'!$C$3:$C$152,"&lt;="&amp;DATE(2024,6,30),'2024数据'!$AE$3:$AE$152,$E8)</f>
        <v>0</v>
      </c>
      <c r="L8" s="105">
        <f>COUNTIFS('2024数据'!$C$3:$C$152,"&gt;="&amp;DATE(2024,7,1),'2024数据'!$C$3:$C$152,"&lt;="&amp;DATE(2024,7,31),'2024数据'!$AE$3:$AE$152,$E8)</f>
        <v>0</v>
      </c>
      <c r="M8" s="105">
        <f>COUNTIFS('2024数据'!$C$3:$C$152,"&gt;="&amp;DATE(2024,8,1),'2024数据'!$C$3:$C$152,"&lt;="&amp;DATE(2024,8,31),'2024数据'!$AE$3:$AE$152,$E8)</f>
        <v>1</v>
      </c>
      <c r="N8" s="105">
        <f>COUNTIFS('2024数据'!$C$3:$C$152,"&gt;="&amp;DATE(2024,9,1),'2024数据'!$C$3:$C$152,"&lt;="&amp;DATE(2024,9,30),'2024数据'!$AE$3:$AE$152,$E8)</f>
        <v>2</v>
      </c>
      <c r="O8" s="105">
        <f>COUNTIFS('2024数据'!$C$3:$C$152,"&gt;="&amp;DATE(2024,10,1),'2024数据'!$C$3:$C$152,"&lt;="&amp;DATE(2024,10,31),'2024数据'!$AE$3:$AE$152,$E8)</f>
        <v>0</v>
      </c>
      <c r="P8" s="105">
        <f>COUNTIFS('2024数据'!$C$3:$C$152,"&gt;="&amp;DATE(2024,11,1),'2024数据'!$C$3:$C$152,"&lt;="&amp;DATE(2024,11,30),'2024数据'!$AE$3:$AE$152,$E8)</f>
        <v>0</v>
      </c>
      <c r="Q8" s="105">
        <f>COUNTIFS('2024数据'!$C$3:$C$152,"&gt;="&amp;DATE(2024,12,1),'2024数据'!$C$3:$C$152,"&lt;="&amp;DATE(2024,12,31),'2024数据'!$AE$3:$AE$152,$E8)</f>
        <v>0</v>
      </c>
    </row>
    <row r="9" ht="24" customHeight="1" spans="1:17">
      <c r="A9" s="99" t="s">
        <v>289</v>
      </c>
      <c r="B9" s="99" t="s">
        <v>290</v>
      </c>
      <c r="C9" s="99" t="s">
        <v>291</v>
      </c>
      <c r="D9" s="48" t="s">
        <v>31</v>
      </c>
      <c r="E9" s="48" t="s">
        <v>83</v>
      </c>
      <c r="F9" s="105">
        <f>COUNTIFS('2024数据'!$C$3:$C$152,"&gt;="&amp;DATE(2023,1,1),'2024数据'!$C$3:$C$152,"&lt;="&amp;DATE(2024,1,31),'2024数据'!$AE$3:$AE$152,$E9)</f>
        <v>0</v>
      </c>
      <c r="G9" s="105">
        <f>COUNTIFS('2024数据'!$C$3:$C$152,"&gt;="&amp;DATE(2024,2,1),'2024数据'!$C$3:$C$152,"&lt;="&amp;DATE(2024,2,29),'2024数据'!$AE$3:$AE$152,$E9)</f>
        <v>0</v>
      </c>
      <c r="H9" s="105">
        <f>COUNTIFS('2024数据'!$C$3:$C$152,"&gt;="&amp;DATE(2024,3,1),'2024数据'!$C$3:$C$152,"&lt;="&amp;DATE(2024,3,31),'2024数据'!$AE$3:$AE$152,$E9)</f>
        <v>0</v>
      </c>
      <c r="I9" s="105">
        <f>COUNTIFS('2024数据'!$C$3:$C$152,"&gt;="&amp;DATE(2024,4,1),'2024数据'!$C$3:$C$152,"&lt;="&amp;DATE(2024,4,30),'2024数据'!$AE$3:$AE$152,$E9)</f>
        <v>0</v>
      </c>
      <c r="J9" s="105">
        <f>COUNTIFS('2024数据'!$C$3:$C$152,"&gt;="&amp;DATE(2024,5,1),'2024数据'!$C$3:$C$152,"&lt;="&amp;DATE(2024,5,31),'2024数据'!$AE$3:$AE$152,$E9)</f>
        <v>0</v>
      </c>
      <c r="K9" s="105">
        <f>COUNTIFS('2024数据'!$C$3:$C$152,"&gt;="&amp;DATE(2024,6,1),'2024数据'!$C$3:$C$152,"&lt;="&amp;DATE(2024,6,30),'2024数据'!$AE$3:$AE$152,$E9)</f>
        <v>0</v>
      </c>
      <c r="L9" s="105">
        <f>COUNTIFS('2024数据'!$C$3:$C$152,"&gt;="&amp;DATE(2024,7,1),'2024数据'!$C$3:$C$152,"&lt;="&amp;DATE(2024,7,31),'2024数据'!$AE$3:$AE$152,$E9)</f>
        <v>0</v>
      </c>
      <c r="M9" s="105">
        <f>COUNTIFS('2024数据'!$C$3:$C$152,"&gt;="&amp;DATE(2024,8,1),'2024数据'!$C$3:$C$152,"&lt;="&amp;DATE(2024,8,31),'2024数据'!$AE$3:$AE$152,$E9)</f>
        <v>0</v>
      </c>
      <c r="N9" s="105">
        <f>COUNTIFS('2024数据'!$C$3:$C$152,"&gt;="&amp;DATE(2024,9,1),'2024数据'!$C$3:$C$152,"&lt;="&amp;DATE(2024,9,30),'2024数据'!$AE$3:$AE$152,$E9)</f>
        <v>0</v>
      </c>
      <c r="O9" s="105">
        <f>COUNTIFS('2024数据'!$C$3:$C$152,"&gt;="&amp;DATE(2024,10,1),'2024数据'!$C$3:$C$152,"&lt;="&amp;DATE(2024,10,31),'2024数据'!$AE$3:$AE$152,$E9)</f>
        <v>0</v>
      </c>
      <c r="P9" s="105">
        <f>COUNTIFS('2024数据'!$C$3:$C$152,"&gt;="&amp;DATE(2024,11,1),'2024数据'!$C$3:$C$152,"&lt;="&amp;DATE(2024,11,30),'2024数据'!$AE$3:$AE$152,$E9)</f>
        <v>0</v>
      </c>
      <c r="Q9" s="105">
        <f>COUNTIFS('2024数据'!$C$3:$C$152,"&gt;="&amp;DATE(2024,12,1),'2024数据'!$C$3:$C$152,"&lt;="&amp;DATE(2024,12,31),'2024数据'!$AE$3:$AE$152,$E9)</f>
        <v>1</v>
      </c>
    </row>
    <row r="10" ht="24" customHeight="1" spans="1:17">
      <c r="A10" s="99" t="s">
        <v>289</v>
      </c>
      <c r="B10" s="99" t="s">
        <v>290</v>
      </c>
      <c r="C10" s="99" t="s">
        <v>291</v>
      </c>
      <c r="D10" s="47" t="s">
        <v>294</v>
      </c>
      <c r="E10" s="47" t="s">
        <v>93</v>
      </c>
      <c r="F10" s="106">
        <f>COUNTIFS('2024数据'!$C$3:$C$152,"&gt;="&amp;DATE(2023,1,1),'2024数据'!$C$3:$C$152,"&lt;="&amp;DATE(2024,1,31),'2024数据'!$B$3:$B$152,$E10)</f>
        <v>10</v>
      </c>
      <c r="G10" s="106">
        <f>COUNTIFS('2024数据'!$C$3:$C$152,"&gt;="&amp;DATE(2024,2,1),'2024数据'!$C$3:$C$152,"&lt;="&amp;DATE(2024,2,29),'2024数据'!$B$3:$B$152,$E10)</f>
        <v>2</v>
      </c>
      <c r="H10" s="106">
        <f>COUNTIFS('2024数据'!$C$3:$C$152,"&gt;="&amp;DATE(2024,3,1),'2024数据'!$C$3:$C$152,"&lt;="&amp;DATE(2024,3,31),'2024数据'!$B$3:$B$152,$E10)</f>
        <v>1</v>
      </c>
      <c r="I10" s="106">
        <f>COUNTIFS('2024数据'!$C$3:$C$152,"&gt;="&amp;DATE(2024,4,1),'2024数据'!$C$3:$C$152,"&lt;="&amp;DATE(2024,4,30),'2024数据'!$B$3:$B$152,$E10)</f>
        <v>0</v>
      </c>
      <c r="J10" s="106">
        <f>COUNTIFS('2024数据'!$C$3:$C$152,"&gt;="&amp;DATE(2024,5,1),'2024数据'!$C$3:$C$152,"&lt;="&amp;DATE(2024,5,31),'2024数据'!$B$3:$B$152,$E10)</f>
        <v>0</v>
      </c>
      <c r="K10" s="106">
        <f>COUNTIFS('2024数据'!$C$3:$C$152,"&gt;="&amp;DATE(2024,6,1),'2024数据'!$C$3:$C$152,"&lt;="&amp;DATE(2024,6,30),'2024数据'!$B$3:$B$152,$E10)</f>
        <v>3</v>
      </c>
      <c r="L10" s="106">
        <f>COUNTIFS('2024数据'!$C$3:$C$152,"&gt;="&amp;DATE(2024,7,1),'2024数据'!$C$3:$C$152,"&lt;="&amp;DATE(2024,7,31),'2024数据'!$B$3:$B$152,$E10)</f>
        <v>3</v>
      </c>
      <c r="M10" s="106">
        <f>COUNTIFS('2024数据'!$C$3:$C$152,"&gt;="&amp;DATE(2024,8,1),'2024数据'!$C$3:$C$152,"&lt;="&amp;DATE(2024,8,31),'2024数据'!$B$3:$B$152,$E10)</f>
        <v>2</v>
      </c>
      <c r="N10" s="106">
        <f>COUNTIFS('2024数据'!$C$3:$C$152,"&gt;="&amp;DATE(2024,9,1),'2024数据'!$C$3:$C$152,"&lt;="&amp;DATE(2024,9,30),'2024数据'!$B$3:$B$152,$E10)</f>
        <v>0</v>
      </c>
      <c r="O10" s="106">
        <f>COUNTIFS('2024数据'!$C$3:$C$152,"&gt;="&amp;DATE(2024,10,1),'2024数据'!$C$3:$C$152,"&lt;="&amp;DATE(2024,10,31),'2024数据'!$B$3:$B$152,$E10)</f>
        <v>0</v>
      </c>
      <c r="P10" s="106">
        <f>COUNTIFS('2024数据'!$C$3:$C$152,"&gt;="&amp;DATE(2024,11,1),'2024数据'!$C$3:$C$152,"&lt;="&amp;DATE(2024,11,30),'2024数据'!$B$3:$B$152,$E10)</f>
        <v>2</v>
      </c>
      <c r="Q10" s="106">
        <f>COUNTIFS('2024数据'!$C$3:$C$152,"&gt;="&amp;DATE(2024,12,1),'2024数据'!$C$3:$C$152,"&lt;="&amp;DATE(2024,12,31),'2024数据'!$B$3:$B$152,$E10)</f>
        <v>0</v>
      </c>
    </row>
    <row r="11" ht="24" customHeight="1" spans="1:17">
      <c r="A11" s="99" t="s">
        <v>289</v>
      </c>
      <c r="B11" s="99" t="s">
        <v>290</v>
      </c>
      <c r="C11" s="99" t="s">
        <v>291</v>
      </c>
      <c r="D11" s="47" t="s">
        <v>294</v>
      </c>
      <c r="E11" s="47" t="s">
        <v>85</v>
      </c>
      <c r="F11" s="106">
        <f>COUNTIFS('2024数据'!$C$3:$C$152,"&gt;="&amp;DATE(2023,1,1),'2024数据'!$C$3:$C$152,"&lt;="&amp;DATE(2024,1,31),'2024数据'!$B$3:$B$152,$E11)</f>
        <v>3</v>
      </c>
      <c r="G11" s="106">
        <f>COUNTIFS('2024数据'!$C$3:$C$152,"&gt;="&amp;DATE(2024,2,1),'2024数据'!$C$3:$C$152,"&lt;="&amp;DATE(2024,2,29),'2024数据'!$B$3:$B$152,$E11)</f>
        <v>0</v>
      </c>
      <c r="H11" s="106">
        <f>COUNTIFS('2024数据'!$C$3:$C$152,"&gt;="&amp;DATE(2024,3,1),'2024数据'!$C$3:$C$152,"&lt;="&amp;DATE(2024,3,31),'2024数据'!$B$3:$B$152,$E11)</f>
        <v>1</v>
      </c>
      <c r="I11" s="106">
        <f>COUNTIFS('2024数据'!$C$3:$C$152,"&gt;="&amp;DATE(2024,4,1),'2024数据'!$C$3:$C$152,"&lt;="&amp;DATE(2024,4,30),'2024数据'!$B$3:$B$152,$E11)</f>
        <v>0</v>
      </c>
      <c r="J11" s="106">
        <f>COUNTIFS('2024数据'!$C$3:$C$152,"&gt;="&amp;DATE(2024,5,1),'2024数据'!$C$3:$C$152,"&lt;="&amp;DATE(2024,5,31),'2024数据'!$B$3:$B$152,$E11)</f>
        <v>1</v>
      </c>
      <c r="K11" s="106">
        <f>COUNTIFS('2024数据'!$C$3:$C$152,"&gt;="&amp;DATE(2024,6,1),'2024数据'!$C$3:$C$152,"&lt;="&amp;DATE(2024,6,30),'2024数据'!$B$3:$B$152,$E11)</f>
        <v>1</v>
      </c>
      <c r="L11" s="106">
        <f>COUNTIFS('2024数据'!$C$3:$C$152,"&gt;="&amp;DATE(2024,7,1),'2024数据'!$C$3:$C$152,"&lt;="&amp;DATE(2024,7,31),'2024数据'!$B$3:$B$152,$E11)</f>
        <v>1</v>
      </c>
      <c r="M11" s="106">
        <f>COUNTIFS('2024数据'!$C$3:$C$152,"&gt;="&amp;DATE(2024,8,1),'2024数据'!$C$3:$C$152,"&lt;="&amp;DATE(2024,8,31),'2024数据'!$B$3:$B$152,$E11)</f>
        <v>2</v>
      </c>
      <c r="N11" s="106">
        <f>COUNTIFS('2024数据'!$C$3:$C$152,"&gt;="&amp;DATE(2024,9,1),'2024数据'!$C$3:$C$152,"&lt;="&amp;DATE(2024,9,30),'2024数据'!$B$3:$B$152,$E11)</f>
        <v>3</v>
      </c>
      <c r="O11" s="106">
        <f>COUNTIFS('2024数据'!$C$3:$C$152,"&gt;="&amp;DATE(2024,10,1),'2024数据'!$C$3:$C$152,"&lt;="&amp;DATE(2024,10,31),'2024数据'!$B$3:$B$152,$E11)</f>
        <v>0</v>
      </c>
      <c r="P11" s="106">
        <f>COUNTIFS('2024数据'!$C$3:$C$152,"&gt;="&amp;DATE(2024,11,1),'2024数据'!$C$3:$C$152,"&lt;="&amp;DATE(2024,11,30),'2024数据'!$B$3:$B$152,$E11)</f>
        <v>1</v>
      </c>
      <c r="Q11" s="106">
        <f>COUNTIFS('2024数据'!$C$3:$C$152,"&gt;="&amp;DATE(2024,12,1),'2024数据'!$C$3:$C$152,"&lt;="&amp;DATE(2024,12,31),'2024数据'!$B$3:$B$152,$E11)</f>
        <v>1</v>
      </c>
    </row>
    <row r="12" ht="24" customHeight="1" spans="1:17">
      <c r="A12" s="99" t="s">
        <v>289</v>
      </c>
      <c r="B12" s="99" t="s">
        <v>290</v>
      </c>
      <c r="C12" s="99" t="s">
        <v>291</v>
      </c>
      <c r="D12" s="47" t="s">
        <v>294</v>
      </c>
      <c r="E12" s="47" t="s">
        <v>81</v>
      </c>
      <c r="F12" s="106">
        <f>COUNTIFS('2024数据'!$C$3:$C$152,"&gt;="&amp;DATE(2023,1,1),'2024数据'!$C$3:$C$152,"&lt;="&amp;DATE(2024,1,31),'2024数据'!$B$3:$B$152,$E12)</f>
        <v>1</v>
      </c>
      <c r="G12" s="106">
        <f>COUNTIFS('2024数据'!$C$3:$C$152,"&gt;="&amp;DATE(2024,2,1),'2024数据'!$C$3:$C$152,"&lt;="&amp;DATE(2024,2,29),'2024数据'!$B$3:$B$152,$E12)</f>
        <v>0</v>
      </c>
      <c r="H12" s="106">
        <f>COUNTIFS('2024数据'!$C$3:$C$152,"&gt;="&amp;DATE(2024,3,1),'2024数据'!$C$3:$C$152,"&lt;="&amp;DATE(2024,3,31),'2024数据'!$B$3:$B$152,$E12)</f>
        <v>4</v>
      </c>
      <c r="I12" s="106">
        <f>COUNTIFS('2024数据'!$C$3:$C$152,"&gt;="&amp;DATE(2024,4,1),'2024数据'!$C$3:$C$152,"&lt;="&amp;DATE(2024,4,30),'2024数据'!$B$3:$B$152,$E12)</f>
        <v>0</v>
      </c>
      <c r="J12" s="106">
        <f>COUNTIFS('2024数据'!$C$3:$C$152,"&gt;="&amp;DATE(2024,5,1),'2024数据'!$C$3:$C$152,"&lt;="&amp;DATE(2024,5,31),'2024数据'!$B$3:$B$152,$E12)</f>
        <v>2</v>
      </c>
      <c r="K12" s="106">
        <f>COUNTIFS('2024数据'!$C$3:$C$152,"&gt;="&amp;DATE(2024,6,1),'2024数据'!$C$3:$C$152,"&lt;="&amp;DATE(2024,6,30),'2024数据'!$B$3:$B$152,$E12)</f>
        <v>0</v>
      </c>
      <c r="L12" s="106">
        <f>COUNTIFS('2024数据'!$C$3:$C$152,"&gt;="&amp;DATE(2024,7,1),'2024数据'!$C$3:$C$152,"&lt;="&amp;DATE(2024,7,31),'2024数据'!$B$3:$B$152,$E12)</f>
        <v>0</v>
      </c>
      <c r="M12" s="106">
        <f>COUNTIFS('2024数据'!$C$3:$C$152,"&gt;="&amp;DATE(2024,8,1),'2024数据'!$C$3:$C$152,"&lt;="&amp;DATE(2024,8,31),'2024数据'!$B$3:$B$152,$E12)</f>
        <v>1</v>
      </c>
      <c r="N12" s="106">
        <f>COUNTIFS('2024数据'!$C$3:$C$152,"&gt;="&amp;DATE(2024,9,1),'2024数据'!$C$3:$C$152,"&lt;="&amp;DATE(2024,9,30),'2024数据'!$B$3:$B$152,$E12)</f>
        <v>2</v>
      </c>
      <c r="O12" s="106">
        <f>COUNTIFS('2024数据'!$C$3:$C$152,"&gt;="&amp;DATE(2024,10,1),'2024数据'!$C$3:$C$152,"&lt;="&amp;DATE(2024,10,31),'2024数据'!$B$3:$B$152,$E12)</f>
        <v>1</v>
      </c>
      <c r="P12" s="106">
        <f>COUNTIFS('2024数据'!$C$3:$C$152,"&gt;="&amp;DATE(2024,11,1),'2024数据'!$C$3:$C$152,"&lt;="&amp;DATE(2024,11,30),'2024数据'!$B$3:$B$152,$E12)</f>
        <v>0</v>
      </c>
      <c r="Q12" s="106">
        <f>COUNTIFS('2024数据'!$C$3:$C$152,"&gt;="&amp;DATE(2024,12,1),'2024数据'!$C$3:$C$152,"&lt;="&amp;DATE(2024,12,31),'2024数据'!$B$3:$B$152,$E12)</f>
        <v>0</v>
      </c>
    </row>
    <row r="13" ht="24" customHeight="1" spans="1:17">
      <c r="A13" s="99" t="s">
        <v>289</v>
      </c>
      <c r="B13" s="99" t="s">
        <v>290</v>
      </c>
      <c r="C13" s="99" t="s">
        <v>291</v>
      </c>
      <c r="D13" s="47" t="s">
        <v>294</v>
      </c>
      <c r="E13" s="47" t="s">
        <v>96</v>
      </c>
      <c r="F13" s="106">
        <f>COUNTIFS('2024数据'!$C$3:$C$152,"&gt;="&amp;DATE(2023,1,1),'2024数据'!$C$3:$C$152,"&lt;="&amp;DATE(2024,1,31),'2024数据'!$B$3:$B$152,$E13)</f>
        <v>0</v>
      </c>
      <c r="G13" s="106">
        <f>COUNTIFS('2024数据'!$C$3:$C$152,"&gt;="&amp;DATE(2024,2,1),'2024数据'!$C$3:$C$152,"&lt;="&amp;DATE(2024,2,29),'2024数据'!$B$3:$B$152,$E13)</f>
        <v>0</v>
      </c>
      <c r="H13" s="106">
        <f>COUNTIFS('2024数据'!$C$3:$C$152,"&gt;="&amp;DATE(2024,3,1),'2024数据'!$C$3:$C$152,"&lt;="&amp;DATE(2024,3,31),'2024数据'!$B$3:$B$152,$E13)</f>
        <v>0</v>
      </c>
      <c r="I13" s="106">
        <f>COUNTIFS('2024数据'!$C$3:$C$152,"&gt;="&amp;DATE(2024,4,1),'2024数据'!$C$3:$C$152,"&lt;="&amp;DATE(2024,4,30),'2024数据'!$B$3:$B$152,$E13)</f>
        <v>0</v>
      </c>
      <c r="J13" s="106">
        <f>COUNTIFS('2024数据'!$C$3:$C$152,"&gt;="&amp;DATE(2024,5,1),'2024数据'!$C$3:$C$152,"&lt;="&amp;DATE(2024,5,31),'2024数据'!$B$3:$B$152,$E13)</f>
        <v>0</v>
      </c>
      <c r="K13" s="106">
        <f>COUNTIFS('2024数据'!$C$3:$C$152,"&gt;="&amp;DATE(2024,6,1),'2024数据'!$C$3:$C$152,"&lt;="&amp;DATE(2024,6,30),'2024数据'!$B$3:$B$152,$E13)</f>
        <v>0</v>
      </c>
      <c r="L13" s="106">
        <f>COUNTIFS('2024数据'!$C$3:$C$152,"&gt;="&amp;DATE(2024,7,1),'2024数据'!$C$3:$C$152,"&lt;="&amp;DATE(2024,7,31),'2024数据'!$B$3:$B$152,$E13)</f>
        <v>0</v>
      </c>
      <c r="M13" s="106">
        <f>COUNTIFS('2024数据'!$C$3:$C$152,"&gt;="&amp;DATE(2024,8,1),'2024数据'!$C$3:$C$152,"&lt;="&amp;DATE(2024,8,31),'2024数据'!$B$3:$B$152,$E13)</f>
        <v>0</v>
      </c>
      <c r="N13" s="106">
        <f>COUNTIFS('2024数据'!$C$3:$C$152,"&gt;="&amp;DATE(2024,9,1),'2024数据'!$C$3:$C$152,"&lt;="&amp;DATE(2024,9,30),'2024数据'!$B$3:$B$152,$E13)</f>
        <v>0</v>
      </c>
      <c r="O13" s="106">
        <f>COUNTIFS('2024数据'!$C$3:$C$152,"&gt;="&amp;DATE(2024,10,1),'2024数据'!$C$3:$C$152,"&lt;="&amp;DATE(2024,10,31),'2024数据'!$B$3:$B$152,$E13)</f>
        <v>0</v>
      </c>
      <c r="P13" s="106">
        <f>COUNTIFS('2024数据'!$C$3:$C$152,"&gt;="&amp;DATE(2024,11,1),'2024数据'!$C$3:$C$152,"&lt;="&amp;DATE(2024,11,30),'2024数据'!$B$3:$B$152,$E13)</f>
        <v>1</v>
      </c>
      <c r="Q13" s="106">
        <f>COUNTIFS('2024数据'!$C$3:$C$152,"&gt;="&amp;DATE(2024,12,1),'2024数据'!$C$3:$C$152,"&lt;="&amp;DATE(2024,12,31),'2024数据'!$B$3:$B$152,$E13)</f>
        <v>0</v>
      </c>
    </row>
    <row r="14" ht="24" customHeight="1" spans="1:17">
      <c r="A14" s="99" t="s">
        <v>289</v>
      </c>
      <c r="B14" s="99" t="s">
        <v>290</v>
      </c>
      <c r="C14" s="99" t="s">
        <v>291</v>
      </c>
      <c r="D14" s="47" t="s">
        <v>294</v>
      </c>
      <c r="E14" s="47" t="s">
        <v>160</v>
      </c>
      <c r="F14" s="106">
        <f t="shared" ref="F14:Q14" si="1">SUM(F4:F9)-SUM(F10:F13)</f>
        <v>0</v>
      </c>
      <c r="G14" s="106">
        <f t="shared" si="1"/>
        <v>0</v>
      </c>
      <c r="H14" s="106">
        <f t="shared" si="1"/>
        <v>0</v>
      </c>
      <c r="I14" s="106">
        <f t="shared" si="1"/>
        <v>0</v>
      </c>
      <c r="J14" s="106">
        <f t="shared" si="1"/>
        <v>0</v>
      </c>
      <c r="K14" s="106">
        <f t="shared" si="1"/>
        <v>0</v>
      </c>
      <c r="L14" s="106">
        <f t="shared" si="1"/>
        <v>0</v>
      </c>
      <c r="M14" s="106">
        <f t="shared" si="1"/>
        <v>0</v>
      </c>
      <c r="N14" s="106">
        <f t="shared" si="1"/>
        <v>0</v>
      </c>
      <c r="O14" s="106">
        <f t="shared" si="1"/>
        <v>0</v>
      </c>
      <c r="P14" s="106">
        <f t="shared" si="1"/>
        <v>0</v>
      </c>
      <c r="Q14" s="106">
        <f t="shared" si="1"/>
        <v>0</v>
      </c>
    </row>
    <row r="15" ht="24" customHeight="1" spans="1:17">
      <c r="A15" s="99" t="s">
        <v>289</v>
      </c>
      <c r="B15" s="99" t="s">
        <v>290</v>
      </c>
      <c r="C15" s="99" t="s">
        <v>291</v>
      </c>
      <c r="D15" s="100" t="s">
        <v>292</v>
      </c>
      <c r="E15" s="100" t="s">
        <v>295</v>
      </c>
      <c r="F15" s="104">
        <f t="shared" ref="F15:Q15" si="2">SUM(F16:F18)</f>
        <v>11</v>
      </c>
      <c r="G15" s="104">
        <f t="shared" si="2"/>
        <v>1</v>
      </c>
      <c r="H15" s="104">
        <f t="shared" si="2"/>
        <v>6</v>
      </c>
      <c r="I15" s="104">
        <f t="shared" si="2"/>
        <v>0</v>
      </c>
      <c r="J15" s="104">
        <f t="shared" si="2"/>
        <v>3</v>
      </c>
      <c r="K15" s="104">
        <f t="shared" si="2"/>
        <v>4</v>
      </c>
      <c r="L15" s="104">
        <f t="shared" si="2"/>
        <v>4</v>
      </c>
      <c r="M15" s="104">
        <f t="shared" si="2"/>
        <v>4</v>
      </c>
      <c r="N15" s="104">
        <f t="shared" si="2"/>
        <v>4</v>
      </c>
      <c r="O15" s="104">
        <f t="shared" si="2"/>
        <v>1</v>
      </c>
      <c r="P15" s="104">
        <f t="shared" si="2"/>
        <v>3</v>
      </c>
      <c r="Q15" s="104">
        <f t="shared" si="2"/>
        <v>1</v>
      </c>
    </row>
    <row r="16" ht="24" customHeight="1" spans="1:17">
      <c r="A16" s="99" t="s">
        <v>289</v>
      </c>
      <c r="B16" s="99" t="s">
        <v>290</v>
      </c>
      <c r="C16" s="99" t="s">
        <v>291</v>
      </c>
      <c r="D16" s="48" t="s">
        <v>296</v>
      </c>
      <c r="E16" s="48" t="s">
        <v>406</v>
      </c>
      <c r="F16" s="105">
        <f>COUNTIFS('2024数据'!$C$3:$C$152,"&gt;="&amp;DATE(2023,1,1),'2024数据'!$C$3:$C$152,"&lt;="&amp;DATE(2024,1,31),'2024数据'!$AF$3:$AF$152,$E16)</f>
        <v>2</v>
      </c>
      <c r="G16" s="105">
        <f>COUNTIFS('2024数据'!$C$3:$C$152,"&gt;="&amp;DATE(2024,2,1),'2024数据'!$C$3:$C$152,"&lt;="&amp;DATE(2024,2,29),'2024数据'!$AF$3:$AF$152,$E16)</f>
        <v>1</v>
      </c>
      <c r="H16" s="105">
        <f>COUNTIFS('2024数据'!$C$3:$C$152,"&gt;="&amp;DATE(2024,3,1),'2024数据'!$C$3:$C$152,"&lt;="&amp;DATE(2024,3,31),'2024数据'!$AF$3:$AF$152,$E16)</f>
        <v>0</v>
      </c>
      <c r="I16" s="105">
        <f>COUNTIFS('2024数据'!$C$3:$C$152,"&gt;="&amp;DATE(2024,4,1),'2024数据'!$C$3:$C$152,"&lt;="&amp;DATE(2024,4,30),'2024数据'!$AF$3:$AF$152,$E16)</f>
        <v>0</v>
      </c>
      <c r="J16" s="105">
        <f>COUNTIFS('2024数据'!$C$3:$C$152,"&gt;="&amp;DATE(2024,5,1),'2024数据'!$C$3:$C$152,"&lt;="&amp;DATE(2024,5,31),'2024数据'!$AF$3:$AF$152,$E16)</f>
        <v>1</v>
      </c>
      <c r="K16" s="105">
        <f>COUNTIFS('2024数据'!$C$3:$C$152,"&gt;="&amp;DATE(2024,6,1),'2024数据'!$C$3:$C$152,"&lt;="&amp;DATE(2024,6,30),'2024数据'!$AF$3:$AF$152,$E16)</f>
        <v>2</v>
      </c>
      <c r="L16" s="105">
        <f>COUNTIFS('2024数据'!$C$3:$C$152,"&gt;="&amp;DATE(2024,7,1),'2024数据'!$C$3:$C$152,"&lt;="&amp;DATE(2024,7,31),'2024数据'!$AF$3:$AF$152,$E16)</f>
        <v>2</v>
      </c>
      <c r="M16" s="105">
        <f>COUNTIFS('2024数据'!$C$3:$C$152,"&gt;="&amp;DATE(2024,8,1),'2024数据'!$C$3:$C$152,"&lt;="&amp;DATE(2024,8,31),'2024数据'!$AF$3:$AF$152,$E16)</f>
        <v>1</v>
      </c>
      <c r="N16" s="105">
        <f>COUNTIFS('2024数据'!$C$3:$C$152,"&gt;="&amp;DATE(2024,9,1),'2024数据'!$C$3:$C$152,"&lt;="&amp;DATE(2024,9,30),'2024数据'!$AF$3:$AF$152,$E16)</f>
        <v>2</v>
      </c>
      <c r="O16" s="105">
        <f>COUNTIFS('2024数据'!$C$3:$C$152,"&gt;="&amp;DATE(2024,10,1),'2024数据'!$C$3:$C$152,"&lt;="&amp;DATE(2024,10,31),'2024数据'!$AF$3:$AF$152,$E16)</f>
        <v>0</v>
      </c>
      <c r="P16" s="105">
        <f>COUNTIFS('2024数据'!$C$3:$C$152,"&gt;="&amp;DATE(2024,11,1),'2024数据'!$C$3:$C$152,"&lt;="&amp;DATE(2024,11,30),'2024数据'!$AF$3:$AF$152,$E16)</f>
        <v>2</v>
      </c>
      <c r="Q16" s="105">
        <f>COUNTIFS('2024数据'!$C$3:$C$152,"&gt;="&amp;DATE(2024,12,1),'2024数据'!$C$3:$C$152,"&lt;="&amp;DATE(2024,12,31),'2024数据'!$AF$3:$AF$152,$E16)</f>
        <v>1</v>
      </c>
    </row>
    <row r="17" ht="24" customHeight="1" spans="1:17">
      <c r="A17" s="99" t="s">
        <v>289</v>
      </c>
      <c r="B17" s="99" t="s">
        <v>290</v>
      </c>
      <c r="C17" s="99" t="s">
        <v>291</v>
      </c>
      <c r="D17" s="48" t="s">
        <v>296</v>
      </c>
      <c r="E17" s="48" t="s">
        <v>82</v>
      </c>
      <c r="F17" s="105">
        <f>COUNTIFS('2024数据'!$C$3:$C$152,"&gt;="&amp;DATE(2023,1,1),'2024数据'!$C$3:$C$152,"&lt;="&amp;DATE(2024,1,31),'2024数据'!$AF$3:$AF$152,$E17)</f>
        <v>4</v>
      </c>
      <c r="G17" s="105">
        <f>COUNTIFS('2024数据'!$C$3:$C$152,"&gt;="&amp;DATE(2024,2,1),'2024数据'!$C$3:$C$152,"&lt;="&amp;DATE(2024,2,29),'2024数据'!$AF$3:$AF$152,$E17)</f>
        <v>0</v>
      </c>
      <c r="H17" s="105">
        <f>COUNTIFS('2024数据'!$C$3:$C$152,"&gt;="&amp;DATE(2024,3,1),'2024数据'!$C$3:$C$152,"&lt;="&amp;DATE(2024,3,31),'2024数据'!$AF$3:$AF$152,$E17)</f>
        <v>2</v>
      </c>
      <c r="I17" s="105">
        <f>COUNTIFS('2024数据'!$C$3:$C$152,"&gt;="&amp;DATE(2024,4,1),'2024数据'!$C$3:$C$152,"&lt;="&amp;DATE(2024,4,30),'2024数据'!$AF$3:$AF$152,$E17)</f>
        <v>0</v>
      </c>
      <c r="J17" s="105">
        <f>COUNTIFS('2024数据'!$C$3:$C$152,"&gt;="&amp;DATE(2024,5,1),'2024数据'!$C$3:$C$152,"&lt;="&amp;DATE(2024,5,31),'2024数据'!$AF$3:$AF$152,$E17)</f>
        <v>0</v>
      </c>
      <c r="K17" s="105">
        <f>COUNTIFS('2024数据'!$C$3:$C$152,"&gt;="&amp;DATE(2024,6,1),'2024数据'!$C$3:$C$152,"&lt;="&amp;DATE(2024,6,30),'2024数据'!$AF$3:$AF$152,$E17)</f>
        <v>0</v>
      </c>
      <c r="L17" s="105">
        <f>COUNTIFS('2024数据'!$C$3:$C$152,"&gt;="&amp;DATE(2024,7,1),'2024数据'!$C$3:$C$152,"&lt;="&amp;DATE(2024,7,31),'2024数据'!$AF$3:$AF$152,$E17)</f>
        <v>1</v>
      </c>
      <c r="M17" s="105">
        <f>COUNTIFS('2024数据'!$C$3:$C$152,"&gt;="&amp;DATE(2024,8,1),'2024数据'!$C$3:$C$152,"&lt;="&amp;DATE(2024,8,31),'2024数据'!$AF$3:$AF$152,$E17)</f>
        <v>2</v>
      </c>
      <c r="N17" s="105">
        <f>COUNTIFS('2024数据'!$C$3:$C$152,"&gt;="&amp;DATE(2024,9,1),'2024数据'!$C$3:$C$152,"&lt;="&amp;DATE(2024,9,30),'2024数据'!$AF$3:$AF$152,$E17)</f>
        <v>2</v>
      </c>
      <c r="O17" s="105">
        <f>COUNTIFS('2024数据'!$C$3:$C$152,"&gt;="&amp;DATE(2024,10,1),'2024数据'!$C$3:$C$152,"&lt;="&amp;DATE(2024,10,31),'2024数据'!$AF$3:$AF$152,$E17)</f>
        <v>1</v>
      </c>
      <c r="P17" s="105">
        <f>COUNTIFS('2024数据'!$C$3:$C$152,"&gt;="&amp;DATE(2024,11,1),'2024数据'!$C$3:$C$152,"&lt;="&amp;DATE(2024,11,30),'2024数据'!$AF$3:$AF$152,$E17)</f>
        <v>1</v>
      </c>
      <c r="Q17" s="105">
        <f>COUNTIFS('2024数据'!$C$3:$C$152,"&gt;="&amp;DATE(2024,12,1),'2024数据'!$C$3:$C$152,"&lt;="&amp;DATE(2024,12,31),'2024数据'!$AF$3:$AF$152,$E17)</f>
        <v>0</v>
      </c>
    </row>
    <row r="18" ht="24" customHeight="1" spans="1:17">
      <c r="A18" s="99" t="s">
        <v>289</v>
      </c>
      <c r="B18" s="99" t="s">
        <v>290</v>
      </c>
      <c r="C18" s="99" t="s">
        <v>291</v>
      </c>
      <c r="D18" s="48" t="s">
        <v>296</v>
      </c>
      <c r="E18" s="48" t="s">
        <v>86</v>
      </c>
      <c r="F18" s="105">
        <f>COUNTIFS('2024数据'!$C$3:$C$152,"&gt;="&amp;DATE(2023,1,1),'2024数据'!$C$3:$C$152,"&lt;="&amp;DATE(2024,1,31),'2024数据'!$AF$3:$AF$152,$E18)</f>
        <v>5</v>
      </c>
      <c r="G18" s="105">
        <f>COUNTIFS('2024数据'!$C$3:$C$152,"&gt;="&amp;DATE(2024,2,1),'2024数据'!$C$3:$C$152,"&lt;="&amp;DATE(2024,2,29),'2024数据'!$AF$3:$AF$152,$E18)</f>
        <v>0</v>
      </c>
      <c r="H18" s="105">
        <f>COUNTIFS('2024数据'!$C$3:$C$152,"&gt;="&amp;DATE(2024,3,1),'2024数据'!$C$3:$C$152,"&lt;="&amp;DATE(2024,3,31),'2024数据'!$AF$3:$AF$152,$E18)</f>
        <v>4</v>
      </c>
      <c r="I18" s="105">
        <f>COUNTIFS('2024数据'!$C$3:$C$152,"&gt;="&amp;DATE(2024,4,1),'2024数据'!$C$3:$C$152,"&lt;="&amp;DATE(2024,4,30),'2024数据'!$AF$3:$AF$152,$E18)</f>
        <v>0</v>
      </c>
      <c r="J18" s="105">
        <f>COUNTIFS('2024数据'!$C$3:$C$152,"&gt;="&amp;DATE(2024,5,1),'2024数据'!$C$3:$C$152,"&lt;="&amp;DATE(2024,5,31),'2024数据'!$AF$3:$AF$152,$E18)</f>
        <v>2</v>
      </c>
      <c r="K18" s="105">
        <f>COUNTIFS('2024数据'!$C$3:$C$152,"&gt;="&amp;DATE(2024,6,1),'2024数据'!$C$3:$C$152,"&lt;="&amp;DATE(2024,6,30),'2024数据'!$AF$3:$AF$152,$E18)</f>
        <v>2</v>
      </c>
      <c r="L18" s="105">
        <f>COUNTIFS('2024数据'!$C$3:$C$152,"&gt;="&amp;DATE(2024,7,1),'2024数据'!$C$3:$C$152,"&lt;="&amp;DATE(2024,7,31),'2024数据'!$AF$3:$AF$152,$E18)</f>
        <v>1</v>
      </c>
      <c r="M18" s="105">
        <f>COUNTIFS('2024数据'!$C$3:$C$152,"&gt;="&amp;DATE(2024,8,1),'2024数据'!$C$3:$C$152,"&lt;="&amp;DATE(2024,8,31),'2024数据'!$AF$3:$AF$152,$E18)</f>
        <v>1</v>
      </c>
      <c r="N18" s="105">
        <f>COUNTIFS('2024数据'!$C$3:$C$152,"&gt;="&amp;DATE(2024,9,1),'2024数据'!$C$3:$C$152,"&lt;="&amp;DATE(2024,9,30),'2024数据'!$AF$3:$AF$152,$E18)</f>
        <v>0</v>
      </c>
      <c r="O18" s="105">
        <f>COUNTIFS('2024数据'!$C$3:$C$152,"&gt;="&amp;DATE(2024,10,1),'2024数据'!$C$3:$C$152,"&lt;="&amp;DATE(2024,10,31),'2024数据'!$AF$3:$AF$152,$E18)</f>
        <v>0</v>
      </c>
      <c r="P18" s="105">
        <f>COUNTIFS('2024数据'!$C$3:$C$152,"&gt;="&amp;DATE(2024,11,1),'2024数据'!$C$3:$C$152,"&lt;="&amp;DATE(2024,11,30),'2024数据'!$AF$3:$AF$152,$E18)</f>
        <v>0</v>
      </c>
      <c r="Q18" s="105">
        <f>COUNTIFS('2024数据'!$C$3:$C$152,"&gt;="&amp;DATE(2024,12,1),'2024数据'!$C$3:$C$152,"&lt;="&amp;DATE(2024,12,31),'2024数据'!$AF$3:$AF$152,$E18)</f>
        <v>0</v>
      </c>
    </row>
    <row r="19" ht="24" customHeight="1" spans="1:17">
      <c r="A19" s="99" t="s">
        <v>289</v>
      </c>
      <c r="B19" s="99" t="s">
        <v>290</v>
      </c>
      <c r="C19" s="99" t="s">
        <v>291</v>
      </c>
      <c r="D19" s="100" t="s">
        <v>292</v>
      </c>
      <c r="E19" s="100" t="s">
        <v>297</v>
      </c>
      <c r="F19" s="104">
        <f t="shared" ref="F19:Q19" si="3">SUM(F20:F22)</f>
        <v>13</v>
      </c>
      <c r="G19" s="104">
        <f t="shared" si="3"/>
        <v>2</v>
      </c>
      <c r="H19" s="104">
        <f t="shared" si="3"/>
        <v>5</v>
      </c>
      <c r="I19" s="104">
        <f t="shared" si="3"/>
        <v>0</v>
      </c>
      <c r="J19" s="104">
        <f t="shared" si="3"/>
        <v>2</v>
      </c>
      <c r="K19" s="104">
        <f t="shared" si="3"/>
        <v>3</v>
      </c>
      <c r="L19" s="104">
        <f t="shared" si="3"/>
        <v>3</v>
      </c>
      <c r="M19" s="104">
        <f t="shared" si="3"/>
        <v>4</v>
      </c>
      <c r="N19" s="104">
        <f t="shared" si="3"/>
        <v>5</v>
      </c>
      <c r="O19" s="104">
        <f t="shared" si="3"/>
        <v>1</v>
      </c>
      <c r="P19" s="104">
        <f t="shared" si="3"/>
        <v>4</v>
      </c>
      <c r="Q19" s="104">
        <f t="shared" si="3"/>
        <v>1</v>
      </c>
    </row>
    <row r="20" ht="24" customHeight="1" spans="1:17">
      <c r="A20" s="99" t="s">
        <v>289</v>
      </c>
      <c r="B20" s="99" t="s">
        <v>290</v>
      </c>
      <c r="C20" s="99" t="s">
        <v>291</v>
      </c>
      <c r="D20" s="48" t="s">
        <v>298</v>
      </c>
      <c r="E20" s="48" t="s">
        <v>97</v>
      </c>
      <c r="F20" s="105">
        <f>COUNTIFS('2024数据'!$C$3:$C$152,"&gt;="&amp;DATE(2023,1,1),'2024数据'!$C$3:$C$152,"&lt;="&amp;DATE(2024,1,31),'2024数据'!$AG$3:$AG$152,$E20)</f>
        <v>8</v>
      </c>
      <c r="G20" s="105">
        <f>COUNTIFS('2024数据'!$C$3:$C$152,"&gt;="&amp;DATE(2024,2,1),'2024数据'!$C$3:$C$152,"&lt;="&amp;DATE(2024,2,29),'2024数据'!$AG$3:$AG$152,$E20)</f>
        <v>2</v>
      </c>
      <c r="H20" s="105">
        <f>COUNTIFS('2024数据'!$C$3:$C$152,"&gt;="&amp;DATE(2024,3,1),'2024数据'!$C$3:$C$152,"&lt;="&amp;DATE(2024,3,31),'2024数据'!$AG$3:$AG$152,$E20)</f>
        <v>1</v>
      </c>
      <c r="I20" s="105">
        <f>COUNTIFS('2024数据'!$C$3:$C$152,"&gt;="&amp;DATE(2024,4,1),'2024数据'!$C$3:$C$152,"&lt;="&amp;DATE(2024,4,30),'2024数据'!$AG$3:$AG$152,$E20)</f>
        <v>0</v>
      </c>
      <c r="J20" s="105">
        <f>COUNTIFS('2024数据'!$C$3:$C$152,"&gt;="&amp;DATE(2024,5,1),'2024数据'!$C$3:$C$152,"&lt;="&amp;DATE(2024,5,31),'2024数据'!$AG$3:$AG$152,$E20)</f>
        <v>0</v>
      </c>
      <c r="K20" s="105">
        <f>COUNTIFS('2024数据'!$C$3:$C$152,"&gt;="&amp;DATE(2024,6,1),'2024数据'!$C$3:$C$152,"&lt;="&amp;DATE(2024,6,30),'2024数据'!$AG$3:$AG$152,$E20)</f>
        <v>1</v>
      </c>
      <c r="L20" s="105">
        <f>COUNTIFS('2024数据'!$C$3:$C$152,"&gt;="&amp;DATE(2024,7,1),'2024数据'!$C$3:$C$152,"&lt;="&amp;DATE(2024,7,31),'2024数据'!$AG$3:$AG$152,$E20)</f>
        <v>3</v>
      </c>
      <c r="M20" s="105">
        <f>COUNTIFS('2024数据'!$C$3:$C$152,"&gt;="&amp;DATE(2024,8,1),'2024数据'!$C$3:$C$152,"&lt;="&amp;DATE(2024,8,31),'2024数据'!$AG$3:$AG$152,$E20)</f>
        <v>1</v>
      </c>
      <c r="N20" s="105">
        <f>COUNTIFS('2024数据'!$C$3:$C$152,"&gt;="&amp;DATE(2024,9,1),'2024数据'!$C$3:$C$152,"&lt;="&amp;DATE(2024,9,30),'2024数据'!$AG$3:$AG$152,$E20)</f>
        <v>1</v>
      </c>
      <c r="O20" s="105">
        <f>COUNTIFS('2024数据'!$C$3:$C$152,"&gt;="&amp;DATE(2024,10,1),'2024数据'!$C$3:$C$152,"&lt;="&amp;DATE(2024,10,31),'2024数据'!$AG$3:$AG$152,$E20)</f>
        <v>0</v>
      </c>
      <c r="P20" s="105">
        <f>COUNTIFS('2024数据'!$C$3:$C$152,"&gt;="&amp;DATE(2024,11,1),'2024数据'!$C$3:$C$152,"&lt;="&amp;DATE(2024,11,30),'2024数据'!$AG$3:$AG$152,$E20)</f>
        <v>2</v>
      </c>
      <c r="Q20" s="105">
        <f>COUNTIFS('2024数据'!$C$3:$C$152,"&gt;="&amp;DATE(2024,12,1),'2024数据'!$C$3:$C$152,"&lt;="&amp;DATE(2024,12,31),'2024数据'!$AG$3:$AG$152,$E20)</f>
        <v>0</v>
      </c>
    </row>
    <row r="21" ht="24" customHeight="1" spans="1:17">
      <c r="A21" s="99" t="s">
        <v>289</v>
      </c>
      <c r="B21" s="99" t="s">
        <v>290</v>
      </c>
      <c r="C21" s="99" t="s">
        <v>291</v>
      </c>
      <c r="D21" s="48" t="s">
        <v>298</v>
      </c>
      <c r="E21" s="48" t="s">
        <v>87</v>
      </c>
      <c r="F21" s="105">
        <f>COUNTIFS('2024数据'!$C$3:$C$152,"&gt;="&amp;DATE(2023,1,1),'2024数据'!$C$3:$C$152,"&lt;="&amp;DATE(2024,1,31),'2024数据'!$AG$3:$AG$152,$E21)</f>
        <v>5</v>
      </c>
      <c r="G21" s="105">
        <f>COUNTIFS('2024数据'!$C$3:$C$152,"&gt;="&amp;DATE(2024,2,1),'2024数据'!$C$3:$C$152,"&lt;="&amp;DATE(2024,2,29),'2024数据'!$AG$3:$AG$152,$E21)</f>
        <v>0</v>
      </c>
      <c r="H21" s="105">
        <f>COUNTIFS('2024数据'!$C$3:$C$152,"&gt;="&amp;DATE(2024,3,1),'2024数据'!$C$3:$C$152,"&lt;="&amp;DATE(2024,3,31),'2024数据'!$AG$3:$AG$152,$E21)</f>
        <v>1</v>
      </c>
      <c r="I21" s="105">
        <f>COUNTIFS('2024数据'!$C$3:$C$152,"&gt;="&amp;DATE(2024,4,1),'2024数据'!$C$3:$C$152,"&lt;="&amp;DATE(2024,4,30),'2024数据'!$AG$3:$AG$152,$E21)</f>
        <v>0</v>
      </c>
      <c r="J21" s="105">
        <f>COUNTIFS('2024数据'!$C$3:$C$152,"&gt;="&amp;DATE(2024,5,1),'2024数据'!$C$3:$C$152,"&lt;="&amp;DATE(2024,5,31),'2024数据'!$AG$3:$AG$152,$E21)</f>
        <v>1</v>
      </c>
      <c r="K21" s="105">
        <f>COUNTIFS('2024数据'!$C$3:$C$152,"&gt;="&amp;DATE(2024,6,1),'2024数据'!$C$3:$C$152,"&lt;="&amp;DATE(2024,6,30),'2024数据'!$AG$3:$AG$152,$E21)</f>
        <v>1</v>
      </c>
      <c r="L21" s="105">
        <f>COUNTIFS('2024数据'!$C$3:$C$152,"&gt;="&amp;DATE(2024,7,1),'2024数据'!$C$3:$C$152,"&lt;="&amp;DATE(2024,7,31),'2024数据'!$AG$3:$AG$152,$E21)</f>
        <v>0</v>
      </c>
      <c r="M21" s="105">
        <f>COUNTIFS('2024数据'!$C$3:$C$152,"&gt;="&amp;DATE(2024,8,1),'2024数据'!$C$3:$C$152,"&lt;="&amp;DATE(2024,8,31),'2024数据'!$AG$3:$AG$152,$E21)</f>
        <v>3</v>
      </c>
      <c r="N21" s="105">
        <f>COUNTIFS('2024数据'!$C$3:$C$152,"&gt;="&amp;DATE(2024,9,1),'2024数据'!$C$3:$C$152,"&lt;="&amp;DATE(2024,9,30),'2024数据'!$AG$3:$AG$152,$E21)</f>
        <v>4</v>
      </c>
      <c r="O21" s="105">
        <f>COUNTIFS('2024数据'!$C$3:$C$152,"&gt;="&amp;DATE(2024,10,1),'2024数据'!$C$3:$C$152,"&lt;="&amp;DATE(2024,10,31),'2024数据'!$AG$3:$AG$152,$E21)</f>
        <v>0</v>
      </c>
      <c r="P21" s="105">
        <f>COUNTIFS('2024数据'!$C$3:$C$152,"&gt;="&amp;DATE(2024,11,1),'2024数据'!$C$3:$C$152,"&lt;="&amp;DATE(2024,11,30),'2024数据'!$AG$3:$AG$152,$E21)</f>
        <v>1</v>
      </c>
      <c r="Q21" s="105">
        <f>COUNTIFS('2024数据'!$C$3:$C$152,"&gt;="&amp;DATE(2024,12,1),'2024数据'!$C$3:$C$152,"&lt;="&amp;DATE(2024,12,31),'2024数据'!$AG$3:$AG$152,$E21)</f>
        <v>0</v>
      </c>
    </row>
    <row r="22" ht="24" customHeight="1" spans="1:17">
      <c r="A22" s="99" t="s">
        <v>289</v>
      </c>
      <c r="B22" s="99" t="s">
        <v>290</v>
      </c>
      <c r="C22" s="99" t="s">
        <v>291</v>
      </c>
      <c r="D22" s="48" t="s">
        <v>298</v>
      </c>
      <c r="E22" s="48" t="s">
        <v>83</v>
      </c>
      <c r="F22" s="105">
        <f>COUNTIFS('2024数据'!$C$3:$C$152,"&gt;="&amp;DATE(2023,1,1),'2024数据'!$C$3:$C$152,"&lt;="&amp;DATE(2024,1,31),'2024数据'!$AG$3:$AG$152,$E22)</f>
        <v>0</v>
      </c>
      <c r="G22" s="105">
        <f>COUNTIFS('2024数据'!$C$3:$C$152,"&gt;="&amp;DATE(2024,2,1),'2024数据'!$C$3:$C$152,"&lt;="&amp;DATE(2024,2,29),'2024数据'!$AG$3:$AG$152,$E22)</f>
        <v>0</v>
      </c>
      <c r="H22" s="105">
        <f>COUNTIFS('2024数据'!$C$3:$C$152,"&gt;="&amp;DATE(2024,3,1),'2024数据'!$C$3:$C$152,"&lt;="&amp;DATE(2024,3,31),'2024数据'!$AG$3:$AG$152,$E22)</f>
        <v>3</v>
      </c>
      <c r="I22" s="105">
        <f>COUNTIFS('2024数据'!$C$3:$C$152,"&gt;="&amp;DATE(2024,4,1),'2024数据'!$C$3:$C$152,"&lt;="&amp;DATE(2024,4,30),'2024数据'!$AG$3:$AG$152,$E22)</f>
        <v>0</v>
      </c>
      <c r="J22" s="105">
        <f>COUNTIFS('2024数据'!$C$3:$C$152,"&gt;="&amp;DATE(2024,5,1),'2024数据'!$C$3:$C$152,"&lt;="&amp;DATE(2024,5,31),'2024数据'!$AG$3:$AG$152,$E22)</f>
        <v>1</v>
      </c>
      <c r="K22" s="105">
        <f>COUNTIFS('2024数据'!$C$3:$C$152,"&gt;="&amp;DATE(2024,6,1),'2024数据'!$C$3:$C$152,"&lt;="&amp;DATE(2024,6,30),'2024数据'!$AG$3:$AG$152,$E22)</f>
        <v>1</v>
      </c>
      <c r="L22" s="105">
        <f>COUNTIFS('2024数据'!$C$3:$C$152,"&gt;="&amp;DATE(2024,7,1),'2024数据'!$C$3:$C$152,"&lt;="&amp;DATE(2024,7,31),'2024数据'!$AG$3:$AG$152,$E22)</f>
        <v>0</v>
      </c>
      <c r="M22" s="105">
        <f>COUNTIFS('2024数据'!$C$3:$C$152,"&gt;="&amp;DATE(2024,8,1),'2024数据'!$C$3:$C$152,"&lt;="&amp;DATE(2024,8,31),'2024数据'!$AG$3:$AG$152,$E22)</f>
        <v>0</v>
      </c>
      <c r="N22" s="105">
        <f>COUNTIFS('2024数据'!$C$3:$C$152,"&gt;="&amp;DATE(2024,9,1),'2024数据'!$C$3:$C$152,"&lt;="&amp;DATE(2024,9,30),'2024数据'!$AG$3:$AG$152,$E22)</f>
        <v>0</v>
      </c>
      <c r="O22" s="105">
        <f>COUNTIFS('2024数据'!$C$3:$C$152,"&gt;="&amp;DATE(2024,10,1),'2024数据'!$C$3:$C$152,"&lt;="&amp;DATE(2024,10,31),'2024数据'!$AG$3:$AG$152,$E22)</f>
        <v>1</v>
      </c>
      <c r="P22" s="105">
        <f>COUNTIFS('2024数据'!$C$3:$C$152,"&gt;="&amp;DATE(2024,11,1),'2024数据'!$C$3:$C$152,"&lt;="&amp;DATE(2024,11,30),'2024数据'!$AG$3:$AG$152,$E22)</f>
        <v>1</v>
      </c>
      <c r="Q22" s="105">
        <f>COUNTIFS('2024数据'!$C$3:$C$152,"&gt;="&amp;DATE(2024,12,1),'2024数据'!$C$3:$C$152,"&lt;="&amp;DATE(2024,12,31),'2024数据'!$AG$3:$AG$152,$E22)</f>
        <v>1</v>
      </c>
    </row>
    <row r="23" ht="24" customHeight="1" spans="1:35">
      <c r="A23" s="99" t="s">
        <v>289</v>
      </c>
      <c r="B23" s="99" t="s">
        <v>299</v>
      </c>
      <c r="C23" s="99" t="s">
        <v>291</v>
      </c>
      <c r="D23" s="100" t="s">
        <v>292</v>
      </c>
      <c r="E23" s="100" t="s">
        <v>300</v>
      </c>
      <c r="F23" s="104">
        <f t="shared" ref="F23:Q23" si="4">IF((SUM(F24:F29)-MAX(F53,F57))&lt;0,"ERR",SUM(F24:F29))</f>
        <v>6</v>
      </c>
      <c r="G23" s="104">
        <f t="shared" si="4"/>
        <v>1</v>
      </c>
      <c r="H23" s="104">
        <f t="shared" si="4"/>
        <v>2</v>
      </c>
      <c r="I23" s="104">
        <f t="shared" si="4"/>
        <v>5</v>
      </c>
      <c r="J23" s="104">
        <f t="shared" si="4"/>
        <v>8</v>
      </c>
      <c r="K23" s="104">
        <f t="shared" si="4"/>
        <v>4</v>
      </c>
      <c r="L23" s="104">
        <f t="shared" si="4"/>
        <v>4</v>
      </c>
      <c r="M23" s="104">
        <f t="shared" si="4"/>
        <v>5</v>
      </c>
      <c r="N23" s="104">
        <f t="shared" si="4"/>
        <v>5</v>
      </c>
      <c r="O23" s="104">
        <f t="shared" si="4"/>
        <v>2</v>
      </c>
      <c r="P23" s="104">
        <f t="shared" si="4"/>
        <v>3</v>
      </c>
      <c r="Q23" s="104">
        <f t="shared" si="4"/>
        <v>3</v>
      </c>
      <c r="R23" s="109"/>
      <c r="S23" s="109"/>
      <c r="T23" s="109"/>
      <c r="U23" s="109"/>
      <c r="V23" s="109"/>
      <c r="W23" s="109"/>
      <c r="X23" s="109"/>
      <c r="Y23" s="109"/>
      <c r="Z23" s="109"/>
      <c r="AA23" s="109"/>
      <c r="AB23" s="109"/>
      <c r="AC23" s="109"/>
      <c r="AD23" s="109"/>
      <c r="AE23" s="109"/>
      <c r="AF23" s="109"/>
      <c r="AG23" s="109"/>
      <c r="AH23" s="109"/>
      <c r="AI23" s="109"/>
    </row>
    <row r="24" ht="24" customHeight="1" spans="1:17">
      <c r="A24" s="99" t="s">
        <v>289</v>
      </c>
      <c r="B24" s="99" t="s">
        <v>299</v>
      </c>
      <c r="C24" s="99" t="s">
        <v>291</v>
      </c>
      <c r="D24" s="48" t="s">
        <v>31</v>
      </c>
      <c r="E24" s="48" t="s">
        <v>406</v>
      </c>
      <c r="F24" s="105">
        <f>COUNTIFS('2024数据'!$D$3:$D$152,"&gt;="&amp;DATE(2024,1,1),'2024数据'!$D$3:$D$152,"&lt;="&amp;DATE(2024,1,31),'2024数据'!$AE$3:$AE$152,$E24)</f>
        <v>1</v>
      </c>
      <c r="G24" s="105">
        <f>COUNTIFS('2024数据'!$D$3:$D$152,"&gt;="&amp;DATE(2024,2,1),'2024数据'!$D$3:$D$152,"&lt;="&amp;DATE(2024,2,29),'2024数据'!$AE$3:$AE$152,$E24)</f>
        <v>0</v>
      </c>
      <c r="H24" s="105">
        <f>COUNTIFS('2024数据'!$D$3:$D$152,"&gt;="&amp;DATE(2024,3,1),'2024数据'!$D$3:$D$152,"&lt;="&amp;DATE(2024,3,31),'2024数据'!$AE$3:$AE$152,$E24)</f>
        <v>0</v>
      </c>
      <c r="I24" s="105">
        <f>COUNTIFS('2024数据'!$D$3:$D$152,"&gt;="&amp;DATE(2024,4,1),'2024数据'!$D$3:$D$152,"&lt;="&amp;DATE(2024,4,30),'2024数据'!$AE$3:$AE$152,$E24)</f>
        <v>0</v>
      </c>
      <c r="J24" s="105">
        <f>COUNTIFS('2024数据'!$D$3:$D$152,"&gt;="&amp;DATE(2024,5,1),'2024数据'!$D$3:$D$152,"&lt;="&amp;DATE(2024,5,31),'2024数据'!$AE$3:$AE$152,$E24)</f>
        <v>1</v>
      </c>
      <c r="K24" s="105">
        <f>COUNTIFS('2024数据'!$D$3:$D$152,"&gt;="&amp;DATE(2024,6,1),'2024数据'!$D$3:$D$152,"&lt;="&amp;DATE(2024,6,30),'2024数据'!$AE$3:$AE$152,$E24)</f>
        <v>1</v>
      </c>
      <c r="L24" s="105">
        <f>COUNTIFS('2024数据'!$D$3:$D$152,"&gt;="&amp;DATE(2024,7,1),'2024数据'!$D$3:$D$152,"&lt;="&amp;DATE(2024,7,31),'2024数据'!$AE$3:$AE$152,$E24)</f>
        <v>3</v>
      </c>
      <c r="M24" s="105">
        <f>COUNTIFS('2024数据'!$D$3:$D$152,"&gt;="&amp;DATE(2024,8,1),'2024数据'!$D$3:$D$152,"&lt;="&amp;DATE(2024,8,31),'2024数据'!$AE$3:$AE$152,$E24)</f>
        <v>2</v>
      </c>
      <c r="N24" s="105">
        <f>COUNTIFS('2024数据'!$D$3:$D$152,"&gt;="&amp;DATE(2024,9,1),'2024数据'!$D$3:$D$152,"&lt;="&amp;DATE(2024,9,30),'2024数据'!$AE$3:$AE$152,$E24)</f>
        <v>0</v>
      </c>
      <c r="O24" s="105">
        <f>COUNTIFS('2024数据'!$D$3:$D$152,"&gt;="&amp;DATE(2024,10,1),'2024数据'!$D$3:$D$152,"&lt;="&amp;DATE(2024,10,31),'2024数据'!$AE$3:$AE$152,$E24)</f>
        <v>0</v>
      </c>
      <c r="P24" s="105">
        <f>COUNTIFS('2024数据'!$D$3:$D$152,"&gt;="&amp;DATE(2024,11,1),'2024数据'!$D$3:$D$152,"&lt;="&amp;DATE(2024,11,30),'2024数据'!$AE$3:$AE$152,$E24)</f>
        <v>1</v>
      </c>
      <c r="Q24" s="105">
        <f>COUNTIFS('2024数据'!$D$3:$D$152,"&gt;="&amp;DATE(2024,12,1),'2024数据'!$D$3:$D$152,"&lt;="&amp;DATE(2024,12,31),'2024数据'!$AE$3:$AE$152,$E24)</f>
        <v>1</v>
      </c>
    </row>
    <row r="25" ht="24" customHeight="1" spans="1:17">
      <c r="A25" s="99" t="s">
        <v>289</v>
      </c>
      <c r="B25" s="99" t="s">
        <v>299</v>
      </c>
      <c r="C25" s="99" t="s">
        <v>291</v>
      </c>
      <c r="D25" s="48" t="s">
        <v>31</v>
      </c>
      <c r="E25" s="48" t="s">
        <v>82</v>
      </c>
      <c r="F25" s="105">
        <f>COUNTIFS('2024数据'!$D$3:$D$152,"&gt;="&amp;DATE(2024,1,1),'2024数据'!$D$3:$D$152,"&lt;="&amp;DATE(2024,1,31),'2024数据'!$AE$3:$AE$152,$E25)</f>
        <v>1</v>
      </c>
      <c r="G25" s="105">
        <f>COUNTIFS('2024数据'!$D$3:$D$152,"&gt;="&amp;DATE(2024,2,1),'2024数据'!$D$3:$D$152,"&lt;="&amp;DATE(2024,2,29),'2024数据'!$AE$3:$AE$152,$E25)</f>
        <v>0</v>
      </c>
      <c r="H25" s="105">
        <f>COUNTIFS('2024数据'!$D$3:$D$152,"&gt;="&amp;DATE(2024,3,1),'2024数据'!$D$3:$D$152,"&lt;="&amp;DATE(2024,3,31),'2024数据'!$AE$3:$AE$152,$E25)</f>
        <v>0</v>
      </c>
      <c r="I25" s="105">
        <f>COUNTIFS('2024数据'!$D$3:$D$152,"&gt;="&amp;DATE(2024,4,1),'2024数据'!$D$3:$D$152,"&lt;="&amp;DATE(2024,4,30),'2024数据'!$AE$3:$AE$152,$E25)</f>
        <v>1</v>
      </c>
      <c r="J25" s="105">
        <f>COUNTIFS('2024数据'!$D$3:$D$152,"&gt;="&amp;DATE(2024,5,1),'2024数据'!$D$3:$D$152,"&lt;="&amp;DATE(2024,5,31),'2024数据'!$AE$3:$AE$152,$E25)</f>
        <v>2</v>
      </c>
      <c r="K25" s="105">
        <f>COUNTIFS('2024数据'!$D$3:$D$152,"&gt;="&amp;DATE(2024,6,1),'2024数据'!$D$3:$D$152,"&lt;="&amp;DATE(2024,6,30),'2024数据'!$AE$3:$AE$152,$E25)</f>
        <v>0</v>
      </c>
      <c r="L25" s="105">
        <f>COUNTIFS('2024数据'!$D$3:$D$152,"&gt;="&amp;DATE(2024,7,1),'2024数据'!$D$3:$D$152,"&lt;="&amp;DATE(2024,7,31),'2024数据'!$AE$3:$AE$152,$E25)</f>
        <v>0</v>
      </c>
      <c r="M25" s="105">
        <f>COUNTIFS('2024数据'!$D$3:$D$152,"&gt;="&amp;DATE(2024,8,1),'2024数据'!$D$3:$D$152,"&lt;="&amp;DATE(2024,8,31),'2024数据'!$AE$3:$AE$152,$E25)</f>
        <v>1</v>
      </c>
      <c r="N25" s="105">
        <f>COUNTIFS('2024数据'!$D$3:$D$152,"&gt;="&amp;DATE(2024,9,1),'2024数据'!$D$3:$D$152,"&lt;="&amp;DATE(2024,9,30),'2024数据'!$AE$3:$AE$152,$E25)</f>
        <v>2</v>
      </c>
      <c r="O25" s="105">
        <f>COUNTIFS('2024数据'!$D$3:$D$152,"&gt;="&amp;DATE(2024,10,1),'2024数据'!$D$3:$D$152,"&lt;="&amp;DATE(2024,10,31),'2024数据'!$AE$3:$AE$152,$E25)</f>
        <v>1</v>
      </c>
      <c r="P25" s="105">
        <f>COUNTIFS('2024数据'!$D$3:$D$152,"&gt;="&amp;DATE(2024,11,1),'2024数据'!$D$3:$D$152,"&lt;="&amp;DATE(2024,11,30),'2024数据'!$AE$3:$AE$152,$E25)</f>
        <v>1</v>
      </c>
      <c r="Q25" s="105">
        <f>COUNTIFS('2024数据'!$D$3:$D$152,"&gt;="&amp;DATE(2024,12,1),'2024数据'!$D$3:$D$152,"&lt;="&amp;DATE(2024,12,31),'2024数据'!$AE$3:$AE$152,$E25)</f>
        <v>1</v>
      </c>
    </row>
    <row r="26" ht="24" customHeight="1" spans="1:17">
      <c r="A26" s="99" t="s">
        <v>289</v>
      </c>
      <c r="B26" s="99" t="s">
        <v>299</v>
      </c>
      <c r="C26" s="99" t="s">
        <v>291</v>
      </c>
      <c r="D26" s="48" t="s">
        <v>31</v>
      </c>
      <c r="E26" s="48" t="s">
        <v>86</v>
      </c>
      <c r="F26" s="105">
        <f>COUNTIFS('2024数据'!$D$3:$D$152,"&gt;="&amp;DATE(2024,1,1),'2024数据'!$D$3:$D$152,"&lt;="&amp;DATE(2024,1,31),'2024数据'!$AE$3:$AE$152,$E26)</f>
        <v>2</v>
      </c>
      <c r="G26" s="105">
        <f>COUNTIFS('2024数据'!$D$3:$D$152,"&gt;="&amp;DATE(2024,2,1),'2024数据'!$D$3:$D$152,"&lt;="&amp;DATE(2024,2,29),'2024数据'!$AE$3:$AE$152,$E26)</f>
        <v>0</v>
      </c>
      <c r="H26" s="105">
        <f>COUNTIFS('2024数据'!$D$3:$D$152,"&gt;="&amp;DATE(2024,3,1),'2024数据'!$D$3:$D$152,"&lt;="&amp;DATE(2024,3,31),'2024数据'!$AE$3:$AE$152,$E26)</f>
        <v>1</v>
      </c>
      <c r="I26" s="105">
        <f>COUNTIFS('2024数据'!$D$3:$D$152,"&gt;="&amp;DATE(2024,4,1),'2024数据'!$D$3:$D$152,"&lt;="&amp;DATE(2024,4,30),'2024数据'!$AE$3:$AE$152,$E26)</f>
        <v>4</v>
      </c>
      <c r="J26" s="105">
        <f>COUNTIFS('2024数据'!$D$3:$D$152,"&gt;="&amp;DATE(2024,5,1),'2024数据'!$D$3:$D$152,"&lt;="&amp;DATE(2024,5,31),'2024数据'!$AE$3:$AE$152,$E26)</f>
        <v>2</v>
      </c>
      <c r="K26" s="105">
        <f>COUNTIFS('2024数据'!$D$3:$D$152,"&gt;="&amp;DATE(2024,6,1),'2024数据'!$D$3:$D$152,"&lt;="&amp;DATE(2024,6,30),'2024数据'!$AE$3:$AE$152,$E26)</f>
        <v>3</v>
      </c>
      <c r="L26" s="105">
        <f>COUNTIFS('2024数据'!$D$3:$D$152,"&gt;="&amp;DATE(2024,7,1),'2024数据'!$D$3:$D$152,"&lt;="&amp;DATE(2024,7,31),'2024数据'!$AE$3:$AE$152,$E26)</f>
        <v>1</v>
      </c>
      <c r="M26" s="105">
        <f>COUNTIFS('2024数据'!$D$3:$D$152,"&gt;="&amp;DATE(2024,8,1),'2024数据'!$D$3:$D$152,"&lt;="&amp;DATE(2024,8,31),'2024数据'!$AE$3:$AE$152,$E26)</f>
        <v>1</v>
      </c>
      <c r="N26" s="105">
        <f>COUNTIFS('2024数据'!$D$3:$D$152,"&gt;="&amp;DATE(2024,9,1),'2024数据'!$D$3:$D$152,"&lt;="&amp;DATE(2024,9,30),'2024数据'!$AE$3:$AE$152,$E26)</f>
        <v>1</v>
      </c>
      <c r="O26" s="105">
        <f>COUNTIFS('2024数据'!$D$3:$D$152,"&gt;="&amp;DATE(2024,10,1),'2024数据'!$D$3:$D$152,"&lt;="&amp;DATE(2024,10,31),'2024数据'!$AE$3:$AE$152,$E26)</f>
        <v>0</v>
      </c>
      <c r="P26" s="105">
        <f>COUNTIFS('2024数据'!$D$3:$D$152,"&gt;="&amp;DATE(2024,11,1),'2024数据'!$D$3:$D$152,"&lt;="&amp;DATE(2024,11,30),'2024数据'!$AE$3:$AE$152,$E26)</f>
        <v>0</v>
      </c>
      <c r="Q26" s="105">
        <f>COUNTIFS('2024数据'!$D$3:$D$152,"&gt;="&amp;DATE(2024,12,1),'2024数据'!$D$3:$D$152,"&lt;="&amp;DATE(2024,12,31),'2024数据'!$AE$3:$AE$152,$E26)</f>
        <v>0</v>
      </c>
    </row>
    <row r="27" ht="24" customHeight="1" spans="1:17">
      <c r="A27" s="99" t="s">
        <v>289</v>
      </c>
      <c r="B27" s="99" t="s">
        <v>299</v>
      </c>
      <c r="C27" s="99" t="s">
        <v>291</v>
      </c>
      <c r="D27" s="48" t="s">
        <v>31</v>
      </c>
      <c r="E27" s="48" t="s">
        <v>97</v>
      </c>
      <c r="F27" s="105">
        <f>COUNTIFS('2024数据'!$D$3:$D$152,"&gt;="&amp;DATE(2024,1,1),'2024数据'!$D$3:$D$152,"&lt;="&amp;DATE(2024,1,31),'2024数据'!$AE$3:$AE$152,$E27)</f>
        <v>1</v>
      </c>
      <c r="G27" s="105">
        <f>COUNTIFS('2024数据'!$D$3:$D$152,"&gt;="&amp;DATE(2024,2,1),'2024数据'!$D$3:$D$152,"&lt;="&amp;DATE(2024,2,29),'2024数据'!$AE$3:$AE$152,$E27)</f>
        <v>1</v>
      </c>
      <c r="H27" s="105">
        <f>COUNTIFS('2024数据'!$D$3:$D$152,"&gt;="&amp;DATE(2024,3,1),'2024数据'!$D$3:$D$152,"&lt;="&amp;DATE(2024,3,31),'2024数据'!$AE$3:$AE$152,$E27)</f>
        <v>1</v>
      </c>
      <c r="I27" s="105">
        <f>COUNTIFS('2024数据'!$D$3:$D$152,"&gt;="&amp;DATE(2024,4,1),'2024数据'!$D$3:$D$152,"&lt;="&amp;DATE(2024,4,30),'2024数据'!$AE$3:$AE$152,$E27)</f>
        <v>0</v>
      </c>
      <c r="J27" s="105">
        <f>COUNTIFS('2024数据'!$D$3:$D$152,"&gt;="&amp;DATE(2024,5,1),'2024数据'!$D$3:$D$152,"&lt;="&amp;DATE(2024,5,31),'2024数据'!$AE$3:$AE$152,$E27)</f>
        <v>3</v>
      </c>
      <c r="K27" s="105">
        <f>COUNTIFS('2024数据'!$D$3:$D$152,"&gt;="&amp;DATE(2024,6,1),'2024数据'!$D$3:$D$152,"&lt;="&amp;DATE(2024,6,30),'2024数据'!$AE$3:$AE$152,$E27)</f>
        <v>0</v>
      </c>
      <c r="L27" s="105">
        <f>COUNTIFS('2024数据'!$D$3:$D$152,"&gt;="&amp;DATE(2024,7,1),'2024数据'!$D$3:$D$152,"&lt;="&amp;DATE(2024,7,31),'2024数据'!$AE$3:$AE$152,$E27)</f>
        <v>0</v>
      </c>
      <c r="M27" s="105">
        <f>COUNTIFS('2024数据'!$D$3:$D$152,"&gt;="&amp;DATE(2024,8,1),'2024数据'!$D$3:$D$152,"&lt;="&amp;DATE(2024,8,31),'2024数据'!$AE$3:$AE$152,$E27)</f>
        <v>1</v>
      </c>
      <c r="N27" s="105">
        <f>COUNTIFS('2024数据'!$D$3:$D$152,"&gt;="&amp;DATE(2024,9,1),'2024数据'!$D$3:$D$152,"&lt;="&amp;DATE(2024,9,30),'2024数据'!$AE$3:$AE$152,$E27)</f>
        <v>0</v>
      </c>
      <c r="O27" s="105">
        <f>COUNTIFS('2024数据'!$D$3:$D$152,"&gt;="&amp;DATE(2024,10,1),'2024数据'!$D$3:$D$152,"&lt;="&amp;DATE(2024,10,31),'2024数据'!$AE$3:$AE$152,$E27)</f>
        <v>1</v>
      </c>
      <c r="P27" s="105">
        <f>COUNTIFS('2024数据'!$D$3:$D$152,"&gt;="&amp;DATE(2024,11,1),'2024数据'!$D$3:$D$152,"&lt;="&amp;DATE(2024,11,30),'2024数据'!$AE$3:$AE$152,$E27)</f>
        <v>1</v>
      </c>
      <c r="Q27" s="105">
        <f>COUNTIFS('2024数据'!$D$3:$D$152,"&gt;="&amp;DATE(2024,12,1),'2024数据'!$D$3:$D$152,"&lt;="&amp;DATE(2024,12,31),'2024数据'!$AE$3:$AE$152,$E27)</f>
        <v>0</v>
      </c>
    </row>
    <row r="28" ht="24" customHeight="1" spans="1:17">
      <c r="A28" s="99" t="s">
        <v>289</v>
      </c>
      <c r="B28" s="99" t="s">
        <v>299</v>
      </c>
      <c r="C28" s="99" t="s">
        <v>291</v>
      </c>
      <c r="D28" s="48" t="s">
        <v>31</v>
      </c>
      <c r="E28" s="48" t="s">
        <v>87</v>
      </c>
      <c r="F28" s="105">
        <f>COUNTIFS('2024数据'!$D$3:$D$152,"&gt;="&amp;DATE(2024,1,1),'2024数据'!$D$3:$D$152,"&lt;="&amp;DATE(2024,1,31),'2024数据'!$AE$3:$AE$152,$E28)</f>
        <v>1</v>
      </c>
      <c r="G28" s="105">
        <f>COUNTIFS('2024数据'!$D$3:$D$152,"&gt;="&amp;DATE(2024,2,1),'2024数据'!$D$3:$D$152,"&lt;="&amp;DATE(2024,2,29),'2024数据'!$AE$3:$AE$152,$E28)</f>
        <v>0</v>
      </c>
      <c r="H28" s="105">
        <f>COUNTIFS('2024数据'!$D$3:$D$152,"&gt;="&amp;DATE(2024,3,1),'2024数据'!$D$3:$D$152,"&lt;="&amp;DATE(2024,3,31),'2024数据'!$AE$3:$AE$152,$E28)</f>
        <v>0</v>
      </c>
      <c r="I28" s="105">
        <f>COUNTIFS('2024数据'!$D$3:$D$152,"&gt;="&amp;DATE(2024,4,1),'2024数据'!$D$3:$D$152,"&lt;="&amp;DATE(2024,4,30),'2024数据'!$AE$3:$AE$152,$E28)</f>
        <v>0</v>
      </c>
      <c r="J28" s="105">
        <f>COUNTIFS('2024数据'!$D$3:$D$152,"&gt;="&amp;DATE(2024,5,1),'2024数据'!$D$3:$D$152,"&lt;="&amp;DATE(2024,5,31),'2024数据'!$AE$3:$AE$152,$E28)</f>
        <v>0</v>
      </c>
      <c r="K28" s="105">
        <f>COUNTIFS('2024数据'!$D$3:$D$152,"&gt;="&amp;DATE(2024,6,1),'2024数据'!$D$3:$D$152,"&lt;="&amp;DATE(2024,6,30),'2024数据'!$AE$3:$AE$152,$E28)</f>
        <v>0</v>
      </c>
      <c r="L28" s="105">
        <f>COUNTIFS('2024数据'!$D$3:$D$152,"&gt;="&amp;DATE(2024,7,1),'2024数据'!$D$3:$D$152,"&lt;="&amp;DATE(2024,7,31),'2024数据'!$AE$3:$AE$152,$E28)</f>
        <v>0</v>
      </c>
      <c r="M28" s="105">
        <f>COUNTIFS('2024数据'!$D$3:$D$152,"&gt;="&amp;DATE(2024,8,1),'2024数据'!$D$3:$D$152,"&lt;="&amp;DATE(2024,8,31),'2024数据'!$AE$3:$AE$152,$E28)</f>
        <v>0</v>
      </c>
      <c r="N28" s="105">
        <f>COUNTIFS('2024数据'!$D$3:$D$152,"&gt;="&amp;DATE(2024,9,1),'2024数据'!$D$3:$D$152,"&lt;="&amp;DATE(2024,9,30),'2024数据'!$AE$3:$AE$152,$E28)</f>
        <v>2</v>
      </c>
      <c r="O28" s="105">
        <f>COUNTIFS('2024数据'!$D$3:$D$152,"&gt;="&amp;DATE(2024,10,1),'2024数据'!$D$3:$D$152,"&lt;="&amp;DATE(2024,10,31),'2024数据'!$AE$3:$AE$152,$E28)</f>
        <v>0</v>
      </c>
      <c r="P28" s="105">
        <f>COUNTIFS('2024数据'!$D$3:$D$152,"&gt;="&amp;DATE(2024,11,1),'2024数据'!$D$3:$D$152,"&lt;="&amp;DATE(2024,11,30),'2024数据'!$AE$3:$AE$152,$E28)</f>
        <v>0</v>
      </c>
      <c r="Q28" s="105">
        <f>COUNTIFS('2024数据'!$D$3:$D$152,"&gt;="&amp;DATE(2024,12,1),'2024数据'!$D$3:$D$152,"&lt;="&amp;DATE(2024,12,31),'2024数据'!$AE$3:$AE$152,$E28)</f>
        <v>0</v>
      </c>
    </row>
    <row r="29" ht="24" customHeight="1" spans="1:17">
      <c r="A29" s="99" t="s">
        <v>289</v>
      </c>
      <c r="B29" s="99" t="s">
        <v>299</v>
      </c>
      <c r="C29" s="99" t="s">
        <v>291</v>
      </c>
      <c r="D29" s="48" t="s">
        <v>31</v>
      </c>
      <c r="E29" s="48" t="s">
        <v>83</v>
      </c>
      <c r="F29" s="105">
        <f>COUNTIFS('2024数据'!$D$3:$D$152,"&gt;="&amp;DATE(2024,1,1),'2024数据'!$D$3:$D$152,"&lt;="&amp;DATE(2024,1,31),'2024数据'!$AE$3:$AE$152,$E29)</f>
        <v>0</v>
      </c>
      <c r="G29" s="105">
        <f>COUNTIFS('2024数据'!$D$3:$D$152,"&gt;="&amp;DATE(2024,2,1),'2024数据'!$D$3:$D$152,"&lt;="&amp;DATE(2024,2,29),'2024数据'!$AE$3:$AE$152,$E29)</f>
        <v>0</v>
      </c>
      <c r="H29" s="105">
        <f>COUNTIFS('2024数据'!$D$3:$D$152,"&gt;="&amp;DATE(2024,3,1),'2024数据'!$D$3:$D$152,"&lt;="&amp;DATE(2024,3,31),'2024数据'!$AE$3:$AE$152,$E29)</f>
        <v>0</v>
      </c>
      <c r="I29" s="105">
        <f>COUNTIFS('2024数据'!$D$3:$D$152,"&gt;="&amp;DATE(2024,4,1),'2024数据'!$D$3:$D$152,"&lt;="&amp;DATE(2024,4,30),'2024数据'!$AE$3:$AE$152,$E29)</f>
        <v>0</v>
      </c>
      <c r="J29" s="105">
        <f>COUNTIFS('2024数据'!$D$3:$D$152,"&gt;="&amp;DATE(2024,5,1),'2024数据'!$D$3:$D$152,"&lt;="&amp;DATE(2024,5,31),'2024数据'!$AE$3:$AE$152,$E29)</f>
        <v>0</v>
      </c>
      <c r="K29" s="105">
        <f>COUNTIFS('2024数据'!$D$3:$D$152,"&gt;="&amp;DATE(2024,6,1),'2024数据'!$D$3:$D$152,"&lt;="&amp;DATE(2024,6,30),'2024数据'!$AE$3:$AE$152,$E29)</f>
        <v>0</v>
      </c>
      <c r="L29" s="105">
        <f>COUNTIFS('2024数据'!$D$3:$D$152,"&gt;="&amp;DATE(2024,7,1),'2024数据'!$D$3:$D$152,"&lt;="&amp;DATE(2024,7,31),'2024数据'!$AE$3:$AE$152,$E29)</f>
        <v>0</v>
      </c>
      <c r="M29" s="105">
        <f>COUNTIFS('2024数据'!$D$3:$D$152,"&gt;="&amp;DATE(2024,8,1),'2024数据'!$D$3:$D$152,"&lt;="&amp;DATE(2024,8,31),'2024数据'!$AE$3:$AE$152,$E29)</f>
        <v>0</v>
      </c>
      <c r="N29" s="105">
        <f>COUNTIFS('2024数据'!$D$3:$D$152,"&gt;="&amp;DATE(2024,9,1),'2024数据'!$D$3:$D$152,"&lt;="&amp;DATE(2024,9,30),'2024数据'!$AE$3:$AE$152,$E29)</f>
        <v>0</v>
      </c>
      <c r="O29" s="105">
        <f>COUNTIFS('2024数据'!$D$3:$D$152,"&gt;="&amp;DATE(2024,10,1),'2024数据'!$D$3:$D$152,"&lt;="&amp;DATE(2024,10,31),'2024数据'!$AE$3:$AE$152,$E29)</f>
        <v>0</v>
      </c>
      <c r="P29" s="105">
        <f>COUNTIFS('2024数据'!$D$3:$D$152,"&gt;="&amp;DATE(2024,11,1),'2024数据'!$D$3:$D$152,"&lt;="&amp;DATE(2024,11,30),'2024数据'!$AE$3:$AE$152,$E29)</f>
        <v>0</v>
      </c>
      <c r="Q29" s="105">
        <f>COUNTIFS('2024数据'!$D$3:$D$152,"&gt;="&amp;DATE(2024,12,1),'2024数据'!$D$3:$D$152,"&lt;="&amp;DATE(2024,12,31),'2024数据'!$AE$3:$AE$152,$E29)</f>
        <v>1</v>
      </c>
    </row>
    <row r="30" ht="24" customHeight="1" spans="1:17">
      <c r="A30" s="99" t="s">
        <v>289</v>
      </c>
      <c r="B30" s="99" t="s">
        <v>299</v>
      </c>
      <c r="C30" s="99" t="s">
        <v>291</v>
      </c>
      <c r="D30" s="47" t="s">
        <v>294</v>
      </c>
      <c r="E30" s="47" t="s">
        <v>93</v>
      </c>
      <c r="F30" s="106">
        <f>COUNTIFS('2024数据'!$D$3:$D$152,"&gt;="&amp;DATE(2024,1,1),'2024数据'!$D$3:$D$152,"&lt;="&amp;DATE(2024,1,31),'2024数据'!$B$3:$B$152,$E30)</f>
        <v>4</v>
      </c>
      <c r="G30" s="106">
        <f>COUNTIFS('2024数据'!$D$3:$D$152,"&gt;="&amp;DATE(2024,2,1),'2024数据'!$D$3:$D$152,"&lt;="&amp;DATE(2024,2,29),'2024数据'!$B$3:$B$152,$E30)</f>
        <v>1</v>
      </c>
      <c r="H30" s="106">
        <f>COUNTIFS('2024数据'!$D$3:$D$152,"&gt;="&amp;DATE(2024,3,1),'2024数据'!$D$3:$D$152,"&lt;="&amp;DATE(2024,3,31),'2024数据'!$B$3:$B$152,$E30)</f>
        <v>1</v>
      </c>
      <c r="I30" s="106">
        <f>COUNTIFS('2024数据'!$D$3:$D$152,"&gt;="&amp;DATE(2024,4,1),'2024数据'!$D$3:$D$152,"&lt;="&amp;DATE(2024,4,30),'2024数据'!$B$3:$B$152,$E30)</f>
        <v>2</v>
      </c>
      <c r="J30" s="106">
        <f>COUNTIFS('2024数据'!$D$3:$D$152,"&gt;="&amp;DATE(2024,5,1),'2024数据'!$D$3:$D$152,"&lt;="&amp;DATE(2024,5,31),'2024数据'!$B$3:$B$152,$E30)</f>
        <v>5</v>
      </c>
      <c r="K30" s="106">
        <f>COUNTIFS('2024数据'!$D$3:$D$152,"&gt;="&amp;DATE(2024,6,1),'2024数据'!$D$3:$D$152,"&lt;="&amp;DATE(2024,6,30),'2024数据'!$B$3:$B$152,$E30)</f>
        <v>1</v>
      </c>
      <c r="L30" s="106">
        <f>COUNTIFS('2024数据'!$D$3:$D$152,"&gt;="&amp;DATE(2024,7,1),'2024数据'!$D$3:$D$152,"&lt;="&amp;DATE(2024,7,31),'2024数据'!$B$3:$B$152,$E30)</f>
        <v>3</v>
      </c>
      <c r="M30" s="106">
        <f>COUNTIFS('2024数据'!$D$3:$D$152,"&gt;="&amp;DATE(2024,8,1),'2024数据'!$D$3:$D$152,"&lt;="&amp;DATE(2024,8,31),'2024数据'!$B$3:$B$152,$E30)</f>
        <v>3</v>
      </c>
      <c r="N30" s="106">
        <f>COUNTIFS('2024数据'!$D$3:$D$152,"&gt;="&amp;DATE(2024,9,1),'2024数据'!$D$3:$D$152,"&lt;="&amp;DATE(2024,9,30),'2024数据'!$B$3:$B$152,$E30)</f>
        <v>1</v>
      </c>
      <c r="O30" s="106">
        <f>COUNTIFS('2024数据'!$D$3:$D$152,"&gt;="&amp;DATE(2024,10,1),'2024数据'!$D$3:$D$152,"&lt;="&amp;DATE(2024,10,31),'2024数据'!$B$3:$B$152,$E30)</f>
        <v>0</v>
      </c>
      <c r="P30" s="106">
        <f>COUNTIFS('2024数据'!$D$3:$D$152,"&gt;="&amp;DATE(2024,11,1),'2024数据'!$D$3:$D$152,"&lt;="&amp;DATE(2024,11,30),'2024数据'!$B$3:$B$152,$E30)</f>
        <v>1</v>
      </c>
      <c r="Q30" s="106">
        <f>COUNTIFS('2024数据'!$D$3:$D$152,"&gt;="&amp;DATE(2024,12,1),'2024数据'!$D$3:$D$152,"&lt;="&amp;DATE(2024,12,31),'2024数据'!$B$3:$B$152,$E30)</f>
        <v>1</v>
      </c>
    </row>
    <row r="31" ht="24" customHeight="1" spans="1:17">
      <c r="A31" s="99" t="s">
        <v>289</v>
      </c>
      <c r="B31" s="99" t="s">
        <v>299</v>
      </c>
      <c r="C31" s="99" t="s">
        <v>291</v>
      </c>
      <c r="D31" s="47" t="s">
        <v>294</v>
      </c>
      <c r="E31" s="47" t="s">
        <v>85</v>
      </c>
      <c r="F31" s="106">
        <f>COUNTIFS('2024数据'!$D$3:$D$152,"&gt;="&amp;DATE(2024,1,1),'2024数据'!$D$3:$D$152,"&lt;="&amp;DATE(2024,1,31),'2024数据'!$B$3:$B$152,$E31)</f>
        <v>1</v>
      </c>
      <c r="G31" s="106">
        <f>COUNTIFS('2024数据'!$D$3:$D$152,"&gt;="&amp;DATE(2024,2,1),'2024数据'!$D$3:$D$152,"&lt;="&amp;DATE(2024,2,29),'2024数据'!$B$3:$B$152,$E31)</f>
        <v>0</v>
      </c>
      <c r="H31" s="106">
        <f>COUNTIFS('2024数据'!$D$3:$D$152,"&gt;="&amp;DATE(2024,3,1),'2024数据'!$D$3:$D$152,"&lt;="&amp;DATE(2024,3,31),'2024数据'!$B$3:$B$152,$E31)</f>
        <v>1</v>
      </c>
      <c r="I31" s="106">
        <f>COUNTIFS('2024数据'!$D$3:$D$152,"&gt;="&amp;DATE(2024,4,1),'2024数据'!$D$3:$D$152,"&lt;="&amp;DATE(2024,4,30),'2024数据'!$B$3:$B$152,$E31)</f>
        <v>1</v>
      </c>
      <c r="J31" s="106">
        <f>COUNTIFS('2024数据'!$D$3:$D$152,"&gt;="&amp;DATE(2024,5,1),'2024数据'!$D$3:$D$152,"&lt;="&amp;DATE(2024,5,31),'2024数据'!$B$3:$B$152,$E31)</f>
        <v>1</v>
      </c>
      <c r="K31" s="106">
        <f>COUNTIFS('2024数据'!$D$3:$D$152,"&gt;="&amp;DATE(2024,6,1),'2024数据'!$D$3:$D$152,"&lt;="&amp;DATE(2024,6,30),'2024数据'!$B$3:$B$152,$E31)</f>
        <v>1</v>
      </c>
      <c r="L31" s="106">
        <f>COUNTIFS('2024数据'!$D$3:$D$152,"&gt;="&amp;DATE(2024,7,1),'2024数据'!$D$3:$D$152,"&lt;="&amp;DATE(2024,7,31),'2024数据'!$B$3:$B$152,$E31)</f>
        <v>1</v>
      </c>
      <c r="M31" s="106">
        <f>COUNTIFS('2024数据'!$D$3:$D$152,"&gt;="&amp;DATE(2024,8,1),'2024数据'!$D$3:$D$152,"&lt;="&amp;DATE(2024,8,31),'2024数据'!$B$3:$B$152,$E31)</f>
        <v>1</v>
      </c>
      <c r="N31" s="106">
        <f>COUNTIFS('2024数据'!$D$3:$D$152,"&gt;="&amp;DATE(2024,9,1),'2024数据'!$D$3:$D$152,"&lt;="&amp;DATE(2024,9,30),'2024数据'!$B$3:$B$152,$E31)</f>
        <v>3</v>
      </c>
      <c r="O31" s="106">
        <f>COUNTIFS('2024数据'!$D$3:$D$152,"&gt;="&amp;DATE(2024,10,1),'2024数据'!$D$3:$D$152,"&lt;="&amp;DATE(2024,10,31),'2024数据'!$B$3:$B$152,$E31)</f>
        <v>1</v>
      </c>
      <c r="P31" s="106">
        <f>COUNTIFS('2024数据'!$D$3:$D$152,"&gt;="&amp;DATE(2024,11,1),'2024数据'!$D$3:$D$152,"&lt;="&amp;DATE(2024,11,30),'2024数据'!$B$3:$B$152,$E31)</f>
        <v>0</v>
      </c>
      <c r="Q31" s="106">
        <f>COUNTIFS('2024数据'!$D$3:$D$152,"&gt;="&amp;DATE(2024,12,1),'2024数据'!$D$3:$D$152,"&lt;="&amp;DATE(2024,12,31),'2024数据'!$B$3:$B$152,$E31)</f>
        <v>2</v>
      </c>
    </row>
    <row r="32" ht="24" customHeight="1" spans="1:17">
      <c r="A32" s="99" t="s">
        <v>289</v>
      </c>
      <c r="B32" s="99" t="s">
        <v>299</v>
      </c>
      <c r="C32" s="99" t="s">
        <v>291</v>
      </c>
      <c r="D32" s="47" t="s">
        <v>294</v>
      </c>
      <c r="E32" s="47" t="s">
        <v>81</v>
      </c>
      <c r="F32" s="106">
        <f>COUNTIFS('2024数据'!$D$3:$D$152,"&gt;="&amp;DATE(2024,1,1),'2024数据'!$D$3:$D$152,"&lt;="&amp;DATE(2024,1,31),'2024数据'!$B$3:$B$152,$E32)</f>
        <v>1</v>
      </c>
      <c r="G32" s="106">
        <f>COUNTIFS('2024数据'!$D$3:$D$152,"&gt;="&amp;DATE(2024,2,1),'2024数据'!$D$3:$D$152,"&lt;="&amp;DATE(2024,2,29),'2024数据'!$B$3:$B$152,$E32)</f>
        <v>0</v>
      </c>
      <c r="H32" s="106">
        <f>COUNTIFS('2024数据'!$D$3:$D$152,"&gt;="&amp;DATE(2024,3,1),'2024数据'!$D$3:$D$152,"&lt;="&amp;DATE(2024,3,31),'2024数据'!$B$3:$B$152,$E32)</f>
        <v>0</v>
      </c>
      <c r="I32" s="106">
        <f>COUNTIFS('2024数据'!$D$3:$D$152,"&gt;="&amp;DATE(2024,4,1),'2024数据'!$D$3:$D$152,"&lt;="&amp;DATE(2024,4,30),'2024数据'!$B$3:$B$152,$E32)</f>
        <v>2</v>
      </c>
      <c r="J32" s="106">
        <f>COUNTIFS('2024数据'!$D$3:$D$152,"&gt;="&amp;DATE(2024,5,1),'2024数据'!$D$3:$D$152,"&lt;="&amp;DATE(2024,5,31),'2024数据'!$B$3:$B$152,$E32)</f>
        <v>2</v>
      </c>
      <c r="K32" s="106">
        <f>COUNTIFS('2024数据'!$D$3:$D$152,"&gt;="&amp;DATE(2024,6,1),'2024数据'!$D$3:$D$152,"&lt;="&amp;DATE(2024,6,30),'2024数据'!$B$3:$B$152,$E32)</f>
        <v>2</v>
      </c>
      <c r="L32" s="106">
        <f>COUNTIFS('2024数据'!$D$3:$D$152,"&gt;="&amp;DATE(2024,7,1),'2024数据'!$D$3:$D$152,"&lt;="&amp;DATE(2024,7,31),'2024数据'!$B$3:$B$152,$E32)</f>
        <v>0</v>
      </c>
      <c r="M32" s="106">
        <f>COUNTIFS('2024数据'!$D$3:$D$152,"&gt;="&amp;DATE(2024,8,1),'2024数据'!$D$3:$D$152,"&lt;="&amp;DATE(2024,8,31),'2024数据'!$B$3:$B$152,$E32)</f>
        <v>1</v>
      </c>
      <c r="N32" s="106">
        <f>COUNTIFS('2024数据'!$D$3:$D$152,"&gt;="&amp;DATE(2024,9,1),'2024数据'!$D$3:$D$152,"&lt;="&amp;DATE(2024,9,30),'2024数据'!$B$3:$B$152,$E32)</f>
        <v>1</v>
      </c>
      <c r="O32" s="106">
        <f>COUNTIFS('2024数据'!$D$3:$D$152,"&gt;="&amp;DATE(2024,10,1),'2024数据'!$D$3:$D$152,"&lt;="&amp;DATE(2024,10,31),'2024数据'!$B$3:$B$152,$E32)</f>
        <v>1</v>
      </c>
      <c r="P32" s="106">
        <f>COUNTIFS('2024数据'!$D$3:$D$152,"&gt;="&amp;DATE(2024,11,1),'2024数据'!$D$3:$D$152,"&lt;="&amp;DATE(2024,11,30),'2024数据'!$B$3:$B$152,$E32)</f>
        <v>1</v>
      </c>
      <c r="Q32" s="106">
        <f>COUNTIFS('2024数据'!$D$3:$D$152,"&gt;="&amp;DATE(2024,12,1),'2024数据'!$D$3:$D$152,"&lt;="&amp;DATE(2024,12,31),'2024数据'!$B$3:$B$152,$E32)</f>
        <v>0</v>
      </c>
    </row>
    <row r="33" ht="24" customHeight="1" spans="1:17">
      <c r="A33" s="99" t="s">
        <v>289</v>
      </c>
      <c r="B33" s="99" t="s">
        <v>299</v>
      </c>
      <c r="C33" s="99" t="s">
        <v>291</v>
      </c>
      <c r="D33" s="47" t="s">
        <v>294</v>
      </c>
      <c r="E33" s="47" t="s">
        <v>96</v>
      </c>
      <c r="F33" s="106">
        <f>COUNTIFS('2024数据'!$D$3:$D$152,"&gt;="&amp;DATE(2024,1,1),'2024数据'!$D$3:$D$152,"&lt;="&amp;DATE(2024,1,31),'2024数据'!$B$3:$B$152,$E33)</f>
        <v>0</v>
      </c>
      <c r="G33" s="106">
        <f>COUNTIFS('2024数据'!$D$3:$D$152,"&gt;="&amp;DATE(2024,2,1),'2024数据'!$D$3:$D$152,"&lt;="&amp;DATE(2024,2,29),'2024数据'!$B$3:$B$152,$E33)</f>
        <v>0</v>
      </c>
      <c r="H33" s="106">
        <f>COUNTIFS('2024数据'!$D$3:$D$152,"&gt;="&amp;DATE(2024,3,1),'2024数据'!$D$3:$D$152,"&lt;="&amp;DATE(2024,3,31),'2024数据'!$B$3:$B$152,$E33)</f>
        <v>0</v>
      </c>
      <c r="I33" s="106">
        <f>COUNTIFS('2024数据'!$D$3:$D$152,"&gt;="&amp;DATE(2024,4,1),'2024数据'!$D$3:$D$152,"&lt;="&amp;DATE(2024,4,30),'2024数据'!$B$3:$B$152,$E33)</f>
        <v>0</v>
      </c>
      <c r="J33" s="106">
        <f>COUNTIFS('2024数据'!$D$3:$D$152,"&gt;="&amp;DATE(2024,5,1),'2024数据'!$D$3:$D$152,"&lt;="&amp;DATE(2024,5,31),'2024数据'!$B$3:$B$152,$E33)</f>
        <v>0</v>
      </c>
      <c r="K33" s="106">
        <f>COUNTIFS('2024数据'!$D$3:$D$152,"&gt;="&amp;DATE(2024,6,1),'2024数据'!$D$3:$D$152,"&lt;="&amp;DATE(2024,6,30),'2024数据'!$B$3:$B$152,$E33)</f>
        <v>0</v>
      </c>
      <c r="L33" s="106">
        <f>COUNTIFS('2024数据'!$D$3:$D$152,"&gt;="&amp;DATE(2024,7,1),'2024数据'!$D$3:$D$152,"&lt;="&amp;DATE(2024,7,31),'2024数据'!$B$3:$B$152,$E33)</f>
        <v>0</v>
      </c>
      <c r="M33" s="106">
        <f>COUNTIFS('2024数据'!$D$3:$D$152,"&gt;="&amp;DATE(2024,8,1),'2024数据'!$D$3:$D$152,"&lt;="&amp;DATE(2024,8,31),'2024数据'!$B$3:$B$152,$E33)</f>
        <v>0</v>
      </c>
      <c r="N33" s="106">
        <f>COUNTIFS('2024数据'!$D$3:$D$152,"&gt;="&amp;DATE(2024,9,1),'2024数据'!$D$3:$D$152,"&lt;="&amp;DATE(2024,9,30),'2024数据'!$B$3:$B$152,$E33)</f>
        <v>0</v>
      </c>
      <c r="O33" s="106">
        <f>COUNTIFS('2024数据'!$D$3:$D$152,"&gt;="&amp;DATE(2024,10,1),'2024数据'!$D$3:$D$152,"&lt;="&amp;DATE(2024,10,31),'2024数据'!$B$3:$B$152,$E33)</f>
        <v>0</v>
      </c>
      <c r="P33" s="106">
        <f>COUNTIFS('2024数据'!$D$3:$D$152,"&gt;="&amp;DATE(2024,11,1),'2024数据'!$D$3:$D$152,"&lt;="&amp;DATE(2024,11,30),'2024数据'!$B$3:$B$152,$E33)</f>
        <v>1</v>
      </c>
      <c r="Q33" s="106">
        <f>COUNTIFS('2024数据'!$D$3:$D$152,"&gt;="&amp;DATE(2024,12,1),'2024数据'!$D$3:$D$152,"&lt;="&amp;DATE(2024,12,31),'2024数据'!$B$3:$B$152,$E33)</f>
        <v>0</v>
      </c>
    </row>
    <row r="34" ht="24" customHeight="1" spans="1:17">
      <c r="A34" s="99" t="s">
        <v>289</v>
      </c>
      <c r="B34" s="99" t="s">
        <v>299</v>
      </c>
      <c r="C34" s="99" t="s">
        <v>291</v>
      </c>
      <c r="D34" s="47" t="s">
        <v>294</v>
      </c>
      <c r="E34" s="47" t="s">
        <v>160</v>
      </c>
      <c r="F34" s="106">
        <f t="shared" ref="F34:Q34" si="5">SUM(F24:F29)-SUM(F30:F33)</f>
        <v>0</v>
      </c>
      <c r="G34" s="106">
        <f t="shared" si="5"/>
        <v>0</v>
      </c>
      <c r="H34" s="106">
        <f t="shared" si="5"/>
        <v>0</v>
      </c>
      <c r="I34" s="106">
        <f t="shared" si="5"/>
        <v>0</v>
      </c>
      <c r="J34" s="106">
        <f t="shared" si="5"/>
        <v>0</v>
      </c>
      <c r="K34" s="106">
        <f t="shared" si="5"/>
        <v>0</v>
      </c>
      <c r="L34" s="106">
        <f t="shared" si="5"/>
        <v>0</v>
      </c>
      <c r="M34" s="106">
        <f t="shared" si="5"/>
        <v>0</v>
      </c>
      <c r="N34" s="106">
        <f t="shared" si="5"/>
        <v>0</v>
      </c>
      <c r="O34" s="106">
        <f t="shared" si="5"/>
        <v>0</v>
      </c>
      <c r="P34" s="106">
        <f t="shared" si="5"/>
        <v>0</v>
      </c>
      <c r="Q34" s="106">
        <f t="shared" si="5"/>
        <v>0</v>
      </c>
    </row>
    <row r="35" ht="24" customHeight="1" spans="1:17">
      <c r="A35" s="99" t="s">
        <v>289</v>
      </c>
      <c r="B35" s="99" t="s">
        <v>299</v>
      </c>
      <c r="C35" s="99" t="s">
        <v>291</v>
      </c>
      <c r="D35" s="100" t="s">
        <v>292</v>
      </c>
      <c r="E35" s="110" t="s">
        <v>301</v>
      </c>
      <c r="F35" s="111">
        <f>COUNTIFS('2024数据'!$D$3:$D$152,"&gt;="&amp;DATE(2024,1,1),'2024数据'!$D$3:$D$152,"&lt;="&amp;DATE(2024,1,31),'2024数据'!$AL$3:$AL$152,$E35)</f>
        <v>5</v>
      </c>
      <c r="G35" s="111">
        <f>COUNTIFS('2024数据'!$D$3:$D$152,"&gt;="&amp;DATE(2024,2,1),'2024数据'!$D$3:$D$152,"&lt;="&amp;DATE(2024,2,29),'2024数据'!$AL$3:$AL$152,$E35)</f>
        <v>0</v>
      </c>
      <c r="H35" s="111">
        <f>COUNTIFS('2024数据'!$D$3:$D$152,"&gt;="&amp;DATE(2024,3,1),'2024数据'!$D$3:$D$152,"&lt;="&amp;DATE(2024,3,31),'2024数据'!$AL$3:$AL$152,$E35)</f>
        <v>0</v>
      </c>
      <c r="I35" s="111">
        <f>COUNTIFS('2024数据'!$D$3:$D$152,"&gt;="&amp;DATE(2024,4,1),'2024数据'!$D$3:$D$152,"&lt;="&amp;DATE(2024,4,30),'2024数据'!$AL$3:$AL$152,$E35)</f>
        <v>3</v>
      </c>
      <c r="J35" s="111">
        <f>COUNTIFS('2024数据'!$D$3:$D$152,"&gt;="&amp;DATE(2024,5,1),'2024数据'!$D$3:$D$152,"&lt;="&amp;DATE(2024,5,31),'2024数据'!$AL$3:$AL$152,$E35)</f>
        <v>3</v>
      </c>
      <c r="K35" s="111">
        <f>COUNTIFS('2024数据'!$D$3:$D$152,"&gt;="&amp;DATE(2024,6,1),'2024数据'!$D$3:$D$152,"&lt;="&amp;DATE(2024,6,30),'2024数据'!$AL$3:$AL$152,$E35)</f>
        <v>3</v>
      </c>
      <c r="L35" s="111">
        <f>COUNTIFS('2024数据'!$D$3:$D$152,"&gt;="&amp;DATE(2024,7,1),'2024数据'!$D$3:$D$152,"&lt;="&amp;DATE(2024,7,31),'2024数据'!$AL$3:$AL$152,$E35)</f>
        <v>2</v>
      </c>
      <c r="M35" s="111">
        <f>COUNTIFS('2024数据'!$D$3:$D$152,"&gt;="&amp;DATE(2024,8,1),'2024数据'!$D$3:$D$152,"&lt;="&amp;DATE(2024,8,31),'2024数据'!$AL$3:$AL$152,$E35)</f>
        <v>2</v>
      </c>
      <c r="N35" s="111">
        <f>COUNTIFS('2024数据'!$D$3:$D$152,"&gt;="&amp;DATE(2024,9,1),'2024数据'!$D$3:$D$152,"&lt;="&amp;DATE(2024,9,30),'2024数据'!$AL$3:$AL$152,$E35)</f>
        <v>2</v>
      </c>
      <c r="O35" s="111">
        <f>COUNTIFS('2024数据'!$D$3:$D$152,"&gt;="&amp;DATE(2024,10,1),'2024数据'!$D$3:$D$152,"&lt;="&amp;DATE(2024,10,31),'2024数据'!$AL$3:$AL$152,$E35)</f>
        <v>2</v>
      </c>
      <c r="P35" s="111">
        <f>COUNTIFS('2024数据'!$D$3:$D$152,"&gt;="&amp;DATE(2024,11,1),'2024数据'!$D$3:$D$152,"&lt;="&amp;DATE(2024,11,30),'2024数据'!$AL$3:$AL$152,$E35)</f>
        <v>3</v>
      </c>
      <c r="Q35" s="111">
        <f>COUNTIFS('2024数据'!$D$3:$D$152,"&gt;="&amp;DATE(2024,12,1),'2024数据'!$D$3:$D$152,"&lt;="&amp;DATE(2024,12,31),'2024数据'!$AL$3:$AL$152,$E35)</f>
        <v>1</v>
      </c>
    </row>
    <row r="36" ht="24" customHeight="1" spans="1:17">
      <c r="A36" s="99" t="s">
        <v>289</v>
      </c>
      <c r="B36" s="99" t="s">
        <v>299</v>
      </c>
      <c r="C36" s="99" t="s">
        <v>291</v>
      </c>
      <c r="D36" s="100" t="s">
        <v>292</v>
      </c>
      <c r="E36" s="110" t="s">
        <v>302</v>
      </c>
      <c r="F36" s="111">
        <f>COUNTIFS('2024数据'!$D$3:$D$152,"&gt;="&amp;DATE(2024,1,1),'2024数据'!$D$3:$D$152,"&lt;="&amp;DATE(2024,1,31),'2024数据'!$AL$3:$AL$152,$E36)</f>
        <v>1</v>
      </c>
      <c r="G36" s="111">
        <f>COUNTIFS('2024数据'!$D$3:$D$152,"&gt;="&amp;DATE(2024,2,1),'2024数据'!$D$3:$D$152,"&lt;="&amp;DATE(2024,2,29),'2024数据'!$AL$3:$AL$152,$E36)</f>
        <v>1</v>
      </c>
      <c r="H36" s="111">
        <f>COUNTIFS('2024数据'!$D$3:$D$152,"&gt;="&amp;DATE(2024,3,1),'2024数据'!$D$3:$D$152,"&lt;="&amp;DATE(2024,3,31),'2024数据'!$AL$3:$AL$152,$E36)</f>
        <v>2</v>
      </c>
      <c r="I36" s="111">
        <f>COUNTIFS('2024数据'!$D$3:$D$152,"&gt;="&amp;DATE(2024,4,1),'2024数据'!$D$3:$D$152,"&lt;="&amp;DATE(2024,4,30),'2024数据'!$AL$3:$AL$152,$E36)</f>
        <v>2</v>
      </c>
      <c r="J36" s="111">
        <f>COUNTIFS('2024数据'!$D$3:$D$152,"&gt;="&amp;DATE(2024,5,1),'2024数据'!$D$3:$D$152,"&lt;="&amp;DATE(2024,5,31),'2024数据'!$AL$3:$AL$152,$E36)</f>
        <v>5</v>
      </c>
      <c r="K36" s="111">
        <f>COUNTIFS('2024数据'!$D$3:$D$152,"&gt;="&amp;DATE(2024,6,1),'2024数据'!$D$3:$D$152,"&lt;="&amp;DATE(2024,6,30),'2024数据'!$AL$3:$AL$152,$E36)</f>
        <v>1</v>
      </c>
      <c r="L36" s="111">
        <f>COUNTIFS('2024数据'!$D$3:$D$152,"&gt;="&amp;DATE(2024,7,1),'2024数据'!$D$3:$D$152,"&lt;="&amp;DATE(2024,7,31),'2024数据'!$AL$3:$AL$152,$E36)</f>
        <v>2</v>
      </c>
      <c r="M36" s="111">
        <f>COUNTIFS('2024数据'!$D$3:$D$152,"&gt;="&amp;DATE(2024,8,1),'2024数据'!$D$3:$D$152,"&lt;="&amp;DATE(2024,8,31),'2024数据'!$AL$3:$AL$152,$E36)</f>
        <v>3</v>
      </c>
      <c r="N36" s="111">
        <f>COUNTIFS('2024数据'!$D$3:$D$152,"&gt;="&amp;DATE(2024,9,1),'2024数据'!$D$3:$D$152,"&lt;="&amp;DATE(2024,9,30),'2024数据'!$AL$3:$AL$152,$E36)</f>
        <v>3</v>
      </c>
      <c r="O36" s="111">
        <f>COUNTIFS('2024数据'!$D$3:$D$152,"&gt;="&amp;DATE(2024,10,1),'2024数据'!$D$3:$D$152,"&lt;="&amp;DATE(2024,10,31),'2024数据'!$AL$3:$AL$152,$E36)</f>
        <v>0</v>
      </c>
      <c r="P36" s="111">
        <f>COUNTIFS('2024数据'!$D$3:$D$152,"&gt;="&amp;DATE(2024,11,1),'2024数据'!$D$3:$D$152,"&lt;="&amp;DATE(2024,11,30),'2024数据'!$AL$3:$AL$152,$E36)</f>
        <v>0</v>
      </c>
      <c r="Q36" s="111">
        <f>COUNTIFS('2024数据'!$D$3:$D$152,"&gt;="&amp;DATE(2024,12,1),'2024数据'!$D$3:$D$152,"&lt;="&amp;DATE(2024,12,31),'2024数据'!$AL$3:$AL$152,$E36)</f>
        <v>2</v>
      </c>
    </row>
    <row r="37" ht="24" customHeight="1" spans="1:17">
      <c r="A37" s="99" t="s">
        <v>289</v>
      </c>
      <c r="B37" s="99" t="s">
        <v>299</v>
      </c>
      <c r="C37" s="99" t="s">
        <v>291</v>
      </c>
      <c r="D37" s="100" t="s">
        <v>292</v>
      </c>
      <c r="E37" s="110" t="s">
        <v>150</v>
      </c>
      <c r="F37" s="111">
        <f>COUNTIFS('2024数据'!$D$3:$D$152,"&gt;="&amp;DATE(2024,1,1),'2024数据'!$D$3:$D$152,"&lt;="&amp;DATE(2024,1,31),'2024数据'!$AL$3:$AL$152,$E37)</f>
        <v>0</v>
      </c>
      <c r="G37" s="111">
        <f>COUNTIFS('2024数据'!$D$3:$D$152,"&gt;="&amp;DATE(2024,2,1),'2024数据'!$D$3:$D$152,"&lt;="&amp;DATE(2024,2,29),'2024数据'!$AL$3:$AL$152,$E37)</f>
        <v>0</v>
      </c>
      <c r="H37" s="111">
        <f>COUNTIFS('2024数据'!$D$3:$D$152,"&gt;="&amp;DATE(2024,3,1),'2024数据'!$D$3:$D$152,"&lt;="&amp;DATE(2024,3,31),'2024数据'!$AL$3:$AL$152,$E37)</f>
        <v>0</v>
      </c>
      <c r="I37" s="111">
        <f>COUNTIFS('2024数据'!$D$3:$D$152,"&gt;="&amp;DATE(2024,4,1),'2024数据'!$D$3:$D$152,"&lt;="&amp;DATE(2024,4,30),'2024数据'!$AL$3:$AL$152,$E37)</f>
        <v>0</v>
      </c>
      <c r="J37" s="111">
        <f>COUNTIFS('2024数据'!$D$3:$D$152,"&gt;="&amp;DATE(2024,5,1),'2024数据'!$D$3:$D$152,"&lt;="&amp;DATE(2024,5,31),'2024数据'!$AL$3:$AL$152,$E37)</f>
        <v>0</v>
      </c>
      <c r="K37" s="111">
        <f>COUNTIFS('2024数据'!$D$3:$D$152,"&gt;="&amp;DATE(2024,6,1),'2024数据'!$D$3:$D$152,"&lt;="&amp;DATE(2024,6,30),'2024数据'!$AL$3:$AL$152,$E37)</f>
        <v>0</v>
      </c>
      <c r="L37" s="111">
        <f>COUNTIFS('2024数据'!$D$3:$D$152,"&gt;="&amp;DATE(2024,7,1),'2024数据'!$D$3:$D$152,"&lt;="&amp;DATE(2024,7,31),'2024数据'!$AL$3:$AL$152,$E37)</f>
        <v>0</v>
      </c>
      <c r="M37" s="111">
        <f>COUNTIFS('2024数据'!$D$3:$D$152,"&gt;="&amp;DATE(2024,8,1),'2024数据'!$D$3:$D$152,"&lt;="&amp;DATE(2024,8,31),'2024数据'!$AL$3:$AL$152,$E37)</f>
        <v>0</v>
      </c>
      <c r="N37" s="111">
        <f>COUNTIFS('2024数据'!$D$3:$D$152,"&gt;="&amp;DATE(2024,9,1),'2024数据'!$D$3:$D$152,"&lt;="&amp;DATE(2024,9,30),'2024数据'!$AL$3:$AL$152,$E37)</f>
        <v>0</v>
      </c>
      <c r="O37" s="111">
        <f>COUNTIFS('2024数据'!$D$3:$D$152,"&gt;="&amp;DATE(2024,10,1),'2024数据'!$D$3:$D$152,"&lt;="&amp;DATE(2024,10,31),'2024数据'!$AL$3:$AL$152,$E37)</f>
        <v>0</v>
      </c>
      <c r="P37" s="111">
        <f>COUNTIFS('2024数据'!$D$3:$D$152,"&gt;="&amp;DATE(2024,11,1),'2024数据'!$D$3:$D$152,"&lt;="&amp;DATE(2024,11,30),'2024数据'!$AL$3:$AL$152,$E37)</f>
        <v>0</v>
      </c>
      <c r="Q37" s="111">
        <f>COUNTIFS('2024数据'!$D$3:$D$152,"&gt;="&amp;DATE(2024,12,1),'2024数据'!$D$3:$D$152,"&lt;="&amp;DATE(2024,12,31),'2024数据'!$AL$3:$AL$152,$E37)</f>
        <v>0</v>
      </c>
    </row>
    <row r="38" ht="24" customHeight="1" spans="1:17">
      <c r="A38" s="99" t="s">
        <v>289</v>
      </c>
      <c r="B38" s="99" t="s">
        <v>299</v>
      </c>
      <c r="C38" s="99" t="s">
        <v>291</v>
      </c>
      <c r="D38" s="53" t="s">
        <v>303</v>
      </c>
      <c r="E38" s="53" t="s">
        <v>93</v>
      </c>
      <c r="F38" s="111">
        <f>COUNTIFS('2024数据'!$D$3:$D$152,"&gt;="&amp;DATE(2024,1,1),'2024数据'!$D$3:$D$152,"&lt;="&amp;DATE(2024,1,31),'2024数据'!$AL$3:$AL$152,$E$35,'2024数据'!$B$3:$B$152,'2024整理'!$E30)</f>
        <v>3</v>
      </c>
      <c r="G38" s="111">
        <f>COUNTIFS('2024数据'!$D$3:$D$152,"&gt;="&amp;DATE(2024,2,1),'2024数据'!$D$3:$D$152,"&lt;="&amp;DATE(2024,2,29),'2024数据'!$AL$3:$AL$152,$E$35,'2024数据'!$B$3:$B$152,'2024整理'!$E30)</f>
        <v>0</v>
      </c>
      <c r="H38" s="111">
        <f>COUNTIFS('2024数据'!$D$3:$D$152,"&gt;="&amp;DATE(2024,3,1),'2024数据'!$D$3:$D$152,"&lt;="&amp;DATE(2024,3,31),'2024数据'!$AL$3:$AL$152,$E$35,'2024数据'!$B$3:$B$152,'2024整理'!$E30)</f>
        <v>0</v>
      </c>
      <c r="I38" s="111">
        <f>COUNTIFS('2024数据'!$D$3:$D$152,"&gt;="&amp;DATE(2024,4,1),'2024数据'!$D$3:$D$152,"&lt;="&amp;DATE(2024,4,30),'2024数据'!$AL$3:$AL$152,$E$35,'2024数据'!$B$3:$B$152,'2024整理'!$E30)</f>
        <v>1</v>
      </c>
      <c r="J38" s="111">
        <f>COUNTIFS('2024数据'!$D$3:$D$152,"&gt;="&amp;DATE(2024,5,1),'2024数据'!$D$3:$D$152,"&lt;="&amp;DATE(2024,5,31),'2024数据'!$AL$3:$AL$152,$E$35,'2024数据'!$B$3:$B$152,'2024整理'!$E30)</f>
        <v>2</v>
      </c>
      <c r="K38" s="111">
        <f>COUNTIFS('2024数据'!$D$3:$D$152,"&gt;="&amp;DATE(2024,6,1),'2024数据'!$D$3:$D$152,"&lt;="&amp;DATE(2024,6,30),'2024数据'!$AL$3:$AL$152,$E$35,'2024数据'!$B$3:$B$152,'2024整理'!$E30)</f>
        <v>0</v>
      </c>
      <c r="L38" s="111">
        <f>COUNTIFS('2024数据'!$D$3:$D$152,"&gt;="&amp;DATE(2024,7,1),'2024数据'!$D$3:$D$152,"&lt;="&amp;DATE(2024,7,31),'2024数据'!$AL$3:$AL$152,$E$35,'2024数据'!$B$3:$B$152,'2024整理'!$E30)</f>
        <v>2</v>
      </c>
      <c r="M38" s="111">
        <f>COUNTIFS('2024数据'!$D$3:$D$152,"&gt;="&amp;DATE(2024,8,1),'2024数据'!$D$3:$D$152,"&lt;="&amp;DATE(2024,8,31),'2024数据'!$AL$3:$AL$152,$E$35,'2024数据'!$B$3:$B$152,'2024整理'!$E30)</f>
        <v>1</v>
      </c>
      <c r="N38" s="111">
        <f>COUNTIFS('2024数据'!$D$3:$D$152,"&gt;="&amp;DATE(2024,9,1),'2024数据'!$D$3:$D$152,"&lt;="&amp;DATE(2024,9,30),'2024数据'!$AL$3:$AL$152,$E$35,'2024数据'!$B$3:$B$152,'2024整理'!$E30)</f>
        <v>1</v>
      </c>
      <c r="O38" s="111">
        <f>COUNTIFS('2024数据'!$D$3:$D$152,"&gt;="&amp;DATE(2024,10,1),'2024数据'!$D$3:$D$152,"&lt;="&amp;DATE(2024,10,31),'2024数据'!$AL$3:$AL$152,$E$35,'2024数据'!$B$3:$B$152,'2024整理'!$E30)</f>
        <v>0</v>
      </c>
      <c r="P38" s="111">
        <f>COUNTIFS('2024数据'!$D$3:$D$152,"&gt;="&amp;DATE(2024,11,1),'2024数据'!$D$3:$D$152,"&lt;="&amp;DATE(2024,11,30),'2024数据'!$AL$3:$AL$152,$E$35,'2024数据'!$B$3:$B$152,'2024整理'!$E30)</f>
        <v>1</v>
      </c>
      <c r="Q38" s="111">
        <f>COUNTIFS('2024数据'!$D$3:$D$152,"&gt;="&amp;DATE(2024,12,1),'2024数据'!$D$3:$D$152,"&lt;="&amp;DATE(2024,12,31),'2024数据'!$AL$3:$AL$152,$E$35,'2024数据'!$B$3:$B$152,'2024整理'!$E30)</f>
        <v>0</v>
      </c>
    </row>
    <row r="39" ht="24" customHeight="1" spans="1:17">
      <c r="A39" s="99" t="s">
        <v>289</v>
      </c>
      <c r="B39" s="99" t="s">
        <v>299</v>
      </c>
      <c r="C39" s="99" t="s">
        <v>291</v>
      </c>
      <c r="D39" s="53" t="s">
        <v>303</v>
      </c>
      <c r="E39" s="53" t="s">
        <v>85</v>
      </c>
      <c r="F39" s="111">
        <f>COUNTIFS('2024数据'!$D$3:$D$152,"&gt;="&amp;DATE(2024,1,1),'2024数据'!$D$3:$D$152,"&lt;="&amp;DATE(2024,1,31),'2024数据'!$AL$3:$AL$152,$E$35,'2024数据'!$B$3:$B$152,'2024整理'!$E31)</f>
        <v>1</v>
      </c>
      <c r="G39" s="111">
        <f>COUNTIFS('2024数据'!$D$3:$D$152,"&gt;="&amp;DATE(2024,2,1),'2024数据'!$D$3:$D$152,"&lt;="&amp;DATE(2024,2,29),'2024数据'!$AL$3:$AL$152,$E$35,'2024数据'!$B$3:$B$152,'2024整理'!$E31)</f>
        <v>0</v>
      </c>
      <c r="H39" s="111">
        <f>COUNTIFS('2024数据'!$D$3:$D$152,"&gt;="&amp;DATE(2024,3,1),'2024数据'!$D$3:$D$152,"&lt;="&amp;DATE(2024,3,31),'2024数据'!$AL$3:$AL$152,$E$35,'2024数据'!$B$3:$B$152,'2024整理'!$E31)</f>
        <v>0</v>
      </c>
      <c r="I39" s="111">
        <f>COUNTIFS('2024数据'!$D$3:$D$152,"&gt;="&amp;DATE(2024,4,1),'2024数据'!$D$3:$D$152,"&lt;="&amp;DATE(2024,4,30),'2024数据'!$AL$3:$AL$152,$E$35,'2024数据'!$B$3:$B$152,'2024整理'!$E31)</f>
        <v>0</v>
      </c>
      <c r="J39" s="111">
        <f>COUNTIFS('2024数据'!$D$3:$D$152,"&gt;="&amp;DATE(2024,5,1),'2024数据'!$D$3:$D$152,"&lt;="&amp;DATE(2024,5,31),'2024数据'!$AL$3:$AL$152,$E$35,'2024数据'!$B$3:$B$152,'2024整理'!$E31)</f>
        <v>1</v>
      </c>
      <c r="K39" s="111">
        <f>COUNTIFS('2024数据'!$D$3:$D$152,"&gt;="&amp;DATE(2024,6,1),'2024数据'!$D$3:$D$152,"&lt;="&amp;DATE(2024,6,30),'2024数据'!$AL$3:$AL$152,$E$35,'2024数据'!$B$3:$B$152,'2024整理'!$E31)</f>
        <v>1</v>
      </c>
      <c r="L39" s="111">
        <f>COUNTIFS('2024数据'!$D$3:$D$152,"&gt;="&amp;DATE(2024,7,1),'2024数据'!$D$3:$D$152,"&lt;="&amp;DATE(2024,7,31),'2024数据'!$AL$3:$AL$152,$E$35,'2024数据'!$B$3:$B$152,'2024整理'!$E31)</f>
        <v>0</v>
      </c>
      <c r="M39" s="111">
        <f>COUNTIFS('2024数据'!$D$3:$D$152,"&gt;="&amp;DATE(2024,8,1),'2024数据'!$D$3:$D$152,"&lt;="&amp;DATE(2024,8,31),'2024数据'!$AL$3:$AL$152,$E$35,'2024数据'!$B$3:$B$152,'2024整理'!$E31)</f>
        <v>1</v>
      </c>
      <c r="N39" s="111">
        <f>COUNTIFS('2024数据'!$D$3:$D$152,"&gt;="&amp;DATE(2024,9,1),'2024数据'!$D$3:$D$152,"&lt;="&amp;DATE(2024,9,30),'2024数据'!$AL$3:$AL$152,$E$35,'2024数据'!$B$3:$B$152,'2024整理'!$E31)</f>
        <v>1</v>
      </c>
      <c r="O39" s="111">
        <f>COUNTIFS('2024数据'!$D$3:$D$152,"&gt;="&amp;DATE(2024,10,1),'2024数据'!$D$3:$D$152,"&lt;="&amp;DATE(2024,10,31),'2024数据'!$AL$3:$AL$152,$E$35,'2024数据'!$B$3:$B$152,'2024整理'!$E31)</f>
        <v>1</v>
      </c>
      <c r="P39" s="111">
        <f>COUNTIFS('2024数据'!$D$3:$D$152,"&gt;="&amp;DATE(2024,11,1),'2024数据'!$D$3:$D$152,"&lt;="&amp;DATE(2024,11,30),'2024数据'!$AL$3:$AL$152,$E$35,'2024数据'!$B$3:$B$152,'2024整理'!$E31)</f>
        <v>0</v>
      </c>
      <c r="Q39" s="111">
        <f>COUNTIFS('2024数据'!$D$3:$D$152,"&gt;="&amp;DATE(2024,12,1),'2024数据'!$D$3:$D$152,"&lt;="&amp;DATE(2024,12,31),'2024数据'!$AL$3:$AL$152,$E$35,'2024数据'!$B$3:$B$152,'2024整理'!$E31)</f>
        <v>1</v>
      </c>
    </row>
    <row r="40" ht="24" customHeight="1" spans="1:17">
      <c r="A40" s="99" t="s">
        <v>289</v>
      </c>
      <c r="B40" s="99" t="s">
        <v>299</v>
      </c>
      <c r="C40" s="99" t="s">
        <v>291</v>
      </c>
      <c r="D40" s="53" t="s">
        <v>303</v>
      </c>
      <c r="E40" s="53" t="s">
        <v>81</v>
      </c>
      <c r="F40" s="111">
        <f>COUNTIFS('2024数据'!$D$3:$D$152,"&gt;="&amp;DATE(2024,1,1),'2024数据'!$D$3:$D$152,"&lt;="&amp;DATE(2024,1,31),'2024数据'!$AL$3:$AL$152,$E$35,'2024数据'!$B$3:$B$152,'2024整理'!$E32)</f>
        <v>1</v>
      </c>
      <c r="G40" s="111">
        <f>COUNTIFS('2024数据'!$D$3:$D$152,"&gt;="&amp;DATE(2024,2,1),'2024数据'!$D$3:$D$152,"&lt;="&amp;DATE(2024,2,29),'2024数据'!$AL$3:$AL$152,$E$35,'2024数据'!$B$3:$B$152,'2024整理'!$E32)</f>
        <v>0</v>
      </c>
      <c r="H40" s="111">
        <f>COUNTIFS('2024数据'!$D$3:$D$152,"&gt;="&amp;DATE(2024,3,1),'2024数据'!$D$3:$D$152,"&lt;="&amp;DATE(2024,3,31),'2024数据'!$AL$3:$AL$152,$E$35,'2024数据'!$B$3:$B$152,'2024整理'!$E32)</f>
        <v>0</v>
      </c>
      <c r="I40" s="111">
        <f>COUNTIFS('2024数据'!$D$3:$D$152,"&gt;="&amp;DATE(2024,4,1),'2024数据'!$D$3:$D$152,"&lt;="&amp;DATE(2024,4,30),'2024数据'!$AL$3:$AL$152,$E$35,'2024数据'!$B$3:$B$152,'2024整理'!$E32)</f>
        <v>2</v>
      </c>
      <c r="J40" s="111">
        <f>COUNTIFS('2024数据'!$D$3:$D$152,"&gt;="&amp;DATE(2024,5,1),'2024数据'!$D$3:$D$152,"&lt;="&amp;DATE(2024,5,31),'2024数据'!$AL$3:$AL$152,$E$35,'2024数据'!$B$3:$B$152,'2024整理'!$E32)</f>
        <v>0</v>
      </c>
      <c r="K40" s="111">
        <f>COUNTIFS('2024数据'!$D$3:$D$152,"&gt;="&amp;DATE(2024,6,1),'2024数据'!$D$3:$D$152,"&lt;="&amp;DATE(2024,6,30),'2024数据'!$AL$3:$AL$152,$E$35,'2024数据'!$B$3:$B$152,'2024整理'!$E32)</f>
        <v>2</v>
      </c>
      <c r="L40" s="111">
        <f>COUNTIFS('2024数据'!$D$3:$D$152,"&gt;="&amp;DATE(2024,7,1),'2024数据'!$D$3:$D$152,"&lt;="&amp;DATE(2024,7,31),'2024数据'!$AL$3:$AL$152,$E$35,'2024数据'!$B$3:$B$152,'2024整理'!$E32)</f>
        <v>0</v>
      </c>
      <c r="M40" s="111">
        <f>COUNTIFS('2024数据'!$D$3:$D$152,"&gt;="&amp;DATE(2024,8,1),'2024数据'!$D$3:$D$152,"&lt;="&amp;DATE(2024,8,31),'2024数据'!$AL$3:$AL$152,$E$35,'2024数据'!$B$3:$B$152,'2024整理'!$E32)</f>
        <v>0</v>
      </c>
      <c r="N40" s="111">
        <f>COUNTIFS('2024数据'!$D$3:$D$152,"&gt;="&amp;DATE(2024,9,1),'2024数据'!$D$3:$D$152,"&lt;="&amp;DATE(2024,9,30),'2024数据'!$AL$3:$AL$152,$E$35,'2024数据'!$B$3:$B$152,'2024整理'!$E32)</f>
        <v>0</v>
      </c>
      <c r="O40" s="111">
        <f>COUNTIFS('2024数据'!$D$3:$D$152,"&gt;="&amp;DATE(2024,10,1),'2024数据'!$D$3:$D$152,"&lt;="&amp;DATE(2024,10,31),'2024数据'!$AL$3:$AL$152,$E$35,'2024数据'!$B$3:$B$152,'2024整理'!$E32)</f>
        <v>1</v>
      </c>
      <c r="P40" s="111">
        <f>COUNTIFS('2024数据'!$D$3:$D$152,"&gt;="&amp;DATE(2024,11,1),'2024数据'!$D$3:$D$152,"&lt;="&amp;DATE(2024,11,30),'2024数据'!$AL$3:$AL$152,$E$35,'2024数据'!$B$3:$B$152,'2024整理'!$E32)</f>
        <v>1</v>
      </c>
      <c r="Q40" s="111">
        <f>COUNTIFS('2024数据'!$D$3:$D$152,"&gt;="&amp;DATE(2024,12,1),'2024数据'!$D$3:$D$152,"&lt;="&amp;DATE(2024,12,31),'2024数据'!$AL$3:$AL$152,$E$35,'2024数据'!$B$3:$B$152,'2024整理'!$E32)</f>
        <v>0</v>
      </c>
    </row>
    <row r="41" ht="24" customHeight="1" spans="1:17">
      <c r="A41" s="99" t="s">
        <v>289</v>
      </c>
      <c r="B41" s="99" t="s">
        <v>299</v>
      </c>
      <c r="C41" s="99" t="s">
        <v>291</v>
      </c>
      <c r="D41" s="53" t="s">
        <v>303</v>
      </c>
      <c r="E41" s="53" t="s">
        <v>96</v>
      </c>
      <c r="F41" s="111">
        <f>COUNTIFS('2024数据'!$D$3:$D$152,"&gt;="&amp;DATE(2024,1,1),'2024数据'!$D$3:$D$152,"&lt;="&amp;DATE(2024,1,31),'2024数据'!$AL$3:$AL$152,$E$35,'2024数据'!$B$3:$B$152,'2024整理'!$E33)</f>
        <v>0</v>
      </c>
      <c r="G41" s="111">
        <f>COUNTIFS('2024数据'!$D$3:$D$152,"&gt;="&amp;DATE(2024,2,1),'2024数据'!$D$3:$D$152,"&lt;="&amp;DATE(2024,2,29),'2024数据'!$AL$3:$AL$152,$E$35,'2024数据'!$B$3:$B$152,'2024整理'!$E33)</f>
        <v>0</v>
      </c>
      <c r="H41" s="111">
        <f>COUNTIFS('2024数据'!$D$3:$D$152,"&gt;="&amp;DATE(2024,3,1),'2024数据'!$D$3:$D$152,"&lt;="&amp;DATE(2024,3,31),'2024数据'!$AL$3:$AL$152,$E$35,'2024数据'!$B$3:$B$152,'2024整理'!$E33)</f>
        <v>0</v>
      </c>
      <c r="I41" s="111">
        <f>COUNTIFS('2024数据'!$D$3:$D$152,"&gt;="&amp;DATE(2024,4,1),'2024数据'!$D$3:$D$152,"&lt;="&amp;DATE(2024,4,30),'2024数据'!$AL$3:$AL$152,$E$35,'2024数据'!$B$3:$B$152,'2024整理'!$E33)</f>
        <v>0</v>
      </c>
      <c r="J41" s="111">
        <f>COUNTIFS('2024数据'!$D$3:$D$152,"&gt;="&amp;DATE(2024,5,1),'2024数据'!$D$3:$D$152,"&lt;="&amp;DATE(2024,5,31),'2024数据'!$AL$3:$AL$152,$E$35,'2024数据'!$B$3:$B$152,'2024整理'!$E33)</f>
        <v>0</v>
      </c>
      <c r="K41" s="111">
        <f>COUNTIFS('2024数据'!$D$3:$D$152,"&gt;="&amp;DATE(2024,6,1),'2024数据'!$D$3:$D$152,"&lt;="&amp;DATE(2024,6,30),'2024数据'!$AL$3:$AL$152,$E$35,'2024数据'!$B$3:$B$152,'2024整理'!$E33)</f>
        <v>0</v>
      </c>
      <c r="L41" s="111">
        <f>COUNTIFS('2024数据'!$D$3:$D$152,"&gt;="&amp;DATE(2024,7,1),'2024数据'!$D$3:$D$152,"&lt;="&amp;DATE(2024,7,31),'2024数据'!$AL$3:$AL$152,$E$35,'2024数据'!$B$3:$B$152,'2024整理'!$E33)</f>
        <v>0</v>
      </c>
      <c r="M41" s="111">
        <f>COUNTIFS('2024数据'!$D$3:$D$152,"&gt;="&amp;DATE(2024,8,1),'2024数据'!$D$3:$D$152,"&lt;="&amp;DATE(2024,8,31),'2024数据'!$AL$3:$AL$152,$E$35,'2024数据'!$B$3:$B$152,'2024整理'!$E33)</f>
        <v>0</v>
      </c>
      <c r="N41" s="111">
        <f>COUNTIFS('2024数据'!$D$3:$D$152,"&gt;="&amp;DATE(2024,9,1),'2024数据'!$D$3:$D$152,"&lt;="&amp;DATE(2024,9,30),'2024数据'!$AL$3:$AL$152,$E$35,'2024数据'!$B$3:$B$152,'2024整理'!$E33)</f>
        <v>0</v>
      </c>
      <c r="O41" s="111">
        <f>COUNTIFS('2024数据'!$D$3:$D$152,"&gt;="&amp;DATE(2024,10,1),'2024数据'!$D$3:$D$152,"&lt;="&amp;DATE(2024,10,31),'2024数据'!$AL$3:$AL$152,$E$35,'2024数据'!$B$3:$B$152,'2024整理'!$E33)</f>
        <v>0</v>
      </c>
      <c r="P41" s="111">
        <f>COUNTIFS('2024数据'!$D$3:$D$152,"&gt;="&amp;DATE(2024,11,1),'2024数据'!$D$3:$D$152,"&lt;="&amp;DATE(2024,11,30),'2024数据'!$AL$3:$AL$152,$E$35,'2024数据'!$B$3:$B$152,'2024整理'!$E33)</f>
        <v>1</v>
      </c>
      <c r="Q41" s="111">
        <f>COUNTIFS('2024数据'!$D$3:$D$152,"&gt;="&amp;DATE(2024,12,1),'2024数据'!$D$3:$D$152,"&lt;="&amp;DATE(2024,12,31),'2024数据'!$AL$3:$AL$152,$E$35,'2024数据'!$B$3:$B$152,'2024整理'!$E33)</f>
        <v>0</v>
      </c>
    </row>
    <row r="42" ht="24" customHeight="1" spans="1:17">
      <c r="A42" s="99" t="s">
        <v>289</v>
      </c>
      <c r="B42" s="99" t="s">
        <v>299</v>
      </c>
      <c r="C42" s="99" t="s">
        <v>291</v>
      </c>
      <c r="D42" s="53" t="s">
        <v>303</v>
      </c>
      <c r="E42" s="53" t="s">
        <v>160</v>
      </c>
      <c r="F42" s="111">
        <f>COUNTIFS('2024数据'!$D$3:$D$152,"&gt;="&amp;DATE(2024,1,1),'2024数据'!$D$3:$D$152,"&lt;="&amp;DATE(2024,1,31),'2024数据'!$AL$3:$AL$152,$E$35,'2024数据'!$B$3:$B$152,'2024整理'!$E34)</f>
        <v>0</v>
      </c>
      <c r="G42" s="111">
        <f>COUNTIFS('2024数据'!$D$3:$D$152,"&gt;="&amp;DATE(2024,2,1),'2024数据'!$D$3:$D$152,"&lt;="&amp;DATE(2024,2,29),'2024数据'!$AL$3:$AL$152,$E$35,'2024数据'!$B$3:$B$152,'2024整理'!$E34)</f>
        <v>0</v>
      </c>
      <c r="H42" s="111">
        <f>COUNTIFS('2024数据'!$D$3:$D$152,"&gt;="&amp;DATE(2024,3,1),'2024数据'!$D$3:$D$152,"&lt;="&amp;DATE(2024,3,31),'2024数据'!$AL$3:$AL$152,$E$35,'2024数据'!$B$3:$B$152,'2024整理'!$E34)</f>
        <v>0</v>
      </c>
      <c r="I42" s="111">
        <f>COUNTIFS('2024数据'!$D$3:$D$152,"&gt;="&amp;DATE(2024,4,1),'2024数据'!$D$3:$D$152,"&lt;="&amp;DATE(2024,4,30),'2024数据'!$AL$3:$AL$152,$E$35,'2024数据'!$B$3:$B$152,'2024整理'!$E34)</f>
        <v>0</v>
      </c>
      <c r="J42" s="111">
        <f>COUNTIFS('2024数据'!$D$3:$D$152,"&gt;="&amp;DATE(2024,5,1),'2024数据'!$D$3:$D$152,"&lt;="&amp;DATE(2024,5,31),'2024数据'!$AL$3:$AL$152,$E$35,'2024数据'!$B$3:$B$152,'2024整理'!$E34)</f>
        <v>0</v>
      </c>
      <c r="K42" s="111">
        <f>COUNTIFS('2024数据'!$D$3:$D$152,"&gt;="&amp;DATE(2024,6,1),'2024数据'!$D$3:$D$152,"&lt;="&amp;DATE(2024,6,30),'2024数据'!$AL$3:$AL$152,$E$35,'2024数据'!$B$3:$B$152,'2024整理'!$E34)</f>
        <v>0</v>
      </c>
      <c r="L42" s="111">
        <f>COUNTIFS('2024数据'!$D$3:$D$152,"&gt;="&amp;DATE(2024,7,1),'2024数据'!$D$3:$D$152,"&lt;="&amp;DATE(2024,7,31),'2024数据'!$AL$3:$AL$152,$E$35,'2024数据'!$B$3:$B$152,'2024整理'!$E34)</f>
        <v>0</v>
      </c>
      <c r="M42" s="111">
        <f>COUNTIFS('2024数据'!$D$3:$D$152,"&gt;="&amp;DATE(2024,8,1),'2024数据'!$D$3:$D$152,"&lt;="&amp;DATE(2024,8,31),'2024数据'!$AL$3:$AL$152,$E$35,'2024数据'!$B$3:$B$152,'2024整理'!$E34)</f>
        <v>0</v>
      </c>
      <c r="N42" s="111">
        <f>COUNTIFS('2024数据'!$D$3:$D$152,"&gt;="&amp;DATE(2024,9,1),'2024数据'!$D$3:$D$152,"&lt;="&amp;DATE(2024,9,30),'2024数据'!$AL$3:$AL$152,$E$35,'2024数据'!$B$3:$B$152,'2024整理'!$E34)</f>
        <v>0</v>
      </c>
      <c r="O42" s="111">
        <f>COUNTIFS('2024数据'!$D$3:$D$152,"&gt;="&amp;DATE(2024,10,1),'2024数据'!$D$3:$D$152,"&lt;="&amp;DATE(2024,10,31),'2024数据'!$AL$3:$AL$152,$E$35,'2024数据'!$B$3:$B$152,'2024整理'!$E34)</f>
        <v>0</v>
      </c>
      <c r="P42" s="111">
        <f>COUNTIFS('2024数据'!$D$3:$D$152,"&gt;="&amp;DATE(2024,11,1),'2024数据'!$D$3:$D$152,"&lt;="&amp;DATE(2024,11,30),'2024数据'!$AL$3:$AL$152,$E$35,'2024数据'!$B$3:$B$152,'2024整理'!$E34)</f>
        <v>0</v>
      </c>
      <c r="Q42" s="111">
        <f>COUNTIFS('2024数据'!$D$3:$D$152,"&gt;="&amp;DATE(2024,12,1),'2024数据'!$D$3:$D$152,"&lt;="&amp;DATE(2024,12,31),'2024数据'!$AL$3:$AL$152,$E$35,'2024数据'!$B$3:$B$152,'2024整理'!$E34)</f>
        <v>0</v>
      </c>
    </row>
    <row r="43" ht="24" customHeight="1" spans="1:17">
      <c r="A43" s="99" t="s">
        <v>289</v>
      </c>
      <c r="B43" s="99" t="s">
        <v>299</v>
      </c>
      <c r="C43" s="99" t="s">
        <v>291</v>
      </c>
      <c r="D43" s="53" t="s">
        <v>304</v>
      </c>
      <c r="E43" s="53" t="s">
        <v>93</v>
      </c>
      <c r="F43" s="111">
        <f>COUNTIFS('2024数据'!$D$3:$D$152,"&gt;="&amp;DATE(2024,1,1),'2024数据'!$D$3:$D$152,"&lt;="&amp;DATE(2024,1,31),'2024数据'!$AL$3:$AL$152,$E$36,'2024数据'!$B$3:$B$152,'2024整理'!$E30)</f>
        <v>1</v>
      </c>
      <c r="G43" s="111">
        <f>COUNTIFS('2024数据'!$D$3:$D$152,"&gt;="&amp;DATE(2024,2,1),'2024数据'!$D$3:$D$152,"&lt;="&amp;DATE(2024,2,29),'2024数据'!$AL$3:$AL$152,$E$36,'2024数据'!$B$3:$B$152,'2024整理'!$E30)</f>
        <v>1</v>
      </c>
      <c r="H43" s="111">
        <f>COUNTIFS('2024数据'!$D$3:$D$152,"&gt;="&amp;DATE(2024,3,1),'2024数据'!$D$3:$D$152,"&lt;="&amp;DATE(2024,3,31),'2024数据'!$AL$3:$AL$152,$E$36,'2024数据'!$B$3:$B$152,'2024整理'!$E30)</f>
        <v>1</v>
      </c>
      <c r="I43" s="111">
        <f>COUNTIFS('2024数据'!$D$3:$D$152,"&gt;="&amp;DATE(2024,4,1),'2024数据'!$D$3:$D$152,"&lt;="&amp;DATE(2024,4,30),'2024数据'!$AL$3:$AL$152,$E$36,'2024数据'!$B$3:$B$152,'2024整理'!$E30)</f>
        <v>1</v>
      </c>
      <c r="J43" s="111">
        <f>COUNTIFS('2024数据'!$D$3:$D$152,"&gt;="&amp;DATE(2024,5,1),'2024数据'!$D$3:$D$152,"&lt;="&amp;DATE(2024,5,31),'2024数据'!$AL$3:$AL$152,$E$36,'2024数据'!$B$3:$B$152,'2024整理'!$E30)</f>
        <v>3</v>
      </c>
      <c r="K43" s="111">
        <f>COUNTIFS('2024数据'!$D$3:$D$152,"&gt;="&amp;DATE(2024,6,1),'2024数据'!$D$3:$D$152,"&lt;="&amp;DATE(2024,6,30),'2024数据'!$AL$3:$AL$152,$E$36,'2024数据'!$B$3:$B$152,'2024整理'!$E30)</f>
        <v>1</v>
      </c>
      <c r="L43" s="111">
        <f>COUNTIFS('2024数据'!$D$3:$D$152,"&gt;="&amp;DATE(2024,7,1),'2024数据'!$D$3:$D$152,"&lt;="&amp;DATE(2024,7,31),'2024数据'!$AL$3:$AL$152,$E$36,'2024数据'!$B$3:$B$152,'2024整理'!$E30)</f>
        <v>1</v>
      </c>
      <c r="M43" s="111">
        <f>COUNTIFS('2024数据'!$D$3:$D$152,"&gt;="&amp;DATE(2024,8,1),'2024数据'!$D$3:$D$152,"&lt;="&amp;DATE(2024,8,31),'2024数据'!$AL$3:$AL$152,$E$36,'2024数据'!$B$3:$B$152,'2024整理'!$E30)</f>
        <v>2</v>
      </c>
      <c r="N43" s="111">
        <f>COUNTIFS('2024数据'!$D$3:$D$152,"&gt;="&amp;DATE(2024,9,1),'2024数据'!$D$3:$D$152,"&lt;="&amp;DATE(2024,9,30),'2024数据'!$AL$3:$AL$152,$E$36,'2024数据'!$B$3:$B$152,'2024整理'!$E30)</f>
        <v>0</v>
      </c>
      <c r="O43" s="111">
        <f>COUNTIFS('2024数据'!$D$3:$D$152,"&gt;="&amp;DATE(2024,10,1),'2024数据'!$D$3:$D$152,"&lt;="&amp;DATE(2024,10,31),'2024数据'!$AL$3:$AL$152,$E$36,'2024数据'!$B$3:$B$152,'2024整理'!$E30)</f>
        <v>0</v>
      </c>
      <c r="P43" s="111">
        <f>COUNTIFS('2024数据'!$D$3:$D$152,"&gt;="&amp;DATE(2024,11,1),'2024数据'!$D$3:$D$152,"&lt;="&amp;DATE(2024,11,30),'2024数据'!$AL$3:$AL$152,$E$36,'2024数据'!$B$3:$B$152,'2024整理'!$E30)</f>
        <v>0</v>
      </c>
      <c r="Q43" s="111">
        <f>COUNTIFS('2024数据'!$D$3:$D$152,"&gt;="&amp;DATE(2024,12,1),'2024数据'!$D$3:$D$152,"&lt;="&amp;DATE(2024,12,31),'2024数据'!$AL$3:$AL$152,$E$36,'2024数据'!$B$3:$B$152,'2024整理'!$E30)</f>
        <v>1</v>
      </c>
    </row>
    <row r="44" ht="24" customHeight="1" spans="1:17">
      <c r="A44" s="99" t="s">
        <v>289</v>
      </c>
      <c r="B44" s="99" t="s">
        <v>299</v>
      </c>
      <c r="C44" s="99" t="s">
        <v>291</v>
      </c>
      <c r="D44" s="53" t="s">
        <v>304</v>
      </c>
      <c r="E44" s="53" t="s">
        <v>85</v>
      </c>
      <c r="F44" s="111">
        <f>COUNTIFS('2024数据'!$D$3:$D$152,"&gt;="&amp;DATE(2024,1,1),'2024数据'!$D$3:$D$152,"&lt;="&amp;DATE(2024,1,31),'2024数据'!$AL$3:$AL$152,$E$36,'2024数据'!$B$3:$B$152,'2024整理'!$E31)</f>
        <v>0</v>
      </c>
      <c r="G44" s="111">
        <f>COUNTIFS('2024数据'!$D$3:$D$152,"&gt;="&amp;DATE(2024,2,1),'2024数据'!$D$3:$D$152,"&lt;="&amp;DATE(2024,2,29),'2024数据'!$AL$3:$AL$152,$E$36,'2024数据'!$B$3:$B$152,'2024整理'!$E31)</f>
        <v>0</v>
      </c>
      <c r="H44" s="111">
        <f>COUNTIFS('2024数据'!$D$3:$D$152,"&gt;="&amp;DATE(2024,3,1),'2024数据'!$D$3:$D$152,"&lt;="&amp;DATE(2024,3,31),'2024数据'!$AL$3:$AL$152,$E$36,'2024数据'!$B$3:$B$152,'2024整理'!$E31)</f>
        <v>1</v>
      </c>
      <c r="I44" s="111">
        <f>COUNTIFS('2024数据'!$D$3:$D$152,"&gt;="&amp;DATE(2024,4,1),'2024数据'!$D$3:$D$152,"&lt;="&amp;DATE(2024,4,30),'2024数据'!$AL$3:$AL$152,$E$36,'2024数据'!$B$3:$B$152,'2024整理'!$E31)</f>
        <v>1</v>
      </c>
      <c r="J44" s="111">
        <f>COUNTIFS('2024数据'!$D$3:$D$152,"&gt;="&amp;DATE(2024,5,1),'2024数据'!$D$3:$D$152,"&lt;="&amp;DATE(2024,5,31),'2024数据'!$AL$3:$AL$152,$E$36,'2024数据'!$B$3:$B$152,'2024整理'!$E31)</f>
        <v>0</v>
      </c>
      <c r="K44" s="111">
        <f>COUNTIFS('2024数据'!$D$3:$D$152,"&gt;="&amp;DATE(2024,6,1),'2024数据'!$D$3:$D$152,"&lt;="&amp;DATE(2024,6,30),'2024数据'!$AL$3:$AL$152,$E$36,'2024数据'!$B$3:$B$152,'2024整理'!$E31)</f>
        <v>0</v>
      </c>
      <c r="L44" s="111">
        <f>COUNTIFS('2024数据'!$D$3:$D$152,"&gt;="&amp;DATE(2024,7,1),'2024数据'!$D$3:$D$152,"&lt;="&amp;DATE(2024,7,31),'2024数据'!$AL$3:$AL$152,$E$36,'2024数据'!$B$3:$B$152,'2024整理'!$E31)</f>
        <v>1</v>
      </c>
      <c r="M44" s="111">
        <f>COUNTIFS('2024数据'!$D$3:$D$152,"&gt;="&amp;DATE(2024,8,1),'2024数据'!$D$3:$D$152,"&lt;="&amp;DATE(2024,8,31),'2024数据'!$AL$3:$AL$152,$E$36,'2024数据'!$B$3:$B$152,'2024整理'!$E31)</f>
        <v>0</v>
      </c>
      <c r="N44" s="111">
        <f>COUNTIFS('2024数据'!$D$3:$D$152,"&gt;="&amp;DATE(2024,9,1),'2024数据'!$D$3:$D$152,"&lt;="&amp;DATE(2024,9,30),'2024数据'!$AL$3:$AL$152,$E$36,'2024数据'!$B$3:$B$152,'2024整理'!$E31)</f>
        <v>2</v>
      </c>
      <c r="O44" s="111">
        <f>COUNTIFS('2024数据'!$D$3:$D$152,"&gt;="&amp;DATE(2024,10,1),'2024数据'!$D$3:$D$152,"&lt;="&amp;DATE(2024,10,31),'2024数据'!$AL$3:$AL$152,$E$36,'2024数据'!$B$3:$B$152,'2024整理'!$E31)</f>
        <v>0</v>
      </c>
      <c r="P44" s="111">
        <f>COUNTIFS('2024数据'!$D$3:$D$152,"&gt;="&amp;DATE(2024,11,1),'2024数据'!$D$3:$D$152,"&lt;="&amp;DATE(2024,11,30),'2024数据'!$AL$3:$AL$152,$E$36,'2024数据'!$B$3:$B$152,'2024整理'!$E31)</f>
        <v>0</v>
      </c>
      <c r="Q44" s="111">
        <f>COUNTIFS('2024数据'!$D$3:$D$152,"&gt;="&amp;DATE(2024,12,1),'2024数据'!$D$3:$D$152,"&lt;="&amp;DATE(2024,12,31),'2024数据'!$AL$3:$AL$152,$E$36,'2024数据'!$B$3:$B$152,'2024整理'!$E31)</f>
        <v>1</v>
      </c>
    </row>
    <row r="45" ht="24" customHeight="1" spans="1:17">
      <c r="A45" s="99" t="s">
        <v>289</v>
      </c>
      <c r="B45" s="99" t="s">
        <v>299</v>
      </c>
      <c r="C45" s="99" t="s">
        <v>291</v>
      </c>
      <c r="D45" s="53" t="s">
        <v>304</v>
      </c>
      <c r="E45" s="53" t="s">
        <v>81</v>
      </c>
      <c r="F45" s="111">
        <f>COUNTIFS('2024数据'!$D$3:$D$152,"&gt;="&amp;DATE(2024,1,1),'2024数据'!$D$3:$D$152,"&lt;="&amp;DATE(2024,1,31),'2024数据'!$AL$3:$AL$152,$E$36,'2024数据'!$B$3:$B$152,'2024整理'!$E32)</f>
        <v>0</v>
      </c>
      <c r="G45" s="111">
        <f>COUNTIFS('2024数据'!$D$3:$D$152,"&gt;="&amp;DATE(2024,2,1),'2024数据'!$D$3:$D$152,"&lt;="&amp;DATE(2024,2,29),'2024数据'!$AL$3:$AL$152,$E$36,'2024数据'!$B$3:$B$152,'2024整理'!$E32)</f>
        <v>0</v>
      </c>
      <c r="H45" s="111">
        <f>COUNTIFS('2024数据'!$D$3:$D$152,"&gt;="&amp;DATE(2024,3,1),'2024数据'!$D$3:$D$152,"&lt;="&amp;DATE(2024,3,31),'2024数据'!$AL$3:$AL$152,$E$36,'2024数据'!$B$3:$B$152,'2024整理'!$E32)</f>
        <v>0</v>
      </c>
      <c r="I45" s="111">
        <f>COUNTIFS('2024数据'!$D$3:$D$152,"&gt;="&amp;DATE(2024,4,1),'2024数据'!$D$3:$D$152,"&lt;="&amp;DATE(2024,4,30),'2024数据'!$AL$3:$AL$152,$E$36,'2024数据'!$B$3:$B$152,'2024整理'!$E32)</f>
        <v>0</v>
      </c>
      <c r="J45" s="111">
        <f>COUNTIFS('2024数据'!$D$3:$D$152,"&gt;="&amp;DATE(2024,5,1),'2024数据'!$D$3:$D$152,"&lt;="&amp;DATE(2024,5,31),'2024数据'!$AL$3:$AL$152,$E$36,'2024数据'!$B$3:$B$152,'2024整理'!$E32)</f>
        <v>2</v>
      </c>
      <c r="K45" s="111">
        <f>COUNTIFS('2024数据'!$D$3:$D$152,"&gt;="&amp;DATE(2024,6,1),'2024数据'!$D$3:$D$152,"&lt;="&amp;DATE(2024,6,30),'2024数据'!$AL$3:$AL$152,$E$36,'2024数据'!$B$3:$B$152,'2024整理'!$E32)</f>
        <v>0</v>
      </c>
      <c r="L45" s="111">
        <f>COUNTIFS('2024数据'!$D$3:$D$152,"&gt;="&amp;DATE(2024,7,1),'2024数据'!$D$3:$D$152,"&lt;="&amp;DATE(2024,7,31),'2024数据'!$AL$3:$AL$152,$E$36,'2024数据'!$B$3:$B$152,'2024整理'!$E32)</f>
        <v>0</v>
      </c>
      <c r="M45" s="111">
        <f>COUNTIFS('2024数据'!$D$3:$D$152,"&gt;="&amp;DATE(2024,8,1),'2024数据'!$D$3:$D$152,"&lt;="&amp;DATE(2024,8,31),'2024数据'!$AL$3:$AL$152,$E$36,'2024数据'!$B$3:$B$152,'2024整理'!$E32)</f>
        <v>1</v>
      </c>
      <c r="N45" s="111">
        <f>COUNTIFS('2024数据'!$D$3:$D$152,"&gt;="&amp;DATE(2024,9,1),'2024数据'!$D$3:$D$152,"&lt;="&amp;DATE(2024,9,30),'2024数据'!$AL$3:$AL$152,$E$36,'2024数据'!$B$3:$B$152,'2024整理'!$E32)</f>
        <v>1</v>
      </c>
      <c r="O45" s="111">
        <f>COUNTIFS('2024数据'!$D$3:$D$152,"&gt;="&amp;DATE(2024,10,1),'2024数据'!$D$3:$D$152,"&lt;="&amp;DATE(2024,10,31),'2024数据'!$AL$3:$AL$152,$E$36,'2024数据'!$B$3:$B$152,'2024整理'!$E32)</f>
        <v>0</v>
      </c>
      <c r="P45" s="111">
        <f>COUNTIFS('2024数据'!$D$3:$D$152,"&gt;="&amp;DATE(2024,11,1),'2024数据'!$D$3:$D$152,"&lt;="&amp;DATE(2024,11,30),'2024数据'!$AL$3:$AL$152,$E$36,'2024数据'!$B$3:$B$152,'2024整理'!$E32)</f>
        <v>0</v>
      </c>
      <c r="Q45" s="111">
        <f>COUNTIFS('2024数据'!$D$3:$D$152,"&gt;="&amp;DATE(2024,12,1),'2024数据'!$D$3:$D$152,"&lt;="&amp;DATE(2024,12,31),'2024数据'!$AL$3:$AL$152,$E$36,'2024数据'!$B$3:$B$152,'2024整理'!$E32)</f>
        <v>0</v>
      </c>
    </row>
    <row r="46" ht="24" customHeight="1" spans="1:17">
      <c r="A46" s="99" t="s">
        <v>289</v>
      </c>
      <c r="B46" s="99" t="s">
        <v>299</v>
      </c>
      <c r="C46" s="99" t="s">
        <v>291</v>
      </c>
      <c r="D46" s="53" t="s">
        <v>304</v>
      </c>
      <c r="E46" s="53" t="s">
        <v>96</v>
      </c>
      <c r="F46" s="111">
        <f>COUNTIFS('2024数据'!$D$3:$D$152,"&gt;="&amp;DATE(2024,1,1),'2024数据'!$D$3:$D$152,"&lt;="&amp;DATE(2024,1,31),'2024数据'!$AL$3:$AL$152,$E$36,'2024数据'!$B$3:$B$152,'2024整理'!$E33)</f>
        <v>0</v>
      </c>
      <c r="G46" s="111">
        <f>COUNTIFS('2024数据'!$D$3:$D$152,"&gt;="&amp;DATE(2024,2,1),'2024数据'!$D$3:$D$152,"&lt;="&amp;DATE(2024,2,29),'2024数据'!$AL$3:$AL$152,$E$36,'2024数据'!$B$3:$B$152,'2024整理'!$E33)</f>
        <v>0</v>
      </c>
      <c r="H46" s="111">
        <f>COUNTIFS('2024数据'!$D$3:$D$152,"&gt;="&amp;DATE(2024,3,1),'2024数据'!$D$3:$D$152,"&lt;="&amp;DATE(2024,3,31),'2024数据'!$AL$3:$AL$152,$E$36,'2024数据'!$B$3:$B$152,'2024整理'!$E33)</f>
        <v>0</v>
      </c>
      <c r="I46" s="111">
        <f>COUNTIFS('2024数据'!$D$3:$D$152,"&gt;="&amp;DATE(2024,4,1),'2024数据'!$D$3:$D$152,"&lt;="&amp;DATE(2024,4,30),'2024数据'!$AL$3:$AL$152,$E$36,'2024数据'!$B$3:$B$152,'2024整理'!$E33)</f>
        <v>0</v>
      </c>
      <c r="J46" s="111">
        <f>COUNTIFS('2024数据'!$D$3:$D$152,"&gt;="&amp;DATE(2024,5,1),'2024数据'!$D$3:$D$152,"&lt;="&amp;DATE(2024,5,31),'2024数据'!$AL$3:$AL$152,$E$36,'2024数据'!$B$3:$B$152,'2024整理'!$E33)</f>
        <v>0</v>
      </c>
      <c r="K46" s="111">
        <f>COUNTIFS('2024数据'!$D$3:$D$152,"&gt;="&amp;DATE(2024,6,1),'2024数据'!$D$3:$D$152,"&lt;="&amp;DATE(2024,6,30),'2024数据'!$AL$3:$AL$152,$E$36,'2024数据'!$B$3:$B$152,'2024整理'!$E33)</f>
        <v>0</v>
      </c>
      <c r="L46" s="111">
        <f>COUNTIFS('2024数据'!$D$3:$D$152,"&gt;="&amp;DATE(2024,7,1),'2024数据'!$D$3:$D$152,"&lt;="&amp;DATE(2024,7,31),'2024数据'!$AL$3:$AL$152,$E$36,'2024数据'!$B$3:$B$152,'2024整理'!$E33)</f>
        <v>0</v>
      </c>
      <c r="M46" s="111">
        <f>COUNTIFS('2024数据'!$D$3:$D$152,"&gt;="&amp;DATE(2024,8,1),'2024数据'!$D$3:$D$152,"&lt;="&amp;DATE(2024,8,31),'2024数据'!$AL$3:$AL$152,$E$36,'2024数据'!$B$3:$B$152,'2024整理'!$E33)</f>
        <v>0</v>
      </c>
      <c r="N46" s="111">
        <f>COUNTIFS('2024数据'!$D$3:$D$152,"&gt;="&amp;DATE(2024,9,1),'2024数据'!$D$3:$D$152,"&lt;="&amp;DATE(2024,9,30),'2024数据'!$AL$3:$AL$152,$E$36,'2024数据'!$B$3:$B$152,'2024整理'!$E33)</f>
        <v>0</v>
      </c>
      <c r="O46" s="111">
        <f>COUNTIFS('2024数据'!$D$3:$D$152,"&gt;="&amp;DATE(2024,10,1),'2024数据'!$D$3:$D$152,"&lt;="&amp;DATE(2024,10,31),'2024数据'!$AL$3:$AL$152,$E$36,'2024数据'!$B$3:$B$152,'2024整理'!$E33)</f>
        <v>0</v>
      </c>
      <c r="P46" s="111">
        <f>COUNTIFS('2024数据'!$D$3:$D$152,"&gt;="&amp;DATE(2024,11,1),'2024数据'!$D$3:$D$152,"&lt;="&amp;DATE(2024,11,30),'2024数据'!$AL$3:$AL$152,$E$36,'2024数据'!$B$3:$B$152,'2024整理'!$E33)</f>
        <v>0</v>
      </c>
      <c r="Q46" s="111">
        <f>COUNTIFS('2024数据'!$D$3:$D$152,"&gt;="&amp;DATE(2024,12,1),'2024数据'!$D$3:$D$152,"&lt;="&amp;DATE(2024,12,31),'2024数据'!$AL$3:$AL$152,$E$36,'2024数据'!$B$3:$B$152,'2024整理'!$E33)</f>
        <v>0</v>
      </c>
    </row>
    <row r="47" ht="24" customHeight="1" spans="1:17">
      <c r="A47" s="99" t="s">
        <v>289</v>
      </c>
      <c r="B47" s="99" t="s">
        <v>299</v>
      </c>
      <c r="C47" s="99" t="s">
        <v>291</v>
      </c>
      <c r="D47" s="53" t="s">
        <v>304</v>
      </c>
      <c r="E47" s="53" t="s">
        <v>160</v>
      </c>
      <c r="F47" s="111">
        <f>COUNTIFS('2024数据'!$D$3:$D$152,"&gt;="&amp;DATE(2024,1,1),'2024数据'!$D$3:$D$152,"&lt;="&amp;DATE(2024,1,31),'2024数据'!$AL$3:$AL$152,$E$36,'2024数据'!$B$3:$B$152,'2024整理'!$E34)</f>
        <v>0</v>
      </c>
      <c r="G47" s="111">
        <f>COUNTIFS('2024数据'!$D$3:$D$152,"&gt;="&amp;DATE(2024,2,1),'2024数据'!$D$3:$D$152,"&lt;="&amp;DATE(2024,2,29),'2024数据'!$AL$3:$AL$152,$E$36,'2024数据'!$B$3:$B$152,'2024整理'!$E34)</f>
        <v>0</v>
      </c>
      <c r="H47" s="111">
        <f>COUNTIFS('2024数据'!$D$3:$D$152,"&gt;="&amp;DATE(2024,3,1),'2024数据'!$D$3:$D$152,"&lt;="&amp;DATE(2024,3,31),'2024数据'!$AL$3:$AL$152,$E$36,'2024数据'!$B$3:$B$152,'2024整理'!$E34)</f>
        <v>0</v>
      </c>
      <c r="I47" s="111">
        <f>COUNTIFS('2024数据'!$D$3:$D$152,"&gt;="&amp;DATE(2024,4,1),'2024数据'!$D$3:$D$152,"&lt;="&amp;DATE(2024,4,30),'2024数据'!$AL$3:$AL$152,$E$36,'2024数据'!$B$3:$B$152,'2024整理'!$E34)</f>
        <v>0</v>
      </c>
      <c r="J47" s="111">
        <f>COUNTIFS('2024数据'!$D$3:$D$152,"&gt;="&amp;DATE(2024,5,1),'2024数据'!$D$3:$D$152,"&lt;="&amp;DATE(2024,5,31),'2024数据'!$AL$3:$AL$152,$E$36,'2024数据'!$B$3:$B$152,'2024整理'!$E34)</f>
        <v>0</v>
      </c>
      <c r="K47" s="111">
        <f>COUNTIFS('2024数据'!$D$3:$D$152,"&gt;="&amp;DATE(2024,6,1),'2024数据'!$D$3:$D$152,"&lt;="&amp;DATE(2024,6,30),'2024数据'!$AL$3:$AL$152,$E$36,'2024数据'!$B$3:$B$152,'2024整理'!$E34)</f>
        <v>0</v>
      </c>
      <c r="L47" s="111">
        <f>COUNTIFS('2024数据'!$D$3:$D$152,"&gt;="&amp;DATE(2024,7,1),'2024数据'!$D$3:$D$152,"&lt;="&amp;DATE(2024,7,31),'2024数据'!$AL$3:$AL$152,$E$36,'2024数据'!$B$3:$B$152,'2024整理'!$E34)</f>
        <v>0</v>
      </c>
      <c r="M47" s="111">
        <f>COUNTIFS('2024数据'!$D$3:$D$152,"&gt;="&amp;DATE(2024,8,1),'2024数据'!$D$3:$D$152,"&lt;="&amp;DATE(2024,8,31),'2024数据'!$AL$3:$AL$152,$E$36,'2024数据'!$B$3:$B$152,'2024整理'!$E34)</f>
        <v>0</v>
      </c>
      <c r="N47" s="111">
        <f>COUNTIFS('2024数据'!$D$3:$D$152,"&gt;="&amp;DATE(2024,9,1),'2024数据'!$D$3:$D$152,"&lt;="&amp;DATE(2024,9,30),'2024数据'!$AL$3:$AL$152,$E$36,'2024数据'!$B$3:$B$152,'2024整理'!$E34)</f>
        <v>0</v>
      </c>
      <c r="O47" s="111">
        <f>COUNTIFS('2024数据'!$D$3:$D$152,"&gt;="&amp;DATE(2024,10,1),'2024数据'!$D$3:$D$152,"&lt;="&amp;DATE(2024,10,31),'2024数据'!$AL$3:$AL$152,$E$36,'2024数据'!$B$3:$B$152,'2024整理'!$E34)</f>
        <v>0</v>
      </c>
      <c r="P47" s="111">
        <f>COUNTIFS('2024数据'!$D$3:$D$152,"&gt;="&amp;DATE(2024,11,1),'2024数据'!$D$3:$D$152,"&lt;="&amp;DATE(2024,11,30),'2024数据'!$AL$3:$AL$152,$E$36,'2024数据'!$B$3:$B$152,'2024整理'!$E34)</f>
        <v>0</v>
      </c>
      <c r="Q47" s="111">
        <f>COUNTIFS('2024数据'!$D$3:$D$152,"&gt;="&amp;DATE(2024,12,1),'2024数据'!$D$3:$D$152,"&lt;="&amp;DATE(2024,12,31),'2024数据'!$AL$3:$AL$152,$E$36,'2024数据'!$B$3:$B$152,'2024整理'!$E34)</f>
        <v>0</v>
      </c>
    </row>
    <row r="48" ht="24" customHeight="1" spans="1:17">
      <c r="A48" s="99" t="s">
        <v>289</v>
      </c>
      <c r="B48" s="99" t="s">
        <v>299</v>
      </c>
      <c r="C48" s="99" t="s">
        <v>291</v>
      </c>
      <c r="D48" s="53" t="s">
        <v>305</v>
      </c>
      <c r="E48" s="53" t="s">
        <v>93</v>
      </c>
      <c r="F48" s="111">
        <f>COUNTIFS('2024数据'!$D$3:$D$152,"&gt;="&amp;DATE(2024,1,1),'2024数据'!$D$3:$D$152,"&lt;="&amp;DATE(2024,1,31),'2024数据'!$AL$3:$AL$152,$E$37,'2024数据'!$B$3:$B$152,'2024整理'!$E30)</f>
        <v>0</v>
      </c>
      <c r="G48" s="111">
        <f>COUNTIFS('2024数据'!$D$3:$D$152,"&gt;="&amp;DATE(2024,2,1),'2024数据'!$D$3:$D$152,"&lt;="&amp;DATE(2024,2,29),'2024数据'!$AL$3:$AL$152,$E$37,'2024数据'!$B$3:$B$152,'2024整理'!$E30)</f>
        <v>0</v>
      </c>
      <c r="H48" s="111">
        <f>COUNTIFS('2024数据'!$D$3:$D$152,"&gt;="&amp;DATE(2024,3,1),'2024数据'!$D$3:$D$152,"&lt;="&amp;DATE(2024,3,31),'2024数据'!$AL$3:$AL$152,$E$37,'2024数据'!$B$3:$B$152,'2024整理'!$E30)</f>
        <v>0</v>
      </c>
      <c r="I48" s="111">
        <f>COUNTIFS('2024数据'!$D$3:$D$152,"&gt;="&amp;DATE(2024,4,1),'2024数据'!$D$3:$D$152,"&lt;="&amp;DATE(2024,4,30),'2024数据'!$AL$3:$AL$152,$E$37,'2024数据'!$B$3:$B$152,'2024整理'!$E30)</f>
        <v>0</v>
      </c>
      <c r="J48" s="111">
        <f>COUNTIFS('2024数据'!$D$3:$D$152,"&gt;="&amp;DATE(2024,5,1),'2024数据'!$D$3:$D$152,"&lt;="&amp;DATE(2024,5,31),'2024数据'!$AL$3:$AL$152,$E$37,'2024数据'!$B$3:$B$152,'2024整理'!$E30)</f>
        <v>0</v>
      </c>
      <c r="K48" s="111">
        <f>COUNTIFS('2024数据'!$D$3:$D$152,"&gt;="&amp;DATE(2024,6,1),'2024数据'!$D$3:$D$152,"&lt;="&amp;DATE(2024,6,30),'2024数据'!$AL$3:$AL$152,$E$37,'2024数据'!$B$3:$B$152,'2024整理'!$E30)</f>
        <v>0</v>
      </c>
      <c r="L48" s="111">
        <f>COUNTIFS('2024数据'!$D$3:$D$152,"&gt;="&amp;DATE(2024,7,1),'2024数据'!$D$3:$D$152,"&lt;="&amp;DATE(2024,7,31),'2024数据'!$AL$3:$AL$152,$E$37,'2024数据'!$B$3:$B$152,'2024整理'!$E30)</f>
        <v>0</v>
      </c>
      <c r="M48" s="111">
        <f>COUNTIFS('2024数据'!$D$3:$D$152,"&gt;="&amp;DATE(2024,8,1),'2024数据'!$D$3:$D$152,"&lt;="&amp;DATE(2024,8,31),'2024数据'!$AL$3:$AL$152,$E$37,'2024数据'!$B$3:$B$152,'2024整理'!$E30)</f>
        <v>0</v>
      </c>
      <c r="N48" s="111">
        <f>COUNTIFS('2024数据'!$D$3:$D$152,"&gt;="&amp;DATE(2024,9,1),'2024数据'!$D$3:$D$152,"&lt;="&amp;DATE(2024,9,30),'2024数据'!$AL$3:$AL$152,$E$37,'2024数据'!$B$3:$B$152,'2024整理'!$E30)</f>
        <v>0</v>
      </c>
      <c r="O48" s="111">
        <f>COUNTIFS('2024数据'!$D$3:$D$152,"&gt;="&amp;DATE(2024,10,1),'2024数据'!$D$3:$D$152,"&lt;="&amp;DATE(2024,10,31),'2024数据'!$AL$3:$AL$152,$E$37,'2024数据'!$B$3:$B$152,'2024整理'!$E30)</f>
        <v>0</v>
      </c>
      <c r="P48" s="111">
        <f>COUNTIFS('2024数据'!$D$3:$D$152,"&gt;="&amp;DATE(2024,11,1),'2024数据'!$D$3:$D$152,"&lt;="&amp;DATE(2024,11,30),'2024数据'!$AL$3:$AL$152,$E$37,'2024数据'!$B$3:$B$152,'2024整理'!$E30)</f>
        <v>0</v>
      </c>
      <c r="Q48" s="111">
        <f>COUNTIFS('2024数据'!$D$3:$D$152,"&gt;="&amp;DATE(2024,12,1),'2024数据'!$D$3:$D$152,"&lt;="&amp;DATE(2024,12,31),'2024数据'!$AL$3:$AL$152,$E$37,'2024数据'!$B$3:$B$152,'2024整理'!$E30)</f>
        <v>0</v>
      </c>
    </row>
    <row r="49" ht="24" customHeight="1" spans="1:17">
      <c r="A49" s="99" t="s">
        <v>289</v>
      </c>
      <c r="B49" s="99" t="s">
        <v>299</v>
      </c>
      <c r="C49" s="99" t="s">
        <v>291</v>
      </c>
      <c r="D49" s="53" t="s">
        <v>305</v>
      </c>
      <c r="E49" s="53" t="s">
        <v>85</v>
      </c>
      <c r="F49" s="111">
        <f>COUNTIFS('2024数据'!$D$3:$D$152,"&gt;="&amp;DATE(2024,1,1),'2024数据'!$D$3:$D$152,"&lt;="&amp;DATE(2024,1,31),'2024数据'!$AL$3:$AL$152,$E$37,'2024数据'!$B$3:$B$152,'2024整理'!$E31)</f>
        <v>0</v>
      </c>
      <c r="G49" s="111">
        <f>COUNTIFS('2024数据'!$D$3:$D$152,"&gt;="&amp;DATE(2024,2,1),'2024数据'!$D$3:$D$152,"&lt;="&amp;DATE(2024,2,29),'2024数据'!$AL$3:$AL$152,$E$37,'2024数据'!$B$3:$B$152,'2024整理'!$E31)</f>
        <v>0</v>
      </c>
      <c r="H49" s="111">
        <f>COUNTIFS('2024数据'!$D$3:$D$152,"&gt;="&amp;DATE(2024,3,1),'2024数据'!$D$3:$D$152,"&lt;="&amp;DATE(2024,3,31),'2024数据'!$AL$3:$AL$152,$E$37,'2024数据'!$B$3:$B$152,'2024整理'!$E31)</f>
        <v>0</v>
      </c>
      <c r="I49" s="111">
        <f>COUNTIFS('2024数据'!$D$3:$D$152,"&gt;="&amp;DATE(2024,4,1),'2024数据'!$D$3:$D$152,"&lt;="&amp;DATE(2024,4,30),'2024数据'!$AL$3:$AL$152,$E$37,'2024数据'!$B$3:$B$152,'2024整理'!$E31)</f>
        <v>0</v>
      </c>
      <c r="J49" s="111">
        <f>COUNTIFS('2024数据'!$D$3:$D$152,"&gt;="&amp;DATE(2024,5,1),'2024数据'!$D$3:$D$152,"&lt;="&amp;DATE(2024,5,31),'2024数据'!$AL$3:$AL$152,$E$37,'2024数据'!$B$3:$B$152,'2024整理'!$E31)</f>
        <v>0</v>
      </c>
      <c r="K49" s="111">
        <f>COUNTIFS('2024数据'!$D$3:$D$152,"&gt;="&amp;DATE(2024,6,1),'2024数据'!$D$3:$D$152,"&lt;="&amp;DATE(2024,6,30),'2024数据'!$AL$3:$AL$152,$E$37,'2024数据'!$B$3:$B$152,'2024整理'!$E31)</f>
        <v>0</v>
      </c>
      <c r="L49" s="111">
        <f>COUNTIFS('2024数据'!$D$3:$D$152,"&gt;="&amp;DATE(2024,7,1),'2024数据'!$D$3:$D$152,"&lt;="&amp;DATE(2024,7,31),'2024数据'!$AL$3:$AL$152,$E$37,'2024数据'!$B$3:$B$152,'2024整理'!$E31)</f>
        <v>0</v>
      </c>
      <c r="M49" s="111">
        <f>COUNTIFS('2024数据'!$D$3:$D$152,"&gt;="&amp;DATE(2024,8,1),'2024数据'!$D$3:$D$152,"&lt;="&amp;DATE(2024,8,31),'2024数据'!$AL$3:$AL$152,$E$37,'2024数据'!$B$3:$B$152,'2024整理'!$E31)</f>
        <v>0</v>
      </c>
      <c r="N49" s="111">
        <f>COUNTIFS('2024数据'!$D$3:$D$152,"&gt;="&amp;DATE(2024,9,1),'2024数据'!$D$3:$D$152,"&lt;="&amp;DATE(2024,9,30),'2024数据'!$AL$3:$AL$152,$E$37,'2024数据'!$B$3:$B$152,'2024整理'!$E31)</f>
        <v>0</v>
      </c>
      <c r="O49" s="111">
        <f>COUNTIFS('2024数据'!$D$3:$D$152,"&gt;="&amp;DATE(2024,10,1),'2024数据'!$D$3:$D$152,"&lt;="&amp;DATE(2024,10,31),'2024数据'!$AL$3:$AL$152,$E$37,'2024数据'!$B$3:$B$152,'2024整理'!$E31)</f>
        <v>0</v>
      </c>
      <c r="P49" s="111">
        <f>COUNTIFS('2024数据'!$D$3:$D$152,"&gt;="&amp;DATE(2024,11,1),'2024数据'!$D$3:$D$152,"&lt;="&amp;DATE(2024,11,30),'2024数据'!$AL$3:$AL$152,$E$37,'2024数据'!$B$3:$B$152,'2024整理'!$E31)</f>
        <v>0</v>
      </c>
      <c r="Q49" s="111">
        <f>COUNTIFS('2024数据'!$D$3:$D$152,"&gt;="&amp;DATE(2024,12,1),'2024数据'!$D$3:$D$152,"&lt;="&amp;DATE(2024,12,31),'2024数据'!$AL$3:$AL$152,$E$37,'2024数据'!$B$3:$B$152,'2024整理'!$E31)</f>
        <v>0</v>
      </c>
    </row>
    <row r="50" ht="24" customHeight="1" spans="1:17">
      <c r="A50" s="99" t="s">
        <v>289</v>
      </c>
      <c r="B50" s="99" t="s">
        <v>299</v>
      </c>
      <c r="C50" s="99" t="s">
        <v>291</v>
      </c>
      <c r="D50" s="53" t="s">
        <v>305</v>
      </c>
      <c r="E50" s="53" t="s">
        <v>81</v>
      </c>
      <c r="F50" s="111">
        <f>COUNTIFS('2024数据'!$D$3:$D$152,"&gt;="&amp;DATE(2024,1,1),'2024数据'!$D$3:$D$152,"&lt;="&amp;DATE(2024,1,31),'2024数据'!$AL$3:$AL$152,$E$37,'2024数据'!$B$3:$B$152,'2024整理'!$E32)</f>
        <v>0</v>
      </c>
      <c r="G50" s="111">
        <f>COUNTIFS('2024数据'!$D$3:$D$152,"&gt;="&amp;DATE(2024,2,1),'2024数据'!$D$3:$D$152,"&lt;="&amp;DATE(2024,2,29),'2024数据'!$AL$3:$AL$152,$E$37,'2024数据'!$B$3:$B$152,'2024整理'!$E32)</f>
        <v>0</v>
      </c>
      <c r="H50" s="111">
        <f>COUNTIFS('2024数据'!$D$3:$D$152,"&gt;="&amp;DATE(2024,3,1),'2024数据'!$D$3:$D$152,"&lt;="&amp;DATE(2024,3,31),'2024数据'!$AL$3:$AL$152,$E$37,'2024数据'!$B$3:$B$152,'2024整理'!$E32)</f>
        <v>0</v>
      </c>
      <c r="I50" s="111">
        <f>COUNTIFS('2024数据'!$D$3:$D$152,"&gt;="&amp;DATE(2024,4,1),'2024数据'!$D$3:$D$152,"&lt;="&amp;DATE(2024,4,30),'2024数据'!$AL$3:$AL$152,$E$37,'2024数据'!$B$3:$B$152,'2024整理'!$E32)</f>
        <v>0</v>
      </c>
      <c r="J50" s="111">
        <f>COUNTIFS('2024数据'!$D$3:$D$152,"&gt;="&amp;DATE(2024,5,1),'2024数据'!$D$3:$D$152,"&lt;="&amp;DATE(2024,5,31),'2024数据'!$AL$3:$AL$152,$E$37,'2024数据'!$B$3:$B$152,'2024整理'!$E32)</f>
        <v>0</v>
      </c>
      <c r="K50" s="111">
        <f>COUNTIFS('2024数据'!$D$3:$D$152,"&gt;="&amp;DATE(2024,6,1),'2024数据'!$D$3:$D$152,"&lt;="&amp;DATE(2024,6,30),'2024数据'!$AL$3:$AL$152,$E$37,'2024数据'!$B$3:$B$152,'2024整理'!$E32)</f>
        <v>0</v>
      </c>
      <c r="L50" s="111">
        <f>COUNTIFS('2024数据'!$D$3:$D$152,"&gt;="&amp;DATE(2024,7,1),'2024数据'!$D$3:$D$152,"&lt;="&amp;DATE(2024,7,31),'2024数据'!$AL$3:$AL$152,$E$37,'2024数据'!$B$3:$B$152,'2024整理'!$E32)</f>
        <v>0</v>
      </c>
      <c r="M50" s="111">
        <f>COUNTIFS('2024数据'!$D$3:$D$152,"&gt;="&amp;DATE(2024,8,1),'2024数据'!$D$3:$D$152,"&lt;="&amp;DATE(2024,8,31),'2024数据'!$AL$3:$AL$152,$E$37,'2024数据'!$B$3:$B$152,'2024整理'!$E32)</f>
        <v>0</v>
      </c>
      <c r="N50" s="111">
        <f>COUNTIFS('2024数据'!$D$3:$D$152,"&gt;="&amp;DATE(2024,9,1),'2024数据'!$D$3:$D$152,"&lt;="&amp;DATE(2024,9,30),'2024数据'!$AL$3:$AL$152,$E$37,'2024数据'!$B$3:$B$152,'2024整理'!$E32)</f>
        <v>0</v>
      </c>
      <c r="O50" s="111">
        <f>COUNTIFS('2024数据'!$D$3:$D$152,"&gt;="&amp;DATE(2024,10,1),'2024数据'!$D$3:$D$152,"&lt;="&amp;DATE(2024,10,31),'2024数据'!$AL$3:$AL$152,$E$37,'2024数据'!$B$3:$B$152,'2024整理'!$E32)</f>
        <v>0</v>
      </c>
      <c r="P50" s="111">
        <f>COUNTIFS('2024数据'!$D$3:$D$152,"&gt;="&amp;DATE(2024,11,1),'2024数据'!$D$3:$D$152,"&lt;="&amp;DATE(2024,11,30),'2024数据'!$AL$3:$AL$152,$E$37,'2024数据'!$B$3:$B$152,'2024整理'!$E32)</f>
        <v>0</v>
      </c>
      <c r="Q50" s="111">
        <f>COUNTIFS('2024数据'!$D$3:$D$152,"&gt;="&amp;DATE(2024,12,1),'2024数据'!$D$3:$D$152,"&lt;="&amp;DATE(2024,12,31),'2024数据'!$AL$3:$AL$152,$E$37,'2024数据'!$B$3:$B$152,'2024整理'!$E32)</f>
        <v>0</v>
      </c>
    </row>
    <row r="51" ht="24" customHeight="1" spans="1:17">
      <c r="A51" s="99" t="s">
        <v>289</v>
      </c>
      <c r="B51" s="99" t="s">
        <v>299</v>
      </c>
      <c r="C51" s="99" t="s">
        <v>291</v>
      </c>
      <c r="D51" s="53" t="s">
        <v>305</v>
      </c>
      <c r="E51" s="53" t="s">
        <v>96</v>
      </c>
      <c r="F51" s="111">
        <f>COUNTIFS('2024数据'!$D$3:$D$152,"&gt;="&amp;DATE(2024,1,1),'2024数据'!$D$3:$D$152,"&lt;="&amp;DATE(2024,1,31),'2024数据'!$AL$3:$AL$152,$E$37,'2024数据'!$B$3:$B$152,'2024整理'!$E33)</f>
        <v>0</v>
      </c>
      <c r="G51" s="111">
        <f>COUNTIFS('2024数据'!$D$3:$D$152,"&gt;="&amp;DATE(2024,2,1),'2024数据'!$D$3:$D$152,"&lt;="&amp;DATE(2024,2,29),'2024数据'!$AL$3:$AL$152,$E$37,'2024数据'!$B$3:$B$152,'2024整理'!$E33)</f>
        <v>0</v>
      </c>
      <c r="H51" s="111">
        <f>COUNTIFS('2024数据'!$D$3:$D$152,"&gt;="&amp;DATE(2024,3,1),'2024数据'!$D$3:$D$152,"&lt;="&amp;DATE(2024,3,31),'2024数据'!$AL$3:$AL$152,$E$37,'2024数据'!$B$3:$B$152,'2024整理'!$E33)</f>
        <v>0</v>
      </c>
      <c r="I51" s="111">
        <f>COUNTIFS('2024数据'!$D$3:$D$152,"&gt;="&amp;DATE(2024,4,1),'2024数据'!$D$3:$D$152,"&lt;="&amp;DATE(2024,4,30),'2024数据'!$AL$3:$AL$152,$E$37,'2024数据'!$B$3:$B$152,'2024整理'!$E33)</f>
        <v>0</v>
      </c>
      <c r="J51" s="111">
        <f>COUNTIFS('2024数据'!$D$3:$D$152,"&gt;="&amp;DATE(2024,5,1),'2024数据'!$D$3:$D$152,"&lt;="&amp;DATE(2024,5,31),'2024数据'!$AL$3:$AL$152,$E$37,'2024数据'!$B$3:$B$152,'2024整理'!$E33)</f>
        <v>0</v>
      </c>
      <c r="K51" s="111">
        <f>COUNTIFS('2024数据'!$D$3:$D$152,"&gt;="&amp;DATE(2024,6,1),'2024数据'!$D$3:$D$152,"&lt;="&amp;DATE(2024,6,30),'2024数据'!$AL$3:$AL$152,$E$37,'2024数据'!$B$3:$B$152,'2024整理'!$E33)</f>
        <v>0</v>
      </c>
      <c r="L51" s="111">
        <f>COUNTIFS('2024数据'!$D$3:$D$152,"&gt;="&amp;DATE(2024,7,1),'2024数据'!$D$3:$D$152,"&lt;="&amp;DATE(2024,7,31),'2024数据'!$AL$3:$AL$152,$E$37,'2024数据'!$B$3:$B$152,'2024整理'!$E33)</f>
        <v>0</v>
      </c>
      <c r="M51" s="111">
        <f>COUNTIFS('2024数据'!$D$3:$D$152,"&gt;="&amp;DATE(2024,8,1),'2024数据'!$D$3:$D$152,"&lt;="&amp;DATE(2024,8,31),'2024数据'!$AL$3:$AL$152,$E$37,'2024数据'!$B$3:$B$152,'2024整理'!$E33)</f>
        <v>0</v>
      </c>
      <c r="N51" s="111">
        <f>COUNTIFS('2024数据'!$D$3:$D$152,"&gt;="&amp;DATE(2024,9,1),'2024数据'!$D$3:$D$152,"&lt;="&amp;DATE(2024,9,30),'2024数据'!$AL$3:$AL$152,$E$37,'2024数据'!$B$3:$B$152,'2024整理'!$E33)</f>
        <v>0</v>
      </c>
      <c r="O51" s="111">
        <f>COUNTIFS('2024数据'!$D$3:$D$152,"&gt;="&amp;DATE(2024,10,1),'2024数据'!$D$3:$D$152,"&lt;="&amp;DATE(2024,10,31),'2024数据'!$AL$3:$AL$152,$E$37,'2024数据'!$B$3:$B$152,'2024整理'!$E33)</f>
        <v>0</v>
      </c>
      <c r="P51" s="111">
        <f>COUNTIFS('2024数据'!$D$3:$D$152,"&gt;="&amp;DATE(2024,11,1),'2024数据'!$D$3:$D$152,"&lt;="&amp;DATE(2024,11,30),'2024数据'!$AL$3:$AL$152,$E$37,'2024数据'!$B$3:$B$152,'2024整理'!$E33)</f>
        <v>0</v>
      </c>
      <c r="Q51" s="111">
        <f>COUNTIFS('2024数据'!$D$3:$D$152,"&gt;="&amp;DATE(2024,12,1),'2024数据'!$D$3:$D$152,"&lt;="&amp;DATE(2024,12,31),'2024数据'!$AL$3:$AL$152,$E$37,'2024数据'!$B$3:$B$152,'2024整理'!$E33)</f>
        <v>0</v>
      </c>
    </row>
    <row r="52" ht="24" customHeight="1" spans="1:17">
      <c r="A52" s="99" t="s">
        <v>289</v>
      </c>
      <c r="B52" s="99" t="s">
        <v>299</v>
      </c>
      <c r="C52" s="99" t="s">
        <v>291</v>
      </c>
      <c r="D52" s="53" t="s">
        <v>305</v>
      </c>
      <c r="E52" s="53" t="s">
        <v>160</v>
      </c>
      <c r="F52" s="111">
        <f>COUNTIFS('2024数据'!$D$3:$D$152,"&gt;="&amp;DATE(2024,1,1),'2024数据'!$D$3:$D$152,"&lt;="&amp;DATE(2024,1,31),'2024数据'!$AL$3:$AL$152,$E$37,'2024数据'!$B$3:$B$152,'2024整理'!$E34)</f>
        <v>0</v>
      </c>
      <c r="G52" s="111">
        <f>COUNTIFS('2024数据'!$D$3:$D$152,"&gt;="&amp;DATE(2024,2,1),'2024数据'!$D$3:$D$152,"&lt;="&amp;DATE(2024,2,29),'2024数据'!$AL$3:$AL$152,$E$37,'2024数据'!$B$3:$B$152,'2024整理'!$E34)</f>
        <v>0</v>
      </c>
      <c r="H52" s="111">
        <f>COUNTIFS('2024数据'!$D$3:$D$152,"&gt;="&amp;DATE(2024,3,1),'2024数据'!$D$3:$D$152,"&lt;="&amp;DATE(2024,3,31),'2024数据'!$AL$3:$AL$152,$E$37,'2024数据'!$B$3:$B$152,'2024整理'!$E34)</f>
        <v>0</v>
      </c>
      <c r="I52" s="111">
        <f>COUNTIFS('2024数据'!$D$3:$D$152,"&gt;="&amp;DATE(2024,4,1),'2024数据'!$D$3:$D$152,"&lt;="&amp;DATE(2024,4,30),'2024数据'!$AL$3:$AL$152,$E$37,'2024数据'!$B$3:$B$152,'2024整理'!$E34)</f>
        <v>0</v>
      </c>
      <c r="J52" s="111">
        <f>COUNTIFS('2024数据'!$D$3:$D$152,"&gt;="&amp;DATE(2024,5,1),'2024数据'!$D$3:$D$152,"&lt;="&amp;DATE(2024,5,31),'2024数据'!$AL$3:$AL$152,$E$37,'2024数据'!$B$3:$B$152,'2024整理'!$E34)</f>
        <v>0</v>
      </c>
      <c r="K52" s="111">
        <f>COUNTIFS('2024数据'!$D$3:$D$152,"&gt;="&amp;DATE(2024,6,1),'2024数据'!$D$3:$D$152,"&lt;="&amp;DATE(2024,6,30),'2024数据'!$AL$3:$AL$152,$E$37,'2024数据'!$B$3:$B$152,'2024整理'!$E34)</f>
        <v>0</v>
      </c>
      <c r="L52" s="111">
        <f>COUNTIFS('2024数据'!$D$3:$D$152,"&gt;="&amp;DATE(2024,7,1),'2024数据'!$D$3:$D$152,"&lt;="&amp;DATE(2024,7,31),'2024数据'!$AL$3:$AL$152,$E$37,'2024数据'!$B$3:$B$152,'2024整理'!$E34)</f>
        <v>0</v>
      </c>
      <c r="M52" s="111">
        <f>COUNTIFS('2024数据'!$D$3:$D$152,"&gt;="&amp;DATE(2024,8,1),'2024数据'!$D$3:$D$152,"&lt;="&amp;DATE(2024,8,31),'2024数据'!$AL$3:$AL$152,$E$37,'2024数据'!$B$3:$B$152,'2024整理'!$E34)</f>
        <v>0</v>
      </c>
      <c r="N52" s="111">
        <f>COUNTIFS('2024数据'!$D$3:$D$152,"&gt;="&amp;DATE(2024,9,1),'2024数据'!$D$3:$D$152,"&lt;="&amp;DATE(2024,9,30),'2024数据'!$AL$3:$AL$152,$E$37,'2024数据'!$B$3:$B$152,'2024整理'!$E34)</f>
        <v>0</v>
      </c>
      <c r="O52" s="111">
        <f>COUNTIFS('2024数据'!$D$3:$D$152,"&gt;="&amp;DATE(2024,10,1),'2024数据'!$D$3:$D$152,"&lt;="&amp;DATE(2024,10,31),'2024数据'!$AL$3:$AL$152,$E$37,'2024数据'!$B$3:$B$152,'2024整理'!$E34)</f>
        <v>0</v>
      </c>
      <c r="P52" s="111">
        <f>COUNTIFS('2024数据'!$D$3:$D$152,"&gt;="&amp;DATE(2024,11,1),'2024数据'!$D$3:$D$152,"&lt;="&amp;DATE(2024,11,30),'2024数据'!$AL$3:$AL$152,$E$37,'2024数据'!$B$3:$B$152,'2024整理'!$E34)</f>
        <v>0</v>
      </c>
      <c r="Q52" s="111">
        <f>COUNTIFS('2024数据'!$D$3:$D$152,"&gt;="&amp;DATE(2024,12,1),'2024数据'!$D$3:$D$152,"&lt;="&amp;DATE(2024,12,31),'2024数据'!$AL$3:$AL$152,$E$37,'2024数据'!$B$3:$B$152,'2024整理'!$E34)</f>
        <v>0</v>
      </c>
    </row>
    <row r="53" ht="24" customHeight="1" spans="1:17">
      <c r="A53" s="99" t="s">
        <v>289</v>
      </c>
      <c r="B53" s="99" t="s">
        <v>299</v>
      </c>
      <c r="C53" s="99" t="s">
        <v>291</v>
      </c>
      <c r="D53" s="100" t="s">
        <v>292</v>
      </c>
      <c r="E53" s="100" t="s">
        <v>306</v>
      </c>
      <c r="F53" s="104">
        <f t="shared" ref="F53:Q53" si="6">SUM(F54:F56)</f>
        <v>4</v>
      </c>
      <c r="G53" s="104">
        <f t="shared" si="6"/>
        <v>0</v>
      </c>
      <c r="H53" s="104">
        <f t="shared" si="6"/>
        <v>2</v>
      </c>
      <c r="I53" s="104">
        <f t="shared" si="6"/>
        <v>5</v>
      </c>
      <c r="J53" s="104">
        <f t="shared" si="6"/>
        <v>7</v>
      </c>
      <c r="K53" s="104">
        <f t="shared" si="6"/>
        <v>4</v>
      </c>
      <c r="L53" s="104">
        <f t="shared" si="6"/>
        <v>4</v>
      </c>
      <c r="M53" s="104">
        <f t="shared" si="6"/>
        <v>5</v>
      </c>
      <c r="N53" s="104">
        <f t="shared" si="6"/>
        <v>5</v>
      </c>
      <c r="O53" s="104">
        <f t="shared" si="6"/>
        <v>1</v>
      </c>
      <c r="P53" s="104">
        <f t="shared" si="6"/>
        <v>2</v>
      </c>
      <c r="Q53" s="104">
        <f t="shared" si="6"/>
        <v>3</v>
      </c>
    </row>
    <row r="54" ht="24" customHeight="1" spans="1:17">
      <c r="A54" s="99" t="s">
        <v>289</v>
      </c>
      <c r="B54" s="99" t="s">
        <v>299</v>
      </c>
      <c r="C54" s="99" t="s">
        <v>291</v>
      </c>
      <c r="D54" s="48" t="s">
        <v>296</v>
      </c>
      <c r="E54" s="48" t="s">
        <v>406</v>
      </c>
      <c r="F54" s="105">
        <f>COUNTIFS('2024数据'!$D$3:$D$152,"&gt;="&amp;DATE(2024,1,1),'2024数据'!$D$3:$D$152,"&lt;="&amp;DATE(2024,1,31),'2024数据'!$AF$3:$AF$152,$E54)</f>
        <v>1</v>
      </c>
      <c r="G54" s="105">
        <f>COUNTIFS('2024数据'!$D$3:$D$152,"&gt;="&amp;DATE(2024,2,1),'2024数据'!$D$3:$D$152,"&lt;="&amp;DATE(2024,2,29),'2024数据'!$AF$3:$AF$152,$E54)</f>
        <v>0</v>
      </c>
      <c r="H54" s="105">
        <f>COUNTIFS('2024数据'!$D$3:$D$152,"&gt;="&amp;DATE(2024,3,1),'2024数据'!$D$3:$D$152,"&lt;="&amp;DATE(2024,3,31),'2024数据'!$AF$3:$AF$152,$E54)</f>
        <v>0</v>
      </c>
      <c r="I54" s="105">
        <f>COUNTIFS('2024数据'!$D$3:$D$152,"&gt;="&amp;DATE(2024,4,1),'2024数据'!$D$3:$D$152,"&lt;="&amp;DATE(2024,4,30),'2024数据'!$AF$3:$AF$152,$E54)</f>
        <v>0</v>
      </c>
      <c r="J54" s="105">
        <f>COUNTIFS('2024数据'!$D$3:$D$152,"&gt;="&amp;DATE(2024,5,1),'2024数据'!$D$3:$D$152,"&lt;="&amp;DATE(2024,5,31),'2024数据'!$AF$3:$AF$152,$E54)</f>
        <v>2</v>
      </c>
      <c r="K54" s="105">
        <f>COUNTIFS('2024数据'!$D$3:$D$152,"&gt;="&amp;DATE(2024,6,1),'2024数据'!$D$3:$D$152,"&lt;="&amp;DATE(2024,6,30),'2024数据'!$AF$3:$AF$152,$E54)</f>
        <v>1</v>
      </c>
      <c r="L54" s="105">
        <f>COUNTIFS('2024数据'!$D$3:$D$152,"&gt;="&amp;DATE(2024,7,1),'2024数据'!$D$3:$D$152,"&lt;="&amp;DATE(2024,7,31),'2024数据'!$AF$3:$AF$152,$E54)</f>
        <v>3</v>
      </c>
      <c r="M54" s="105">
        <f>COUNTIFS('2024数据'!$D$3:$D$152,"&gt;="&amp;DATE(2024,8,1),'2024数据'!$D$3:$D$152,"&lt;="&amp;DATE(2024,8,31),'2024数据'!$AF$3:$AF$152,$E54)</f>
        <v>2</v>
      </c>
      <c r="N54" s="105">
        <f>COUNTIFS('2024数据'!$D$3:$D$152,"&gt;="&amp;DATE(2024,9,1),'2024数据'!$D$3:$D$152,"&lt;="&amp;DATE(2024,9,30),'2024数据'!$AF$3:$AF$152,$E54)</f>
        <v>2</v>
      </c>
      <c r="O54" s="105">
        <f>COUNTIFS('2024数据'!$D$3:$D$152,"&gt;="&amp;DATE(2024,10,1),'2024数据'!$D$3:$D$152,"&lt;="&amp;DATE(2024,10,31),'2024数据'!$AF$3:$AF$152,$E54)</f>
        <v>0</v>
      </c>
      <c r="P54" s="105">
        <f>COUNTIFS('2024数据'!$D$3:$D$152,"&gt;="&amp;DATE(2024,11,1),'2024数据'!$D$3:$D$152,"&lt;="&amp;DATE(2024,11,30),'2024数据'!$AF$3:$AF$152,$E54)</f>
        <v>1</v>
      </c>
      <c r="Q54" s="105">
        <f>COUNTIFS('2024数据'!$D$3:$D$152,"&gt;="&amp;DATE(2024,12,1),'2024数据'!$D$3:$D$152,"&lt;="&amp;DATE(2024,12,31),'2024数据'!$AF$3:$AF$152,$E54)</f>
        <v>2</v>
      </c>
    </row>
    <row r="55" ht="24" customHeight="1" spans="1:17">
      <c r="A55" s="99" t="s">
        <v>289</v>
      </c>
      <c r="B55" s="99" t="s">
        <v>299</v>
      </c>
      <c r="C55" s="99" t="s">
        <v>291</v>
      </c>
      <c r="D55" s="48" t="s">
        <v>296</v>
      </c>
      <c r="E55" s="48" t="s">
        <v>82</v>
      </c>
      <c r="F55" s="105">
        <f>COUNTIFS('2024数据'!$D$3:$D$152,"&gt;="&amp;DATE(2024,1,1),'2024数据'!$D$3:$D$152,"&lt;="&amp;DATE(2024,1,31),'2024数据'!$AF$3:$AF$152,$E55)</f>
        <v>1</v>
      </c>
      <c r="G55" s="105">
        <f>COUNTIFS('2024数据'!$D$3:$D$152,"&gt;="&amp;DATE(2024,2,1),'2024数据'!$D$3:$D$152,"&lt;="&amp;DATE(2024,2,29),'2024数据'!$AF$3:$AF$152,$E55)</f>
        <v>0</v>
      </c>
      <c r="H55" s="105">
        <f>COUNTIFS('2024数据'!$D$3:$D$152,"&gt;="&amp;DATE(2024,3,1),'2024数据'!$D$3:$D$152,"&lt;="&amp;DATE(2024,3,31),'2024数据'!$AF$3:$AF$152,$E55)</f>
        <v>1</v>
      </c>
      <c r="I55" s="105">
        <f>COUNTIFS('2024数据'!$D$3:$D$152,"&gt;="&amp;DATE(2024,4,1),'2024数据'!$D$3:$D$152,"&lt;="&amp;DATE(2024,4,30),'2024数据'!$AF$3:$AF$152,$E55)</f>
        <v>1</v>
      </c>
      <c r="J55" s="105">
        <f>COUNTIFS('2024数据'!$D$3:$D$152,"&gt;="&amp;DATE(2024,5,1),'2024数据'!$D$3:$D$152,"&lt;="&amp;DATE(2024,5,31),'2024数据'!$AF$3:$AF$152,$E55)</f>
        <v>3</v>
      </c>
      <c r="K55" s="105">
        <f>COUNTIFS('2024数据'!$D$3:$D$152,"&gt;="&amp;DATE(2024,6,1),'2024数据'!$D$3:$D$152,"&lt;="&amp;DATE(2024,6,30),'2024数据'!$AF$3:$AF$152,$E55)</f>
        <v>0</v>
      </c>
      <c r="L55" s="105">
        <f>COUNTIFS('2024数据'!$D$3:$D$152,"&gt;="&amp;DATE(2024,7,1),'2024数据'!$D$3:$D$152,"&lt;="&amp;DATE(2024,7,31),'2024数据'!$AF$3:$AF$152,$E55)</f>
        <v>0</v>
      </c>
      <c r="M55" s="105">
        <f>COUNTIFS('2024数据'!$D$3:$D$152,"&gt;="&amp;DATE(2024,8,1),'2024数据'!$D$3:$D$152,"&lt;="&amp;DATE(2024,8,31),'2024数据'!$AF$3:$AF$152,$E55)</f>
        <v>2</v>
      </c>
      <c r="N55" s="105">
        <f>COUNTIFS('2024数据'!$D$3:$D$152,"&gt;="&amp;DATE(2024,9,1),'2024数据'!$D$3:$D$152,"&lt;="&amp;DATE(2024,9,30),'2024数据'!$AF$3:$AF$152,$E55)</f>
        <v>2</v>
      </c>
      <c r="O55" s="105">
        <f>COUNTIFS('2024数据'!$D$3:$D$152,"&gt;="&amp;DATE(2024,10,1),'2024数据'!$D$3:$D$152,"&lt;="&amp;DATE(2024,10,31),'2024数据'!$AF$3:$AF$152,$E55)</f>
        <v>1</v>
      </c>
      <c r="P55" s="105">
        <f>COUNTIFS('2024数据'!$D$3:$D$152,"&gt;="&amp;DATE(2024,11,1),'2024数据'!$D$3:$D$152,"&lt;="&amp;DATE(2024,11,30),'2024数据'!$AF$3:$AF$152,$E55)</f>
        <v>1</v>
      </c>
      <c r="Q55" s="105">
        <f>COUNTIFS('2024数据'!$D$3:$D$152,"&gt;="&amp;DATE(2024,12,1),'2024数据'!$D$3:$D$152,"&lt;="&amp;DATE(2024,12,31),'2024数据'!$AF$3:$AF$152,$E55)</f>
        <v>1</v>
      </c>
    </row>
    <row r="56" ht="24" customHeight="1" spans="1:17">
      <c r="A56" s="99" t="s">
        <v>289</v>
      </c>
      <c r="B56" s="99" t="s">
        <v>299</v>
      </c>
      <c r="C56" s="99" t="s">
        <v>291</v>
      </c>
      <c r="D56" s="48" t="s">
        <v>296</v>
      </c>
      <c r="E56" s="48" t="s">
        <v>86</v>
      </c>
      <c r="F56" s="105">
        <f>COUNTIFS('2024数据'!$D$3:$D$152,"&gt;="&amp;DATE(2024,1,1),'2024数据'!$D$3:$D$152,"&lt;="&amp;DATE(2024,1,31),'2024数据'!$AF$3:$AF$152,$E56)</f>
        <v>2</v>
      </c>
      <c r="G56" s="105">
        <f>COUNTIFS('2024数据'!$D$3:$D$152,"&gt;="&amp;DATE(2024,2,1),'2024数据'!$D$3:$D$152,"&lt;="&amp;DATE(2024,2,29),'2024数据'!$AF$3:$AF$152,$E56)</f>
        <v>0</v>
      </c>
      <c r="H56" s="105">
        <f>COUNTIFS('2024数据'!$D$3:$D$152,"&gt;="&amp;DATE(2024,3,1),'2024数据'!$D$3:$D$152,"&lt;="&amp;DATE(2024,3,31),'2024数据'!$AF$3:$AF$152,$E56)</f>
        <v>1</v>
      </c>
      <c r="I56" s="105">
        <f>COUNTIFS('2024数据'!$D$3:$D$152,"&gt;="&amp;DATE(2024,4,1),'2024数据'!$D$3:$D$152,"&lt;="&amp;DATE(2024,4,30),'2024数据'!$AF$3:$AF$152,$E56)</f>
        <v>4</v>
      </c>
      <c r="J56" s="105">
        <f>COUNTIFS('2024数据'!$D$3:$D$152,"&gt;="&amp;DATE(2024,5,1),'2024数据'!$D$3:$D$152,"&lt;="&amp;DATE(2024,5,31),'2024数据'!$AF$3:$AF$152,$E56)</f>
        <v>2</v>
      </c>
      <c r="K56" s="105">
        <f>COUNTIFS('2024数据'!$D$3:$D$152,"&gt;="&amp;DATE(2024,6,1),'2024数据'!$D$3:$D$152,"&lt;="&amp;DATE(2024,6,30),'2024数据'!$AF$3:$AF$152,$E56)</f>
        <v>3</v>
      </c>
      <c r="L56" s="105">
        <f>COUNTIFS('2024数据'!$D$3:$D$152,"&gt;="&amp;DATE(2024,7,1),'2024数据'!$D$3:$D$152,"&lt;="&amp;DATE(2024,7,31),'2024数据'!$AF$3:$AF$152,$E56)</f>
        <v>1</v>
      </c>
      <c r="M56" s="105">
        <f>COUNTIFS('2024数据'!$D$3:$D$152,"&gt;="&amp;DATE(2024,8,1),'2024数据'!$D$3:$D$152,"&lt;="&amp;DATE(2024,8,31),'2024数据'!$AF$3:$AF$152,$E56)</f>
        <v>1</v>
      </c>
      <c r="N56" s="105">
        <f>COUNTIFS('2024数据'!$D$3:$D$152,"&gt;="&amp;DATE(2024,9,1),'2024数据'!$D$3:$D$152,"&lt;="&amp;DATE(2024,9,30),'2024数据'!$AF$3:$AF$152,$E56)</f>
        <v>1</v>
      </c>
      <c r="O56" s="105">
        <f>COUNTIFS('2024数据'!$D$3:$D$152,"&gt;="&amp;DATE(2024,10,1),'2024数据'!$D$3:$D$152,"&lt;="&amp;DATE(2024,10,31),'2024数据'!$AF$3:$AF$152,$E56)</f>
        <v>0</v>
      </c>
      <c r="P56" s="105">
        <f>COUNTIFS('2024数据'!$D$3:$D$152,"&gt;="&amp;DATE(2024,11,1),'2024数据'!$D$3:$D$152,"&lt;="&amp;DATE(2024,11,30),'2024数据'!$AF$3:$AF$152,$E56)</f>
        <v>0</v>
      </c>
      <c r="Q56" s="105">
        <f>COUNTIFS('2024数据'!$D$3:$D$152,"&gt;="&amp;DATE(2024,12,1),'2024数据'!$D$3:$D$152,"&lt;="&amp;DATE(2024,12,31),'2024数据'!$AF$3:$AF$152,$E56)</f>
        <v>0</v>
      </c>
    </row>
    <row r="57" ht="24" customHeight="1" spans="1:17">
      <c r="A57" s="99" t="s">
        <v>289</v>
      </c>
      <c r="B57" s="99" t="s">
        <v>299</v>
      </c>
      <c r="C57" s="99" t="s">
        <v>291</v>
      </c>
      <c r="D57" s="100" t="s">
        <v>292</v>
      </c>
      <c r="E57" s="100" t="s">
        <v>307</v>
      </c>
      <c r="F57" s="104">
        <f t="shared" ref="F57:Q57" si="7">SUM(F58:F60)</f>
        <v>6</v>
      </c>
      <c r="G57" s="104">
        <f t="shared" si="7"/>
        <v>1</v>
      </c>
      <c r="H57" s="104">
        <f t="shared" si="7"/>
        <v>1</v>
      </c>
      <c r="I57" s="104">
        <f t="shared" si="7"/>
        <v>4</v>
      </c>
      <c r="J57" s="104">
        <f t="shared" si="7"/>
        <v>8</v>
      </c>
      <c r="K57" s="104">
        <f t="shared" si="7"/>
        <v>3</v>
      </c>
      <c r="L57" s="104">
        <f t="shared" si="7"/>
        <v>3</v>
      </c>
      <c r="M57" s="104">
        <f t="shared" si="7"/>
        <v>4</v>
      </c>
      <c r="N57" s="104">
        <f t="shared" si="7"/>
        <v>4</v>
      </c>
      <c r="O57" s="104">
        <f t="shared" si="7"/>
        <v>2</v>
      </c>
      <c r="P57" s="104">
        <f t="shared" si="7"/>
        <v>3</v>
      </c>
      <c r="Q57" s="104">
        <f t="shared" si="7"/>
        <v>3</v>
      </c>
    </row>
    <row r="58" ht="24" customHeight="1" spans="1:17">
      <c r="A58" s="99" t="s">
        <v>289</v>
      </c>
      <c r="B58" s="99" t="s">
        <v>299</v>
      </c>
      <c r="C58" s="99" t="s">
        <v>291</v>
      </c>
      <c r="D58" s="48" t="s">
        <v>298</v>
      </c>
      <c r="E58" s="48" t="s">
        <v>97</v>
      </c>
      <c r="F58" s="105">
        <f>COUNTIFS('2024数据'!$D$3:$D$152,"&gt;="&amp;DATE(2024,1,1),'2024数据'!$D$3:$D$152,"&lt;="&amp;DATE(2024,1,31),'2024数据'!$AG$3:$AG$152,$E58)</f>
        <v>3</v>
      </c>
      <c r="G58" s="105">
        <f>COUNTIFS('2024数据'!$D$3:$D$152,"&gt;="&amp;DATE(2024,2,1),'2024数据'!$D$3:$D$152,"&lt;="&amp;DATE(2024,2,29),'2024数据'!$AG$3:$AG$152,$E58)</f>
        <v>1</v>
      </c>
      <c r="H58" s="105">
        <f>COUNTIFS('2024数据'!$D$3:$D$152,"&gt;="&amp;DATE(2024,3,1),'2024数据'!$D$3:$D$152,"&lt;="&amp;DATE(2024,3,31),'2024数据'!$AG$3:$AG$152,$E58)</f>
        <v>1</v>
      </c>
      <c r="I58" s="105">
        <f>COUNTIFS('2024数据'!$D$3:$D$152,"&gt;="&amp;DATE(2024,4,1),'2024数据'!$D$3:$D$152,"&lt;="&amp;DATE(2024,4,30),'2024数据'!$AG$3:$AG$152,$E58)</f>
        <v>0</v>
      </c>
      <c r="J58" s="105">
        <f>COUNTIFS('2024数据'!$D$3:$D$152,"&gt;="&amp;DATE(2024,5,1),'2024数据'!$D$3:$D$152,"&lt;="&amp;DATE(2024,5,31),'2024数据'!$AG$3:$AG$152,$E58)</f>
        <v>6</v>
      </c>
      <c r="K58" s="105">
        <f>COUNTIFS('2024数据'!$D$3:$D$152,"&gt;="&amp;DATE(2024,6,1),'2024数据'!$D$3:$D$152,"&lt;="&amp;DATE(2024,6,30),'2024数据'!$AG$3:$AG$152,$E58)</f>
        <v>1</v>
      </c>
      <c r="L58" s="105">
        <f>COUNTIFS('2024数据'!$D$3:$D$152,"&gt;="&amp;DATE(2024,7,1),'2024数据'!$D$3:$D$152,"&lt;="&amp;DATE(2024,7,31),'2024数据'!$AG$3:$AG$152,$E58)</f>
        <v>1</v>
      </c>
      <c r="M58" s="105">
        <f>COUNTIFS('2024数据'!$D$3:$D$152,"&gt;="&amp;DATE(2024,8,1),'2024数据'!$D$3:$D$152,"&lt;="&amp;DATE(2024,8,31),'2024数据'!$AG$3:$AG$152,$E58)</f>
        <v>3</v>
      </c>
      <c r="N58" s="105">
        <f>COUNTIFS('2024数据'!$D$3:$D$152,"&gt;="&amp;DATE(2024,9,1),'2024数据'!$D$3:$D$152,"&lt;="&amp;DATE(2024,9,30),'2024数据'!$AG$3:$AG$152,$E58)</f>
        <v>0</v>
      </c>
      <c r="O58" s="105">
        <f>COUNTIFS('2024数据'!$D$3:$D$152,"&gt;="&amp;DATE(2024,10,1),'2024数据'!$D$3:$D$152,"&lt;="&amp;DATE(2024,10,31),'2024数据'!$AG$3:$AG$152,$E58)</f>
        <v>1</v>
      </c>
      <c r="P58" s="105">
        <f>COUNTIFS('2024数据'!$D$3:$D$152,"&gt;="&amp;DATE(2024,11,1),'2024数据'!$D$3:$D$152,"&lt;="&amp;DATE(2024,11,30),'2024数据'!$AG$3:$AG$152,$E58)</f>
        <v>1</v>
      </c>
      <c r="Q58" s="105">
        <f>COUNTIFS('2024数据'!$D$3:$D$152,"&gt;="&amp;DATE(2024,12,1),'2024数据'!$D$3:$D$152,"&lt;="&amp;DATE(2024,12,31),'2024数据'!$AG$3:$AG$152,$E58)</f>
        <v>1</v>
      </c>
    </row>
    <row r="59" ht="24" customHeight="1" spans="1:17">
      <c r="A59" s="99" t="s">
        <v>289</v>
      </c>
      <c r="B59" s="99" t="s">
        <v>299</v>
      </c>
      <c r="C59" s="99" t="s">
        <v>291</v>
      </c>
      <c r="D59" s="48" t="s">
        <v>298</v>
      </c>
      <c r="E59" s="48" t="s">
        <v>87</v>
      </c>
      <c r="F59" s="105">
        <f>COUNTIFS('2024数据'!$D$3:$D$152,"&gt;="&amp;DATE(2024,1,1),'2024数据'!$D$3:$D$152,"&lt;="&amp;DATE(2024,1,31),'2024数据'!$AG$3:$AG$152,$E59)</f>
        <v>3</v>
      </c>
      <c r="G59" s="105">
        <f>COUNTIFS('2024数据'!$D$3:$D$152,"&gt;="&amp;DATE(2024,2,1),'2024数据'!$D$3:$D$152,"&lt;="&amp;DATE(2024,2,29),'2024数据'!$AG$3:$AG$152,$E59)</f>
        <v>0</v>
      </c>
      <c r="H59" s="105">
        <f>COUNTIFS('2024数据'!$D$3:$D$152,"&gt;="&amp;DATE(2024,3,1),'2024数据'!$D$3:$D$152,"&lt;="&amp;DATE(2024,3,31),'2024数据'!$AG$3:$AG$152,$E59)</f>
        <v>0</v>
      </c>
      <c r="I59" s="105">
        <f>COUNTIFS('2024数据'!$D$3:$D$152,"&gt;="&amp;DATE(2024,4,1),'2024数据'!$D$3:$D$152,"&lt;="&amp;DATE(2024,4,30),'2024数据'!$AG$3:$AG$152,$E59)</f>
        <v>2</v>
      </c>
      <c r="J59" s="105">
        <f>COUNTIFS('2024数据'!$D$3:$D$152,"&gt;="&amp;DATE(2024,5,1),'2024数据'!$D$3:$D$152,"&lt;="&amp;DATE(2024,5,31),'2024数据'!$AG$3:$AG$152,$E59)</f>
        <v>1</v>
      </c>
      <c r="K59" s="105">
        <f>COUNTIFS('2024数据'!$D$3:$D$152,"&gt;="&amp;DATE(2024,6,1),'2024数据'!$D$3:$D$152,"&lt;="&amp;DATE(2024,6,30),'2024数据'!$AG$3:$AG$152,$E59)</f>
        <v>1</v>
      </c>
      <c r="L59" s="105">
        <f>COUNTIFS('2024数据'!$D$3:$D$152,"&gt;="&amp;DATE(2024,7,1),'2024数据'!$D$3:$D$152,"&lt;="&amp;DATE(2024,7,31),'2024数据'!$AG$3:$AG$152,$E59)</f>
        <v>1</v>
      </c>
      <c r="M59" s="105">
        <f>COUNTIFS('2024数据'!$D$3:$D$152,"&gt;="&amp;DATE(2024,8,1),'2024数据'!$D$3:$D$152,"&lt;="&amp;DATE(2024,8,31),'2024数据'!$AG$3:$AG$152,$E59)</f>
        <v>1</v>
      </c>
      <c r="N59" s="105">
        <f>COUNTIFS('2024数据'!$D$3:$D$152,"&gt;="&amp;DATE(2024,9,1),'2024数据'!$D$3:$D$152,"&lt;="&amp;DATE(2024,9,30),'2024数据'!$AG$3:$AG$152,$E59)</f>
        <v>4</v>
      </c>
      <c r="O59" s="105">
        <f>COUNTIFS('2024数据'!$D$3:$D$152,"&gt;="&amp;DATE(2024,10,1),'2024数据'!$D$3:$D$152,"&lt;="&amp;DATE(2024,10,31),'2024数据'!$AG$3:$AG$152,$E59)</f>
        <v>1</v>
      </c>
      <c r="P59" s="105">
        <f>COUNTIFS('2024数据'!$D$3:$D$152,"&gt;="&amp;DATE(2024,11,1),'2024数据'!$D$3:$D$152,"&lt;="&amp;DATE(2024,11,30),'2024数据'!$AG$3:$AG$152,$E59)</f>
        <v>0</v>
      </c>
      <c r="Q59" s="105">
        <f>COUNTIFS('2024数据'!$D$3:$D$152,"&gt;="&amp;DATE(2024,12,1),'2024数据'!$D$3:$D$152,"&lt;="&amp;DATE(2024,12,31),'2024数据'!$AG$3:$AG$152,$E59)</f>
        <v>1</v>
      </c>
    </row>
    <row r="60" ht="24" customHeight="1" spans="1:17">
      <c r="A60" s="99" t="s">
        <v>289</v>
      </c>
      <c r="B60" s="99" t="s">
        <v>299</v>
      </c>
      <c r="C60" s="99" t="s">
        <v>291</v>
      </c>
      <c r="D60" s="48" t="s">
        <v>298</v>
      </c>
      <c r="E60" s="48" t="s">
        <v>83</v>
      </c>
      <c r="F60" s="105">
        <f>COUNTIFS('2024数据'!$D$3:$D$152,"&gt;="&amp;DATE(2024,1,1),'2024数据'!$D$3:$D$152,"&lt;="&amp;DATE(2024,1,31),'2024数据'!$AG$3:$AG$152,$E60)</f>
        <v>0</v>
      </c>
      <c r="G60" s="105">
        <f>COUNTIFS('2024数据'!$D$3:$D$152,"&gt;="&amp;DATE(2024,2,1),'2024数据'!$D$3:$D$152,"&lt;="&amp;DATE(2024,2,29),'2024数据'!$AG$3:$AG$152,$E60)</f>
        <v>0</v>
      </c>
      <c r="H60" s="105">
        <f>COUNTIFS('2024数据'!$D$3:$D$152,"&gt;="&amp;DATE(2024,3,1),'2024数据'!$D$3:$D$152,"&lt;="&amp;DATE(2024,3,31),'2024数据'!$AG$3:$AG$152,$E60)</f>
        <v>0</v>
      </c>
      <c r="I60" s="105">
        <f>COUNTIFS('2024数据'!$D$3:$D$152,"&gt;="&amp;DATE(2024,4,1),'2024数据'!$D$3:$D$152,"&lt;="&amp;DATE(2024,4,30),'2024数据'!$AG$3:$AG$152,$E60)</f>
        <v>2</v>
      </c>
      <c r="J60" s="105">
        <f>COUNTIFS('2024数据'!$D$3:$D$152,"&gt;="&amp;DATE(2024,5,1),'2024数据'!$D$3:$D$152,"&lt;="&amp;DATE(2024,5,31),'2024数据'!$AG$3:$AG$152,$E60)</f>
        <v>1</v>
      </c>
      <c r="K60" s="105">
        <f>COUNTIFS('2024数据'!$D$3:$D$152,"&gt;="&amp;DATE(2024,6,1),'2024数据'!$D$3:$D$152,"&lt;="&amp;DATE(2024,6,30),'2024数据'!$AG$3:$AG$152,$E60)</f>
        <v>1</v>
      </c>
      <c r="L60" s="105">
        <f>COUNTIFS('2024数据'!$D$3:$D$152,"&gt;="&amp;DATE(2024,7,1),'2024数据'!$D$3:$D$152,"&lt;="&amp;DATE(2024,7,31),'2024数据'!$AG$3:$AG$152,$E60)</f>
        <v>1</v>
      </c>
      <c r="M60" s="105">
        <f>COUNTIFS('2024数据'!$D$3:$D$152,"&gt;="&amp;DATE(2024,8,1),'2024数据'!$D$3:$D$152,"&lt;="&amp;DATE(2024,8,31),'2024数据'!$AG$3:$AG$152,$E60)</f>
        <v>0</v>
      </c>
      <c r="N60" s="105">
        <f>COUNTIFS('2024数据'!$D$3:$D$152,"&gt;="&amp;DATE(2024,9,1),'2024数据'!$D$3:$D$152,"&lt;="&amp;DATE(2024,9,30),'2024数据'!$AG$3:$AG$152,$E60)</f>
        <v>0</v>
      </c>
      <c r="O60" s="105">
        <f>COUNTIFS('2024数据'!$D$3:$D$152,"&gt;="&amp;DATE(2024,10,1),'2024数据'!$D$3:$D$152,"&lt;="&amp;DATE(2024,10,31),'2024数据'!$AG$3:$AG$152,$E60)</f>
        <v>0</v>
      </c>
      <c r="P60" s="105">
        <f>COUNTIFS('2024数据'!$D$3:$D$152,"&gt;="&amp;DATE(2024,11,1),'2024数据'!$D$3:$D$152,"&lt;="&amp;DATE(2024,11,30),'2024数据'!$AG$3:$AG$152,$E60)</f>
        <v>2</v>
      </c>
      <c r="Q60" s="105">
        <f>COUNTIFS('2024数据'!$D$3:$D$152,"&gt;="&amp;DATE(2024,12,1),'2024数据'!$D$3:$D$152,"&lt;="&amp;DATE(2024,12,31),'2024数据'!$AG$3:$AG$152,$E60)</f>
        <v>1</v>
      </c>
    </row>
    <row r="61" ht="24" customHeight="1" spans="1:35">
      <c r="A61" s="99" t="s">
        <v>289</v>
      </c>
      <c r="B61" s="99" t="s">
        <v>308</v>
      </c>
      <c r="C61" s="99" t="s">
        <v>309</v>
      </c>
      <c r="D61" s="100" t="s">
        <v>292</v>
      </c>
      <c r="E61" s="100" t="s">
        <v>310</v>
      </c>
      <c r="F61" s="104">
        <f t="shared" ref="F61:Q61" si="8">IF((SUM(F62:F67)-MAX(F79,F86))&lt;0,"ERR",SUM(F62:F67))</f>
        <v>8</v>
      </c>
      <c r="G61" s="104">
        <f t="shared" si="8"/>
        <v>9</v>
      </c>
      <c r="H61" s="104">
        <f t="shared" si="8"/>
        <v>13</v>
      </c>
      <c r="I61" s="104">
        <f t="shared" si="8"/>
        <v>8</v>
      </c>
      <c r="J61" s="104">
        <f t="shared" si="8"/>
        <v>3</v>
      </c>
      <c r="K61" s="104">
        <f t="shared" si="8"/>
        <v>3</v>
      </c>
      <c r="L61" s="104">
        <f t="shared" si="8"/>
        <v>3</v>
      </c>
      <c r="M61" s="104">
        <f t="shared" si="8"/>
        <v>3</v>
      </c>
      <c r="N61" s="104">
        <f t="shared" si="8"/>
        <v>3</v>
      </c>
      <c r="O61" s="104">
        <f t="shared" si="8"/>
        <v>2</v>
      </c>
      <c r="P61" s="104">
        <f t="shared" si="8"/>
        <v>3</v>
      </c>
      <c r="Q61" s="104">
        <f t="shared" si="8"/>
        <v>1</v>
      </c>
      <c r="R61" s="109"/>
      <c r="S61" s="109"/>
      <c r="T61" s="109"/>
      <c r="U61" s="109"/>
      <c r="V61" s="109"/>
      <c r="W61" s="109"/>
      <c r="X61" s="109"/>
      <c r="Y61" s="109"/>
      <c r="Z61" s="109"/>
      <c r="AA61" s="109"/>
      <c r="AB61" s="109"/>
      <c r="AC61" s="109"/>
      <c r="AD61" s="109"/>
      <c r="AE61" s="109"/>
      <c r="AF61" s="109"/>
      <c r="AG61" s="109"/>
      <c r="AH61" s="109"/>
      <c r="AI61" s="109"/>
    </row>
    <row r="62" ht="24" customHeight="1" spans="1:17">
      <c r="A62" s="99" t="s">
        <v>289</v>
      </c>
      <c r="B62" s="99" t="s">
        <v>308</v>
      </c>
      <c r="C62" s="99" t="s">
        <v>309</v>
      </c>
      <c r="D62" s="48" t="s">
        <v>31</v>
      </c>
      <c r="E62" s="48" t="s">
        <v>406</v>
      </c>
      <c r="F62" s="105">
        <f t="shared" ref="F62:Q62" si="9">F94-F114</f>
        <v>1</v>
      </c>
      <c r="G62" s="105">
        <f t="shared" si="9"/>
        <v>1</v>
      </c>
      <c r="H62" s="105">
        <f t="shared" si="9"/>
        <v>1</v>
      </c>
      <c r="I62" s="105">
        <f t="shared" si="9"/>
        <v>1</v>
      </c>
      <c r="J62" s="105">
        <f t="shared" si="9"/>
        <v>1</v>
      </c>
      <c r="K62" s="105">
        <f t="shared" si="9"/>
        <v>2</v>
      </c>
      <c r="L62" s="105">
        <f t="shared" si="9"/>
        <v>1</v>
      </c>
      <c r="M62" s="105">
        <f t="shared" si="9"/>
        <v>0</v>
      </c>
      <c r="N62" s="105">
        <f t="shared" si="9"/>
        <v>0</v>
      </c>
      <c r="O62" s="105">
        <f t="shared" si="9"/>
        <v>0</v>
      </c>
      <c r="P62" s="105">
        <f t="shared" si="9"/>
        <v>1</v>
      </c>
      <c r="Q62" s="105">
        <f t="shared" si="9"/>
        <v>0</v>
      </c>
    </row>
    <row r="63" ht="24" customHeight="1" spans="1:17">
      <c r="A63" s="99" t="s">
        <v>289</v>
      </c>
      <c r="B63" s="99" t="s">
        <v>308</v>
      </c>
      <c r="C63" s="99" t="s">
        <v>309</v>
      </c>
      <c r="D63" s="48" t="s">
        <v>31</v>
      </c>
      <c r="E63" s="48" t="s">
        <v>82</v>
      </c>
      <c r="F63" s="105">
        <f t="shared" ref="F63:Q63" si="10">F95-F115</f>
        <v>1</v>
      </c>
      <c r="G63" s="105">
        <f t="shared" si="10"/>
        <v>1</v>
      </c>
      <c r="H63" s="105">
        <f t="shared" si="10"/>
        <v>3</v>
      </c>
      <c r="I63" s="105">
        <f t="shared" si="10"/>
        <v>2</v>
      </c>
      <c r="J63" s="105">
        <f t="shared" si="10"/>
        <v>0</v>
      </c>
      <c r="K63" s="105">
        <f t="shared" si="10"/>
        <v>0</v>
      </c>
      <c r="L63" s="105">
        <f t="shared" si="10"/>
        <v>0</v>
      </c>
      <c r="M63" s="105">
        <f t="shared" si="10"/>
        <v>1</v>
      </c>
      <c r="N63" s="105">
        <f t="shared" si="10"/>
        <v>1</v>
      </c>
      <c r="O63" s="105">
        <f t="shared" si="10"/>
        <v>1</v>
      </c>
      <c r="P63" s="105">
        <f t="shared" si="10"/>
        <v>1</v>
      </c>
      <c r="Q63" s="105">
        <f t="shared" si="10"/>
        <v>0</v>
      </c>
    </row>
    <row r="64" ht="24" customHeight="1" spans="1:17">
      <c r="A64" s="99" t="s">
        <v>289</v>
      </c>
      <c r="B64" s="99" t="s">
        <v>308</v>
      </c>
      <c r="C64" s="99" t="s">
        <v>309</v>
      </c>
      <c r="D64" s="48" t="s">
        <v>31</v>
      </c>
      <c r="E64" s="48" t="s">
        <v>86</v>
      </c>
      <c r="F64" s="105">
        <f t="shared" ref="F64:Q64" si="11">F96-F116</f>
        <v>3</v>
      </c>
      <c r="G64" s="105">
        <f t="shared" si="11"/>
        <v>3</v>
      </c>
      <c r="H64" s="105">
        <f t="shared" si="11"/>
        <v>6</v>
      </c>
      <c r="I64" s="105">
        <f t="shared" si="11"/>
        <v>2</v>
      </c>
      <c r="J64" s="105">
        <f t="shared" si="11"/>
        <v>2</v>
      </c>
      <c r="K64" s="105">
        <f t="shared" si="11"/>
        <v>1</v>
      </c>
      <c r="L64" s="105">
        <f t="shared" si="11"/>
        <v>1</v>
      </c>
      <c r="M64" s="105">
        <f t="shared" si="11"/>
        <v>1</v>
      </c>
      <c r="N64" s="105">
        <f t="shared" si="11"/>
        <v>0</v>
      </c>
      <c r="O64" s="105">
        <f t="shared" si="11"/>
        <v>0</v>
      </c>
      <c r="P64" s="105">
        <f t="shared" si="11"/>
        <v>0</v>
      </c>
      <c r="Q64" s="105">
        <f t="shared" si="11"/>
        <v>0</v>
      </c>
    </row>
    <row r="65" ht="24" customHeight="1" spans="1:17">
      <c r="A65" s="99" t="s">
        <v>289</v>
      </c>
      <c r="B65" s="99" t="s">
        <v>308</v>
      </c>
      <c r="C65" s="99" t="s">
        <v>309</v>
      </c>
      <c r="D65" s="48" t="s">
        <v>31</v>
      </c>
      <c r="E65" s="48" t="s">
        <v>97</v>
      </c>
      <c r="F65" s="105">
        <f t="shared" ref="F65:Q65" si="12">F97-F117</f>
        <v>3</v>
      </c>
      <c r="G65" s="105">
        <f t="shared" si="12"/>
        <v>4</v>
      </c>
      <c r="H65" s="105">
        <f t="shared" si="12"/>
        <v>3</v>
      </c>
      <c r="I65" s="105">
        <f t="shared" si="12"/>
        <v>3</v>
      </c>
      <c r="J65" s="105">
        <f t="shared" si="12"/>
        <v>0</v>
      </c>
      <c r="K65" s="105">
        <f t="shared" si="12"/>
        <v>0</v>
      </c>
      <c r="L65" s="105">
        <f t="shared" si="12"/>
        <v>1</v>
      </c>
      <c r="M65" s="105">
        <f t="shared" si="12"/>
        <v>0</v>
      </c>
      <c r="N65" s="105">
        <f t="shared" si="12"/>
        <v>1</v>
      </c>
      <c r="O65" s="105">
        <f t="shared" si="12"/>
        <v>0</v>
      </c>
      <c r="P65" s="105">
        <f t="shared" si="12"/>
        <v>0</v>
      </c>
      <c r="Q65" s="105">
        <f t="shared" si="12"/>
        <v>0</v>
      </c>
    </row>
    <row r="66" ht="24" customHeight="1" spans="1:17">
      <c r="A66" s="99" t="s">
        <v>289</v>
      </c>
      <c r="B66" s="99" t="s">
        <v>308</v>
      </c>
      <c r="C66" s="99" t="s">
        <v>309</v>
      </c>
      <c r="D66" s="48" t="s">
        <v>31</v>
      </c>
      <c r="E66" s="48" t="s">
        <v>87</v>
      </c>
      <c r="F66" s="105">
        <f t="shared" ref="F66:Q66" si="13">F98-F118</f>
        <v>0</v>
      </c>
      <c r="G66" s="105">
        <f t="shared" si="13"/>
        <v>0</v>
      </c>
      <c r="H66" s="105">
        <f t="shared" si="13"/>
        <v>0</v>
      </c>
      <c r="I66" s="105">
        <f t="shared" si="13"/>
        <v>0</v>
      </c>
      <c r="J66" s="105">
        <f t="shared" si="13"/>
        <v>0</v>
      </c>
      <c r="K66" s="105">
        <f t="shared" si="13"/>
        <v>0</v>
      </c>
      <c r="L66" s="105">
        <f t="shared" si="13"/>
        <v>0</v>
      </c>
      <c r="M66" s="105">
        <f t="shared" si="13"/>
        <v>1</v>
      </c>
      <c r="N66" s="105">
        <f t="shared" si="13"/>
        <v>1</v>
      </c>
      <c r="O66" s="105">
        <f t="shared" si="13"/>
        <v>1</v>
      </c>
      <c r="P66" s="105">
        <f t="shared" si="13"/>
        <v>1</v>
      </c>
      <c r="Q66" s="105">
        <f t="shared" si="13"/>
        <v>1</v>
      </c>
    </row>
    <row r="67" ht="24" customHeight="1" spans="1:17">
      <c r="A67" s="99" t="s">
        <v>289</v>
      </c>
      <c r="B67" s="99" t="s">
        <v>308</v>
      </c>
      <c r="C67" s="99" t="s">
        <v>309</v>
      </c>
      <c r="D67" s="48" t="s">
        <v>31</v>
      </c>
      <c r="E67" s="48" t="s">
        <v>83</v>
      </c>
      <c r="F67" s="105">
        <f t="shared" ref="F67:Q67" si="14">F99-F119</f>
        <v>0</v>
      </c>
      <c r="G67" s="105">
        <f t="shared" si="14"/>
        <v>0</v>
      </c>
      <c r="H67" s="105">
        <f t="shared" si="14"/>
        <v>0</v>
      </c>
      <c r="I67" s="105">
        <f t="shared" si="14"/>
        <v>0</v>
      </c>
      <c r="J67" s="105">
        <f t="shared" si="14"/>
        <v>0</v>
      </c>
      <c r="K67" s="105">
        <f t="shared" si="14"/>
        <v>0</v>
      </c>
      <c r="L67" s="105">
        <f t="shared" si="14"/>
        <v>0</v>
      </c>
      <c r="M67" s="105">
        <f t="shared" si="14"/>
        <v>0</v>
      </c>
      <c r="N67" s="105">
        <f t="shared" si="14"/>
        <v>0</v>
      </c>
      <c r="O67" s="105">
        <f t="shared" si="14"/>
        <v>0</v>
      </c>
      <c r="P67" s="105">
        <f t="shared" si="14"/>
        <v>0</v>
      </c>
      <c r="Q67" s="105">
        <f t="shared" si="14"/>
        <v>0</v>
      </c>
    </row>
    <row r="68" ht="24" customHeight="1" spans="1:17">
      <c r="A68" s="99" t="s">
        <v>289</v>
      </c>
      <c r="B68" s="99" t="s">
        <v>308</v>
      </c>
      <c r="C68" s="99" t="s">
        <v>309</v>
      </c>
      <c r="D68" s="48" t="s">
        <v>311</v>
      </c>
      <c r="E68" s="48" t="s">
        <v>406</v>
      </c>
      <c r="F68" s="112">
        <f t="shared" ref="F68:Q68" si="15">IFERROR(F62/F61,"-")</f>
        <v>0.125</v>
      </c>
      <c r="G68" s="112">
        <f t="shared" si="15"/>
        <v>0.111111111111111</v>
      </c>
      <c r="H68" s="112">
        <f t="shared" si="15"/>
        <v>0.0769230769230769</v>
      </c>
      <c r="I68" s="112">
        <f t="shared" si="15"/>
        <v>0.125</v>
      </c>
      <c r="J68" s="112">
        <f t="shared" si="15"/>
        <v>0.333333333333333</v>
      </c>
      <c r="K68" s="112">
        <f t="shared" si="15"/>
        <v>0.666666666666667</v>
      </c>
      <c r="L68" s="112">
        <f t="shared" si="15"/>
        <v>0.333333333333333</v>
      </c>
      <c r="M68" s="112">
        <f t="shared" si="15"/>
        <v>0</v>
      </c>
      <c r="N68" s="112">
        <f t="shared" si="15"/>
        <v>0</v>
      </c>
      <c r="O68" s="112">
        <f t="shared" si="15"/>
        <v>0</v>
      </c>
      <c r="P68" s="112">
        <f t="shared" si="15"/>
        <v>0.333333333333333</v>
      </c>
      <c r="Q68" s="112">
        <f t="shared" si="15"/>
        <v>0</v>
      </c>
    </row>
    <row r="69" ht="24" customHeight="1" spans="1:17">
      <c r="A69" s="99" t="s">
        <v>289</v>
      </c>
      <c r="B69" s="99" t="s">
        <v>308</v>
      </c>
      <c r="C69" s="99" t="s">
        <v>309</v>
      </c>
      <c r="D69" s="48" t="s">
        <v>311</v>
      </c>
      <c r="E69" s="48" t="s">
        <v>82</v>
      </c>
      <c r="F69" s="112">
        <f t="shared" ref="F69:Q69" si="16">IFERROR(F63/F61,"-")</f>
        <v>0.125</v>
      </c>
      <c r="G69" s="112">
        <f t="shared" si="16"/>
        <v>0.111111111111111</v>
      </c>
      <c r="H69" s="112">
        <f t="shared" si="16"/>
        <v>0.230769230769231</v>
      </c>
      <c r="I69" s="112">
        <f t="shared" si="16"/>
        <v>0.25</v>
      </c>
      <c r="J69" s="112">
        <f t="shared" si="16"/>
        <v>0</v>
      </c>
      <c r="K69" s="112">
        <f t="shared" si="16"/>
        <v>0</v>
      </c>
      <c r="L69" s="112">
        <f t="shared" si="16"/>
        <v>0</v>
      </c>
      <c r="M69" s="112">
        <f t="shared" si="16"/>
        <v>0.333333333333333</v>
      </c>
      <c r="N69" s="112">
        <f t="shared" si="16"/>
        <v>0.333333333333333</v>
      </c>
      <c r="O69" s="112">
        <f t="shared" si="16"/>
        <v>0.5</v>
      </c>
      <c r="P69" s="112">
        <f t="shared" si="16"/>
        <v>0.333333333333333</v>
      </c>
      <c r="Q69" s="112">
        <f t="shared" si="16"/>
        <v>0</v>
      </c>
    </row>
    <row r="70" ht="24" customHeight="1" spans="1:17">
      <c r="A70" s="99" t="s">
        <v>289</v>
      </c>
      <c r="B70" s="99" t="s">
        <v>308</v>
      </c>
      <c r="C70" s="99" t="s">
        <v>309</v>
      </c>
      <c r="D70" s="48" t="s">
        <v>311</v>
      </c>
      <c r="E70" s="48" t="s">
        <v>86</v>
      </c>
      <c r="F70" s="112">
        <f t="shared" ref="F70:Q70" si="17">IFERROR(F64/F61,"-")</f>
        <v>0.375</v>
      </c>
      <c r="G70" s="112">
        <f t="shared" si="17"/>
        <v>0.333333333333333</v>
      </c>
      <c r="H70" s="112">
        <f t="shared" si="17"/>
        <v>0.461538461538462</v>
      </c>
      <c r="I70" s="112">
        <f t="shared" si="17"/>
        <v>0.25</v>
      </c>
      <c r="J70" s="112">
        <f t="shared" si="17"/>
        <v>0.666666666666667</v>
      </c>
      <c r="K70" s="112">
        <f t="shared" si="17"/>
        <v>0.333333333333333</v>
      </c>
      <c r="L70" s="112">
        <f t="shared" si="17"/>
        <v>0.333333333333333</v>
      </c>
      <c r="M70" s="112">
        <f t="shared" si="17"/>
        <v>0.333333333333333</v>
      </c>
      <c r="N70" s="112">
        <f t="shared" si="17"/>
        <v>0</v>
      </c>
      <c r="O70" s="112">
        <f t="shared" si="17"/>
        <v>0</v>
      </c>
      <c r="P70" s="112">
        <f t="shared" si="17"/>
        <v>0</v>
      </c>
      <c r="Q70" s="112">
        <f t="shared" si="17"/>
        <v>0</v>
      </c>
    </row>
    <row r="71" ht="24" customHeight="1" spans="1:17">
      <c r="A71" s="99" t="s">
        <v>289</v>
      </c>
      <c r="B71" s="99" t="s">
        <v>308</v>
      </c>
      <c r="C71" s="99" t="s">
        <v>309</v>
      </c>
      <c r="D71" s="48" t="s">
        <v>311</v>
      </c>
      <c r="E71" s="48" t="s">
        <v>97</v>
      </c>
      <c r="F71" s="112">
        <f t="shared" ref="F71:Q71" si="18">IFERROR(F65/F61,"-")</f>
        <v>0.375</v>
      </c>
      <c r="G71" s="112">
        <f t="shared" si="18"/>
        <v>0.444444444444444</v>
      </c>
      <c r="H71" s="112">
        <f t="shared" si="18"/>
        <v>0.230769230769231</v>
      </c>
      <c r="I71" s="112">
        <f t="shared" si="18"/>
        <v>0.375</v>
      </c>
      <c r="J71" s="112">
        <f t="shared" si="18"/>
        <v>0</v>
      </c>
      <c r="K71" s="112">
        <f t="shared" si="18"/>
        <v>0</v>
      </c>
      <c r="L71" s="112">
        <f t="shared" si="18"/>
        <v>0.333333333333333</v>
      </c>
      <c r="M71" s="112">
        <f t="shared" si="18"/>
        <v>0</v>
      </c>
      <c r="N71" s="112">
        <f t="shared" si="18"/>
        <v>0.333333333333333</v>
      </c>
      <c r="O71" s="112">
        <f t="shared" si="18"/>
        <v>0</v>
      </c>
      <c r="P71" s="112">
        <f t="shared" si="18"/>
        <v>0</v>
      </c>
      <c r="Q71" s="112">
        <f t="shared" si="18"/>
        <v>0</v>
      </c>
    </row>
    <row r="72" ht="24" customHeight="1" spans="1:17">
      <c r="A72" s="99" t="s">
        <v>289</v>
      </c>
      <c r="B72" s="99" t="s">
        <v>308</v>
      </c>
      <c r="C72" s="99" t="s">
        <v>309</v>
      </c>
      <c r="D72" s="48" t="s">
        <v>311</v>
      </c>
      <c r="E72" s="48" t="s">
        <v>87</v>
      </c>
      <c r="F72" s="112">
        <f t="shared" ref="F72:Q72" si="19">IFERROR(F66/F61,"-")</f>
        <v>0</v>
      </c>
      <c r="G72" s="112">
        <f t="shared" si="19"/>
        <v>0</v>
      </c>
      <c r="H72" s="112">
        <f t="shared" si="19"/>
        <v>0</v>
      </c>
      <c r="I72" s="112">
        <f t="shared" si="19"/>
        <v>0</v>
      </c>
      <c r="J72" s="112">
        <f t="shared" si="19"/>
        <v>0</v>
      </c>
      <c r="K72" s="112">
        <f t="shared" si="19"/>
        <v>0</v>
      </c>
      <c r="L72" s="112">
        <f t="shared" si="19"/>
        <v>0</v>
      </c>
      <c r="M72" s="112">
        <f t="shared" si="19"/>
        <v>0.333333333333333</v>
      </c>
      <c r="N72" s="112">
        <f t="shared" si="19"/>
        <v>0.333333333333333</v>
      </c>
      <c r="O72" s="112">
        <f t="shared" si="19"/>
        <v>0.5</v>
      </c>
      <c r="P72" s="112">
        <f t="shared" si="19"/>
        <v>0.333333333333333</v>
      </c>
      <c r="Q72" s="112">
        <f t="shared" si="19"/>
        <v>1</v>
      </c>
    </row>
    <row r="73" ht="24" customHeight="1" spans="1:17">
      <c r="A73" s="99" t="s">
        <v>289</v>
      </c>
      <c r="B73" s="99" t="s">
        <v>308</v>
      </c>
      <c r="C73" s="99" t="s">
        <v>309</v>
      </c>
      <c r="D73" s="48" t="s">
        <v>311</v>
      </c>
      <c r="E73" s="48" t="s">
        <v>83</v>
      </c>
      <c r="F73" s="112">
        <f t="shared" ref="F73:Q73" si="20">IFERROR(F67/F61,"-")</f>
        <v>0</v>
      </c>
      <c r="G73" s="112">
        <f t="shared" si="20"/>
        <v>0</v>
      </c>
      <c r="H73" s="112">
        <f t="shared" si="20"/>
        <v>0</v>
      </c>
      <c r="I73" s="112">
        <f t="shared" si="20"/>
        <v>0</v>
      </c>
      <c r="J73" s="112">
        <f t="shared" si="20"/>
        <v>0</v>
      </c>
      <c r="K73" s="112">
        <f t="shared" si="20"/>
        <v>0</v>
      </c>
      <c r="L73" s="112">
        <f t="shared" si="20"/>
        <v>0</v>
      </c>
      <c r="M73" s="112">
        <f t="shared" si="20"/>
        <v>0</v>
      </c>
      <c r="N73" s="112">
        <f t="shared" si="20"/>
        <v>0</v>
      </c>
      <c r="O73" s="112">
        <f t="shared" si="20"/>
        <v>0</v>
      </c>
      <c r="P73" s="112">
        <f t="shared" si="20"/>
        <v>0</v>
      </c>
      <c r="Q73" s="112">
        <f t="shared" si="20"/>
        <v>0</v>
      </c>
    </row>
    <row r="74" ht="24" customHeight="1" spans="1:17">
      <c r="A74" s="99" t="s">
        <v>289</v>
      </c>
      <c r="B74" s="99" t="s">
        <v>308</v>
      </c>
      <c r="C74" s="99" t="s">
        <v>309</v>
      </c>
      <c r="D74" s="47" t="s">
        <v>294</v>
      </c>
      <c r="E74" s="47" t="s">
        <v>93</v>
      </c>
      <c r="F74" s="106">
        <f t="shared" ref="F74:Q74" si="21">F100-F126</f>
        <v>6</v>
      </c>
      <c r="G74" s="106">
        <f t="shared" si="21"/>
        <v>7</v>
      </c>
      <c r="H74" s="106">
        <f t="shared" si="21"/>
        <v>7</v>
      </c>
      <c r="I74" s="106">
        <f t="shared" si="21"/>
        <v>5</v>
      </c>
      <c r="J74" s="106">
        <f t="shared" si="21"/>
        <v>0</v>
      </c>
      <c r="K74" s="106">
        <f t="shared" si="21"/>
        <v>2</v>
      </c>
      <c r="L74" s="106">
        <f t="shared" si="21"/>
        <v>2</v>
      </c>
      <c r="M74" s="106">
        <f t="shared" si="21"/>
        <v>1</v>
      </c>
      <c r="N74" s="106">
        <f t="shared" si="21"/>
        <v>0</v>
      </c>
      <c r="O74" s="106">
        <f t="shared" si="21"/>
        <v>0</v>
      </c>
      <c r="P74" s="106">
        <f t="shared" si="21"/>
        <v>1</v>
      </c>
      <c r="Q74" s="106">
        <f t="shared" si="21"/>
        <v>0</v>
      </c>
    </row>
    <row r="75" ht="24" customHeight="1" spans="1:17">
      <c r="A75" s="99" t="s">
        <v>289</v>
      </c>
      <c r="B75" s="99" t="s">
        <v>308</v>
      </c>
      <c r="C75" s="99" t="s">
        <v>309</v>
      </c>
      <c r="D75" s="47" t="s">
        <v>294</v>
      </c>
      <c r="E75" s="47" t="s">
        <v>85</v>
      </c>
      <c r="F75" s="106">
        <f t="shared" ref="F75:Q75" si="22">F101-F127</f>
        <v>2</v>
      </c>
      <c r="G75" s="106">
        <f t="shared" si="22"/>
        <v>2</v>
      </c>
      <c r="H75" s="106">
        <f t="shared" si="22"/>
        <v>2</v>
      </c>
      <c r="I75" s="106">
        <f t="shared" si="22"/>
        <v>1</v>
      </c>
      <c r="J75" s="106">
        <f t="shared" si="22"/>
        <v>1</v>
      </c>
      <c r="K75" s="106">
        <f t="shared" si="22"/>
        <v>1</v>
      </c>
      <c r="L75" s="106">
        <f t="shared" si="22"/>
        <v>1</v>
      </c>
      <c r="M75" s="106">
        <f t="shared" si="22"/>
        <v>2</v>
      </c>
      <c r="N75" s="106">
        <f t="shared" si="22"/>
        <v>2</v>
      </c>
      <c r="O75" s="106">
        <f t="shared" si="22"/>
        <v>1</v>
      </c>
      <c r="P75" s="106">
        <f t="shared" si="22"/>
        <v>2</v>
      </c>
      <c r="Q75" s="106">
        <f t="shared" si="22"/>
        <v>1</v>
      </c>
    </row>
    <row r="76" ht="24" customHeight="1" spans="1:17">
      <c r="A76" s="99" t="s">
        <v>289</v>
      </c>
      <c r="B76" s="99" t="s">
        <v>308</v>
      </c>
      <c r="C76" s="99" t="s">
        <v>309</v>
      </c>
      <c r="D76" s="47" t="s">
        <v>294</v>
      </c>
      <c r="E76" s="47" t="s">
        <v>81</v>
      </c>
      <c r="F76" s="106">
        <f t="shared" ref="F76:Q76" si="23">F102-F128</f>
        <v>0</v>
      </c>
      <c r="G76" s="106">
        <f t="shared" si="23"/>
        <v>0</v>
      </c>
      <c r="H76" s="106">
        <f t="shared" si="23"/>
        <v>4</v>
      </c>
      <c r="I76" s="106">
        <f t="shared" si="23"/>
        <v>2</v>
      </c>
      <c r="J76" s="106">
        <f t="shared" si="23"/>
        <v>2</v>
      </c>
      <c r="K76" s="106">
        <f t="shared" si="23"/>
        <v>0</v>
      </c>
      <c r="L76" s="106">
        <f t="shared" si="23"/>
        <v>0</v>
      </c>
      <c r="M76" s="106">
        <f t="shared" si="23"/>
        <v>0</v>
      </c>
      <c r="N76" s="106">
        <f t="shared" si="23"/>
        <v>1</v>
      </c>
      <c r="O76" s="106">
        <f t="shared" si="23"/>
        <v>1</v>
      </c>
      <c r="P76" s="106">
        <f t="shared" si="23"/>
        <v>0</v>
      </c>
      <c r="Q76" s="106">
        <f t="shared" si="23"/>
        <v>0</v>
      </c>
    </row>
    <row r="77" ht="24" customHeight="1" spans="1:17">
      <c r="A77" s="99" t="s">
        <v>289</v>
      </c>
      <c r="B77" s="99" t="s">
        <v>308</v>
      </c>
      <c r="C77" s="99" t="s">
        <v>309</v>
      </c>
      <c r="D77" s="47" t="s">
        <v>294</v>
      </c>
      <c r="E77" s="47" t="s">
        <v>96</v>
      </c>
      <c r="F77" s="106">
        <f t="shared" ref="F77:Q77" si="24">F103-F129</f>
        <v>0</v>
      </c>
      <c r="G77" s="106">
        <f t="shared" si="24"/>
        <v>0</v>
      </c>
      <c r="H77" s="106">
        <f t="shared" si="24"/>
        <v>0</v>
      </c>
      <c r="I77" s="106">
        <f t="shared" si="24"/>
        <v>0</v>
      </c>
      <c r="J77" s="106">
        <f t="shared" si="24"/>
        <v>0</v>
      </c>
      <c r="K77" s="106">
        <f t="shared" si="24"/>
        <v>0</v>
      </c>
      <c r="L77" s="106">
        <f t="shared" si="24"/>
        <v>0</v>
      </c>
      <c r="M77" s="106">
        <f t="shared" si="24"/>
        <v>0</v>
      </c>
      <c r="N77" s="106">
        <f t="shared" si="24"/>
        <v>0</v>
      </c>
      <c r="O77" s="106">
        <f t="shared" si="24"/>
        <v>0</v>
      </c>
      <c r="P77" s="106">
        <f t="shared" si="24"/>
        <v>0</v>
      </c>
      <c r="Q77" s="106">
        <f t="shared" si="24"/>
        <v>0</v>
      </c>
    </row>
    <row r="78" ht="24" customHeight="1" spans="1:17">
      <c r="A78" s="99" t="s">
        <v>289</v>
      </c>
      <c r="B78" s="99" t="s">
        <v>308</v>
      </c>
      <c r="C78" s="99" t="s">
        <v>309</v>
      </c>
      <c r="D78" s="47" t="s">
        <v>294</v>
      </c>
      <c r="E78" s="47" t="s">
        <v>160</v>
      </c>
      <c r="F78" s="106">
        <f t="shared" ref="F78:Q78" si="25">F104-F130</f>
        <v>0</v>
      </c>
      <c r="G78" s="106">
        <f t="shared" si="25"/>
        <v>0</v>
      </c>
      <c r="H78" s="106">
        <f t="shared" si="25"/>
        <v>0</v>
      </c>
      <c r="I78" s="106">
        <f t="shared" si="25"/>
        <v>0</v>
      </c>
      <c r="J78" s="106">
        <f t="shared" si="25"/>
        <v>0</v>
      </c>
      <c r="K78" s="106">
        <f t="shared" si="25"/>
        <v>0</v>
      </c>
      <c r="L78" s="106">
        <f t="shared" si="25"/>
        <v>0</v>
      </c>
      <c r="M78" s="106">
        <f t="shared" si="25"/>
        <v>0</v>
      </c>
      <c r="N78" s="106">
        <f t="shared" si="25"/>
        <v>0</v>
      </c>
      <c r="O78" s="106">
        <f t="shared" si="25"/>
        <v>0</v>
      </c>
      <c r="P78" s="106">
        <f t="shared" si="25"/>
        <v>0</v>
      </c>
      <c r="Q78" s="106">
        <f t="shared" si="25"/>
        <v>0</v>
      </c>
    </row>
    <row r="79" ht="24" customHeight="1" spans="1:35">
      <c r="A79" s="99" t="s">
        <v>289</v>
      </c>
      <c r="B79" s="99" t="s">
        <v>308</v>
      </c>
      <c r="C79" s="99" t="s">
        <v>309</v>
      </c>
      <c r="D79" s="100" t="s">
        <v>292</v>
      </c>
      <c r="E79" s="100" t="s">
        <v>312</v>
      </c>
      <c r="F79" s="104">
        <f t="shared" ref="F79:Q79" si="26">SUM(F80:F82)</f>
        <v>7</v>
      </c>
      <c r="G79" s="104">
        <f t="shared" si="26"/>
        <v>8</v>
      </c>
      <c r="H79" s="104">
        <f t="shared" si="26"/>
        <v>12</v>
      </c>
      <c r="I79" s="104">
        <f t="shared" si="26"/>
        <v>7</v>
      </c>
      <c r="J79" s="104">
        <f t="shared" si="26"/>
        <v>3</v>
      </c>
      <c r="K79" s="104">
        <f t="shared" si="26"/>
        <v>3</v>
      </c>
      <c r="L79" s="104">
        <f t="shared" si="26"/>
        <v>3</v>
      </c>
      <c r="M79" s="104">
        <f t="shared" si="26"/>
        <v>2</v>
      </c>
      <c r="N79" s="104">
        <f t="shared" si="26"/>
        <v>1</v>
      </c>
      <c r="O79" s="104">
        <f t="shared" si="26"/>
        <v>1</v>
      </c>
      <c r="P79" s="104">
        <f t="shared" si="26"/>
        <v>2</v>
      </c>
      <c r="Q79" s="104">
        <f t="shared" si="26"/>
        <v>0</v>
      </c>
      <c r="R79" s="109"/>
      <c r="S79" s="109"/>
      <c r="T79" s="109"/>
      <c r="U79" s="109"/>
      <c r="V79" s="109"/>
      <c r="W79" s="109"/>
      <c r="X79" s="109"/>
      <c r="Y79" s="109"/>
      <c r="Z79" s="109"/>
      <c r="AA79" s="109"/>
      <c r="AB79" s="109"/>
      <c r="AC79" s="109"/>
      <c r="AD79" s="109"/>
      <c r="AE79" s="109"/>
      <c r="AF79" s="109"/>
      <c r="AG79" s="109"/>
      <c r="AH79" s="109"/>
      <c r="AI79" s="109"/>
    </row>
    <row r="80" ht="24" customHeight="1" spans="1:17">
      <c r="A80" s="99" t="s">
        <v>289</v>
      </c>
      <c r="B80" s="99" t="s">
        <v>308</v>
      </c>
      <c r="C80" s="99" t="s">
        <v>309</v>
      </c>
      <c r="D80" s="48" t="s">
        <v>296</v>
      </c>
      <c r="E80" s="48" t="s">
        <v>406</v>
      </c>
      <c r="F80" s="105">
        <f t="shared" ref="F80:Q80" si="27">F106-F132</f>
        <v>1</v>
      </c>
      <c r="G80" s="105">
        <f t="shared" si="27"/>
        <v>2</v>
      </c>
      <c r="H80" s="105">
        <f t="shared" si="27"/>
        <v>2</v>
      </c>
      <c r="I80" s="105">
        <f t="shared" si="27"/>
        <v>2</v>
      </c>
      <c r="J80" s="105">
        <f t="shared" si="27"/>
        <v>1</v>
      </c>
      <c r="K80" s="105">
        <f t="shared" si="27"/>
        <v>2</v>
      </c>
      <c r="L80" s="105">
        <f t="shared" si="27"/>
        <v>1</v>
      </c>
      <c r="M80" s="105">
        <f t="shared" si="27"/>
        <v>0</v>
      </c>
      <c r="N80" s="105">
        <f t="shared" si="27"/>
        <v>0</v>
      </c>
      <c r="O80" s="105">
        <f t="shared" si="27"/>
        <v>0</v>
      </c>
      <c r="P80" s="105">
        <f t="shared" si="27"/>
        <v>1</v>
      </c>
      <c r="Q80" s="105">
        <f t="shared" si="27"/>
        <v>0</v>
      </c>
    </row>
    <row r="81" ht="24" customHeight="1" spans="1:17">
      <c r="A81" s="99" t="s">
        <v>289</v>
      </c>
      <c r="B81" s="99" t="s">
        <v>308</v>
      </c>
      <c r="C81" s="99" t="s">
        <v>309</v>
      </c>
      <c r="D81" s="48" t="s">
        <v>296</v>
      </c>
      <c r="E81" s="48" t="s">
        <v>82</v>
      </c>
      <c r="F81" s="105">
        <f t="shared" ref="F81:Q81" si="28">F107-F133</f>
        <v>3</v>
      </c>
      <c r="G81" s="105">
        <f t="shared" si="28"/>
        <v>3</v>
      </c>
      <c r="H81" s="105">
        <f t="shared" si="28"/>
        <v>4</v>
      </c>
      <c r="I81" s="105">
        <f t="shared" si="28"/>
        <v>3</v>
      </c>
      <c r="J81" s="105">
        <f t="shared" si="28"/>
        <v>0</v>
      </c>
      <c r="K81" s="105">
        <f t="shared" si="28"/>
        <v>0</v>
      </c>
      <c r="L81" s="105">
        <f t="shared" si="28"/>
        <v>1</v>
      </c>
      <c r="M81" s="105">
        <f t="shared" si="28"/>
        <v>1</v>
      </c>
      <c r="N81" s="105">
        <f t="shared" si="28"/>
        <v>1</v>
      </c>
      <c r="O81" s="105">
        <f t="shared" si="28"/>
        <v>1</v>
      </c>
      <c r="P81" s="105">
        <f t="shared" si="28"/>
        <v>1</v>
      </c>
      <c r="Q81" s="105">
        <f t="shared" si="28"/>
        <v>0</v>
      </c>
    </row>
    <row r="82" ht="24" customHeight="1" spans="1:17">
      <c r="A82" s="99" t="s">
        <v>289</v>
      </c>
      <c r="B82" s="99" t="s">
        <v>308</v>
      </c>
      <c r="C82" s="99" t="s">
        <v>309</v>
      </c>
      <c r="D82" s="48" t="s">
        <v>296</v>
      </c>
      <c r="E82" s="48" t="s">
        <v>86</v>
      </c>
      <c r="F82" s="105">
        <f t="shared" ref="F82:Q82" si="29">F108-F134</f>
        <v>3</v>
      </c>
      <c r="G82" s="105">
        <f t="shared" si="29"/>
        <v>3</v>
      </c>
      <c r="H82" s="105">
        <f t="shared" si="29"/>
        <v>6</v>
      </c>
      <c r="I82" s="105">
        <f t="shared" si="29"/>
        <v>2</v>
      </c>
      <c r="J82" s="105">
        <f t="shared" si="29"/>
        <v>2</v>
      </c>
      <c r="K82" s="105">
        <f t="shared" si="29"/>
        <v>1</v>
      </c>
      <c r="L82" s="105">
        <f t="shared" si="29"/>
        <v>1</v>
      </c>
      <c r="M82" s="105">
        <f t="shared" si="29"/>
        <v>1</v>
      </c>
      <c r="N82" s="105">
        <f t="shared" si="29"/>
        <v>0</v>
      </c>
      <c r="O82" s="105">
        <f t="shared" si="29"/>
        <v>0</v>
      </c>
      <c r="P82" s="105">
        <f t="shared" si="29"/>
        <v>0</v>
      </c>
      <c r="Q82" s="105">
        <f t="shared" si="29"/>
        <v>0</v>
      </c>
    </row>
    <row r="83" ht="24" customHeight="1" spans="1:17">
      <c r="A83" s="99" t="s">
        <v>289</v>
      </c>
      <c r="B83" s="99" t="s">
        <v>308</v>
      </c>
      <c r="C83" s="99" t="s">
        <v>309</v>
      </c>
      <c r="D83" s="48" t="s">
        <v>313</v>
      </c>
      <c r="E83" s="48" t="s">
        <v>406</v>
      </c>
      <c r="F83" s="112">
        <f t="shared" ref="F83:Q83" si="30">F80/F$79</f>
        <v>0.142857142857143</v>
      </c>
      <c r="G83" s="112">
        <f t="shared" si="30"/>
        <v>0.25</v>
      </c>
      <c r="H83" s="112">
        <f t="shared" si="30"/>
        <v>0.166666666666667</v>
      </c>
      <c r="I83" s="112">
        <f t="shared" si="30"/>
        <v>0.285714285714286</v>
      </c>
      <c r="J83" s="112">
        <f t="shared" si="30"/>
        <v>0.333333333333333</v>
      </c>
      <c r="K83" s="112">
        <f t="shared" si="30"/>
        <v>0.666666666666667</v>
      </c>
      <c r="L83" s="112">
        <f t="shared" si="30"/>
        <v>0.333333333333333</v>
      </c>
      <c r="M83" s="112">
        <f t="shared" si="30"/>
        <v>0</v>
      </c>
      <c r="N83" s="112">
        <f t="shared" si="30"/>
        <v>0</v>
      </c>
      <c r="O83" s="112">
        <f t="shared" si="30"/>
        <v>0</v>
      </c>
      <c r="P83" s="112">
        <f t="shared" si="30"/>
        <v>0.5</v>
      </c>
      <c r="Q83" s="112" t="e">
        <f t="shared" si="30"/>
        <v>#DIV/0!</v>
      </c>
    </row>
    <row r="84" ht="24" customHeight="1" spans="1:17">
      <c r="A84" s="99" t="s">
        <v>289</v>
      </c>
      <c r="B84" s="99" t="s">
        <v>308</v>
      </c>
      <c r="C84" s="99" t="s">
        <v>309</v>
      </c>
      <c r="D84" s="48" t="s">
        <v>313</v>
      </c>
      <c r="E84" s="48" t="s">
        <v>82</v>
      </c>
      <c r="F84" s="112">
        <f t="shared" ref="F84:Q84" si="31">F81/F$79</f>
        <v>0.428571428571429</v>
      </c>
      <c r="G84" s="112">
        <f t="shared" si="31"/>
        <v>0.375</v>
      </c>
      <c r="H84" s="112">
        <f t="shared" si="31"/>
        <v>0.333333333333333</v>
      </c>
      <c r="I84" s="112">
        <f t="shared" si="31"/>
        <v>0.428571428571429</v>
      </c>
      <c r="J84" s="112">
        <f t="shared" si="31"/>
        <v>0</v>
      </c>
      <c r="K84" s="112">
        <f t="shared" si="31"/>
        <v>0</v>
      </c>
      <c r="L84" s="112">
        <f t="shared" si="31"/>
        <v>0.333333333333333</v>
      </c>
      <c r="M84" s="112">
        <f t="shared" si="31"/>
        <v>0.5</v>
      </c>
      <c r="N84" s="112">
        <f t="shared" si="31"/>
        <v>1</v>
      </c>
      <c r="O84" s="112">
        <f t="shared" si="31"/>
        <v>1</v>
      </c>
      <c r="P84" s="112">
        <f t="shared" si="31"/>
        <v>0.5</v>
      </c>
      <c r="Q84" s="112" t="e">
        <f t="shared" si="31"/>
        <v>#DIV/0!</v>
      </c>
    </row>
    <row r="85" ht="24" customHeight="1" spans="1:17">
      <c r="A85" s="99" t="s">
        <v>289</v>
      </c>
      <c r="B85" s="99" t="s">
        <v>308</v>
      </c>
      <c r="C85" s="99" t="s">
        <v>309</v>
      </c>
      <c r="D85" s="48" t="s">
        <v>313</v>
      </c>
      <c r="E85" s="48" t="s">
        <v>86</v>
      </c>
      <c r="F85" s="112">
        <f t="shared" ref="F85:Q85" si="32">F82/F$79</f>
        <v>0.428571428571429</v>
      </c>
      <c r="G85" s="112">
        <f t="shared" si="32"/>
        <v>0.375</v>
      </c>
      <c r="H85" s="112">
        <f t="shared" si="32"/>
        <v>0.5</v>
      </c>
      <c r="I85" s="112">
        <f t="shared" si="32"/>
        <v>0.285714285714286</v>
      </c>
      <c r="J85" s="112">
        <f t="shared" si="32"/>
        <v>0.666666666666667</v>
      </c>
      <c r="K85" s="112">
        <f t="shared" si="32"/>
        <v>0.333333333333333</v>
      </c>
      <c r="L85" s="112">
        <f t="shared" si="32"/>
        <v>0.333333333333333</v>
      </c>
      <c r="M85" s="112">
        <f t="shared" si="32"/>
        <v>0.5</v>
      </c>
      <c r="N85" s="112">
        <f t="shared" si="32"/>
        <v>0</v>
      </c>
      <c r="O85" s="112">
        <f t="shared" si="32"/>
        <v>0</v>
      </c>
      <c r="P85" s="112">
        <f t="shared" si="32"/>
        <v>0</v>
      </c>
      <c r="Q85" s="112" t="e">
        <f t="shared" si="32"/>
        <v>#DIV/0!</v>
      </c>
    </row>
    <row r="86" ht="24" customHeight="1" spans="1:35">
      <c r="A86" s="99" t="s">
        <v>289</v>
      </c>
      <c r="B86" s="99" t="s">
        <v>308</v>
      </c>
      <c r="C86" s="99" t="s">
        <v>309</v>
      </c>
      <c r="D86" s="100" t="s">
        <v>292</v>
      </c>
      <c r="E86" s="100" t="s">
        <v>314</v>
      </c>
      <c r="F86" s="104">
        <f t="shared" ref="F86:Q86" si="33">SUM(F87:F89)</f>
        <v>7</v>
      </c>
      <c r="G86" s="104">
        <f t="shared" si="33"/>
        <v>8</v>
      </c>
      <c r="H86" s="104">
        <f t="shared" si="33"/>
        <v>12</v>
      </c>
      <c r="I86" s="104">
        <f t="shared" si="33"/>
        <v>8</v>
      </c>
      <c r="J86" s="104">
        <f t="shared" si="33"/>
        <v>2</v>
      </c>
      <c r="K86" s="104">
        <f t="shared" si="33"/>
        <v>2</v>
      </c>
      <c r="L86" s="104">
        <f t="shared" si="33"/>
        <v>2</v>
      </c>
      <c r="M86" s="104">
        <f t="shared" si="33"/>
        <v>2</v>
      </c>
      <c r="N86" s="104">
        <f t="shared" si="33"/>
        <v>3</v>
      </c>
      <c r="O86" s="104">
        <f t="shared" si="33"/>
        <v>2</v>
      </c>
      <c r="P86" s="104">
        <f t="shared" si="33"/>
        <v>3</v>
      </c>
      <c r="Q86" s="104">
        <f t="shared" si="33"/>
        <v>1</v>
      </c>
      <c r="R86" s="109"/>
      <c r="S86" s="109"/>
      <c r="T86" s="109"/>
      <c r="U86" s="109"/>
      <c r="V86" s="109"/>
      <c r="W86" s="109"/>
      <c r="X86" s="109"/>
      <c r="Y86" s="109"/>
      <c r="Z86" s="109"/>
      <c r="AA86" s="109"/>
      <c r="AB86" s="109"/>
      <c r="AC86" s="109"/>
      <c r="AD86" s="109"/>
      <c r="AE86" s="109"/>
      <c r="AF86" s="109"/>
      <c r="AG86" s="109"/>
      <c r="AH86" s="109"/>
      <c r="AI86" s="109"/>
    </row>
    <row r="87" ht="24" customHeight="1" spans="1:17">
      <c r="A87" s="99" t="s">
        <v>289</v>
      </c>
      <c r="B87" s="99" t="s">
        <v>308</v>
      </c>
      <c r="C87" s="99" t="s">
        <v>309</v>
      </c>
      <c r="D87" s="48" t="s">
        <v>298</v>
      </c>
      <c r="E87" s="48" t="s">
        <v>97</v>
      </c>
      <c r="F87" s="105">
        <f t="shared" ref="F87:Q87" si="34">F110-F139</f>
        <v>5</v>
      </c>
      <c r="G87" s="105">
        <f t="shared" si="34"/>
        <v>6</v>
      </c>
      <c r="H87" s="105">
        <f t="shared" si="34"/>
        <v>6</v>
      </c>
      <c r="I87" s="105">
        <f t="shared" si="34"/>
        <v>6</v>
      </c>
      <c r="J87" s="105">
        <f t="shared" si="34"/>
        <v>0</v>
      </c>
      <c r="K87" s="105">
        <f t="shared" si="34"/>
        <v>0</v>
      </c>
      <c r="L87" s="105">
        <f t="shared" si="34"/>
        <v>2</v>
      </c>
      <c r="M87" s="105">
        <f t="shared" si="34"/>
        <v>0</v>
      </c>
      <c r="N87" s="105">
        <f t="shared" si="34"/>
        <v>1</v>
      </c>
      <c r="O87" s="105">
        <f t="shared" si="34"/>
        <v>0</v>
      </c>
      <c r="P87" s="105">
        <f t="shared" si="34"/>
        <v>1</v>
      </c>
      <c r="Q87" s="105">
        <f t="shared" si="34"/>
        <v>0</v>
      </c>
    </row>
    <row r="88" ht="24" customHeight="1" spans="1:17">
      <c r="A88" s="99" t="s">
        <v>289</v>
      </c>
      <c r="B88" s="99" t="s">
        <v>308</v>
      </c>
      <c r="C88" s="99" t="s">
        <v>309</v>
      </c>
      <c r="D88" s="48" t="s">
        <v>298</v>
      </c>
      <c r="E88" s="48" t="s">
        <v>87</v>
      </c>
      <c r="F88" s="105">
        <f t="shared" ref="F88:Q88" si="35">F111-F140</f>
        <v>2</v>
      </c>
      <c r="G88" s="105">
        <f t="shared" si="35"/>
        <v>2</v>
      </c>
      <c r="H88" s="105">
        <f t="shared" si="35"/>
        <v>3</v>
      </c>
      <c r="I88" s="105">
        <f t="shared" si="35"/>
        <v>1</v>
      </c>
      <c r="J88" s="105">
        <f t="shared" si="35"/>
        <v>1</v>
      </c>
      <c r="K88" s="105">
        <f t="shared" si="35"/>
        <v>1</v>
      </c>
      <c r="L88" s="105">
        <f t="shared" si="35"/>
        <v>0</v>
      </c>
      <c r="M88" s="105">
        <f t="shared" si="35"/>
        <v>2</v>
      </c>
      <c r="N88" s="105">
        <f t="shared" si="35"/>
        <v>2</v>
      </c>
      <c r="O88" s="105">
        <f t="shared" si="35"/>
        <v>1</v>
      </c>
      <c r="P88" s="105">
        <f t="shared" si="35"/>
        <v>2</v>
      </c>
      <c r="Q88" s="105">
        <f t="shared" si="35"/>
        <v>1</v>
      </c>
    </row>
    <row r="89" ht="24" customHeight="1" spans="1:17">
      <c r="A89" s="99" t="s">
        <v>289</v>
      </c>
      <c r="B89" s="99" t="s">
        <v>308</v>
      </c>
      <c r="C89" s="99" t="s">
        <v>309</v>
      </c>
      <c r="D89" s="48" t="s">
        <v>298</v>
      </c>
      <c r="E89" s="48" t="s">
        <v>83</v>
      </c>
      <c r="F89" s="105">
        <f t="shared" ref="F89:Q89" si="36">F112-F141</f>
        <v>0</v>
      </c>
      <c r="G89" s="105">
        <f t="shared" si="36"/>
        <v>0</v>
      </c>
      <c r="H89" s="105">
        <f t="shared" si="36"/>
        <v>3</v>
      </c>
      <c r="I89" s="105">
        <f t="shared" si="36"/>
        <v>1</v>
      </c>
      <c r="J89" s="105">
        <f t="shared" si="36"/>
        <v>1</v>
      </c>
      <c r="K89" s="105">
        <f t="shared" si="36"/>
        <v>1</v>
      </c>
      <c r="L89" s="105">
        <f t="shared" si="36"/>
        <v>0</v>
      </c>
      <c r="M89" s="105">
        <f t="shared" si="36"/>
        <v>0</v>
      </c>
      <c r="N89" s="105">
        <f t="shared" si="36"/>
        <v>0</v>
      </c>
      <c r="O89" s="105">
        <f t="shared" si="36"/>
        <v>1</v>
      </c>
      <c r="P89" s="105">
        <f t="shared" si="36"/>
        <v>0</v>
      </c>
      <c r="Q89" s="105">
        <f t="shared" si="36"/>
        <v>0</v>
      </c>
    </row>
    <row r="90" ht="24" customHeight="1" spans="1:17">
      <c r="A90" s="99" t="s">
        <v>289</v>
      </c>
      <c r="B90" s="99" t="s">
        <v>308</v>
      </c>
      <c r="C90" s="99" t="s">
        <v>309</v>
      </c>
      <c r="D90" s="48" t="s">
        <v>315</v>
      </c>
      <c r="E90" s="48" t="s">
        <v>97</v>
      </c>
      <c r="F90" s="112">
        <f t="shared" ref="F90:Q90" si="37">F87/F$86</f>
        <v>0.714285714285714</v>
      </c>
      <c r="G90" s="112">
        <f t="shared" si="37"/>
        <v>0.75</v>
      </c>
      <c r="H90" s="112">
        <f t="shared" si="37"/>
        <v>0.5</v>
      </c>
      <c r="I90" s="112">
        <f t="shared" si="37"/>
        <v>0.75</v>
      </c>
      <c r="J90" s="112">
        <f t="shared" si="37"/>
        <v>0</v>
      </c>
      <c r="K90" s="112">
        <f t="shared" si="37"/>
        <v>0</v>
      </c>
      <c r="L90" s="112">
        <f t="shared" si="37"/>
        <v>1</v>
      </c>
      <c r="M90" s="112">
        <f t="shared" si="37"/>
        <v>0</v>
      </c>
      <c r="N90" s="112">
        <f t="shared" si="37"/>
        <v>0.333333333333333</v>
      </c>
      <c r="O90" s="112">
        <f t="shared" si="37"/>
        <v>0</v>
      </c>
      <c r="P90" s="112">
        <f t="shared" si="37"/>
        <v>0.333333333333333</v>
      </c>
      <c r="Q90" s="112">
        <f t="shared" si="37"/>
        <v>0</v>
      </c>
    </row>
    <row r="91" ht="24" customHeight="1" spans="1:17">
      <c r="A91" s="99" t="s">
        <v>289</v>
      </c>
      <c r="B91" s="99" t="s">
        <v>308</v>
      </c>
      <c r="C91" s="99" t="s">
        <v>309</v>
      </c>
      <c r="D91" s="48" t="s">
        <v>315</v>
      </c>
      <c r="E91" s="48" t="s">
        <v>87</v>
      </c>
      <c r="F91" s="112">
        <f t="shared" ref="F91:Q91" si="38">F88/F$86</f>
        <v>0.285714285714286</v>
      </c>
      <c r="G91" s="112">
        <f t="shared" si="38"/>
        <v>0.25</v>
      </c>
      <c r="H91" s="112">
        <f t="shared" si="38"/>
        <v>0.25</v>
      </c>
      <c r="I91" s="112">
        <f t="shared" si="38"/>
        <v>0.125</v>
      </c>
      <c r="J91" s="112">
        <f t="shared" si="38"/>
        <v>0.5</v>
      </c>
      <c r="K91" s="112">
        <f t="shared" si="38"/>
        <v>0.5</v>
      </c>
      <c r="L91" s="112">
        <f t="shared" si="38"/>
        <v>0</v>
      </c>
      <c r="M91" s="112">
        <f t="shared" si="38"/>
        <v>1</v>
      </c>
      <c r="N91" s="112">
        <f t="shared" si="38"/>
        <v>0.666666666666667</v>
      </c>
      <c r="O91" s="112">
        <f t="shared" si="38"/>
        <v>0.5</v>
      </c>
      <c r="P91" s="112">
        <f t="shared" si="38"/>
        <v>0.666666666666667</v>
      </c>
      <c r="Q91" s="112">
        <f t="shared" si="38"/>
        <v>1</v>
      </c>
    </row>
    <row r="92" ht="24" customHeight="1" spans="1:17">
      <c r="A92" s="99" t="s">
        <v>289</v>
      </c>
      <c r="B92" s="99" t="s">
        <v>308</v>
      </c>
      <c r="C92" s="99" t="s">
        <v>309</v>
      </c>
      <c r="D92" s="48" t="s">
        <v>315</v>
      </c>
      <c r="E92" s="48" t="s">
        <v>83</v>
      </c>
      <c r="F92" s="112">
        <f t="shared" ref="F92:Q92" si="39">F89/F$86</f>
        <v>0</v>
      </c>
      <c r="G92" s="112">
        <f t="shared" si="39"/>
        <v>0</v>
      </c>
      <c r="H92" s="112">
        <f t="shared" si="39"/>
        <v>0.25</v>
      </c>
      <c r="I92" s="112">
        <f t="shared" si="39"/>
        <v>0.125</v>
      </c>
      <c r="J92" s="112">
        <f t="shared" si="39"/>
        <v>0.5</v>
      </c>
      <c r="K92" s="112">
        <f t="shared" si="39"/>
        <v>0.5</v>
      </c>
      <c r="L92" s="112">
        <f t="shared" si="39"/>
        <v>0</v>
      </c>
      <c r="M92" s="112">
        <f t="shared" si="39"/>
        <v>0</v>
      </c>
      <c r="N92" s="112">
        <f t="shared" si="39"/>
        <v>0</v>
      </c>
      <c r="O92" s="112">
        <f t="shared" si="39"/>
        <v>0.5</v>
      </c>
      <c r="P92" s="112">
        <f t="shared" si="39"/>
        <v>0</v>
      </c>
      <c r="Q92" s="112">
        <f t="shared" si="39"/>
        <v>0</v>
      </c>
    </row>
    <row r="93" ht="24" customHeight="1" spans="1:35">
      <c r="A93" s="99" t="s">
        <v>289</v>
      </c>
      <c r="B93" s="99" t="s">
        <v>290</v>
      </c>
      <c r="C93" s="99" t="s">
        <v>316</v>
      </c>
      <c r="D93" s="100" t="s">
        <v>292</v>
      </c>
      <c r="E93" s="100" t="s">
        <v>317</v>
      </c>
      <c r="F93" s="104">
        <f t="shared" ref="F93:Q93" si="40">IF((SUM(F94:F99)-MAX(F105,F109))&lt;0,"ERR",SUM(F94:F99))</f>
        <v>14</v>
      </c>
      <c r="G93" s="104">
        <f t="shared" si="40"/>
        <v>16</v>
      </c>
      <c r="H93" s="104">
        <f t="shared" si="40"/>
        <v>22</v>
      </c>
      <c r="I93" s="104">
        <f t="shared" si="40"/>
        <v>22</v>
      </c>
      <c r="J93" s="104">
        <f t="shared" si="40"/>
        <v>25</v>
      </c>
      <c r="K93" s="104">
        <f t="shared" si="40"/>
        <v>29</v>
      </c>
      <c r="L93" s="104">
        <f t="shared" si="40"/>
        <v>33</v>
      </c>
      <c r="M93" s="104">
        <f t="shared" si="40"/>
        <v>38</v>
      </c>
      <c r="N93" s="104">
        <f t="shared" si="40"/>
        <v>43</v>
      </c>
      <c r="O93" s="104">
        <f t="shared" si="40"/>
        <v>44</v>
      </c>
      <c r="P93" s="104">
        <f t="shared" si="40"/>
        <v>48</v>
      </c>
      <c r="Q93" s="104">
        <f t="shared" si="40"/>
        <v>49</v>
      </c>
      <c r="R93" s="109"/>
      <c r="S93" s="109"/>
      <c r="T93" s="109"/>
      <c r="U93" s="109"/>
      <c r="V93" s="109"/>
      <c r="W93" s="109"/>
      <c r="X93" s="109"/>
      <c r="Y93" s="109"/>
      <c r="Z93" s="109"/>
      <c r="AA93" s="109"/>
      <c r="AB93" s="109"/>
      <c r="AC93" s="109"/>
      <c r="AD93" s="109"/>
      <c r="AE93" s="109"/>
      <c r="AF93" s="109"/>
      <c r="AG93" s="109"/>
      <c r="AH93" s="109"/>
      <c r="AI93" s="109"/>
    </row>
    <row r="94" ht="24" customHeight="1" spans="1:17">
      <c r="A94" s="99" t="s">
        <v>289</v>
      </c>
      <c r="B94" s="99" t="s">
        <v>290</v>
      </c>
      <c r="C94" s="99" t="s">
        <v>316</v>
      </c>
      <c r="D94" s="48" t="s">
        <v>31</v>
      </c>
      <c r="E94" s="48" t="s">
        <v>406</v>
      </c>
      <c r="F94" s="105">
        <f t="shared" ref="F94:F104" si="41">F4</f>
        <v>2</v>
      </c>
      <c r="G94" s="105">
        <f t="shared" ref="G94:Q94" si="42">G4+F94</f>
        <v>2</v>
      </c>
      <c r="H94" s="105">
        <f t="shared" si="42"/>
        <v>2</v>
      </c>
      <c r="I94" s="105">
        <f t="shared" si="42"/>
        <v>2</v>
      </c>
      <c r="J94" s="105">
        <f t="shared" si="42"/>
        <v>3</v>
      </c>
      <c r="K94" s="105">
        <f t="shared" si="42"/>
        <v>5</v>
      </c>
      <c r="L94" s="105">
        <f t="shared" si="42"/>
        <v>7</v>
      </c>
      <c r="M94" s="105">
        <f t="shared" si="42"/>
        <v>8</v>
      </c>
      <c r="N94" s="105">
        <f t="shared" si="42"/>
        <v>8</v>
      </c>
      <c r="O94" s="105">
        <f t="shared" si="42"/>
        <v>8</v>
      </c>
      <c r="P94" s="105">
        <f t="shared" si="42"/>
        <v>10</v>
      </c>
      <c r="Q94" s="105">
        <f t="shared" si="42"/>
        <v>10</v>
      </c>
    </row>
    <row r="95" ht="24" customHeight="1" spans="1:17">
      <c r="A95" s="99" t="s">
        <v>289</v>
      </c>
      <c r="B95" s="99" t="s">
        <v>290</v>
      </c>
      <c r="C95" s="99" t="s">
        <v>316</v>
      </c>
      <c r="D95" s="48" t="s">
        <v>31</v>
      </c>
      <c r="E95" s="48" t="s">
        <v>82</v>
      </c>
      <c r="F95" s="105">
        <f t="shared" si="41"/>
        <v>2</v>
      </c>
      <c r="G95" s="105">
        <f t="shared" ref="G95:Q95" si="43">G5+F95</f>
        <v>2</v>
      </c>
      <c r="H95" s="105">
        <f t="shared" si="43"/>
        <v>4</v>
      </c>
      <c r="I95" s="105">
        <f t="shared" si="43"/>
        <v>4</v>
      </c>
      <c r="J95" s="105">
        <f t="shared" si="43"/>
        <v>4</v>
      </c>
      <c r="K95" s="105">
        <f t="shared" si="43"/>
        <v>4</v>
      </c>
      <c r="L95" s="105">
        <f t="shared" si="43"/>
        <v>4</v>
      </c>
      <c r="M95" s="105">
        <f t="shared" si="43"/>
        <v>6</v>
      </c>
      <c r="N95" s="105">
        <f t="shared" si="43"/>
        <v>8</v>
      </c>
      <c r="O95" s="105">
        <f t="shared" si="43"/>
        <v>9</v>
      </c>
      <c r="P95" s="105">
        <f t="shared" si="43"/>
        <v>10</v>
      </c>
      <c r="Q95" s="105">
        <f t="shared" si="43"/>
        <v>10</v>
      </c>
    </row>
    <row r="96" ht="24" customHeight="1" spans="1:17">
      <c r="A96" s="99" t="s">
        <v>289</v>
      </c>
      <c r="B96" s="99" t="s">
        <v>290</v>
      </c>
      <c r="C96" s="99" t="s">
        <v>316</v>
      </c>
      <c r="D96" s="48" t="s">
        <v>31</v>
      </c>
      <c r="E96" s="48" t="s">
        <v>86</v>
      </c>
      <c r="F96" s="105">
        <f t="shared" si="41"/>
        <v>5</v>
      </c>
      <c r="G96" s="105">
        <f t="shared" ref="G96:Q96" si="44">G6+F96</f>
        <v>5</v>
      </c>
      <c r="H96" s="105">
        <f t="shared" si="44"/>
        <v>9</v>
      </c>
      <c r="I96" s="105">
        <f t="shared" si="44"/>
        <v>9</v>
      </c>
      <c r="J96" s="105">
        <f t="shared" si="44"/>
        <v>11</v>
      </c>
      <c r="K96" s="105">
        <f t="shared" si="44"/>
        <v>13</v>
      </c>
      <c r="L96" s="105">
        <f t="shared" si="44"/>
        <v>14</v>
      </c>
      <c r="M96" s="105">
        <f t="shared" si="44"/>
        <v>15</v>
      </c>
      <c r="N96" s="105">
        <f t="shared" si="44"/>
        <v>15</v>
      </c>
      <c r="O96" s="105">
        <f t="shared" si="44"/>
        <v>15</v>
      </c>
      <c r="P96" s="105">
        <f t="shared" si="44"/>
        <v>15</v>
      </c>
      <c r="Q96" s="105">
        <f t="shared" si="44"/>
        <v>15</v>
      </c>
    </row>
    <row r="97" ht="24" customHeight="1" spans="1:17">
      <c r="A97" s="99" t="s">
        <v>289</v>
      </c>
      <c r="B97" s="99" t="s">
        <v>290</v>
      </c>
      <c r="C97" s="99" t="s">
        <v>316</v>
      </c>
      <c r="D97" s="48" t="s">
        <v>31</v>
      </c>
      <c r="E97" s="48" t="s">
        <v>97</v>
      </c>
      <c r="F97" s="105">
        <f t="shared" si="41"/>
        <v>4</v>
      </c>
      <c r="G97" s="105">
        <f t="shared" ref="G97:Q97" si="45">G7+F97</f>
        <v>6</v>
      </c>
      <c r="H97" s="105">
        <f t="shared" si="45"/>
        <v>6</v>
      </c>
      <c r="I97" s="105">
        <f t="shared" si="45"/>
        <v>6</v>
      </c>
      <c r="J97" s="105">
        <f t="shared" si="45"/>
        <v>6</v>
      </c>
      <c r="K97" s="105">
        <f t="shared" si="45"/>
        <v>6</v>
      </c>
      <c r="L97" s="105">
        <f t="shared" si="45"/>
        <v>7</v>
      </c>
      <c r="M97" s="105">
        <f t="shared" si="45"/>
        <v>7</v>
      </c>
      <c r="N97" s="105">
        <f t="shared" si="45"/>
        <v>8</v>
      </c>
      <c r="O97" s="105">
        <f t="shared" si="45"/>
        <v>8</v>
      </c>
      <c r="P97" s="105">
        <f t="shared" si="45"/>
        <v>9</v>
      </c>
      <c r="Q97" s="105">
        <f t="shared" si="45"/>
        <v>9</v>
      </c>
    </row>
    <row r="98" ht="24" customHeight="1" spans="1:17">
      <c r="A98" s="99" t="s">
        <v>289</v>
      </c>
      <c r="B98" s="99" t="s">
        <v>290</v>
      </c>
      <c r="C98" s="99" t="s">
        <v>316</v>
      </c>
      <c r="D98" s="48" t="s">
        <v>31</v>
      </c>
      <c r="E98" s="48" t="s">
        <v>87</v>
      </c>
      <c r="F98" s="105">
        <f t="shared" si="41"/>
        <v>1</v>
      </c>
      <c r="G98" s="105">
        <f t="shared" ref="G98:Q98" si="46">G8+F98</f>
        <v>1</v>
      </c>
      <c r="H98" s="105">
        <f t="shared" si="46"/>
        <v>1</v>
      </c>
      <c r="I98" s="105">
        <f t="shared" si="46"/>
        <v>1</v>
      </c>
      <c r="J98" s="105">
        <f t="shared" si="46"/>
        <v>1</v>
      </c>
      <c r="K98" s="105">
        <f t="shared" si="46"/>
        <v>1</v>
      </c>
      <c r="L98" s="105">
        <f t="shared" si="46"/>
        <v>1</v>
      </c>
      <c r="M98" s="105">
        <f t="shared" si="46"/>
        <v>2</v>
      </c>
      <c r="N98" s="105">
        <f t="shared" si="46"/>
        <v>4</v>
      </c>
      <c r="O98" s="105">
        <f t="shared" si="46"/>
        <v>4</v>
      </c>
      <c r="P98" s="105">
        <f t="shared" si="46"/>
        <v>4</v>
      </c>
      <c r="Q98" s="105">
        <f t="shared" si="46"/>
        <v>4</v>
      </c>
    </row>
    <row r="99" ht="24" customHeight="1" spans="1:17">
      <c r="A99" s="99" t="s">
        <v>289</v>
      </c>
      <c r="B99" s="99" t="s">
        <v>290</v>
      </c>
      <c r="C99" s="99" t="s">
        <v>316</v>
      </c>
      <c r="D99" s="48" t="s">
        <v>31</v>
      </c>
      <c r="E99" s="48" t="s">
        <v>83</v>
      </c>
      <c r="F99" s="105">
        <f t="shared" si="41"/>
        <v>0</v>
      </c>
      <c r="G99" s="105">
        <f t="shared" ref="G99:Q99" si="47">G9+F99</f>
        <v>0</v>
      </c>
      <c r="H99" s="105">
        <f t="shared" si="47"/>
        <v>0</v>
      </c>
      <c r="I99" s="105">
        <f t="shared" si="47"/>
        <v>0</v>
      </c>
      <c r="J99" s="105">
        <f t="shared" si="47"/>
        <v>0</v>
      </c>
      <c r="K99" s="105">
        <f t="shared" si="47"/>
        <v>0</v>
      </c>
      <c r="L99" s="105">
        <f t="shared" si="47"/>
        <v>0</v>
      </c>
      <c r="M99" s="105">
        <f t="shared" si="47"/>
        <v>0</v>
      </c>
      <c r="N99" s="105">
        <f t="shared" si="47"/>
        <v>0</v>
      </c>
      <c r="O99" s="105">
        <f t="shared" si="47"/>
        <v>0</v>
      </c>
      <c r="P99" s="105">
        <f t="shared" si="47"/>
        <v>0</v>
      </c>
      <c r="Q99" s="105">
        <f t="shared" si="47"/>
        <v>1</v>
      </c>
    </row>
    <row r="100" ht="24" customHeight="1" spans="1:17">
      <c r="A100" s="99" t="s">
        <v>289</v>
      </c>
      <c r="B100" s="99" t="s">
        <v>290</v>
      </c>
      <c r="C100" s="99" t="s">
        <v>316</v>
      </c>
      <c r="D100" s="47" t="s">
        <v>294</v>
      </c>
      <c r="E100" s="47" t="s">
        <v>93</v>
      </c>
      <c r="F100" s="106">
        <f t="shared" si="41"/>
        <v>10</v>
      </c>
      <c r="G100" s="106">
        <f t="shared" ref="G100:Q100" si="48">G10+F100</f>
        <v>12</v>
      </c>
      <c r="H100" s="106">
        <f t="shared" si="48"/>
        <v>13</v>
      </c>
      <c r="I100" s="106">
        <f t="shared" si="48"/>
        <v>13</v>
      </c>
      <c r="J100" s="106">
        <f t="shared" si="48"/>
        <v>13</v>
      </c>
      <c r="K100" s="106">
        <f t="shared" si="48"/>
        <v>16</v>
      </c>
      <c r="L100" s="106">
        <f t="shared" si="48"/>
        <v>19</v>
      </c>
      <c r="M100" s="106">
        <f t="shared" si="48"/>
        <v>21</v>
      </c>
      <c r="N100" s="106">
        <f t="shared" si="48"/>
        <v>21</v>
      </c>
      <c r="O100" s="106">
        <f t="shared" si="48"/>
        <v>21</v>
      </c>
      <c r="P100" s="106">
        <f t="shared" si="48"/>
        <v>23</v>
      </c>
      <c r="Q100" s="106">
        <f t="shared" si="48"/>
        <v>23</v>
      </c>
    </row>
    <row r="101" ht="24" customHeight="1" spans="1:17">
      <c r="A101" s="99" t="s">
        <v>289</v>
      </c>
      <c r="B101" s="99" t="s">
        <v>290</v>
      </c>
      <c r="C101" s="99" t="s">
        <v>316</v>
      </c>
      <c r="D101" s="47" t="s">
        <v>294</v>
      </c>
      <c r="E101" s="47" t="s">
        <v>85</v>
      </c>
      <c r="F101" s="106">
        <f t="shared" si="41"/>
        <v>3</v>
      </c>
      <c r="G101" s="106">
        <f t="shared" ref="G101:Q101" si="49">G11+F101</f>
        <v>3</v>
      </c>
      <c r="H101" s="106">
        <f t="shared" si="49"/>
        <v>4</v>
      </c>
      <c r="I101" s="106">
        <f t="shared" si="49"/>
        <v>4</v>
      </c>
      <c r="J101" s="106">
        <f t="shared" si="49"/>
        <v>5</v>
      </c>
      <c r="K101" s="106">
        <f t="shared" si="49"/>
        <v>6</v>
      </c>
      <c r="L101" s="106">
        <f t="shared" si="49"/>
        <v>7</v>
      </c>
      <c r="M101" s="106">
        <f t="shared" si="49"/>
        <v>9</v>
      </c>
      <c r="N101" s="106">
        <f t="shared" si="49"/>
        <v>12</v>
      </c>
      <c r="O101" s="106">
        <f t="shared" si="49"/>
        <v>12</v>
      </c>
      <c r="P101" s="106">
        <f t="shared" si="49"/>
        <v>13</v>
      </c>
      <c r="Q101" s="106">
        <f t="shared" si="49"/>
        <v>14</v>
      </c>
    </row>
    <row r="102" ht="24" customHeight="1" spans="1:17">
      <c r="A102" s="99" t="s">
        <v>289</v>
      </c>
      <c r="B102" s="99" t="s">
        <v>290</v>
      </c>
      <c r="C102" s="99" t="s">
        <v>316</v>
      </c>
      <c r="D102" s="47" t="s">
        <v>294</v>
      </c>
      <c r="E102" s="47" t="s">
        <v>81</v>
      </c>
      <c r="F102" s="106">
        <f t="shared" si="41"/>
        <v>1</v>
      </c>
      <c r="G102" s="106">
        <f t="shared" ref="G102:Q102" si="50">G12+F102</f>
        <v>1</v>
      </c>
      <c r="H102" s="106">
        <f t="shared" si="50"/>
        <v>5</v>
      </c>
      <c r="I102" s="106">
        <f t="shared" si="50"/>
        <v>5</v>
      </c>
      <c r="J102" s="106">
        <f t="shared" si="50"/>
        <v>7</v>
      </c>
      <c r="K102" s="106">
        <f t="shared" si="50"/>
        <v>7</v>
      </c>
      <c r="L102" s="106">
        <f t="shared" si="50"/>
        <v>7</v>
      </c>
      <c r="M102" s="106">
        <f t="shared" si="50"/>
        <v>8</v>
      </c>
      <c r="N102" s="106">
        <f t="shared" si="50"/>
        <v>10</v>
      </c>
      <c r="O102" s="106">
        <f t="shared" si="50"/>
        <v>11</v>
      </c>
      <c r="P102" s="106">
        <f t="shared" si="50"/>
        <v>11</v>
      </c>
      <c r="Q102" s="106">
        <f t="shared" si="50"/>
        <v>11</v>
      </c>
    </row>
    <row r="103" ht="24" customHeight="1" spans="1:17">
      <c r="A103" s="99" t="s">
        <v>289</v>
      </c>
      <c r="B103" s="99" t="s">
        <v>290</v>
      </c>
      <c r="C103" s="99" t="s">
        <v>316</v>
      </c>
      <c r="D103" s="47" t="s">
        <v>294</v>
      </c>
      <c r="E103" s="47" t="s">
        <v>96</v>
      </c>
      <c r="F103" s="106">
        <f t="shared" si="41"/>
        <v>0</v>
      </c>
      <c r="G103" s="106">
        <f t="shared" ref="G103:Q103" si="51">G13+F103</f>
        <v>0</v>
      </c>
      <c r="H103" s="106">
        <f t="shared" si="51"/>
        <v>0</v>
      </c>
      <c r="I103" s="106">
        <f t="shared" si="51"/>
        <v>0</v>
      </c>
      <c r="J103" s="106">
        <f t="shared" si="51"/>
        <v>0</v>
      </c>
      <c r="K103" s="106">
        <f t="shared" si="51"/>
        <v>0</v>
      </c>
      <c r="L103" s="106">
        <f t="shared" si="51"/>
        <v>0</v>
      </c>
      <c r="M103" s="106">
        <f t="shared" si="51"/>
        <v>0</v>
      </c>
      <c r="N103" s="106">
        <f t="shared" si="51"/>
        <v>0</v>
      </c>
      <c r="O103" s="106">
        <f t="shared" si="51"/>
        <v>0</v>
      </c>
      <c r="P103" s="106">
        <f t="shared" si="51"/>
        <v>1</v>
      </c>
      <c r="Q103" s="106">
        <f t="shared" si="51"/>
        <v>1</v>
      </c>
    </row>
    <row r="104" ht="24" customHeight="1" spans="1:17">
      <c r="A104" s="99" t="s">
        <v>289</v>
      </c>
      <c r="B104" s="99" t="s">
        <v>290</v>
      </c>
      <c r="C104" s="99" t="s">
        <v>316</v>
      </c>
      <c r="D104" s="47" t="s">
        <v>294</v>
      </c>
      <c r="E104" s="47" t="s">
        <v>160</v>
      </c>
      <c r="F104" s="106">
        <f t="shared" si="41"/>
        <v>0</v>
      </c>
      <c r="G104" s="106">
        <f t="shared" ref="G104:Q104" si="52">G14+F104</f>
        <v>0</v>
      </c>
      <c r="H104" s="106">
        <f t="shared" si="52"/>
        <v>0</v>
      </c>
      <c r="I104" s="106">
        <f t="shared" si="52"/>
        <v>0</v>
      </c>
      <c r="J104" s="106">
        <f t="shared" si="52"/>
        <v>0</v>
      </c>
      <c r="K104" s="106">
        <f t="shared" si="52"/>
        <v>0</v>
      </c>
      <c r="L104" s="106">
        <f t="shared" si="52"/>
        <v>0</v>
      </c>
      <c r="M104" s="106">
        <f t="shared" si="52"/>
        <v>0</v>
      </c>
      <c r="N104" s="106">
        <f t="shared" si="52"/>
        <v>0</v>
      </c>
      <c r="O104" s="106">
        <f t="shared" si="52"/>
        <v>0</v>
      </c>
      <c r="P104" s="106">
        <f t="shared" si="52"/>
        <v>0</v>
      </c>
      <c r="Q104" s="106">
        <f t="shared" si="52"/>
        <v>0</v>
      </c>
    </row>
    <row r="105" ht="24" customHeight="1" spans="1:35">
      <c r="A105" s="99" t="s">
        <v>289</v>
      </c>
      <c r="B105" s="99" t="s">
        <v>290</v>
      </c>
      <c r="C105" s="99" t="s">
        <v>316</v>
      </c>
      <c r="D105" s="100" t="s">
        <v>292</v>
      </c>
      <c r="E105" s="100" t="s">
        <v>318</v>
      </c>
      <c r="F105" s="104">
        <f t="shared" ref="F105:Q105" si="53">SUM(F106:F108)</f>
        <v>11</v>
      </c>
      <c r="G105" s="104">
        <f t="shared" si="53"/>
        <v>12</v>
      </c>
      <c r="H105" s="104">
        <f t="shared" si="53"/>
        <v>18</v>
      </c>
      <c r="I105" s="104">
        <f t="shared" si="53"/>
        <v>18</v>
      </c>
      <c r="J105" s="104">
        <f t="shared" si="53"/>
        <v>21</v>
      </c>
      <c r="K105" s="104">
        <f t="shared" si="53"/>
        <v>25</v>
      </c>
      <c r="L105" s="104">
        <f t="shared" si="53"/>
        <v>29</v>
      </c>
      <c r="M105" s="104">
        <f t="shared" si="53"/>
        <v>33</v>
      </c>
      <c r="N105" s="104">
        <f t="shared" si="53"/>
        <v>37</v>
      </c>
      <c r="O105" s="104">
        <f t="shared" si="53"/>
        <v>38</v>
      </c>
      <c r="P105" s="104">
        <f t="shared" si="53"/>
        <v>41</v>
      </c>
      <c r="Q105" s="104">
        <f t="shared" si="53"/>
        <v>42</v>
      </c>
      <c r="R105" s="109"/>
      <c r="S105" s="109"/>
      <c r="T105" s="109"/>
      <c r="U105" s="109"/>
      <c r="V105" s="109"/>
      <c r="W105" s="109"/>
      <c r="X105" s="109"/>
      <c r="Y105" s="109"/>
      <c r="Z105" s="109"/>
      <c r="AA105" s="109"/>
      <c r="AB105" s="109"/>
      <c r="AC105" s="109"/>
      <c r="AD105" s="109"/>
      <c r="AE105" s="109"/>
      <c r="AF105" s="109"/>
      <c r="AG105" s="109"/>
      <c r="AH105" s="109"/>
      <c r="AI105" s="109"/>
    </row>
    <row r="106" ht="24" customHeight="1" spans="1:17">
      <c r="A106" s="99" t="s">
        <v>289</v>
      </c>
      <c r="B106" s="99" t="s">
        <v>290</v>
      </c>
      <c r="C106" s="99" t="s">
        <v>316</v>
      </c>
      <c r="D106" s="48" t="s">
        <v>296</v>
      </c>
      <c r="E106" s="48" t="s">
        <v>406</v>
      </c>
      <c r="F106" s="105">
        <f t="shared" ref="F106:F108" si="54">F16</f>
        <v>2</v>
      </c>
      <c r="G106" s="105">
        <f t="shared" ref="G106:Q106" si="55">G16+F106</f>
        <v>3</v>
      </c>
      <c r="H106" s="105">
        <f t="shared" si="55"/>
        <v>3</v>
      </c>
      <c r="I106" s="105">
        <f t="shared" si="55"/>
        <v>3</v>
      </c>
      <c r="J106" s="105">
        <f t="shared" si="55"/>
        <v>4</v>
      </c>
      <c r="K106" s="105">
        <f t="shared" si="55"/>
        <v>6</v>
      </c>
      <c r="L106" s="105">
        <f t="shared" si="55"/>
        <v>8</v>
      </c>
      <c r="M106" s="105">
        <f t="shared" si="55"/>
        <v>9</v>
      </c>
      <c r="N106" s="105">
        <f t="shared" si="55"/>
        <v>11</v>
      </c>
      <c r="O106" s="105">
        <f t="shared" si="55"/>
        <v>11</v>
      </c>
      <c r="P106" s="105">
        <f t="shared" si="55"/>
        <v>13</v>
      </c>
      <c r="Q106" s="105">
        <f t="shared" si="55"/>
        <v>14</v>
      </c>
    </row>
    <row r="107" ht="24" customHeight="1" spans="1:17">
      <c r="A107" s="99" t="s">
        <v>289</v>
      </c>
      <c r="B107" s="99" t="s">
        <v>290</v>
      </c>
      <c r="C107" s="99" t="s">
        <v>316</v>
      </c>
      <c r="D107" s="48" t="s">
        <v>296</v>
      </c>
      <c r="E107" s="48" t="s">
        <v>82</v>
      </c>
      <c r="F107" s="105">
        <f t="shared" si="54"/>
        <v>4</v>
      </c>
      <c r="G107" s="105">
        <f t="shared" ref="G107:Q107" si="56">G17+F107</f>
        <v>4</v>
      </c>
      <c r="H107" s="105">
        <f t="shared" si="56"/>
        <v>6</v>
      </c>
      <c r="I107" s="105">
        <f t="shared" si="56"/>
        <v>6</v>
      </c>
      <c r="J107" s="105">
        <f t="shared" si="56"/>
        <v>6</v>
      </c>
      <c r="K107" s="105">
        <f t="shared" si="56"/>
        <v>6</v>
      </c>
      <c r="L107" s="105">
        <f t="shared" si="56"/>
        <v>7</v>
      </c>
      <c r="M107" s="105">
        <f t="shared" si="56"/>
        <v>9</v>
      </c>
      <c r="N107" s="105">
        <f t="shared" si="56"/>
        <v>11</v>
      </c>
      <c r="O107" s="105">
        <f t="shared" si="56"/>
        <v>12</v>
      </c>
      <c r="P107" s="105">
        <f t="shared" si="56"/>
        <v>13</v>
      </c>
      <c r="Q107" s="105">
        <f t="shared" si="56"/>
        <v>13</v>
      </c>
    </row>
    <row r="108" ht="24" customHeight="1" spans="1:17">
      <c r="A108" s="99" t="s">
        <v>289</v>
      </c>
      <c r="B108" s="99" t="s">
        <v>290</v>
      </c>
      <c r="C108" s="99" t="s">
        <v>316</v>
      </c>
      <c r="D108" s="48" t="s">
        <v>296</v>
      </c>
      <c r="E108" s="48" t="s">
        <v>86</v>
      </c>
      <c r="F108" s="105">
        <f t="shared" si="54"/>
        <v>5</v>
      </c>
      <c r="G108" s="105">
        <f t="shared" ref="G108:Q108" si="57">G18+F108</f>
        <v>5</v>
      </c>
      <c r="H108" s="105">
        <f t="shared" si="57"/>
        <v>9</v>
      </c>
      <c r="I108" s="105">
        <f t="shared" si="57"/>
        <v>9</v>
      </c>
      <c r="J108" s="105">
        <f t="shared" si="57"/>
        <v>11</v>
      </c>
      <c r="K108" s="105">
        <f t="shared" si="57"/>
        <v>13</v>
      </c>
      <c r="L108" s="105">
        <f t="shared" si="57"/>
        <v>14</v>
      </c>
      <c r="M108" s="105">
        <f t="shared" si="57"/>
        <v>15</v>
      </c>
      <c r="N108" s="105">
        <f t="shared" si="57"/>
        <v>15</v>
      </c>
      <c r="O108" s="105">
        <f t="shared" si="57"/>
        <v>15</v>
      </c>
      <c r="P108" s="105">
        <f t="shared" si="57"/>
        <v>15</v>
      </c>
      <c r="Q108" s="105">
        <f t="shared" si="57"/>
        <v>15</v>
      </c>
    </row>
    <row r="109" ht="24" customHeight="1" spans="1:35">
      <c r="A109" s="99" t="s">
        <v>289</v>
      </c>
      <c r="B109" s="99" t="s">
        <v>290</v>
      </c>
      <c r="C109" s="99" t="s">
        <v>316</v>
      </c>
      <c r="D109" s="100" t="s">
        <v>292</v>
      </c>
      <c r="E109" s="100" t="s">
        <v>319</v>
      </c>
      <c r="F109" s="104">
        <f t="shared" ref="F109:Q109" si="58">SUM(F110:F112)</f>
        <v>13</v>
      </c>
      <c r="G109" s="104">
        <f t="shared" si="58"/>
        <v>15</v>
      </c>
      <c r="H109" s="104">
        <f t="shared" si="58"/>
        <v>20</v>
      </c>
      <c r="I109" s="104">
        <f t="shared" si="58"/>
        <v>20</v>
      </c>
      <c r="J109" s="104">
        <f t="shared" si="58"/>
        <v>22</v>
      </c>
      <c r="K109" s="104">
        <f t="shared" si="58"/>
        <v>25</v>
      </c>
      <c r="L109" s="104">
        <f t="shared" si="58"/>
        <v>28</v>
      </c>
      <c r="M109" s="104">
        <f t="shared" si="58"/>
        <v>32</v>
      </c>
      <c r="N109" s="104">
        <f t="shared" si="58"/>
        <v>37</v>
      </c>
      <c r="O109" s="104">
        <f t="shared" si="58"/>
        <v>38</v>
      </c>
      <c r="P109" s="104">
        <f t="shared" si="58"/>
        <v>42</v>
      </c>
      <c r="Q109" s="104">
        <f t="shared" si="58"/>
        <v>43</v>
      </c>
      <c r="R109" s="109"/>
      <c r="S109" s="109"/>
      <c r="T109" s="109"/>
      <c r="U109" s="109"/>
      <c r="V109" s="109"/>
      <c r="W109" s="109"/>
      <c r="X109" s="109"/>
      <c r="Y109" s="109"/>
      <c r="Z109" s="109"/>
      <c r="AA109" s="109"/>
      <c r="AB109" s="109"/>
      <c r="AC109" s="109"/>
      <c r="AD109" s="109"/>
      <c r="AE109" s="109"/>
      <c r="AF109" s="109"/>
      <c r="AG109" s="109"/>
      <c r="AH109" s="109"/>
      <c r="AI109" s="109"/>
    </row>
    <row r="110" ht="24" customHeight="1" spans="1:17">
      <c r="A110" s="99" t="s">
        <v>289</v>
      </c>
      <c r="B110" s="99" t="s">
        <v>290</v>
      </c>
      <c r="C110" s="99" t="s">
        <v>316</v>
      </c>
      <c r="D110" s="48" t="s">
        <v>298</v>
      </c>
      <c r="E110" s="48" t="s">
        <v>97</v>
      </c>
      <c r="F110" s="105">
        <f t="shared" ref="F110:F112" si="59">F20</f>
        <v>8</v>
      </c>
      <c r="G110" s="105">
        <f t="shared" ref="G110:Q110" si="60">G20+F110</f>
        <v>10</v>
      </c>
      <c r="H110" s="105">
        <f t="shared" si="60"/>
        <v>11</v>
      </c>
      <c r="I110" s="105">
        <f t="shared" si="60"/>
        <v>11</v>
      </c>
      <c r="J110" s="105">
        <f t="shared" si="60"/>
        <v>11</v>
      </c>
      <c r="K110" s="105">
        <f t="shared" si="60"/>
        <v>12</v>
      </c>
      <c r="L110" s="105">
        <f t="shared" si="60"/>
        <v>15</v>
      </c>
      <c r="M110" s="105">
        <f t="shared" si="60"/>
        <v>16</v>
      </c>
      <c r="N110" s="105">
        <f t="shared" si="60"/>
        <v>17</v>
      </c>
      <c r="O110" s="105">
        <f t="shared" si="60"/>
        <v>17</v>
      </c>
      <c r="P110" s="105">
        <f t="shared" si="60"/>
        <v>19</v>
      </c>
      <c r="Q110" s="105">
        <f t="shared" si="60"/>
        <v>19</v>
      </c>
    </row>
    <row r="111" ht="24" customHeight="1" spans="1:17">
      <c r="A111" s="99" t="s">
        <v>289</v>
      </c>
      <c r="B111" s="99" t="s">
        <v>290</v>
      </c>
      <c r="C111" s="99" t="s">
        <v>316</v>
      </c>
      <c r="D111" s="48" t="s">
        <v>298</v>
      </c>
      <c r="E111" s="48" t="s">
        <v>87</v>
      </c>
      <c r="F111" s="105">
        <f t="shared" si="59"/>
        <v>5</v>
      </c>
      <c r="G111" s="105">
        <f t="shared" ref="G111:Q111" si="61">G21+F111</f>
        <v>5</v>
      </c>
      <c r="H111" s="105">
        <f t="shared" si="61"/>
        <v>6</v>
      </c>
      <c r="I111" s="105">
        <f t="shared" si="61"/>
        <v>6</v>
      </c>
      <c r="J111" s="105">
        <f t="shared" si="61"/>
        <v>7</v>
      </c>
      <c r="K111" s="105">
        <f t="shared" si="61"/>
        <v>8</v>
      </c>
      <c r="L111" s="105">
        <f t="shared" si="61"/>
        <v>8</v>
      </c>
      <c r="M111" s="105">
        <f t="shared" si="61"/>
        <v>11</v>
      </c>
      <c r="N111" s="105">
        <f t="shared" si="61"/>
        <v>15</v>
      </c>
      <c r="O111" s="105">
        <f t="shared" si="61"/>
        <v>15</v>
      </c>
      <c r="P111" s="105">
        <f t="shared" si="61"/>
        <v>16</v>
      </c>
      <c r="Q111" s="105">
        <f t="shared" si="61"/>
        <v>16</v>
      </c>
    </row>
    <row r="112" ht="24" customHeight="1" spans="1:17">
      <c r="A112" s="99" t="s">
        <v>289</v>
      </c>
      <c r="B112" s="99" t="s">
        <v>290</v>
      </c>
      <c r="C112" s="99" t="s">
        <v>316</v>
      </c>
      <c r="D112" s="48" t="s">
        <v>298</v>
      </c>
      <c r="E112" s="48" t="s">
        <v>83</v>
      </c>
      <c r="F112" s="105">
        <f t="shared" si="59"/>
        <v>0</v>
      </c>
      <c r="G112" s="105">
        <f t="shared" ref="G112:Q112" si="62">G22+F112</f>
        <v>0</v>
      </c>
      <c r="H112" s="105">
        <f t="shared" si="62"/>
        <v>3</v>
      </c>
      <c r="I112" s="105">
        <f t="shared" si="62"/>
        <v>3</v>
      </c>
      <c r="J112" s="105">
        <f t="shared" si="62"/>
        <v>4</v>
      </c>
      <c r="K112" s="105">
        <f t="shared" si="62"/>
        <v>5</v>
      </c>
      <c r="L112" s="105">
        <f t="shared" si="62"/>
        <v>5</v>
      </c>
      <c r="M112" s="105">
        <f t="shared" si="62"/>
        <v>5</v>
      </c>
      <c r="N112" s="105">
        <f t="shared" si="62"/>
        <v>5</v>
      </c>
      <c r="O112" s="105">
        <f t="shared" si="62"/>
        <v>6</v>
      </c>
      <c r="P112" s="105">
        <f t="shared" si="62"/>
        <v>7</v>
      </c>
      <c r="Q112" s="105">
        <f t="shared" si="62"/>
        <v>8</v>
      </c>
    </row>
    <row r="113" ht="24" customHeight="1" spans="1:35">
      <c r="A113" s="99" t="s">
        <v>289</v>
      </c>
      <c r="B113" s="99" t="s">
        <v>299</v>
      </c>
      <c r="C113" s="99" t="s">
        <v>316</v>
      </c>
      <c r="D113" s="100" t="s">
        <v>292</v>
      </c>
      <c r="E113" s="100" t="s">
        <v>320</v>
      </c>
      <c r="F113" s="104">
        <f t="shared" ref="F113:Q113" si="63">IF((SUM(F114:F119)-MAX(F131,F138))&lt;0,"ERR",SUM(F114:F119))</f>
        <v>6</v>
      </c>
      <c r="G113" s="104">
        <f t="shared" si="63"/>
        <v>7</v>
      </c>
      <c r="H113" s="104">
        <f t="shared" si="63"/>
        <v>9</v>
      </c>
      <c r="I113" s="104">
        <f t="shared" si="63"/>
        <v>14</v>
      </c>
      <c r="J113" s="104">
        <f t="shared" si="63"/>
        <v>22</v>
      </c>
      <c r="K113" s="104">
        <f t="shared" si="63"/>
        <v>26</v>
      </c>
      <c r="L113" s="104">
        <f t="shared" si="63"/>
        <v>30</v>
      </c>
      <c r="M113" s="104">
        <f t="shared" si="63"/>
        <v>35</v>
      </c>
      <c r="N113" s="104">
        <f t="shared" si="63"/>
        <v>40</v>
      </c>
      <c r="O113" s="104">
        <f t="shared" si="63"/>
        <v>42</v>
      </c>
      <c r="P113" s="104">
        <f t="shared" si="63"/>
        <v>45</v>
      </c>
      <c r="Q113" s="104">
        <f t="shared" si="63"/>
        <v>48</v>
      </c>
      <c r="R113" s="109"/>
      <c r="S113" s="109"/>
      <c r="T113" s="109"/>
      <c r="U113" s="109"/>
      <c r="V113" s="109"/>
      <c r="W113" s="109"/>
      <c r="X113" s="109"/>
      <c r="Y113" s="109"/>
      <c r="Z113" s="109"/>
      <c r="AA113" s="109"/>
      <c r="AB113" s="109"/>
      <c r="AC113" s="109"/>
      <c r="AD113" s="109"/>
      <c r="AE113" s="109"/>
      <c r="AF113" s="109"/>
      <c r="AG113" s="109"/>
      <c r="AH113" s="109"/>
      <c r="AI113" s="109"/>
    </row>
    <row r="114" ht="24" customHeight="1" spans="1:17">
      <c r="A114" s="99" t="s">
        <v>289</v>
      </c>
      <c r="B114" s="99" t="s">
        <v>299</v>
      </c>
      <c r="C114" s="99" t="s">
        <v>316</v>
      </c>
      <c r="D114" s="48" t="s">
        <v>31</v>
      </c>
      <c r="E114" s="48" t="s">
        <v>406</v>
      </c>
      <c r="F114" s="105">
        <f t="shared" ref="F114:F119" si="64">F24</f>
        <v>1</v>
      </c>
      <c r="G114" s="105">
        <f t="shared" ref="G114:Q114" si="65">G24+F114</f>
        <v>1</v>
      </c>
      <c r="H114" s="105">
        <f t="shared" si="65"/>
        <v>1</v>
      </c>
      <c r="I114" s="105">
        <f t="shared" si="65"/>
        <v>1</v>
      </c>
      <c r="J114" s="105">
        <f t="shared" si="65"/>
        <v>2</v>
      </c>
      <c r="K114" s="105">
        <f t="shared" si="65"/>
        <v>3</v>
      </c>
      <c r="L114" s="105">
        <f t="shared" si="65"/>
        <v>6</v>
      </c>
      <c r="M114" s="105">
        <f t="shared" si="65"/>
        <v>8</v>
      </c>
      <c r="N114" s="105">
        <f t="shared" si="65"/>
        <v>8</v>
      </c>
      <c r="O114" s="105">
        <f t="shared" si="65"/>
        <v>8</v>
      </c>
      <c r="P114" s="105">
        <f t="shared" si="65"/>
        <v>9</v>
      </c>
      <c r="Q114" s="105">
        <f t="shared" si="65"/>
        <v>10</v>
      </c>
    </row>
    <row r="115" ht="24" customHeight="1" spans="1:17">
      <c r="A115" s="99" t="s">
        <v>289</v>
      </c>
      <c r="B115" s="99" t="s">
        <v>299</v>
      </c>
      <c r="C115" s="99" t="s">
        <v>316</v>
      </c>
      <c r="D115" s="48" t="s">
        <v>31</v>
      </c>
      <c r="E115" s="48" t="s">
        <v>82</v>
      </c>
      <c r="F115" s="105">
        <f t="shared" si="64"/>
        <v>1</v>
      </c>
      <c r="G115" s="105">
        <f t="shared" ref="G115:Q115" si="66">G25+F115</f>
        <v>1</v>
      </c>
      <c r="H115" s="105">
        <f t="shared" si="66"/>
        <v>1</v>
      </c>
      <c r="I115" s="105">
        <f t="shared" si="66"/>
        <v>2</v>
      </c>
      <c r="J115" s="105">
        <f t="shared" si="66"/>
        <v>4</v>
      </c>
      <c r="K115" s="105">
        <f t="shared" si="66"/>
        <v>4</v>
      </c>
      <c r="L115" s="105">
        <f t="shared" si="66"/>
        <v>4</v>
      </c>
      <c r="M115" s="105">
        <f t="shared" si="66"/>
        <v>5</v>
      </c>
      <c r="N115" s="105">
        <f t="shared" si="66"/>
        <v>7</v>
      </c>
      <c r="O115" s="105">
        <f t="shared" si="66"/>
        <v>8</v>
      </c>
      <c r="P115" s="105">
        <f t="shared" si="66"/>
        <v>9</v>
      </c>
      <c r="Q115" s="105">
        <f t="shared" si="66"/>
        <v>10</v>
      </c>
    </row>
    <row r="116" ht="24" customHeight="1" spans="1:17">
      <c r="A116" s="99" t="s">
        <v>289</v>
      </c>
      <c r="B116" s="99" t="s">
        <v>299</v>
      </c>
      <c r="C116" s="99" t="s">
        <v>316</v>
      </c>
      <c r="D116" s="48" t="s">
        <v>31</v>
      </c>
      <c r="E116" s="48" t="s">
        <v>86</v>
      </c>
      <c r="F116" s="105">
        <f t="shared" si="64"/>
        <v>2</v>
      </c>
      <c r="G116" s="105">
        <f t="shared" ref="G116:Q116" si="67">G26+F116</f>
        <v>2</v>
      </c>
      <c r="H116" s="105">
        <f t="shared" si="67"/>
        <v>3</v>
      </c>
      <c r="I116" s="105">
        <f t="shared" si="67"/>
        <v>7</v>
      </c>
      <c r="J116" s="105">
        <f t="shared" si="67"/>
        <v>9</v>
      </c>
      <c r="K116" s="105">
        <f t="shared" si="67"/>
        <v>12</v>
      </c>
      <c r="L116" s="105">
        <f t="shared" si="67"/>
        <v>13</v>
      </c>
      <c r="M116" s="105">
        <f t="shared" si="67"/>
        <v>14</v>
      </c>
      <c r="N116" s="105">
        <f t="shared" si="67"/>
        <v>15</v>
      </c>
      <c r="O116" s="105">
        <f t="shared" si="67"/>
        <v>15</v>
      </c>
      <c r="P116" s="105">
        <f t="shared" si="67"/>
        <v>15</v>
      </c>
      <c r="Q116" s="105">
        <f t="shared" si="67"/>
        <v>15</v>
      </c>
    </row>
    <row r="117" ht="24" customHeight="1" spans="1:17">
      <c r="A117" s="99" t="s">
        <v>289</v>
      </c>
      <c r="B117" s="99" t="s">
        <v>299</v>
      </c>
      <c r="C117" s="99" t="s">
        <v>316</v>
      </c>
      <c r="D117" s="48" t="s">
        <v>31</v>
      </c>
      <c r="E117" s="48" t="s">
        <v>97</v>
      </c>
      <c r="F117" s="105">
        <f t="shared" si="64"/>
        <v>1</v>
      </c>
      <c r="G117" s="105">
        <f t="shared" ref="G117:Q117" si="68">G27+F117</f>
        <v>2</v>
      </c>
      <c r="H117" s="105">
        <f t="shared" si="68"/>
        <v>3</v>
      </c>
      <c r="I117" s="105">
        <f t="shared" si="68"/>
        <v>3</v>
      </c>
      <c r="J117" s="105">
        <f t="shared" si="68"/>
        <v>6</v>
      </c>
      <c r="K117" s="105">
        <f t="shared" si="68"/>
        <v>6</v>
      </c>
      <c r="L117" s="105">
        <f t="shared" si="68"/>
        <v>6</v>
      </c>
      <c r="M117" s="105">
        <f t="shared" si="68"/>
        <v>7</v>
      </c>
      <c r="N117" s="105">
        <f t="shared" si="68"/>
        <v>7</v>
      </c>
      <c r="O117" s="105">
        <f t="shared" si="68"/>
        <v>8</v>
      </c>
      <c r="P117" s="105">
        <f t="shared" si="68"/>
        <v>9</v>
      </c>
      <c r="Q117" s="105">
        <f t="shared" si="68"/>
        <v>9</v>
      </c>
    </row>
    <row r="118" ht="24" customHeight="1" spans="1:17">
      <c r="A118" s="99" t="s">
        <v>289</v>
      </c>
      <c r="B118" s="99" t="s">
        <v>299</v>
      </c>
      <c r="C118" s="99" t="s">
        <v>316</v>
      </c>
      <c r="D118" s="48" t="s">
        <v>31</v>
      </c>
      <c r="E118" s="48" t="s">
        <v>87</v>
      </c>
      <c r="F118" s="105">
        <f t="shared" si="64"/>
        <v>1</v>
      </c>
      <c r="G118" s="105">
        <f t="shared" ref="G118:Q118" si="69">G28+F118</f>
        <v>1</v>
      </c>
      <c r="H118" s="105">
        <f t="shared" si="69"/>
        <v>1</v>
      </c>
      <c r="I118" s="105">
        <f t="shared" si="69"/>
        <v>1</v>
      </c>
      <c r="J118" s="105">
        <f t="shared" si="69"/>
        <v>1</v>
      </c>
      <c r="K118" s="105">
        <f t="shared" si="69"/>
        <v>1</v>
      </c>
      <c r="L118" s="105">
        <f t="shared" si="69"/>
        <v>1</v>
      </c>
      <c r="M118" s="105">
        <f t="shared" si="69"/>
        <v>1</v>
      </c>
      <c r="N118" s="105">
        <f t="shared" si="69"/>
        <v>3</v>
      </c>
      <c r="O118" s="105">
        <f t="shared" si="69"/>
        <v>3</v>
      </c>
      <c r="P118" s="105">
        <f t="shared" si="69"/>
        <v>3</v>
      </c>
      <c r="Q118" s="105">
        <f t="shared" si="69"/>
        <v>3</v>
      </c>
    </row>
    <row r="119" ht="24" customHeight="1" spans="1:17">
      <c r="A119" s="99" t="s">
        <v>289</v>
      </c>
      <c r="B119" s="99" t="s">
        <v>299</v>
      </c>
      <c r="C119" s="99" t="s">
        <v>316</v>
      </c>
      <c r="D119" s="48" t="s">
        <v>31</v>
      </c>
      <c r="E119" s="48" t="s">
        <v>83</v>
      </c>
      <c r="F119" s="105">
        <f t="shared" si="64"/>
        <v>0</v>
      </c>
      <c r="G119" s="105">
        <f t="shared" ref="G119:Q119" si="70">G29+F119</f>
        <v>0</v>
      </c>
      <c r="H119" s="105">
        <f t="shared" si="70"/>
        <v>0</v>
      </c>
      <c r="I119" s="105">
        <f t="shared" si="70"/>
        <v>0</v>
      </c>
      <c r="J119" s="105">
        <f t="shared" si="70"/>
        <v>0</v>
      </c>
      <c r="K119" s="105">
        <f t="shared" si="70"/>
        <v>0</v>
      </c>
      <c r="L119" s="105">
        <f t="shared" si="70"/>
        <v>0</v>
      </c>
      <c r="M119" s="105">
        <f t="shared" si="70"/>
        <v>0</v>
      </c>
      <c r="N119" s="105">
        <f t="shared" si="70"/>
        <v>0</v>
      </c>
      <c r="O119" s="105">
        <f t="shared" si="70"/>
        <v>0</v>
      </c>
      <c r="P119" s="105">
        <f t="shared" si="70"/>
        <v>0</v>
      </c>
      <c r="Q119" s="105">
        <f t="shared" si="70"/>
        <v>1</v>
      </c>
    </row>
    <row r="120" ht="24" customHeight="1" spans="1:17">
      <c r="A120" s="99" t="s">
        <v>289</v>
      </c>
      <c r="B120" s="99" t="s">
        <v>299</v>
      </c>
      <c r="C120" s="99" t="s">
        <v>316</v>
      </c>
      <c r="D120" s="48" t="s">
        <v>321</v>
      </c>
      <c r="E120" s="48" t="s">
        <v>406</v>
      </c>
      <c r="F120" s="112">
        <f t="shared" ref="F120:Q120" si="71">IFERROR(F114/F113,"-")</f>
        <v>0.166666666666667</v>
      </c>
      <c r="G120" s="112">
        <f t="shared" si="71"/>
        <v>0.142857142857143</v>
      </c>
      <c r="H120" s="112">
        <f t="shared" si="71"/>
        <v>0.111111111111111</v>
      </c>
      <c r="I120" s="112">
        <f t="shared" si="71"/>
        <v>0.0714285714285714</v>
      </c>
      <c r="J120" s="112">
        <f t="shared" si="71"/>
        <v>0.0909090909090909</v>
      </c>
      <c r="K120" s="112">
        <f t="shared" si="71"/>
        <v>0.115384615384615</v>
      </c>
      <c r="L120" s="112">
        <f t="shared" si="71"/>
        <v>0.2</v>
      </c>
      <c r="M120" s="112">
        <f t="shared" si="71"/>
        <v>0.228571428571429</v>
      </c>
      <c r="N120" s="112">
        <f t="shared" si="71"/>
        <v>0.2</v>
      </c>
      <c r="O120" s="112">
        <f t="shared" si="71"/>
        <v>0.19047619047619</v>
      </c>
      <c r="P120" s="112">
        <f t="shared" si="71"/>
        <v>0.2</v>
      </c>
      <c r="Q120" s="112">
        <f t="shared" si="71"/>
        <v>0.208333333333333</v>
      </c>
    </row>
    <row r="121" ht="24" customHeight="1" spans="1:17">
      <c r="A121" s="99" t="s">
        <v>289</v>
      </c>
      <c r="B121" s="99" t="s">
        <v>299</v>
      </c>
      <c r="C121" s="99" t="s">
        <v>316</v>
      </c>
      <c r="D121" s="48" t="s">
        <v>321</v>
      </c>
      <c r="E121" s="48" t="s">
        <v>82</v>
      </c>
      <c r="F121" s="112">
        <f t="shared" ref="F121:Q121" si="72">IFERROR(F115/F113,"-")</f>
        <v>0.166666666666667</v>
      </c>
      <c r="G121" s="112">
        <f t="shared" si="72"/>
        <v>0.142857142857143</v>
      </c>
      <c r="H121" s="112">
        <f t="shared" si="72"/>
        <v>0.111111111111111</v>
      </c>
      <c r="I121" s="112">
        <f t="shared" si="72"/>
        <v>0.142857142857143</v>
      </c>
      <c r="J121" s="112">
        <f t="shared" si="72"/>
        <v>0.181818181818182</v>
      </c>
      <c r="K121" s="112">
        <f t="shared" si="72"/>
        <v>0.153846153846154</v>
      </c>
      <c r="L121" s="112">
        <f t="shared" si="72"/>
        <v>0.133333333333333</v>
      </c>
      <c r="M121" s="112">
        <f t="shared" si="72"/>
        <v>0.142857142857143</v>
      </c>
      <c r="N121" s="112">
        <f t="shared" si="72"/>
        <v>0.175</v>
      </c>
      <c r="O121" s="112">
        <f t="shared" si="72"/>
        <v>0.19047619047619</v>
      </c>
      <c r="P121" s="112">
        <f t="shared" si="72"/>
        <v>0.2</v>
      </c>
      <c r="Q121" s="112">
        <f t="shared" si="72"/>
        <v>0.208333333333333</v>
      </c>
    </row>
    <row r="122" ht="24" customHeight="1" spans="1:17">
      <c r="A122" s="99" t="s">
        <v>289</v>
      </c>
      <c r="B122" s="99" t="s">
        <v>299</v>
      </c>
      <c r="C122" s="99" t="s">
        <v>316</v>
      </c>
      <c r="D122" s="48" t="s">
        <v>321</v>
      </c>
      <c r="E122" s="48" t="s">
        <v>86</v>
      </c>
      <c r="F122" s="112">
        <f t="shared" ref="F122:Q122" si="73">IFERROR(F116/F113,"-")</f>
        <v>0.333333333333333</v>
      </c>
      <c r="G122" s="112">
        <f t="shared" si="73"/>
        <v>0.285714285714286</v>
      </c>
      <c r="H122" s="112">
        <f t="shared" si="73"/>
        <v>0.333333333333333</v>
      </c>
      <c r="I122" s="112">
        <f t="shared" si="73"/>
        <v>0.5</v>
      </c>
      <c r="J122" s="112">
        <f t="shared" si="73"/>
        <v>0.409090909090909</v>
      </c>
      <c r="K122" s="112">
        <f t="shared" si="73"/>
        <v>0.461538461538462</v>
      </c>
      <c r="L122" s="112">
        <f t="shared" si="73"/>
        <v>0.433333333333333</v>
      </c>
      <c r="M122" s="112">
        <f t="shared" si="73"/>
        <v>0.4</v>
      </c>
      <c r="N122" s="112">
        <f t="shared" si="73"/>
        <v>0.375</v>
      </c>
      <c r="O122" s="112">
        <f t="shared" si="73"/>
        <v>0.357142857142857</v>
      </c>
      <c r="P122" s="112">
        <f t="shared" si="73"/>
        <v>0.333333333333333</v>
      </c>
      <c r="Q122" s="112">
        <f t="shared" si="73"/>
        <v>0.3125</v>
      </c>
    </row>
    <row r="123" ht="24" customHeight="1" spans="1:17">
      <c r="A123" s="99" t="s">
        <v>289</v>
      </c>
      <c r="B123" s="99" t="s">
        <v>299</v>
      </c>
      <c r="C123" s="99" t="s">
        <v>316</v>
      </c>
      <c r="D123" s="48" t="s">
        <v>321</v>
      </c>
      <c r="E123" s="48" t="s">
        <v>97</v>
      </c>
      <c r="F123" s="112">
        <f t="shared" ref="F123:Q123" si="74">IFERROR(F117/F113,"-")</f>
        <v>0.166666666666667</v>
      </c>
      <c r="G123" s="112">
        <f t="shared" si="74"/>
        <v>0.285714285714286</v>
      </c>
      <c r="H123" s="112">
        <f t="shared" si="74"/>
        <v>0.333333333333333</v>
      </c>
      <c r="I123" s="112">
        <f t="shared" si="74"/>
        <v>0.214285714285714</v>
      </c>
      <c r="J123" s="112">
        <f t="shared" si="74"/>
        <v>0.272727272727273</v>
      </c>
      <c r="K123" s="112">
        <f t="shared" si="74"/>
        <v>0.230769230769231</v>
      </c>
      <c r="L123" s="112">
        <f t="shared" si="74"/>
        <v>0.2</v>
      </c>
      <c r="M123" s="112">
        <f t="shared" si="74"/>
        <v>0.2</v>
      </c>
      <c r="N123" s="112">
        <f t="shared" si="74"/>
        <v>0.175</v>
      </c>
      <c r="O123" s="112">
        <f t="shared" si="74"/>
        <v>0.19047619047619</v>
      </c>
      <c r="P123" s="112">
        <f t="shared" si="74"/>
        <v>0.2</v>
      </c>
      <c r="Q123" s="112">
        <f t="shared" si="74"/>
        <v>0.1875</v>
      </c>
    </row>
    <row r="124" ht="24" customHeight="1" spans="1:17">
      <c r="A124" s="99" t="s">
        <v>289</v>
      </c>
      <c r="B124" s="99" t="s">
        <v>299</v>
      </c>
      <c r="C124" s="99" t="s">
        <v>316</v>
      </c>
      <c r="D124" s="48" t="s">
        <v>321</v>
      </c>
      <c r="E124" s="48" t="s">
        <v>87</v>
      </c>
      <c r="F124" s="112">
        <f t="shared" ref="F124:Q124" si="75">IFERROR(F118/F113,"-")</f>
        <v>0.166666666666667</v>
      </c>
      <c r="G124" s="112">
        <f t="shared" si="75"/>
        <v>0.142857142857143</v>
      </c>
      <c r="H124" s="112">
        <f t="shared" si="75"/>
        <v>0.111111111111111</v>
      </c>
      <c r="I124" s="112">
        <f t="shared" si="75"/>
        <v>0.0714285714285714</v>
      </c>
      <c r="J124" s="112">
        <f t="shared" si="75"/>
        <v>0.0454545454545455</v>
      </c>
      <c r="K124" s="112">
        <f t="shared" si="75"/>
        <v>0.0384615384615385</v>
      </c>
      <c r="L124" s="112">
        <f t="shared" si="75"/>
        <v>0.0333333333333333</v>
      </c>
      <c r="M124" s="112">
        <f t="shared" si="75"/>
        <v>0.0285714285714286</v>
      </c>
      <c r="N124" s="112">
        <f t="shared" si="75"/>
        <v>0.075</v>
      </c>
      <c r="O124" s="112">
        <f t="shared" si="75"/>
        <v>0.0714285714285714</v>
      </c>
      <c r="P124" s="112">
        <f t="shared" si="75"/>
        <v>0.0666666666666667</v>
      </c>
      <c r="Q124" s="112">
        <f t="shared" si="75"/>
        <v>0.0625</v>
      </c>
    </row>
    <row r="125" ht="24" customHeight="1" spans="1:17">
      <c r="A125" s="99" t="s">
        <v>289</v>
      </c>
      <c r="B125" s="99" t="s">
        <v>299</v>
      </c>
      <c r="C125" s="99" t="s">
        <v>316</v>
      </c>
      <c r="D125" s="48" t="s">
        <v>321</v>
      </c>
      <c r="E125" s="48" t="s">
        <v>83</v>
      </c>
      <c r="F125" s="112">
        <f t="shared" ref="F125:Q125" si="76">IFERROR(F119/F113,"-")</f>
        <v>0</v>
      </c>
      <c r="G125" s="112">
        <f t="shared" si="76"/>
        <v>0</v>
      </c>
      <c r="H125" s="112">
        <f t="shared" si="76"/>
        <v>0</v>
      </c>
      <c r="I125" s="112">
        <f t="shared" si="76"/>
        <v>0</v>
      </c>
      <c r="J125" s="112">
        <f t="shared" si="76"/>
        <v>0</v>
      </c>
      <c r="K125" s="112">
        <f t="shared" si="76"/>
        <v>0</v>
      </c>
      <c r="L125" s="112">
        <f t="shared" si="76"/>
        <v>0</v>
      </c>
      <c r="M125" s="112">
        <f t="shared" si="76"/>
        <v>0</v>
      </c>
      <c r="N125" s="112">
        <f t="shared" si="76"/>
        <v>0</v>
      </c>
      <c r="O125" s="112">
        <f t="shared" si="76"/>
        <v>0</v>
      </c>
      <c r="P125" s="112">
        <f t="shared" si="76"/>
        <v>0</v>
      </c>
      <c r="Q125" s="112">
        <f t="shared" si="76"/>
        <v>0.0208333333333333</v>
      </c>
    </row>
    <row r="126" ht="24" customHeight="1" spans="1:17">
      <c r="A126" s="99" t="s">
        <v>289</v>
      </c>
      <c r="B126" s="99" t="s">
        <v>299</v>
      </c>
      <c r="C126" s="99" t="s">
        <v>316</v>
      </c>
      <c r="D126" s="47" t="s">
        <v>294</v>
      </c>
      <c r="E126" s="47" t="s">
        <v>93</v>
      </c>
      <c r="F126" s="106">
        <f t="shared" ref="F126:F130" si="77">F30</f>
        <v>4</v>
      </c>
      <c r="G126" s="106">
        <f t="shared" ref="G126:Q126" si="78">G30+F126</f>
        <v>5</v>
      </c>
      <c r="H126" s="106">
        <f t="shared" si="78"/>
        <v>6</v>
      </c>
      <c r="I126" s="106">
        <f t="shared" si="78"/>
        <v>8</v>
      </c>
      <c r="J126" s="106">
        <f t="shared" si="78"/>
        <v>13</v>
      </c>
      <c r="K126" s="106">
        <f t="shared" si="78"/>
        <v>14</v>
      </c>
      <c r="L126" s="106">
        <f t="shared" si="78"/>
        <v>17</v>
      </c>
      <c r="M126" s="106">
        <f t="shared" si="78"/>
        <v>20</v>
      </c>
      <c r="N126" s="106">
        <f t="shared" si="78"/>
        <v>21</v>
      </c>
      <c r="O126" s="106">
        <f t="shared" si="78"/>
        <v>21</v>
      </c>
      <c r="P126" s="106">
        <f t="shared" si="78"/>
        <v>22</v>
      </c>
      <c r="Q126" s="106">
        <f t="shared" si="78"/>
        <v>23</v>
      </c>
    </row>
    <row r="127" ht="24" customHeight="1" spans="1:17">
      <c r="A127" s="99" t="s">
        <v>289</v>
      </c>
      <c r="B127" s="99" t="s">
        <v>299</v>
      </c>
      <c r="C127" s="99" t="s">
        <v>316</v>
      </c>
      <c r="D127" s="47" t="s">
        <v>294</v>
      </c>
      <c r="E127" s="47" t="s">
        <v>85</v>
      </c>
      <c r="F127" s="106">
        <f t="shared" si="77"/>
        <v>1</v>
      </c>
      <c r="G127" s="106">
        <f t="shared" ref="G127:Q127" si="79">G31+F127</f>
        <v>1</v>
      </c>
      <c r="H127" s="106">
        <f t="shared" si="79"/>
        <v>2</v>
      </c>
      <c r="I127" s="106">
        <f t="shared" si="79"/>
        <v>3</v>
      </c>
      <c r="J127" s="106">
        <f t="shared" si="79"/>
        <v>4</v>
      </c>
      <c r="K127" s="106">
        <f t="shared" si="79"/>
        <v>5</v>
      </c>
      <c r="L127" s="106">
        <f t="shared" si="79"/>
        <v>6</v>
      </c>
      <c r="M127" s="106">
        <f t="shared" si="79"/>
        <v>7</v>
      </c>
      <c r="N127" s="106">
        <f t="shared" si="79"/>
        <v>10</v>
      </c>
      <c r="O127" s="106">
        <f t="shared" si="79"/>
        <v>11</v>
      </c>
      <c r="P127" s="106">
        <f t="shared" si="79"/>
        <v>11</v>
      </c>
      <c r="Q127" s="106">
        <f t="shared" si="79"/>
        <v>13</v>
      </c>
    </row>
    <row r="128" ht="24" customHeight="1" spans="1:17">
      <c r="A128" s="99" t="s">
        <v>289</v>
      </c>
      <c r="B128" s="99" t="s">
        <v>299</v>
      </c>
      <c r="C128" s="99" t="s">
        <v>316</v>
      </c>
      <c r="D128" s="47" t="s">
        <v>294</v>
      </c>
      <c r="E128" s="47" t="s">
        <v>81</v>
      </c>
      <c r="F128" s="106">
        <f t="shared" si="77"/>
        <v>1</v>
      </c>
      <c r="G128" s="106">
        <f t="shared" ref="G128:Q128" si="80">G32+F128</f>
        <v>1</v>
      </c>
      <c r="H128" s="106">
        <f t="shared" si="80"/>
        <v>1</v>
      </c>
      <c r="I128" s="106">
        <f t="shared" si="80"/>
        <v>3</v>
      </c>
      <c r="J128" s="106">
        <f t="shared" si="80"/>
        <v>5</v>
      </c>
      <c r="K128" s="106">
        <f t="shared" si="80"/>
        <v>7</v>
      </c>
      <c r="L128" s="106">
        <f t="shared" si="80"/>
        <v>7</v>
      </c>
      <c r="M128" s="106">
        <f t="shared" si="80"/>
        <v>8</v>
      </c>
      <c r="N128" s="106">
        <f t="shared" si="80"/>
        <v>9</v>
      </c>
      <c r="O128" s="106">
        <f t="shared" si="80"/>
        <v>10</v>
      </c>
      <c r="P128" s="106">
        <f t="shared" si="80"/>
        <v>11</v>
      </c>
      <c r="Q128" s="106">
        <f t="shared" si="80"/>
        <v>11</v>
      </c>
    </row>
    <row r="129" ht="24" customHeight="1" spans="1:17">
      <c r="A129" s="99" t="s">
        <v>289</v>
      </c>
      <c r="B129" s="99" t="s">
        <v>299</v>
      </c>
      <c r="C129" s="99" t="s">
        <v>316</v>
      </c>
      <c r="D129" s="47" t="s">
        <v>294</v>
      </c>
      <c r="E129" s="47" t="s">
        <v>96</v>
      </c>
      <c r="F129" s="106">
        <f t="shared" si="77"/>
        <v>0</v>
      </c>
      <c r="G129" s="106">
        <f t="shared" ref="G129:Q129" si="81">G33+F129</f>
        <v>0</v>
      </c>
      <c r="H129" s="106">
        <f t="shared" si="81"/>
        <v>0</v>
      </c>
      <c r="I129" s="106">
        <f t="shared" si="81"/>
        <v>0</v>
      </c>
      <c r="J129" s="106">
        <f t="shared" si="81"/>
        <v>0</v>
      </c>
      <c r="K129" s="106">
        <f t="shared" si="81"/>
        <v>0</v>
      </c>
      <c r="L129" s="106">
        <f t="shared" si="81"/>
        <v>0</v>
      </c>
      <c r="M129" s="106">
        <f t="shared" si="81"/>
        <v>0</v>
      </c>
      <c r="N129" s="106">
        <f t="shared" si="81"/>
        <v>0</v>
      </c>
      <c r="O129" s="106">
        <f t="shared" si="81"/>
        <v>0</v>
      </c>
      <c r="P129" s="106">
        <f t="shared" si="81"/>
        <v>1</v>
      </c>
      <c r="Q129" s="106">
        <f t="shared" si="81"/>
        <v>1</v>
      </c>
    </row>
    <row r="130" ht="24" customHeight="1" spans="1:17">
      <c r="A130" s="99" t="s">
        <v>289</v>
      </c>
      <c r="B130" s="99" t="s">
        <v>299</v>
      </c>
      <c r="C130" s="99" t="s">
        <v>316</v>
      </c>
      <c r="D130" s="47" t="s">
        <v>294</v>
      </c>
      <c r="E130" s="47" t="s">
        <v>160</v>
      </c>
      <c r="F130" s="106">
        <f t="shared" si="77"/>
        <v>0</v>
      </c>
      <c r="G130" s="106">
        <f t="shared" ref="G130:Q130" si="82">G34+F130</f>
        <v>0</v>
      </c>
      <c r="H130" s="106">
        <f t="shared" si="82"/>
        <v>0</v>
      </c>
      <c r="I130" s="106">
        <f t="shared" si="82"/>
        <v>0</v>
      </c>
      <c r="J130" s="106">
        <f t="shared" si="82"/>
        <v>0</v>
      </c>
      <c r="K130" s="106">
        <f t="shared" si="82"/>
        <v>0</v>
      </c>
      <c r="L130" s="106">
        <f t="shared" si="82"/>
        <v>0</v>
      </c>
      <c r="M130" s="106">
        <f t="shared" si="82"/>
        <v>0</v>
      </c>
      <c r="N130" s="106">
        <f t="shared" si="82"/>
        <v>0</v>
      </c>
      <c r="O130" s="106">
        <f t="shared" si="82"/>
        <v>0</v>
      </c>
      <c r="P130" s="106">
        <f t="shared" si="82"/>
        <v>0</v>
      </c>
      <c r="Q130" s="106">
        <f t="shared" si="82"/>
        <v>0</v>
      </c>
    </row>
    <row r="131" ht="24" customHeight="1" spans="1:35">
      <c r="A131" s="99" t="s">
        <v>289</v>
      </c>
      <c r="B131" s="99" t="s">
        <v>299</v>
      </c>
      <c r="C131" s="99" t="s">
        <v>316</v>
      </c>
      <c r="D131" s="100" t="s">
        <v>292</v>
      </c>
      <c r="E131" s="100" t="s">
        <v>322</v>
      </c>
      <c r="F131" s="104">
        <f t="shared" ref="F131:Q131" si="83">SUM(F132:F134)</f>
        <v>4</v>
      </c>
      <c r="G131" s="104">
        <f t="shared" si="83"/>
        <v>4</v>
      </c>
      <c r="H131" s="104">
        <f t="shared" si="83"/>
        <v>6</v>
      </c>
      <c r="I131" s="104">
        <f t="shared" si="83"/>
        <v>11</v>
      </c>
      <c r="J131" s="104">
        <f t="shared" si="83"/>
        <v>18</v>
      </c>
      <c r="K131" s="104">
        <f t="shared" si="83"/>
        <v>22</v>
      </c>
      <c r="L131" s="104">
        <f t="shared" si="83"/>
        <v>26</v>
      </c>
      <c r="M131" s="104">
        <f t="shared" si="83"/>
        <v>31</v>
      </c>
      <c r="N131" s="104">
        <f t="shared" si="83"/>
        <v>36</v>
      </c>
      <c r="O131" s="104">
        <f t="shared" si="83"/>
        <v>37</v>
      </c>
      <c r="P131" s="104">
        <f t="shared" si="83"/>
        <v>39</v>
      </c>
      <c r="Q131" s="104">
        <f t="shared" si="83"/>
        <v>42</v>
      </c>
      <c r="R131" s="109"/>
      <c r="S131" s="109"/>
      <c r="T131" s="109"/>
      <c r="U131" s="109"/>
      <c r="V131" s="109"/>
      <c r="W131" s="109"/>
      <c r="X131" s="109"/>
      <c r="Y131" s="109"/>
      <c r="Z131" s="109"/>
      <c r="AA131" s="109"/>
      <c r="AB131" s="109"/>
      <c r="AC131" s="109"/>
      <c r="AD131" s="109"/>
      <c r="AE131" s="109"/>
      <c r="AF131" s="109"/>
      <c r="AG131" s="109"/>
      <c r="AH131" s="109"/>
      <c r="AI131" s="109"/>
    </row>
    <row r="132" ht="24" customHeight="1" spans="1:17">
      <c r="A132" s="99" t="s">
        <v>289</v>
      </c>
      <c r="B132" s="99" t="s">
        <v>299</v>
      </c>
      <c r="C132" s="99" t="s">
        <v>316</v>
      </c>
      <c r="D132" s="48" t="s">
        <v>296</v>
      </c>
      <c r="E132" s="48" t="s">
        <v>406</v>
      </c>
      <c r="F132" s="105">
        <f t="shared" ref="F132:F134" si="84">F54</f>
        <v>1</v>
      </c>
      <c r="G132" s="105">
        <f t="shared" ref="G132:Q132" si="85">G54+F132</f>
        <v>1</v>
      </c>
      <c r="H132" s="105">
        <f t="shared" si="85"/>
        <v>1</v>
      </c>
      <c r="I132" s="105">
        <f t="shared" si="85"/>
        <v>1</v>
      </c>
      <c r="J132" s="105">
        <f t="shared" si="85"/>
        <v>3</v>
      </c>
      <c r="K132" s="105">
        <f t="shared" si="85"/>
        <v>4</v>
      </c>
      <c r="L132" s="105">
        <f t="shared" si="85"/>
        <v>7</v>
      </c>
      <c r="M132" s="105">
        <f t="shared" si="85"/>
        <v>9</v>
      </c>
      <c r="N132" s="105">
        <f t="shared" si="85"/>
        <v>11</v>
      </c>
      <c r="O132" s="105">
        <f t="shared" si="85"/>
        <v>11</v>
      </c>
      <c r="P132" s="105">
        <f t="shared" si="85"/>
        <v>12</v>
      </c>
      <c r="Q132" s="105">
        <f t="shared" si="85"/>
        <v>14</v>
      </c>
    </row>
    <row r="133" ht="24" customHeight="1" spans="1:17">
      <c r="A133" s="99" t="s">
        <v>289</v>
      </c>
      <c r="B133" s="99" t="s">
        <v>299</v>
      </c>
      <c r="C133" s="99" t="s">
        <v>316</v>
      </c>
      <c r="D133" s="48" t="s">
        <v>296</v>
      </c>
      <c r="E133" s="48" t="s">
        <v>82</v>
      </c>
      <c r="F133" s="105">
        <f t="shared" si="84"/>
        <v>1</v>
      </c>
      <c r="G133" s="105">
        <f t="shared" ref="G133:Q133" si="86">G55+F133</f>
        <v>1</v>
      </c>
      <c r="H133" s="105">
        <f t="shared" si="86"/>
        <v>2</v>
      </c>
      <c r="I133" s="105">
        <f t="shared" si="86"/>
        <v>3</v>
      </c>
      <c r="J133" s="105">
        <f t="shared" si="86"/>
        <v>6</v>
      </c>
      <c r="K133" s="105">
        <f t="shared" si="86"/>
        <v>6</v>
      </c>
      <c r="L133" s="105">
        <f t="shared" si="86"/>
        <v>6</v>
      </c>
      <c r="M133" s="105">
        <f t="shared" si="86"/>
        <v>8</v>
      </c>
      <c r="N133" s="105">
        <f t="shared" si="86"/>
        <v>10</v>
      </c>
      <c r="O133" s="105">
        <f t="shared" si="86"/>
        <v>11</v>
      </c>
      <c r="P133" s="105">
        <f t="shared" si="86"/>
        <v>12</v>
      </c>
      <c r="Q133" s="105">
        <f t="shared" si="86"/>
        <v>13</v>
      </c>
    </row>
    <row r="134" ht="24" customHeight="1" spans="1:17">
      <c r="A134" s="99" t="s">
        <v>289</v>
      </c>
      <c r="B134" s="99" t="s">
        <v>299</v>
      </c>
      <c r="C134" s="99" t="s">
        <v>316</v>
      </c>
      <c r="D134" s="48" t="s">
        <v>296</v>
      </c>
      <c r="E134" s="48" t="s">
        <v>86</v>
      </c>
      <c r="F134" s="105">
        <f t="shared" si="84"/>
        <v>2</v>
      </c>
      <c r="G134" s="105">
        <f t="shared" ref="G134:Q134" si="87">G56+F134</f>
        <v>2</v>
      </c>
      <c r="H134" s="105">
        <f t="shared" si="87"/>
        <v>3</v>
      </c>
      <c r="I134" s="105">
        <f t="shared" si="87"/>
        <v>7</v>
      </c>
      <c r="J134" s="105">
        <f t="shared" si="87"/>
        <v>9</v>
      </c>
      <c r="K134" s="105">
        <f t="shared" si="87"/>
        <v>12</v>
      </c>
      <c r="L134" s="105">
        <f t="shared" si="87"/>
        <v>13</v>
      </c>
      <c r="M134" s="105">
        <f t="shared" si="87"/>
        <v>14</v>
      </c>
      <c r="N134" s="105">
        <f t="shared" si="87"/>
        <v>15</v>
      </c>
      <c r="O134" s="105">
        <f t="shared" si="87"/>
        <v>15</v>
      </c>
      <c r="P134" s="105">
        <f t="shared" si="87"/>
        <v>15</v>
      </c>
      <c r="Q134" s="105">
        <f t="shared" si="87"/>
        <v>15</v>
      </c>
    </row>
    <row r="135" ht="24" customHeight="1" spans="1:17">
      <c r="A135" s="99" t="s">
        <v>289</v>
      </c>
      <c r="B135" s="99" t="s">
        <v>299</v>
      </c>
      <c r="C135" s="99" t="s">
        <v>316</v>
      </c>
      <c r="D135" s="48" t="s">
        <v>323</v>
      </c>
      <c r="E135" s="48" t="s">
        <v>406</v>
      </c>
      <c r="F135" s="112">
        <f t="shared" ref="F135:Q135" si="88">F132/F131</f>
        <v>0.25</v>
      </c>
      <c r="G135" s="112">
        <f t="shared" si="88"/>
        <v>0.25</v>
      </c>
      <c r="H135" s="112">
        <f t="shared" si="88"/>
        <v>0.166666666666667</v>
      </c>
      <c r="I135" s="112">
        <f t="shared" si="88"/>
        <v>0.0909090909090909</v>
      </c>
      <c r="J135" s="112">
        <f t="shared" si="88"/>
        <v>0.166666666666667</v>
      </c>
      <c r="K135" s="112">
        <f t="shared" si="88"/>
        <v>0.181818181818182</v>
      </c>
      <c r="L135" s="112">
        <f t="shared" si="88"/>
        <v>0.269230769230769</v>
      </c>
      <c r="M135" s="112">
        <f t="shared" si="88"/>
        <v>0.290322580645161</v>
      </c>
      <c r="N135" s="112">
        <f t="shared" si="88"/>
        <v>0.305555555555556</v>
      </c>
      <c r="O135" s="112">
        <f t="shared" si="88"/>
        <v>0.297297297297297</v>
      </c>
      <c r="P135" s="112">
        <f t="shared" si="88"/>
        <v>0.307692307692308</v>
      </c>
      <c r="Q135" s="112">
        <f t="shared" si="88"/>
        <v>0.333333333333333</v>
      </c>
    </row>
    <row r="136" ht="24" customHeight="1" spans="1:17">
      <c r="A136" s="99" t="s">
        <v>289</v>
      </c>
      <c r="B136" s="99" t="s">
        <v>299</v>
      </c>
      <c r="C136" s="99" t="s">
        <v>316</v>
      </c>
      <c r="D136" s="48" t="s">
        <v>323</v>
      </c>
      <c r="E136" s="48" t="s">
        <v>82</v>
      </c>
      <c r="F136" s="112">
        <f t="shared" ref="F136:Q136" si="89">F133/F131</f>
        <v>0.25</v>
      </c>
      <c r="G136" s="112">
        <f t="shared" si="89"/>
        <v>0.25</v>
      </c>
      <c r="H136" s="112">
        <f t="shared" si="89"/>
        <v>0.333333333333333</v>
      </c>
      <c r="I136" s="112">
        <f t="shared" si="89"/>
        <v>0.272727272727273</v>
      </c>
      <c r="J136" s="112">
        <f t="shared" si="89"/>
        <v>0.333333333333333</v>
      </c>
      <c r="K136" s="112">
        <f t="shared" si="89"/>
        <v>0.272727272727273</v>
      </c>
      <c r="L136" s="112">
        <f t="shared" si="89"/>
        <v>0.230769230769231</v>
      </c>
      <c r="M136" s="112">
        <f t="shared" si="89"/>
        <v>0.258064516129032</v>
      </c>
      <c r="N136" s="112">
        <f t="shared" si="89"/>
        <v>0.277777777777778</v>
      </c>
      <c r="O136" s="112">
        <f t="shared" si="89"/>
        <v>0.297297297297297</v>
      </c>
      <c r="P136" s="112">
        <f t="shared" si="89"/>
        <v>0.307692307692308</v>
      </c>
      <c r="Q136" s="112">
        <f t="shared" si="89"/>
        <v>0.30952380952381</v>
      </c>
    </row>
    <row r="137" ht="24" customHeight="1" spans="1:17">
      <c r="A137" s="99" t="s">
        <v>289</v>
      </c>
      <c r="B137" s="99" t="s">
        <v>299</v>
      </c>
      <c r="C137" s="99" t="s">
        <v>316</v>
      </c>
      <c r="D137" s="48" t="s">
        <v>323</v>
      </c>
      <c r="E137" s="48" t="s">
        <v>86</v>
      </c>
      <c r="F137" s="112">
        <f t="shared" ref="F137:Q137" si="90">F134/F131</f>
        <v>0.5</v>
      </c>
      <c r="G137" s="112">
        <f t="shared" si="90"/>
        <v>0.5</v>
      </c>
      <c r="H137" s="112">
        <f t="shared" si="90"/>
        <v>0.5</v>
      </c>
      <c r="I137" s="112">
        <f t="shared" si="90"/>
        <v>0.636363636363636</v>
      </c>
      <c r="J137" s="112">
        <f t="shared" si="90"/>
        <v>0.5</v>
      </c>
      <c r="K137" s="112">
        <f t="shared" si="90"/>
        <v>0.545454545454545</v>
      </c>
      <c r="L137" s="112">
        <f t="shared" si="90"/>
        <v>0.5</v>
      </c>
      <c r="M137" s="112">
        <f t="shared" si="90"/>
        <v>0.451612903225806</v>
      </c>
      <c r="N137" s="112">
        <f t="shared" si="90"/>
        <v>0.416666666666667</v>
      </c>
      <c r="O137" s="112">
        <f t="shared" si="90"/>
        <v>0.405405405405405</v>
      </c>
      <c r="P137" s="112">
        <f t="shared" si="90"/>
        <v>0.384615384615385</v>
      </c>
      <c r="Q137" s="112">
        <f t="shared" si="90"/>
        <v>0.357142857142857</v>
      </c>
    </row>
    <row r="138" ht="24" customHeight="1" spans="1:35">
      <c r="A138" s="99" t="s">
        <v>289</v>
      </c>
      <c r="B138" s="99" t="s">
        <v>299</v>
      </c>
      <c r="C138" s="99" t="s">
        <v>316</v>
      </c>
      <c r="D138" s="100" t="s">
        <v>292</v>
      </c>
      <c r="E138" s="100" t="s">
        <v>324</v>
      </c>
      <c r="F138" s="104">
        <f t="shared" ref="F138:Q138" si="91">SUM(F139:F141)</f>
        <v>6</v>
      </c>
      <c r="G138" s="104">
        <f t="shared" si="91"/>
        <v>7</v>
      </c>
      <c r="H138" s="104">
        <f t="shared" si="91"/>
        <v>8</v>
      </c>
      <c r="I138" s="104">
        <f t="shared" si="91"/>
        <v>12</v>
      </c>
      <c r="J138" s="104">
        <f t="shared" si="91"/>
        <v>20</v>
      </c>
      <c r="K138" s="104">
        <f t="shared" si="91"/>
        <v>23</v>
      </c>
      <c r="L138" s="104">
        <f t="shared" si="91"/>
        <v>26</v>
      </c>
      <c r="M138" s="104">
        <f t="shared" si="91"/>
        <v>30</v>
      </c>
      <c r="N138" s="104">
        <f t="shared" si="91"/>
        <v>34</v>
      </c>
      <c r="O138" s="104">
        <f t="shared" si="91"/>
        <v>36</v>
      </c>
      <c r="P138" s="104">
        <f t="shared" si="91"/>
        <v>39</v>
      </c>
      <c r="Q138" s="104">
        <f t="shared" si="91"/>
        <v>42</v>
      </c>
      <c r="R138" s="109"/>
      <c r="S138" s="109"/>
      <c r="T138" s="109"/>
      <c r="U138" s="109"/>
      <c r="V138" s="109"/>
      <c r="W138" s="109"/>
      <c r="X138" s="109"/>
      <c r="Y138" s="109"/>
      <c r="Z138" s="109"/>
      <c r="AA138" s="109"/>
      <c r="AB138" s="109"/>
      <c r="AC138" s="109"/>
      <c r="AD138" s="109"/>
      <c r="AE138" s="109"/>
      <c r="AF138" s="109"/>
      <c r="AG138" s="109"/>
      <c r="AH138" s="109"/>
      <c r="AI138" s="109"/>
    </row>
    <row r="139" ht="24" customHeight="1" spans="1:17">
      <c r="A139" s="99" t="s">
        <v>289</v>
      </c>
      <c r="B139" s="99" t="s">
        <v>299</v>
      </c>
      <c r="C139" s="99" t="s">
        <v>316</v>
      </c>
      <c r="D139" s="48" t="s">
        <v>298</v>
      </c>
      <c r="E139" s="48" t="s">
        <v>97</v>
      </c>
      <c r="F139" s="105">
        <f t="shared" ref="F139:F141" si="92">F58</f>
        <v>3</v>
      </c>
      <c r="G139" s="105">
        <f t="shared" ref="G139:Q139" si="93">G58+F139</f>
        <v>4</v>
      </c>
      <c r="H139" s="105">
        <f t="shared" si="93"/>
        <v>5</v>
      </c>
      <c r="I139" s="105">
        <f t="shared" si="93"/>
        <v>5</v>
      </c>
      <c r="J139" s="105">
        <f t="shared" si="93"/>
        <v>11</v>
      </c>
      <c r="K139" s="105">
        <f t="shared" si="93"/>
        <v>12</v>
      </c>
      <c r="L139" s="105">
        <f t="shared" si="93"/>
        <v>13</v>
      </c>
      <c r="M139" s="105">
        <f t="shared" si="93"/>
        <v>16</v>
      </c>
      <c r="N139" s="105">
        <f t="shared" si="93"/>
        <v>16</v>
      </c>
      <c r="O139" s="105">
        <f t="shared" si="93"/>
        <v>17</v>
      </c>
      <c r="P139" s="105">
        <f t="shared" si="93"/>
        <v>18</v>
      </c>
      <c r="Q139" s="105">
        <f t="shared" si="93"/>
        <v>19</v>
      </c>
    </row>
    <row r="140" ht="24" customHeight="1" spans="1:17">
      <c r="A140" s="99" t="s">
        <v>289</v>
      </c>
      <c r="B140" s="99" t="s">
        <v>299</v>
      </c>
      <c r="C140" s="99" t="s">
        <v>316</v>
      </c>
      <c r="D140" s="48" t="s">
        <v>298</v>
      </c>
      <c r="E140" s="48" t="s">
        <v>87</v>
      </c>
      <c r="F140" s="105">
        <f t="shared" si="92"/>
        <v>3</v>
      </c>
      <c r="G140" s="105">
        <f t="shared" ref="G140:Q140" si="94">G59+F140</f>
        <v>3</v>
      </c>
      <c r="H140" s="105">
        <f t="shared" si="94"/>
        <v>3</v>
      </c>
      <c r="I140" s="105">
        <f t="shared" si="94"/>
        <v>5</v>
      </c>
      <c r="J140" s="105">
        <f t="shared" si="94"/>
        <v>6</v>
      </c>
      <c r="K140" s="105">
        <f t="shared" si="94"/>
        <v>7</v>
      </c>
      <c r="L140" s="105">
        <f t="shared" si="94"/>
        <v>8</v>
      </c>
      <c r="M140" s="105">
        <f t="shared" si="94"/>
        <v>9</v>
      </c>
      <c r="N140" s="105">
        <f t="shared" si="94"/>
        <v>13</v>
      </c>
      <c r="O140" s="105">
        <f t="shared" si="94"/>
        <v>14</v>
      </c>
      <c r="P140" s="105">
        <f t="shared" si="94"/>
        <v>14</v>
      </c>
      <c r="Q140" s="105">
        <f t="shared" si="94"/>
        <v>15</v>
      </c>
    </row>
    <row r="141" ht="24" customHeight="1" spans="1:17">
      <c r="A141" s="99" t="s">
        <v>289</v>
      </c>
      <c r="B141" s="99" t="s">
        <v>299</v>
      </c>
      <c r="C141" s="99" t="s">
        <v>316</v>
      </c>
      <c r="D141" s="48" t="s">
        <v>298</v>
      </c>
      <c r="E141" s="48" t="s">
        <v>83</v>
      </c>
      <c r="F141" s="105">
        <f t="shared" si="92"/>
        <v>0</v>
      </c>
      <c r="G141" s="105">
        <f t="shared" ref="G141:Q141" si="95">G60+F141</f>
        <v>0</v>
      </c>
      <c r="H141" s="105">
        <f t="shared" si="95"/>
        <v>0</v>
      </c>
      <c r="I141" s="105">
        <f t="shared" si="95"/>
        <v>2</v>
      </c>
      <c r="J141" s="105">
        <f t="shared" si="95"/>
        <v>3</v>
      </c>
      <c r="K141" s="105">
        <f t="shared" si="95"/>
        <v>4</v>
      </c>
      <c r="L141" s="105">
        <f t="shared" si="95"/>
        <v>5</v>
      </c>
      <c r="M141" s="105">
        <f t="shared" si="95"/>
        <v>5</v>
      </c>
      <c r="N141" s="105">
        <f t="shared" si="95"/>
        <v>5</v>
      </c>
      <c r="O141" s="105">
        <f t="shared" si="95"/>
        <v>5</v>
      </c>
      <c r="P141" s="105">
        <f t="shared" si="95"/>
        <v>7</v>
      </c>
      <c r="Q141" s="105">
        <f t="shared" si="95"/>
        <v>8</v>
      </c>
    </row>
    <row r="142" ht="24" customHeight="1" spans="1:17">
      <c r="A142" s="99" t="s">
        <v>289</v>
      </c>
      <c r="B142" s="99" t="s">
        <v>299</v>
      </c>
      <c r="C142" s="99" t="s">
        <v>316</v>
      </c>
      <c r="D142" s="48" t="s">
        <v>325</v>
      </c>
      <c r="E142" s="48" t="s">
        <v>97</v>
      </c>
      <c r="F142" s="112">
        <f t="shared" ref="F142:Q142" si="96">F139/F138</f>
        <v>0.5</v>
      </c>
      <c r="G142" s="112">
        <f t="shared" si="96"/>
        <v>0.571428571428571</v>
      </c>
      <c r="H142" s="112">
        <f t="shared" si="96"/>
        <v>0.625</v>
      </c>
      <c r="I142" s="112">
        <f t="shared" si="96"/>
        <v>0.416666666666667</v>
      </c>
      <c r="J142" s="112">
        <f t="shared" si="96"/>
        <v>0.55</v>
      </c>
      <c r="K142" s="112">
        <f t="shared" si="96"/>
        <v>0.521739130434783</v>
      </c>
      <c r="L142" s="112">
        <f t="shared" si="96"/>
        <v>0.5</v>
      </c>
      <c r="M142" s="112">
        <f t="shared" si="96"/>
        <v>0.533333333333333</v>
      </c>
      <c r="N142" s="112">
        <f t="shared" si="96"/>
        <v>0.470588235294118</v>
      </c>
      <c r="O142" s="112">
        <f t="shared" si="96"/>
        <v>0.472222222222222</v>
      </c>
      <c r="P142" s="112">
        <f t="shared" si="96"/>
        <v>0.461538461538462</v>
      </c>
      <c r="Q142" s="112">
        <f t="shared" si="96"/>
        <v>0.452380952380952</v>
      </c>
    </row>
    <row r="143" ht="24" customHeight="1" spans="1:17">
      <c r="A143" s="99" t="s">
        <v>289</v>
      </c>
      <c r="B143" s="99" t="s">
        <v>299</v>
      </c>
      <c r="C143" s="99" t="s">
        <v>316</v>
      </c>
      <c r="D143" s="48" t="s">
        <v>325</v>
      </c>
      <c r="E143" s="48" t="s">
        <v>87</v>
      </c>
      <c r="F143" s="112">
        <f t="shared" ref="F143:Q143" si="97">F140/F138</f>
        <v>0.5</v>
      </c>
      <c r="G143" s="112">
        <f t="shared" si="97"/>
        <v>0.428571428571429</v>
      </c>
      <c r="H143" s="112">
        <f t="shared" si="97"/>
        <v>0.375</v>
      </c>
      <c r="I143" s="112">
        <f t="shared" si="97"/>
        <v>0.416666666666667</v>
      </c>
      <c r="J143" s="112">
        <f t="shared" si="97"/>
        <v>0.3</v>
      </c>
      <c r="K143" s="112">
        <f t="shared" si="97"/>
        <v>0.304347826086957</v>
      </c>
      <c r="L143" s="112">
        <f t="shared" si="97"/>
        <v>0.307692307692308</v>
      </c>
      <c r="M143" s="112">
        <f t="shared" si="97"/>
        <v>0.3</v>
      </c>
      <c r="N143" s="112">
        <f t="shared" si="97"/>
        <v>0.382352941176471</v>
      </c>
      <c r="O143" s="112">
        <f t="shared" si="97"/>
        <v>0.388888888888889</v>
      </c>
      <c r="P143" s="112">
        <f t="shared" si="97"/>
        <v>0.358974358974359</v>
      </c>
      <c r="Q143" s="112">
        <f t="shared" si="97"/>
        <v>0.357142857142857</v>
      </c>
    </row>
    <row r="144" ht="24" customHeight="1" spans="1:17">
      <c r="A144" s="99" t="s">
        <v>289</v>
      </c>
      <c r="B144" s="99" t="s">
        <v>299</v>
      </c>
      <c r="C144" s="99" t="s">
        <v>316</v>
      </c>
      <c r="D144" s="48" t="s">
        <v>325</v>
      </c>
      <c r="E144" s="48" t="s">
        <v>83</v>
      </c>
      <c r="F144" s="112">
        <f t="shared" ref="F144:Q144" si="98">F141/F138</f>
        <v>0</v>
      </c>
      <c r="G144" s="112">
        <f t="shared" si="98"/>
        <v>0</v>
      </c>
      <c r="H144" s="112">
        <f t="shared" si="98"/>
        <v>0</v>
      </c>
      <c r="I144" s="112">
        <f t="shared" si="98"/>
        <v>0.166666666666667</v>
      </c>
      <c r="J144" s="112">
        <f t="shared" si="98"/>
        <v>0.15</v>
      </c>
      <c r="K144" s="112">
        <f t="shared" si="98"/>
        <v>0.173913043478261</v>
      </c>
      <c r="L144" s="112">
        <f t="shared" si="98"/>
        <v>0.192307692307692</v>
      </c>
      <c r="M144" s="112">
        <f t="shared" si="98"/>
        <v>0.166666666666667</v>
      </c>
      <c r="N144" s="112">
        <f t="shared" si="98"/>
        <v>0.147058823529412</v>
      </c>
      <c r="O144" s="112">
        <f t="shared" si="98"/>
        <v>0.138888888888889</v>
      </c>
      <c r="P144" s="112">
        <f t="shared" si="98"/>
        <v>0.179487179487179</v>
      </c>
      <c r="Q144" s="112">
        <f t="shared" si="98"/>
        <v>0.19047619047619</v>
      </c>
    </row>
    <row r="145" ht="24" customHeight="1" spans="1:17">
      <c r="A145" s="99" t="s">
        <v>289</v>
      </c>
      <c r="B145" s="99" t="s">
        <v>299</v>
      </c>
      <c r="C145" s="99" t="s">
        <v>316</v>
      </c>
      <c r="D145" s="100" t="s">
        <v>292</v>
      </c>
      <c r="E145" s="53" t="s">
        <v>326</v>
      </c>
      <c r="F145" s="111">
        <f>IF((F35-F148-F149-F150-F151-F152)&lt;&gt;0,"ERR",F35)</f>
        <v>5</v>
      </c>
      <c r="G145" s="111">
        <f t="shared" ref="G145:Q145" si="99">IF((G35+F145-G148-G149-G150-G151-G152)&lt;&gt;0,"ERR",G35+F145)</f>
        <v>5</v>
      </c>
      <c r="H145" s="111">
        <f t="shared" si="99"/>
        <v>5</v>
      </c>
      <c r="I145" s="111">
        <f t="shared" si="99"/>
        <v>8</v>
      </c>
      <c r="J145" s="111">
        <f t="shared" si="99"/>
        <v>11</v>
      </c>
      <c r="K145" s="111">
        <f t="shared" si="99"/>
        <v>14</v>
      </c>
      <c r="L145" s="111">
        <f t="shared" si="99"/>
        <v>16</v>
      </c>
      <c r="M145" s="111">
        <f t="shared" si="99"/>
        <v>18</v>
      </c>
      <c r="N145" s="111">
        <f t="shared" si="99"/>
        <v>20</v>
      </c>
      <c r="O145" s="111">
        <f t="shared" si="99"/>
        <v>22</v>
      </c>
      <c r="P145" s="111">
        <f t="shared" si="99"/>
        <v>25</v>
      </c>
      <c r="Q145" s="111">
        <f t="shared" si="99"/>
        <v>26</v>
      </c>
    </row>
    <row r="146" ht="24" customHeight="1" spans="1:17">
      <c r="A146" s="99" t="s">
        <v>289</v>
      </c>
      <c r="B146" s="99" t="s">
        <v>299</v>
      </c>
      <c r="C146" s="99" t="s">
        <v>316</v>
      </c>
      <c r="D146" s="100" t="s">
        <v>292</v>
      </c>
      <c r="E146" s="53" t="s">
        <v>327</v>
      </c>
      <c r="F146" s="111">
        <f>IF((F36-F153-F154-F155-F156-F157)&lt;&gt;0,"ERR",F36)</f>
        <v>1</v>
      </c>
      <c r="G146" s="111">
        <f t="shared" ref="G146:Q146" si="100">IF((G36+F146-G153-G154-G155-G156-G157)&lt;&gt;0,"ERR",G36+F146)</f>
        <v>2</v>
      </c>
      <c r="H146" s="111">
        <f t="shared" si="100"/>
        <v>4</v>
      </c>
      <c r="I146" s="111">
        <f t="shared" si="100"/>
        <v>6</v>
      </c>
      <c r="J146" s="111">
        <f t="shared" si="100"/>
        <v>11</v>
      </c>
      <c r="K146" s="111">
        <f t="shared" si="100"/>
        <v>12</v>
      </c>
      <c r="L146" s="111">
        <f t="shared" si="100"/>
        <v>14</v>
      </c>
      <c r="M146" s="111">
        <f t="shared" si="100"/>
        <v>17</v>
      </c>
      <c r="N146" s="111">
        <f t="shared" si="100"/>
        <v>20</v>
      </c>
      <c r="O146" s="111">
        <f t="shared" si="100"/>
        <v>20</v>
      </c>
      <c r="P146" s="111">
        <f t="shared" si="100"/>
        <v>20</v>
      </c>
      <c r="Q146" s="111">
        <f t="shared" si="100"/>
        <v>22</v>
      </c>
    </row>
    <row r="147" ht="24" customHeight="1" spans="1:17">
      <c r="A147" s="99" t="s">
        <v>289</v>
      </c>
      <c r="B147" s="99" t="s">
        <v>299</v>
      </c>
      <c r="C147" s="99" t="s">
        <v>316</v>
      </c>
      <c r="D147" s="100" t="s">
        <v>292</v>
      </c>
      <c r="E147" s="53" t="s">
        <v>328</v>
      </c>
      <c r="F147" s="111">
        <f>IF((F37-F158-F159-F160-F161-F162)&lt;&gt;0,"ERR",F37)</f>
        <v>0</v>
      </c>
      <c r="G147" s="111">
        <f t="shared" ref="G147:Q147" si="101">IF((G37+F147-G158-G159-G160-G161-G162)&lt;&gt;0,"ERR",G37+F147)</f>
        <v>0</v>
      </c>
      <c r="H147" s="111">
        <f t="shared" si="101"/>
        <v>0</v>
      </c>
      <c r="I147" s="111">
        <f t="shared" si="101"/>
        <v>0</v>
      </c>
      <c r="J147" s="111">
        <f t="shared" si="101"/>
        <v>0</v>
      </c>
      <c r="K147" s="111">
        <f t="shared" si="101"/>
        <v>0</v>
      </c>
      <c r="L147" s="111">
        <f t="shared" si="101"/>
        <v>0</v>
      </c>
      <c r="M147" s="111">
        <f t="shared" si="101"/>
        <v>0</v>
      </c>
      <c r="N147" s="111">
        <f t="shared" si="101"/>
        <v>0</v>
      </c>
      <c r="O147" s="111">
        <f t="shared" si="101"/>
        <v>0</v>
      </c>
      <c r="P147" s="111">
        <f t="shared" si="101"/>
        <v>0</v>
      </c>
      <c r="Q147" s="111">
        <f t="shared" si="101"/>
        <v>0</v>
      </c>
    </row>
    <row r="148" ht="24" customHeight="1" spans="1:17">
      <c r="A148" s="99" t="s">
        <v>289</v>
      </c>
      <c r="B148" s="99" t="s">
        <v>299</v>
      </c>
      <c r="C148" s="99" t="s">
        <v>316</v>
      </c>
      <c r="D148" s="53" t="s">
        <v>326</v>
      </c>
      <c r="E148" s="53" t="s">
        <v>93</v>
      </c>
      <c r="F148" s="111">
        <f t="shared" ref="F148:F162" si="102">F38</f>
        <v>3</v>
      </c>
      <c r="G148" s="111">
        <f t="shared" ref="G148:Q148" si="103">G38+F148</f>
        <v>3</v>
      </c>
      <c r="H148" s="111">
        <f t="shared" si="103"/>
        <v>3</v>
      </c>
      <c r="I148" s="111">
        <f t="shared" si="103"/>
        <v>4</v>
      </c>
      <c r="J148" s="111">
        <f t="shared" si="103"/>
        <v>6</v>
      </c>
      <c r="K148" s="111">
        <f t="shared" si="103"/>
        <v>6</v>
      </c>
      <c r="L148" s="111">
        <f t="shared" si="103"/>
        <v>8</v>
      </c>
      <c r="M148" s="111">
        <f t="shared" si="103"/>
        <v>9</v>
      </c>
      <c r="N148" s="111">
        <f t="shared" si="103"/>
        <v>10</v>
      </c>
      <c r="O148" s="111">
        <f t="shared" si="103"/>
        <v>10</v>
      </c>
      <c r="P148" s="111">
        <f t="shared" si="103"/>
        <v>11</v>
      </c>
      <c r="Q148" s="111">
        <f t="shared" si="103"/>
        <v>11</v>
      </c>
    </row>
    <row r="149" ht="24" customHeight="1" spans="1:17">
      <c r="A149" s="99" t="s">
        <v>289</v>
      </c>
      <c r="B149" s="99" t="s">
        <v>299</v>
      </c>
      <c r="C149" s="99" t="s">
        <v>316</v>
      </c>
      <c r="D149" s="53" t="s">
        <v>326</v>
      </c>
      <c r="E149" s="53" t="s">
        <v>85</v>
      </c>
      <c r="F149" s="111">
        <f t="shared" si="102"/>
        <v>1</v>
      </c>
      <c r="G149" s="111">
        <f t="shared" ref="G149:Q149" si="104">G39+F149</f>
        <v>1</v>
      </c>
      <c r="H149" s="111">
        <f t="shared" si="104"/>
        <v>1</v>
      </c>
      <c r="I149" s="111">
        <f t="shared" si="104"/>
        <v>1</v>
      </c>
      <c r="J149" s="111">
        <f t="shared" si="104"/>
        <v>2</v>
      </c>
      <c r="K149" s="111">
        <f t="shared" si="104"/>
        <v>3</v>
      </c>
      <c r="L149" s="111">
        <f t="shared" si="104"/>
        <v>3</v>
      </c>
      <c r="M149" s="111">
        <f t="shared" si="104"/>
        <v>4</v>
      </c>
      <c r="N149" s="111">
        <f t="shared" si="104"/>
        <v>5</v>
      </c>
      <c r="O149" s="111">
        <f t="shared" si="104"/>
        <v>6</v>
      </c>
      <c r="P149" s="111">
        <f t="shared" si="104"/>
        <v>6</v>
      </c>
      <c r="Q149" s="111">
        <f t="shared" si="104"/>
        <v>7</v>
      </c>
    </row>
    <row r="150" ht="24" customHeight="1" spans="1:17">
      <c r="A150" s="99" t="s">
        <v>289</v>
      </c>
      <c r="B150" s="99" t="s">
        <v>299</v>
      </c>
      <c r="C150" s="99" t="s">
        <v>316</v>
      </c>
      <c r="D150" s="53" t="s">
        <v>326</v>
      </c>
      <c r="E150" s="53" t="s">
        <v>81</v>
      </c>
      <c r="F150" s="111">
        <f t="shared" si="102"/>
        <v>1</v>
      </c>
      <c r="G150" s="111">
        <f t="shared" ref="G150:Q150" si="105">G40+F150</f>
        <v>1</v>
      </c>
      <c r="H150" s="111">
        <f t="shared" si="105"/>
        <v>1</v>
      </c>
      <c r="I150" s="111">
        <f t="shared" si="105"/>
        <v>3</v>
      </c>
      <c r="J150" s="111">
        <f t="shared" si="105"/>
        <v>3</v>
      </c>
      <c r="K150" s="111">
        <f t="shared" si="105"/>
        <v>5</v>
      </c>
      <c r="L150" s="111">
        <f t="shared" si="105"/>
        <v>5</v>
      </c>
      <c r="M150" s="111">
        <f t="shared" si="105"/>
        <v>5</v>
      </c>
      <c r="N150" s="111">
        <f t="shared" si="105"/>
        <v>5</v>
      </c>
      <c r="O150" s="111">
        <f t="shared" si="105"/>
        <v>6</v>
      </c>
      <c r="P150" s="111">
        <f t="shared" si="105"/>
        <v>7</v>
      </c>
      <c r="Q150" s="111">
        <f t="shared" si="105"/>
        <v>7</v>
      </c>
    </row>
    <row r="151" ht="24" customHeight="1" spans="1:17">
      <c r="A151" s="99" t="s">
        <v>289</v>
      </c>
      <c r="B151" s="99" t="s">
        <v>299</v>
      </c>
      <c r="C151" s="99" t="s">
        <v>316</v>
      </c>
      <c r="D151" s="53" t="s">
        <v>326</v>
      </c>
      <c r="E151" s="53" t="s">
        <v>96</v>
      </c>
      <c r="F151" s="111">
        <f t="shared" si="102"/>
        <v>0</v>
      </c>
      <c r="G151" s="111">
        <f t="shared" ref="G151:Q151" si="106">G41+F151</f>
        <v>0</v>
      </c>
      <c r="H151" s="111">
        <f t="shared" si="106"/>
        <v>0</v>
      </c>
      <c r="I151" s="111">
        <f t="shared" si="106"/>
        <v>0</v>
      </c>
      <c r="J151" s="111">
        <f t="shared" si="106"/>
        <v>0</v>
      </c>
      <c r="K151" s="111">
        <f t="shared" si="106"/>
        <v>0</v>
      </c>
      <c r="L151" s="111">
        <f t="shared" si="106"/>
        <v>0</v>
      </c>
      <c r="M151" s="111">
        <f t="shared" si="106"/>
        <v>0</v>
      </c>
      <c r="N151" s="111">
        <f t="shared" si="106"/>
        <v>0</v>
      </c>
      <c r="O151" s="111">
        <f t="shared" si="106"/>
        <v>0</v>
      </c>
      <c r="P151" s="111">
        <f t="shared" si="106"/>
        <v>1</v>
      </c>
      <c r="Q151" s="111">
        <f t="shared" si="106"/>
        <v>1</v>
      </c>
    </row>
    <row r="152" ht="24" customHeight="1" spans="1:17">
      <c r="A152" s="99" t="s">
        <v>289</v>
      </c>
      <c r="B152" s="99" t="s">
        <v>299</v>
      </c>
      <c r="C152" s="99" t="s">
        <v>316</v>
      </c>
      <c r="D152" s="53" t="s">
        <v>326</v>
      </c>
      <c r="E152" s="53" t="s">
        <v>160</v>
      </c>
      <c r="F152" s="111">
        <f t="shared" si="102"/>
        <v>0</v>
      </c>
      <c r="G152" s="111">
        <f t="shared" ref="G152:Q152" si="107">G42+F152</f>
        <v>0</v>
      </c>
      <c r="H152" s="111">
        <f t="shared" si="107"/>
        <v>0</v>
      </c>
      <c r="I152" s="111">
        <f t="shared" si="107"/>
        <v>0</v>
      </c>
      <c r="J152" s="111">
        <f t="shared" si="107"/>
        <v>0</v>
      </c>
      <c r="K152" s="111">
        <f t="shared" si="107"/>
        <v>0</v>
      </c>
      <c r="L152" s="111">
        <f t="shared" si="107"/>
        <v>0</v>
      </c>
      <c r="M152" s="111">
        <f t="shared" si="107"/>
        <v>0</v>
      </c>
      <c r="N152" s="111">
        <f t="shared" si="107"/>
        <v>0</v>
      </c>
      <c r="O152" s="111">
        <f t="shared" si="107"/>
        <v>0</v>
      </c>
      <c r="P152" s="111">
        <f t="shared" si="107"/>
        <v>0</v>
      </c>
      <c r="Q152" s="111">
        <f t="shared" si="107"/>
        <v>0</v>
      </c>
    </row>
    <row r="153" ht="24" customHeight="1" spans="1:17">
      <c r="A153" s="99" t="s">
        <v>289</v>
      </c>
      <c r="B153" s="99" t="s">
        <v>299</v>
      </c>
      <c r="C153" s="99" t="s">
        <v>316</v>
      </c>
      <c r="D153" s="53" t="s">
        <v>327</v>
      </c>
      <c r="E153" s="53" t="s">
        <v>93</v>
      </c>
      <c r="F153" s="111">
        <f t="shared" si="102"/>
        <v>1</v>
      </c>
      <c r="G153" s="111">
        <f t="shared" ref="G153:Q153" si="108">G43+F153</f>
        <v>2</v>
      </c>
      <c r="H153" s="111">
        <f t="shared" si="108"/>
        <v>3</v>
      </c>
      <c r="I153" s="111">
        <f t="shared" si="108"/>
        <v>4</v>
      </c>
      <c r="J153" s="111">
        <f t="shared" si="108"/>
        <v>7</v>
      </c>
      <c r="K153" s="111">
        <f t="shared" si="108"/>
        <v>8</v>
      </c>
      <c r="L153" s="111">
        <f t="shared" si="108"/>
        <v>9</v>
      </c>
      <c r="M153" s="111">
        <f t="shared" si="108"/>
        <v>11</v>
      </c>
      <c r="N153" s="111">
        <f t="shared" si="108"/>
        <v>11</v>
      </c>
      <c r="O153" s="111">
        <f t="shared" si="108"/>
        <v>11</v>
      </c>
      <c r="P153" s="111">
        <f t="shared" si="108"/>
        <v>11</v>
      </c>
      <c r="Q153" s="111">
        <f t="shared" si="108"/>
        <v>12</v>
      </c>
    </row>
    <row r="154" ht="24" customHeight="1" spans="1:17">
      <c r="A154" s="99" t="s">
        <v>289</v>
      </c>
      <c r="B154" s="99" t="s">
        <v>299</v>
      </c>
      <c r="C154" s="99" t="s">
        <v>316</v>
      </c>
      <c r="D154" s="53" t="s">
        <v>327</v>
      </c>
      <c r="E154" s="53" t="s">
        <v>85</v>
      </c>
      <c r="F154" s="111">
        <f t="shared" si="102"/>
        <v>0</v>
      </c>
      <c r="G154" s="111">
        <f t="shared" ref="G154:Q154" si="109">G44+F154</f>
        <v>0</v>
      </c>
      <c r="H154" s="111">
        <f t="shared" si="109"/>
        <v>1</v>
      </c>
      <c r="I154" s="111">
        <f t="shared" si="109"/>
        <v>2</v>
      </c>
      <c r="J154" s="111">
        <f t="shared" si="109"/>
        <v>2</v>
      </c>
      <c r="K154" s="111">
        <f t="shared" si="109"/>
        <v>2</v>
      </c>
      <c r="L154" s="111">
        <f t="shared" si="109"/>
        <v>3</v>
      </c>
      <c r="M154" s="111">
        <f t="shared" si="109"/>
        <v>3</v>
      </c>
      <c r="N154" s="111">
        <f t="shared" si="109"/>
        <v>5</v>
      </c>
      <c r="O154" s="111">
        <f t="shared" si="109"/>
        <v>5</v>
      </c>
      <c r="P154" s="111">
        <f t="shared" si="109"/>
        <v>5</v>
      </c>
      <c r="Q154" s="111">
        <f t="shared" si="109"/>
        <v>6</v>
      </c>
    </row>
    <row r="155" ht="24" customHeight="1" spans="1:17">
      <c r="A155" s="99" t="s">
        <v>289</v>
      </c>
      <c r="B155" s="99" t="s">
        <v>299</v>
      </c>
      <c r="C155" s="99" t="s">
        <v>316</v>
      </c>
      <c r="D155" s="53" t="s">
        <v>327</v>
      </c>
      <c r="E155" s="53" t="s">
        <v>81</v>
      </c>
      <c r="F155" s="111">
        <f t="shared" si="102"/>
        <v>0</v>
      </c>
      <c r="G155" s="111">
        <f t="shared" ref="G155:Q155" si="110">G45+F155</f>
        <v>0</v>
      </c>
      <c r="H155" s="111">
        <f t="shared" si="110"/>
        <v>0</v>
      </c>
      <c r="I155" s="111">
        <f t="shared" si="110"/>
        <v>0</v>
      </c>
      <c r="J155" s="111">
        <f t="shared" si="110"/>
        <v>2</v>
      </c>
      <c r="K155" s="111">
        <f t="shared" si="110"/>
        <v>2</v>
      </c>
      <c r="L155" s="111">
        <f t="shared" si="110"/>
        <v>2</v>
      </c>
      <c r="M155" s="111">
        <f t="shared" si="110"/>
        <v>3</v>
      </c>
      <c r="N155" s="111">
        <f t="shared" si="110"/>
        <v>4</v>
      </c>
      <c r="O155" s="111">
        <f t="shared" si="110"/>
        <v>4</v>
      </c>
      <c r="P155" s="111">
        <f t="shared" si="110"/>
        <v>4</v>
      </c>
      <c r="Q155" s="111">
        <f t="shared" si="110"/>
        <v>4</v>
      </c>
    </row>
    <row r="156" ht="24" customHeight="1" spans="1:17">
      <c r="A156" s="99" t="s">
        <v>289</v>
      </c>
      <c r="B156" s="99" t="s">
        <v>299</v>
      </c>
      <c r="C156" s="99" t="s">
        <v>316</v>
      </c>
      <c r="D156" s="53" t="s">
        <v>327</v>
      </c>
      <c r="E156" s="53" t="s">
        <v>96</v>
      </c>
      <c r="F156" s="111">
        <f t="shared" si="102"/>
        <v>0</v>
      </c>
      <c r="G156" s="111">
        <f t="shared" ref="G156:Q156" si="111">G46+F156</f>
        <v>0</v>
      </c>
      <c r="H156" s="111">
        <f t="shared" si="111"/>
        <v>0</v>
      </c>
      <c r="I156" s="111">
        <f t="shared" si="111"/>
        <v>0</v>
      </c>
      <c r="J156" s="111">
        <f t="shared" si="111"/>
        <v>0</v>
      </c>
      <c r="K156" s="111">
        <f t="shared" si="111"/>
        <v>0</v>
      </c>
      <c r="L156" s="111">
        <f t="shared" si="111"/>
        <v>0</v>
      </c>
      <c r="M156" s="111">
        <f t="shared" si="111"/>
        <v>0</v>
      </c>
      <c r="N156" s="111">
        <f t="shared" si="111"/>
        <v>0</v>
      </c>
      <c r="O156" s="111">
        <f t="shared" si="111"/>
        <v>0</v>
      </c>
      <c r="P156" s="111">
        <f t="shared" si="111"/>
        <v>0</v>
      </c>
      <c r="Q156" s="111">
        <f t="shared" si="111"/>
        <v>0</v>
      </c>
    </row>
    <row r="157" ht="24" customHeight="1" spans="1:17">
      <c r="A157" s="99" t="s">
        <v>289</v>
      </c>
      <c r="B157" s="99" t="s">
        <v>299</v>
      </c>
      <c r="C157" s="99" t="s">
        <v>316</v>
      </c>
      <c r="D157" s="53" t="s">
        <v>327</v>
      </c>
      <c r="E157" s="53" t="s">
        <v>160</v>
      </c>
      <c r="F157" s="111">
        <f t="shared" si="102"/>
        <v>0</v>
      </c>
      <c r="G157" s="111">
        <f t="shared" ref="G157:Q157" si="112">G47+F157</f>
        <v>0</v>
      </c>
      <c r="H157" s="111">
        <f t="shared" si="112"/>
        <v>0</v>
      </c>
      <c r="I157" s="111">
        <f t="shared" si="112"/>
        <v>0</v>
      </c>
      <c r="J157" s="111">
        <f t="shared" si="112"/>
        <v>0</v>
      </c>
      <c r="K157" s="111">
        <f t="shared" si="112"/>
        <v>0</v>
      </c>
      <c r="L157" s="111">
        <f t="shared" si="112"/>
        <v>0</v>
      </c>
      <c r="M157" s="111">
        <f t="shared" si="112"/>
        <v>0</v>
      </c>
      <c r="N157" s="111">
        <f t="shared" si="112"/>
        <v>0</v>
      </c>
      <c r="O157" s="111">
        <f t="shared" si="112"/>
        <v>0</v>
      </c>
      <c r="P157" s="111">
        <f t="shared" si="112"/>
        <v>0</v>
      </c>
      <c r="Q157" s="111">
        <f t="shared" si="112"/>
        <v>0</v>
      </c>
    </row>
    <row r="158" ht="24" customHeight="1" spans="1:17">
      <c r="A158" s="99" t="s">
        <v>289</v>
      </c>
      <c r="B158" s="99" t="s">
        <v>299</v>
      </c>
      <c r="C158" s="99" t="s">
        <v>316</v>
      </c>
      <c r="D158" s="53" t="s">
        <v>328</v>
      </c>
      <c r="E158" s="53" t="s">
        <v>93</v>
      </c>
      <c r="F158" s="111">
        <f t="shared" si="102"/>
        <v>0</v>
      </c>
      <c r="G158" s="111">
        <f t="shared" ref="G158:Q158" si="113">G48+F158</f>
        <v>0</v>
      </c>
      <c r="H158" s="111">
        <f t="shared" si="113"/>
        <v>0</v>
      </c>
      <c r="I158" s="111">
        <f t="shared" si="113"/>
        <v>0</v>
      </c>
      <c r="J158" s="111">
        <f t="shared" si="113"/>
        <v>0</v>
      </c>
      <c r="K158" s="111">
        <f t="shared" si="113"/>
        <v>0</v>
      </c>
      <c r="L158" s="111">
        <f t="shared" si="113"/>
        <v>0</v>
      </c>
      <c r="M158" s="111">
        <f t="shared" si="113"/>
        <v>0</v>
      </c>
      <c r="N158" s="111">
        <f t="shared" si="113"/>
        <v>0</v>
      </c>
      <c r="O158" s="111">
        <f t="shared" si="113"/>
        <v>0</v>
      </c>
      <c r="P158" s="111">
        <f t="shared" si="113"/>
        <v>0</v>
      </c>
      <c r="Q158" s="111">
        <f t="shared" si="113"/>
        <v>0</v>
      </c>
    </row>
    <row r="159" ht="24" customHeight="1" spans="1:17">
      <c r="A159" s="99" t="s">
        <v>289</v>
      </c>
      <c r="B159" s="99" t="s">
        <v>299</v>
      </c>
      <c r="C159" s="99" t="s">
        <v>316</v>
      </c>
      <c r="D159" s="53" t="s">
        <v>328</v>
      </c>
      <c r="E159" s="53" t="s">
        <v>85</v>
      </c>
      <c r="F159" s="111">
        <f t="shared" si="102"/>
        <v>0</v>
      </c>
      <c r="G159" s="111">
        <f t="shared" ref="G159:Q159" si="114">G49+F159</f>
        <v>0</v>
      </c>
      <c r="H159" s="111">
        <f t="shared" si="114"/>
        <v>0</v>
      </c>
      <c r="I159" s="111">
        <f t="shared" si="114"/>
        <v>0</v>
      </c>
      <c r="J159" s="111">
        <f t="shared" si="114"/>
        <v>0</v>
      </c>
      <c r="K159" s="111">
        <f t="shared" si="114"/>
        <v>0</v>
      </c>
      <c r="L159" s="111">
        <f t="shared" si="114"/>
        <v>0</v>
      </c>
      <c r="M159" s="111">
        <f t="shared" si="114"/>
        <v>0</v>
      </c>
      <c r="N159" s="111">
        <f t="shared" si="114"/>
        <v>0</v>
      </c>
      <c r="O159" s="111">
        <f t="shared" si="114"/>
        <v>0</v>
      </c>
      <c r="P159" s="111">
        <f t="shared" si="114"/>
        <v>0</v>
      </c>
      <c r="Q159" s="111">
        <f t="shared" si="114"/>
        <v>0</v>
      </c>
    </row>
    <row r="160" ht="24" customHeight="1" spans="1:17">
      <c r="A160" s="99" t="s">
        <v>289</v>
      </c>
      <c r="B160" s="99" t="s">
        <v>299</v>
      </c>
      <c r="C160" s="99" t="s">
        <v>316</v>
      </c>
      <c r="D160" s="53" t="s">
        <v>328</v>
      </c>
      <c r="E160" s="53" t="s">
        <v>81</v>
      </c>
      <c r="F160" s="111">
        <f t="shared" si="102"/>
        <v>0</v>
      </c>
      <c r="G160" s="111">
        <f t="shared" ref="G160:Q160" si="115">G50+F160</f>
        <v>0</v>
      </c>
      <c r="H160" s="111">
        <f t="shared" si="115"/>
        <v>0</v>
      </c>
      <c r="I160" s="111">
        <f t="shared" si="115"/>
        <v>0</v>
      </c>
      <c r="J160" s="111">
        <f t="shared" si="115"/>
        <v>0</v>
      </c>
      <c r="K160" s="111">
        <f t="shared" si="115"/>
        <v>0</v>
      </c>
      <c r="L160" s="111">
        <f t="shared" si="115"/>
        <v>0</v>
      </c>
      <c r="M160" s="111">
        <f t="shared" si="115"/>
        <v>0</v>
      </c>
      <c r="N160" s="111">
        <f t="shared" si="115"/>
        <v>0</v>
      </c>
      <c r="O160" s="111">
        <f t="shared" si="115"/>
        <v>0</v>
      </c>
      <c r="P160" s="111">
        <f t="shared" si="115"/>
        <v>0</v>
      </c>
      <c r="Q160" s="111">
        <f t="shared" si="115"/>
        <v>0</v>
      </c>
    </row>
    <row r="161" ht="24" customHeight="1" spans="1:17">
      <c r="A161" s="99" t="s">
        <v>289</v>
      </c>
      <c r="B161" s="99" t="s">
        <v>299</v>
      </c>
      <c r="C161" s="99" t="s">
        <v>316</v>
      </c>
      <c r="D161" s="53" t="s">
        <v>328</v>
      </c>
      <c r="E161" s="53" t="s">
        <v>96</v>
      </c>
      <c r="F161" s="111">
        <f t="shared" si="102"/>
        <v>0</v>
      </c>
      <c r="G161" s="111">
        <f t="shared" ref="G161:Q161" si="116">G51+F161</f>
        <v>0</v>
      </c>
      <c r="H161" s="111">
        <f t="shared" si="116"/>
        <v>0</v>
      </c>
      <c r="I161" s="111">
        <f t="shared" si="116"/>
        <v>0</v>
      </c>
      <c r="J161" s="111">
        <f t="shared" si="116"/>
        <v>0</v>
      </c>
      <c r="K161" s="111">
        <f t="shared" si="116"/>
        <v>0</v>
      </c>
      <c r="L161" s="111">
        <f t="shared" si="116"/>
        <v>0</v>
      </c>
      <c r="M161" s="111">
        <f t="shared" si="116"/>
        <v>0</v>
      </c>
      <c r="N161" s="111">
        <f t="shared" si="116"/>
        <v>0</v>
      </c>
      <c r="O161" s="111">
        <f t="shared" si="116"/>
        <v>0</v>
      </c>
      <c r="P161" s="111">
        <f t="shared" si="116"/>
        <v>0</v>
      </c>
      <c r="Q161" s="111">
        <f t="shared" si="116"/>
        <v>0</v>
      </c>
    </row>
    <row r="162" ht="24" customHeight="1" spans="1:17">
      <c r="A162" s="99" t="s">
        <v>289</v>
      </c>
      <c r="B162" s="99" t="s">
        <v>299</v>
      </c>
      <c r="C162" s="99" t="s">
        <v>316</v>
      </c>
      <c r="D162" s="53" t="s">
        <v>328</v>
      </c>
      <c r="E162" s="53" t="s">
        <v>160</v>
      </c>
      <c r="F162" s="111">
        <f t="shared" si="102"/>
        <v>0</v>
      </c>
      <c r="G162" s="111">
        <f t="shared" ref="G162:Q162" si="117">G52+F162</f>
        <v>0</v>
      </c>
      <c r="H162" s="111">
        <f t="shared" si="117"/>
        <v>0</v>
      </c>
      <c r="I162" s="111">
        <f t="shared" si="117"/>
        <v>0</v>
      </c>
      <c r="J162" s="111">
        <f t="shared" si="117"/>
        <v>0</v>
      </c>
      <c r="K162" s="111">
        <f t="shared" si="117"/>
        <v>0</v>
      </c>
      <c r="L162" s="111">
        <f t="shared" si="117"/>
        <v>0</v>
      </c>
      <c r="M162" s="111">
        <f t="shared" si="117"/>
        <v>0</v>
      </c>
      <c r="N162" s="111">
        <f t="shared" si="117"/>
        <v>0</v>
      </c>
      <c r="O162" s="111">
        <f t="shared" si="117"/>
        <v>0</v>
      </c>
      <c r="P162" s="111">
        <f t="shared" si="117"/>
        <v>0</v>
      </c>
      <c r="Q162" s="111">
        <f t="shared" si="117"/>
        <v>0</v>
      </c>
    </row>
    <row r="163" ht="24" customHeight="1" spans="1:17">
      <c r="A163" s="99" t="s">
        <v>289</v>
      </c>
      <c r="B163" s="99" t="s">
        <v>299</v>
      </c>
      <c r="C163" s="99" t="s">
        <v>329</v>
      </c>
      <c r="D163" s="113" t="s">
        <v>292</v>
      </c>
      <c r="E163" s="113" t="s">
        <v>330</v>
      </c>
      <c r="F163" s="115">
        <f t="shared" ref="F163:Q163" si="118">IF(F93=0,"",F113/F93)</f>
        <v>0.428571428571429</v>
      </c>
      <c r="G163" s="115">
        <f t="shared" si="118"/>
        <v>0.4375</v>
      </c>
      <c r="H163" s="115">
        <f t="shared" si="118"/>
        <v>0.409090909090909</v>
      </c>
      <c r="I163" s="115">
        <f t="shared" si="118"/>
        <v>0.636363636363636</v>
      </c>
      <c r="J163" s="115">
        <f t="shared" si="118"/>
        <v>0.88</v>
      </c>
      <c r="K163" s="115">
        <f t="shared" si="118"/>
        <v>0.896551724137931</v>
      </c>
      <c r="L163" s="115">
        <f t="shared" si="118"/>
        <v>0.909090909090909</v>
      </c>
      <c r="M163" s="115">
        <f t="shared" si="118"/>
        <v>0.921052631578947</v>
      </c>
      <c r="N163" s="115">
        <f t="shared" si="118"/>
        <v>0.930232558139535</v>
      </c>
      <c r="O163" s="115">
        <f t="shared" si="118"/>
        <v>0.954545454545455</v>
      </c>
      <c r="P163" s="115">
        <f t="shared" si="118"/>
        <v>0.9375</v>
      </c>
      <c r="Q163" s="115">
        <f t="shared" si="118"/>
        <v>0.979591836734694</v>
      </c>
    </row>
    <row r="164" ht="24" customHeight="1" spans="1:17">
      <c r="A164" s="99" t="s">
        <v>289</v>
      </c>
      <c r="B164" s="99" t="s">
        <v>299</v>
      </c>
      <c r="C164" s="99" t="s">
        <v>329</v>
      </c>
      <c r="D164" s="48" t="s">
        <v>296</v>
      </c>
      <c r="E164" s="116" t="s">
        <v>406</v>
      </c>
      <c r="F164" s="117">
        <f t="shared" ref="F164:Q164" si="119">IF(F94=0,"",F114/F94)</f>
        <v>0.5</v>
      </c>
      <c r="G164" s="117">
        <f t="shared" si="119"/>
        <v>0.5</v>
      </c>
      <c r="H164" s="117">
        <f t="shared" si="119"/>
        <v>0.5</v>
      </c>
      <c r="I164" s="117">
        <f t="shared" si="119"/>
        <v>0.5</v>
      </c>
      <c r="J164" s="117">
        <f t="shared" si="119"/>
        <v>0.666666666666667</v>
      </c>
      <c r="K164" s="117">
        <f t="shared" si="119"/>
        <v>0.6</v>
      </c>
      <c r="L164" s="117">
        <f t="shared" si="119"/>
        <v>0.857142857142857</v>
      </c>
      <c r="M164" s="117">
        <f t="shared" si="119"/>
        <v>1</v>
      </c>
      <c r="N164" s="117">
        <f t="shared" si="119"/>
        <v>1</v>
      </c>
      <c r="O164" s="117">
        <f t="shared" si="119"/>
        <v>1</v>
      </c>
      <c r="P164" s="117">
        <f t="shared" si="119"/>
        <v>0.9</v>
      </c>
      <c r="Q164" s="117">
        <f t="shared" si="119"/>
        <v>1</v>
      </c>
    </row>
    <row r="165" ht="24" customHeight="1" spans="1:17">
      <c r="A165" s="99" t="s">
        <v>289</v>
      </c>
      <c r="B165" s="99" t="s">
        <v>299</v>
      </c>
      <c r="C165" s="99" t="s">
        <v>329</v>
      </c>
      <c r="D165" s="48" t="s">
        <v>296</v>
      </c>
      <c r="E165" s="116" t="s">
        <v>82</v>
      </c>
      <c r="F165" s="117">
        <f t="shared" ref="F165:Q165" si="120">IF(F95=0,"",F115/F95)</f>
        <v>0.5</v>
      </c>
      <c r="G165" s="117">
        <f t="shared" si="120"/>
        <v>0.5</v>
      </c>
      <c r="H165" s="117">
        <f t="shared" si="120"/>
        <v>0.25</v>
      </c>
      <c r="I165" s="117">
        <f t="shared" si="120"/>
        <v>0.5</v>
      </c>
      <c r="J165" s="117">
        <f t="shared" si="120"/>
        <v>1</v>
      </c>
      <c r="K165" s="117">
        <f t="shared" si="120"/>
        <v>1</v>
      </c>
      <c r="L165" s="117">
        <f t="shared" si="120"/>
        <v>1</v>
      </c>
      <c r="M165" s="117">
        <f t="shared" si="120"/>
        <v>0.833333333333333</v>
      </c>
      <c r="N165" s="117">
        <f t="shared" si="120"/>
        <v>0.875</v>
      </c>
      <c r="O165" s="117">
        <f t="shared" si="120"/>
        <v>0.888888888888889</v>
      </c>
      <c r="P165" s="117">
        <f t="shared" si="120"/>
        <v>0.9</v>
      </c>
      <c r="Q165" s="117">
        <f t="shared" si="120"/>
        <v>1</v>
      </c>
    </row>
    <row r="166" ht="24" customHeight="1" spans="1:17">
      <c r="A166" s="99" t="s">
        <v>289</v>
      </c>
      <c r="B166" s="99" t="s">
        <v>299</v>
      </c>
      <c r="C166" s="99" t="s">
        <v>329</v>
      </c>
      <c r="D166" s="48" t="s">
        <v>296</v>
      </c>
      <c r="E166" s="116" t="s">
        <v>86</v>
      </c>
      <c r="F166" s="117">
        <f t="shared" ref="F166:Q166" si="121">IF(F96=0,"",F116/F96)</f>
        <v>0.4</v>
      </c>
      <c r="G166" s="117">
        <f t="shared" si="121"/>
        <v>0.4</v>
      </c>
      <c r="H166" s="117">
        <f t="shared" si="121"/>
        <v>0.333333333333333</v>
      </c>
      <c r="I166" s="117">
        <f t="shared" si="121"/>
        <v>0.777777777777778</v>
      </c>
      <c r="J166" s="117">
        <f t="shared" si="121"/>
        <v>0.818181818181818</v>
      </c>
      <c r="K166" s="117">
        <f t="shared" si="121"/>
        <v>0.923076923076923</v>
      </c>
      <c r="L166" s="117">
        <f t="shared" si="121"/>
        <v>0.928571428571429</v>
      </c>
      <c r="M166" s="117">
        <f t="shared" si="121"/>
        <v>0.933333333333333</v>
      </c>
      <c r="N166" s="117">
        <f t="shared" si="121"/>
        <v>1</v>
      </c>
      <c r="O166" s="117">
        <f t="shared" si="121"/>
        <v>1</v>
      </c>
      <c r="P166" s="117">
        <f t="shared" si="121"/>
        <v>1</v>
      </c>
      <c r="Q166" s="117">
        <f t="shared" si="121"/>
        <v>1</v>
      </c>
    </row>
    <row r="167" ht="24" customHeight="1" spans="1:17">
      <c r="A167" s="99" t="s">
        <v>289</v>
      </c>
      <c r="B167" s="99" t="s">
        <v>299</v>
      </c>
      <c r="C167" s="99" t="s">
        <v>329</v>
      </c>
      <c r="D167" s="48" t="s">
        <v>298</v>
      </c>
      <c r="E167" s="116" t="s">
        <v>97</v>
      </c>
      <c r="F167" s="117">
        <f t="shared" ref="F167:Q167" si="122">IF(F97=0,"",F117/F97)</f>
        <v>0.25</v>
      </c>
      <c r="G167" s="117">
        <f t="shared" si="122"/>
        <v>0.333333333333333</v>
      </c>
      <c r="H167" s="117">
        <f t="shared" si="122"/>
        <v>0.5</v>
      </c>
      <c r="I167" s="117">
        <f t="shared" si="122"/>
        <v>0.5</v>
      </c>
      <c r="J167" s="117">
        <f t="shared" si="122"/>
        <v>1</v>
      </c>
      <c r="K167" s="117">
        <f t="shared" si="122"/>
        <v>1</v>
      </c>
      <c r="L167" s="117">
        <f t="shared" si="122"/>
        <v>0.857142857142857</v>
      </c>
      <c r="M167" s="117">
        <f t="shared" si="122"/>
        <v>1</v>
      </c>
      <c r="N167" s="117">
        <f t="shared" si="122"/>
        <v>0.875</v>
      </c>
      <c r="O167" s="117">
        <f t="shared" si="122"/>
        <v>1</v>
      </c>
      <c r="P167" s="117">
        <f t="shared" si="122"/>
        <v>1</v>
      </c>
      <c r="Q167" s="117">
        <f t="shared" si="122"/>
        <v>1</v>
      </c>
    </row>
    <row r="168" ht="24" customHeight="1" spans="1:17">
      <c r="A168" s="99" t="s">
        <v>289</v>
      </c>
      <c r="B168" s="99" t="s">
        <v>299</v>
      </c>
      <c r="C168" s="99" t="s">
        <v>329</v>
      </c>
      <c r="D168" s="48" t="s">
        <v>298</v>
      </c>
      <c r="E168" s="116" t="s">
        <v>87</v>
      </c>
      <c r="F168" s="117">
        <f t="shared" ref="F168:Q168" si="123">IF(F98=0,"",F118/F98)</f>
        <v>1</v>
      </c>
      <c r="G168" s="117">
        <f t="shared" si="123"/>
        <v>1</v>
      </c>
      <c r="H168" s="117">
        <f t="shared" si="123"/>
        <v>1</v>
      </c>
      <c r="I168" s="117">
        <f t="shared" si="123"/>
        <v>1</v>
      </c>
      <c r="J168" s="117">
        <f t="shared" si="123"/>
        <v>1</v>
      </c>
      <c r="K168" s="117">
        <f t="shared" si="123"/>
        <v>1</v>
      </c>
      <c r="L168" s="117">
        <f t="shared" si="123"/>
        <v>1</v>
      </c>
      <c r="M168" s="117">
        <f t="shared" si="123"/>
        <v>0.5</v>
      </c>
      <c r="N168" s="117">
        <f t="shared" si="123"/>
        <v>0.75</v>
      </c>
      <c r="O168" s="117">
        <f t="shared" si="123"/>
        <v>0.75</v>
      </c>
      <c r="P168" s="117">
        <f t="shared" si="123"/>
        <v>0.75</v>
      </c>
      <c r="Q168" s="117">
        <f t="shared" si="123"/>
        <v>0.75</v>
      </c>
    </row>
    <row r="169" ht="24" customHeight="1" spans="1:17">
      <c r="A169" s="99" t="s">
        <v>289</v>
      </c>
      <c r="B169" s="99" t="s">
        <v>299</v>
      </c>
      <c r="C169" s="99" t="s">
        <v>329</v>
      </c>
      <c r="D169" s="48" t="s">
        <v>298</v>
      </c>
      <c r="E169" s="116" t="s">
        <v>83</v>
      </c>
      <c r="F169" s="117" t="str">
        <f t="shared" ref="F169:Q169" si="124">IF(F99=0,"",F119/F99)</f>
        <v/>
      </c>
      <c r="G169" s="117" t="str">
        <f t="shared" si="124"/>
        <v/>
      </c>
      <c r="H169" s="117" t="str">
        <f t="shared" si="124"/>
        <v/>
      </c>
      <c r="I169" s="117" t="str">
        <f t="shared" si="124"/>
        <v/>
      </c>
      <c r="J169" s="117" t="str">
        <f t="shared" si="124"/>
        <v/>
      </c>
      <c r="K169" s="117" t="str">
        <f t="shared" si="124"/>
        <v/>
      </c>
      <c r="L169" s="117" t="str">
        <f t="shared" si="124"/>
        <v/>
      </c>
      <c r="M169" s="117" t="str">
        <f t="shared" si="124"/>
        <v/>
      </c>
      <c r="N169" s="117" t="str">
        <f t="shared" si="124"/>
        <v/>
      </c>
      <c r="O169" s="117" t="str">
        <f t="shared" si="124"/>
        <v/>
      </c>
      <c r="P169" s="117" t="str">
        <f t="shared" si="124"/>
        <v/>
      </c>
      <c r="Q169" s="117">
        <f t="shared" si="124"/>
        <v>1</v>
      </c>
    </row>
    <row r="170" ht="24" customHeight="1" spans="1:17">
      <c r="A170" s="99" t="s">
        <v>289</v>
      </c>
      <c r="B170" s="99" t="s">
        <v>299</v>
      </c>
      <c r="C170" s="99" t="s">
        <v>329</v>
      </c>
      <c r="D170" s="47" t="s">
        <v>294</v>
      </c>
      <c r="E170" s="118" t="s">
        <v>93</v>
      </c>
      <c r="F170" s="119">
        <f t="shared" ref="F170:Q170" si="125">IF(F100=0,"",F126/F100)</f>
        <v>0.4</v>
      </c>
      <c r="G170" s="119">
        <f t="shared" si="125"/>
        <v>0.416666666666667</v>
      </c>
      <c r="H170" s="119">
        <f t="shared" si="125"/>
        <v>0.461538461538462</v>
      </c>
      <c r="I170" s="119">
        <f t="shared" si="125"/>
        <v>0.615384615384615</v>
      </c>
      <c r="J170" s="119">
        <f t="shared" si="125"/>
        <v>1</v>
      </c>
      <c r="K170" s="119">
        <f t="shared" si="125"/>
        <v>0.875</v>
      </c>
      <c r="L170" s="119">
        <f t="shared" si="125"/>
        <v>0.894736842105263</v>
      </c>
      <c r="M170" s="119">
        <f t="shared" si="125"/>
        <v>0.952380952380952</v>
      </c>
      <c r="N170" s="119">
        <f t="shared" si="125"/>
        <v>1</v>
      </c>
      <c r="O170" s="119">
        <f t="shared" si="125"/>
        <v>1</v>
      </c>
      <c r="P170" s="119">
        <f t="shared" si="125"/>
        <v>0.956521739130435</v>
      </c>
      <c r="Q170" s="119">
        <f t="shared" si="125"/>
        <v>1</v>
      </c>
    </row>
    <row r="171" ht="24" customHeight="1" spans="1:17">
      <c r="A171" s="99" t="s">
        <v>289</v>
      </c>
      <c r="B171" s="99" t="s">
        <v>299</v>
      </c>
      <c r="C171" s="99" t="s">
        <v>329</v>
      </c>
      <c r="D171" s="47" t="s">
        <v>294</v>
      </c>
      <c r="E171" s="118" t="s">
        <v>85</v>
      </c>
      <c r="F171" s="119">
        <f t="shared" ref="F171:Q171" si="126">IF(F101=0,"",F127/F101)</f>
        <v>0.333333333333333</v>
      </c>
      <c r="G171" s="119">
        <f t="shared" si="126"/>
        <v>0.333333333333333</v>
      </c>
      <c r="H171" s="119">
        <f t="shared" si="126"/>
        <v>0.5</v>
      </c>
      <c r="I171" s="119">
        <f t="shared" si="126"/>
        <v>0.75</v>
      </c>
      <c r="J171" s="119">
        <f t="shared" si="126"/>
        <v>0.8</v>
      </c>
      <c r="K171" s="119">
        <f t="shared" si="126"/>
        <v>0.833333333333333</v>
      </c>
      <c r="L171" s="119">
        <f t="shared" si="126"/>
        <v>0.857142857142857</v>
      </c>
      <c r="M171" s="119">
        <f t="shared" si="126"/>
        <v>0.777777777777778</v>
      </c>
      <c r="N171" s="119">
        <f t="shared" si="126"/>
        <v>0.833333333333333</v>
      </c>
      <c r="O171" s="119">
        <f t="shared" si="126"/>
        <v>0.916666666666667</v>
      </c>
      <c r="P171" s="119">
        <f t="shared" si="126"/>
        <v>0.846153846153846</v>
      </c>
      <c r="Q171" s="119">
        <f t="shared" si="126"/>
        <v>0.928571428571429</v>
      </c>
    </row>
    <row r="172" ht="24" customHeight="1" spans="1:17">
      <c r="A172" s="99" t="s">
        <v>289</v>
      </c>
      <c r="B172" s="99" t="s">
        <v>299</v>
      </c>
      <c r="C172" s="99" t="s">
        <v>329</v>
      </c>
      <c r="D172" s="47" t="s">
        <v>294</v>
      </c>
      <c r="E172" s="118" t="s">
        <v>81</v>
      </c>
      <c r="F172" s="119">
        <f t="shared" ref="F172:Q172" si="127">IF(F102=0,"",F128/F102)</f>
        <v>1</v>
      </c>
      <c r="G172" s="119">
        <f t="shared" si="127"/>
        <v>1</v>
      </c>
      <c r="H172" s="119">
        <f t="shared" si="127"/>
        <v>0.2</v>
      </c>
      <c r="I172" s="119">
        <f t="shared" si="127"/>
        <v>0.6</v>
      </c>
      <c r="J172" s="119">
        <f t="shared" si="127"/>
        <v>0.714285714285714</v>
      </c>
      <c r="K172" s="119">
        <f t="shared" si="127"/>
        <v>1</v>
      </c>
      <c r="L172" s="119">
        <f t="shared" si="127"/>
        <v>1</v>
      </c>
      <c r="M172" s="119">
        <f t="shared" si="127"/>
        <v>1</v>
      </c>
      <c r="N172" s="119">
        <f t="shared" si="127"/>
        <v>0.9</v>
      </c>
      <c r="O172" s="119">
        <f t="shared" si="127"/>
        <v>0.909090909090909</v>
      </c>
      <c r="P172" s="119">
        <f t="shared" si="127"/>
        <v>1</v>
      </c>
      <c r="Q172" s="119">
        <f t="shared" si="127"/>
        <v>1</v>
      </c>
    </row>
    <row r="173" ht="24" customHeight="1" spans="1:17">
      <c r="A173" s="99" t="s">
        <v>289</v>
      </c>
      <c r="B173" s="99" t="s">
        <v>299</v>
      </c>
      <c r="C173" s="99" t="s">
        <v>329</v>
      </c>
      <c r="D173" s="47" t="s">
        <v>294</v>
      </c>
      <c r="E173" s="118" t="s">
        <v>96</v>
      </c>
      <c r="F173" s="119" t="str">
        <f t="shared" ref="F173:Q173" si="128">IF(F103=0,"",F129/F103)</f>
        <v/>
      </c>
      <c r="G173" s="119" t="str">
        <f t="shared" si="128"/>
        <v/>
      </c>
      <c r="H173" s="119" t="str">
        <f t="shared" si="128"/>
        <v/>
      </c>
      <c r="I173" s="119" t="str">
        <f t="shared" si="128"/>
        <v/>
      </c>
      <c r="J173" s="119" t="str">
        <f t="shared" si="128"/>
        <v/>
      </c>
      <c r="K173" s="119" t="str">
        <f t="shared" si="128"/>
        <v/>
      </c>
      <c r="L173" s="119" t="str">
        <f t="shared" si="128"/>
        <v/>
      </c>
      <c r="M173" s="119" t="str">
        <f t="shared" si="128"/>
        <v/>
      </c>
      <c r="N173" s="119" t="str">
        <f t="shared" si="128"/>
        <v/>
      </c>
      <c r="O173" s="119" t="str">
        <f t="shared" si="128"/>
        <v/>
      </c>
      <c r="P173" s="119">
        <f t="shared" si="128"/>
        <v>1</v>
      </c>
      <c r="Q173" s="119">
        <f t="shared" si="128"/>
        <v>1</v>
      </c>
    </row>
    <row r="174" ht="24" customHeight="1" spans="1:17">
      <c r="A174" s="99" t="s">
        <v>289</v>
      </c>
      <c r="B174" s="99" t="s">
        <v>299</v>
      </c>
      <c r="C174" s="99" t="s">
        <v>329</v>
      </c>
      <c r="D174" s="47" t="s">
        <v>294</v>
      </c>
      <c r="E174" s="118" t="s">
        <v>160</v>
      </c>
      <c r="F174" s="119" t="str">
        <f t="shared" ref="F174:Q174" si="129">IF(F104=0,"",F130/F104)</f>
        <v/>
      </c>
      <c r="G174" s="119" t="str">
        <f t="shared" si="129"/>
        <v/>
      </c>
      <c r="H174" s="119" t="str">
        <f t="shared" si="129"/>
        <v/>
      </c>
      <c r="I174" s="119" t="str">
        <f t="shared" si="129"/>
        <v/>
      </c>
      <c r="J174" s="119" t="str">
        <f t="shared" si="129"/>
        <v/>
      </c>
      <c r="K174" s="119" t="str">
        <f t="shared" si="129"/>
        <v/>
      </c>
      <c r="L174" s="119" t="str">
        <f t="shared" si="129"/>
        <v/>
      </c>
      <c r="M174" s="119" t="str">
        <f t="shared" si="129"/>
        <v/>
      </c>
      <c r="N174" s="119" t="str">
        <f t="shared" si="129"/>
        <v/>
      </c>
      <c r="O174" s="119" t="str">
        <f t="shared" si="129"/>
        <v/>
      </c>
      <c r="P174" s="119" t="str">
        <f t="shared" si="129"/>
        <v/>
      </c>
      <c r="Q174" s="119" t="str">
        <f t="shared" si="129"/>
        <v/>
      </c>
    </row>
    <row r="175" ht="24" customHeight="1" spans="1:17">
      <c r="A175" s="99" t="s">
        <v>289</v>
      </c>
      <c r="B175" s="99" t="s">
        <v>299</v>
      </c>
      <c r="C175" s="99" t="s">
        <v>329</v>
      </c>
      <c r="D175" s="113" t="s">
        <v>292</v>
      </c>
      <c r="E175" s="113" t="s">
        <v>331</v>
      </c>
      <c r="F175" s="115">
        <f t="shared" ref="F175:Q175" si="130">IF(F105=0,"",F131/F105)</f>
        <v>0.363636363636364</v>
      </c>
      <c r="G175" s="115">
        <f t="shared" si="130"/>
        <v>0.333333333333333</v>
      </c>
      <c r="H175" s="115">
        <f t="shared" si="130"/>
        <v>0.333333333333333</v>
      </c>
      <c r="I175" s="115">
        <f t="shared" si="130"/>
        <v>0.611111111111111</v>
      </c>
      <c r="J175" s="115">
        <f t="shared" si="130"/>
        <v>0.857142857142857</v>
      </c>
      <c r="K175" s="115">
        <f t="shared" si="130"/>
        <v>0.88</v>
      </c>
      <c r="L175" s="115">
        <f t="shared" si="130"/>
        <v>0.896551724137931</v>
      </c>
      <c r="M175" s="115">
        <f t="shared" si="130"/>
        <v>0.939393939393939</v>
      </c>
      <c r="N175" s="115">
        <f t="shared" si="130"/>
        <v>0.972972972972973</v>
      </c>
      <c r="O175" s="115">
        <f t="shared" si="130"/>
        <v>0.973684210526316</v>
      </c>
      <c r="P175" s="115">
        <f t="shared" si="130"/>
        <v>0.951219512195122</v>
      </c>
      <c r="Q175" s="115">
        <f t="shared" si="130"/>
        <v>1</v>
      </c>
    </row>
    <row r="176" ht="24" customHeight="1" spans="1:17">
      <c r="A176" s="99" t="s">
        <v>289</v>
      </c>
      <c r="B176" s="99" t="s">
        <v>299</v>
      </c>
      <c r="C176" s="99" t="s">
        <v>329</v>
      </c>
      <c r="D176" s="48" t="s">
        <v>296</v>
      </c>
      <c r="E176" s="116" t="s">
        <v>406</v>
      </c>
      <c r="F176" s="117">
        <f t="shared" ref="F176:Q176" si="131">IF(F106=0,"",F132/F106)</f>
        <v>0.5</v>
      </c>
      <c r="G176" s="117">
        <f t="shared" si="131"/>
        <v>0.333333333333333</v>
      </c>
      <c r="H176" s="117">
        <f t="shared" si="131"/>
        <v>0.333333333333333</v>
      </c>
      <c r="I176" s="117">
        <f t="shared" si="131"/>
        <v>0.333333333333333</v>
      </c>
      <c r="J176" s="117">
        <f t="shared" si="131"/>
        <v>0.75</v>
      </c>
      <c r="K176" s="117">
        <f t="shared" si="131"/>
        <v>0.666666666666667</v>
      </c>
      <c r="L176" s="117">
        <f t="shared" si="131"/>
        <v>0.875</v>
      </c>
      <c r="M176" s="117">
        <f t="shared" si="131"/>
        <v>1</v>
      </c>
      <c r="N176" s="117">
        <f t="shared" si="131"/>
        <v>1</v>
      </c>
      <c r="O176" s="117">
        <f t="shared" si="131"/>
        <v>1</v>
      </c>
      <c r="P176" s="117">
        <f t="shared" si="131"/>
        <v>0.923076923076923</v>
      </c>
      <c r="Q176" s="117">
        <f t="shared" si="131"/>
        <v>1</v>
      </c>
    </row>
    <row r="177" ht="24" customHeight="1" spans="1:17">
      <c r="A177" s="99" t="s">
        <v>289</v>
      </c>
      <c r="B177" s="99" t="s">
        <v>299</v>
      </c>
      <c r="C177" s="99" t="s">
        <v>329</v>
      </c>
      <c r="D177" s="48" t="s">
        <v>296</v>
      </c>
      <c r="E177" s="116" t="s">
        <v>82</v>
      </c>
      <c r="F177" s="117">
        <f t="shared" ref="F177:Q177" si="132">IF(F107=0,"",F133/F107)</f>
        <v>0.25</v>
      </c>
      <c r="G177" s="117">
        <f t="shared" si="132"/>
        <v>0.25</v>
      </c>
      <c r="H177" s="117">
        <f t="shared" si="132"/>
        <v>0.333333333333333</v>
      </c>
      <c r="I177" s="117">
        <f t="shared" si="132"/>
        <v>0.5</v>
      </c>
      <c r="J177" s="117">
        <f t="shared" si="132"/>
        <v>1</v>
      </c>
      <c r="K177" s="117">
        <f t="shared" si="132"/>
        <v>1</v>
      </c>
      <c r="L177" s="117">
        <f t="shared" si="132"/>
        <v>0.857142857142857</v>
      </c>
      <c r="M177" s="117">
        <f t="shared" si="132"/>
        <v>0.888888888888889</v>
      </c>
      <c r="N177" s="117">
        <f t="shared" si="132"/>
        <v>0.909090909090909</v>
      </c>
      <c r="O177" s="117">
        <f t="shared" si="132"/>
        <v>0.916666666666667</v>
      </c>
      <c r="P177" s="117">
        <f t="shared" si="132"/>
        <v>0.923076923076923</v>
      </c>
      <c r="Q177" s="117">
        <f t="shared" si="132"/>
        <v>1</v>
      </c>
    </row>
    <row r="178" ht="24" customHeight="1" spans="1:17">
      <c r="A178" s="99" t="s">
        <v>289</v>
      </c>
      <c r="B178" s="99" t="s">
        <v>299</v>
      </c>
      <c r="C178" s="99" t="s">
        <v>329</v>
      </c>
      <c r="D178" s="48" t="s">
        <v>296</v>
      </c>
      <c r="E178" s="116" t="s">
        <v>86</v>
      </c>
      <c r="F178" s="117">
        <f t="shared" ref="F178:Q178" si="133">IF(F108=0,"",F134/F108)</f>
        <v>0.4</v>
      </c>
      <c r="G178" s="117">
        <f t="shared" si="133"/>
        <v>0.4</v>
      </c>
      <c r="H178" s="117">
        <f t="shared" si="133"/>
        <v>0.333333333333333</v>
      </c>
      <c r="I178" s="117">
        <f t="shared" si="133"/>
        <v>0.777777777777778</v>
      </c>
      <c r="J178" s="117">
        <f t="shared" si="133"/>
        <v>0.818181818181818</v>
      </c>
      <c r="K178" s="117">
        <f t="shared" si="133"/>
        <v>0.923076923076923</v>
      </c>
      <c r="L178" s="117">
        <f t="shared" si="133"/>
        <v>0.928571428571429</v>
      </c>
      <c r="M178" s="117">
        <f t="shared" si="133"/>
        <v>0.933333333333333</v>
      </c>
      <c r="N178" s="117">
        <f t="shared" si="133"/>
        <v>1</v>
      </c>
      <c r="O178" s="117">
        <f t="shared" si="133"/>
        <v>1</v>
      </c>
      <c r="P178" s="117">
        <f t="shared" si="133"/>
        <v>1</v>
      </c>
      <c r="Q178" s="117">
        <f t="shared" si="133"/>
        <v>1</v>
      </c>
    </row>
    <row r="179" ht="24" customHeight="1" spans="1:17">
      <c r="A179" s="99" t="s">
        <v>289</v>
      </c>
      <c r="B179" s="99" t="s">
        <v>299</v>
      </c>
      <c r="C179" s="99" t="s">
        <v>329</v>
      </c>
      <c r="D179" s="113" t="s">
        <v>292</v>
      </c>
      <c r="E179" s="113" t="s">
        <v>332</v>
      </c>
      <c r="F179" s="115">
        <f t="shared" ref="F179:Q179" si="134">IF(F109=0,"",F138/F109)</f>
        <v>0.461538461538462</v>
      </c>
      <c r="G179" s="115">
        <f t="shared" si="134"/>
        <v>0.466666666666667</v>
      </c>
      <c r="H179" s="115">
        <f t="shared" si="134"/>
        <v>0.4</v>
      </c>
      <c r="I179" s="115">
        <f t="shared" si="134"/>
        <v>0.6</v>
      </c>
      <c r="J179" s="115">
        <f t="shared" si="134"/>
        <v>0.909090909090909</v>
      </c>
      <c r="K179" s="115">
        <f t="shared" si="134"/>
        <v>0.92</v>
      </c>
      <c r="L179" s="115">
        <f t="shared" si="134"/>
        <v>0.928571428571429</v>
      </c>
      <c r="M179" s="115">
        <f t="shared" si="134"/>
        <v>0.9375</v>
      </c>
      <c r="N179" s="115">
        <f t="shared" si="134"/>
        <v>0.918918918918919</v>
      </c>
      <c r="O179" s="115">
        <f t="shared" si="134"/>
        <v>0.947368421052632</v>
      </c>
      <c r="P179" s="115">
        <f t="shared" si="134"/>
        <v>0.928571428571429</v>
      </c>
      <c r="Q179" s="115">
        <f t="shared" si="134"/>
        <v>0.976744186046512</v>
      </c>
    </row>
    <row r="180" ht="24" customHeight="1" spans="1:17">
      <c r="A180" s="99" t="s">
        <v>289</v>
      </c>
      <c r="B180" s="99" t="s">
        <v>299</v>
      </c>
      <c r="C180" s="99" t="s">
        <v>329</v>
      </c>
      <c r="D180" s="48" t="s">
        <v>298</v>
      </c>
      <c r="E180" s="116" t="s">
        <v>97</v>
      </c>
      <c r="F180" s="117">
        <f t="shared" ref="F180:Q180" si="135">IF(F110=0,"",F139/F110)</f>
        <v>0.375</v>
      </c>
      <c r="G180" s="117">
        <f t="shared" si="135"/>
        <v>0.4</v>
      </c>
      <c r="H180" s="117">
        <f t="shared" si="135"/>
        <v>0.454545454545455</v>
      </c>
      <c r="I180" s="117">
        <f t="shared" si="135"/>
        <v>0.454545454545455</v>
      </c>
      <c r="J180" s="117">
        <f t="shared" si="135"/>
        <v>1</v>
      </c>
      <c r="K180" s="117">
        <f t="shared" si="135"/>
        <v>1</v>
      </c>
      <c r="L180" s="117">
        <f t="shared" si="135"/>
        <v>0.866666666666667</v>
      </c>
      <c r="M180" s="117">
        <f t="shared" si="135"/>
        <v>1</v>
      </c>
      <c r="N180" s="117">
        <f t="shared" si="135"/>
        <v>0.941176470588235</v>
      </c>
      <c r="O180" s="117">
        <f t="shared" si="135"/>
        <v>1</v>
      </c>
      <c r="P180" s="117">
        <f t="shared" si="135"/>
        <v>0.947368421052632</v>
      </c>
      <c r="Q180" s="117">
        <f t="shared" si="135"/>
        <v>1</v>
      </c>
    </row>
    <row r="181" ht="24" customHeight="1" spans="1:17">
      <c r="A181" s="99" t="s">
        <v>289</v>
      </c>
      <c r="B181" s="99" t="s">
        <v>299</v>
      </c>
      <c r="C181" s="99" t="s">
        <v>329</v>
      </c>
      <c r="D181" s="48" t="s">
        <v>298</v>
      </c>
      <c r="E181" s="116" t="s">
        <v>87</v>
      </c>
      <c r="F181" s="117">
        <f t="shared" ref="F181:Q181" si="136">IF(F111=0,"",F140/F111)</f>
        <v>0.6</v>
      </c>
      <c r="G181" s="117">
        <f t="shared" si="136"/>
        <v>0.6</v>
      </c>
      <c r="H181" s="117">
        <f t="shared" si="136"/>
        <v>0.5</v>
      </c>
      <c r="I181" s="117">
        <f t="shared" si="136"/>
        <v>0.833333333333333</v>
      </c>
      <c r="J181" s="117">
        <f t="shared" si="136"/>
        <v>0.857142857142857</v>
      </c>
      <c r="K181" s="117">
        <f t="shared" si="136"/>
        <v>0.875</v>
      </c>
      <c r="L181" s="117">
        <f t="shared" si="136"/>
        <v>1</v>
      </c>
      <c r="M181" s="117">
        <f t="shared" si="136"/>
        <v>0.818181818181818</v>
      </c>
      <c r="N181" s="117">
        <f t="shared" si="136"/>
        <v>0.866666666666667</v>
      </c>
      <c r="O181" s="117">
        <f t="shared" si="136"/>
        <v>0.933333333333333</v>
      </c>
      <c r="P181" s="117">
        <f t="shared" si="136"/>
        <v>0.875</v>
      </c>
      <c r="Q181" s="117">
        <f t="shared" si="136"/>
        <v>0.9375</v>
      </c>
    </row>
    <row r="182" ht="24" customHeight="1" spans="1:17">
      <c r="A182" s="99" t="s">
        <v>289</v>
      </c>
      <c r="B182" s="99" t="s">
        <v>299</v>
      </c>
      <c r="C182" s="99" t="s">
        <v>329</v>
      </c>
      <c r="D182" s="48" t="s">
        <v>298</v>
      </c>
      <c r="E182" s="116" t="s">
        <v>83</v>
      </c>
      <c r="F182" s="117" t="str">
        <f t="shared" ref="F182:Q182" si="137">IF(F112=0,"",F141/F112)</f>
        <v/>
      </c>
      <c r="G182" s="117" t="str">
        <f t="shared" si="137"/>
        <v/>
      </c>
      <c r="H182" s="117">
        <f t="shared" si="137"/>
        <v>0</v>
      </c>
      <c r="I182" s="117">
        <f t="shared" si="137"/>
        <v>0.666666666666667</v>
      </c>
      <c r="J182" s="117">
        <f t="shared" si="137"/>
        <v>0.75</v>
      </c>
      <c r="K182" s="117">
        <f t="shared" si="137"/>
        <v>0.8</v>
      </c>
      <c r="L182" s="117">
        <f t="shared" si="137"/>
        <v>1</v>
      </c>
      <c r="M182" s="117">
        <f t="shared" si="137"/>
        <v>1</v>
      </c>
      <c r="N182" s="117">
        <f t="shared" si="137"/>
        <v>1</v>
      </c>
      <c r="O182" s="117">
        <f t="shared" si="137"/>
        <v>0.833333333333333</v>
      </c>
      <c r="P182" s="117">
        <f t="shared" si="137"/>
        <v>1</v>
      </c>
      <c r="Q182" s="117">
        <f t="shared" si="137"/>
        <v>1</v>
      </c>
    </row>
    <row r="183" ht="24" customHeight="1" spans="1:17">
      <c r="A183" s="99" t="s">
        <v>289</v>
      </c>
      <c r="B183" s="99" t="s">
        <v>299</v>
      </c>
      <c r="C183" s="99" t="s">
        <v>333</v>
      </c>
      <c r="D183" s="114" t="s">
        <v>292</v>
      </c>
      <c r="E183" s="114" t="s">
        <v>300</v>
      </c>
      <c r="F183" s="120">
        <f t="shared" ref="F183:Q183" si="138">SUM(F184:F189)</f>
        <v>4.189605</v>
      </c>
      <c r="G183" s="120">
        <f t="shared" si="138"/>
        <v>2.936011</v>
      </c>
      <c r="H183" s="120">
        <f t="shared" si="138"/>
        <v>2.666507</v>
      </c>
      <c r="I183" s="120">
        <f t="shared" si="138"/>
        <v>1.980262</v>
      </c>
      <c r="J183" s="120">
        <f t="shared" si="138"/>
        <v>27.836211</v>
      </c>
      <c r="K183" s="120">
        <f t="shared" si="138"/>
        <v>4.16439</v>
      </c>
      <c r="L183" s="120">
        <f t="shared" si="138"/>
        <v>3.406272</v>
      </c>
      <c r="M183" s="120">
        <f t="shared" si="138"/>
        <v>5.020027</v>
      </c>
      <c r="N183" s="120">
        <f t="shared" si="138"/>
        <v>1.381107</v>
      </c>
      <c r="O183" s="120">
        <f t="shared" si="138"/>
        <v>0.48875</v>
      </c>
      <c r="P183" s="120">
        <f t="shared" si="138"/>
        <v>2.171797</v>
      </c>
      <c r="Q183" s="120">
        <f t="shared" si="138"/>
        <v>4.390938</v>
      </c>
    </row>
    <row r="184" ht="24" customHeight="1" spans="1:17">
      <c r="A184" s="99" t="s">
        <v>289</v>
      </c>
      <c r="B184" s="99" t="s">
        <v>299</v>
      </c>
      <c r="C184" s="99" t="s">
        <v>333</v>
      </c>
      <c r="D184" s="48" t="s">
        <v>31</v>
      </c>
      <c r="E184" s="48" t="s">
        <v>406</v>
      </c>
      <c r="F184" s="121">
        <f>SUMIFS('2024数据'!$AK$3:$AK$152,'2024数据'!$D$3:$D$152,"&gt;="&amp;DATE(2024,1,1),'2024数据'!$D$3:$D$152,"&lt;="&amp;DATE(2024,1,31),'2024数据'!$AE$3:$AE$152,$E184)/10000</f>
        <v>1.660672</v>
      </c>
      <c r="G184" s="121">
        <f>SUMIFS('2024数据'!$AK$3:$AK$152,'2024数据'!$D$3:$D$152,"&gt;="&amp;DATE(2024,2,1),'2024数据'!$D$3:$D$152,"&lt;="&amp;DATE(2024,2,29),'2024数据'!$AE$3:$AE$152,$E184)/10000</f>
        <v>0</v>
      </c>
      <c r="H184" s="121">
        <f>SUMIFS('2024数据'!$AK$3:$AK$152,'2024数据'!$D$3:$D$152,"&gt;="&amp;DATE(2024,3,1),'2024数据'!$D$3:$D$152,"&lt;="&amp;DATE(2024,3,31),'2024数据'!$AE$3:$AE$152,$E184)/10000</f>
        <v>0</v>
      </c>
      <c r="I184" s="121">
        <f>SUMIFS('2024数据'!$AK$3:$AK$152,'2024数据'!$D$3:$D$152,"&gt;="&amp;DATE(2024,4,1),'2024数据'!$D$3:$D$152,"&lt;="&amp;DATE(2024,4,30),'2024数据'!$AE$3:$AE$152,$E184)/10000</f>
        <v>0</v>
      </c>
      <c r="J184" s="121">
        <f>SUMIFS('2024数据'!$AK$3:$AK$152,'2024数据'!$D$3:$D$152,"&gt;="&amp;DATE(2024,5,1),'2024数据'!$D$3:$D$152,"&lt;="&amp;DATE(2024,5,31),'2024数据'!$AE$3:$AE$152,$E184)/10000</f>
        <v>1.785402</v>
      </c>
      <c r="K184" s="121">
        <f>SUMIFS('2024数据'!$AK$3:$AK$152,'2024数据'!$D$3:$D$152,"&gt;="&amp;DATE(2024,6,1),'2024数据'!$D$3:$D$152,"&lt;="&amp;DATE(2024,6,30),'2024数据'!$AE$3:$AE$152,$E184)/10000</f>
        <v>0.65763</v>
      </c>
      <c r="L184" s="121">
        <f>SUMIFS('2024数据'!$AK$3:$AK$152,'2024数据'!$D$3:$D$152,"&gt;="&amp;DATE(2024,7,1),'2024数据'!$D$3:$D$152,"&lt;="&amp;DATE(2024,7,31),'2024数据'!$AE$3:$AE$152,$E184)/10000</f>
        <v>2.684208</v>
      </c>
      <c r="M184" s="121">
        <f>SUMIFS('2024数据'!$AK$3:$AK$152,'2024数据'!$D$3:$D$152,"&gt;="&amp;DATE(2024,8,1),'2024数据'!$D$3:$D$152,"&lt;="&amp;DATE(2024,8,31),'2024数据'!$AE$3:$AE$152,$E184)/10000</f>
        <v>2.897948</v>
      </c>
      <c r="N184" s="121">
        <f>SUMIFS('2024数据'!$AK$3:$AK$152,'2024数据'!$D$3:$D$152,"&gt;="&amp;DATE(2024,9,1),'2024数据'!$D$3:$D$152,"&lt;="&amp;DATE(2024,9,30),'2024数据'!$AE$3:$AE$152,$E184)/10000</f>
        <v>0</v>
      </c>
      <c r="O184" s="121">
        <f>SUMIFS('2024数据'!$AK$3:$AK$152,'2024数据'!$D$3:$D$152,"&gt;="&amp;DATE(2024,10,1),'2024数据'!$D$3:$D$152,"&lt;="&amp;DATE(2024,10,31),'2024数据'!$AE$3:$AE$152,$E184)/10000</f>
        <v>0</v>
      </c>
      <c r="P184" s="121">
        <f>SUMIFS('2024数据'!$AK$3:$AK$152,'2024数据'!$D$3:$D$152,"&gt;="&amp;DATE(2024,11,1),'2024数据'!$D$3:$D$152,"&lt;="&amp;DATE(2024,11,30),'2024数据'!$AE$3:$AE$152,$E184)/10000</f>
        <v>1.518751</v>
      </c>
      <c r="Q184" s="121">
        <f>SUMIFS('2024数据'!$AK$3:$AK$152,'2024数据'!$D$3:$D$152,"&gt;="&amp;DATE(2024,12,1),'2024数据'!$D$3:$D$152,"&lt;="&amp;DATE(2024,12,31),'2024数据'!$AE$3:$AE$152,$E184)/10000</f>
        <v>0.764851</v>
      </c>
    </row>
    <row r="185" ht="24" customHeight="1" spans="1:17">
      <c r="A185" s="99" t="s">
        <v>289</v>
      </c>
      <c r="B185" s="99" t="s">
        <v>299</v>
      </c>
      <c r="C185" s="99" t="s">
        <v>333</v>
      </c>
      <c r="D185" s="48" t="s">
        <v>31</v>
      </c>
      <c r="E185" s="48" t="s">
        <v>82</v>
      </c>
      <c r="F185" s="121">
        <f>SUMIFS('2024数据'!$AK$3:$AK$152,'2024数据'!$D$3:$D$152,"&gt;="&amp;DATE(2024,1,1),'2024数据'!$D$3:$D$152,"&lt;="&amp;DATE(2024,1,31),'2024数据'!$AE$3:$AE$152,$E185)/10000</f>
        <v>0.947026</v>
      </c>
      <c r="G185" s="121">
        <f>SUMIFS('2024数据'!$AK$3:$AK$152,'2024数据'!$D$3:$D$152,"&gt;="&amp;DATE(2024,2,1),'2024数据'!$D$3:$D$152,"&lt;="&amp;DATE(2024,2,29),'2024数据'!$AE$3:$AE$152,$E185)/10000</f>
        <v>0</v>
      </c>
      <c r="H185" s="121">
        <f>SUMIFS('2024数据'!$AK$3:$AK$152,'2024数据'!$D$3:$D$152,"&gt;="&amp;DATE(2024,3,1),'2024数据'!$D$3:$D$152,"&lt;="&amp;DATE(2024,3,31),'2024数据'!$AE$3:$AE$152,$E185)/10000</f>
        <v>0</v>
      </c>
      <c r="I185" s="121">
        <f>SUMIFS('2024数据'!$AK$3:$AK$152,'2024数据'!$D$3:$D$152,"&gt;="&amp;DATE(2024,4,1),'2024数据'!$D$3:$D$152,"&lt;="&amp;DATE(2024,4,30),'2024数据'!$AE$3:$AE$152,$E185)/10000</f>
        <v>0.188797</v>
      </c>
      <c r="J185" s="121">
        <f>SUMIFS('2024数据'!$AK$3:$AK$152,'2024数据'!$D$3:$D$152,"&gt;="&amp;DATE(2024,5,1),'2024数据'!$D$3:$D$152,"&lt;="&amp;DATE(2024,5,31),'2024数据'!$AE$3:$AE$152,$E185)/10000</f>
        <v>3.347387</v>
      </c>
      <c r="K185" s="121">
        <f>SUMIFS('2024数据'!$AK$3:$AK$152,'2024数据'!$D$3:$D$152,"&gt;="&amp;DATE(2024,6,1),'2024数据'!$D$3:$D$152,"&lt;="&amp;DATE(2024,6,30),'2024数据'!$AE$3:$AE$152,$E185)/10000</f>
        <v>0</v>
      </c>
      <c r="L185" s="121">
        <f>SUMIFS('2024数据'!$AK$3:$AK$152,'2024数据'!$D$3:$D$152,"&gt;="&amp;DATE(2024,7,1),'2024数据'!$D$3:$D$152,"&lt;="&amp;DATE(2024,7,31),'2024数据'!$AE$3:$AE$152,$E185)/10000</f>
        <v>0</v>
      </c>
      <c r="M185" s="121">
        <f>SUMIFS('2024数据'!$AK$3:$AK$152,'2024数据'!$D$3:$D$152,"&gt;="&amp;DATE(2024,8,1),'2024数据'!$D$3:$D$152,"&lt;="&amp;DATE(2024,8,31),'2024数据'!$AE$3:$AE$152,$E185)/10000</f>
        <v>1.068761</v>
      </c>
      <c r="N185" s="121">
        <f>SUMIFS('2024数据'!$AK$3:$AK$152,'2024数据'!$D$3:$D$152,"&gt;="&amp;DATE(2024,9,1),'2024数据'!$D$3:$D$152,"&lt;="&amp;DATE(2024,9,30),'2024数据'!$AE$3:$AE$152,$E185)/10000</f>
        <v>1.089435</v>
      </c>
      <c r="O185" s="121">
        <f>SUMIFS('2024数据'!$AK$3:$AK$152,'2024数据'!$D$3:$D$152,"&gt;="&amp;DATE(2024,10,1),'2024数据'!$D$3:$D$152,"&lt;="&amp;DATE(2024,10,31),'2024数据'!$AE$3:$AE$152,$E185)/10000</f>
        <v>0.406975</v>
      </c>
      <c r="P185" s="121">
        <f>SUMIFS('2024数据'!$AK$3:$AK$152,'2024数据'!$D$3:$D$152,"&gt;="&amp;DATE(2024,11,1),'2024数据'!$D$3:$D$152,"&lt;="&amp;DATE(2024,11,30),'2024数据'!$AE$3:$AE$152,$E185)/10000</f>
        <v>0.353048</v>
      </c>
      <c r="Q185" s="121">
        <f>SUMIFS('2024数据'!$AK$3:$AK$152,'2024数据'!$D$3:$D$152,"&gt;="&amp;DATE(2024,12,1),'2024数据'!$D$3:$D$152,"&lt;="&amp;DATE(2024,12,31),'2024数据'!$AE$3:$AE$152,$E185)/10000</f>
        <v>2.700835</v>
      </c>
    </row>
    <row r="186" ht="24" customHeight="1" spans="1:17">
      <c r="A186" s="99" t="s">
        <v>289</v>
      </c>
      <c r="B186" s="99" t="s">
        <v>299</v>
      </c>
      <c r="C186" s="99" t="s">
        <v>333</v>
      </c>
      <c r="D186" s="48" t="s">
        <v>31</v>
      </c>
      <c r="E186" s="48" t="s">
        <v>86</v>
      </c>
      <c r="F186" s="121">
        <f>SUMIFS('2024数据'!$AK$3:$AK$152,'2024数据'!$D$3:$D$152,"&gt;="&amp;DATE(2024,1,1),'2024数据'!$D$3:$D$152,"&lt;="&amp;DATE(2024,1,31),'2024数据'!$AE$3:$AE$152,$E186)/10000</f>
        <v>0.669592</v>
      </c>
      <c r="G186" s="121">
        <f>SUMIFS('2024数据'!$AK$3:$AK$152,'2024数据'!$D$3:$D$152,"&gt;="&amp;DATE(2024,2,1),'2024数据'!$D$3:$D$152,"&lt;="&amp;DATE(2024,2,29),'2024数据'!$AE$3:$AE$152,$E186)/10000</f>
        <v>0</v>
      </c>
      <c r="H186" s="121">
        <f>SUMIFS('2024数据'!$AK$3:$AK$152,'2024数据'!$D$3:$D$152,"&gt;="&amp;DATE(2024,3,1),'2024数据'!$D$3:$D$152,"&lt;="&amp;DATE(2024,3,31),'2024数据'!$AE$3:$AE$152,$E186)/10000</f>
        <v>0.812323</v>
      </c>
      <c r="I186" s="121">
        <f>SUMIFS('2024数据'!$AK$3:$AK$152,'2024数据'!$D$3:$D$152,"&gt;="&amp;DATE(2024,4,1),'2024数据'!$D$3:$D$152,"&lt;="&amp;DATE(2024,4,30),'2024数据'!$AE$3:$AE$152,$E186)/10000</f>
        <v>1.791465</v>
      </c>
      <c r="J186" s="121">
        <f>SUMIFS('2024数据'!$AK$3:$AK$152,'2024数据'!$D$3:$D$152,"&gt;="&amp;DATE(2024,5,1),'2024数据'!$D$3:$D$152,"&lt;="&amp;DATE(2024,5,31),'2024数据'!$AE$3:$AE$152,$E186)/10000</f>
        <v>14.592541</v>
      </c>
      <c r="K186" s="121">
        <f>SUMIFS('2024数据'!$AK$3:$AK$152,'2024数据'!$D$3:$D$152,"&gt;="&amp;DATE(2024,6,1),'2024数据'!$D$3:$D$152,"&lt;="&amp;DATE(2024,6,30),'2024数据'!$AE$3:$AE$152,$E186)/10000</f>
        <v>3.50676</v>
      </c>
      <c r="L186" s="121">
        <f>SUMIFS('2024数据'!$AK$3:$AK$152,'2024数据'!$D$3:$D$152,"&gt;="&amp;DATE(2024,7,1),'2024数据'!$D$3:$D$152,"&lt;="&amp;DATE(2024,7,31),'2024数据'!$AE$3:$AE$152,$E186)/10000</f>
        <v>0.722064</v>
      </c>
      <c r="M186" s="121">
        <f>SUMIFS('2024数据'!$AK$3:$AK$152,'2024数据'!$D$3:$D$152,"&gt;="&amp;DATE(2024,8,1),'2024数据'!$D$3:$D$152,"&lt;="&amp;DATE(2024,8,31),'2024数据'!$AE$3:$AE$152,$E186)/10000</f>
        <v>0.407888</v>
      </c>
      <c r="N186" s="121">
        <f>SUMIFS('2024数据'!$AK$3:$AK$152,'2024数据'!$D$3:$D$152,"&gt;="&amp;DATE(2024,9,1),'2024数据'!$D$3:$D$152,"&lt;="&amp;DATE(2024,9,30),'2024数据'!$AE$3:$AE$152,$E186)/10000</f>
        <v>0.146713</v>
      </c>
      <c r="O186" s="121">
        <f>SUMIFS('2024数据'!$AK$3:$AK$152,'2024数据'!$D$3:$D$152,"&gt;="&amp;DATE(2024,10,1),'2024数据'!$D$3:$D$152,"&lt;="&amp;DATE(2024,10,31),'2024数据'!$AE$3:$AE$152,$E186)/10000</f>
        <v>0</v>
      </c>
      <c r="P186" s="121">
        <f>SUMIFS('2024数据'!$AK$3:$AK$152,'2024数据'!$D$3:$D$152,"&gt;="&amp;DATE(2024,11,1),'2024数据'!$D$3:$D$152,"&lt;="&amp;DATE(2024,11,30),'2024数据'!$AE$3:$AE$152,$E186)/10000</f>
        <v>0</v>
      </c>
      <c r="Q186" s="121">
        <f>SUMIFS('2024数据'!$AK$3:$AK$152,'2024数据'!$D$3:$D$152,"&gt;="&amp;DATE(2024,12,1),'2024数据'!$D$3:$D$152,"&lt;="&amp;DATE(2024,12,31),'2024数据'!$AE$3:$AE$152,$E186)/10000</f>
        <v>0</v>
      </c>
    </row>
    <row r="187" ht="24" customHeight="1" spans="1:17">
      <c r="A187" s="99" t="s">
        <v>289</v>
      </c>
      <c r="B187" s="99" t="s">
        <v>299</v>
      </c>
      <c r="C187" s="99" t="s">
        <v>333</v>
      </c>
      <c r="D187" s="48" t="s">
        <v>31</v>
      </c>
      <c r="E187" s="48" t="s">
        <v>97</v>
      </c>
      <c r="F187" s="121">
        <f>SUMIFS('2024数据'!$AK$3:$AK$152,'2024数据'!$D$3:$D$152,"&gt;="&amp;DATE(2024,1,1),'2024数据'!$D$3:$D$152,"&lt;="&amp;DATE(2024,1,31),'2024数据'!$AE$3:$AE$152,$E187)/10000</f>
        <v>0.450327</v>
      </c>
      <c r="G187" s="121">
        <f>SUMIFS('2024数据'!$AK$3:$AK$152,'2024数据'!$D$3:$D$152,"&gt;="&amp;DATE(2024,2,1),'2024数据'!$D$3:$D$152,"&lt;="&amp;DATE(2024,2,29),'2024数据'!$AE$3:$AE$152,$E187)/10000</f>
        <v>2.936011</v>
      </c>
      <c r="H187" s="121">
        <f>SUMIFS('2024数据'!$AK$3:$AK$152,'2024数据'!$D$3:$D$152,"&gt;="&amp;DATE(2024,3,1),'2024数据'!$D$3:$D$152,"&lt;="&amp;DATE(2024,3,31),'2024数据'!$AE$3:$AE$152,$E187)/10000</f>
        <v>1.854184</v>
      </c>
      <c r="I187" s="121">
        <f>SUMIFS('2024数据'!$AK$3:$AK$152,'2024数据'!$D$3:$D$152,"&gt;="&amp;DATE(2024,4,1),'2024数据'!$D$3:$D$152,"&lt;="&amp;DATE(2024,4,30),'2024数据'!$AE$3:$AE$152,$E187)/10000</f>
        <v>0</v>
      </c>
      <c r="J187" s="121">
        <f>SUMIFS('2024数据'!$AK$3:$AK$152,'2024数据'!$D$3:$D$152,"&gt;="&amp;DATE(2024,5,1),'2024数据'!$D$3:$D$152,"&lt;="&amp;DATE(2024,5,31),'2024数据'!$AE$3:$AE$152,$E187)/10000</f>
        <v>8.110881</v>
      </c>
      <c r="K187" s="121">
        <f>SUMIFS('2024数据'!$AK$3:$AK$152,'2024数据'!$D$3:$D$152,"&gt;="&amp;DATE(2024,6,1),'2024数据'!$D$3:$D$152,"&lt;="&amp;DATE(2024,6,30),'2024数据'!$AE$3:$AE$152,$E187)/10000</f>
        <v>0</v>
      </c>
      <c r="L187" s="121">
        <f>SUMIFS('2024数据'!$AK$3:$AK$152,'2024数据'!$D$3:$D$152,"&gt;="&amp;DATE(2024,7,1),'2024数据'!$D$3:$D$152,"&lt;="&amp;DATE(2024,7,31),'2024数据'!$AE$3:$AE$152,$E187)/10000</f>
        <v>0</v>
      </c>
      <c r="M187" s="121">
        <f>SUMIFS('2024数据'!$AK$3:$AK$152,'2024数据'!$D$3:$D$152,"&gt;="&amp;DATE(2024,8,1),'2024数据'!$D$3:$D$152,"&lt;="&amp;DATE(2024,8,31),'2024数据'!$AE$3:$AE$152,$E187)/10000</f>
        <v>0.64543</v>
      </c>
      <c r="N187" s="121">
        <f>SUMIFS('2024数据'!$AK$3:$AK$152,'2024数据'!$D$3:$D$152,"&gt;="&amp;DATE(2024,9,1),'2024数据'!$D$3:$D$152,"&lt;="&amp;DATE(2024,9,30),'2024数据'!$AE$3:$AE$152,$E187)/10000</f>
        <v>0</v>
      </c>
      <c r="O187" s="121">
        <f>SUMIFS('2024数据'!$AK$3:$AK$152,'2024数据'!$D$3:$D$152,"&gt;="&amp;DATE(2024,10,1),'2024数据'!$D$3:$D$152,"&lt;="&amp;DATE(2024,10,31),'2024数据'!$AE$3:$AE$152,$E187)/10000</f>
        <v>0.081775</v>
      </c>
      <c r="P187" s="121">
        <f>SUMIFS('2024数据'!$AK$3:$AK$152,'2024数据'!$D$3:$D$152,"&gt;="&amp;DATE(2024,11,1),'2024数据'!$D$3:$D$152,"&lt;="&amp;DATE(2024,11,30),'2024数据'!$AE$3:$AE$152,$E187)/10000</f>
        <v>0.299998</v>
      </c>
      <c r="Q187" s="121">
        <f>SUMIFS('2024数据'!$AK$3:$AK$152,'2024数据'!$D$3:$D$152,"&gt;="&amp;DATE(2024,12,1),'2024数据'!$D$3:$D$152,"&lt;="&amp;DATE(2024,12,31),'2024数据'!$AE$3:$AE$152,$E187)/10000</f>
        <v>0</v>
      </c>
    </row>
    <row r="188" ht="24" customHeight="1" spans="1:17">
      <c r="A188" s="99" t="s">
        <v>289</v>
      </c>
      <c r="B188" s="99" t="s">
        <v>299</v>
      </c>
      <c r="C188" s="99" t="s">
        <v>333</v>
      </c>
      <c r="D188" s="48" t="s">
        <v>31</v>
      </c>
      <c r="E188" s="48" t="s">
        <v>87</v>
      </c>
      <c r="F188" s="121">
        <f>SUMIFS('2024数据'!$AK$3:$AK$152,'2024数据'!$D$3:$D$152,"&gt;="&amp;DATE(2024,1,1),'2024数据'!$D$3:$D$152,"&lt;="&amp;DATE(2024,1,31),'2024数据'!$AE$3:$AE$152,$E188)/10000</f>
        <v>0.461988</v>
      </c>
      <c r="G188" s="121">
        <f>SUMIFS('2024数据'!$AK$3:$AK$152,'2024数据'!$D$3:$D$152,"&gt;="&amp;DATE(2024,2,1),'2024数据'!$D$3:$D$152,"&lt;="&amp;DATE(2024,2,29),'2024数据'!$AE$3:$AE$152,$E188)/10000</f>
        <v>0</v>
      </c>
      <c r="H188" s="121">
        <f>SUMIFS('2024数据'!$AK$3:$AK$152,'2024数据'!$D$3:$D$152,"&gt;="&amp;DATE(2024,3,1),'2024数据'!$D$3:$D$152,"&lt;="&amp;DATE(2024,3,31),'2024数据'!$AE$3:$AE$152,$E188)/10000</f>
        <v>0</v>
      </c>
      <c r="I188" s="121">
        <f>SUMIFS('2024数据'!$AK$3:$AK$152,'2024数据'!$D$3:$D$152,"&gt;="&amp;DATE(2024,4,1),'2024数据'!$D$3:$D$152,"&lt;="&amp;DATE(2024,4,30),'2024数据'!$AE$3:$AE$152,$E188)/10000</f>
        <v>0</v>
      </c>
      <c r="J188" s="121">
        <f>SUMIFS('2024数据'!$AK$3:$AK$152,'2024数据'!$D$3:$D$152,"&gt;="&amp;DATE(2024,5,1),'2024数据'!$D$3:$D$152,"&lt;="&amp;DATE(2024,5,31),'2024数据'!$AE$3:$AE$152,$E188)/10000</f>
        <v>0</v>
      </c>
      <c r="K188" s="121">
        <f>SUMIFS('2024数据'!$AK$3:$AK$152,'2024数据'!$D$3:$D$152,"&gt;="&amp;DATE(2024,6,1),'2024数据'!$D$3:$D$152,"&lt;="&amp;DATE(2024,6,30),'2024数据'!$AE$3:$AE$152,$E188)/10000</f>
        <v>0</v>
      </c>
      <c r="L188" s="121">
        <f>SUMIFS('2024数据'!$AK$3:$AK$152,'2024数据'!$D$3:$D$152,"&gt;="&amp;DATE(2024,7,1),'2024数据'!$D$3:$D$152,"&lt;="&amp;DATE(2024,7,31),'2024数据'!$AE$3:$AE$152,$E188)/10000</f>
        <v>0</v>
      </c>
      <c r="M188" s="121">
        <f>SUMIFS('2024数据'!$AK$3:$AK$152,'2024数据'!$D$3:$D$152,"&gt;="&amp;DATE(2024,8,1),'2024数据'!$D$3:$D$152,"&lt;="&amp;DATE(2024,8,31),'2024数据'!$AE$3:$AE$152,$E188)/10000</f>
        <v>0</v>
      </c>
      <c r="N188" s="121">
        <f>SUMIFS('2024数据'!$AK$3:$AK$152,'2024数据'!$D$3:$D$152,"&gt;="&amp;DATE(2024,9,1),'2024数据'!$D$3:$D$152,"&lt;="&amp;DATE(2024,9,30),'2024数据'!$AE$3:$AE$152,$E188)/10000</f>
        <v>0.144959</v>
      </c>
      <c r="O188" s="121">
        <f>SUMIFS('2024数据'!$AK$3:$AK$152,'2024数据'!$D$3:$D$152,"&gt;="&amp;DATE(2024,10,1),'2024数据'!$D$3:$D$152,"&lt;="&amp;DATE(2024,10,31),'2024数据'!$AE$3:$AE$152,$E188)/10000</f>
        <v>0</v>
      </c>
      <c r="P188" s="121">
        <f>SUMIFS('2024数据'!$AK$3:$AK$152,'2024数据'!$D$3:$D$152,"&gt;="&amp;DATE(2024,11,1),'2024数据'!$D$3:$D$152,"&lt;="&amp;DATE(2024,11,30),'2024数据'!$AE$3:$AE$152,$E188)/10000</f>
        <v>0</v>
      </c>
      <c r="Q188" s="121">
        <f>SUMIFS('2024数据'!$AK$3:$AK$152,'2024数据'!$D$3:$D$152,"&gt;="&amp;DATE(2024,12,1),'2024数据'!$D$3:$D$152,"&lt;="&amp;DATE(2024,12,31),'2024数据'!$AE$3:$AE$152,$E188)/10000</f>
        <v>0</v>
      </c>
    </row>
    <row r="189" ht="24" customHeight="1" spans="1:17">
      <c r="A189" s="99" t="s">
        <v>289</v>
      </c>
      <c r="B189" s="99" t="s">
        <v>299</v>
      </c>
      <c r="C189" s="99" t="s">
        <v>333</v>
      </c>
      <c r="D189" s="48" t="s">
        <v>31</v>
      </c>
      <c r="E189" s="48" t="s">
        <v>83</v>
      </c>
      <c r="F189" s="121">
        <f>SUMIFS('2024数据'!$AK$3:$AK$152,'2024数据'!$D$3:$D$152,"&gt;="&amp;DATE(2024,1,1),'2024数据'!$D$3:$D$152,"&lt;="&amp;DATE(2024,1,31),'2024数据'!$AE$3:$AE$152,$E189)/10000</f>
        <v>0</v>
      </c>
      <c r="G189" s="121">
        <f>SUMIFS('2024数据'!$AK$3:$AK$152,'2024数据'!$D$3:$D$152,"&gt;="&amp;DATE(2024,2,1),'2024数据'!$D$3:$D$152,"&lt;="&amp;DATE(2024,2,29),'2024数据'!$AE$3:$AE$152,$E189)/10000</f>
        <v>0</v>
      </c>
      <c r="H189" s="121">
        <f>SUMIFS('2024数据'!$AK$3:$AK$152,'2024数据'!$D$3:$D$152,"&gt;="&amp;DATE(2024,3,1),'2024数据'!$D$3:$D$152,"&lt;="&amp;DATE(2024,3,31),'2024数据'!$AE$3:$AE$152,$E189)/10000</f>
        <v>0</v>
      </c>
      <c r="I189" s="121">
        <f>SUMIFS('2024数据'!$AK$3:$AK$152,'2024数据'!$D$3:$D$152,"&gt;="&amp;DATE(2024,4,1),'2024数据'!$D$3:$D$152,"&lt;="&amp;DATE(2024,4,30),'2024数据'!$AE$3:$AE$152,$E189)/10000</f>
        <v>0</v>
      </c>
      <c r="J189" s="121">
        <f>SUMIFS('2024数据'!$AK$3:$AK$152,'2024数据'!$D$3:$D$152,"&gt;="&amp;DATE(2024,5,1),'2024数据'!$D$3:$D$152,"&lt;="&amp;DATE(2024,5,31),'2024数据'!$AE$3:$AE$152,$E189)/10000</f>
        <v>0</v>
      </c>
      <c r="K189" s="121">
        <f>SUMIFS('2024数据'!$AK$3:$AK$152,'2024数据'!$D$3:$D$152,"&gt;="&amp;DATE(2024,6,1),'2024数据'!$D$3:$D$152,"&lt;="&amp;DATE(2024,6,30),'2024数据'!$AE$3:$AE$152,$E189)/10000</f>
        <v>0</v>
      </c>
      <c r="L189" s="121">
        <f>SUMIFS('2024数据'!$AK$3:$AK$152,'2024数据'!$D$3:$D$152,"&gt;="&amp;DATE(2024,7,1),'2024数据'!$D$3:$D$152,"&lt;="&amp;DATE(2024,7,31),'2024数据'!$AE$3:$AE$152,$E189)/10000</f>
        <v>0</v>
      </c>
      <c r="M189" s="121">
        <f>SUMIFS('2024数据'!$AK$3:$AK$152,'2024数据'!$D$3:$D$152,"&gt;="&amp;DATE(2024,8,1),'2024数据'!$D$3:$D$152,"&lt;="&amp;DATE(2024,8,31),'2024数据'!$AE$3:$AE$152,$E189)/10000</f>
        <v>0</v>
      </c>
      <c r="N189" s="121">
        <f>SUMIFS('2024数据'!$AK$3:$AK$152,'2024数据'!$D$3:$D$152,"&gt;="&amp;DATE(2024,9,1),'2024数据'!$D$3:$D$152,"&lt;="&amp;DATE(2024,9,30),'2024数据'!$AE$3:$AE$152,$E189)/10000</f>
        <v>0</v>
      </c>
      <c r="O189" s="121">
        <f>SUMIFS('2024数据'!$AK$3:$AK$152,'2024数据'!$D$3:$D$152,"&gt;="&amp;DATE(2024,10,1),'2024数据'!$D$3:$D$152,"&lt;="&amp;DATE(2024,10,31),'2024数据'!$AE$3:$AE$152,$E189)/10000</f>
        <v>0</v>
      </c>
      <c r="P189" s="121">
        <f>SUMIFS('2024数据'!$AK$3:$AK$152,'2024数据'!$D$3:$D$152,"&gt;="&amp;DATE(2024,11,1),'2024数据'!$D$3:$D$152,"&lt;="&amp;DATE(2024,11,30),'2024数据'!$AE$3:$AE$152,$E189)/10000</f>
        <v>0</v>
      </c>
      <c r="Q189" s="121">
        <f>SUMIFS('2024数据'!$AK$3:$AK$152,'2024数据'!$D$3:$D$152,"&gt;="&amp;DATE(2024,12,1),'2024数据'!$D$3:$D$152,"&lt;="&amp;DATE(2024,12,31),'2024数据'!$AE$3:$AE$152,$E189)/10000</f>
        <v>0.925252</v>
      </c>
    </row>
    <row r="190" ht="24" customHeight="1" spans="1:17">
      <c r="A190" s="99" t="s">
        <v>289</v>
      </c>
      <c r="B190" s="99" t="s">
        <v>299</v>
      </c>
      <c r="C190" s="99" t="s">
        <v>333</v>
      </c>
      <c r="D190" s="47" t="s">
        <v>294</v>
      </c>
      <c r="E190" s="47" t="s">
        <v>93</v>
      </c>
      <c r="F190" s="121">
        <f>SUMIFS('2024数据'!$AK$3:$AK$152,'2024数据'!$D$3:$D$152,"&gt;="&amp;DATE(2024,1,1),'2024数据'!$D$3:$D$152,"&lt;="&amp;DATE(2024,1,31),'2024数据'!$B$3:$B$152,$E190)/10000</f>
        <v>3.518908</v>
      </c>
      <c r="G190" s="121">
        <f>SUMIFS('2024数据'!$AK$3:$AK$152,'2024数据'!$D$3:$D$152,"&gt;="&amp;DATE(2024,2,1),'2024数据'!$D$3:$D$152,"&lt;="&amp;DATE(2024,2,29),'2024数据'!$B$3:$B$152,$E190)/10000</f>
        <v>2.936011</v>
      </c>
      <c r="H190" s="121">
        <f>SUMIFS('2024数据'!$AK$3:$AK$152,'2024数据'!$D$3:$D$152,"&gt;="&amp;DATE(2024,3,1),'2024数据'!$D$3:$D$152,"&lt;="&amp;DATE(2024,3,31),'2024数据'!$B$3:$B$152,$E190)/10000</f>
        <v>1.854184</v>
      </c>
      <c r="I190" s="121">
        <f>SUMIFS('2024数据'!$AK$3:$AK$152,'2024数据'!$D$3:$D$152,"&gt;="&amp;DATE(2024,4,1),'2024数据'!$D$3:$D$152,"&lt;="&amp;DATE(2024,4,30),'2024数据'!$B$3:$B$152,$E190)/10000</f>
        <v>1.102784</v>
      </c>
      <c r="J190" s="121">
        <f>SUMIFS('2024数据'!$AK$3:$AK$152,'2024数据'!$D$3:$D$152,"&gt;="&amp;DATE(2024,5,1),'2024数据'!$D$3:$D$152,"&lt;="&amp;DATE(2024,5,31),'2024数据'!$B$3:$B$152,$E190)/10000</f>
        <v>23.79641</v>
      </c>
      <c r="K190" s="121">
        <f>SUMIFS('2024数据'!$AK$3:$AK$152,'2024数据'!$D$3:$D$152,"&gt;="&amp;DATE(2024,6,1),'2024数据'!$D$3:$D$152,"&lt;="&amp;DATE(2024,6,30),'2024数据'!$B$3:$B$152,$E190)/10000</f>
        <v>1.89795</v>
      </c>
      <c r="L190" s="121">
        <f>SUMIFS('2024数据'!$AK$3:$AK$152,'2024数据'!$D$3:$D$152,"&gt;="&amp;DATE(2024,7,1),'2024数据'!$D$3:$D$152,"&lt;="&amp;DATE(2024,7,31),'2024数据'!$B$3:$B$152,$E190)/10000</f>
        <v>2.746417</v>
      </c>
      <c r="M190" s="121">
        <f>SUMIFS('2024数据'!$AK$3:$AK$152,'2024数据'!$D$3:$D$152,"&gt;="&amp;DATE(2024,8,1),'2024数据'!$D$3:$D$152,"&lt;="&amp;DATE(2024,8,31),'2024数据'!$B$3:$B$152,$E190)/10000</f>
        <v>3.543378</v>
      </c>
      <c r="N190" s="121">
        <f>SUMIFS('2024数据'!$AK$3:$AK$152,'2024数据'!$D$3:$D$152,"&gt;="&amp;DATE(2024,9,1),'2024数据'!$D$3:$D$152,"&lt;="&amp;DATE(2024,9,30),'2024数据'!$B$3:$B$152,$E190)/10000</f>
        <v>0.303886</v>
      </c>
      <c r="O190" s="121">
        <f>SUMIFS('2024数据'!$AK$3:$AK$152,'2024数据'!$D$3:$D$152,"&gt;="&amp;DATE(2024,10,1),'2024数据'!$D$3:$D$152,"&lt;="&amp;DATE(2024,10,31),'2024数据'!$B$3:$B$152,$E190)/10000</f>
        <v>0</v>
      </c>
      <c r="P190" s="121">
        <f>SUMIFS('2024数据'!$AK$3:$AK$152,'2024数据'!$D$3:$D$152,"&gt;="&amp;DATE(2024,11,1),'2024数据'!$D$3:$D$152,"&lt;="&amp;DATE(2024,11,30),'2024数据'!$B$3:$B$152,$E190)/10000</f>
        <v>1.518751</v>
      </c>
      <c r="Q190" s="121">
        <f>SUMIFS('2024数据'!$AK$3:$AK$152,'2024数据'!$D$3:$D$152,"&gt;="&amp;DATE(2024,12,1),'2024数据'!$D$3:$D$152,"&lt;="&amp;DATE(2024,12,31),'2024数据'!$B$3:$B$152,$E190)/10000</f>
        <v>2.700835</v>
      </c>
    </row>
    <row r="191" ht="24" customHeight="1" spans="1:17">
      <c r="A191" s="99" t="s">
        <v>289</v>
      </c>
      <c r="B191" s="99" t="s">
        <v>299</v>
      </c>
      <c r="C191" s="99" t="s">
        <v>333</v>
      </c>
      <c r="D191" s="47" t="s">
        <v>294</v>
      </c>
      <c r="E191" s="47" t="s">
        <v>85</v>
      </c>
      <c r="F191" s="121">
        <f>SUMIFS('2024数据'!$AK$3:$AK$152,'2024数据'!$D$3:$D$152,"&gt;="&amp;DATE(2024,1,1),'2024数据'!$D$3:$D$152,"&lt;="&amp;DATE(2024,1,31),'2024数据'!$B$3:$B$152,$E191)/10000</f>
        <v>0.450327</v>
      </c>
      <c r="G191" s="121">
        <f>SUMIFS('2024数据'!$AK$3:$AK$152,'2024数据'!$D$3:$D$152,"&gt;="&amp;DATE(2024,2,1),'2024数据'!$D$3:$D$152,"&lt;="&amp;DATE(2024,2,29),'2024数据'!$B$3:$B$152,$E191)/10000</f>
        <v>0</v>
      </c>
      <c r="H191" s="121">
        <f>SUMIFS('2024数据'!$AK$3:$AK$152,'2024数据'!$D$3:$D$152,"&gt;="&amp;DATE(2024,3,1),'2024数据'!$D$3:$D$152,"&lt;="&amp;DATE(2024,3,31),'2024数据'!$B$3:$B$152,$E191)/10000</f>
        <v>0.812323</v>
      </c>
      <c r="I191" s="121">
        <f>SUMIFS('2024数据'!$AK$3:$AK$152,'2024数据'!$D$3:$D$152,"&gt;="&amp;DATE(2024,4,1),'2024数据'!$D$3:$D$152,"&lt;="&amp;DATE(2024,4,30),'2024数据'!$B$3:$B$152,$E191)/10000</f>
        <v>0.188797</v>
      </c>
      <c r="J191" s="121">
        <f>SUMIFS('2024数据'!$AK$3:$AK$152,'2024数据'!$D$3:$D$152,"&gt;="&amp;DATE(2024,5,1),'2024数据'!$D$3:$D$152,"&lt;="&amp;DATE(2024,5,31),'2024数据'!$B$3:$B$152,$E191)/10000</f>
        <v>2.773841</v>
      </c>
      <c r="K191" s="121">
        <f>SUMIFS('2024数据'!$AK$3:$AK$152,'2024数据'!$D$3:$D$152,"&gt;="&amp;DATE(2024,6,1),'2024数据'!$D$3:$D$152,"&lt;="&amp;DATE(2024,6,30),'2024数据'!$B$3:$B$152,$E191)/10000</f>
        <v>0.65763</v>
      </c>
      <c r="L191" s="121">
        <f>SUMIFS('2024数据'!$AK$3:$AK$152,'2024数据'!$D$3:$D$152,"&gt;="&amp;DATE(2024,7,1),'2024数据'!$D$3:$D$152,"&lt;="&amp;DATE(2024,7,31),'2024数据'!$B$3:$B$152,$E191)/10000</f>
        <v>0.659855</v>
      </c>
      <c r="M191" s="121">
        <f>SUMIFS('2024数据'!$AK$3:$AK$152,'2024数据'!$D$3:$D$152,"&gt;="&amp;DATE(2024,8,1),'2024数据'!$D$3:$D$152,"&lt;="&amp;DATE(2024,8,31),'2024数据'!$B$3:$B$152,$E191)/10000</f>
        <v>0.407888</v>
      </c>
      <c r="N191" s="121">
        <f>SUMIFS('2024数据'!$AK$3:$AK$152,'2024数据'!$D$3:$D$152,"&gt;="&amp;DATE(2024,9,1),'2024数据'!$D$3:$D$152,"&lt;="&amp;DATE(2024,9,30),'2024数据'!$B$3:$B$152,$E191)/10000</f>
        <v>0.291672</v>
      </c>
      <c r="O191" s="121">
        <f>SUMIFS('2024数据'!$AK$3:$AK$152,'2024数据'!$D$3:$D$152,"&gt;="&amp;DATE(2024,10,1),'2024数据'!$D$3:$D$152,"&lt;="&amp;DATE(2024,10,31),'2024数据'!$B$3:$B$152,$E191)/10000</f>
        <v>0.081775</v>
      </c>
      <c r="P191" s="121">
        <f>SUMIFS('2024数据'!$AK$3:$AK$152,'2024数据'!$D$3:$D$152,"&gt;="&amp;DATE(2024,11,1),'2024数据'!$D$3:$D$152,"&lt;="&amp;DATE(2024,11,30),'2024数据'!$B$3:$B$152,$E191)/10000</f>
        <v>0</v>
      </c>
      <c r="Q191" s="121">
        <f>SUMIFS('2024数据'!$AK$3:$AK$152,'2024数据'!$D$3:$D$152,"&gt;="&amp;DATE(2024,12,1),'2024数据'!$D$3:$D$152,"&lt;="&amp;DATE(2024,12,31),'2024数据'!$B$3:$B$152,$E191)/10000</f>
        <v>1.690103</v>
      </c>
    </row>
    <row r="192" ht="24" customHeight="1" spans="1:17">
      <c r="A192" s="99" t="s">
        <v>289</v>
      </c>
      <c r="B192" s="99" t="s">
        <v>299</v>
      </c>
      <c r="C192" s="99" t="s">
        <v>333</v>
      </c>
      <c r="D192" s="47" t="s">
        <v>294</v>
      </c>
      <c r="E192" s="47" t="s">
        <v>81</v>
      </c>
      <c r="F192" s="121">
        <f>SUMIFS('2024数据'!$AK$3:$AK$152,'2024数据'!$D$3:$D$152,"&gt;="&amp;DATE(2024,1,1),'2024数据'!$D$3:$D$152,"&lt;="&amp;DATE(2024,1,31),'2024数据'!$B$3:$B$152,$E192)/10000</f>
        <v>0.22037</v>
      </c>
      <c r="G192" s="121">
        <f>SUMIFS('2024数据'!$AK$3:$AK$152,'2024数据'!$D$3:$D$152,"&gt;="&amp;DATE(2024,2,1),'2024数据'!$D$3:$D$152,"&lt;="&amp;DATE(2024,2,29),'2024数据'!$B$3:$B$152,$E192)/10000</f>
        <v>0</v>
      </c>
      <c r="H192" s="121">
        <f>SUMIFS('2024数据'!$AK$3:$AK$152,'2024数据'!$D$3:$D$152,"&gt;="&amp;DATE(2024,3,1),'2024数据'!$D$3:$D$152,"&lt;="&amp;DATE(2024,3,31),'2024数据'!$B$3:$B$152,$E192)/10000</f>
        <v>0</v>
      </c>
      <c r="I192" s="121">
        <f>SUMIFS('2024数据'!$AK$3:$AK$152,'2024数据'!$D$3:$D$152,"&gt;="&amp;DATE(2024,4,1),'2024数据'!$D$3:$D$152,"&lt;="&amp;DATE(2024,4,30),'2024数据'!$B$3:$B$152,$E192)/10000</f>
        <v>0.688681</v>
      </c>
      <c r="J192" s="121">
        <f>SUMIFS('2024数据'!$AK$3:$AK$152,'2024数据'!$D$3:$D$152,"&gt;="&amp;DATE(2024,5,1),'2024数据'!$D$3:$D$152,"&lt;="&amp;DATE(2024,5,31),'2024数据'!$B$3:$B$152,$E192)/10000</f>
        <v>1.26596</v>
      </c>
      <c r="K192" s="121">
        <f>SUMIFS('2024数据'!$AK$3:$AK$152,'2024数据'!$D$3:$D$152,"&gt;="&amp;DATE(2024,6,1),'2024数据'!$D$3:$D$152,"&lt;="&amp;DATE(2024,6,30),'2024数据'!$B$3:$B$152,$E192)/10000</f>
        <v>1.60881</v>
      </c>
      <c r="L192" s="121">
        <f>SUMIFS('2024数据'!$AK$3:$AK$152,'2024数据'!$D$3:$D$152,"&gt;="&amp;DATE(2024,7,1),'2024数据'!$D$3:$D$152,"&lt;="&amp;DATE(2024,7,31),'2024数据'!$B$3:$B$152,$E192)/10000</f>
        <v>0</v>
      </c>
      <c r="M192" s="121">
        <f>SUMIFS('2024数据'!$AK$3:$AK$152,'2024数据'!$D$3:$D$152,"&gt;="&amp;DATE(2024,8,1),'2024数据'!$D$3:$D$152,"&lt;="&amp;DATE(2024,8,31),'2024数据'!$B$3:$B$152,$E192)/10000</f>
        <v>1.068761</v>
      </c>
      <c r="N192" s="121">
        <f>SUMIFS('2024数据'!$AK$3:$AK$152,'2024数据'!$D$3:$D$152,"&gt;="&amp;DATE(2024,9,1),'2024数据'!$D$3:$D$152,"&lt;="&amp;DATE(2024,9,30),'2024数据'!$B$3:$B$152,$E192)/10000</f>
        <v>0.785549</v>
      </c>
      <c r="O192" s="121">
        <f>SUMIFS('2024数据'!$AK$3:$AK$152,'2024数据'!$D$3:$D$152,"&gt;="&amp;DATE(2024,10,1),'2024数据'!$D$3:$D$152,"&lt;="&amp;DATE(2024,10,31),'2024数据'!$B$3:$B$152,$E192)/10000</f>
        <v>0.406975</v>
      </c>
      <c r="P192" s="121">
        <f>SUMIFS('2024数据'!$AK$3:$AK$152,'2024数据'!$D$3:$D$152,"&gt;="&amp;DATE(2024,11,1),'2024数据'!$D$3:$D$152,"&lt;="&amp;DATE(2024,11,30),'2024数据'!$B$3:$B$152,$E192)/10000</f>
        <v>0.353048</v>
      </c>
      <c r="Q192" s="121">
        <f>SUMIFS('2024数据'!$AK$3:$AK$152,'2024数据'!$D$3:$D$152,"&gt;="&amp;DATE(2024,12,1),'2024数据'!$D$3:$D$152,"&lt;="&amp;DATE(2024,12,31),'2024数据'!$B$3:$B$152,$E192)/10000</f>
        <v>0</v>
      </c>
    </row>
    <row r="193" ht="24" customHeight="1" spans="1:17">
      <c r="A193" s="99" t="s">
        <v>289</v>
      </c>
      <c r="B193" s="99" t="s">
        <v>299</v>
      </c>
      <c r="C193" s="99" t="s">
        <v>333</v>
      </c>
      <c r="D193" s="47" t="s">
        <v>294</v>
      </c>
      <c r="E193" s="47" t="s">
        <v>96</v>
      </c>
      <c r="F193" s="121">
        <f>SUMIFS('2024数据'!$AK$3:$AK$152,'2024数据'!$D$3:$D$152,"&gt;="&amp;DATE(2024,1,1),'2024数据'!$D$3:$D$152,"&lt;="&amp;DATE(2024,1,31),'2024数据'!$B$3:$B$152,$E193)/10000</f>
        <v>0</v>
      </c>
      <c r="G193" s="121">
        <f>SUMIFS('2024数据'!$AK$3:$AK$152,'2024数据'!$D$3:$D$152,"&gt;="&amp;DATE(2024,2,1),'2024数据'!$D$3:$D$152,"&lt;="&amp;DATE(2024,2,29),'2024数据'!$B$3:$B$152,$E193)/10000</f>
        <v>0</v>
      </c>
      <c r="H193" s="121">
        <f>SUMIFS('2024数据'!$AK$3:$AK$152,'2024数据'!$D$3:$D$152,"&gt;="&amp;DATE(2024,3,1),'2024数据'!$D$3:$D$152,"&lt;="&amp;DATE(2024,3,31),'2024数据'!$B$3:$B$152,$E193)/10000</f>
        <v>0</v>
      </c>
      <c r="I193" s="121">
        <f>SUMIFS('2024数据'!$AK$3:$AK$152,'2024数据'!$D$3:$D$152,"&gt;="&amp;DATE(2024,4,1),'2024数据'!$D$3:$D$152,"&lt;="&amp;DATE(2024,4,30),'2024数据'!$B$3:$B$152,$E193)/10000</f>
        <v>0</v>
      </c>
      <c r="J193" s="121">
        <f>SUMIFS('2024数据'!$AK$3:$AK$152,'2024数据'!$D$3:$D$152,"&gt;="&amp;DATE(2024,5,1),'2024数据'!$D$3:$D$152,"&lt;="&amp;DATE(2024,5,31),'2024数据'!$B$3:$B$152,$E193)/10000</f>
        <v>0</v>
      </c>
      <c r="K193" s="121">
        <f>SUMIFS('2024数据'!$AK$3:$AK$152,'2024数据'!$D$3:$D$152,"&gt;="&amp;DATE(2024,6,1),'2024数据'!$D$3:$D$152,"&lt;="&amp;DATE(2024,6,30),'2024数据'!$B$3:$B$152,$E193)/10000</f>
        <v>0</v>
      </c>
      <c r="L193" s="121">
        <f>SUMIFS('2024数据'!$AK$3:$AK$152,'2024数据'!$D$3:$D$152,"&gt;="&amp;DATE(2024,7,1),'2024数据'!$D$3:$D$152,"&lt;="&amp;DATE(2024,7,31),'2024数据'!$B$3:$B$152,$E193)/10000</f>
        <v>0</v>
      </c>
      <c r="M193" s="121">
        <f>SUMIFS('2024数据'!$AK$3:$AK$152,'2024数据'!$D$3:$D$152,"&gt;="&amp;DATE(2024,8,1),'2024数据'!$D$3:$D$152,"&lt;="&amp;DATE(2024,8,31),'2024数据'!$B$3:$B$152,$E193)/10000</f>
        <v>0</v>
      </c>
      <c r="N193" s="121">
        <f>SUMIFS('2024数据'!$AK$3:$AK$152,'2024数据'!$D$3:$D$152,"&gt;="&amp;DATE(2024,9,1),'2024数据'!$D$3:$D$152,"&lt;="&amp;DATE(2024,9,30),'2024数据'!$B$3:$B$152,$E193)/10000</f>
        <v>0</v>
      </c>
      <c r="O193" s="121">
        <f>SUMIFS('2024数据'!$AK$3:$AK$152,'2024数据'!$D$3:$D$152,"&gt;="&amp;DATE(2024,10,1),'2024数据'!$D$3:$D$152,"&lt;="&amp;DATE(2024,10,31),'2024数据'!$B$3:$B$152,$E193)/10000</f>
        <v>0</v>
      </c>
      <c r="P193" s="121">
        <f>SUMIFS('2024数据'!$AK$3:$AK$152,'2024数据'!$D$3:$D$152,"&gt;="&amp;DATE(2024,11,1),'2024数据'!$D$3:$D$152,"&lt;="&amp;DATE(2024,11,30),'2024数据'!$B$3:$B$152,$E193)/10000</f>
        <v>0.299998</v>
      </c>
      <c r="Q193" s="121">
        <f>SUMIFS('2024数据'!$AK$3:$AK$152,'2024数据'!$D$3:$D$152,"&gt;="&amp;DATE(2024,12,1),'2024数据'!$D$3:$D$152,"&lt;="&amp;DATE(2024,12,31),'2024数据'!$B$3:$B$152,$E193)/10000</f>
        <v>0</v>
      </c>
    </row>
    <row r="194" ht="24" customHeight="1" spans="1:17">
      <c r="A194" s="99" t="s">
        <v>289</v>
      </c>
      <c r="B194" s="99" t="s">
        <v>299</v>
      </c>
      <c r="C194" s="99" t="s">
        <v>333</v>
      </c>
      <c r="D194" s="47" t="s">
        <v>294</v>
      </c>
      <c r="E194" s="47" t="s">
        <v>160</v>
      </c>
      <c r="F194" s="121">
        <f t="shared" ref="F194:Q194" si="139">SUM(F184:F189)-SUM(F190:F193)</f>
        <v>0</v>
      </c>
      <c r="G194" s="121">
        <f t="shared" si="139"/>
        <v>0</v>
      </c>
      <c r="H194" s="121">
        <f t="shared" si="139"/>
        <v>0</v>
      </c>
      <c r="I194" s="121">
        <f t="shared" si="139"/>
        <v>0</v>
      </c>
      <c r="J194" s="121">
        <f t="shared" si="139"/>
        <v>0</v>
      </c>
      <c r="K194" s="121">
        <f t="shared" si="139"/>
        <v>0</v>
      </c>
      <c r="L194" s="121">
        <f t="shared" si="139"/>
        <v>0</v>
      </c>
      <c r="M194" s="121">
        <f t="shared" si="139"/>
        <v>0</v>
      </c>
      <c r="N194" s="121">
        <f t="shared" si="139"/>
        <v>0</v>
      </c>
      <c r="O194" s="121">
        <f t="shared" si="139"/>
        <v>0</v>
      </c>
      <c r="P194" s="121">
        <f t="shared" si="139"/>
        <v>0</v>
      </c>
      <c r="Q194" s="121">
        <f t="shared" si="139"/>
        <v>0</v>
      </c>
    </row>
    <row r="195" ht="24" customHeight="1" spans="1:17">
      <c r="A195" s="99" t="s">
        <v>289</v>
      </c>
      <c r="B195" s="99" t="s">
        <v>299</v>
      </c>
      <c r="C195" s="99" t="s">
        <v>336</v>
      </c>
      <c r="D195" s="114" t="s">
        <v>292</v>
      </c>
      <c r="E195" s="114" t="s">
        <v>300</v>
      </c>
      <c r="F195" s="120">
        <f t="shared" ref="F195:Q195" si="140">SUM(F196:F201)</f>
        <v>4.238128</v>
      </c>
      <c r="G195" s="120">
        <f t="shared" si="140"/>
        <v>2.936011</v>
      </c>
      <c r="H195" s="120">
        <f t="shared" si="140"/>
        <v>2.708124</v>
      </c>
      <c r="I195" s="120">
        <f t="shared" si="140"/>
        <v>2.0079893546</v>
      </c>
      <c r="J195" s="120">
        <f t="shared" si="140"/>
        <v>28.545673</v>
      </c>
      <c r="K195" s="120">
        <f t="shared" si="140"/>
        <v>4.236511</v>
      </c>
      <c r="L195" s="120">
        <f t="shared" si="140"/>
        <v>3.465068</v>
      </c>
      <c r="M195" s="120">
        <f t="shared" si="140"/>
        <v>5.108925</v>
      </c>
      <c r="N195" s="120">
        <f t="shared" si="140"/>
        <v>1.396636</v>
      </c>
      <c r="O195" s="120">
        <f t="shared" si="140"/>
        <v>0.495858</v>
      </c>
      <c r="P195" s="120">
        <f t="shared" si="140"/>
        <v>2.203356</v>
      </c>
      <c r="Q195" s="120">
        <f t="shared" si="140"/>
        <v>4.470686</v>
      </c>
    </row>
    <row r="196" ht="24" customHeight="1" spans="1:17">
      <c r="A196" s="99" t="s">
        <v>289</v>
      </c>
      <c r="B196" s="99" t="s">
        <v>299</v>
      </c>
      <c r="C196" s="99" t="s">
        <v>336</v>
      </c>
      <c r="D196" s="48" t="s">
        <v>31</v>
      </c>
      <c r="E196" s="48" t="s">
        <v>406</v>
      </c>
      <c r="F196" s="121">
        <f>SUMIFS('2024数据'!$AI$3:$AI$152,'2024数据'!$D$3:$D$152,"&gt;="&amp;DATE(2024,1,1),'2024数据'!$D$3:$D$152,"&lt;="&amp;DATE(2024,1,31),'2024数据'!$AE$3:$AE$152,$E196)/10000</f>
        <v>1.691749</v>
      </c>
      <c r="G196" s="121">
        <f>SUMIFS('2024数据'!$AI$3:$AI$152,'2024数据'!$D$3:$D$152,"&gt;="&amp;DATE(2024,2,1),'2024数据'!$D$3:$D$152,"&lt;="&amp;DATE(2024,2,29),'2024数据'!$AE$3:$AE$152,$E196)/10000</f>
        <v>0</v>
      </c>
      <c r="H196" s="121">
        <f>SUMIFS('2024数据'!$AI$3:$AI$152,'2024数据'!$D$3:$D$152,"&gt;="&amp;DATE(2024,3,1),'2024数据'!$D$3:$D$152,"&lt;="&amp;DATE(2024,3,31),'2024数据'!$AE$3:$AE$152,$E196)/10000</f>
        <v>0</v>
      </c>
      <c r="I196" s="121">
        <f>SUMIFS('2024数据'!$AI$3:$AI$152,'2024数据'!$D$3:$D$152,"&gt;="&amp;DATE(2024,4,1),'2024数据'!$D$3:$D$152,"&lt;="&amp;DATE(2024,4,30),'2024数据'!$AE$3:$AE$152,$E196)/10000</f>
        <v>0</v>
      </c>
      <c r="J196" s="121">
        <f>SUMIFS('2024数据'!$AI$3:$AI$152,'2024数据'!$D$3:$D$152,"&gt;="&amp;DATE(2024,5,1),'2024数据'!$D$3:$D$152,"&lt;="&amp;DATE(2024,5,31),'2024数据'!$AE$3:$AE$152,$E196)/10000</f>
        <v>1.816574</v>
      </c>
      <c r="K196" s="121">
        <f>SUMIFS('2024数据'!$AI$3:$AI$152,'2024数据'!$D$3:$D$152,"&gt;="&amp;DATE(2024,6,1),'2024数据'!$D$3:$D$152,"&lt;="&amp;DATE(2024,6,30),'2024数据'!$AE$3:$AE$152,$E196)/10000</f>
        <v>0.669057</v>
      </c>
      <c r="L196" s="121">
        <f>SUMIFS('2024数据'!$AI$3:$AI$152,'2024数据'!$D$3:$D$152,"&gt;="&amp;DATE(2024,7,1),'2024数据'!$D$3:$D$152,"&lt;="&amp;DATE(2024,7,31),'2024数据'!$AE$3:$AE$152,$E196)/10000</f>
        <v>2.730393</v>
      </c>
      <c r="M196" s="121">
        <f>SUMIFS('2024数据'!$AI$3:$AI$152,'2024数据'!$D$3:$D$152,"&gt;="&amp;DATE(2024,8,1),'2024数据'!$D$3:$D$152,"&lt;="&amp;DATE(2024,8,31),'2024数据'!$AE$3:$AE$152,$E196)/10000</f>
        <v>2.950665</v>
      </c>
      <c r="N196" s="121">
        <f>SUMIFS('2024数据'!$AI$3:$AI$152,'2024数据'!$D$3:$D$152,"&gt;="&amp;DATE(2024,9,1),'2024数据'!$D$3:$D$152,"&lt;="&amp;DATE(2024,9,30),'2024数据'!$AE$3:$AE$152,$E196)/10000</f>
        <v>0</v>
      </c>
      <c r="O196" s="121">
        <f>SUMIFS('2024数据'!$AI$3:$AI$152,'2024数据'!$D$3:$D$152,"&gt;="&amp;DATE(2024,10,1),'2024数据'!$D$3:$D$152,"&lt;="&amp;DATE(2024,10,31),'2024数据'!$AE$3:$AE$152,$E196)/10000</f>
        <v>0</v>
      </c>
      <c r="P196" s="121">
        <f>SUMIFS('2024数据'!$AI$3:$AI$152,'2024数据'!$D$3:$D$152,"&gt;="&amp;DATE(2024,11,1),'2024数据'!$D$3:$D$152,"&lt;="&amp;DATE(2024,11,30),'2024数据'!$AE$3:$AE$152,$E196)/10000</f>
        <v>1.545235</v>
      </c>
      <c r="Q196" s="121">
        <f>SUMIFS('2024数据'!$AI$3:$AI$152,'2024数据'!$D$3:$D$152,"&gt;="&amp;DATE(2024,12,1),'2024数据'!$D$3:$D$152,"&lt;="&amp;DATE(2024,12,31),'2024数据'!$AE$3:$AE$152,$E196)/10000</f>
        <v>0.777904</v>
      </c>
    </row>
    <row r="197" ht="24" customHeight="1" spans="1:17">
      <c r="A197" s="99" t="s">
        <v>289</v>
      </c>
      <c r="B197" s="99" t="s">
        <v>299</v>
      </c>
      <c r="C197" s="99" t="s">
        <v>336</v>
      </c>
      <c r="D197" s="48" t="s">
        <v>31</v>
      </c>
      <c r="E197" s="48" t="s">
        <v>82</v>
      </c>
      <c r="F197" s="121">
        <f>SUMIFS('2024数据'!$AI$3:$AI$152,'2024数据'!$D$3:$D$152,"&gt;="&amp;DATE(2024,1,1),'2024数据'!$D$3:$D$152,"&lt;="&amp;DATE(2024,1,31),'2024数据'!$AE$3:$AE$152,$E197)/10000</f>
        <v>0.947026</v>
      </c>
      <c r="G197" s="121">
        <f>SUMIFS('2024数据'!$AI$3:$AI$152,'2024数据'!$D$3:$D$152,"&gt;="&amp;DATE(2024,2,1),'2024数据'!$D$3:$D$152,"&lt;="&amp;DATE(2024,2,29),'2024数据'!$AE$3:$AE$152,$E197)/10000</f>
        <v>0</v>
      </c>
      <c r="H197" s="121">
        <f>SUMIFS('2024数据'!$AI$3:$AI$152,'2024数据'!$D$3:$D$152,"&gt;="&amp;DATE(2024,3,1),'2024数据'!$D$3:$D$152,"&lt;="&amp;DATE(2024,3,31),'2024数据'!$AE$3:$AE$152,$E197)/10000</f>
        <v>0</v>
      </c>
      <c r="I197" s="121">
        <f>SUMIFS('2024数据'!$AI$3:$AI$152,'2024数据'!$D$3:$D$152,"&gt;="&amp;DATE(2024,4,1),'2024数据'!$D$3:$D$152,"&lt;="&amp;DATE(2024,4,30),'2024数据'!$AE$3:$AE$152,$E197)/10000</f>
        <v>0.190955</v>
      </c>
      <c r="J197" s="121">
        <f>SUMIFS('2024数据'!$AI$3:$AI$152,'2024数据'!$D$3:$D$152,"&gt;="&amp;DATE(2024,5,1),'2024数据'!$D$3:$D$152,"&lt;="&amp;DATE(2024,5,31),'2024数据'!$AE$3:$AE$152,$E197)/10000</f>
        <v>3.404945</v>
      </c>
      <c r="K197" s="121">
        <f>SUMIFS('2024数据'!$AI$3:$AI$152,'2024数据'!$D$3:$D$152,"&gt;="&amp;DATE(2024,6,1),'2024数据'!$D$3:$D$152,"&lt;="&amp;DATE(2024,6,30),'2024数据'!$AE$3:$AE$152,$E197)/10000</f>
        <v>0</v>
      </c>
      <c r="L197" s="121">
        <f>SUMIFS('2024数据'!$AI$3:$AI$152,'2024数据'!$D$3:$D$152,"&gt;="&amp;DATE(2024,7,1),'2024数据'!$D$3:$D$152,"&lt;="&amp;DATE(2024,7,31),'2024数据'!$AE$3:$AE$152,$E197)/10000</f>
        <v>0</v>
      </c>
      <c r="M197" s="121">
        <f>SUMIFS('2024数据'!$AI$3:$AI$152,'2024数据'!$D$3:$D$152,"&gt;="&amp;DATE(2024,8,1),'2024数据'!$D$3:$D$152,"&lt;="&amp;DATE(2024,8,31),'2024数据'!$AE$3:$AE$152,$E197)/10000</f>
        <v>1.087392</v>
      </c>
      <c r="N197" s="121">
        <f>SUMIFS('2024数据'!$AI$3:$AI$152,'2024数据'!$D$3:$D$152,"&gt;="&amp;DATE(2024,9,1),'2024数据'!$D$3:$D$152,"&lt;="&amp;DATE(2024,9,30),'2024数据'!$AE$3:$AE$152,$E197)/10000</f>
        <v>1.104964</v>
      </c>
      <c r="O197" s="121">
        <f>SUMIFS('2024数据'!$AI$3:$AI$152,'2024数据'!$D$3:$D$152,"&gt;="&amp;DATE(2024,10,1),'2024数据'!$D$3:$D$152,"&lt;="&amp;DATE(2024,10,31),'2024数据'!$AE$3:$AE$152,$E197)/10000</f>
        <v>0.414083</v>
      </c>
      <c r="P197" s="121">
        <f>SUMIFS('2024数据'!$AI$3:$AI$152,'2024数据'!$D$3:$D$152,"&gt;="&amp;DATE(2024,11,1),'2024数据'!$D$3:$D$152,"&lt;="&amp;DATE(2024,11,30),'2024数据'!$AE$3:$AE$152,$E197)/10000</f>
        <v>0.358123</v>
      </c>
      <c r="Q197" s="121">
        <f>SUMIFS('2024数据'!$AI$3:$AI$152,'2024数据'!$D$3:$D$152,"&gt;="&amp;DATE(2024,12,1),'2024数据'!$D$3:$D$152,"&lt;="&amp;DATE(2024,12,31),'2024数据'!$AE$3:$AE$152,$E197)/10000</f>
        <v>2.751374</v>
      </c>
    </row>
    <row r="198" ht="24" customHeight="1" spans="1:17">
      <c r="A198" s="99" t="s">
        <v>289</v>
      </c>
      <c r="B198" s="99" t="s">
        <v>299</v>
      </c>
      <c r="C198" s="99" t="s">
        <v>336</v>
      </c>
      <c r="D198" s="48" t="s">
        <v>31</v>
      </c>
      <c r="E198" s="48" t="s">
        <v>86</v>
      </c>
      <c r="F198" s="121">
        <f>SUMIFS('2024数据'!$AI$3:$AI$152,'2024数据'!$D$3:$D$152,"&gt;="&amp;DATE(2024,1,1),'2024数据'!$D$3:$D$152,"&lt;="&amp;DATE(2024,1,31),'2024数据'!$AE$3:$AE$152,$E198)/10000</f>
        <v>0.678969</v>
      </c>
      <c r="G198" s="121">
        <f>SUMIFS('2024数据'!$AI$3:$AI$152,'2024数据'!$D$3:$D$152,"&gt;="&amp;DATE(2024,2,1),'2024数据'!$D$3:$D$152,"&lt;="&amp;DATE(2024,2,29),'2024数据'!$AE$3:$AE$152,$E198)/10000</f>
        <v>0</v>
      </c>
      <c r="H198" s="121">
        <f>SUMIFS('2024数据'!$AI$3:$AI$152,'2024数据'!$D$3:$D$152,"&gt;="&amp;DATE(2024,3,1),'2024数据'!$D$3:$D$152,"&lt;="&amp;DATE(2024,3,31),'2024数据'!$AE$3:$AE$152,$E198)/10000</f>
        <v>0.827524</v>
      </c>
      <c r="I198" s="121">
        <f>SUMIFS('2024数据'!$AI$3:$AI$152,'2024数据'!$D$3:$D$152,"&gt;="&amp;DATE(2024,4,1),'2024数据'!$D$3:$D$152,"&lt;="&amp;DATE(2024,4,30),'2024数据'!$AE$3:$AE$152,$E198)/10000</f>
        <v>1.8170343546</v>
      </c>
      <c r="J198" s="121">
        <f>SUMIFS('2024数据'!$AI$3:$AI$152,'2024数据'!$D$3:$D$152,"&gt;="&amp;DATE(2024,5,1),'2024数据'!$D$3:$D$152,"&lt;="&amp;DATE(2024,5,31),'2024数据'!$AE$3:$AE$152,$E198)/10000</f>
        <v>15.067061</v>
      </c>
      <c r="K198" s="121">
        <f>SUMIFS('2024数据'!$AI$3:$AI$152,'2024数据'!$D$3:$D$152,"&gt;="&amp;DATE(2024,6,1),'2024数据'!$D$3:$D$152,"&lt;="&amp;DATE(2024,6,30),'2024数据'!$AE$3:$AE$152,$E198)/10000</f>
        <v>3.567454</v>
      </c>
      <c r="L198" s="121">
        <f>SUMIFS('2024数据'!$AI$3:$AI$152,'2024数据'!$D$3:$D$152,"&gt;="&amp;DATE(2024,7,1),'2024数据'!$D$3:$D$152,"&lt;="&amp;DATE(2024,7,31),'2024数据'!$AE$3:$AE$152,$E198)/10000</f>
        <v>0.734675</v>
      </c>
      <c r="M198" s="121">
        <f>SUMIFS('2024数据'!$AI$3:$AI$152,'2024数据'!$D$3:$D$152,"&gt;="&amp;DATE(2024,8,1),'2024数据'!$D$3:$D$152,"&lt;="&amp;DATE(2024,8,31),'2024数据'!$AE$3:$AE$152,$E198)/10000</f>
        <v>0.415012</v>
      </c>
      <c r="N198" s="121">
        <f>SUMIFS('2024数据'!$AI$3:$AI$152,'2024数据'!$D$3:$D$152,"&gt;="&amp;DATE(2024,9,1),'2024数据'!$D$3:$D$152,"&lt;="&amp;DATE(2024,9,30),'2024数据'!$AE$3:$AE$152,$E198)/10000</f>
        <v>0.146713</v>
      </c>
      <c r="O198" s="121">
        <f>SUMIFS('2024数据'!$AI$3:$AI$152,'2024数据'!$D$3:$D$152,"&gt;="&amp;DATE(2024,10,1),'2024数据'!$D$3:$D$152,"&lt;="&amp;DATE(2024,10,31),'2024数据'!$AE$3:$AE$152,$E198)/10000</f>
        <v>0</v>
      </c>
      <c r="P198" s="121">
        <f>SUMIFS('2024数据'!$AI$3:$AI$152,'2024数据'!$D$3:$D$152,"&gt;="&amp;DATE(2024,11,1),'2024数据'!$D$3:$D$152,"&lt;="&amp;DATE(2024,11,30),'2024数据'!$AE$3:$AE$152,$E198)/10000</f>
        <v>0</v>
      </c>
      <c r="Q198" s="121">
        <f>SUMIFS('2024数据'!$AI$3:$AI$152,'2024数据'!$D$3:$D$152,"&gt;="&amp;DATE(2024,12,1),'2024数据'!$D$3:$D$152,"&lt;="&amp;DATE(2024,12,31),'2024数据'!$AE$3:$AE$152,$E198)/10000</f>
        <v>0</v>
      </c>
    </row>
    <row r="199" ht="24" customHeight="1" spans="1:17">
      <c r="A199" s="99" t="s">
        <v>289</v>
      </c>
      <c r="B199" s="99" t="s">
        <v>299</v>
      </c>
      <c r="C199" s="99" t="s">
        <v>336</v>
      </c>
      <c r="D199" s="48" t="s">
        <v>31</v>
      </c>
      <c r="E199" s="48" t="s">
        <v>97</v>
      </c>
      <c r="F199" s="121">
        <f>SUMIFS('2024数据'!$AI$3:$AI$152,'2024数据'!$D$3:$D$152,"&gt;="&amp;DATE(2024,1,1),'2024数据'!$D$3:$D$152,"&lt;="&amp;DATE(2024,1,31),'2024数据'!$AE$3:$AE$152,$E199)/10000</f>
        <v>0.450327</v>
      </c>
      <c r="G199" s="121">
        <f>SUMIFS('2024数据'!$AI$3:$AI$152,'2024数据'!$D$3:$D$152,"&gt;="&amp;DATE(2024,2,1),'2024数据'!$D$3:$D$152,"&lt;="&amp;DATE(2024,2,29),'2024数据'!$AE$3:$AE$152,$E199)/10000</f>
        <v>2.936011</v>
      </c>
      <c r="H199" s="121">
        <f>SUMIFS('2024数据'!$AI$3:$AI$152,'2024数据'!$D$3:$D$152,"&gt;="&amp;DATE(2024,3,1),'2024数据'!$D$3:$D$152,"&lt;="&amp;DATE(2024,3,31),'2024数据'!$AE$3:$AE$152,$E199)/10000</f>
        <v>1.8806</v>
      </c>
      <c r="I199" s="121">
        <f>SUMIFS('2024数据'!$AI$3:$AI$152,'2024数据'!$D$3:$D$152,"&gt;="&amp;DATE(2024,4,1),'2024数据'!$D$3:$D$152,"&lt;="&amp;DATE(2024,4,30),'2024数据'!$AE$3:$AE$152,$E199)/10000</f>
        <v>0</v>
      </c>
      <c r="J199" s="121">
        <f>SUMIFS('2024数据'!$AI$3:$AI$152,'2024数据'!$D$3:$D$152,"&gt;="&amp;DATE(2024,5,1),'2024数据'!$D$3:$D$152,"&lt;="&amp;DATE(2024,5,31),'2024数据'!$AE$3:$AE$152,$E199)/10000</f>
        <v>8.257093</v>
      </c>
      <c r="K199" s="121">
        <f>SUMIFS('2024数据'!$AI$3:$AI$152,'2024数据'!$D$3:$D$152,"&gt;="&amp;DATE(2024,6,1),'2024数据'!$D$3:$D$152,"&lt;="&amp;DATE(2024,6,30),'2024数据'!$AE$3:$AE$152,$E199)/10000</f>
        <v>0</v>
      </c>
      <c r="L199" s="121">
        <f>SUMIFS('2024数据'!$AI$3:$AI$152,'2024数据'!$D$3:$D$152,"&gt;="&amp;DATE(2024,7,1),'2024数据'!$D$3:$D$152,"&lt;="&amp;DATE(2024,7,31),'2024数据'!$AE$3:$AE$152,$E199)/10000</f>
        <v>0</v>
      </c>
      <c r="M199" s="121">
        <f>SUMIFS('2024数据'!$AI$3:$AI$152,'2024数据'!$D$3:$D$152,"&gt;="&amp;DATE(2024,8,1),'2024数据'!$D$3:$D$152,"&lt;="&amp;DATE(2024,8,31),'2024数据'!$AE$3:$AE$152,$E199)/10000</f>
        <v>0.655856</v>
      </c>
      <c r="N199" s="121">
        <f>SUMIFS('2024数据'!$AI$3:$AI$152,'2024数据'!$D$3:$D$152,"&gt;="&amp;DATE(2024,9,1),'2024数据'!$D$3:$D$152,"&lt;="&amp;DATE(2024,9,30),'2024数据'!$AE$3:$AE$152,$E199)/10000</f>
        <v>0</v>
      </c>
      <c r="O199" s="121">
        <f>SUMIFS('2024数据'!$AI$3:$AI$152,'2024数据'!$D$3:$D$152,"&gt;="&amp;DATE(2024,10,1),'2024数据'!$D$3:$D$152,"&lt;="&amp;DATE(2024,10,31),'2024数据'!$AE$3:$AE$152,$E199)/10000</f>
        <v>0.081775</v>
      </c>
      <c r="P199" s="121">
        <f>SUMIFS('2024数据'!$AI$3:$AI$152,'2024数据'!$D$3:$D$152,"&gt;="&amp;DATE(2024,11,1),'2024数据'!$D$3:$D$152,"&lt;="&amp;DATE(2024,11,30),'2024数据'!$AE$3:$AE$152,$E199)/10000</f>
        <v>0.299998</v>
      </c>
      <c r="Q199" s="121">
        <f>SUMIFS('2024数据'!$AI$3:$AI$152,'2024数据'!$D$3:$D$152,"&gt;="&amp;DATE(2024,12,1),'2024数据'!$D$3:$D$152,"&lt;="&amp;DATE(2024,12,31),'2024数据'!$AE$3:$AE$152,$E199)/10000</f>
        <v>0</v>
      </c>
    </row>
    <row r="200" ht="24" customHeight="1" spans="1:17">
      <c r="A200" s="99" t="s">
        <v>289</v>
      </c>
      <c r="B200" s="99" t="s">
        <v>299</v>
      </c>
      <c r="C200" s="99" t="s">
        <v>336</v>
      </c>
      <c r="D200" s="48" t="s">
        <v>31</v>
      </c>
      <c r="E200" s="48" t="s">
        <v>87</v>
      </c>
      <c r="F200" s="121">
        <f>SUMIFS('2024数据'!$AI$3:$AI$152,'2024数据'!$D$3:$D$152,"&gt;="&amp;DATE(2024,1,1),'2024数据'!$D$3:$D$152,"&lt;="&amp;DATE(2024,1,31),'2024数据'!$AE$3:$AE$152,$E200)/10000</f>
        <v>0.470057</v>
      </c>
      <c r="G200" s="121">
        <f>SUMIFS('2024数据'!$AI$3:$AI$152,'2024数据'!$D$3:$D$152,"&gt;="&amp;DATE(2024,2,1),'2024数据'!$D$3:$D$152,"&lt;="&amp;DATE(2024,2,29),'2024数据'!$AE$3:$AE$152,$E200)/10000</f>
        <v>0</v>
      </c>
      <c r="H200" s="121">
        <f>SUMIFS('2024数据'!$AI$3:$AI$152,'2024数据'!$D$3:$D$152,"&gt;="&amp;DATE(2024,3,1),'2024数据'!$D$3:$D$152,"&lt;="&amp;DATE(2024,3,31),'2024数据'!$AE$3:$AE$152,$E200)/10000</f>
        <v>0</v>
      </c>
      <c r="I200" s="121">
        <f>SUMIFS('2024数据'!$AI$3:$AI$152,'2024数据'!$D$3:$D$152,"&gt;="&amp;DATE(2024,4,1),'2024数据'!$D$3:$D$152,"&lt;="&amp;DATE(2024,4,30),'2024数据'!$AE$3:$AE$152,$E200)/10000</f>
        <v>0</v>
      </c>
      <c r="J200" s="121">
        <f>SUMIFS('2024数据'!$AI$3:$AI$152,'2024数据'!$D$3:$D$152,"&gt;="&amp;DATE(2024,5,1),'2024数据'!$D$3:$D$152,"&lt;="&amp;DATE(2024,5,31),'2024数据'!$AE$3:$AE$152,$E200)/10000</f>
        <v>0</v>
      </c>
      <c r="K200" s="121">
        <f>SUMIFS('2024数据'!$AI$3:$AI$152,'2024数据'!$D$3:$D$152,"&gt;="&amp;DATE(2024,6,1),'2024数据'!$D$3:$D$152,"&lt;="&amp;DATE(2024,6,30),'2024数据'!$AE$3:$AE$152,$E200)/10000</f>
        <v>0</v>
      </c>
      <c r="L200" s="121">
        <f>SUMIFS('2024数据'!$AI$3:$AI$152,'2024数据'!$D$3:$D$152,"&gt;="&amp;DATE(2024,7,1),'2024数据'!$D$3:$D$152,"&lt;="&amp;DATE(2024,7,31),'2024数据'!$AE$3:$AE$152,$E200)/10000</f>
        <v>0</v>
      </c>
      <c r="M200" s="121">
        <f>SUMIFS('2024数据'!$AI$3:$AI$152,'2024数据'!$D$3:$D$152,"&gt;="&amp;DATE(2024,8,1),'2024数据'!$D$3:$D$152,"&lt;="&amp;DATE(2024,8,31),'2024数据'!$AE$3:$AE$152,$E200)/10000</f>
        <v>0</v>
      </c>
      <c r="N200" s="121">
        <f>SUMIFS('2024数据'!$AI$3:$AI$152,'2024数据'!$D$3:$D$152,"&gt;="&amp;DATE(2024,9,1),'2024数据'!$D$3:$D$152,"&lt;="&amp;DATE(2024,9,30),'2024数据'!$AE$3:$AE$152,$E200)/10000</f>
        <v>0.144959</v>
      </c>
      <c r="O200" s="121">
        <f>SUMIFS('2024数据'!$AI$3:$AI$152,'2024数据'!$D$3:$D$152,"&gt;="&amp;DATE(2024,10,1),'2024数据'!$D$3:$D$152,"&lt;="&amp;DATE(2024,10,31),'2024数据'!$AE$3:$AE$152,$E200)/10000</f>
        <v>0</v>
      </c>
      <c r="P200" s="121">
        <f>SUMIFS('2024数据'!$AI$3:$AI$152,'2024数据'!$D$3:$D$152,"&gt;="&amp;DATE(2024,11,1),'2024数据'!$D$3:$D$152,"&lt;="&amp;DATE(2024,11,30),'2024数据'!$AE$3:$AE$152,$E200)/10000</f>
        <v>0</v>
      </c>
      <c r="Q200" s="121">
        <f>SUMIFS('2024数据'!$AI$3:$AI$152,'2024数据'!$D$3:$D$152,"&gt;="&amp;DATE(2024,12,1),'2024数据'!$D$3:$D$152,"&lt;="&amp;DATE(2024,12,31),'2024数据'!$AE$3:$AE$152,$E200)/10000</f>
        <v>0</v>
      </c>
    </row>
    <row r="201" ht="24" customHeight="1" spans="1:17">
      <c r="A201" s="99" t="s">
        <v>289</v>
      </c>
      <c r="B201" s="99" t="s">
        <v>299</v>
      </c>
      <c r="C201" s="99" t="s">
        <v>336</v>
      </c>
      <c r="D201" s="48" t="s">
        <v>31</v>
      </c>
      <c r="E201" s="48" t="s">
        <v>83</v>
      </c>
      <c r="F201" s="121">
        <f>SUMIFS('2024数据'!$AI$3:$AI$152,'2024数据'!$D$3:$D$152,"&gt;="&amp;DATE(2024,1,1),'2024数据'!$D$3:$D$152,"&lt;="&amp;DATE(2024,1,31),'2024数据'!$AE$3:$AE$152,$E201)/10000</f>
        <v>0</v>
      </c>
      <c r="G201" s="121">
        <f>SUMIFS('2024数据'!$AI$3:$AI$152,'2024数据'!$D$3:$D$152,"&gt;="&amp;DATE(2024,2,1),'2024数据'!$D$3:$D$152,"&lt;="&amp;DATE(2024,2,29),'2024数据'!$AE$3:$AE$152,$E201)/10000</f>
        <v>0</v>
      </c>
      <c r="H201" s="121">
        <f>SUMIFS('2024数据'!$AI$3:$AI$152,'2024数据'!$D$3:$D$152,"&gt;="&amp;DATE(2024,3,1),'2024数据'!$D$3:$D$152,"&lt;="&amp;DATE(2024,3,31),'2024数据'!$AE$3:$AE$152,$E201)/10000</f>
        <v>0</v>
      </c>
      <c r="I201" s="121">
        <f>SUMIFS('2024数据'!$AI$3:$AI$152,'2024数据'!$D$3:$D$152,"&gt;="&amp;DATE(2024,4,1),'2024数据'!$D$3:$D$152,"&lt;="&amp;DATE(2024,4,30),'2024数据'!$AE$3:$AE$152,$E201)/10000</f>
        <v>0</v>
      </c>
      <c r="J201" s="121">
        <f>SUMIFS('2024数据'!$AI$3:$AI$152,'2024数据'!$D$3:$D$152,"&gt;="&amp;DATE(2024,5,1),'2024数据'!$D$3:$D$152,"&lt;="&amp;DATE(2024,5,31),'2024数据'!$AE$3:$AE$152,$E201)/10000</f>
        <v>0</v>
      </c>
      <c r="K201" s="121">
        <f>SUMIFS('2024数据'!$AI$3:$AI$152,'2024数据'!$D$3:$D$152,"&gt;="&amp;DATE(2024,6,1),'2024数据'!$D$3:$D$152,"&lt;="&amp;DATE(2024,6,30),'2024数据'!$AE$3:$AE$152,$E201)/10000</f>
        <v>0</v>
      </c>
      <c r="L201" s="121">
        <f>SUMIFS('2024数据'!$AI$3:$AI$152,'2024数据'!$D$3:$D$152,"&gt;="&amp;DATE(2024,7,1),'2024数据'!$D$3:$D$152,"&lt;="&amp;DATE(2024,7,31),'2024数据'!$AE$3:$AE$152,$E201)/10000</f>
        <v>0</v>
      </c>
      <c r="M201" s="121">
        <f>SUMIFS('2024数据'!$AI$3:$AI$152,'2024数据'!$D$3:$D$152,"&gt;="&amp;DATE(2024,8,1),'2024数据'!$D$3:$D$152,"&lt;="&amp;DATE(2024,8,31),'2024数据'!$AE$3:$AE$152,$E201)/10000</f>
        <v>0</v>
      </c>
      <c r="N201" s="121">
        <f>SUMIFS('2024数据'!$AI$3:$AI$152,'2024数据'!$D$3:$D$152,"&gt;="&amp;DATE(2024,9,1),'2024数据'!$D$3:$D$152,"&lt;="&amp;DATE(2024,9,30),'2024数据'!$AE$3:$AE$152,$E201)/10000</f>
        <v>0</v>
      </c>
      <c r="O201" s="121">
        <f>SUMIFS('2024数据'!$AI$3:$AI$152,'2024数据'!$D$3:$D$152,"&gt;="&amp;DATE(2024,10,1),'2024数据'!$D$3:$D$152,"&lt;="&amp;DATE(2024,10,31),'2024数据'!$AE$3:$AE$152,$E201)/10000</f>
        <v>0</v>
      </c>
      <c r="P201" s="121">
        <f>SUMIFS('2024数据'!$AI$3:$AI$152,'2024数据'!$D$3:$D$152,"&gt;="&amp;DATE(2024,11,1),'2024数据'!$D$3:$D$152,"&lt;="&amp;DATE(2024,11,30),'2024数据'!$AE$3:$AE$152,$E201)/10000</f>
        <v>0</v>
      </c>
      <c r="Q201" s="121">
        <f>SUMIFS('2024数据'!$AI$3:$AI$152,'2024数据'!$D$3:$D$152,"&gt;="&amp;DATE(2024,12,1),'2024数据'!$D$3:$D$152,"&lt;="&amp;DATE(2024,12,31),'2024数据'!$AE$3:$AE$152,$E201)/10000</f>
        <v>0.941408</v>
      </c>
    </row>
    <row r="202" ht="24" customHeight="1" spans="1:17">
      <c r="A202" s="99" t="s">
        <v>289</v>
      </c>
      <c r="B202" s="99" t="s">
        <v>299</v>
      </c>
      <c r="C202" s="99" t="s">
        <v>336</v>
      </c>
      <c r="D202" s="47" t="s">
        <v>294</v>
      </c>
      <c r="E202" s="47" t="s">
        <v>93</v>
      </c>
      <c r="F202" s="121">
        <f>SUMIFS('2024数据'!$AI$3:$AI$152,'2024数据'!$D$3:$D$152,"&gt;="&amp;DATE(2024,1,1),'2024数据'!$D$3:$D$152,"&lt;="&amp;DATE(2024,1,31),'2024数据'!$B$3:$B$152,$E202)/10000</f>
        <v>3.564745</v>
      </c>
      <c r="G202" s="121">
        <f>SUMIFS('2024数据'!$AI$3:$AI$152,'2024数据'!$D$3:$D$152,"&gt;="&amp;DATE(2024,2,1),'2024数据'!$D$3:$D$152,"&lt;="&amp;DATE(2024,2,29),'2024数据'!$B$3:$B$152,$E202)/10000</f>
        <v>2.936011</v>
      </c>
      <c r="H202" s="121">
        <f>SUMIFS('2024数据'!$AI$3:$AI$152,'2024数据'!$D$3:$D$152,"&gt;="&amp;DATE(2024,3,1),'2024数据'!$D$3:$D$152,"&lt;="&amp;DATE(2024,3,31),'2024数据'!$B$3:$B$152,$E202)/10000</f>
        <v>1.8806</v>
      </c>
      <c r="I202" s="121">
        <f>SUMIFS('2024数据'!$AI$3:$AI$152,'2024数据'!$D$3:$D$152,"&gt;="&amp;DATE(2024,4,1),'2024数据'!$D$3:$D$152,"&lt;="&amp;DATE(2024,4,30),'2024数据'!$B$3:$B$152,$E202)/10000</f>
        <v>1.117933</v>
      </c>
      <c r="J202" s="121">
        <f>SUMIFS('2024数据'!$AI$3:$AI$152,'2024数据'!$D$3:$D$152,"&gt;="&amp;DATE(2024,5,1),'2024数据'!$D$3:$D$152,"&lt;="&amp;DATE(2024,5,31),'2024数据'!$B$3:$B$152,$E202)/10000</f>
        <v>24.437318</v>
      </c>
      <c r="K202" s="121">
        <f>SUMIFS('2024数据'!$AI$3:$AI$152,'2024数据'!$D$3:$D$152,"&gt;="&amp;DATE(2024,6,1),'2024数据'!$D$3:$D$152,"&lt;="&amp;DATE(2024,6,30),'2024数据'!$B$3:$B$152,$E202)/10000</f>
        <v>1.930579</v>
      </c>
      <c r="L202" s="121">
        <f>SUMIFS('2024数据'!$AI$3:$AI$152,'2024数据'!$D$3:$D$152,"&gt;="&amp;DATE(2024,7,1),'2024数据'!$D$3:$D$152,"&lt;="&amp;DATE(2024,7,31),'2024数据'!$B$3:$B$152,$E202)/10000</f>
        <v>2.795508</v>
      </c>
      <c r="M202" s="121">
        <f>SUMIFS('2024数据'!$AI$3:$AI$152,'2024数据'!$D$3:$D$152,"&gt;="&amp;DATE(2024,8,1),'2024数据'!$D$3:$D$152,"&lt;="&amp;DATE(2024,8,31),'2024数据'!$B$3:$B$152,$E202)/10000</f>
        <v>3.606521</v>
      </c>
      <c r="N202" s="121">
        <f>SUMIFS('2024数据'!$AI$3:$AI$152,'2024数据'!$D$3:$D$152,"&gt;="&amp;DATE(2024,9,1),'2024数据'!$D$3:$D$152,"&lt;="&amp;DATE(2024,9,30),'2024数据'!$B$3:$B$152,$E202)/10000</f>
        <v>0.306729</v>
      </c>
      <c r="O202" s="121">
        <f>SUMIFS('2024数据'!$AI$3:$AI$152,'2024数据'!$D$3:$D$152,"&gt;="&amp;DATE(2024,10,1),'2024数据'!$D$3:$D$152,"&lt;="&amp;DATE(2024,10,31),'2024数据'!$B$3:$B$152,$E202)/10000</f>
        <v>0</v>
      </c>
      <c r="P202" s="121">
        <f>SUMIFS('2024数据'!$AI$3:$AI$152,'2024数据'!$D$3:$D$152,"&gt;="&amp;DATE(2024,11,1),'2024数据'!$D$3:$D$152,"&lt;="&amp;DATE(2024,11,30),'2024数据'!$B$3:$B$152,$E202)/10000</f>
        <v>1.545235</v>
      </c>
      <c r="Q202" s="121">
        <f>SUMIFS('2024数据'!$AI$3:$AI$152,'2024数据'!$D$3:$D$152,"&gt;="&amp;DATE(2024,12,1),'2024数据'!$D$3:$D$152,"&lt;="&amp;DATE(2024,12,31),'2024数据'!$B$3:$B$152,$E202)/10000</f>
        <v>2.751374</v>
      </c>
    </row>
    <row r="203" ht="24" customHeight="1" spans="1:17">
      <c r="A203" s="99" t="s">
        <v>289</v>
      </c>
      <c r="B203" s="99" t="s">
        <v>299</v>
      </c>
      <c r="C203" s="99" t="s">
        <v>336</v>
      </c>
      <c r="D203" s="47" t="s">
        <v>294</v>
      </c>
      <c r="E203" s="47" t="s">
        <v>85</v>
      </c>
      <c r="F203" s="121">
        <f>SUMIFS('2024数据'!$AI$3:$AI$152,'2024数据'!$D$3:$D$152,"&gt;="&amp;DATE(2024,1,1),'2024数据'!$D$3:$D$152,"&lt;="&amp;DATE(2024,1,31),'2024数据'!$B$3:$B$152,$E203)/10000</f>
        <v>0.450327</v>
      </c>
      <c r="G203" s="121">
        <f>SUMIFS('2024数据'!$AI$3:$AI$152,'2024数据'!$D$3:$D$152,"&gt;="&amp;DATE(2024,2,1),'2024数据'!$D$3:$D$152,"&lt;="&amp;DATE(2024,2,29),'2024数据'!$B$3:$B$152,$E203)/10000</f>
        <v>0</v>
      </c>
      <c r="H203" s="121">
        <f>SUMIFS('2024数据'!$AI$3:$AI$152,'2024数据'!$D$3:$D$152,"&gt;="&amp;DATE(2024,3,1),'2024数据'!$D$3:$D$152,"&lt;="&amp;DATE(2024,3,31),'2024数据'!$B$3:$B$152,$E203)/10000</f>
        <v>0.827524</v>
      </c>
      <c r="I203" s="121">
        <f>SUMIFS('2024数据'!$AI$3:$AI$152,'2024数据'!$D$3:$D$152,"&gt;="&amp;DATE(2024,4,1),'2024数据'!$D$3:$D$152,"&lt;="&amp;DATE(2024,4,30),'2024数据'!$B$3:$B$152,$E203)/10000</f>
        <v>0.190955</v>
      </c>
      <c r="J203" s="121">
        <f>SUMIFS('2024数据'!$AI$3:$AI$152,'2024数据'!$D$3:$D$152,"&gt;="&amp;DATE(2024,5,1),'2024数据'!$D$3:$D$152,"&lt;="&amp;DATE(2024,5,31),'2024数据'!$B$3:$B$152,$E203)/10000</f>
        <v>2.822401</v>
      </c>
      <c r="K203" s="121">
        <f>SUMIFS('2024数据'!$AI$3:$AI$152,'2024数据'!$D$3:$D$152,"&gt;="&amp;DATE(2024,6,1),'2024数据'!$D$3:$D$152,"&lt;="&amp;DATE(2024,6,30),'2024数据'!$B$3:$B$152,$E203)/10000</f>
        <v>0.669057</v>
      </c>
      <c r="L203" s="121">
        <f>SUMIFS('2024数据'!$AI$3:$AI$152,'2024数据'!$D$3:$D$152,"&gt;="&amp;DATE(2024,7,1),'2024数据'!$D$3:$D$152,"&lt;="&amp;DATE(2024,7,31),'2024数据'!$B$3:$B$152,$E203)/10000</f>
        <v>0.66956</v>
      </c>
      <c r="M203" s="121">
        <f>SUMIFS('2024数据'!$AI$3:$AI$152,'2024数据'!$D$3:$D$152,"&gt;="&amp;DATE(2024,8,1),'2024数据'!$D$3:$D$152,"&lt;="&amp;DATE(2024,8,31),'2024数据'!$B$3:$B$152,$E203)/10000</f>
        <v>0.415012</v>
      </c>
      <c r="N203" s="121">
        <f>SUMIFS('2024数据'!$AI$3:$AI$152,'2024数据'!$D$3:$D$152,"&gt;="&amp;DATE(2024,9,1),'2024数据'!$D$3:$D$152,"&lt;="&amp;DATE(2024,9,30),'2024数据'!$B$3:$B$152,$E203)/10000</f>
        <v>0.291672</v>
      </c>
      <c r="O203" s="121">
        <f>SUMIFS('2024数据'!$AI$3:$AI$152,'2024数据'!$D$3:$D$152,"&gt;="&amp;DATE(2024,10,1),'2024数据'!$D$3:$D$152,"&lt;="&amp;DATE(2024,10,31),'2024数据'!$B$3:$B$152,$E203)/10000</f>
        <v>0.081775</v>
      </c>
      <c r="P203" s="121">
        <f>SUMIFS('2024数据'!$AI$3:$AI$152,'2024数据'!$D$3:$D$152,"&gt;="&amp;DATE(2024,11,1),'2024数据'!$D$3:$D$152,"&lt;="&amp;DATE(2024,11,30),'2024数据'!$B$3:$B$152,$E203)/10000</f>
        <v>0</v>
      </c>
      <c r="Q203" s="121">
        <f>SUMIFS('2024数据'!$AI$3:$AI$152,'2024数据'!$D$3:$D$152,"&gt;="&amp;DATE(2024,12,1),'2024数据'!$D$3:$D$152,"&lt;="&amp;DATE(2024,12,31),'2024数据'!$B$3:$B$152,$E203)/10000</f>
        <v>1.719312</v>
      </c>
    </row>
    <row r="204" ht="24" customHeight="1" spans="1:17">
      <c r="A204" s="99" t="s">
        <v>289</v>
      </c>
      <c r="B204" s="99" t="s">
        <v>299</v>
      </c>
      <c r="C204" s="99" t="s">
        <v>336</v>
      </c>
      <c r="D204" s="47" t="s">
        <v>294</v>
      </c>
      <c r="E204" s="47" t="s">
        <v>81</v>
      </c>
      <c r="F204" s="121">
        <f>SUMIFS('2024数据'!$AI$3:$AI$152,'2024数据'!$D$3:$D$152,"&gt;="&amp;DATE(2024,1,1),'2024数据'!$D$3:$D$152,"&lt;="&amp;DATE(2024,1,31),'2024数据'!$B$3:$B$152,$E204)/10000</f>
        <v>0.223056</v>
      </c>
      <c r="G204" s="121">
        <f>SUMIFS('2024数据'!$AI$3:$AI$152,'2024数据'!$D$3:$D$152,"&gt;="&amp;DATE(2024,2,1),'2024数据'!$D$3:$D$152,"&lt;="&amp;DATE(2024,2,29),'2024数据'!$B$3:$B$152,$E204)/10000</f>
        <v>0</v>
      </c>
      <c r="H204" s="121">
        <f>SUMIFS('2024数据'!$AI$3:$AI$152,'2024数据'!$D$3:$D$152,"&gt;="&amp;DATE(2024,3,1),'2024数据'!$D$3:$D$152,"&lt;="&amp;DATE(2024,3,31),'2024数据'!$B$3:$B$152,$E204)/10000</f>
        <v>0</v>
      </c>
      <c r="I204" s="121">
        <f>SUMIFS('2024数据'!$AI$3:$AI$152,'2024数据'!$D$3:$D$152,"&gt;="&amp;DATE(2024,4,1),'2024数据'!$D$3:$D$152,"&lt;="&amp;DATE(2024,4,30),'2024数据'!$B$3:$B$152,$E204)/10000</f>
        <v>0.6991013546</v>
      </c>
      <c r="J204" s="121">
        <f>SUMIFS('2024数据'!$AI$3:$AI$152,'2024数据'!$D$3:$D$152,"&gt;="&amp;DATE(2024,5,1),'2024数据'!$D$3:$D$152,"&lt;="&amp;DATE(2024,5,31),'2024数据'!$B$3:$B$152,$E204)/10000</f>
        <v>1.285954</v>
      </c>
      <c r="K204" s="121">
        <f>SUMIFS('2024数据'!$AI$3:$AI$152,'2024数据'!$D$3:$D$152,"&gt;="&amp;DATE(2024,6,1),'2024数据'!$D$3:$D$152,"&lt;="&amp;DATE(2024,6,30),'2024数据'!$B$3:$B$152,$E204)/10000</f>
        <v>1.636875</v>
      </c>
      <c r="L204" s="121">
        <f>SUMIFS('2024数据'!$AI$3:$AI$152,'2024数据'!$D$3:$D$152,"&gt;="&amp;DATE(2024,7,1),'2024数据'!$D$3:$D$152,"&lt;="&amp;DATE(2024,7,31),'2024数据'!$B$3:$B$152,$E204)/10000</f>
        <v>0</v>
      </c>
      <c r="M204" s="121">
        <f>SUMIFS('2024数据'!$AI$3:$AI$152,'2024数据'!$D$3:$D$152,"&gt;="&amp;DATE(2024,8,1),'2024数据'!$D$3:$D$152,"&lt;="&amp;DATE(2024,8,31),'2024数据'!$B$3:$B$152,$E204)/10000</f>
        <v>1.087392</v>
      </c>
      <c r="N204" s="121">
        <f>SUMIFS('2024数据'!$AI$3:$AI$152,'2024数据'!$D$3:$D$152,"&gt;="&amp;DATE(2024,9,1),'2024数据'!$D$3:$D$152,"&lt;="&amp;DATE(2024,9,30),'2024数据'!$B$3:$B$152,$E204)/10000</f>
        <v>0.798235</v>
      </c>
      <c r="O204" s="121">
        <f>SUMIFS('2024数据'!$AI$3:$AI$152,'2024数据'!$D$3:$D$152,"&gt;="&amp;DATE(2024,10,1),'2024数据'!$D$3:$D$152,"&lt;="&amp;DATE(2024,10,31),'2024数据'!$B$3:$B$152,$E204)/10000</f>
        <v>0.414083</v>
      </c>
      <c r="P204" s="121">
        <f>SUMIFS('2024数据'!$AI$3:$AI$152,'2024数据'!$D$3:$D$152,"&gt;="&amp;DATE(2024,11,1),'2024数据'!$D$3:$D$152,"&lt;="&amp;DATE(2024,11,30),'2024数据'!$B$3:$B$152,$E204)/10000</f>
        <v>0.358123</v>
      </c>
      <c r="Q204" s="121">
        <f>SUMIFS('2024数据'!$AI$3:$AI$152,'2024数据'!$D$3:$D$152,"&gt;="&amp;DATE(2024,12,1),'2024数据'!$D$3:$D$152,"&lt;="&amp;DATE(2024,12,31),'2024数据'!$B$3:$B$152,$E204)/10000</f>
        <v>0</v>
      </c>
    </row>
    <row r="205" ht="24" customHeight="1" spans="1:17">
      <c r="A205" s="99" t="s">
        <v>289</v>
      </c>
      <c r="B205" s="99" t="s">
        <v>299</v>
      </c>
      <c r="C205" s="99" t="s">
        <v>336</v>
      </c>
      <c r="D205" s="47" t="s">
        <v>294</v>
      </c>
      <c r="E205" s="47" t="s">
        <v>96</v>
      </c>
      <c r="F205" s="121">
        <f>SUMIFS('2024数据'!$AI$3:$AI$152,'2024数据'!$D$3:$D$152,"&gt;="&amp;DATE(2024,1,1),'2024数据'!$D$3:$D$152,"&lt;="&amp;DATE(2024,1,31),'2024数据'!$B$3:$B$152,$E205)/10000</f>
        <v>0</v>
      </c>
      <c r="G205" s="121">
        <f>SUMIFS('2024数据'!$AI$3:$AI$152,'2024数据'!$D$3:$D$152,"&gt;="&amp;DATE(2024,2,1),'2024数据'!$D$3:$D$152,"&lt;="&amp;DATE(2024,2,29),'2024数据'!$B$3:$B$152,$E205)/10000</f>
        <v>0</v>
      </c>
      <c r="H205" s="121">
        <f>SUMIFS('2024数据'!$AI$3:$AI$152,'2024数据'!$D$3:$D$152,"&gt;="&amp;DATE(2024,3,1),'2024数据'!$D$3:$D$152,"&lt;="&amp;DATE(2024,3,31),'2024数据'!$B$3:$B$152,$E205)/10000</f>
        <v>0</v>
      </c>
      <c r="I205" s="121">
        <f>SUMIFS('2024数据'!$AI$3:$AI$152,'2024数据'!$D$3:$D$152,"&gt;="&amp;DATE(2024,4,1),'2024数据'!$D$3:$D$152,"&lt;="&amp;DATE(2024,4,30),'2024数据'!$B$3:$B$152,$E205)/10000</f>
        <v>0</v>
      </c>
      <c r="J205" s="121">
        <f>SUMIFS('2024数据'!$AI$3:$AI$152,'2024数据'!$D$3:$D$152,"&gt;="&amp;DATE(2024,5,1),'2024数据'!$D$3:$D$152,"&lt;="&amp;DATE(2024,5,31),'2024数据'!$B$3:$B$152,$E205)/10000</f>
        <v>0</v>
      </c>
      <c r="K205" s="121">
        <f>SUMIFS('2024数据'!$AI$3:$AI$152,'2024数据'!$D$3:$D$152,"&gt;="&amp;DATE(2024,6,1),'2024数据'!$D$3:$D$152,"&lt;="&amp;DATE(2024,6,30),'2024数据'!$B$3:$B$152,$E205)/10000</f>
        <v>0</v>
      </c>
      <c r="L205" s="121">
        <f>SUMIFS('2024数据'!$AI$3:$AI$152,'2024数据'!$D$3:$D$152,"&gt;="&amp;DATE(2024,7,1),'2024数据'!$D$3:$D$152,"&lt;="&amp;DATE(2024,7,31),'2024数据'!$B$3:$B$152,$E205)/10000</f>
        <v>0</v>
      </c>
      <c r="M205" s="121">
        <f>SUMIFS('2024数据'!$AI$3:$AI$152,'2024数据'!$D$3:$D$152,"&gt;="&amp;DATE(2024,8,1),'2024数据'!$D$3:$D$152,"&lt;="&amp;DATE(2024,8,31),'2024数据'!$B$3:$B$152,$E205)/10000</f>
        <v>0</v>
      </c>
      <c r="N205" s="121">
        <f>SUMIFS('2024数据'!$AI$3:$AI$152,'2024数据'!$D$3:$D$152,"&gt;="&amp;DATE(2024,9,1),'2024数据'!$D$3:$D$152,"&lt;="&amp;DATE(2024,9,30),'2024数据'!$B$3:$B$152,$E205)/10000</f>
        <v>0</v>
      </c>
      <c r="O205" s="121">
        <f>SUMIFS('2024数据'!$AI$3:$AI$152,'2024数据'!$D$3:$D$152,"&gt;="&amp;DATE(2024,10,1),'2024数据'!$D$3:$D$152,"&lt;="&amp;DATE(2024,10,31),'2024数据'!$B$3:$B$152,$E205)/10000</f>
        <v>0</v>
      </c>
      <c r="P205" s="121">
        <f>SUMIFS('2024数据'!$AI$3:$AI$152,'2024数据'!$D$3:$D$152,"&gt;="&amp;DATE(2024,11,1),'2024数据'!$D$3:$D$152,"&lt;="&amp;DATE(2024,11,30),'2024数据'!$B$3:$B$152,$E205)/10000</f>
        <v>0.299998</v>
      </c>
      <c r="Q205" s="121">
        <f>SUMIFS('2024数据'!$AI$3:$AI$152,'2024数据'!$D$3:$D$152,"&gt;="&amp;DATE(2024,12,1),'2024数据'!$D$3:$D$152,"&lt;="&amp;DATE(2024,12,31),'2024数据'!$B$3:$B$152,$E205)/10000</f>
        <v>0</v>
      </c>
    </row>
    <row r="206" ht="24" customHeight="1" spans="1:17">
      <c r="A206" s="99" t="s">
        <v>289</v>
      </c>
      <c r="B206" s="99" t="s">
        <v>299</v>
      </c>
      <c r="C206" s="99" t="s">
        <v>336</v>
      </c>
      <c r="D206" s="47" t="s">
        <v>294</v>
      </c>
      <c r="E206" s="47" t="s">
        <v>160</v>
      </c>
      <c r="F206" s="121">
        <f t="shared" ref="F206:Q206" si="141">SUM(F196:F201)-SUM(F202:F205)</f>
        <v>0</v>
      </c>
      <c r="G206" s="121">
        <f t="shared" si="141"/>
        <v>0</v>
      </c>
      <c r="H206" s="121">
        <f t="shared" si="141"/>
        <v>0</v>
      </c>
      <c r="I206" s="121">
        <f t="shared" si="141"/>
        <v>0</v>
      </c>
      <c r="J206" s="121">
        <f t="shared" si="141"/>
        <v>0</v>
      </c>
      <c r="K206" s="121">
        <f t="shared" si="141"/>
        <v>0</v>
      </c>
      <c r="L206" s="121">
        <f t="shared" si="141"/>
        <v>0</v>
      </c>
      <c r="M206" s="121">
        <f t="shared" si="141"/>
        <v>0</v>
      </c>
      <c r="N206" s="121">
        <f t="shared" si="141"/>
        <v>0</v>
      </c>
      <c r="O206" s="121">
        <f t="shared" si="141"/>
        <v>0</v>
      </c>
      <c r="P206" s="121">
        <f t="shared" si="141"/>
        <v>0</v>
      </c>
      <c r="Q206" s="121">
        <f t="shared" si="141"/>
        <v>0</v>
      </c>
    </row>
    <row r="207" ht="24" customHeight="1" spans="1:17">
      <c r="A207" s="99" t="s">
        <v>289</v>
      </c>
      <c r="B207" s="99" t="s">
        <v>299</v>
      </c>
      <c r="C207" s="99" t="s">
        <v>333</v>
      </c>
      <c r="D207" s="114" t="s">
        <v>292</v>
      </c>
      <c r="E207" s="53" t="s">
        <v>337</v>
      </c>
      <c r="F207" s="123">
        <f>SUMIFS('2024数据'!$AM$3:$AM$152,'2024数据'!$D$3:$D$152,"&gt;="&amp;DATE(2024,1,1),'2024数据'!$D$3:$D$152,"&lt;="&amp;DATE(2024,1,31),'2024数据'!$AL$3:$AL$152,$E35)/10000</f>
        <v>0.312457</v>
      </c>
      <c r="G207" s="123">
        <f>SUMIFS('2024数据'!$AM$3:$AM$152,'2024数据'!$D$3:$D$152,"&gt;="&amp;DATE(2024,2,1),'2024数据'!$D$3:$D$152,"&lt;="&amp;DATE(2024,2,29),'2024数据'!$AL$3:$AL$152,$E35)/10000</f>
        <v>0</v>
      </c>
      <c r="H207" s="123">
        <f>SUMIFS('2024数据'!$AM$3:$AM$152,'2024数据'!$D$3:$D$152,"&gt;="&amp;DATE(2024,3,1),'2024数据'!$D$3:$D$152,"&lt;="&amp;DATE(2024,3,31),'2024数据'!$AL$3:$AL$152,$E35)/10000</f>
        <v>0</v>
      </c>
      <c r="I207" s="123">
        <f>SUMIFS('2024数据'!$AM$3:$AM$152,'2024数据'!$D$3:$D$152,"&gt;="&amp;DATE(2024,4,1),'2024数据'!$D$3:$D$152,"&lt;="&amp;DATE(2024,4,30),'2024数据'!$AL$3:$AL$152,$E35)/10000</f>
        <v>0.2002466454</v>
      </c>
      <c r="J207" s="123">
        <f>SUMIFS('2024数据'!$AM$3:$AM$152,'2024数据'!$D$3:$D$152,"&gt;="&amp;DATE(2024,5,1),'2024数据'!$D$3:$D$152,"&lt;="&amp;DATE(2024,5,31),'2024数据'!$AL$3:$AL$152,$E35)/10000</f>
        <v>0.961875</v>
      </c>
      <c r="K207" s="123">
        <f>SUMIFS('2024数据'!$AM$3:$AM$152,'2024数据'!$D$3:$D$152,"&gt;="&amp;DATE(2024,6,1),'2024数据'!$D$3:$D$152,"&lt;="&amp;DATE(2024,6,30),'2024数据'!$AL$3:$AL$152,$E35)/10000</f>
        <v>0.138816</v>
      </c>
      <c r="L207" s="123">
        <f>SUMIFS('2024数据'!$AM$3:$AM$152,'2024数据'!$D$3:$D$152,"&gt;="&amp;DATE(2024,7,1),'2024数据'!$D$3:$D$152,"&lt;="&amp;DATE(2024,7,31),'2024数据'!$AL$3:$AL$152,$E35)/10000</f>
        <v>0.104414</v>
      </c>
      <c r="M207" s="123">
        <f>SUMIFS('2024数据'!$AM$3:$AM$152,'2024数据'!$D$3:$D$152,"&gt;="&amp;DATE(2024,8,1),'2024数据'!$D$3:$D$152,"&lt;="&amp;DATE(2024,8,31),'2024数据'!$AL$3:$AL$152,$E35)/10000</f>
        <v>0.112294</v>
      </c>
      <c r="N207" s="123">
        <f>SUMIFS('2024数据'!$AM$3:$AM$152,'2024数据'!$D$3:$D$152,"&gt;="&amp;DATE(2024,9,1),'2024数据'!$D$3:$D$152,"&lt;="&amp;DATE(2024,9,30),'2024数据'!$AL$3:$AL$152,$E35)/10000</f>
        <v>0.041268</v>
      </c>
      <c r="O207" s="123">
        <f>SUMIFS('2024数据'!$AM$3:$AM$152,'2024数据'!$D$3:$D$152,"&gt;="&amp;DATE(2024,10,1),'2024数据'!$D$3:$D$152,"&lt;="&amp;DATE(2024,10,31),'2024数据'!$AL$3:$AL$152,$E35)/10000</f>
        <v>0.05388</v>
      </c>
      <c r="P207" s="123">
        <f>SUMIFS('2024数据'!$AM$3:$AM$152,'2024数据'!$D$3:$D$152,"&gt;="&amp;DATE(2024,11,1),'2024数据'!$D$3:$D$152,"&lt;="&amp;DATE(2024,11,30),'2024数据'!$AL$3:$AL$152,$E35)/10000</f>
        <v>0.272221</v>
      </c>
      <c r="Q207" s="123">
        <f>SUMIFS('2024数据'!$AM$3:$AM$152,'2024数据'!$D$3:$D$152,"&gt;="&amp;DATE(2024,12,1),'2024数据'!$D$3:$D$152,"&lt;="&amp;DATE(2024,12,31),'2024数据'!$AL$3:$AL$152,$E35)/10000</f>
        <v>0.217011</v>
      </c>
    </row>
    <row r="208" ht="24" customHeight="1" spans="1:17">
      <c r="A208" s="99" t="s">
        <v>289</v>
      </c>
      <c r="B208" s="99" t="s">
        <v>299</v>
      </c>
      <c r="C208" s="99" t="s">
        <v>333</v>
      </c>
      <c r="D208" s="114" t="s">
        <v>292</v>
      </c>
      <c r="E208" s="53" t="s">
        <v>338</v>
      </c>
      <c r="F208" s="123">
        <f>SUMIFS('2024数据'!$AM$3:$AM$152,'2024数据'!$D$3:$D$152,"&gt;="&amp;DATE(2024,1,1),'2024数据'!$D$3:$D$152,"&lt;="&amp;DATE(2024,1,31),'2024数据'!$AL$3:$AL$152,$E36)/10000</f>
        <v>0.039611</v>
      </c>
      <c r="G208" s="123">
        <f>SUMIFS('2024数据'!$AM$3:$AM$152,'2024数据'!$D$3:$D$152,"&gt;="&amp;DATE(2024,2,1),'2024数据'!$D$3:$D$152,"&lt;="&amp;DATE(2024,2,29),'2024数据'!$AL$3:$AL$152,$E36)/10000</f>
        <v>0.26261</v>
      </c>
      <c r="H208" s="123">
        <f>SUMIFS('2024数据'!$AM$3:$AM$152,'2024数据'!$D$3:$D$152,"&gt;="&amp;DATE(2024,3,1),'2024数据'!$D$3:$D$152,"&lt;="&amp;DATE(2024,3,31),'2024数据'!$AL$3:$AL$152,$E36)/10000</f>
        <v>0.35404</v>
      </c>
      <c r="I208" s="123">
        <f>SUMIFS('2024数据'!$AM$3:$AM$152,'2024数据'!$D$3:$D$152,"&gt;="&amp;DATE(2024,4,1),'2024数据'!$D$3:$D$152,"&lt;="&amp;DATE(2024,4,30),'2024数据'!$AL$3:$AL$152,$E36)/10000</f>
        <v>0.025956</v>
      </c>
      <c r="J208" s="123">
        <f>SUMIFS('2024数据'!$AM$3:$AM$152,'2024数据'!$D$3:$D$152,"&gt;="&amp;DATE(2024,5,1),'2024数据'!$D$3:$D$152,"&lt;="&amp;DATE(2024,5,31),'2024数据'!$AL$3:$AL$152,$E36)/10000</f>
        <v>0.815051997800003</v>
      </c>
      <c r="K208" s="123">
        <f>SUMIFS('2024数据'!$AM$3:$AM$152,'2024数据'!$D$3:$D$152,"&gt;="&amp;DATE(2024,6,1),'2024数据'!$D$3:$D$152,"&lt;="&amp;DATE(2024,6,30),'2024数据'!$AL$3:$AL$152,$E36)/10000</f>
        <v>0.00909300000000003</v>
      </c>
      <c r="L208" s="123">
        <f>SUMIFS('2024数据'!$AM$3:$AM$152,'2024数据'!$D$3:$D$152,"&gt;="&amp;DATE(2024,7,1),'2024数据'!$D$3:$D$152,"&lt;="&amp;DATE(2024,7,31),'2024数据'!$AL$3:$AL$152,$E36)/10000</f>
        <v>0.0224710000000001</v>
      </c>
      <c r="M208" s="123">
        <f>SUMIFS('2024数据'!$AM$3:$AM$152,'2024数据'!$D$3:$D$152,"&gt;="&amp;DATE(2024,8,1),'2024数据'!$D$3:$D$152,"&lt;="&amp;DATE(2024,8,31),'2024数据'!$AL$3:$AL$152,$E36)/10000</f>
        <v>0.156084</v>
      </c>
      <c r="N208" s="123">
        <f>SUMIFS('2024数据'!$AM$3:$AM$152,'2024数据'!$D$3:$D$152,"&gt;="&amp;DATE(2024,9,1),'2024数据'!$D$3:$D$152,"&lt;="&amp;DATE(2024,9,30),'2024数据'!$AL$3:$AL$152,$E36)/10000</f>
        <v>0.0247330000000001</v>
      </c>
      <c r="O208" s="123">
        <f>SUMIFS('2024数据'!$AM$3:$AM$152,'2024数据'!$D$3:$D$152,"&gt;="&amp;DATE(2024,10,1),'2024数据'!$D$3:$D$152,"&lt;="&amp;DATE(2024,10,31),'2024数据'!$AL$3:$AL$152,$E36)/10000</f>
        <v>0</v>
      </c>
      <c r="P208" s="123">
        <f>SUMIFS('2024数据'!$AM$3:$AM$152,'2024数据'!$D$3:$D$152,"&gt;="&amp;DATE(2024,11,1),'2024数据'!$D$3:$D$152,"&lt;="&amp;DATE(2024,11,30),'2024数据'!$AL$3:$AL$152,$E36)/10000</f>
        <v>0</v>
      </c>
      <c r="Q208" s="123">
        <f>SUMIFS('2024数据'!$AM$3:$AM$152,'2024数据'!$D$3:$D$152,"&gt;="&amp;DATE(2024,12,1),'2024数据'!$D$3:$D$152,"&lt;="&amp;DATE(2024,12,31),'2024数据'!$AL$3:$AL$152,$E36)/10000</f>
        <v>0.0695290000000002</v>
      </c>
    </row>
    <row r="209" ht="24" customHeight="1" spans="1:17">
      <c r="A209" s="99" t="s">
        <v>289</v>
      </c>
      <c r="B209" s="99" t="s">
        <v>299</v>
      </c>
      <c r="C209" s="99" t="s">
        <v>333</v>
      </c>
      <c r="D209" s="114" t="s">
        <v>292</v>
      </c>
      <c r="E209" s="53" t="s">
        <v>339</v>
      </c>
      <c r="F209" s="123">
        <f>SUMIFS('2024数据'!$AM$3:$AM$152,'2024数据'!$D$3:$D$152,"&gt;="&amp;DATE(2024,1,1),'2024数据'!$D$3:$D$152,"&lt;="&amp;DATE(2024,1,31),'2024数据'!$AL$3:$AL$152,$E37)/10000</f>
        <v>0</v>
      </c>
      <c r="G209" s="123">
        <f>SUMIFS('2024数据'!$AM$3:$AM$152,'2024数据'!$D$3:$D$152,"&gt;="&amp;DATE(2024,2,1),'2024数据'!$D$3:$D$152,"&lt;="&amp;DATE(2024,2,29),'2024数据'!$AL$3:$AL$152,$E37)/10000</f>
        <v>0</v>
      </c>
      <c r="H209" s="123">
        <f>SUMIFS('2024数据'!$AM$3:$AM$152,'2024数据'!$D$3:$D$152,"&gt;="&amp;DATE(2024,3,1),'2024数据'!$D$3:$D$152,"&lt;="&amp;DATE(2024,3,31),'2024数据'!$AL$3:$AL$152,$E37)/10000</f>
        <v>0</v>
      </c>
      <c r="I209" s="123">
        <f>SUMIFS('2024数据'!$AM$3:$AM$152,'2024数据'!$D$3:$D$152,"&gt;="&amp;DATE(2024,4,1),'2024数据'!$D$3:$D$152,"&lt;="&amp;DATE(2024,4,30),'2024数据'!$AL$3:$AL$152,$E37)/10000</f>
        <v>0</v>
      </c>
      <c r="J209" s="123">
        <f>SUMIFS('2024数据'!$AM$3:$AM$152,'2024数据'!$D$3:$D$152,"&gt;="&amp;DATE(2024,5,1),'2024数据'!$D$3:$D$152,"&lt;="&amp;DATE(2024,5,31),'2024数据'!$AL$3:$AL$152,$E37)/10000</f>
        <v>0</v>
      </c>
      <c r="K209" s="123">
        <f>SUMIFS('2024数据'!$AM$3:$AM$152,'2024数据'!$D$3:$D$152,"&gt;="&amp;DATE(2024,6,1),'2024数据'!$D$3:$D$152,"&lt;="&amp;DATE(2024,6,30),'2024数据'!$AL$3:$AL$152,$E37)/10000</f>
        <v>0</v>
      </c>
      <c r="L209" s="123">
        <f>SUMIFS('2024数据'!$AM$3:$AM$152,'2024数据'!$D$3:$D$152,"&gt;="&amp;DATE(2024,7,1),'2024数据'!$D$3:$D$152,"&lt;="&amp;DATE(2024,7,31),'2024数据'!$AL$3:$AL$152,$E37)/10000</f>
        <v>0</v>
      </c>
      <c r="M209" s="123">
        <f>SUMIFS('2024数据'!$AM$3:$AM$152,'2024数据'!$D$3:$D$152,"&gt;="&amp;DATE(2024,8,1),'2024数据'!$D$3:$D$152,"&lt;="&amp;DATE(2024,8,31),'2024数据'!$AL$3:$AL$152,$E37)/10000</f>
        <v>0</v>
      </c>
      <c r="N209" s="123">
        <f>SUMIFS('2024数据'!$AM$3:$AM$152,'2024数据'!$D$3:$D$152,"&gt;="&amp;DATE(2024,9,1),'2024数据'!$D$3:$D$152,"&lt;="&amp;DATE(2024,9,30),'2024数据'!$AL$3:$AL$152,$E37)/10000</f>
        <v>0</v>
      </c>
      <c r="O209" s="123">
        <f>SUMIFS('2024数据'!$AM$3:$AM$152,'2024数据'!$D$3:$D$152,"&gt;="&amp;DATE(2024,10,1),'2024数据'!$D$3:$D$152,"&lt;="&amp;DATE(2024,10,31),'2024数据'!$AL$3:$AL$152,$E37)/10000</f>
        <v>0</v>
      </c>
      <c r="P209" s="123">
        <f>SUMIFS('2024数据'!$AM$3:$AM$152,'2024数据'!$D$3:$D$152,"&gt;="&amp;DATE(2024,11,1),'2024数据'!$D$3:$D$152,"&lt;="&amp;DATE(2024,11,30),'2024数据'!$AL$3:$AL$152,$E37)/10000</f>
        <v>0</v>
      </c>
      <c r="Q209" s="123">
        <f>SUMIFS('2024数据'!$AM$3:$AM$152,'2024数据'!$D$3:$D$152,"&gt;="&amp;DATE(2024,12,1),'2024数据'!$D$3:$D$152,"&lt;="&amp;DATE(2024,12,31),'2024数据'!$AL$3:$AL$152,$E37)/10000</f>
        <v>0</v>
      </c>
    </row>
    <row r="210" ht="24" customHeight="1" spans="1:17">
      <c r="A210" s="99" t="s">
        <v>289</v>
      </c>
      <c r="B210" s="99" t="s">
        <v>299</v>
      </c>
      <c r="C210" s="99" t="s">
        <v>333</v>
      </c>
      <c r="D210" s="53" t="s">
        <v>303</v>
      </c>
      <c r="E210" s="53" t="s">
        <v>93</v>
      </c>
      <c r="F210" s="123">
        <f>SUMIFS('2024数据'!$AM$3:$AM$152,'2024数据'!$D$3:$D$152,"&gt;="&amp;DATE(2024,1,1),'2024数据'!$D$3:$D$152,"&lt;="&amp;DATE(2024,1,31),'2024数据'!$AL$3:$AL$152,$E35,'2024数据'!$B$3:$B$152,'2024整理'!$E190)/10000</f>
        <v>0.210536</v>
      </c>
      <c r="G210" s="123">
        <f>SUMIFS('2024数据'!$AM$3:$AM$152,'2024数据'!$D$3:$D$152,"&gt;="&amp;DATE(2024,2,1),'2024数据'!$D$3:$D$152,"&lt;="&amp;DATE(2024,2,29),'2024数据'!$AL$3:$AL$152,$E35,'2024数据'!$B$3:$B$152,'2024整理'!$E190)/10000</f>
        <v>0</v>
      </c>
      <c r="H210" s="123">
        <f>SUMIFS('2024数据'!$AM$3:$AM$152,'2024数据'!$D$3:$D$152,"&gt;="&amp;DATE(2024,3,1),'2024数据'!$D$3:$D$152,"&lt;="&amp;DATE(2024,3,31),'2024数据'!$AL$3:$AL$152,$E35,'2024数据'!$B$3:$B$152,'2024整理'!$E190)/10000</f>
        <v>0</v>
      </c>
      <c r="I210" s="123">
        <f>SUMIFS('2024数据'!$AM$3:$AM$152,'2024数据'!$D$3:$D$152,"&gt;="&amp;DATE(2024,4,1),'2024数据'!$D$3:$D$152,"&lt;="&amp;DATE(2024,4,30),'2024数据'!$AL$3:$AL$152,$E35,'2024数据'!$B$3:$B$152,'2024整理'!$E190)/10000</f>
        <v>0.000386000000000058</v>
      </c>
      <c r="J210" s="123">
        <f>SUMIFS('2024数据'!$AM$3:$AM$152,'2024数据'!$D$3:$D$152,"&gt;="&amp;DATE(2024,5,1),'2024数据'!$D$3:$D$152,"&lt;="&amp;DATE(2024,5,31),'2024数据'!$AL$3:$AL$152,$E35,'2024数据'!$B$3:$B$152,'2024整理'!$E190)/10000</f>
        <v>0.240052</v>
      </c>
      <c r="K210" s="123">
        <f>SUMIFS('2024数据'!$AM$3:$AM$152,'2024数据'!$D$3:$D$152,"&gt;="&amp;DATE(2024,6,1),'2024数据'!$D$3:$D$152,"&lt;="&amp;DATE(2024,6,30),'2024数据'!$AL$3:$AL$152,$E35,'2024数据'!$B$3:$B$152,'2024整理'!$E190)/10000</f>
        <v>0</v>
      </c>
      <c r="L210" s="123">
        <f>SUMIFS('2024数据'!$AM$3:$AM$152,'2024数据'!$D$3:$D$152,"&gt;="&amp;DATE(2024,7,1),'2024数据'!$D$3:$D$152,"&lt;="&amp;DATE(2024,7,31),'2024数据'!$AL$3:$AL$152,$E35,'2024数据'!$B$3:$B$152,'2024整理'!$E190)/10000</f>
        <v>0.104414</v>
      </c>
      <c r="M210" s="123">
        <f>SUMIFS('2024数据'!$AM$3:$AM$152,'2024数据'!$D$3:$D$152,"&gt;="&amp;DATE(2024,8,1),'2024数据'!$D$3:$D$152,"&lt;="&amp;DATE(2024,8,31),'2024数据'!$AL$3:$AL$152,$E35,'2024数据'!$B$3:$B$152,'2024整理'!$E190)/10000</f>
        <v>0.098123</v>
      </c>
      <c r="N210" s="123">
        <f>SUMIFS('2024数据'!$AM$3:$AM$152,'2024数据'!$D$3:$D$152,"&gt;="&amp;DATE(2024,9,1),'2024数据'!$D$3:$D$152,"&lt;="&amp;DATE(2024,9,30),'2024数据'!$AL$3:$AL$152,$E35,'2024数据'!$B$3:$B$152,'2024整理'!$E190)/10000</f>
        <v>0.037682</v>
      </c>
      <c r="O210" s="123">
        <f>SUMIFS('2024数据'!$AM$3:$AM$152,'2024数据'!$D$3:$D$152,"&gt;="&amp;DATE(2024,10,1),'2024数据'!$D$3:$D$152,"&lt;="&amp;DATE(2024,10,31),'2024数据'!$AL$3:$AL$152,$E35,'2024数据'!$B$3:$B$152,'2024整理'!$E190)/10000</f>
        <v>0</v>
      </c>
      <c r="P210" s="123">
        <f>SUMIFS('2024数据'!$AM$3:$AM$152,'2024数据'!$D$3:$D$152,"&gt;="&amp;DATE(2024,11,1),'2024数据'!$D$3:$D$152,"&lt;="&amp;DATE(2024,11,30),'2024数据'!$AL$3:$AL$152,$E35,'2024数据'!$B$3:$B$152,'2024整理'!$E190)/10000</f>
        <v>0.0351449999999999</v>
      </c>
      <c r="Q210" s="123">
        <f>SUMIFS('2024数据'!$AM$3:$AM$152,'2024数据'!$D$3:$D$152,"&gt;="&amp;DATE(2024,12,1),'2024数据'!$D$3:$D$152,"&lt;="&amp;DATE(2024,12,31),'2024数据'!$AL$3:$AL$152,$E35,'2024数据'!$B$3:$B$152,'2024整理'!$E190)/10000</f>
        <v>0</v>
      </c>
    </row>
    <row r="211" ht="24" customHeight="1" spans="1:17">
      <c r="A211" s="99" t="s">
        <v>289</v>
      </c>
      <c r="B211" s="99" t="s">
        <v>299</v>
      </c>
      <c r="C211" s="99" t="s">
        <v>333</v>
      </c>
      <c r="D211" s="53" t="s">
        <v>303</v>
      </c>
      <c r="E211" s="53" t="s">
        <v>85</v>
      </c>
      <c r="F211" s="123">
        <f>SUMIFS('2024数据'!$AM$3:$AM$152,'2024数据'!$D$3:$D$152,"&gt;="&amp;DATE(2024,1,1),'2024数据'!$D$3:$D$152,"&lt;="&amp;DATE(2024,1,31),'2024数据'!$AL$3:$AL$152,$E35,'2024数据'!$B$3:$B$152,'2024整理'!$E191)/10000</f>
        <v>0.057962</v>
      </c>
      <c r="G211" s="123">
        <f>SUMIFS('2024数据'!$AM$3:$AM$152,'2024数据'!$D$3:$D$152,"&gt;="&amp;DATE(2024,2,1),'2024数据'!$D$3:$D$152,"&lt;="&amp;DATE(2024,2,29),'2024数据'!$AL$3:$AL$152,$E35,'2024数据'!$B$3:$B$152,'2024整理'!$E191)/10000</f>
        <v>0</v>
      </c>
      <c r="H211" s="123">
        <f>SUMIFS('2024数据'!$AM$3:$AM$152,'2024数据'!$D$3:$D$152,"&gt;="&amp;DATE(2024,3,1),'2024数据'!$D$3:$D$152,"&lt;="&amp;DATE(2024,3,31),'2024数据'!$AL$3:$AL$152,$E35,'2024数据'!$B$3:$B$152,'2024整理'!$E191)/10000</f>
        <v>0</v>
      </c>
      <c r="I211" s="123">
        <f>SUMIFS('2024数据'!$AM$3:$AM$152,'2024数据'!$D$3:$D$152,"&gt;="&amp;DATE(2024,4,1),'2024数据'!$D$3:$D$152,"&lt;="&amp;DATE(2024,4,30),'2024数据'!$AL$3:$AL$152,$E35,'2024数据'!$B$3:$B$152,'2024整理'!$E191)/10000</f>
        <v>0</v>
      </c>
      <c r="J211" s="123">
        <f>SUMIFS('2024数据'!$AM$3:$AM$152,'2024数据'!$D$3:$D$152,"&gt;="&amp;DATE(2024,5,1),'2024数据'!$D$3:$D$152,"&lt;="&amp;DATE(2024,5,31),'2024数据'!$AL$3:$AL$152,$E35,'2024数据'!$B$3:$B$152,'2024整理'!$E191)/10000</f>
        <v>0.721823</v>
      </c>
      <c r="K211" s="123">
        <f>SUMIFS('2024数据'!$AM$3:$AM$152,'2024数据'!$D$3:$D$152,"&gt;="&amp;DATE(2024,6,1),'2024数据'!$D$3:$D$152,"&lt;="&amp;DATE(2024,6,30),'2024数据'!$AL$3:$AL$152,$E35,'2024数据'!$B$3:$B$152,'2024整理'!$E191)/10000</f>
        <v>0.024173</v>
      </c>
      <c r="L211" s="123">
        <f>SUMIFS('2024数据'!$AM$3:$AM$152,'2024数据'!$D$3:$D$152,"&gt;="&amp;DATE(2024,7,1),'2024数据'!$D$3:$D$152,"&lt;="&amp;DATE(2024,7,31),'2024数据'!$AL$3:$AL$152,$E35,'2024数据'!$B$3:$B$152,'2024整理'!$E191)/10000</f>
        <v>0</v>
      </c>
      <c r="M211" s="123">
        <f>SUMIFS('2024数据'!$AM$3:$AM$152,'2024数据'!$D$3:$D$152,"&gt;="&amp;DATE(2024,8,1),'2024数据'!$D$3:$D$152,"&lt;="&amp;DATE(2024,8,31),'2024数据'!$AL$3:$AL$152,$E35,'2024数据'!$B$3:$B$152,'2024整理'!$E191)/10000</f>
        <v>0.014171</v>
      </c>
      <c r="N211" s="123">
        <f>SUMIFS('2024数据'!$AM$3:$AM$152,'2024数据'!$D$3:$D$152,"&gt;="&amp;DATE(2024,9,1),'2024数据'!$D$3:$D$152,"&lt;="&amp;DATE(2024,9,30),'2024数据'!$AL$3:$AL$152,$E35,'2024数据'!$B$3:$B$152,'2024整理'!$E191)/10000</f>
        <v>0.003586</v>
      </c>
      <c r="O211" s="123">
        <f>SUMIFS('2024数据'!$AM$3:$AM$152,'2024数据'!$D$3:$D$152,"&gt;="&amp;DATE(2024,10,1),'2024数据'!$D$3:$D$152,"&lt;="&amp;DATE(2024,10,31),'2024数据'!$AL$3:$AL$152,$E35,'2024数据'!$B$3:$B$152,'2024整理'!$E191)/10000</f>
        <v>0.016831</v>
      </c>
      <c r="P211" s="123">
        <f>SUMIFS('2024数据'!$AM$3:$AM$152,'2024数据'!$D$3:$D$152,"&gt;="&amp;DATE(2024,11,1),'2024数据'!$D$3:$D$152,"&lt;="&amp;DATE(2024,11,30),'2024数据'!$AL$3:$AL$152,$E35,'2024数据'!$B$3:$B$152,'2024整理'!$E191)/10000</f>
        <v>0</v>
      </c>
      <c r="Q211" s="123">
        <f>SUMIFS('2024数据'!$AM$3:$AM$152,'2024数据'!$D$3:$D$152,"&gt;="&amp;DATE(2024,12,1),'2024数据'!$D$3:$D$152,"&lt;="&amp;DATE(2024,12,31),'2024数据'!$AL$3:$AL$152,$E35,'2024数据'!$B$3:$B$152,'2024整理'!$E191)/10000</f>
        <v>0.217011</v>
      </c>
    </row>
    <row r="212" ht="24" customHeight="1" spans="1:17">
      <c r="A212" s="99" t="s">
        <v>289</v>
      </c>
      <c r="B212" s="99" t="s">
        <v>299</v>
      </c>
      <c r="C212" s="99" t="s">
        <v>333</v>
      </c>
      <c r="D212" s="53" t="s">
        <v>303</v>
      </c>
      <c r="E212" s="53" t="s">
        <v>81</v>
      </c>
      <c r="F212" s="123">
        <f>SUMIFS('2024数据'!$AM$3:$AM$152,'2024数据'!$D$3:$D$152,"&gt;="&amp;DATE(2024,1,1),'2024数据'!$D$3:$D$152,"&lt;="&amp;DATE(2024,1,31),'2024数据'!$AL$3:$AL$152,$E35,'2024数据'!$B$3:$B$152,'2024整理'!$E192)/10000</f>
        <v>0.043959</v>
      </c>
      <c r="G212" s="123">
        <f>SUMIFS('2024数据'!$AM$3:$AM$152,'2024数据'!$D$3:$D$152,"&gt;="&amp;DATE(2024,2,1),'2024数据'!$D$3:$D$152,"&lt;="&amp;DATE(2024,2,29),'2024数据'!$AL$3:$AL$152,$E35,'2024数据'!$B$3:$B$152,'2024整理'!$E192)/10000</f>
        <v>0</v>
      </c>
      <c r="H212" s="123">
        <f>SUMIFS('2024数据'!$AM$3:$AM$152,'2024数据'!$D$3:$D$152,"&gt;="&amp;DATE(2024,3,1),'2024数据'!$D$3:$D$152,"&lt;="&amp;DATE(2024,3,31),'2024数据'!$AL$3:$AL$152,$E35,'2024数据'!$B$3:$B$152,'2024整理'!$E192)/10000</f>
        <v>0</v>
      </c>
      <c r="I212" s="123">
        <f>SUMIFS('2024数据'!$AM$3:$AM$152,'2024数据'!$D$3:$D$152,"&gt;="&amp;DATE(2024,4,1),'2024数据'!$D$3:$D$152,"&lt;="&amp;DATE(2024,4,30),'2024数据'!$AL$3:$AL$152,$E35,'2024数据'!$B$3:$B$152,'2024整理'!$E192)/10000</f>
        <v>0.1998606454</v>
      </c>
      <c r="J212" s="123">
        <f>SUMIFS('2024数据'!$AM$3:$AM$152,'2024数据'!$D$3:$D$152,"&gt;="&amp;DATE(2024,5,1),'2024数据'!$D$3:$D$152,"&lt;="&amp;DATE(2024,5,31),'2024数据'!$AL$3:$AL$152,$E35,'2024数据'!$B$3:$B$152,'2024整理'!$E192)/10000</f>
        <v>0</v>
      </c>
      <c r="K212" s="123">
        <f>SUMIFS('2024数据'!$AM$3:$AM$152,'2024数据'!$D$3:$D$152,"&gt;="&amp;DATE(2024,6,1),'2024数据'!$D$3:$D$152,"&lt;="&amp;DATE(2024,6,30),'2024数据'!$AL$3:$AL$152,$E35,'2024数据'!$B$3:$B$152,'2024整理'!$E192)/10000</f>
        <v>0.114643</v>
      </c>
      <c r="L212" s="123">
        <f>SUMIFS('2024数据'!$AM$3:$AM$152,'2024数据'!$D$3:$D$152,"&gt;="&amp;DATE(2024,7,1),'2024数据'!$D$3:$D$152,"&lt;="&amp;DATE(2024,7,31),'2024数据'!$AL$3:$AL$152,$E35,'2024数据'!$B$3:$B$152,'2024整理'!$E192)/10000</f>
        <v>0</v>
      </c>
      <c r="M212" s="123">
        <f>SUMIFS('2024数据'!$AM$3:$AM$152,'2024数据'!$D$3:$D$152,"&gt;="&amp;DATE(2024,8,1),'2024数据'!$D$3:$D$152,"&lt;="&amp;DATE(2024,8,31),'2024数据'!$AL$3:$AL$152,$E35,'2024数据'!$B$3:$B$152,'2024整理'!$E192)/10000</f>
        <v>0</v>
      </c>
      <c r="N212" s="123">
        <f>SUMIFS('2024数据'!$AM$3:$AM$152,'2024数据'!$D$3:$D$152,"&gt;="&amp;DATE(2024,9,1),'2024数据'!$D$3:$D$152,"&lt;="&amp;DATE(2024,9,30),'2024数据'!$AL$3:$AL$152,$E35,'2024数据'!$B$3:$B$152,'2024整理'!$E192)/10000</f>
        <v>0</v>
      </c>
      <c r="O212" s="123">
        <f>SUMIFS('2024数据'!$AM$3:$AM$152,'2024数据'!$D$3:$D$152,"&gt;="&amp;DATE(2024,10,1),'2024数据'!$D$3:$D$152,"&lt;="&amp;DATE(2024,10,31),'2024数据'!$AL$3:$AL$152,$E35,'2024数据'!$B$3:$B$152,'2024整理'!$E192)/10000</f>
        <v>0.037049</v>
      </c>
      <c r="P212" s="123">
        <f>SUMIFS('2024数据'!$AM$3:$AM$152,'2024数据'!$D$3:$D$152,"&gt;="&amp;DATE(2024,11,1),'2024数据'!$D$3:$D$152,"&lt;="&amp;DATE(2024,11,30),'2024数据'!$AL$3:$AL$152,$E35,'2024数据'!$B$3:$B$152,'2024整理'!$E192)/10000</f>
        <v>0.199301</v>
      </c>
      <c r="Q212" s="123">
        <f>SUMIFS('2024数据'!$AM$3:$AM$152,'2024数据'!$D$3:$D$152,"&gt;="&amp;DATE(2024,12,1),'2024数据'!$D$3:$D$152,"&lt;="&amp;DATE(2024,12,31),'2024数据'!$AL$3:$AL$152,$E35,'2024数据'!$B$3:$B$152,'2024整理'!$E192)/10000</f>
        <v>0</v>
      </c>
    </row>
    <row r="213" ht="24" customHeight="1" spans="1:17">
      <c r="A213" s="99" t="s">
        <v>289</v>
      </c>
      <c r="B213" s="99" t="s">
        <v>299</v>
      </c>
      <c r="C213" s="99" t="s">
        <v>333</v>
      </c>
      <c r="D213" s="53" t="s">
        <v>303</v>
      </c>
      <c r="E213" s="53" t="s">
        <v>96</v>
      </c>
      <c r="F213" s="123">
        <f>SUMIFS('2024数据'!$AM$3:$AM$152,'2024数据'!$D$3:$D$152,"&gt;="&amp;DATE(2024,1,1),'2024数据'!$D$3:$D$152,"&lt;="&amp;DATE(2024,1,31),'2024数据'!$AL$3:$AL$152,$E35,'2024数据'!$B$3:$B$152,'2024整理'!$E193)/10000</f>
        <v>0</v>
      </c>
      <c r="G213" s="123">
        <f>SUMIFS('2024数据'!$AM$3:$AM$152,'2024数据'!$D$3:$D$152,"&gt;="&amp;DATE(2024,2,1),'2024数据'!$D$3:$D$152,"&lt;="&amp;DATE(2024,2,29),'2024数据'!$AL$3:$AL$152,$E35,'2024数据'!$B$3:$B$152,'2024整理'!$E193)/10000</f>
        <v>0</v>
      </c>
      <c r="H213" s="123">
        <f>SUMIFS('2024数据'!$AM$3:$AM$152,'2024数据'!$D$3:$D$152,"&gt;="&amp;DATE(2024,3,1),'2024数据'!$D$3:$D$152,"&lt;="&amp;DATE(2024,3,31),'2024数据'!$AL$3:$AL$152,$E35,'2024数据'!$B$3:$B$152,'2024整理'!$E193)/10000</f>
        <v>0</v>
      </c>
      <c r="I213" s="123">
        <f>SUMIFS('2024数据'!$AM$3:$AM$152,'2024数据'!$D$3:$D$152,"&gt;="&amp;DATE(2024,4,1),'2024数据'!$D$3:$D$152,"&lt;="&amp;DATE(2024,4,30),'2024数据'!$AL$3:$AL$152,$E35,'2024数据'!$B$3:$B$152,'2024整理'!$E193)/10000</f>
        <v>0</v>
      </c>
      <c r="J213" s="123">
        <f>SUMIFS('2024数据'!$AM$3:$AM$152,'2024数据'!$D$3:$D$152,"&gt;="&amp;DATE(2024,5,1),'2024数据'!$D$3:$D$152,"&lt;="&amp;DATE(2024,5,31),'2024数据'!$AL$3:$AL$152,$E35,'2024数据'!$B$3:$B$152,'2024整理'!$E193)/10000</f>
        <v>0</v>
      </c>
      <c r="K213" s="123">
        <f>SUMIFS('2024数据'!$AM$3:$AM$152,'2024数据'!$D$3:$D$152,"&gt;="&amp;DATE(2024,6,1),'2024数据'!$D$3:$D$152,"&lt;="&amp;DATE(2024,6,30),'2024数据'!$AL$3:$AL$152,$E35,'2024数据'!$B$3:$B$152,'2024整理'!$E193)/10000</f>
        <v>0</v>
      </c>
      <c r="L213" s="123">
        <f>SUMIFS('2024数据'!$AM$3:$AM$152,'2024数据'!$D$3:$D$152,"&gt;="&amp;DATE(2024,7,1),'2024数据'!$D$3:$D$152,"&lt;="&amp;DATE(2024,7,31),'2024数据'!$AL$3:$AL$152,$E35,'2024数据'!$B$3:$B$152,'2024整理'!$E193)/10000</f>
        <v>0</v>
      </c>
      <c r="M213" s="123">
        <f>SUMIFS('2024数据'!$AM$3:$AM$152,'2024数据'!$D$3:$D$152,"&gt;="&amp;DATE(2024,8,1),'2024数据'!$D$3:$D$152,"&lt;="&amp;DATE(2024,8,31),'2024数据'!$AL$3:$AL$152,$E35,'2024数据'!$B$3:$B$152,'2024整理'!$E193)/10000</f>
        <v>0</v>
      </c>
      <c r="N213" s="123">
        <f>SUMIFS('2024数据'!$AM$3:$AM$152,'2024数据'!$D$3:$D$152,"&gt;="&amp;DATE(2024,9,1),'2024数据'!$D$3:$D$152,"&lt;="&amp;DATE(2024,9,30),'2024数据'!$AL$3:$AL$152,$E35,'2024数据'!$B$3:$B$152,'2024整理'!$E193)/10000</f>
        <v>0</v>
      </c>
      <c r="O213" s="123">
        <f>SUMIFS('2024数据'!$AM$3:$AM$152,'2024数据'!$D$3:$D$152,"&gt;="&amp;DATE(2024,10,1),'2024数据'!$D$3:$D$152,"&lt;="&amp;DATE(2024,10,31),'2024数据'!$AL$3:$AL$152,$E35,'2024数据'!$B$3:$B$152,'2024整理'!$E193)/10000</f>
        <v>0</v>
      </c>
      <c r="P213" s="123">
        <f>SUMIFS('2024数据'!$AM$3:$AM$152,'2024数据'!$D$3:$D$152,"&gt;="&amp;DATE(2024,11,1),'2024数据'!$D$3:$D$152,"&lt;="&amp;DATE(2024,11,30),'2024数据'!$AL$3:$AL$152,$E35,'2024数据'!$B$3:$B$152,'2024整理'!$E193)/10000</f>
        <v>0.037775</v>
      </c>
      <c r="Q213" s="123">
        <f>SUMIFS('2024数据'!$AM$3:$AM$152,'2024数据'!$D$3:$D$152,"&gt;="&amp;DATE(2024,12,1),'2024数据'!$D$3:$D$152,"&lt;="&amp;DATE(2024,12,31),'2024数据'!$AL$3:$AL$152,$E35,'2024数据'!$B$3:$B$152,'2024整理'!$E193)/10000</f>
        <v>0</v>
      </c>
    </row>
    <row r="214" ht="24" customHeight="1" spans="1:17">
      <c r="A214" s="99" t="s">
        <v>289</v>
      </c>
      <c r="B214" s="99" t="s">
        <v>299</v>
      </c>
      <c r="C214" s="99" t="s">
        <v>333</v>
      </c>
      <c r="D214" s="53" t="s">
        <v>303</v>
      </c>
      <c r="E214" s="53" t="s">
        <v>160</v>
      </c>
      <c r="F214" s="123">
        <f t="shared" ref="F214:Q214" si="142">F207-SUM(F210:F213)</f>
        <v>0</v>
      </c>
      <c r="G214" s="123">
        <f t="shared" si="142"/>
        <v>0</v>
      </c>
      <c r="H214" s="123">
        <f t="shared" si="142"/>
        <v>0</v>
      </c>
      <c r="I214" s="123">
        <f t="shared" si="142"/>
        <v>0</v>
      </c>
      <c r="J214" s="123">
        <f t="shared" si="142"/>
        <v>0</v>
      </c>
      <c r="K214" s="123">
        <f t="shared" si="142"/>
        <v>0</v>
      </c>
      <c r="L214" s="123">
        <f t="shared" si="142"/>
        <v>0</v>
      </c>
      <c r="M214" s="123">
        <f t="shared" si="142"/>
        <v>0</v>
      </c>
      <c r="N214" s="123">
        <f t="shared" si="142"/>
        <v>0</v>
      </c>
      <c r="O214" s="123">
        <f t="shared" si="142"/>
        <v>0</v>
      </c>
      <c r="P214" s="123">
        <f t="shared" si="142"/>
        <v>0</v>
      </c>
      <c r="Q214" s="123">
        <f t="shared" si="142"/>
        <v>0</v>
      </c>
    </row>
    <row r="215" ht="24" customHeight="1" spans="1:17">
      <c r="A215" s="99" t="s">
        <v>289</v>
      </c>
      <c r="B215" s="99" t="s">
        <v>299</v>
      </c>
      <c r="C215" s="99" t="s">
        <v>333</v>
      </c>
      <c r="D215" s="53" t="s">
        <v>304</v>
      </c>
      <c r="E215" s="53" t="s">
        <v>93</v>
      </c>
      <c r="F215" s="123">
        <f>SUMIFS('2024数据'!$AM$3:$AM$152,'2024数据'!$D$3:$D$152,"&gt;="&amp;DATE(2024,1,1),'2024数据'!$D$3:$D$152,"&lt;="&amp;DATE(2024,1,31),'2024数据'!$AL$3:$AL$152,$E36,'2024数据'!$B$3:$B$152,'2024整理'!$E190)/10000</f>
        <v>0.039611</v>
      </c>
      <c r="G215" s="123">
        <f>SUMIFS('2024数据'!$AM$3:$AM$152,'2024数据'!$D$3:$D$152,"&gt;="&amp;DATE(2024,2,1),'2024数据'!$D$3:$D$152,"&lt;="&amp;DATE(2024,2,29),'2024数据'!$AL$3:$AL$152,$E36,'2024数据'!$B$3:$B$152,'2024整理'!$E190)/10000</f>
        <v>0.26261</v>
      </c>
      <c r="H215" s="123">
        <f>SUMIFS('2024数据'!$AM$3:$AM$152,'2024数据'!$D$3:$D$152,"&gt;="&amp;DATE(2024,3,1),'2024数据'!$D$3:$D$152,"&lt;="&amp;DATE(2024,3,31),'2024数据'!$AL$3:$AL$152,$E36,'2024数据'!$B$3:$B$152,'2024整理'!$E190)/10000</f>
        <v>0.3444</v>
      </c>
      <c r="I215" s="123">
        <f>SUMIFS('2024数据'!$AM$3:$AM$152,'2024数据'!$D$3:$D$152,"&gt;="&amp;DATE(2024,4,1),'2024数据'!$D$3:$D$152,"&lt;="&amp;DATE(2024,4,30),'2024数据'!$AL$3:$AL$152,$E36,'2024数据'!$B$3:$B$152,'2024整理'!$E190)/10000</f>
        <v>0.023542</v>
      </c>
      <c r="J215" s="123">
        <f>SUMIFS('2024数据'!$AM$3:$AM$152,'2024数据'!$D$3:$D$152,"&gt;="&amp;DATE(2024,5,1),'2024数据'!$D$3:$D$152,"&lt;="&amp;DATE(2024,5,31),'2024数据'!$AL$3:$AL$152,$E36,'2024数据'!$B$3:$B$152,'2024整理'!$E190)/10000</f>
        <v>0.727417000000003</v>
      </c>
      <c r="K215" s="123">
        <f>SUMIFS('2024数据'!$AM$3:$AM$152,'2024数据'!$D$3:$D$152,"&gt;="&amp;DATE(2024,6,1),'2024数据'!$D$3:$D$152,"&lt;="&amp;DATE(2024,6,30),'2024数据'!$AL$3:$AL$152,$E36,'2024数据'!$B$3:$B$152,'2024整理'!$E190)/10000</f>
        <v>0.00909300000000003</v>
      </c>
      <c r="L215" s="123">
        <f>SUMIFS('2024数据'!$AM$3:$AM$152,'2024数据'!$D$3:$D$152,"&gt;="&amp;DATE(2024,7,1),'2024数据'!$D$3:$D$152,"&lt;="&amp;DATE(2024,7,31),'2024数据'!$AL$3:$AL$152,$E36,'2024数据'!$B$3:$B$152,'2024整理'!$E190)/10000</f>
        <v>0.00270100000000002</v>
      </c>
      <c r="M215" s="123">
        <f>SUMIFS('2024数据'!$AM$3:$AM$152,'2024数据'!$D$3:$D$152,"&gt;="&amp;DATE(2024,8,1),'2024数据'!$D$3:$D$152,"&lt;="&amp;DATE(2024,8,31),'2024数据'!$AL$3:$AL$152,$E36,'2024数据'!$B$3:$B$152,'2024整理'!$E190)/10000</f>
        <v>0.0929000000000001</v>
      </c>
      <c r="N215" s="123">
        <f>SUMIFS('2024数据'!$AM$3:$AM$152,'2024数据'!$D$3:$D$152,"&gt;="&amp;DATE(2024,9,1),'2024数据'!$D$3:$D$152,"&lt;="&amp;DATE(2024,9,30),'2024数据'!$AL$3:$AL$152,$E36,'2024数据'!$B$3:$B$152,'2024整理'!$E190)/10000</f>
        <v>0</v>
      </c>
      <c r="O215" s="123">
        <f>SUMIFS('2024数据'!$AM$3:$AM$152,'2024数据'!$D$3:$D$152,"&gt;="&amp;DATE(2024,10,1),'2024数据'!$D$3:$D$152,"&lt;="&amp;DATE(2024,10,31),'2024数据'!$AL$3:$AL$152,$E36,'2024数据'!$B$3:$B$152,'2024整理'!$E190)/10000</f>
        <v>0</v>
      </c>
      <c r="P215" s="123">
        <f>SUMIFS('2024数据'!$AM$3:$AM$152,'2024数据'!$D$3:$D$152,"&gt;="&amp;DATE(2024,11,1),'2024数据'!$D$3:$D$152,"&lt;="&amp;DATE(2024,11,30),'2024数据'!$AL$3:$AL$152,$E36,'2024数据'!$B$3:$B$152,'2024整理'!$E190)/10000</f>
        <v>0</v>
      </c>
      <c r="Q215" s="123">
        <f>SUMIFS('2024数据'!$AM$3:$AM$152,'2024数据'!$D$3:$D$152,"&gt;="&amp;DATE(2024,12,1),'2024数据'!$D$3:$D$152,"&lt;="&amp;DATE(2024,12,31),'2024数据'!$AL$3:$AL$152,$E36,'2024数据'!$B$3:$B$152,'2024整理'!$E190)/10000</f>
        <v>0.0620420000000002</v>
      </c>
    </row>
    <row r="216" ht="24" customHeight="1" spans="1:17">
      <c r="A216" s="99" t="s">
        <v>289</v>
      </c>
      <c r="B216" s="99" t="s">
        <v>299</v>
      </c>
      <c r="C216" s="99" t="s">
        <v>333</v>
      </c>
      <c r="D216" s="53" t="s">
        <v>304</v>
      </c>
      <c r="E216" s="53" t="s">
        <v>85</v>
      </c>
      <c r="F216" s="123">
        <f>SUMIFS('2024数据'!$AM$3:$AM$152,'2024数据'!$D$3:$D$152,"&gt;="&amp;DATE(2024,1,1),'2024数据'!$D$3:$D$152,"&lt;="&amp;DATE(2024,1,31),'2024数据'!$AL$3:$AL$152,$E36,'2024数据'!$B$3:$B$152,'2024整理'!$E191)/10000</f>
        <v>0</v>
      </c>
      <c r="G216" s="123">
        <f>SUMIFS('2024数据'!$AM$3:$AM$152,'2024数据'!$D$3:$D$152,"&gt;="&amp;DATE(2024,2,1),'2024数据'!$D$3:$D$152,"&lt;="&amp;DATE(2024,2,29),'2024数据'!$AL$3:$AL$152,$E36,'2024数据'!$B$3:$B$152,'2024整理'!$E191)/10000</f>
        <v>0</v>
      </c>
      <c r="H216" s="123">
        <f>SUMIFS('2024数据'!$AM$3:$AM$152,'2024数据'!$D$3:$D$152,"&gt;="&amp;DATE(2024,3,1),'2024数据'!$D$3:$D$152,"&lt;="&amp;DATE(2024,3,31),'2024数据'!$AL$3:$AL$152,$E36,'2024数据'!$B$3:$B$152,'2024整理'!$E191)/10000</f>
        <v>0.00963999999999996</v>
      </c>
      <c r="I216" s="123">
        <f>SUMIFS('2024数据'!$AM$3:$AM$152,'2024数据'!$D$3:$D$152,"&gt;="&amp;DATE(2024,4,1),'2024数据'!$D$3:$D$152,"&lt;="&amp;DATE(2024,4,30),'2024数据'!$AL$3:$AL$152,$E36,'2024数据'!$B$3:$B$152,'2024整理'!$E191)/10000</f>
        <v>0.00241399999999999</v>
      </c>
      <c r="J216" s="123">
        <f>SUMIFS('2024数据'!$AM$3:$AM$152,'2024数据'!$D$3:$D$152,"&gt;="&amp;DATE(2024,5,1),'2024数据'!$D$3:$D$152,"&lt;="&amp;DATE(2024,5,31),'2024数据'!$AL$3:$AL$152,$E36,'2024数据'!$B$3:$B$152,'2024整理'!$E191)/10000</f>
        <v>0</v>
      </c>
      <c r="K216" s="123">
        <f>SUMIFS('2024数据'!$AM$3:$AM$152,'2024数据'!$D$3:$D$152,"&gt;="&amp;DATE(2024,6,1),'2024数据'!$D$3:$D$152,"&lt;="&amp;DATE(2024,6,30),'2024数据'!$AL$3:$AL$152,$E36,'2024数据'!$B$3:$B$152,'2024整理'!$E191)/10000</f>
        <v>0</v>
      </c>
      <c r="L216" s="123">
        <f>SUMIFS('2024数据'!$AM$3:$AM$152,'2024数据'!$D$3:$D$152,"&gt;="&amp;DATE(2024,7,1),'2024数据'!$D$3:$D$152,"&lt;="&amp;DATE(2024,7,31),'2024数据'!$AL$3:$AL$152,$E36,'2024数据'!$B$3:$B$152,'2024整理'!$E191)/10000</f>
        <v>0.0197700000000001</v>
      </c>
      <c r="M216" s="123">
        <f>SUMIFS('2024数据'!$AM$3:$AM$152,'2024数据'!$D$3:$D$152,"&gt;="&amp;DATE(2024,8,1),'2024数据'!$D$3:$D$152,"&lt;="&amp;DATE(2024,8,31),'2024数据'!$AL$3:$AL$152,$E36,'2024数据'!$B$3:$B$152,'2024整理'!$E191)/10000</f>
        <v>0</v>
      </c>
      <c r="N216" s="123">
        <f>SUMIFS('2024数据'!$AM$3:$AM$152,'2024数据'!$D$3:$D$152,"&gt;="&amp;DATE(2024,9,1),'2024数据'!$D$3:$D$152,"&lt;="&amp;DATE(2024,9,30),'2024数据'!$AL$3:$AL$152,$E36,'2024数据'!$B$3:$B$152,'2024整理'!$E191)/10000</f>
        <v>0.01186</v>
      </c>
      <c r="O216" s="123">
        <f>SUMIFS('2024数据'!$AM$3:$AM$152,'2024数据'!$D$3:$D$152,"&gt;="&amp;DATE(2024,10,1),'2024数据'!$D$3:$D$152,"&lt;="&amp;DATE(2024,10,31),'2024数据'!$AL$3:$AL$152,$E36,'2024数据'!$B$3:$B$152,'2024整理'!$E191)/10000</f>
        <v>0</v>
      </c>
      <c r="P216" s="123">
        <f>SUMIFS('2024数据'!$AM$3:$AM$152,'2024数据'!$D$3:$D$152,"&gt;="&amp;DATE(2024,11,1),'2024数据'!$D$3:$D$152,"&lt;="&amp;DATE(2024,11,30),'2024数据'!$AL$3:$AL$152,$E36,'2024数据'!$B$3:$B$152,'2024整理'!$E191)/10000</f>
        <v>0</v>
      </c>
      <c r="Q216" s="123">
        <f>SUMIFS('2024数据'!$AM$3:$AM$152,'2024数据'!$D$3:$D$152,"&gt;="&amp;DATE(2024,12,1),'2024数据'!$D$3:$D$152,"&lt;="&amp;DATE(2024,12,31),'2024数据'!$AL$3:$AL$152,$E36,'2024数据'!$B$3:$B$152,'2024整理'!$E191)/10000</f>
        <v>0.00748699999999999</v>
      </c>
    </row>
    <row r="217" ht="24" customHeight="1" spans="1:17">
      <c r="A217" s="99" t="s">
        <v>289</v>
      </c>
      <c r="B217" s="99" t="s">
        <v>299</v>
      </c>
      <c r="C217" s="99" t="s">
        <v>333</v>
      </c>
      <c r="D217" s="53" t="s">
        <v>304</v>
      </c>
      <c r="E217" s="53" t="s">
        <v>81</v>
      </c>
      <c r="F217" s="123">
        <f>SUMIFS('2024数据'!$AM$3:$AM$152,'2024数据'!$D$3:$D$152,"&gt;="&amp;DATE(2024,1,1),'2024数据'!$D$3:$D$152,"&lt;="&amp;DATE(2024,1,31),'2024数据'!$AL$3:$AL$152,$E36,'2024数据'!$B$3:$B$152,'2024整理'!$E192)/10000</f>
        <v>0</v>
      </c>
      <c r="G217" s="123">
        <f>SUMIFS('2024数据'!$AM$3:$AM$152,'2024数据'!$D$3:$D$152,"&gt;="&amp;DATE(2024,2,1),'2024数据'!$D$3:$D$152,"&lt;="&amp;DATE(2024,2,29),'2024数据'!$AL$3:$AL$152,$E36,'2024数据'!$B$3:$B$152,'2024整理'!$E192)/10000</f>
        <v>0</v>
      </c>
      <c r="H217" s="123">
        <f>SUMIFS('2024数据'!$AM$3:$AM$152,'2024数据'!$D$3:$D$152,"&gt;="&amp;DATE(2024,3,1),'2024数据'!$D$3:$D$152,"&lt;="&amp;DATE(2024,3,31),'2024数据'!$AL$3:$AL$152,$E36,'2024数据'!$B$3:$B$152,'2024整理'!$E192)/10000</f>
        <v>0</v>
      </c>
      <c r="I217" s="123">
        <f>SUMIFS('2024数据'!$AM$3:$AM$152,'2024数据'!$D$3:$D$152,"&gt;="&amp;DATE(2024,4,1),'2024数据'!$D$3:$D$152,"&lt;="&amp;DATE(2024,4,30),'2024数据'!$AL$3:$AL$152,$E36,'2024数据'!$B$3:$B$152,'2024整理'!$E192)/10000</f>
        <v>0</v>
      </c>
      <c r="J217" s="123">
        <f>SUMIFS('2024数据'!$AM$3:$AM$152,'2024数据'!$D$3:$D$152,"&gt;="&amp;DATE(2024,5,1),'2024数据'!$D$3:$D$152,"&lt;="&amp;DATE(2024,5,31),'2024数据'!$AL$3:$AL$152,$E36,'2024数据'!$B$3:$B$152,'2024整理'!$E192)/10000</f>
        <v>0.0876349978</v>
      </c>
      <c r="K217" s="123">
        <f>SUMIFS('2024数据'!$AM$3:$AM$152,'2024数据'!$D$3:$D$152,"&gt;="&amp;DATE(2024,6,1),'2024数据'!$D$3:$D$152,"&lt;="&amp;DATE(2024,6,30),'2024数据'!$AL$3:$AL$152,$E36,'2024数据'!$B$3:$B$152,'2024整理'!$E192)/10000</f>
        <v>0</v>
      </c>
      <c r="L217" s="123">
        <f>SUMIFS('2024数据'!$AM$3:$AM$152,'2024数据'!$D$3:$D$152,"&gt;="&amp;DATE(2024,7,1),'2024数据'!$D$3:$D$152,"&lt;="&amp;DATE(2024,7,31),'2024数据'!$AL$3:$AL$152,$E36,'2024数据'!$B$3:$B$152,'2024整理'!$E192)/10000</f>
        <v>0</v>
      </c>
      <c r="M217" s="123">
        <f>SUMIFS('2024数据'!$AM$3:$AM$152,'2024数据'!$D$3:$D$152,"&gt;="&amp;DATE(2024,8,1),'2024数据'!$D$3:$D$152,"&lt;="&amp;DATE(2024,8,31),'2024数据'!$AL$3:$AL$152,$E36,'2024数据'!$B$3:$B$152,'2024整理'!$E192)/10000</f>
        <v>0.063184</v>
      </c>
      <c r="N217" s="123">
        <f>SUMIFS('2024数据'!$AM$3:$AM$152,'2024数据'!$D$3:$D$152,"&gt;="&amp;DATE(2024,9,1),'2024数据'!$D$3:$D$152,"&lt;="&amp;DATE(2024,9,30),'2024数据'!$AL$3:$AL$152,$E36,'2024数据'!$B$3:$B$152,'2024整理'!$E192)/10000</f>
        <v>0.012873</v>
      </c>
      <c r="O217" s="123">
        <f>SUMIFS('2024数据'!$AM$3:$AM$152,'2024数据'!$D$3:$D$152,"&gt;="&amp;DATE(2024,10,1),'2024数据'!$D$3:$D$152,"&lt;="&amp;DATE(2024,10,31),'2024数据'!$AL$3:$AL$152,$E36,'2024数据'!$B$3:$B$152,'2024整理'!$E192)/10000</f>
        <v>0</v>
      </c>
      <c r="P217" s="123">
        <f>SUMIFS('2024数据'!$AM$3:$AM$152,'2024数据'!$D$3:$D$152,"&gt;="&amp;DATE(2024,11,1),'2024数据'!$D$3:$D$152,"&lt;="&amp;DATE(2024,11,30),'2024数据'!$AL$3:$AL$152,$E36,'2024数据'!$B$3:$B$152,'2024整理'!$E192)/10000</f>
        <v>0</v>
      </c>
      <c r="Q217" s="123">
        <f>SUMIFS('2024数据'!$AM$3:$AM$152,'2024数据'!$D$3:$D$152,"&gt;="&amp;DATE(2024,12,1),'2024数据'!$D$3:$D$152,"&lt;="&amp;DATE(2024,12,31),'2024数据'!$AL$3:$AL$152,$E36,'2024数据'!$B$3:$B$152,'2024整理'!$E192)/10000</f>
        <v>0</v>
      </c>
    </row>
    <row r="218" ht="24" customHeight="1" spans="1:17">
      <c r="A218" s="99" t="s">
        <v>289</v>
      </c>
      <c r="B218" s="99" t="s">
        <v>299</v>
      </c>
      <c r="C218" s="99" t="s">
        <v>333</v>
      </c>
      <c r="D218" s="53" t="s">
        <v>304</v>
      </c>
      <c r="E218" s="53" t="s">
        <v>96</v>
      </c>
      <c r="F218" s="123">
        <f>SUMIFS('2024数据'!$AM$3:$AM$152,'2024数据'!$D$3:$D$152,"&gt;="&amp;DATE(2024,1,1),'2024数据'!$D$3:$D$152,"&lt;="&amp;DATE(2024,1,31),'2024数据'!$AL$3:$AL$152,$E36,'2024数据'!$B$3:$B$152,'2024整理'!$E193)/10000</f>
        <v>0</v>
      </c>
      <c r="G218" s="123">
        <f>SUMIFS('2024数据'!$AM$3:$AM$152,'2024数据'!$D$3:$D$152,"&gt;="&amp;DATE(2024,2,1),'2024数据'!$D$3:$D$152,"&lt;="&amp;DATE(2024,2,29),'2024数据'!$AL$3:$AL$152,$E36,'2024数据'!$B$3:$B$152,'2024整理'!$E193)/10000</f>
        <v>0</v>
      </c>
      <c r="H218" s="123">
        <f>SUMIFS('2024数据'!$AM$3:$AM$152,'2024数据'!$D$3:$D$152,"&gt;="&amp;DATE(2024,3,1),'2024数据'!$D$3:$D$152,"&lt;="&amp;DATE(2024,3,31),'2024数据'!$AL$3:$AL$152,$E36,'2024数据'!$B$3:$B$152,'2024整理'!$E193)/10000</f>
        <v>0</v>
      </c>
      <c r="I218" s="123">
        <f>SUMIFS('2024数据'!$AM$3:$AM$152,'2024数据'!$D$3:$D$152,"&gt;="&amp;DATE(2024,4,1),'2024数据'!$D$3:$D$152,"&lt;="&amp;DATE(2024,4,30),'2024数据'!$AL$3:$AL$152,$E36,'2024数据'!$B$3:$B$152,'2024整理'!$E193)/10000</f>
        <v>0</v>
      </c>
      <c r="J218" s="123">
        <f>SUMIFS('2024数据'!$AM$3:$AM$152,'2024数据'!$D$3:$D$152,"&gt;="&amp;DATE(2024,5,1),'2024数据'!$D$3:$D$152,"&lt;="&amp;DATE(2024,5,31),'2024数据'!$AL$3:$AL$152,$E36,'2024数据'!$B$3:$B$152,'2024整理'!$E193)/10000</f>
        <v>0</v>
      </c>
      <c r="K218" s="123">
        <f>SUMIFS('2024数据'!$AM$3:$AM$152,'2024数据'!$D$3:$D$152,"&gt;="&amp;DATE(2024,6,1),'2024数据'!$D$3:$D$152,"&lt;="&amp;DATE(2024,6,30),'2024数据'!$AL$3:$AL$152,$E36,'2024数据'!$B$3:$B$152,'2024整理'!$E193)/10000</f>
        <v>0</v>
      </c>
      <c r="L218" s="123">
        <f>SUMIFS('2024数据'!$AM$3:$AM$152,'2024数据'!$D$3:$D$152,"&gt;="&amp;DATE(2024,7,1),'2024数据'!$D$3:$D$152,"&lt;="&amp;DATE(2024,7,31),'2024数据'!$AL$3:$AL$152,$E36,'2024数据'!$B$3:$B$152,'2024整理'!$E193)/10000</f>
        <v>0</v>
      </c>
      <c r="M218" s="123">
        <f>SUMIFS('2024数据'!$AM$3:$AM$152,'2024数据'!$D$3:$D$152,"&gt;="&amp;DATE(2024,8,1),'2024数据'!$D$3:$D$152,"&lt;="&amp;DATE(2024,8,31),'2024数据'!$AL$3:$AL$152,$E36,'2024数据'!$B$3:$B$152,'2024整理'!$E193)/10000</f>
        <v>0</v>
      </c>
      <c r="N218" s="123">
        <f>SUMIFS('2024数据'!$AM$3:$AM$152,'2024数据'!$D$3:$D$152,"&gt;="&amp;DATE(2024,9,1),'2024数据'!$D$3:$D$152,"&lt;="&amp;DATE(2024,9,30),'2024数据'!$AL$3:$AL$152,$E36,'2024数据'!$B$3:$B$152,'2024整理'!$E193)/10000</f>
        <v>0</v>
      </c>
      <c r="O218" s="123">
        <f>SUMIFS('2024数据'!$AM$3:$AM$152,'2024数据'!$D$3:$D$152,"&gt;="&amp;DATE(2024,10,1),'2024数据'!$D$3:$D$152,"&lt;="&amp;DATE(2024,10,31),'2024数据'!$AL$3:$AL$152,$E36,'2024数据'!$B$3:$B$152,'2024整理'!$E193)/10000</f>
        <v>0</v>
      </c>
      <c r="P218" s="123">
        <f>SUMIFS('2024数据'!$AM$3:$AM$152,'2024数据'!$D$3:$D$152,"&gt;="&amp;DATE(2024,11,1),'2024数据'!$D$3:$D$152,"&lt;="&amp;DATE(2024,11,30),'2024数据'!$AL$3:$AL$152,$E36,'2024数据'!$B$3:$B$152,'2024整理'!$E193)/10000</f>
        <v>0</v>
      </c>
      <c r="Q218" s="123">
        <f>SUMIFS('2024数据'!$AM$3:$AM$152,'2024数据'!$D$3:$D$152,"&gt;="&amp;DATE(2024,12,1),'2024数据'!$D$3:$D$152,"&lt;="&amp;DATE(2024,12,31),'2024数据'!$AL$3:$AL$152,$E36,'2024数据'!$B$3:$B$152,'2024整理'!$E193)/10000</f>
        <v>0</v>
      </c>
    </row>
    <row r="219" ht="24" customHeight="1" spans="1:17">
      <c r="A219" s="99" t="s">
        <v>289</v>
      </c>
      <c r="B219" s="99" t="s">
        <v>299</v>
      </c>
      <c r="C219" s="99" t="s">
        <v>333</v>
      </c>
      <c r="D219" s="53" t="s">
        <v>304</v>
      </c>
      <c r="E219" s="53" t="s">
        <v>160</v>
      </c>
      <c r="F219" s="123">
        <f t="shared" ref="F219:Q219" si="143">F208-SUM(F215:F218)</f>
        <v>0</v>
      </c>
      <c r="G219" s="123">
        <f t="shared" si="143"/>
        <v>0</v>
      </c>
      <c r="H219" s="123">
        <f t="shared" si="143"/>
        <v>0</v>
      </c>
      <c r="I219" s="123">
        <f t="shared" si="143"/>
        <v>0</v>
      </c>
      <c r="J219" s="123">
        <f t="shared" si="143"/>
        <v>0</v>
      </c>
      <c r="K219" s="123">
        <f t="shared" si="143"/>
        <v>0</v>
      </c>
      <c r="L219" s="123">
        <f t="shared" si="143"/>
        <v>0</v>
      </c>
      <c r="M219" s="123">
        <f t="shared" si="143"/>
        <v>0</v>
      </c>
      <c r="N219" s="123">
        <f t="shared" si="143"/>
        <v>0</v>
      </c>
      <c r="O219" s="123">
        <f t="shared" si="143"/>
        <v>0</v>
      </c>
      <c r="P219" s="123">
        <f t="shared" si="143"/>
        <v>0</v>
      </c>
      <c r="Q219" s="123">
        <f t="shared" si="143"/>
        <v>0</v>
      </c>
    </row>
    <row r="220" ht="24" customHeight="1" spans="1:17">
      <c r="A220" s="99" t="s">
        <v>289</v>
      </c>
      <c r="B220" s="99" t="s">
        <v>299</v>
      </c>
      <c r="C220" s="99" t="s">
        <v>336</v>
      </c>
      <c r="D220" s="114" t="s">
        <v>292</v>
      </c>
      <c r="E220" s="122" t="s">
        <v>337</v>
      </c>
      <c r="F220" s="124">
        <f>SUMIFS('2024数据'!$AM$3:$AM$152,'2024数据'!$D$3:$D$152,"&gt;="&amp;DATE(2024,1,1),'2024数据'!$D$3:$D$152,"&lt;="&amp;DATE(2024,1,31),'2024数据'!$AL$3:$AL$152,$E35)/10000</f>
        <v>0.312457</v>
      </c>
      <c r="G220" s="124">
        <f>SUMIFS('2024数据'!$AM$3:$AM$152,'2024数据'!$D$3:$D$152,"&gt;="&amp;DATE(2024,2,1),'2024数据'!$D$3:$D$152,"&lt;="&amp;DATE(2024,2,29),'2024数据'!$AL$3:$AL$152,$E35)/10000</f>
        <v>0</v>
      </c>
      <c r="H220" s="124">
        <f>SUMIFS('2024数据'!$AM$3:$AM$152,'2024数据'!$D$3:$D$152,"&gt;="&amp;DATE(2024,3,1),'2024数据'!$D$3:$D$152,"&lt;="&amp;DATE(2024,3,31),'2024数据'!$AL$3:$AL$152,$E35)/10000</f>
        <v>0</v>
      </c>
      <c r="I220" s="124">
        <f>SUMIFS('2024数据'!$AM$3:$AM$152,'2024数据'!$D$3:$D$152,"&gt;="&amp;DATE(2024,4,1),'2024数据'!$D$3:$D$152,"&lt;="&amp;DATE(2024,4,30),'2024数据'!$AL$3:$AL$152,$E35)/10000</f>
        <v>0.2002466454</v>
      </c>
      <c r="J220" s="124">
        <f>SUMIFS('2024数据'!$AM$3:$AM$152,'2024数据'!$D$3:$D$152,"&gt;="&amp;DATE(2024,5,1),'2024数据'!$D$3:$D$152,"&lt;="&amp;DATE(2024,5,31),'2024数据'!$AL$3:$AL$152,$E35)/10000</f>
        <v>0.961875</v>
      </c>
      <c r="K220" s="124">
        <f>SUMIFS('2024数据'!$AM$3:$AM$152,'2024数据'!$D$3:$D$152,"&gt;="&amp;DATE(2024,6,1),'2024数据'!$D$3:$D$152,"&lt;="&amp;DATE(2024,6,30),'2024数据'!$AL$3:$AL$152,$E35)/10000</f>
        <v>0.138816</v>
      </c>
      <c r="L220" s="124">
        <f>SUMIFS('2024数据'!$AM$3:$AM$152,'2024数据'!$D$3:$D$152,"&gt;="&amp;DATE(2024,7,1),'2024数据'!$D$3:$D$152,"&lt;="&amp;DATE(2024,7,31),'2024数据'!$AL$3:$AL$152,$E35)/10000</f>
        <v>0.104414</v>
      </c>
      <c r="M220" s="124">
        <f>SUMIFS('2024数据'!$AM$3:$AM$152,'2024数据'!$D$3:$D$152,"&gt;="&amp;DATE(2024,8,1),'2024数据'!$D$3:$D$152,"&lt;="&amp;DATE(2024,8,31),'2024数据'!$AL$3:$AL$152,$E35)/10000</f>
        <v>0.112294</v>
      </c>
      <c r="N220" s="124">
        <f>SUMIFS('2024数据'!$AM$3:$AM$152,'2024数据'!$D$3:$D$152,"&gt;="&amp;DATE(2024,9,1),'2024数据'!$D$3:$D$152,"&lt;="&amp;DATE(2024,9,30),'2024数据'!$AL$3:$AL$152,$E35)/10000</f>
        <v>0.041268</v>
      </c>
      <c r="O220" s="124">
        <f>SUMIFS('2024数据'!$AM$3:$AM$152,'2024数据'!$D$3:$D$152,"&gt;="&amp;DATE(2024,10,1),'2024数据'!$D$3:$D$152,"&lt;="&amp;DATE(2024,10,31),'2024数据'!$AL$3:$AL$152,$E35)/10000</f>
        <v>0.05388</v>
      </c>
      <c r="P220" s="124">
        <f>SUMIFS('2024数据'!$AM$3:$AM$152,'2024数据'!$D$3:$D$152,"&gt;="&amp;DATE(2024,11,1),'2024数据'!$D$3:$D$152,"&lt;="&amp;DATE(2024,11,30),'2024数据'!$AL$3:$AL$152,$E35)/10000</f>
        <v>0.272221</v>
      </c>
      <c r="Q220" s="124">
        <f>SUMIFS('2024数据'!$AM$3:$AM$152,'2024数据'!$D$3:$D$152,"&gt;="&amp;DATE(2024,12,1),'2024数据'!$D$3:$D$152,"&lt;="&amp;DATE(2024,12,31),'2024数据'!$AL$3:$AL$152,$E35)/10000</f>
        <v>0.217011</v>
      </c>
    </row>
    <row r="221" ht="24" customHeight="1" spans="1:17">
      <c r="A221" s="99" t="s">
        <v>289</v>
      </c>
      <c r="B221" s="99" t="s">
        <v>299</v>
      </c>
      <c r="C221" s="99" t="s">
        <v>336</v>
      </c>
      <c r="D221" s="114" t="s">
        <v>292</v>
      </c>
      <c r="E221" s="122" t="s">
        <v>338</v>
      </c>
      <c r="F221" s="124">
        <f>SUMIFS('2024数据'!$AM$3:$AM$152,'2024数据'!$D$3:$D$152,"&gt;="&amp;DATE(2024,1,1),'2024数据'!$D$3:$D$152,"&lt;="&amp;DATE(2024,1,31),'2024数据'!$AL$3:$AL$152,$E36)/10000</f>
        <v>0.039611</v>
      </c>
      <c r="G221" s="124">
        <f>SUMIFS('2024数据'!$AM$3:$AM$152,'2024数据'!$D$3:$D$152,"&gt;="&amp;DATE(2024,2,1),'2024数据'!$D$3:$D$152,"&lt;="&amp;DATE(2024,2,29),'2024数据'!$AL$3:$AL$152,$E36)/10000</f>
        <v>0.26261</v>
      </c>
      <c r="H221" s="124">
        <f>SUMIFS('2024数据'!$AM$3:$AM$152,'2024数据'!$D$3:$D$152,"&gt;="&amp;DATE(2024,3,1),'2024数据'!$D$3:$D$152,"&lt;="&amp;DATE(2024,3,31),'2024数据'!$AL$3:$AL$152,$E36)/10000</f>
        <v>0.35404</v>
      </c>
      <c r="I221" s="124">
        <f>SUMIFS('2024数据'!$AM$3:$AM$152,'2024数据'!$D$3:$D$152,"&gt;="&amp;DATE(2024,4,1),'2024数据'!$D$3:$D$152,"&lt;="&amp;DATE(2024,4,30),'2024数据'!$AL$3:$AL$152,$E36)/10000</f>
        <v>0.025956</v>
      </c>
      <c r="J221" s="124">
        <f>SUMIFS('2024数据'!$AM$3:$AM$152,'2024数据'!$D$3:$D$152,"&gt;="&amp;DATE(2024,5,1),'2024数据'!$D$3:$D$152,"&lt;="&amp;DATE(2024,5,31),'2024数据'!$AL$3:$AL$152,$E36)/10000</f>
        <v>0.815051997800003</v>
      </c>
      <c r="K221" s="124">
        <f>SUMIFS('2024数据'!$AM$3:$AM$152,'2024数据'!$D$3:$D$152,"&gt;="&amp;DATE(2024,6,1),'2024数据'!$D$3:$D$152,"&lt;="&amp;DATE(2024,6,30),'2024数据'!$AL$3:$AL$152,$E36)/10000</f>
        <v>0.00909300000000003</v>
      </c>
      <c r="L221" s="124">
        <f>SUMIFS('2024数据'!$AM$3:$AM$152,'2024数据'!$D$3:$D$152,"&gt;="&amp;DATE(2024,7,1),'2024数据'!$D$3:$D$152,"&lt;="&amp;DATE(2024,7,31),'2024数据'!$AL$3:$AL$152,$E36)/10000</f>
        <v>0.0224710000000001</v>
      </c>
      <c r="M221" s="124">
        <f>SUMIFS('2024数据'!$AM$3:$AM$152,'2024数据'!$D$3:$D$152,"&gt;="&amp;DATE(2024,8,1),'2024数据'!$D$3:$D$152,"&lt;="&amp;DATE(2024,8,31),'2024数据'!$AL$3:$AL$152,$E36)/10000</f>
        <v>0.156084</v>
      </c>
      <c r="N221" s="124">
        <f>SUMIFS('2024数据'!$AM$3:$AM$152,'2024数据'!$D$3:$D$152,"&gt;="&amp;DATE(2024,9,1),'2024数据'!$D$3:$D$152,"&lt;="&amp;DATE(2024,9,30),'2024数据'!$AL$3:$AL$152,$E36)/10000</f>
        <v>0.0247330000000001</v>
      </c>
      <c r="O221" s="124">
        <f>SUMIFS('2024数据'!$AM$3:$AM$152,'2024数据'!$D$3:$D$152,"&gt;="&amp;DATE(2024,10,1),'2024数据'!$D$3:$D$152,"&lt;="&amp;DATE(2024,10,31),'2024数据'!$AL$3:$AL$152,$E36)/10000</f>
        <v>0</v>
      </c>
      <c r="P221" s="124">
        <f>SUMIFS('2024数据'!$AM$3:$AM$152,'2024数据'!$D$3:$D$152,"&gt;="&amp;DATE(2024,11,1),'2024数据'!$D$3:$D$152,"&lt;="&amp;DATE(2024,11,30),'2024数据'!$AL$3:$AL$152,$E36)/10000</f>
        <v>0</v>
      </c>
      <c r="Q221" s="124">
        <f>SUMIFS('2024数据'!$AM$3:$AM$152,'2024数据'!$D$3:$D$152,"&gt;="&amp;DATE(2024,12,1),'2024数据'!$D$3:$D$152,"&lt;="&amp;DATE(2024,12,31),'2024数据'!$AL$3:$AL$152,$E36)/10000</f>
        <v>0.0695290000000002</v>
      </c>
    </row>
    <row r="222" ht="24" customHeight="1" spans="1:17">
      <c r="A222" s="99" t="s">
        <v>289</v>
      </c>
      <c r="B222" s="99" t="s">
        <v>299</v>
      </c>
      <c r="C222" s="99" t="s">
        <v>336</v>
      </c>
      <c r="D222" s="114" t="s">
        <v>292</v>
      </c>
      <c r="E222" s="122" t="s">
        <v>339</v>
      </c>
      <c r="F222" s="124">
        <f>SUMIFS('2024数据'!$AM$3:$AM$152,'2024数据'!$D$3:$D$152,"&gt;="&amp;DATE(2024,1,1),'2024数据'!$D$3:$D$152,"&lt;="&amp;DATE(2024,1,31),'2024数据'!$AL$3:$AL$152,$E37)/10000</f>
        <v>0</v>
      </c>
      <c r="G222" s="124">
        <f>SUMIFS('2024数据'!$AM$3:$AM$152,'2024数据'!$D$3:$D$152,"&gt;="&amp;DATE(2024,2,1),'2024数据'!$D$3:$D$152,"&lt;="&amp;DATE(2024,2,29),'2024数据'!$AL$3:$AL$152,$E37)/10000</f>
        <v>0</v>
      </c>
      <c r="H222" s="124">
        <f>SUMIFS('2024数据'!$AM$3:$AM$152,'2024数据'!$D$3:$D$152,"&gt;="&amp;DATE(2024,3,1),'2024数据'!$D$3:$D$152,"&lt;="&amp;DATE(2024,3,31),'2024数据'!$AL$3:$AL$152,$E37)/10000</f>
        <v>0</v>
      </c>
      <c r="I222" s="124">
        <f>SUMIFS('2024数据'!$AM$3:$AM$152,'2024数据'!$D$3:$D$152,"&gt;="&amp;DATE(2024,4,1),'2024数据'!$D$3:$D$152,"&lt;="&amp;DATE(2024,4,30),'2024数据'!$AL$3:$AL$152,$E37)/10000</f>
        <v>0</v>
      </c>
      <c r="J222" s="124">
        <f>SUMIFS('2024数据'!$AM$3:$AM$152,'2024数据'!$D$3:$D$152,"&gt;="&amp;DATE(2024,5,1),'2024数据'!$D$3:$D$152,"&lt;="&amp;DATE(2024,5,31),'2024数据'!$AL$3:$AL$152,$E37)/10000</f>
        <v>0</v>
      </c>
      <c r="K222" s="124">
        <f>SUMIFS('2024数据'!$AM$3:$AM$152,'2024数据'!$D$3:$D$152,"&gt;="&amp;DATE(2024,6,1),'2024数据'!$D$3:$D$152,"&lt;="&amp;DATE(2024,6,30),'2024数据'!$AL$3:$AL$152,$E37)/10000</f>
        <v>0</v>
      </c>
      <c r="L222" s="124">
        <f>SUMIFS('2024数据'!$AM$3:$AM$152,'2024数据'!$D$3:$D$152,"&gt;="&amp;DATE(2024,7,1),'2024数据'!$D$3:$D$152,"&lt;="&amp;DATE(2024,7,31),'2024数据'!$AL$3:$AL$152,$E37)/10000</f>
        <v>0</v>
      </c>
      <c r="M222" s="124">
        <f>SUMIFS('2024数据'!$AM$3:$AM$152,'2024数据'!$D$3:$D$152,"&gt;="&amp;DATE(2024,8,1),'2024数据'!$D$3:$D$152,"&lt;="&amp;DATE(2024,8,31),'2024数据'!$AL$3:$AL$152,$E37)/10000</f>
        <v>0</v>
      </c>
      <c r="N222" s="124">
        <f>SUMIFS('2024数据'!$AM$3:$AM$152,'2024数据'!$D$3:$D$152,"&gt;="&amp;DATE(2024,9,1),'2024数据'!$D$3:$D$152,"&lt;="&amp;DATE(2024,9,30),'2024数据'!$AL$3:$AL$152,$E37)/10000</f>
        <v>0</v>
      </c>
      <c r="O222" s="124">
        <f>SUMIFS('2024数据'!$AM$3:$AM$152,'2024数据'!$D$3:$D$152,"&gt;="&amp;DATE(2024,10,1),'2024数据'!$D$3:$D$152,"&lt;="&amp;DATE(2024,10,31),'2024数据'!$AL$3:$AL$152,$E37)/10000</f>
        <v>0</v>
      </c>
      <c r="P222" s="124">
        <f>SUMIFS('2024数据'!$AM$3:$AM$152,'2024数据'!$D$3:$D$152,"&gt;="&amp;DATE(2024,11,1),'2024数据'!$D$3:$D$152,"&lt;="&amp;DATE(2024,11,30),'2024数据'!$AL$3:$AL$152,$E37)/10000</f>
        <v>0</v>
      </c>
      <c r="Q222" s="124">
        <f>SUMIFS('2024数据'!$AM$3:$AM$152,'2024数据'!$D$3:$D$152,"&gt;="&amp;DATE(2024,12,1),'2024数据'!$D$3:$D$152,"&lt;="&amp;DATE(2024,12,31),'2024数据'!$AL$3:$AL$152,$E37)/10000</f>
        <v>0</v>
      </c>
    </row>
    <row r="223" ht="24" customHeight="1" spans="1:17">
      <c r="A223" s="99" t="s">
        <v>289</v>
      </c>
      <c r="B223" s="99" t="s">
        <v>299</v>
      </c>
      <c r="C223" s="99" t="s">
        <v>336</v>
      </c>
      <c r="D223" s="122" t="s">
        <v>303</v>
      </c>
      <c r="E223" s="122" t="s">
        <v>93</v>
      </c>
      <c r="F223" s="124">
        <f>SUMIFS('2024数据'!$AM$3:$AM$152,'2024数据'!$D$3:$D$152,"&gt;="&amp;DATE(2024,1,1),'2024数据'!$D$3:$D$152,"&lt;="&amp;DATE(2024,1,31),'2024数据'!$AL$3:$AL$152,$E35,'2024数据'!$B$3:$B$152,'2024整理'!$E202)/10000</f>
        <v>0.210536</v>
      </c>
      <c r="G223" s="124">
        <f>SUMIFS('2024数据'!$AM$3:$AM$152,'2024数据'!$D$3:$D$152,"&gt;="&amp;DATE(2024,2,1),'2024数据'!$D$3:$D$152,"&lt;="&amp;DATE(2024,2,29),'2024数据'!$AL$3:$AL$152,$E35,'2024数据'!$B$3:$B$152,'2024整理'!$E202)/10000</f>
        <v>0</v>
      </c>
      <c r="H223" s="124">
        <f>SUMIFS('2024数据'!$AM$3:$AM$152,'2024数据'!$D$3:$D$152,"&gt;="&amp;DATE(2024,3,1),'2024数据'!$D$3:$D$152,"&lt;="&amp;DATE(2024,3,31),'2024数据'!$AL$3:$AL$152,$E35,'2024数据'!$B$3:$B$152,'2024整理'!$E202)/10000</f>
        <v>0</v>
      </c>
      <c r="I223" s="124">
        <f>SUMIFS('2024数据'!$AM$3:$AM$152,'2024数据'!$D$3:$D$152,"&gt;="&amp;DATE(2024,4,1),'2024数据'!$D$3:$D$152,"&lt;="&amp;DATE(2024,4,30),'2024数据'!$AL$3:$AL$152,$E35,'2024数据'!$B$3:$B$152,'2024整理'!$E202)/10000</f>
        <v>0.000386000000000058</v>
      </c>
      <c r="J223" s="124">
        <f>SUMIFS('2024数据'!$AM$3:$AM$152,'2024数据'!$D$3:$D$152,"&gt;="&amp;DATE(2024,5,1),'2024数据'!$D$3:$D$152,"&lt;="&amp;DATE(2024,5,31),'2024数据'!$AL$3:$AL$152,$E35,'2024数据'!$B$3:$B$152,'2024整理'!$E202)/10000</f>
        <v>0.240052</v>
      </c>
      <c r="K223" s="124">
        <f>SUMIFS('2024数据'!$AM$3:$AM$152,'2024数据'!$D$3:$D$152,"&gt;="&amp;DATE(2024,6,1),'2024数据'!$D$3:$D$152,"&lt;="&amp;DATE(2024,6,30),'2024数据'!$AL$3:$AL$152,$E35,'2024数据'!$B$3:$B$152,'2024整理'!$E202)/10000</f>
        <v>0</v>
      </c>
      <c r="L223" s="124">
        <f>SUMIFS('2024数据'!$AM$3:$AM$152,'2024数据'!$D$3:$D$152,"&gt;="&amp;DATE(2024,7,1),'2024数据'!$D$3:$D$152,"&lt;="&amp;DATE(2024,7,31),'2024数据'!$AL$3:$AL$152,$E35,'2024数据'!$B$3:$B$152,'2024整理'!$E202)/10000</f>
        <v>0.104414</v>
      </c>
      <c r="M223" s="124">
        <f>SUMIFS('2024数据'!$AM$3:$AM$152,'2024数据'!$D$3:$D$152,"&gt;="&amp;DATE(2024,8,1),'2024数据'!$D$3:$D$152,"&lt;="&amp;DATE(2024,8,31),'2024数据'!$AL$3:$AL$152,$E35,'2024数据'!$B$3:$B$152,'2024整理'!$E202)/10000</f>
        <v>0.098123</v>
      </c>
      <c r="N223" s="124">
        <f>SUMIFS('2024数据'!$AM$3:$AM$152,'2024数据'!$D$3:$D$152,"&gt;="&amp;DATE(2024,9,1),'2024数据'!$D$3:$D$152,"&lt;="&amp;DATE(2024,9,30),'2024数据'!$AL$3:$AL$152,$E35,'2024数据'!$B$3:$B$152,'2024整理'!$E202)/10000</f>
        <v>0.037682</v>
      </c>
      <c r="O223" s="124">
        <f>SUMIFS('2024数据'!$AM$3:$AM$152,'2024数据'!$D$3:$D$152,"&gt;="&amp;DATE(2024,10,1),'2024数据'!$D$3:$D$152,"&lt;="&amp;DATE(2024,10,31),'2024数据'!$AL$3:$AL$152,$E35,'2024数据'!$B$3:$B$152,'2024整理'!$E202)/10000</f>
        <v>0</v>
      </c>
      <c r="P223" s="124">
        <f>SUMIFS('2024数据'!$AM$3:$AM$152,'2024数据'!$D$3:$D$152,"&gt;="&amp;DATE(2024,11,1),'2024数据'!$D$3:$D$152,"&lt;="&amp;DATE(2024,11,30),'2024数据'!$AL$3:$AL$152,$E35,'2024数据'!$B$3:$B$152,'2024整理'!$E202)/10000</f>
        <v>0.0351449999999999</v>
      </c>
      <c r="Q223" s="124">
        <f>SUMIFS('2024数据'!$AM$3:$AM$152,'2024数据'!$D$3:$D$152,"&gt;="&amp;DATE(2024,12,1),'2024数据'!$D$3:$D$152,"&lt;="&amp;DATE(2024,12,31),'2024数据'!$AL$3:$AL$152,$E35,'2024数据'!$B$3:$B$152,'2024整理'!$E202)/10000</f>
        <v>0</v>
      </c>
    </row>
    <row r="224" ht="24" customHeight="1" spans="1:17">
      <c r="A224" s="99" t="s">
        <v>289</v>
      </c>
      <c r="B224" s="99" t="s">
        <v>299</v>
      </c>
      <c r="C224" s="99" t="s">
        <v>336</v>
      </c>
      <c r="D224" s="122" t="s">
        <v>303</v>
      </c>
      <c r="E224" s="122" t="s">
        <v>85</v>
      </c>
      <c r="F224" s="124">
        <f>SUMIFS('2024数据'!$AM$3:$AM$152,'2024数据'!$D$3:$D$152,"&gt;="&amp;DATE(2024,1,1),'2024数据'!$D$3:$D$152,"&lt;="&amp;DATE(2024,1,31),'2024数据'!$AL$3:$AL$152,$E35,'2024数据'!$B$3:$B$152,'2024整理'!$E203)/10000</f>
        <v>0.057962</v>
      </c>
      <c r="G224" s="124">
        <f>SUMIFS('2024数据'!$AM$3:$AM$152,'2024数据'!$D$3:$D$152,"&gt;="&amp;DATE(2024,2,1),'2024数据'!$D$3:$D$152,"&lt;="&amp;DATE(2024,2,29),'2024数据'!$AL$3:$AL$152,$E35,'2024数据'!$B$3:$B$152,'2024整理'!$E203)/10000</f>
        <v>0</v>
      </c>
      <c r="H224" s="124">
        <f>SUMIFS('2024数据'!$AM$3:$AM$152,'2024数据'!$D$3:$D$152,"&gt;="&amp;DATE(2024,3,1),'2024数据'!$D$3:$D$152,"&lt;="&amp;DATE(2024,3,31),'2024数据'!$AL$3:$AL$152,$E35,'2024数据'!$B$3:$B$152,'2024整理'!$E203)/10000</f>
        <v>0</v>
      </c>
      <c r="I224" s="124">
        <f>SUMIFS('2024数据'!$AM$3:$AM$152,'2024数据'!$D$3:$D$152,"&gt;="&amp;DATE(2024,4,1),'2024数据'!$D$3:$D$152,"&lt;="&amp;DATE(2024,4,30),'2024数据'!$AL$3:$AL$152,$E35,'2024数据'!$B$3:$B$152,'2024整理'!$E203)/10000</f>
        <v>0</v>
      </c>
      <c r="J224" s="124">
        <f>SUMIFS('2024数据'!$AM$3:$AM$152,'2024数据'!$D$3:$D$152,"&gt;="&amp;DATE(2024,5,1),'2024数据'!$D$3:$D$152,"&lt;="&amp;DATE(2024,5,31),'2024数据'!$AL$3:$AL$152,$E35,'2024数据'!$B$3:$B$152,'2024整理'!$E203)/10000</f>
        <v>0.721823</v>
      </c>
      <c r="K224" s="124">
        <f>SUMIFS('2024数据'!$AM$3:$AM$152,'2024数据'!$D$3:$D$152,"&gt;="&amp;DATE(2024,6,1),'2024数据'!$D$3:$D$152,"&lt;="&amp;DATE(2024,6,30),'2024数据'!$AL$3:$AL$152,$E35,'2024数据'!$B$3:$B$152,'2024整理'!$E203)/10000</f>
        <v>0.024173</v>
      </c>
      <c r="L224" s="124">
        <f>SUMIFS('2024数据'!$AM$3:$AM$152,'2024数据'!$D$3:$D$152,"&gt;="&amp;DATE(2024,7,1),'2024数据'!$D$3:$D$152,"&lt;="&amp;DATE(2024,7,31),'2024数据'!$AL$3:$AL$152,$E35,'2024数据'!$B$3:$B$152,'2024整理'!$E203)/10000</f>
        <v>0</v>
      </c>
      <c r="M224" s="124">
        <f>SUMIFS('2024数据'!$AM$3:$AM$152,'2024数据'!$D$3:$D$152,"&gt;="&amp;DATE(2024,8,1),'2024数据'!$D$3:$D$152,"&lt;="&amp;DATE(2024,8,31),'2024数据'!$AL$3:$AL$152,$E35,'2024数据'!$B$3:$B$152,'2024整理'!$E203)/10000</f>
        <v>0.014171</v>
      </c>
      <c r="N224" s="124">
        <f>SUMIFS('2024数据'!$AM$3:$AM$152,'2024数据'!$D$3:$D$152,"&gt;="&amp;DATE(2024,9,1),'2024数据'!$D$3:$D$152,"&lt;="&amp;DATE(2024,9,30),'2024数据'!$AL$3:$AL$152,$E35,'2024数据'!$B$3:$B$152,'2024整理'!$E203)/10000</f>
        <v>0.003586</v>
      </c>
      <c r="O224" s="124">
        <f>SUMIFS('2024数据'!$AM$3:$AM$152,'2024数据'!$D$3:$D$152,"&gt;="&amp;DATE(2024,10,1),'2024数据'!$D$3:$D$152,"&lt;="&amp;DATE(2024,10,31),'2024数据'!$AL$3:$AL$152,$E35,'2024数据'!$B$3:$B$152,'2024整理'!$E203)/10000</f>
        <v>0.016831</v>
      </c>
      <c r="P224" s="124">
        <f>SUMIFS('2024数据'!$AM$3:$AM$152,'2024数据'!$D$3:$D$152,"&gt;="&amp;DATE(2024,11,1),'2024数据'!$D$3:$D$152,"&lt;="&amp;DATE(2024,11,30),'2024数据'!$AL$3:$AL$152,$E35,'2024数据'!$B$3:$B$152,'2024整理'!$E203)/10000</f>
        <v>0</v>
      </c>
      <c r="Q224" s="124">
        <f>SUMIFS('2024数据'!$AM$3:$AM$152,'2024数据'!$D$3:$D$152,"&gt;="&amp;DATE(2024,12,1),'2024数据'!$D$3:$D$152,"&lt;="&amp;DATE(2024,12,31),'2024数据'!$AL$3:$AL$152,$E35,'2024数据'!$B$3:$B$152,'2024整理'!$E203)/10000</f>
        <v>0.217011</v>
      </c>
    </row>
    <row r="225" ht="24" customHeight="1" spans="1:17">
      <c r="A225" s="99" t="s">
        <v>289</v>
      </c>
      <c r="B225" s="99" t="s">
        <v>299</v>
      </c>
      <c r="C225" s="99" t="s">
        <v>336</v>
      </c>
      <c r="D225" s="122" t="s">
        <v>303</v>
      </c>
      <c r="E225" s="122" t="s">
        <v>81</v>
      </c>
      <c r="F225" s="124">
        <f>SUMIFS('2024数据'!$AM$3:$AM$152,'2024数据'!$D$3:$D$152,"&gt;="&amp;DATE(2024,1,1),'2024数据'!$D$3:$D$152,"&lt;="&amp;DATE(2024,1,31),'2024数据'!$AL$3:$AL$152,$E35,'2024数据'!$B$3:$B$152,'2024整理'!$E204)/10000</f>
        <v>0.043959</v>
      </c>
      <c r="G225" s="124">
        <f>SUMIFS('2024数据'!$AM$3:$AM$152,'2024数据'!$D$3:$D$152,"&gt;="&amp;DATE(2024,2,1),'2024数据'!$D$3:$D$152,"&lt;="&amp;DATE(2024,2,29),'2024数据'!$AL$3:$AL$152,$E35,'2024数据'!$B$3:$B$152,'2024整理'!$E204)/10000</f>
        <v>0</v>
      </c>
      <c r="H225" s="124">
        <f>SUMIFS('2024数据'!$AM$3:$AM$152,'2024数据'!$D$3:$D$152,"&gt;="&amp;DATE(2024,3,1),'2024数据'!$D$3:$D$152,"&lt;="&amp;DATE(2024,3,31),'2024数据'!$AL$3:$AL$152,$E35,'2024数据'!$B$3:$B$152,'2024整理'!$E204)/10000</f>
        <v>0</v>
      </c>
      <c r="I225" s="124">
        <f>SUMIFS('2024数据'!$AM$3:$AM$152,'2024数据'!$D$3:$D$152,"&gt;="&amp;DATE(2024,4,1),'2024数据'!$D$3:$D$152,"&lt;="&amp;DATE(2024,4,30),'2024数据'!$AL$3:$AL$152,$E35,'2024数据'!$B$3:$B$152,'2024整理'!$E204)/10000</f>
        <v>0.1998606454</v>
      </c>
      <c r="J225" s="124">
        <f>SUMIFS('2024数据'!$AM$3:$AM$152,'2024数据'!$D$3:$D$152,"&gt;="&amp;DATE(2024,5,1),'2024数据'!$D$3:$D$152,"&lt;="&amp;DATE(2024,5,31),'2024数据'!$AL$3:$AL$152,$E35,'2024数据'!$B$3:$B$152,'2024整理'!$E204)/10000</f>
        <v>0</v>
      </c>
      <c r="K225" s="124">
        <f>SUMIFS('2024数据'!$AM$3:$AM$152,'2024数据'!$D$3:$D$152,"&gt;="&amp;DATE(2024,6,1),'2024数据'!$D$3:$D$152,"&lt;="&amp;DATE(2024,6,30),'2024数据'!$AL$3:$AL$152,$E35,'2024数据'!$B$3:$B$152,'2024整理'!$E204)/10000</f>
        <v>0.114643</v>
      </c>
      <c r="L225" s="124">
        <f>SUMIFS('2024数据'!$AM$3:$AM$152,'2024数据'!$D$3:$D$152,"&gt;="&amp;DATE(2024,7,1),'2024数据'!$D$3:$D$152,"&lt;="&amp;DATE(2024,7,31),'2024数据'!$AL$3:$AL$152,$E35,'2024数据'!$B$3:$B$152,'2024整理'!$E204)/10000</f>
        <v>0</v>
      </c>
      <c r="M225" s="124">
        <f>SUMIFS('2024数据'!$AM$3:$AM$152,'2024数据'!$D$3:$D$152,"&gt;="&amp;DATE(2024,8,1),'2024数据'!$D$3:$D$152,"&lt;="&amp;DATE(2024,8,31),'2024数据'!$AL$3:$AL$152,$E35,'2024数据'!$B$3:$B$152,'2024整理'!$E204)/10000</f>
        <v>0</v>
      </c>
      <c r="N225" s="124">
        <f>SUMIFS('2024数据'!$AM$3:$AM$152,'2024数据'!$D$3:$D$152,"&gt;="&amp;DATE(2024,9,1),'2024数据'!$D$3:$D$152,"&lt;="&amp;DATE(2024,9,30),'2024数据'!$AL$3:$AL$152,$E35,'2024数据'!$B$3:$B$152,'2024整理'!$E204)/10000</f>
        <v>0</v>
      </c>
      <c r="O225" s="124">
        <f>SUMIFS('2024数据'!$AM$3:$AM$152,'2024数据'!$D$3:$D$152,"&gt;="&amp;DATE(2024,10,1),'2024数据'!$D$3:$D$152,"&lt;="&amp;DATE(2024,10,31),'2024数据'!$AL$3:$AL$152,$E35,'2024数据'!$B$3:$B$152,'2024整理'!$E204)/10000</f>
        <v>0.037049</v>
      </c>
      <c r="P225" s="124">
        <f>SUMIFS('2024数据'!$AM$3:$AM$152,'2024数据'!$D$3:$D$152,"&gt;="&amp;DATE(2024,11,1),'2024数据'!$D$3:$D$152,"&lt;="&amp;DATE(2024,11,30),'2024数据'!$AL$3:$AL$152,$E35,'2024数据'!$B$3:$B$152,'2024整理'!$E204)/10000</f>
        <v>0.199301</v>
      </c>
      <c r="Q225" s="124">
        <f>SUMIFS('2024数据'!$AM$3:$AM$152,'2024数据'!$D$3:$D$152,"&gt;="&amp;DATE(2024,12,1),'2024数据'!$D$3:$D$152,"&lt;="&amp;DATE(2024,12,31),'2024数据'!$AL$3:$AL$152,$E35,'2024数据'!$B$3:$B$152,'2024整理'!$E204)/10000</f>
        <v>0</v>
      </c>
    </row>
    <row r="226" ht="24" customHeight="1" spans="1:17">
      <c r="A226" s="99" t="s">
        <v>289</v>
      </c>
      <c r="B226" s="99" t="s">
        <v>299</v>
      </c>
      <c r="C226" s="99" t="s">
        <v>336</v>
      </c>
      <c r="D226" s="122" t="s">
        <v>303</v>
      </c>
      <c r="E226" s="122" t="s">
        <v>96</v>
      </c>
      <c r="F226" s="124">
        <f>SUMIFS('2024数据'!$AM$3:$AM$152,'2024数据'!$D$3:$D$152,"&gt;="&amp;DATE(2024,1,1),'2024数据'!$D$3:$D$152,"&lt;="&amp;DATE(2024,1,31),'2024数据'!$AL$3:$AL$152,$E35,'2024数据'!$B$3:$B$152,'2024整理'!$E205)/10000</f>
        <v>0</v>
      </c>
      <c r="G226" s="124">
        <f>SUMIFS('2024数据'!$AM$3:$AM$152,'2024数据'!$D$3:$D$152,"&gt;="&amp;DATE(2024,2,1),'2024数据'!$D$3:$D$152,"&lt;="&amp;DATE(2024,2,29),'2024数据'!$AL$3:$AL$152,$E35,'2024数据'!$B$3:$B$152,'2024整理'!$E205)/10000</f>
        <v>0</v>
      </c>
      <c r="H226" s="124">
        <f>SUMIFS('2024数据'!$AM$3:$AM$152,'2024数据'!$D$3:$D$152,"&gt;="&amp;DATE(2024,3,1),'2024数据'!$D$3:$D$152,"&lt;="&amp;DATE(2024,3,31),'2024数据'!$AL$3:$AL$152,$E35,'2024数据'!$B$3:$B$152,'2024整理'!$E205)/10000</f>
        <v>0</v>
      </c>
      <c r="I226" s="124">
        <f>SUMIFS('2024数据'!$AM$3:$AM$152,'2024数据'!$D$3:$D$152,"&gt;="&amp;DATE(2024,4,1),'2024数据'!$D$3:$D$152,"&lt;="&amp;DATE(2024,4,30),'2024数据'!$AL$3:$AL$152,$E35,'2024数据'!$B$3:$B$152,'2024整理'!$E205)/10000</f>
        <v>0</v>
      </c>
      <c r="J226" s="124">
        <f>SUMIFS('2024数据'!$AM$3:$AM$152,'2024数据'!$D$3:$D$152,"&gt;="&amp;DATE(2024,5,1),'2024数据'!$D$3:$D$152,"&lt;="&amp;DATE(2024,5,31),'2024数据'!$AL$3:$AL$152,$E35,'2024数据'!$B$3:$B$152,'2024整理'!$E205)/10000</f>
        <v>0</v>
      </c>
      <c r="K226" s="124">
        <f>SUMIFS('2024数据'!$AM$3:$AM$152,'2024数据'!$D$3:$D$152,"&gt;="&amp;DATE(2024,6,1),'2024数据'!$D$3:$D$152,"&lt;="&amp;DATE(2024,6,30),'2024数据'!$AL$3:$AL$152,$E35,'2024数据'!$B$3:$B$152,'2024整理'!$E205)/10000</f>
        <v>0</v>
      </c>
      <c r="L226" s="124">
        <f>SUMIFS('2024数据'!$AM$3:$AM$152,'2024数据'!$D$3:$D$152,"&gt;="&amp;DATE(2024,7,1),'2024数据'!$D$3:$D$152,"&lt;="&amp;DATE(2024,7,31),'2024数据'!$AL$3:$AL$152,$E35,'2024数据'!$B$3:$B$152,'2024整理'!$E205)/10000</f>
        <v>0</v>
      </c>
      <c r="M226" s="124">
        <f>SUMIFS('2024数据'!$AM$3:$AM$152,'2024数据'!$D$3:$D$152,"&gt;="&amp;DATE(2024,8,1),'2024数据'!$D$3:$D$152,"&lt;="&amp;DATE(2024,8,31),'2024数据'!$AL$3:$AL$152,$E35,'2024数据'!$B$3:$B$152,'2024整理'!$E205)/10000</f>
        <v>0</v>
      </c>
      <c r="N226" s="124">
        <f>SUMIFS('2024数据'!$AM$3:$AM$152,'2024数据'!$D$3:$D$152,"&gt;="&amp;DATE(2024,9,1),'2024数据'!$D$3:$D$152,"&lt;="&amp;DATE(2024,9,30),'2024数据'!$AL$3:$AL$152,$E35,'2024数据'!$B$3:$B$152,'2024整理'!$E205)/10000</f>
        <v>0</v>
      </c>
      <c r="O226" s="124">
        <f>SUMIFS('2024数据'!$AM$3:$AM$152,'2024数据'!$D$3:$D$152,"&gt;="&amp;DATE(2024,10,1),'2024数据'!$D$3:$D$152,"&lt;="&amp;DATE(2024,10,31),'2024数据'!$AL$3:$AL$152,$E35,'2024数据'!$B$3:$B$152,'2024整理'!$E205)/10000</f>
        <v>0</v>
      </c>
      <c r="P226" s="124">
        <f>SUMIFS('2024数据'!$AM$3:$AM$152,'2024数据'!$D$3:$D$152,"&gt;="&amp;DATE(2024,11,1),'2024数据'!$D$3:$D$152,"&lt;="&amp;DATE(2024,11,30),'2024数据'!$AL$3:$AL$152,$E35,'2024数据'!$B$3:$B$152,'2024整理'!$E205)/10000</f>
        <v>0.037775</v>
      </c>
      <c r="Q226" s="124">
        <f>SUMIFS('2024数据'!$AM$3:$AM$152,'2024数据'!$D$3:$D$152,"&gt;="&amp;DATE(2024,12,1),'2024数据'!$D$3:$D$152,"&lt;="&amp;DATE(2024,12,31),'2024数据'!$AL$3:$AL$152,$E35,'2024数据'!$B$3:$B$152,'2024整理'!$E205)/10000</f>
        <v>0</v>
      </c>
    </row>
    <row r="227" ht="24" customHeight="1" spans="1:17">
      <c r="A227" s="99" t="s">
        <v>289</v>
      </c>
      <c r="B227" s="99" t="s">
        <v>299</v>
      </c>
      <c r="C227" s="99" t="s">
        <v>336</v>
      </c>
      <c r="D227" s="122" t="s">
        <v>303</v>
      </c>
      <c r="E227" s="122" t="s">
        <v>160</v>
      </c>
      <c r="F227" s="124">
        <f t="shared" ref="F227:Q227" si="144">F220-SUM(F223:F226)</f>
        <v>0</v>
      </c>
      <c r="G227" s="124">
        <f t="shared" si="144"/>
        <v>0</v>
      </c>
      <c r="H227" s="124">
        <f t="shared" si="144"/>
        <v>0</v>
      </c>
      <c r="I227" s="124">
        <f t="shared" si="144"/>
        <v>0</v>
      </c>
      <c r="J227" s="124">
        <f t="shared" si="144"/>
        <v>0</v>
      </c>
      <c r="K227" s="124">
        <f t="shared" si="144"/>
        <v>0</v>
      </c>
      <c r="L227" s="124">
        <f t="shared" si="144"/>
        <v>0</v>
      </c>
      <c r="M227" s="124">
        <f t="shared" si="144"/>
        <v>0</v>
      </c>
      <c r="N227" s="124">
        <f t="shared" si="144"/>
        <v>0</v>
      </c>
      <c r="O227" s="124">
        <f t="shared" si="144"/>
        <v>0</v>
      </c>
      <c r="P227" s="124">
        <f t="shared" si="144"/>
        <v>0</v>
      </c>
      <c r="Q227" s="124">
        <f t="shared" si="144"/>
        <v>0</v>
      </c>
    </row>
    <row r="228" ht="24" customHeight="1" spans="1:17">
      <c r="A228" s="99" t="s">
        <v>289</v>
      </c>
      <c r="B228" s="99" t="s">
        <v>299</v>
      </c>
      <c r="C228" s="99" t="s">
        <v>336</v>
      </c>
      <c r="D228" s="122" t="s">
        <v>304</v>
      </c>
      <c r="E228" s="122" t="s">
        <v>93</v>
      </c>
      <c r="F228" s="124">
        <f>SUMIFS('2024数据'!$AM$3:$AM$152,'2024数据'!$D$3:$D$152,"&gt;="&amp;DATE(2024,1,1),'2024数据'!$D$3:$D$152,"&lt;="&amp;DATE(2024,1,31),'2024数据'!$AL$3:$AL$152,$E36,'2024数据'!$B$3:$B$152,'2024整理'!$E202)/10000</f>
        <v>0.039611</v>
      </c>
      <c r="G228" s="124">
        <f>SUMIFS('2024数据'!$AM$3:$AM$152,'2024数据'!$D$3:$D$152,"&gt;="&amp;DATE(2024,2,1),'2024数据'!$D$3:$D$152,"&lt;="&amp;DATE(2024,2,29),'2024数据'!$AL$3:$AL$152,$E36,'2024数据'!$B$3:$B$152,'2024整理'!$E202)/10000</f>
        <v>0.26261</v>
      </c>
      <c r="H228" s="124">
        <f>SUMIFS('2024数据'!$AM$3:$AM$152,'2024数据'!$D$3:$D$152,"&gt;="&amp;DATE(2024,3,1),'2024数据'!$D$3:$D$152,"&lt;="&amp;DATE(2024,3,31),'2024数据'!$AL$3:$AL$152,$E36,'2024数据'!$B$3:$B$152,'2024整理'!$E202)/10000</f>
        <v>0.3444</v>
      </c>
      <c r="I228" s="124">
        <f>SUMIFS('2024数据'!$AM$3:$AM$152,'2024数据'!$D$3:$D$152,"&gt;="&amp;DATE(2024,4,1),'2024数据'!$D$3:$D$152,"&lt;="&amp;DATE(2024,4,30),'2024数据'!$AL$3:$AL$152,$E36,'2024数据'!$B$3:$B$152,'2024整理'!$E202)/10000</f>
        <v>0.023542</v>
      </c>
      <c r="J228" s="124">
        <f>SUMIFS('2024数据'!$AM$3:$AM$152,'2024数据'!$D$3:$D$152,"&gt;="&amp;DATE(2024,5,1),'2024数据'!$D$3:$D$152,"&lt;="&amp;DATE(2024,5,31),'2024数据'!$AL$3:$AL$152,$E36,'2024数据'!$B$3:$B$152,'2024整理'!$E202)/10000</f>
        <v>0.727417000000003</v>
      </c>
      <c r="K228" s="124">
        <f>SUMIFS('2024数据'!$AM$3:$AM$152,'2024数据'!$D$3:$D$152,"&gt;="&amp;DATE(2024,6,1),'2024数据'!$D$3:$D$152,"&lt;="&amp;DATE(2024,6,30),'2024数据'!$AL$3:$AL$152,$E36,'2024数据'!$B$3:$B$152,'2024整理'!$E202)/10000</f>
        <v>0.00909300000000003</v>
      </c>
      <c r="L228" s="124">
        <f>SUMIFS('2024数据'!$AM$3:$AM$152,'2024数据'!$D$3:$D$152,"&gt;="&amp;DATE(2024,7,1),'2024数据'!$D$3:$D$152,"&lt;="&amp;DATE(2024,7,31),'2024数据'!$AL$3:$AL$152,$E36,'2024数据'!$B$3:$B$152,'2024整理'!$E202)/10000</f>
        <v>0.00270100000000002</v>
      </c>
      <c r="M228" s="124">
        <f>SUMIFS('2024数据'!$AM$3:$AM$152,'2024数据'!$D$3:$D$152,"&gt;="&amp;DATE(2024,8,1),'2024数据'!$D$3:$D$152,"&lt;="&amp;DATE(2024,8,31),'2024数据'!$AL$3:$AL$152,$E36,'2024数据'!$B$3:$B$152,'2024整理'!$E202)/10000</f>
        <v>0.0929000000000001</v>
      </c>
      <c r="N228" s="124">
        <f>SUMIFS('2024数据'!$AM$3:$AM$152,'2024数据'!$D$3:$D$152,"&gt;="&amp;DATE(2024,9,1),'2024数据'!$D$3:$D$152,"&lt;="&amp;DATE(2024,9,30),'2024数据'!$AL$3:$AL$152,$E36,'2024数据'!$B$3:$B$152,'2024整理'!$E202)/10000</f>
        <v>0</v>
      </c>
      <c r="O228" s="124">
        <f>SUMIFS('2024数据'!$AM$3:$AM$152,'2024数据'!$D$3:$D$152,"&gt;="&amp;DATE(2024,10,1),'2024数据'!$D$3:$D$152,"&lt;="&amp;DATE(2024,10,31),'2024数据'!$AL$3:$AL$152,$E36,'2024数据'!$B$3:$B$152,'2024整理'!$E202)/10000</f>
        <v>0</v>
      </c>
      <c r="P228" s="124">
        <f>SUMIFS('2024数据'!$AM$3:$AM$152,'2024数据'!$D$3:$D$152,"&gt;="&amp;DATE(2024,11,1),'2024数据'!$D$3:$D$152,"&lt;="&amp;DATE(2024,11,30),'2024数据'!$AL$3:$AL$152,$E36,'2024数据'!$B$3:$B$152,'2024整理'!$E202)/10000</f>
        <v>0</v>
      </c>
      <c r="Q228" s="124">
        <f>SUMIFS('2024数据'!$AM$3:$AM$152,'2024数据'!$D$3:$D$152,"&gt;="&amp;DATE(2024,12,1),'2024数据'!$D$3:$D$152,"&lt;="&amp;DATE(2024,12,31),'2024数据'!$AL$3:$AL$152,$E36,'2024数据'!$B$3:$B$152,'2024整理'!$E202)/10000</f>
        <v>0.0620420000000002</v>
      </c>
    </row>
    <row r="229" ht="24" customHeight="1" spans="1:17">
      <c r="A229" s="99" t="s">
        <v>289</v>
      </c>
      <c r="B229" s="99" t="s">
        <v>299</v>
      </c>
      <c r="C229" s="99" t="s">
        <v>336</v>
      </c>
      <c r="D229" s="122" t="s">
        <v>304</v>
      </c>
      <c r="E229" s="122" t="s">
        <v>85</v>
      </c>
      <c r="F229" s="124">
        <f>SUMIFS('2024数据'!$AM$3:$AM$152,'2024数据'!$D$3:$D$152,"&gt;="&amp;DATE(2024,1,1),'2024数据'!$D$3:$D$152,"&lt;="&amp;DATE(2024,1,31),'2024数据'!$AL$3:$AL$152,$E36,'2024数据'!$B$3:$B$152,'2024整理'!$E203)/10000</f>
        <v>0</v>
      </c>
      <c r="G229" s="124">
        <f>SUMIFS('2024数据'!$AM$3:$AM$152,'2024数据'!$D$3:$D$152,"&gt;="&amp;DATE(2024,2,1),'2024数据'!$D$3:$D$152,"&lt;="&amp;DATE(2024,2,29),'2024数据'!$AL$3:$AL$152,$E36,'2024数据'!$B$3:$B$152,'2024整理'!$E203)/10000</f>
        <v>0</v>
      </c>
      <c r="H229" s="124">
        <f>SUMIFS('2024数据'!$AM$3:$AM$152,'2024数据'!$D$3:$D$152,"&gt;="&amp;DATE(2024,3,1),'2024数据'!$D$3:$D$152,"&lt;="&amp;DATE(2024,3,31),'2024数据'!$AL$3:$AL$152,$E36,'2024数据'!$B$3:$B$152,'2024整理'!$E203)/10000</f>
        <v>0.00963999999999996</v>
      </c>
      <c r="I229" s="124">
        <f>SUMIFS('2024数据'!$AM$3:$AM$152,'2024数据'!$D$3:$D$152,"&gt;="&amp;DATE(2024,4,1),'2024数据'!$D$3:$D$152,"&lt;="&amp;DATE(2024,4,30),'2024数据'!$AL$3:$AL$152,$E36,'2024数据'!$B$3:$B$152,'2024整理'!$E203)/10000</f>
        <v>0.00241399999999999</v>
      </c>
      <c r="J229" s="124">
        <f>SUMIFS('2024数据'!$AM$3:$AM$152,'2024数据'!$D$3:$D$152,"&gt;="&amp;DATE(2024,5,1),'2024数据'!$D$3:$D$152,"&lt;="&amp;DATE(2024,5,31),'2024数据'!$AL$3:$AL$152,$E36,'2024数据'!$B$3:$B$152,'2024整理'!$E203)/10000</f>
        <v>0</v>
      </c>
      <c r="K229" s="124">
        <f>SUMIFS('2024数据'!$AM$3:$AM$152,'2024数据'!$D$3:$D$152,"&gt;="&amp;DATE(2024,6,1),'2024数据'!$D$3:$D$152,"&lt;="&amp;DATE(2024,6,30),'2024数据'!$AL$3:$AL$152,$E36,'2024数据'!$B$3:$B$152,'2024整理'!$E203)/10000</f>
        <v>0</v>
      </c>
      <c r="L229" s="124">
        <f>SUMIFS('2024数据'!$AM$3:$AM$152,'2024数据'!$D$3:$D$152,"&gt;="&amp;DATE(2024,7,1),'2024数据'!$D$3:$D$152,"&lt;="&amp;DATE(2024,7,31),'2024数据'!$AL$3:$AL$152,$E36,'2024数据'!$B$3:$B$152,'2024整理'!$E203)/10000</f>
        <v>0.0197700000000001</v>
      </c>
      <c r="M229" s="124">
        <f>SUMIFS('2024数据'!$AM$3:$AM$152,'2024数据'!$D$3:$D$152,"&gt;="&amp;DATE(2024,8,1),'2024数据'!$D$3:$D$152,"&lt;="&amp;DATE(2024,8,31),'2024数据'!$AL$3:$AL$152,$E36,'2024数据'!$B$3:$B$152,'2024整理'!$E203)/10000</f>
        <v>0</v>
      </c>
      <c r="N229" s="124">
        <f>SUMIFS('2024数据'!$AM$3:$AM$152,'2024数据'!$D$3:$D$152,"&gt;="&amp;DATE(2024,9,1),'2024数据'!$D$3:$D$152,"&lt;="&amp;DATE(2024,9,30),'2024数据'!$AL$3:$AL$152,$E36,'2024数据'!$B$3:$B$152,'2024整理'!$E203)/10000</f>
        <v>0.01186</v>
      </c>
      <c r="O229" s="124">
        <f>SUMIFS('2024数据'!$AM$3:$AM$152,'2024数据'!$D$3:$D$152,"&gt;="&amp;DATE(2024,10,1),'2024数据'!$D$3:$D$152,"&lt;="&amp;DATE(2024,10,31),'2024数据'!$AL$3:$AL$152,$E36,'2024数据'!$B$3:$B$152,'2024整理'!$E203)/10000</f>
        <v>0</v>
      </c>
      <c r="P229" s="124">
        <f>SUMIFS('2024数据'!$AM$3:$AM$152,'2024数据'!$D$3:$D$152,"&gt;="&amp;DATE(2024,11,1),'2024数据'!$D$3:$D$152,"&lt;="&amp;DATE(2024,11,30),'2024数据'!$AL$3:$AL$152,$E36,'2024数据'!$B$3:$B$152,'2024整理'!$E203)/10000</f>
        <v>0</v>
      </c>
      <c r="Q229" s="124">
        <f>SUMIFS('2024数据'!$AM$3:$AM$152,'2024数据'!$D$3:$D$152,"&gt;="&amp;DATE(2024,12,1),'2024数据'!$D$3:$D$152,"&lt;="&amp;DATE(2024,12,31),'2024数据'!$AL$3:$AL$152,$E36,'2024数据'!$B$3:$B$152,'2024整理'!$E203)/10000</f>
        <v>0.00748699999999999</v>
      </c>
    </row>
    <row r="230" ht="24" customHeight="1" spans="1:17">
      <c r="A230" s="99" t="s">
        <v>289</v>
      </c>
      <c r="B230" s="99" t="s">
        <v>299</v>
      </c>
      <c r="C230" s="99" t="s">
        <v>336</v>
      </c>
      <c r="D230" s="122" t="s">
        <v>304</v>
      </c>
      <c r="E230" s="122" t="s">
        <v>81</v>
      </c>
      <c r="F230" s="124">
        <f>SUMIFS('2024数据'!$AM$3:$AM$152,'2024数据'!$D$3:$D$152,"&gt;="&amp;DATE(2024,1,1),'2024数据'!$D$3:$D$152,"&lt;="&amp;DATE(2024,1,31),'2024数据'!$AL$3:$AL$152,$E36,'2024数据'!$B$3:$B$152,'2024整理'!$E204)/10000</f>
        <v>0</v>
      </c>
      <c r="G230" s="124">
        <f>SUMIFS('2024数据'!$AM$3:$AM$152,'2024数据'!$D$3:$D$152,"&gt;="&amp;DATE(2024,2,1),'2024数据'!$D$3:$D$152,"&lt;="&amp;DATE(2024,2,29),'2024数据'!$AL$3:$AL$152,$E36,'2024数据'!$B$3:$B$152,'2024整理'!$E204)/10000</f>
        <v>0</v>
      </c>
      <c r="H230" s="124">
        <f>SUMIFS('2024数据'!$AM$3:$AM$152,'2024数据'!$D$3:$D$152,"&gt;="&amp;DATE(2024,3,1),'2024数据'!$D$3:$D$152,"&lt;="&amp;DATE(2024,3,31),'2024数据'!$AL$3:$AL$152,$E36,'2024数据'!$B$3:$B$152,'2024整理'!$E204)/10000</f>
        <v>0</v>
      </c>
      <c r="I230" s="124">
        <f>SUMIFS('2024数据'!$AM$3:$AM$152,'2024数据'!$D$3:$D$152,"&gt;="&amp;DATE(2024,4,1),'2024数据'!$D$3:$D$152,"&lt;="&amp;DATE(2024,4,30),'2024数据'!$AL$3:$AL$152,$E36,'2024数据'!$B$3:$B$152,'2024整理'!$E204)/10000</f>
        <v>0</v>
      </c>
      <c r="J230" s="124">
        <f>SUMIFS('2024数据'!$AM$3:$AM$152,'2024数据'!$D$3:$D$152,"&gt;="&amp;DATE(2024,5,1),'2024数据'!$D$3:$D$152,"&lt;="&amp;DATE(2024,5,31),'2024数据'!$AL$3:$AL$152,$E36,'2024数据'!$B$3:$B$152,'2024整理'!$E204)/10000</f>
        <v>0.0876349978</v>
      </c>
      <c r="K230" s="124">
        <f>SUMIFS('2024数据'!$AM$3:$AM$152,'2024数据'!$D$3:$D$152,"&gt;="&amp;DATE(2024,6,1),'2024数据'!$D$3:$D$152,"&lt;="&amp;DATE(2024,6,30),'2024数据'!$AL$3:$AL$152,$E36,'2024数据'!$B$3:$B$152,'2024整理'!$E204)/10000</f>
        <v>0</v>
      </c>
      <c r="L230" s="124">
        <f>SUMIFS('2024数据'!$AM$3:$AM$152,'2024数据'!$D$3:$D$152,"&gt;="&amp;DATE(2024,7,1),'2024数据'!$D$3:$D$152,"&lt;="&amp;DATE(2024,7,31),'2024数据'!$AL$3:$AL$152,$E36,'2024数据'!$B$3:$B$152,'2024整理'!$E204)/10000</f>
        <v>0</v>
      </c>
      <c r="M230" s="124">
        <f>SUMIFS('2024数据'!$AM$3:$AM$152,'2024数据'!$D$3:$D$152,"&gt;="&amp;DATE(2024,8,1),'2024数据'!$D$3:$D$152,"&lt;="&amp;DATE(2024,8,31),'2024数据'!$AL$3:$AL$152,$E36,'2024数据'!$B$3:$B$152,'2024整理'!$E204)/10000</f>
        <v>0.063184</v>
      </c>
      <c r="N230" s="124">
        <f>SUMIFS('2024数据'!$AM$3:$AM$152,'2024数据'!$D$3:$D$152,"&gt;="&amp;DATE(2024,9,1),'2024数据'!$D$3:$D$152,"&lt;="&amp;DATE(2024,9,30),'2024数据'!$AL$3:$AL$152,$E36,'2024数据'!$B$3:$B$152,'2024整理'!$E204)/10000</f>
        <v>0.012873</v>
      </c>
      <c r="O230" s="124">
        <f>SUMIFS('2024数据'!$AM$3:$AM$152,'2024数据'!$D$3:$D$152,"&gt;="&amp;DATE(2024,10,1),'2024数据'!$D$3:$D$152,"&lt;="&amp;DATE(2024,10,31),'2024数据'!$AL$3:$AL$152,$E36,'2024数据'!$B$3:$B$152,'2024整理'!$E204)/10000</f>
        <v>0</v>
      </c>
      <c r="P230" s="124">
        <f>SUMIFS('2024数据'!$AM$3:$AM$152,'2024数据'!$D$3:$D$152,"&gt;="&amp;DATE(2024,11,1),'2024数据'!$D$3:$D$152,"&lt;="&amp;DATE(2024,11,30),'2024数据'!$AL$3:$AL$152,$E36,'2024数据'!$B$3:$B$152,'2024整理'!$E204)/10000</f>
        <v>0</v>
      </c>
      <c r="Q230" s="124">
        <f>SUMIFS('2024数据'!$AM$3:$AM$152,'2024数据'!$D$3:$D$152,"&gt;="&amp;DATE(2024,12,1),'2024数据'!$D$3:$D$152,"&lt;="&amp;DATE(2024,12,31),'2024数据'!$AL$3:$AL$152,$E36,'2024数据'!$B$3:$B$152,'2024整理'!$E204)/10000</f>
        <v>0</v>
      </c>
    </row>
    <row r="231" ht="24" customHeight="1" spans="1:17">
      <c r="A231" s="99" t="s">
        <v>289</v>
      </c>
      <c r="B231" s="99" t="s">
        <v>299</v>
      </c>
      <c r="C231" s="99" t="s">
        <v>336</v>
      </c>
      <c r="D231" s="122" t="s">
        <v>304</v>
      </c>
      <c r="E231" s="122" t="s">
        <v>96</v>
      </c>
      <c r="F231" s="124">
        <f>SUMIFS('2024数据'!$AM$3:$AM$152,'2024数据'!$D$3:$D$152,"&gt;="&amp;DATE(2024,1,1),'2024数据'!$D$3:$D$152,"&lt;="&amp;DATE(2024,1,31),'2024数据'!$AL$3:$AL$152,$E36,'2024数据'!$B$3:$B$152,'2024整理'!$E205)/10000</f>
        <v>0</v>
      </c>
      <c r="G231" s="124">
        <f>SUMIFS('2024数据'!$AM$3:$AM$152,'2024数据'!$D$3:$D$152,"&gt;="&amp;DATE(2024,2,1),'2024数据'!$D$3:$D$152,"&lt;="&amp;DATE(2024,2,29),'2024数据'!$AL$3:$AL$152,$E36,'2024数据'!$B$3:$B$152,'2024整理'!$E205)/10000</f>
        <v>0</v>
      </c>
      <c r="H231" s="124">
        <f>SUMIFS('2024数据'!$AM$3:$AM$152,'2024数据'!$D$3:$D$152,"&gt;="&amp;DATE(2024,3,1),'2024数据'!$D$3:$D$152,"&lt;="&amp;DATE(2024,3,31),'2024数据'!$AL$3:$AL$152,$E36,'2024数据'!$B$3:$B$152,'2024整理'!$E205)/10000</f>
        <v>0</v>
      </c>
      <c r="I231" s="124">
        <f>SUMIFS('2024数据'!$AM$3:$AM$152,'2024数据'!$D$3:$D$152,"&gt;="&amp;DATE(2024,4,1),'2024数据'!$D$3:$D$152,"&lt;="&amp;DATE(2024,4,30),'2024数据'!$AL$3:$AL$152,$E36,'2024数据'!$B$3:$B$152,'2024整理'!$E205)/10000</f>
        <v>0</v>
      </c>
      <c r="J231" s="124">
        <f>SUMIFS('2024数据'!$AM$3:$AM$152,'2024数据'!$D$3:$D$152,"&gt;="&amp;DATE(2024,5,1),'2024数据'!$D$3:$D$152,"&lt;="&amp;DATE(2024,5,31),'2024数据'!$AL$3:$AL$152,$E36,'2024数据'!$B$3:$B$152,'2024整理'!$E205)/10000</f>
        <v>0</v>
      </c>
      <c r="K231" s="124">
        <f>SUMIFS('2024数据'!$AM$3:$AM$152,'2024数据'!$D$3:$D$152,"&gt;="&amp;DATE(2024,6,1),'2024数据'!$D$3:$D$152,"&lt;="&amp;DATE(2024,6,30),'2024数据'!$AL$3:$AL$152,$E36,'2024数据'!$B$3:$B$152,'2024整理'!$E205)/10000</f>
        <v>0</v>
      </c>
      <c r="L231" s="124">
        <f>SUMIFS('2024数据'!$AM$3:$AM$152,'2024数据'!$D$3:$D$152,"&gt;="&amp;DATE(2024,7,1),'2024数据'!$D$3:$D$152,"&lt;="&amp;DATE(2024,7,31),'2024数据'!$AL$3:$AL$152,$E36,'2024数据'!$B$3:$B$152,'2024整理'!$E205)/10000</f>
        <v>0</v>
      </c>
      <c r="M231" s="124">
        <f>SUMIFS('2024数据'!$AM$3:$AM$152,'2024数据'!$D$3:$D$152,"&gt;="&amp;DATE(2024,8,1),'2024数据'!$D$3:$D$152,"&lt;="&amp;DATE(2024,8,31),'2024数据'!$AL$3:$AL$152,$E36,'2024数据'!$B$3:$B$152,'2024整理'!$E205)/10000</f>
        <v>0</v>
      </c>
      <c r="N231" s="124">
        <f>SUMIFS('2024数据'!$AM$3:$AM$152,'2024数据'!$D$3:$D$152,"&gt;="&amp;DATE(2024,9,1),'2024数据'!$D$3:$D$152,"&lt;="&amp;DATE(2024,9,30),'2024数据'!$AL$3:$AL$152,$E36,'2024数据'!$B$3:$B$152,'2024整理'!$E205)/10000</f>
        <v>0</v>
      </c>
      <c r="O231" s="124">
        <f>SUMIFS('2024数据'!$AM$3:$AM$152,'2024数据'!$D$3:$D$152,"&gt;="&amp;DATE(2024,10,1),'2024数据'!$D$3:$D$152,"&lt;="&amp;DATE(2024,10,31),'2024数据'!$AL$3:$AL$152,$E36,'2024数据'!$B$3:$B$152,'2024整理'!$E205)/10000</f>
        <v>0</v>
      </c>
      <c r="P231" s="124">
        <f>SUMIFS('2024数据'!$AM$3:$AM$152,'2024数据'!$D$3:$D$152,"&gt;="&amp;DATE(2024,11,1),'2024数据'!$D$3:$D$152,"&lt;="&amp;DATE(2024,11,30),'2024数据'!$AL$3:$AL$152,$E36,'2024数据'!$B$3:$B$152,'2024整理'!$E205)/10000</f>
        <v>0</v>
      </c>
      <c r="Q231" s="124">
        <f>SUMIFS('2024数据'!$AM$3:$AM$152,'2024数据'!$D$3:$D$152,"&gt;="&amp;DATE(2024,12,1),'2024数据'!$D$3:$D$152,"&lt;="&amp;DATE(2024,12,31),'2024数据'!$AL$3:$AL$152,$E36,'2024数据'!$B$3:$B$152,'2024整理'!$E205)/10000</f>
        <v>0</v>
      </c>
    </row>
    <row r="232" ht="24" customHeight="1" spans="1:17">
      <c r="A232" s="99" t="s">
        <v>289</v>
      </c>
      <c r="B232" s="99" t="s">
        <v>299</v>
      </c>
      <c r="C232" s="99" t="s">
        <v>336</v>
      </c>
      <c r="D232" s="122" t="s">
        <v>304</v>
      </c>
      <c r="E232" s="122" t="s">
        <v>160</v>
      </c>
      <c r="F232" s="124">
        <f t="shared" ref="F232:Q232" si="145">F221-SUM(F228:F231)</f>
        <v>0</v>
      </c>
      <c r="G232" s="124">
        <f t="shared" si="145"/>
        <v>0</v>
      </c>
      <c r="H232" s="124">
        <f t="shared" si="145"/>
        <v>0</v>
      </c>
      <c r="I232" s="124">
        <f t="shared" si="145"/>
        <v>0</v>
      </c>
      <c r="J232" s="124">
        <f t="shared" si="145"/>
        <v>0</v>
      </c>
      <c r="K232" s="124">
        <f t="shared" si="145"/>
        <v>0</v>
      </c>
      <c r="L232" s="124">
        <f t="shared" si="145"/>
        <v>0</v>
      </c>
      <c r="M232" s="124">
        <f t="shared" si="145"/>
        <v>0</v>
      </c>
      <c r="N232" s="124">
        <f t="shared" si="145"/>
        <v>0</v>
      </c>
      <c r="O232" s="124">
        <f t="shared" si="145"/>
        <v>0</v>
      </c>
      <c r="P232" s="124">
        <f t="shared" si="145"/>
        <v>0</v>
      </c>
      <c r="Q232" s="124">
        <f t="shared" si="145"/>
        <v>0</v>
      </c>
    </row>
    <row r="233" ht="24" customHeight="1" spans="1:17">
      <c r="A233" s="99" t="s">
        <v>289</v>
      </c>
      <c r="B233" s="99" t="s">
        <v>299</v>
      </c>
      <c r="C233" s="99" t="s">
        <v>343</v>
      </c>
      <c r="D233" s="114" t="s">
        <v>292</v>
      </c>
      <c r="E233" s="114" t="s">
        <v>320</v>
      </c>
      <c r="F233" s="120">
        <f t="shared" ref="F233:Q233" si="146">IF(SUM(F234:F239)&lt;&gt;SUM(F246:F250),"ERR",SUM(F234:F239))</f>
        <v>4.189605</v>
      </c>
      <c r="G233" s="120">
        <f t="shared" si="146"/>
        <v>7.125616</v>
      </c>
      <c r="H233" s="120">
        <f t="shared" si="146"/>
        <v>9.792123</v>
      </c>
      <c r="I233" s="120">
        <f t="shared" si="146"/>
        <v>11.772385</v>
      </c>
      <c r="J233" s="120">
        <f t="shared" si="146"/>
        <v>39.608596</v>
      </c>
      <c r="K233" s="120">
        <f t="shared" si="146"/>
        <v>43.772986</v>
      </c>
      <c r="L233" s="120">
        <f t="shared" si="146"/>
        <v>47.179258</v>
      </c>
      <c r="M233" s="120">
        <f t="shared" si="146"/>
        <v>52.199285</v>
      </c>
      <c r="N233" s="120">
        <f t="shared" si="146"/>
        <v>53.580392</v>
      </c>
      <c r="O233" s="120">
        <f t="shared" si="146"/>
        <v>54.069142</v>
      </c>
      <c r="P233" s="120">
        <f t="shared" si="146"/>
        <v>56.240939</v>
      </c>
      <c r="Q233" s="120">
        <f t="shared" si="146"/>
        <v>60.631877</v>
      </c>
    </row>
    <row r="234" ht="24" customHeight="1" spans="1:17">
      <c r="A234" s="99" t="s">
        <v>289</v>
      </c>
      <c r="B234" s="99" t="s">
        <v>299</v>
      </c>
      <c r="C234" s="99" t="s">
        <v>343</v>
      </c>
      <c r="D234" s="48" t="s">
        <v>31</v>
      </c>
      <c r="E234" s="48" t="s">
        <v>406</v>
      </c>
      <c r="F234" s="121">
        <f t="shared" ref="F234:F239" si="147">F184</f>
        <v>1.660672</v>
      </c>
      <c r="G234" s="121">
        <f t="shared" ref="G234:Q234" si="148">F234+G184</f>
        <v>1.660672</v>
      </c>
      <c r="H234" s="121">
        <f t="shared" si="148"/>
        <v>1.660672</v>
      </c>
      <c r="I234" s="121">
        <f t="shared" si="148"/>
        <v>1.660672</v>
      </c>
      <c r="J234" s="121">
        <f t="shared" si="148"/>
        <v>3.446074</v>
      </c>
      <c r="K234" s="121">
        <f t="shared" si="148"/>
        <v>4.103704</v>
      </c>
      <c r="L234" s="121">
        <f t="shared" si="148"/>
        <v>6.787912</v>
      </c>
      <c r="M234" s="121">
        <f t="shared" si="148"/>
        <v>9.68586</v>
      </c>
      <c r="N234" s="121">
        <f t="shared" si="148"/>
        <v>9.68586</v>
      </c>
      <c r="O234" s="121">
        <f t="shared" si="148"/>
        <v>9.68586</v>
      </c>
      <c r="P234" s="121">
        <f t="shared" si="148"/>
        <v>11.204611</v>
      </c>
      <c r="Q234" s="121">
        <f t="shared" si="148"/>
        <v>11.969462</v>
      </c>
    </row>
    <row r="235" ht="24" customHeight="1" spans="1:17">
      <c r="A235" s="99" t="s">
        <v>289</v>
      </c>
      <c r="B235" s="99" t="s">
        <v>299</v>
      </c>
      <c r="C235" s="99" t="s">
        <v>343</v>
      </c>
      <c r="D235" s="48" t="s">
        <v>31</v>
      </c>
      <c r="E235" s="48" t="s">
        <v>82</v>
      </c>
      <c r="F235" s="121">
        <f t="shared" si="147"/>
        <v>0.947026</v>
      </c>
      <c r="G235" s="121">
        <f t="shared" ref="G235:Q235" si="149">F235+G185</f>
        <v>0.947026</v>
      </c>
      <c r="H235" s="121">
        <f t="shared" si="149"/>
        <v>0.947026</v>
      </c>
      <c r="I235" s="121">
        <f t="shared" si="149"/>
        <v>1.135823</v>
      </c>
      <c r="J235" s="121">
        <f t="shared" si="149"/>
        <v>4.48321</v>
      </c>
      <c r="K235" s="121">
        <f t="shared" si="149"/>
        <v>4.48321</v>
      </c>
      <c r="L235" s="121">
        <f t="shared" si="149"/>
        <v>4.48321</v>
      </c>
      <c r="M235" s="121">
        <f t="shared" si="149"/>
        <v>5.551971</v>
      </c>
      <c r="N235" s="121">
        <f t="shared" si="149"/>
        <v>6.641406</v>
      </c>
      <c r="O235" s="121">
        <f t="shared" si="149"/>
        <v>7.048381</v>
      </c>
      <c r="P235" s="121">
        <f t="shared" si="149"/>
        <v>7.401429</v>
      </c>
      <c r="Q235" s="121">
        <f t="shared" si="149"/>
        <v>10.102264</v>
      </c>
    </row>
    <row r="236" ht="24" customHeight="1" spans="1:17">
      <c r="A236" s="99" t="s">
        <v>289</v>
      </c>
      <c r="B236" s="99" t="s">
        <v>299</v>
      </c>
      <c r="C236" s="99" t="s">
        <v>343</v>
      </c>
      <c r="D236" s="48" t="s">
        <v>31</v>
      </c>
      <c r="E236" s="48" t="s">
        <v>86</v>
      </c>
      <c r="F236" s="121">
        <f t="shared" si="147"/>
        <v>0.669592</v>
      </c>
      <c r="G236" s="121">
        <f t="shared" ref="G236:Q236" si="150">F236+G186</f>
        <v>0.669592</v>
      </c>
      <c r="H236" s="121">
        <f t="shared" si="150"/>
        <v>1.481915</v>
      </c>
      <c r="I236" s="121">
        <f t="shared" si="150"/>
        <v>3.27338</v>
      </c>
      <c r="J236" s="121">
        <f t="shared" si="150"/>
        <v>17.865921</v>
      </c>
      <c r="K236" s="121">
        <f t="shared" si="150"/>
        <v>21.372681</v>
      </c>
      <c r="L236" s="121">
        <f t="shared" si="150"/>
        <v>22.094745</v>
      </c>
      <c r="M236" s="121">
        <f t="shared" si="150"/>
        <v>22.502633</v>
      </c>
      <c r="N236" s="121">
        <f t="shared" si="150"/>
        <v>22.649346</v>
      </c>
      <c r="O236" s="121">
        <f t="shared" si="150"/>
        <v>22.649346</v>
      </c>
      <c r="P236" s="121">
        <f t="shared" si="150"/>
        <v>22.649346</v>
      </c>
      <c r="Q236" s="121">
        <f t="shared" si="150"/>
        <v>22.649346</v>
      </c>
    </row>
    <row r="237" ht="24" customHeight="1" spans="1:17">
      <c r="A237" s="99" t="s">
        <v>289</v>
      </c>
      <c r="B237" s="99" t="s">
        <v>299</v>
      </c>
      <c r="C237" s="99" t="s">
        <v>343</v>
      </c>
      <c r="D237" s="48" t="s">
        <v>31</v>
      </c>
      <c r="E237" s="48" t="s">
        <v>97</v>
      </c>
      <c r="F237" s="121">
        <f t="shared" si="147"/>
        <v>0.450327</v>
      </c>
      <c r="G237" s="121">
        <f t="shared" ref="G237:Q237" si="151">F237+G187</f>
        <v>3.386338</v>
      </c>
      <c r="H237" s="121">
        <f t="shared" si="151"/>
        <v>5.240522</v>
      </c>
      <c r="I237" s="121">
        <f t="shared" si="151"/>
        <v>5.240522</v>
      </c>
      <c r="J237" s="121">
        <f t="shared" si="151"/>
        <v>13.351403</v>
      </c>
      <c r="K237" s="121">
        <f t="shared" si="151"/>
        <v>13.351403</v>
      </c>
      <c r="L237" s="121">
        <f t="shared" si="151"/>
        <v>13.351403</v>
      </c>
      <c r="M237" s="121">
        <f t="shared" si="151"/>
        <v>13.996833</v>
      </c>
      <c r="N237" s="121">
        <f t="shared" si="151"/>
        <v>13.996833</v>
      </c>
      <c r="O237" s="121">
        <f t="shared" si="151"/>
        <v>14.078608</v>
      </c>
      <c r="P237" s="121">
        <f t="shared" si="151"/>
        <v>14.378606</v>
      </c>
      <c r="Q237" s="121">
        <f t="shared" si="151"/>
        <v>14.378606</v>
      </c>
    </row>
    <row r="238" ht="24" customHeight="1" spans="1:17">
      <c r="A238" s="99" t="s">
        <v>289</v>
      </c>
      <c r="B238" s="99" t="s">
        <v>299</v>
      </c>
      <c r="C238" s="99" t="s">
        <v>343</v>
      </c>
      <c r="D238" s="48" t="s">
        <v>31</v>
      </c>
      <c r="E238" s="48" t="s">
        <v>87</v>
      </c>
      <c r="F238" s="121">
        <f t="shared" si="147"/>
        <v>0.461988</v>
      </c>
      <c r="G238" s="121">
        <f t="shared" ref="G238:Q238" si="152">F238+G188</f>
        <v>0.461988</v>
      </c>
      <c r="H238" s="121">
        <f t="shared" si="152"/>
        <v>0.461988</v>
      </c>
      <c r="I238" s="121">
        <f t="shared" si="152"/>
        <v>0.461988</v>
      </c>
      <c r="J238" s="121">
        <f t="shared" si="152"/>
        <v>0.461988</v>
      </c>
      <c r="K238" s="121">
        <f t="shared" si="152"/>
        <v>0.461988</v>
      </c>
      <c r="L238" s="121">
        <f t="shared" si="152"/>
        <v>0.461988</v>
      </c>
      <c r="M238" s="121">
        <f t="shared" si="152"/>
        <v>0.461988</v>
      </c>
      <c r="N238" s="121">
        <f t="shared" si="152"/>
        <v>0.606947</v>
      </c>
      <c r="O238" s="121">
        <f t="shared" si="152"/>
        <v>0.606947</v>
      </c>
      <c r="P238" s="121">
        <f t="shared" si="152"/>
        <v>0.606947</v>
      </c>
      <c r="Q238" s="121">
        <f t="shared" si="152"/>
        <v>0.606947</v>
      </c>
    </row>
    <row r="239" ht="24" customHeight="1" spans="1:17">
      <c r="A239" s="99" t="s">
        <v>289</v>
      </c>
      <c r="B239" s="99" t="s">
        <v>299</v>
      </c>
      <c r="C239" s="99" t="s">
        <v>343</v>
      </c>
      <c r="D239" s="48" t="s">
        <v>31</v>
      </c>
      <c r="E239" s="48" t="s">
        <v>83</v>
      </c>
      <c r="F239" s="121">
        <f t="shared" si="147"/>
        <v>0</v>
      </c>
      <c r="G239" s="121">
        <f t="shared" ref="G239:Q239" si="153">F239+G189</f>
        <v>0</v>
      </c>
      <c r="H239" s="121">
        <f t="shared" si="153"/>
        <v>0</v>
      </c>
      <c r="I239" s="121">
        <f t="shared" si="153"/>
        <v>0</v>
      </c>
      <c r="J239" s="121">
        <f t="shared" si="153"/>
        <v>0</v>
      </c>
      <c r="K239" s="121">
        <f t="shared" si="153"/>
        <v>0</v>
      </c>
      <c r="L239" s="121">
        <f t="shared" si="153"/>
        <v>0</v>
      </c>
      <c r="M239" s="121">
        <f t="shared" si="153"/>
        <v>0</v>
      </c>
      <c r="N239" s="121">
        <f t="shared" si="153"/>
        <v>0</v>
      </c>
      <c r="O239" s="121">
        <f t="shared" si="153"/>
        <v>0</v>
      </c>
      <c r="P239" s="121">
        <f t="shared" si="153"/>
        <v>0</v>
      </c>
      <c r="Q239" s="121">
        <f t="shared" si="153"/>
        <v>0.925252</v>
      </c>
    </row>
    <row r="240" ht="24" customHeight="1" spans="1:17">
      <c r="A240" s="99" t="s">
        <v>289</v>
      </c>
      <c r="B240" s="99" t="s">
        <v>299</v>
      </c>
      <c r="C240" s="99" t="s">
        <v>343</v>
      </c>
      <c r="D240" s="48" t="s">
        <v>321</v>
      </c>
      <c r="E240" s="48" t="s">
        <v>406</v>
      </c>
      <c r="F240" s="112">
        <f t="shared" ref="F240:Q240" si="154">IFERROR(F234/F233,"-")</f>
        <v>0.39637913359374</v>
      </c>
      <c r="G240" s="112">
        <f t="shared" si="154"/>
        <v>0.233056622753738</v>
      </c>
      <c r="H240" s="112">
        <f t="shared" si="154"/>
        <v>0.169592640942112</v>
      </c>
      <c r="I240" s="112">
        <f t="shared" si="154"/>
        <v>0.141065043319599</v>
      </c>
      <c r="J240" s="112">
        <f t="shared" si="154"/>
        <v>0.0870031848642148</v>
      </c>
      <c r="K240" s="112">
        <f t="shared" si="154"/>
        <v>0.0937496930184292</v>
      </c>
      <c r="L240" s="112">
        <f t="shared" si="154"/>
        <v>0.143874920627196</v>
      </c>
      <c r="M240" s="112">
        <f t="shared" si="154"/>
        <v>0.185555415174748</v>
      </c>
      <c r="N240" s="112">
        <f t="shared" si="154"/>
        <v>0.180772473631772</v>
      </c>
      <c r="O240" s="112">
        <f t="shared" si="154"/>
        <v>0.179138407633692</v>
      </c>
      <c r="P240" s="112">
        <f t="shared" si="154"/>
        <v>0.199225176521324</v>
      </c>
      <c r="Q240" s="112">
        <f t="shared" si="154"/>
        <v>0.197412031298322</v>
      </c>
    </row>
    <row r="241" ht="24" customHeight="1" spans="1:17">
      <c r="A241" s="99" t="s">
        <v>289</v>
      </c>
      <c r="B241" s="99" t="s">
        <v>299</v>
      </c>
      <c r="C241" s="99" t="s">
        <v>343</v>
      </c>
      <c r="D241" s="48" t="s">
        <v>321</v>
      </c>
      <c r="E241" s="48" t="s">
        <v>82</v>
      </c>
      <c r="F241" s="112">
        <f t="shared" ref="F241:Q241" si="155">IFERROR(F235/F233,"-")</f>
        <v>0.226041834492751</v>
      </c>
      <c r="G241" s="112">
        <f t="shared" si="155"/>
        <v>0.132904439419694</v>
      </c>
      <c r="H241" s="112">
        <f t="shared" si="155"/>
        <v>0.0967130416968823</v>
      </c>
      <c r="I241" s="112">
        <f t="shared" si="155"/>
        <v>0.0964819788003875</v>
      </c>
      <c r="J241" s="112">
        <f t="shared" si="155"/>
        <v>0.113187803980732</v>
      </c>
      <c r="K241" s="112">
        <f t="shared" si="155"/>
        <v>0.102419560776594</v>
      </c>
      <c r="L241" s="112">
        <f t="shared" si="155"/>
        <v>0.0950250213769789</v>
      </c>
      <c r="M241" s="112">
        <f t="shared" si="155"/>
        <v>0.106361054562337</v>
      </c>
      <c r="N241" s="112">
        <f t="shared" si="155"/>
        <v>0.123952172653011</v>
      </c>
      <c r="O241" s="112">
        <f t="shared" si="155"/>
        <v>0.130358661877786</v>
      </c>
      <c r="P241" s="112">
        <f t="shared" si="155"/>
        <v>0.13160215906068</v>
      </c>
      <c r="Q241" s="112">
        <f t="shared" si="155"/>
        <v>0.166616382336308</v>
      </c>
    </row>
    <row r="242" ht="24" customHeight="1" spans="1:17">
      <c r="A242" s="99" t="s">
        <v>289</v>
      </c>
      <c r="B242" s="99" t="s">
        <v>299</v>
      </c>
      <c r="C242" s="99" t="s">
        <v>343</v>
      </c>
      <c r="D242" s="48" t="s">
        <v>321</v>
      </c>
      <c r="E242" s="48" t="s">
        <v>86</v>
      </c>
      <c r="F242" s="112">
        <f t="shared" ref="F242:Q242" si="156">IFERROR(F236/F233,"-")</f>
        <v>0.159822226677694</v>
      </c>
      <c r="G242" s="112">
        <f t="shared" si="156"/>
        <v>0.0939697003038053</v>
      </c>
      <c r="H242" s="112">
        <f t="shared" si="156"/>
        <v>0.151337457668781</v>
      </c>
      <c r="I242" s="112">
        <f t="shared" si="156"/>
        <v>0.278055806024013</v>
      </c>
      <c r="J242" s="112">
        <f t="shared" si="156"/>
        <v>0.451061708928032</v>
      </c>
      <c r="K242" s="112">
        <f t="shared" si="156"/>
        <v>0.488261892848708</v>
      </c>
      <c r="L242" s="112">
        <f t="shared" si="156"/>
        <v>0.468314804781372</v>
      </c>
      <c r="M242" s="112">
        <f t="shared" si="156"/>
        <v>0.431090828159811</v>
      </c>
      <c r="N242" s="112">
        <f t="shared" si="156"/>
        <v>0.422717064108079</v>
      </c>
      <c r="O242" s="112">
        <f t="shared" si="156"/>
        <v>0.418895975822956</v>
      </c>
      <c r="P242" s="112">
        <f t="shared" si="156"/>
        <v>0.402719911913277</v>
      </c>
      <c r="Q242" s="112">
        <f t="shared" si="156"/>
        <v>0.373555085553429</v>
      </c>
    </row>
    <row r="243" ht="24" customHeight="1" spans="1:17">
      <c r="A243" s="99" t="s">
        <v>289</v>
      </c>
      <c r="B243" s="99" t="s">
        <v>299</v>
      </c>
      <c r="C243" s="99" t="s">
        <v>343</v>
      </c>
      <c r="D243" s="48" t="s">
        <v>321</v>
      </c>
      <c r="E243" s="48" t="s">
        <v>97</v>
      </c>
      <c r="F243" s="112">
        <f t="shared" ref="F243:Q243" si="157">IFERROR(F237/F233,"-")</f>
        <v>0.107486743977057</v>
      </c>
      <c r="G243" s="112">
        <f t="shared" si="157"/>
        <v>0.475234421838056</v>
      </c>
      <c r="H243" s="112">
        <f t="shared" si="157"/>
        <v>0.535177305268735</v>
      </c>
      <c r="I243" s="112">
        <f t="shared" si="157"/>
        <v>0.445153806981338</v>
      </c>
      <c r="J243" s="112">
        <f t="shared" si="157"/>
        <v>0.337083470466865</v>
      </c>
      <c r="K243" s="112">
        <f t="shared" si="157"/>
        <v>0.305014672748165</v>
      </c>
      <c r="L243" s="112">
        <f t="shared" si="157"/>
        <v>0.28299306869133</v>
      </c>
      <c r="M243" s="112">
        <f t="shared" si="157"/>
        <v>0.268142236047869</v>
      </c>
      <c r="N243" s="112">
        <f t="shared" si="157"/>
        <v>0.261230507608082</v>
      </c>
      <c r="O243" s="112">
        <f t="shared" si="157"/>
        <v>0.260381568473937</v>
      </c>
      <c r="P243" s="112">
        <f t="shared" si="157"/>
        <v>0.255660845207439</v>
      </c>
      <c r="Q243" s="112">
        <f t="shared" si="157"/>
        <v>0.237145981807556</v>
      </c>
    </row>
    <row r="244" ht="24" customHeight="1" spans="1:17">
      <c r="A244" s="99" t="s">
        <v>289</v>
      </c>
      <c r="B244" s="99" t="s">
        <v>299</v>
      </c>
      <c r="C244" s="99" t="s">
        <v>343</v>
      </c>
      <c r="D244" s="48" t="s">
        <v>321</v>
      </c>
      <c r="E244" s="48" t="s">
        <v>87</v>
      </c>
      <c r="F244" s="112">
        <f t="shared" ref="F244:Q244" si="158">IFERROR(F238/F233,"-")</f>
        <v>0.110270061258758</v>
      </c>
      <c r="G244" s="112">
        <f t="shared" si="158"/>
        <v>0.0648348156847071</v>
      </c>
      <c r="H244" s="112">
        <f t="shared" si="158"/>
        <v>0.0471795544234892</v>
      </c>
      <c r="I244" s="112">
        <f t="shared" si="158"/>
        <v>0.0392433648746622</v>
      </c>
      <c r="J244" s="112">
        <f t="shared" si="158"/>
        <v>0.0116638317601563</v>
      </c>
      <c r="K244" s="112">
        <f t="shared" si="158"/>
        <v>0.0105541806081038</v>
      </c>
      <c r="L244" s="112">
        <f t="shared" si="158"/>
        <v>0.00979218452312243</v>
      </c>
      <c r="M244" s="112">
        <f t="shared" si="158"/>
        <v>0.00885046605523428</v>
      </c>
      <c r="N244" s="112">
        <f t="shared" si="158"/>
        <v>0.0113277819990567</v>
      </c>
      <c r="O244" s="112">
        <f t="shared" si="158"/>
        <v>0.0112253861916285</v>
      </c>
      <c r="P244" s="112">
        <f t="shared" si="158"/>
        <v>0.0107919072972804</v>
      </c>
      <c r="Q244" s="112">
        <f t="shared" si="158"/>
        <v>0.0100103613813572</v>
      </c>
    </row>
    <row r="245" ht="24" customHeight="1" spans="1:17">
      <c r="A245" s="99" t="s">
        <v>289</v>
      </c>
      <c r="B245" s="99" t="s">
        <v>299</v>
      </c>
      <c r="C245" s="99" t="s">
        <v>343</v>
      </c>
      <c r="D245" s="48" t="s">
        <v>321</v>
      </c>
      <c r="E245" s="48" t="s">
        <v>83</v>
      </c>
      <c r="F245" s="112">
        <f t="shared" ref="F245:Q245" si="159">IFERROR(F239/F233,"-")</f>
        <v>0</v>
      </c>
      <c r="G245" s="112">
        <f t="shared" si="159"/>
        <v>0</v>
      </c>
      <c r="H245" s="112">
        <f t="shared" si="159"/>
        <v>0</v>
      </c>
      <c r="I245" s="112">
        <f t="shared" si="159"/>
        <v>0</v>
      </c>
      <c r="J245" s="112">
        <f t="shared" si="159"/>
        <v>0</v>
      </c>
      <c r="K245" s="112">
        <f t="shared" si="159"/>
        <v>0</v>
      </c>
      <c r="L245" s="112">
        <f t="shared" si="159"/>
        <v>0</v>
      </c>
      <c r="M245" s="112">
        <f t="shared" si="159"/>
        <v>0</v>
      </c>
      <c r="N245" s="112">
        <f t="shared" si="159"/>
        <v>0</v>
      </c>
      <c r="O245" s="112">
        <f t="shared" si="159"/>
        <v>0</v>
      </c>
      <c r="P245" s="112">
        <f t="shared" si="159"/>
        <v>0</v>
      </c>
      <c r="Q245" s="112">
        <f t="shared" si="159"/>
        <v>0.0152601576230272</v>
      </c>
    </row>
    <row r="246" ht="24" customHeight="1" spans="1:17">
      <c r="A246" s="99" t="s">
        <v>289</v>
      </c>
      <c r="B246" s="99" t="s">
        <v>299</v>
      </c>
      <c r="C246" s="99" t="s">
        <v>343</v>
      </c>
      <c r="D246" s="47" t="s">
        <v>294</v>
      </c>
      <c r="E246" s="47" t="s">
        <v>93</v>
      </c>
      <c r="F246" s="125">
        <f t="shared" ref="F246:F250" si="160">F190</f>
        <v>3.518908</v>
      </c>
      <c r="G246" s="125">
        <f t="shared" ref="G246:Q246" si="161">F246+G190</f>
        <v>6.454919</v>
      </c>
      <c r="H246" s="125">
        <f t="shared" si="161"/>
        <v>8.309103</v>
      </c>
      <c r="I246" s="125">
        <f t="shared" si="161"/>
        <v>9.411887</v>
      </c>
      <c r="J246" s="125">
        <f t="shared" si="161"/>
        <v>33.208297</v>
      </c>
      <c r="K246" s="125">
        <f t="shared" si="161"/>
        <v>35.106247</v>
      </c>
      <c r="L246" s="125">
        <f t="shared" si="161"/>
        <v>37.852664</v>
      </c>
      <c r="M246" s="125">
        <f t="shared" si="161"/>
        <v>41.396042</v>
      </c>
      <c r="N246" s="125">
        <f t="shared" si="161"/>
        <v>41.699928</v>
      </c>
      <c r="O246" s="125">
        <f t="shared" si="161"/>
        <v>41.699928</v>
      </c>
      <c r="P246" s="125">
        <f t="shared" si="161"/>
        <v>43.218679</v>
      </c>
      <c r="Q246" s="125">
        <f t="shared" si="161"/>
        <v>45.919514</v>
      </c>
    </row>
    <row r="247" ht="24" customHeight="1" spans="1:17">
      <c r="A247" s="99" t="s">
        <v>289</v>
      </c>
      <c r="B247" s="99" t="s">
        <v>299</v>
      </c>
      <c r="C247" s="99" t="s">
        <v>343</v>
      </c>
      <c r="D247" s="47" t="s">
        <v>294</v>
      </c>
      <c r="E247" s="47" t="s">
        <v>85</v>
      </c>
      <c r="F247" s="125">
        <f t="shared" si="160"/>
        <v>0.450327</v>
      </c>
      <c r="G247" s="125">
        <f t="shared" ref="G247:Q247" si="162">F247+G191</f>
        <v>0.450327</v>
      </c>
      <c r="H247" s="125">
        <f t="shared" si="162"/>
        <v>1.26265</v>
      </c>
      <c r="I247" s="125">
        <f t="shared" si="162"/>
        <v>1.451447</v>
      </c>
      <c r="J247" s="125">
        <f t="shared" si="162"/>
        <v>4.225288</v>
      </c>
      <c r="K247" s="125">
        <f t="shared" si="162"/>
        <v>4.882918</v>
      </c>
      <c r="L247" s="125">
        <f t="shared" si="162"/>
        <v>5.542773</v>
      </c>
      <c r="M247" s="125">
        <f t="shared" si="162"/>
        <v>5.950661</v>
      </c>
      <c r="N247" s="125">
        <f t="shared" si="162"/>
        <v>6.242333</v>
      </c>
      <c r="O247" s="125">
        <f t="shared" si="162"/>
        <v>6.324108</v>
      </c>
      <c r="P247" s="125">
        <f t="shared" si="162"/>
        <v>6.324108</v>
      </c>
      <c r="Q247" s="125">
        <f t="shared" si="162"/>
        <v>8.014211</v>
      </c>
    </row>
    <row r="248" ht="24" customHeight="1" spans="1:17">
      <c r="A248" s="99" t="s">
        <v>289</v>
      </c>
      <c r="B248" s="99" t="s">
        <v>299</v>
      </c>
      <c r="C248" s="99" t="s">
        <v>343</v>
      </c>
      <c r="D248" s="47" t="s">
        <v>294</v>
      </c>
      <c r="E248" s="47" t="s">
        <v>81</v>
      </c>
      <c r="F248" s="125">
        <f t="shared" si="160"/>
        <v>0.22037</v>
      </c>
      <c r="G248" s="125">
        <f t="shared" ref="G248:Q248" si="163">F248+G192</f>
        <v>0.22037</v>
      </c>
      <c r="H248" s="125">
        <f t="shared" si="163"/>
        <v>0.22037</v>
      </c>
      <c r="I248" s="125">
        <f t="shared" si="163"/>
        <v>0.909051</v>
      </c>
      <c r="J248" s="125">
        <f t="shared" si="163"/>
        <v>2.175011</v>
      </c>
      <c r="K248" s="125">
        <f t="shared" si="163"/>
        <v>3.783821</v>
      </c>
      <c r="L248" s="125">
        <f t="shared" si="163"/>
        <v>3.783821</v>
      </c>
      <c r="M248" s="125">
        <f t="shared" si="163"/>
        <v>4.852582</v>
      </c>
      <c r="N248" s="125">
        <f t="shared" si="163"/>
        <v>5.638131</v>
      </c>
      <c r="O248" s="125">
        <f t="shared" si="163"/>
        <v>6.045106</v>
      </c>
      <c r="P248" s="125">
        <f t="shared" si="163"/>
        <v>6.398154</v>
      </c>
      <c r="Q248" s="125">
        <f t="shared" si="163"/>
        <v>6.398154</v>
      </c>
    </row>
    <row r="249" ht="24" customHeight="1" spans="1:17">
      <c r="A249" s="99" t="s">
        <v>289</v>
      </c>
      <c r="B249" s="99" t="s">
        <v>299</v>
      </c>
      <c r="C249" s="99" t="s">
        <v>343</v>
      </c>
      <c r="D249" s="47" t="s">
        <v>294</v>
      </c>
      <c r="E249" s="47" t="s">
        <v>96</v>
      </c>
      <c r="F249" s="125">
        <f t="shared" si="160"/>
        <v>0</v>
      </c>
      <c r="G249" s="125">
        <f t="shared" ref="G249:Q249" si="164">F249+G193</f>
        <v>0</v>
      </c>
      <c r="H249" s="125">
        <f t="shared" si="164"/>
        <v>0</v>
      </c>
      <c r="I249" s="125">
        <f t="shared" si="164"/>
        <v>0</v>
      </c>
      <c r="J249" s="125">
        <f t="shared" si="164"/>
        <v>0</v>
      </c>
      <c r="K249" s="125">
        <f t="shared" si="164"/>
        <v>0</v>
      </c>
      <c r="L249" s="125">
        <f t="shared" si="164"/>
        <v>0</v>
      </c>
      <c r="M249" s="125">
        <f t="shared" si="164"/>
        <v>0</v>
      </c>
      <c r="N249" s="125">
        <f t="shared" si="164"/>
        <v>0</v>
      </c>
      <c r="O249" s="125">
        <f t="shared" si="164"/>
        <v>0</v>
      </c>
      <c r="P249" s="125">
        <f t="shared" si="164"/>
        <v>0.299998</v>
      </c>
      <c r="Q249" s="125">
        <f t="shared" si="164"/>
        <v>0.299998</v>
      </c>
    </row>
    <row r="250" ht="24" customHeight="1" spans="1:17">
      <c r="A250" s="99" t="s">
        <v>289</v>
      </c>
      <c r="B250" s="99" t="s">
        <v>299</v>
      </c>
      <c r="C250" s="99" t="s">
        <v>343</v>
      </c>
      <c r="D250" s="47" t="s">
        <v>294</v>
      </c>
      <c r="E250" s="47" t="s">
        <v>160</v>
      </c>
      <c r="F250" s="125">
        <f t="shared" si="160"/>
        <v>0</v>
      </c>
      <c r="G250" s="125">
        <f t="shared" ref="G250:Q250" si="165">F250+G194</f>
        <v>0</v>
      </c>
      <c r="H250" s="125">
        <f t="shared" si="165"/>
        <v>0</v>
      </c>
      <c r="I250" s="125">
        <f t="shared" si="165"/>
        <v>0</v>
      </c>
      <c r="J250" s="125">
        <f t="shared" si="165"/>
        <v>0</v>
      </c>
      <c r="K250" s="125">
        <f t="shared" si="165"/>
        <v>0</v>
      </c>
      <c r="L250" s="125">
        <f t="shared" si="165"/>
        <v>0</v>
      </c>
      <c r="M250" s="125">
        <f t="shared" si="165"/>
        <v>0</v>
      </c>
      <c r="N250" s="125">
        <f t="shared" si="165"/>
        <v>0</v>
      </c>
      <c r="O250" s="125">
        <f t="shared" si="165"/>
        <v>0</v>
      </c>
      <c r="P250" s="125">
        <f t="shared" si="165"/>
        <v>0</v>
      </c>
      <c r="Q250" s="125">
        <f t="shared" si="165"/>
        <v>0</v>
      </c>
    </row>
    <row r="251" ht="24" customHeight="1" spans="1:17">
      <c r="A251" s="99" t="s">
        <v>289</v>
      </c>
      <c r="B251" s="99" t="s">
        <v>299</v>
      </c>
      <c r="C251" s="99" t="s">
        <v>343</v>
      </c>
      <c r="D251" s="47" t="s">
        <v>321</v>
      </c>
      <c r="E251" s="47" t="s">
        <v>93</v>
      </c>
      <c r="F251" s="126">
        <f t="shared" ref="F251:Q251" si="166">IFERROR(F246/F233,"-")</f>
        <v>0.839914025307875</v>
      </c>
      <c r="G251" s="126">
        <f t="shared" si="166"/>
        <v>0.905875225384023</v>
      </c>
      <c r="H251" s="126">
        <f t="shared" si="166"/>
        <v>0.848549696526484</v>
      </c>
      <c r="I251" s="126">
        <f t="shared" si="166"/>
        <v>0.79948854883696</v>
      </c>
      <c r="J251" s="126">
        <f t="shared" si="166"/>
        <v>0.838411364038251</v>
      </c>
      <c r="K251" s="126">
        <f t="shared" si="166"/>
        <v>0.802007132892419</v>
      </c>
      <c r="L251" s="126">
        <f t="shared" si="166"/>
        <v>0.802315797336194</v>
      </c>
      <c r="M251" s="126">
        <f t="shared" si="166"/>
        <v>0.793038487021422</v>
      </c>
      <c r="N251" s="126">
        <f t="shared" si="166"/>
        <v>0.778268438200303</v>
      </c>
      <c r="O251" s="126">
        <f t="shared" si="166"/>
        <v>0.771233395935893</v>
      </c>
      <c r="P251" s="126">
        <f t="shared" si="166"/>
        <v>0.76845585739598</v>
      </c>
      <c r="Q251" s="126">
        <f t="shared" si="166"/>
        <v>0.757349372509118</v>
      </c>
    </row>
    <row r="252" ht="24" customHeight="1" spans="1:17">
      <c r="A252" s="99" t="s">
        <v>289</v>
      </c>
      <c r="B252" s="99" t="s">
        <v>299</v>
      </c>
      <c r="C252" s="99" t="s">
        <v>343</v>
      </c>
      <c r="D252" s="47" t="s">
        <v>321</v>
      </c>
      <c r="E252" s="47" t="s">
        <v>85</v>
      </c>
      <c r="F252" s="126">
        <f t="shared" ref="F252:Q252" si="167">IFERROR(F247/F233,"-")</f>
        <v>0.107486743977057</v>
      </c>
      <c r="G252" s="126">
        <f t="shared" si="167"/>
        <v>0.063198325590377</v>
      </c>
      <c r="H252" s="126">
        <f t="shared" si="167"/>
        <v>0.128945479953632</v>
      </c>
      <c r="I252" s="126">
        <f t="shared" si="167"/>
        <v>0.123292518890607</v>
      </c>
      <c r="J252" s="126">
        <f t="shared" si="167"/>
        <v>0.1066760356767</v>
      </c>
      <c r="K252" s="126">
        <f t="shared" si="167"/>
        <v>0.11155094605609</v>
      </c>
      <c r="L252" s="126">
        <f t="shared" si="167"/>
        <v>0.117483259274658</v>
      </c>
      <c r="M252" s="126">
        <f t="shared" si="167"/>
        <v>0.113998898643918</v>
      </c>
      <c r="N252" s="126">
        <f t="shared" si="167"/>
        <v>0.11650405618533</v>
      </c>
      <c r="O252" s="126">
        <f t="shared" si="167"/>
        <v>0.116963350370901</v>
      </c>
      <c r="P252" s="126">
        <f t="shared" si="167"/>
        <v>0.112446700080879</v>
      </c>
      <c r="Q252" s="126">
        <f t="shared" si="167"/>
        <v>0.132178177495643</v>
      </c>
    </row>
    <row r="253" ht="24" customHeight="1" spans="1:17">
      <c r="A253" s="99" t="s">
        <v>289</v>
      </c>
      <c r="B253" s="99" t="s">
        <v>299</v>
      </c>
      <c r="C253" s="99" t="s">
        <v>343</v>
      </c>
      <c r="D253" s="47" t="s">
        <v>321</v>
      </c>
      <c r="E253" s="47" t="s">
        <v>81</v>
      </c>
      <c r="F253" s="126">
        <f t="shared" ref="F253:Q253" si="168">IFERROR(F248/F233,"-")</f>
        <v>0.0525992307150674</v>
      </c>
      <c r="G253" s="126">
        <f t="shared" si="168"/>
        <v>0.0309264490256</v>
      </c>
      <c r="H253" s="126">
        <f t="shared" si="168"/>
        <v>0.0225048235198843</v>
      </c>
      <c r="I253" s="126">
        <f t="shared" si="168"/>
        <v>0.0772189322724325</v>
      </c>
      <c r="J253" s="126">
        <f t="shared" si="168"/>
        <v>0.0549126002850492</v>
      </c>
      <c r="K253" s="126">
        <f t="shared" si="168"/>
        <v>0.0864419210514905</v>
      </c>
      <c r="L253" s="126">
        <f t="shared" si="168"/>
        <v>0.0802009433891478</v>
      </c>
      <c r="M253" s="126">
        <f t="shared" si="168"/>
        <v>0.09296261433466</v>
      </c>
      <c r="N253" s="126">
        <f t="shared" si="168"/>
        <v>0.105227505614367</v>
      </c>
      <c r="O253" s="126">
        <f t="shared" si="168"/>
        <v>0.111803253693206</v>
      </c>
      <c r="P253" s="126">
        <f t="shared" si="168"/>
        <v>0.113763285495642</v>
      </c>
      <c r="Q253" s="126">
        <f t="shared" si="168"/>
        <v>0.105524590637364</v>
      </c>
    </row>
    <row r="254" ht="24" customHeight="1" spans="1:17">
      <c r="A254" s="99" t="s">
        <v>289</v>
      </c>
      <c r="B254" s="99" t="s">
        <v>299</v>
      </c>
      <c r="C254" s="99" t="s">
        <v>343</v>
      </c>
      <c r="D254" s="47" t="s">
        <v>321</v>
      </c>
      <c r="E254" s="47" t="s">
        <v>96</v>
      </c>
      <c r="F254" s="126">
        <f t="shared" ref="F254:Q254" si="169">IFERROR(F249/F233,"-")</f>
        <v>0</v>
      </c>
      <c r="G254" s="126">
        <f t="shared" si="169"/>
        <v>0</v>
      </c>
      <c r="H254" s="126">
        <f t="shared" si="169"/>
        <v>0</v>
      </c>
      <c r="I254" s="126">
        <f t="shared" si="169"/>
        <v>0</v>
      </c>
      <c r="J254" s="126">
        <f t="shared" si="169"/>
        <v>0</v>
      </c>
      <c r="K254" s="126">
        <f t="shared" si="169"/>
        <v>0</v>
      </c>
      <c r="L254" s="126">
        <f t="shared" si="169"/>
        <v>0</v>
      </c>
      <c r="M254" s="126">
        <f t="shared" si="169"/>
        <v>0</v>
      </c>
      <c r="N254" s="126">
        <f t="shared" si="169"/>
        <v>0</v>
      </c>
      <c r="O254" s="126">
        <f t="shared" si="169"/>
        <v>0</v>
      </c>
      <c r="P254" s="126">
        <f t="shared" si="169"/>
        <v>0.00533415702749913</v>
      </c>
      <c r="Q254" s="126">
        <f t="shared" si="169"/>
        <v>0.0049478593578754</v>
      </c>
    </row>
    <row r="255" ht="24" customHeight="1" spans="1:17">
      <c r="A255" s="99" t="s">
        <v>289</v>
      </c>
      <c r="B255" s="99" t="s">
        <v>299</v>
      </c>
      <c r="C255" s="99" t="s">
        <v>343</v>
      </c>
      <c r="D255" s="47" t="s">
        <v>321</v>
      </c>
      <c r="E255" s="47" t="s">
        <v>160</v>
      </c>
      <c r="F255" s="126">
        <f t="shared" ref="F255:Q255" si="170">IFERROR(F250/F233,"-")</f>
        <v>0</v>
      </c>
      <c r="G255" s="126">
        <f t="shared" si="170"/>
        <v>0</v>
      </c>
      <c r="H255" s="126">
        <f t="shared" si="170"/>
        <v>0</v>
      </c>
      <c r="I255" s="126">
        <f t="shared" si="170"/>
        <v>0</v>
      </c>
      <c r="J255" s="126">
        <f t="shared" si="170"/>
        <v>0</v>
      </c>
      <c r="K255" s="126">
        <f t="shared" si="170"/>
        <v>0</v>
      </c>
      <c r="L255" s="126">
        <f t="shared" si="170"/>
        <v>0</v>
      </c>
      <c r="M255" s="126">
        <f t="shared" si="170"/>
        <v>0</v>
      </c>
      <c r="N255" s="126">
        <f t="shared" si="170"/>
        <v>0</v>
      </c>
      <c r="O255" s="126">
        <f t="shared" si="170"/>
        <v>0</v>
      </c>
      <c r="P255" s="126">
        <f t="shared" si="170"/>
        <v>0</v>
      </c>
      <c r="Q255" s="126">
        <f t="shared" si="170"/>
        <v>0</v>
      </c>
    </row>
    <row r="256" ht="24" customHeight="1" spans="1:17">
      <c r="A256" s="99" t="s">
        <v>289</v>
      </c>
      <c r="B256" s="99" t="s">
        <v>299</v>
      </c>
      <c r="C256" s="99" t="s">
        <v>344</v>
      </c>
      <c r="D256" s="114" t="s">
        <v>292</v>
      </c>
      <c r="E256" s="114" t="s">
        <v>320</v>
      </c>
      <c r="F256" s="120">
        <f t="shared" ref="F256:Q256" si="171">IF(SUM(F257:F262)&lt;&gt;SUM(F269:F273),"ERR",SUM(F257:F262))</f>
        <v>4.238128</v>
      </c>
      <c r="G256" s="120">
        <f t="shared" si="171"/>
        <v>7.174139</v>
      </c>
      <c r="H256" s="120">
        <f t="shared" si="171"/>
        <v>9.882263</v>
      </c>
      <c r="I256" s="120">
        <f t="shared" si="171"/>
        <v>11.8902523546</v>
      </c>
      <c r="J256" s="120">
        <f t="shared" si="171"/>
        <v>40.4359253546</v>
      </c>
      <c r="K256" s="120">
        <f t="shared" si="171"/>
        <v>44.6724363546</v>
      </c>
      <c r="L256" s="120">
        <f t="shared" si="171"/>
        <v>48.1375043546</v>
      </c>
      <c r="M256" s="120">
        <f t="shared" si="171"/>
        <v>53.2464293546</v>
      </c>
      <c r="N256" s="120">
        <f t="shared" si="171"/>
        <v>54.6430653546</v>
      </c>
      <c r="O256" s="120">
        <f t="shared" si="171"/>
        <v>55.1389233546</v>
      </c>
      <c r="P256" s="120">
        <f t="shared" si="171"/>
        <v>57.3422793546</v>
      </c>
      <c r="Q256" s="120">
        <f t="shared" si="171"/>
        <v>61.8129653546</v>
      </c>
    </row>
    <row r="257" ht="24" customHeight="1" spans="1:17">
      <c r="A257" s="99" t="s">
        <v>289</v>
      </c>
      <c r="B257" s="99" t="s">
        <v>299</v>
      </c>
      <c r="C257" s="99" t="s">
        <v>344</v>
      </c>
      <c r="D257" s="48" t="s">
        <v>31</v>
      </c>
      <c r="E257" s="48" t="s">
        <v>406</v>
      </c>
      <c r="F257" s="121">
        <f t="shared" ref="F257:F262" si="172">F196</f>
        <v>1.691749</v>
      </c>
      <c r="G257" s="121">
        <f t="shared" ref="G257:Q257" si="173">F257+G196</f>
        <v>1.691749</v>
      </c>
      <c r="H257" s="121">
        <f t="shared" si="173"/>
        <v>1.691749</v>
      </c>
      <c r="I257" s="121">
        <f t="shared" si="173"/>
        <v>1.691749</v>
      </c>
      <c r="J257" s="121">
        <f t="shared" si="173"/>
        <v>3.508323</v>
      </c>
      <c r="K257" s="121">
        <f t="shared" si="173"/>
        <v>4.17738</v>
      </c>
      <c r="L257" s="121">
        <f t="shared" si="173"/>
        <v>6.907773</v>
      </c>
      <c r="M257" s="121">
        <f t="shared" si="173"/>
        <v>9.858438</v>
      </c>
      <c r="N257" s="121">
        <f t="shared" si="173"/>
        <v>9.858438</v>
      </c>
      <c r="O257" s="121">
        <f t="shared" si="173"/>
        <v>9.858438</v>
      </c>
      <c r="P257" s="121">
        <f t="shared" si="173"/>
        <v>11.403673</v>
      </c>
      <c r="Q257" s="121">
        <f t="shared" si="173"/>
        <v>12.181577</v>
      </c>
    </row>
    <row r="258" ht="24" customHeight="1" spans="1:17">
      <c r="A258" s="99" t="s">
        <v>289</v>
      </c>
      <c r="B258" s="99" t="s">
        <v>299</v>
      </c>
      <c r="C258" s="99" t="s">
        <v>344</v>
      </c>
      <c r="D258" s="48" t="s">
        <v>31</v>
      </c>
      <c r="E258" s="48" t="s">
        <v>82</v>
      </c>
      <c r="F258" s="121">
        <f t="shared" si="172"/>
        <v>0.947026</v>
      </c>
      <c r="G258" s="121">
        <f t="shared" ref="G258:Q258" si="174">F258+G197</f>
        <v>0.947026</v>
      </c>
      <c r="H258" s="121">
        <f t="shared" si="174"/>
        <v>0.947026</v>
      </c>
      <c r="I258" s="121">
        <f t="shared" si="174"/>
        <v>1.137981</v>
      </c>
      <c r="J258" s="121">
        <f t="shared" si="174"/>
        <v>4.542926</v>
      </c>
      <c r="K258" s="121">
        <f t="shared" si="174"/>
        <v>4.542926</v>
      </c>
      <c r="L258" s="121">
        <f t="shared" si="174"/>
        <v>4.542926</v>
      </c>
      <c r="M258" s="121">
        <f t="shared" si="174"/>
        <v>5.630318</v>
      </c>
      <c r="N258" s="121">
        <f t="shared" si="174"/>
        <v>6.735282</v>
      </c>
      <c r="O258" s="121">
        <f t="shared" si="174"/>
        <v>7.149365</v>
      </c>
      <c r="P258" s="121">
        <f t="shared" si="174"/>
        <v>7.507488</v>
      </c>
      <c r="Q258" s="121">
        <f t="shared" si="174"/>
        <v>10.258862</v>
      </c>
    </row>
    <row r="259" ht="24" customHeight="1" spans="1:17">
      <c r="A259" s="99" t="s">
        <v>289</v>
      </c>
      <c r="B259" s="99" t="s">
        <v>299</v>
      </c>
      <c r="C259" s="99" t="s">
        <v>344</v>
      </c>
      <c r="D259" s="48" t="s">
        <v>31</v>
      </c>
      <c r="E259" s="48" t="s">
        <v>86</v>
      </c>
      <c r="F259" s="121">
        <f t="shared" si="172"/>
        <v>0.678969</v>
      </c>
      <c r="G259" s="121">
        <f t="shared" ref="G259:Q259" si="175">F259+G198</f>
        <v>0.678969</v>
      </c>
      <c r="H259" s="121">
        <f t="shared" si="175"/>
        <v>1.506493</v>
      </c>
      <c r="I259" s="121">
        <f t="shared" si="175"/>
        <v>3.3235273546</v>
      </c>
      <c r="J259" s="121">
        <f t="shared" si="175"/>
        <v>18.3905883546</v>
      </c>
      <c r="K259" s="121">
        <f t="shared" si="175"/>
        <v>21.9580423546</v>
      </c>
      <c r="L259" s="121">
        <f t="shared" si="175"/>
        <v>22.6927173546</v>
      </c>
      <c r="M259" s="121">
        <f t="shared" si="175"/>
        <v>23.1077293546</v>
      </c>
      <c r="N259" s="121">
        <f t="shared" si="175"/>
        <v>23.2544423546</v>
      </c>
      <c r="O259" s="121">
        <f t="shared" si="175"/>
        <v>23.2544423546</v>
      </c>
      <c r="P259" s="121">
        <f t="shared" si="175"/>
        <v>23.2544423546</v>
      </c>
      <c r="Q259" s="121">
        <f t="shared" si="175"/>
        <v>23.2544423546</v>
      </c>
    </row>
    <row r="260" ht="24" customHeight="1" spans="1:17">
      <c r="A260" s="99" t="s">
        <v>289</v>
      </c>
      <c r="B260" s="99" t="s">
        <v>299</v>
      </c>
      <c r="C260" s="99" t="s">
        <v>344</v>
      </c>
      <c r="D260" s="48" t="s">
        <v>31</v>
      </c>
      <c r="E260" s="48" t="s">
        <v>97</v>
      </c>
      <c r="F260" s="121">
        <f t="shared" si="172"/>
        <v>0.450327</v>
      </c>
      <c r="G260" s="121">
        <f t="shared" ref="G260:Q260" si="176">F260+G199</f>
        <v>3.386338</v>
      </c>
      <c r="H260" s="121">
        <f t="shared" si="176"/>
        <v>5.266938</v>
      </c>
      <c r="I260" s="121">
        <f t="shared" si="176"/>
        <v>5.266938</v>
      </c>
      <c r="J260" s="121">
        <f t="shared" si="176"/>
        <v>13.524031</v>
      </c>
      <c r="K260" s="121">
        <f t="shared" si="176"/>
        <v>13.524031</v>
      </c>
      <c r="L260" s="121">
        <f t="shared" si="176"/>
        <v>13.524031</v>
      </c>
      <c r="M260" s="121">
        <f t="shared" si="176"/>
        <v>14.179887</v>
      </c>
      <c r="N260" s="121">
        <f t="shared" si="176"/>
        <v>14.179887</v>
      </c>
      <c r="O260" s="121">
        <f t="shared" si="176"/>
        <v>14.261662</v>
      </c>
      <c r="P260" s="121">
        <f t="shared" si="176"/>
        <v>14.56166</v>
      </c>
      <c r="Q260" s="121">
        <f t="shared" si="176"/>
        <v>14.56166</v>
      </c>
    </row>
    <row r="261" ht="24" customHeight="1" spans="1:17">
      <c r="A261" s="99" t="s">
        <v>289</v>
      </c>
      <c r="B261" s="99" t="s">
        <v>299</v>
      </c>
      <c r="C261" s="99" t="s">
        <v>344</v>
      </c>
      <c r="D261" s="48" t="s">
        <v>31</v>
      </c>
      <c r="E261" s="48" t="s">
        <v>87</v>
      </c>
      <c r="F261" s="121">
        <f t="shared" si="172"/>
        <v>0.470057</v>
      </c>
      <c r="G261" s="121">
        <f t="shared" ref="G261:Q261" si="177">F261+G200</f>
        <v>0.470057</v>
      </c>
      <c r="H261" s="121">
        <f t="shared" si="177"/>
        <v>0.470057</v>
      </c>
      <c r="I261" s="121">
        <f t="shared" si="177"/>
        <v>0.470057</v>
      </c>
      <c r="J261" s="121">
        <f t="shared" si="177"/>
        <v>0.470057</v>
      </c>
      <c r="K261" s="121">
        <f t="shared" si="177"/>
        <v>0.470057</v>
      </c>
      <c r="L261" s="121">
        <f t="shared" si="177"/>
        <v>0.470057</v>
      </c>
      <c r="M261" s="121">
        <f t="shared" si="177"/>
        <v>0.470057</v>
      </c>
      <c r="N261" s="121">
        <f t="shared" si="177"/>
        <v>0.615016</v>
      </c>
      <c r="O261" s="121">
        <f t="shared" si="177"/>
        <v>0.615016</v>
      </c>
      <c r="P261" s="121">
        <f t="shared" si="177"/>
        <v>0.615016</v>
      </c>
      <c r="Q261" s="121">
        <f t="shared" si="177"/>
        <v>0.615016</v>
      </c>
    </row>
    <row r="262" ht="24" customHeight="1" spans="1:17">
      <c r="A262" s="99" t="s">
        <v>289</v>
      </c>
      <c r="B262" s="99" t="s">
        <v>299</v>
      </c>
      <c r="C262" s="99" t="s">
        <v>344</v>
      </c>
      <c r="D262" s="48" t="s">
        <v>31</v>
      </c>
      <c r="E262" s="48" t="s">
        <v>83</v>
      </c>
      <c r="F262" s="121">
        <f t="shared" si="172"/>
        <v>0</v>
      </c>
      <c r="G262" s="121">
        <f t="shared" ref="G262:Q262" si="178">F262+G201</f>
        <v>0</v>
      </c>
      <c r="H262" s="121">
        <f t="shared" si="178"/>
        <v>0</v>
      </c>
      <c r="I262" s="121">
        <f t="shared" si="178"/>
        <v>0</v>
      </c>
      <c r="J262" s="121">
        <f t="shared" si="178"/>
        <v>0</v>
      </c>
      <c r="K262" s="121">
        <f t="shared" si="178"/>
        <v>0</v>
      </c>
      <c r="L262" s="121">
        <f t="shared" si="178"/>
        <v>0</v>
      </c>
      <c r="M262" s="121">
        <f t="shared" si="178"/>
        <v>0</v>
      </c>
      <c r="N262" s="121">
        <f t="shared" si="178"/>
        <v>0</v>
      </c>
      <c r="O262" s="121">
        <f t="shared" si="178"/>
        <v>0</v>
      </c>
      <c r="P262" s="121">
        <f t="shared" si="178"/>
        <v>0</v>
      </c>
      <c r="Q262" s="121">
        <f t="shared" si="178"/>
        <v>0.941408</v>
      </c>
    </row>
    <row r="263" ht="24" customHeight="1" spans="1:17">
      <c r="A263" s="99" t="s">
        <v>289</v>
      </c>
      <c r="B263" s="99" t="s">
        <v>299</v>
      </c>
      <c r="C263" s="99" t="s">
        <v>344</v>
      </c>
      <c r="D263" s="48" t="s">
        <v>321</v>
      </c>
      <c r="E263" s="48" t="s">
        <v>406</v>
      </c>
      <c r="F263" s="112">
        <f t="shared" ref="F263:Q263" si="179">IFERROR(F257/F256,"-")</f>
        <v>0.399173644590253</v>
      </c>
      <c r="G263" s="112">
        <f t="shared" si="179"/>
        <v>0.235812130208238</v>
      </c>
      <c r="H263" s="112">
        <f t="shared" si="179"/>
        <v>0.171190444941609</v>
      </c>
      <c r="I263" s="112">
        <f t="shared" si="179"/>
        <v>0.142280327578204</v>
      </c>
      <c r="J263" s="112">
        <f t="shared" si="179"/>
        <v>0.0867625253839008</v>
      </c>
      <c r="K263" s="112">
        <f t="shared" si="179"/>
        <v>0.093511353776205</v>
      </c>
      <c r="L263" s="112">
        <f t="shared" si="179"/>
        <v>0.143500854325862</v>
      </c>
      <c r="M263" s="112">
        <f t="shared" si="179"/>
        <v>0.185147400858501</v>
      </c>
      <c r="N263" s="112">
        <f t="shared" si="179"/>
        <v>0.180415171367579</v>
      </c>
      <c r="O263" s="112">
        <f t="shared" si="179"/>
        <v>0.178792718468587</v>
      </c>
      <c r="P263" s="112">
        <f t="shared" si="179"/>
        <v>0.198870242486885</v>
      </c>
      <c r="Q263" s="112">
        <f t="shared" si="179"/>
        <v>0.197071551738675</v>
      </c>
    </row>
    <row r="264" ht="24" customHeight="1" spans="1:17">
      <c r="A264" s="99" t="s">
        <v>289</v>
      </c>
      <c r="B264" s="99" t="s">
        <v>299</v>
      </c>
      <c r="C264" s="99" t="s">
        <v>344</v>
      </c>
      <c r="D264" s="48" t="s">
        <v>321</v>
      </c>
      <c r="E264" s="48" t="s">
        <v>82</v>
      </c>
      <c r="F264" s="112">
        <f t="shared" ref="F264:Q264" si="180">IFERROR(F258/F256,"-")</f>
        <v>0.223453845660159</v>
      </c>
      <c r="G264" s="112">
        <f t="shared" si="180"/>
        <v>0.132005527074399</v>
      </c>
      <c r="H264" s="112">
        <f t="shared" si="180"/>
        <v>0.0958308840798914</v>
      </c>
      <c r="I264" s="112">
        <f t="shared" si="180"/>
        <v>0.0957070519667942</v>
      </c>
      <c r="J264" s="112">
        <f t="shared" si="180"/>
        <v>0.112348758193639</v>
      </c>
      <c r="K264" s="112">
        <f t="shared" si="180"/>
        <v>0.101694162457119</v>
      </c>
      <c r="L264" s="112">
        <f t="shared" si="180"/>
        <v>0.0943739410862474</v>
      </c>
      <c r="M264" s="112">
        <f t="shared" si="180"/>
        <v>0.105740761742056</v>
      </c>
      <c r="N264" s="112">
        <f t="shared" si="180"/>
        <v>0.123259593075391</v>
      </c>
      <c r="O264" s="112">
        <f t="shared" si="180"/>
        <v>0.129660946660533</v>
      </c>
      <c r="P264" s="112">
        <f t="shared" si="180"/>
        <v>0.13092412935967</v>
      </c>
      <c r="Q264" s="112">
        <f t="shared" si="180"/>
        <v>0.165966184297233</v>
      </c>
    </row>
    <row r="265" ht="24" customHeight="1" spans="1:17">
      <c r="A265" s="99" t="s">
        <v>289</v>
      </c>
      <c r="B265" s="99" t="s">
        <v>299</v>
      </c>
      <c r="C265" s="99" t="s">
        <v>344</v>
      </c>
      <c r="D265" s="48" t="s">
        <v>321</v>
      </c>
      <c r="E265" s="48" t="s">
        <v>86</v>
      </c>
      <c r="F265" s="112">
        <f t="shared" ref="F265:Q265" si="181">IFERROR(F259/F256,"-")</f>
        <v>0.160204930101214</v>
      </c>
      <c r="G265" s="112">
        <f t="shared" si="181"/>
        <v>0.0946411827258992</v>
      </c>
      <c r="H265" s="112">
        <f t="shared" si="181"/>
        <v>0.152444131470696</v>
      </c>
      <c r="I265" s="112">
        <f t="shared" si="181"/>
        <v>0.279516973692675</v>
      </c>
      <c r="J265" s="112">
        <f t="shared" si="181"/>
        <v>0.454808148776738</v>
      </c>
      <c r="K265" s="112">
        <f t="shared" si="181"/>
        <v>0.491534470614091</v>
      </c>
      <c r="L265" s="112">
        <f t="shared" si="181"/>
        <v>0.471414496012016</v>
      </c>
      <c r="M265" s="112">
        <f t="shared" si="181"/>
        <v>0.433977069161046</v>
      </c>
      <c r="N265" s="112">
        <f t="shared" si="181"/>
        <v>0.425569872474996</v>
      </c>
      <c r="O265" s="112">
        <f t="shared" si="181"/>
        <v>0.421742771527293</v>
      </c>
      <c r="P265" s="112">
        <f t="shared" si="181"/>
        <v>0.405537460602088</v>
      </c>
      <c r="Q265" s="112">
        <f t="shared" si="181"/>
        <v>0.376206548597</v>
      </c>
    </row>
    <row r="266" ht="24" customHeight="1" spans="1:17">
      <c r="A266" s="99" t="s">
        <v>289</v>
      </c>
      <c r="B266" s="99" t="s">
        <v>299</v>
      </c>
      <c r="C266" s="99" t="s">
        <v>344</v>
      </c>
      <c r="D266" s="48" t="s">
        <v>321</v>
      </c>
      <c r="E266" s="48" t="s">
        <v>97</v>
      </c>
      <c r="F266" s="112">
        <f t="shared" ref="F266:Q266" si="182">IFERROR(F260/F256,"-")</f>
        <v>0.106256111188714</v>
      </c>
      <c r="G266" s="112">
        <f t="shared" si="182"/>
        <v>0.472020126735766</v>
      </c>
      <c r="H266" s="112">
        <f t="shared" si="182"/>
        <v>0.532968814936417</v>
      </c>
      <c r="I266" s="112">
        <f t="shared" si="182"/>
        <v>0.442962675889917</v>
      </c>
      <c r="J266" s="112">
        <f t="shared" si="182"/>
        <v>0.33445583058634</v>
      </c>
      <c r="K266" s="112">
        <f t="shared" si="182"/>
        <v>0.302737708161901</v>
      </c>
      <c r="L266" s="112">
        <f t="shared" si="182"/>
        <v>0.280945827610352</v>
      </c>
      <c r="M266" s="112">
        <f t="shared" si="182"/>
        <v>0.266306814783159</v>
      </c>
      <c r="N266" s="112">
        <f t="shared" si="182"/>
        <v>0.259500211197546</v>
      </c>
      <c r="O266" s="112">
        <f t="shared" si="182"/>
        <v>0.258649627746317</v>
      </c>
      <c r="P266" s="112">
        <f t="shared" si="182"/>
        <v>0.253942817828218</v>
      </c>
      <c r="Q266" s="112">
        <f t="shared" si="182"/>
        <v>0.235576143556044</v>
      </c>
    </row>
    <row r="267" ht="24" customHeight="1" spans="1:17">
      <c r="A267" s="99" t="s">
        <v>289</v>
      </c>
      <c r="B267" s="99" t="s">
        <v>299</v>
      </c>
      <c r="C267" s="99" t="s">
        <v>344</v>
      </c>
      <c r="D267" s="48" t="s">
        <v>321</v>
      </c>
      <c r="E267" s="48" t="s">
        <v>87</v>
      </c>
      <c r="F267" s="112">
        <f t="shared" ref="F267:Q267" si="183">IFERROR(F261/F256,"-")</f>
        <v>0.11091146845966</v>
      </c>
      <c r="G267" s="112">
        <f t="shared" si="183"/>
        <v>0.065521033255698</v>
      </c>
      <c r="H267" s="112">
        <f t="shared" si="183"/>
        <v>0.0475657245713861</v>
      </c>
      <c r="I267" s="112">
        <f t="shared" si="183"/>
        <v>0.0395329708724095</v>
      </c>
      <c r="J267" s="112">
        <f t="shared" si="183"/>
        <v>0.0116247370593814</v>
      </c>
      <c r="K267" s="112">
        <f t="shared" si="183"/>
        <v>0.0105223049906835</v>
      </c>
      <c r="L267" s="112">
        <f t="shared" si="183"/>
        <v>0.00976488096552271</v>
      </c>
      <c r="M267" s="112">
        <f t="shared" si="183"/>
        <v>0.00882795345523749</v>
      </c>
      <c r="N267" s="112">
        <f t="shared" si="183"/>
        <v>0.0112551518844875</v>
      </c>
      <c r="O267" s="112">
        <f t="shared" si="183"/>
        <v>0.0111539355972697</v>
      </c>
      <c r="P267" s="112">
        <f t="shared" si="183"/>
        <v>0.0107253497231387</v>
      </c>
      <c r="Q267" s="112">
        <f t="shared" si="183"/>
        <v>0.00994962782438704</v>
      </c>
    </row>
    <row r="268" ht="24" customHeight="1" spans="1:17">
      <c r="A268" s="99" t="s">
        <v>289</v>
      </c>
      <c r="B268" s="99" t="s">
        <v>299</v>
      </c>
      <c r="C268" s="99" t="s">
        <v>344</v>
      </c>
      <c r="D268" s="48" t="s">
        <v>321</v>
      </c>
      <c r="E268" s="48" t="s">
        <v>83</v>
      </c>
      <c r="F268" s="112">
        <f t="shared" ref="F268:Q268" si="184">IFERROR(F262/F256,"-")</f>
        <v>0</v>
      </c>
      <c r="G268" s="112">
        <f t="shared" si="184"/>
        <v>0</v>
      </c>
      <c r="H268" s="112">
        <f t="shared" si="184"/>
        <v>0</v>
      </c>
      <c r="I268" s="112">
        <f t="shared" si="184"/>
        <v>0</v>
      </c>
      <c r="J268" s="112">
        <f t="shared" si="184"/>
        <v>0</v>
      </c>
      <c r="K268" s="112">
        <f t="shared" si="184"/>
        <v>0</v>
      </c>
      <c r="L268" s="112">
        <f t="shared" si="184"/>
        <v>0</v>
      </c>
      <c r="M268" s="112">
        <f t="shared" si="184"/>
        <v>0</v>
      </c>
      <c r="N268" s="112">
        <f t="shared" si="184"/>
        <v>0</v>
      </c>
      <c r="O268" s="112">
        <f t="shared" si="184"/>
        <v>0</v>
      </c>
      <c r="P268" s="112">
        <f t="shared" si="184"/>
        <v>0</v>
      </c>
      <c r="Q268" s="112">
        <f t="shared" si="184"/>
        <v>0.0152299439866614</v>
      </c>
    </row>
    <row r="269" ht="24" customHeight="1" spans="1:17">
      <c r="A269" s="99" t="s">
        <v>289</v>
      </c>
      <c r="B269" s="99" t="s">
        <v>299</v>
      </c>
      <c r="C269" s="99" t="s">
        <v>344</v>
      </c>
      <c r="D269" s="47" t="s">
        <v>294</v>
      </c>
      <c r="E269" s="47" t="s">
        <v>93</v>
      </c>
      <c r="F269" s="125">
        <f t="shared" ref="F269:F273" si="185">F202</f>
        <v>3.564745</v>
      </c>
      <c r="G269" s="125">
        <f t="shared" ref="G269:Q269" si="186">F269+G202</f>
        <v>6.500756</v>
      </c>
      <c r="H269" s="125">
        <f t="shared" si="186"/>
        <v>8.381356</v>
      </c>
      <c r="I269" s="125">
        <f t="shared" si="186"/>
        <v>9.499289</v>
      </c>
      <c r="J269" s="125">
        <f t="shared" si="186"/>
        <v>33.936607</v>
      </c>
      <c r="K269" s="125">
        <f t="shared" si="186"/>
        <v>35.867186</v>
      </c>
      <c r="L269" s="125">
        <f t="shared" si="186"/>
        <v>38.662694</v>
      </c>
      <c r="M269" s="125">
        <f t="shared" si="186"/>
        <v>42.269215</v>
      </c>
      <c r="N269" s="125">
        <f t="shared" si="186"/>
        <v>42.575944</v>
      </c>
      <c r="O269" s="125">
        <f t="shared" si="186"/>
        <v>42.575944</v>
      </c>
      <c r="P269" s="125">
        <f t="shared" si="186"/>
        <v>44.121179</v>
      </c>
      <c r="Q269" s="125">
        <f t="shared" si="186"/>
        <v>46.872553</v>
      </c>
    </row>
    <row r="270" ht="24" customHeight="1" spans="1:17">
      <c r="A270" s="99" t="s">
        <v>289</v>
      </c>
      <c r="B270" s="99" t="s">
        <v>299</v>
      </c>
      <c r="C270" s="99" t="s">
        <v>344</v>
      </c>
      <c r="D270" s="47" t="s">
        <v>294</v>
      </c>
      <c r="E270" s="47" t="s">
        <v>85</v>
      </c>
      <c r="F270" s="125">
        <f t="shared" si="185"/>
        <v>0.450327</v>
      </c>
      <c r="G270" s="125">
        <f t="shared" ref="G270:Q270" si="187">F270+G203</f>
        <v>0.450327</v>
      </c>
      <c r="H270" s="125">
        <f t="shared" si="187"/>
        <v>1.277851</v>
      </c>
      <c r="I270" s="125">
        <f t="shared" si="187"/>
        <v>1.468806</v>
      </c>
      <c r="J270" s="125">
        <f t="shared" si="187"/>
        <v>4.291207</v>
      </c>
      <c r="K270" s="125">
        <f t="shared" si="187"/>
        <v>4.960264</v>
      </c>
      <c r="L270" s="125">
        <f t="shared" si="187"/>
        <v>5.629824</v>
      </c>
      <c r="M270" s="125">
        <f t="shared" si="187"/>
        <v>6.044836</v>
      </c>
      <c r="N270" s="125">
        <f t="shared" si="187"/>
        <v>6.336508</v>
      </c>
      <c r="O270" s="125">
        <f t="shared" si="187"/>
        <v>6.418283</v>
      </c>
      <c r="P270" s="125">
        <f t="shared" si="187"/>
        <v>6.418283</v>
      </c>
      <c r="Q270" s="125">
        <f t="shared" si="187"/>
        <v>8.137595</v>
      </c>
    </row>
    <row r="271" ht="24" customHeight="1" spans="1:17">
      <c r="A271" s="99" t="s">
        <v>289</v>
      </c>
      <c r="B271" s="99" t="s">
        <v>299</v>
      </c>
      <c r="C271" s="99" t="s">
        <v>344</v>
      </c>
      <c r="D271" s="47" t="s">
        <v>294</v>
      </c>
      <c r="E271" s="47" t="s">
        <v>81</v>
      </c>
      <c r="F271" s="125">
        <f t="shared" si="185"/>
        <v>0.223056</v>
      </c>
      <c r="G271" s="125">
        <f t="shared" ref="G271:Q271" si="188">F271+G204</f>
        <v>0.223056</v>
      </c>
      <c r="H271" s="125">
        <f t="shared" si="188"/>
        <v>0.223056</v>
      </c>
      <c r="I271" s="125">
        <f t="shared" si="188"/>
        <v>0.9221573546</v>
      </c>
      <c r="J271" s="125">
        <f t="shared" si="188"/>
        <v>2.2081113546</v>
      </c>
      <c r="K271" s="125">
        <f t="shared" si="188"/>
        <v>3.8449863546</v>
      </c>
      <c r="L271" s="125">
        <f t="shared" si="188"/>
        <v>3.8449863546</v>
      </c>
      <c r="M271" s="125">
        <f t="shared" si="188"/>
        <v>4.9323783546</v>
      </c>
      <c r="N271" s="125">
        <f t="shared" si="188"/>
        <v>5.7306133546</v>
      </c>
      <c r="O271" s="125">
        <f t="shared" si="188"/>
        <v>6.1446963546</v>
      </c>
      <c r="P271" s="125">
        <f t="shared" si="188"/>
        <v>6.5028193546</v>
      </c>
      <c r="Q271" s="125">
        <f t="shared" si="188"/>
        <v>6.5028193546</v>
      </c>
    </row>
    <row r="272" ht="24" customHeight="1" spans="1:17">
      <c r="A272" s="99" t="s">
        <v>289</v>
      </c>
      <c r="B272" s="99" t="s">
        <v>299</v>
      </c>
      <c r="C272" s="99" t="s">
        <v>344</v>
      </c>
      <c r="D272" s="47" t="s">
        <v>294</v>
      </c>
      <c r="E272" s="47" t="s">
        <v>96</v>
      </c>
      <c r="F272" s="125">
        <f t="shared" si="185"/>
        <v>0</v>
      </c>
      <c r="G272" s="125">
        <f t="shared" ref="G272:Q272" si="189">F272+G205</f>
        <v>0</v>
      </c>
      <c r="H272" s="125">
        <f t="shared" si="189"/>
        <v>0</v>
      </c>
      <c r="I272" s="125">
        <f t="shared" si="189"/>
        <v>0</v>
      </c>
      <c r="J272" s="125">
        <f t="shared" si="189"/>
        <v>0</v>
      </c>
      <c r="K272" s="125">
        <f t="shared" si="189"/>
        <v>0</v>
      </c>
      <c r="L272" s="125">
        <f t="shared" si="189"/>
        <v>0</v>
      </c>
      <c r="M272" s="125">
        <f t="shared" si="189"/>
        <v>0</v>
      </c>
      <c r="N272" s="125">
        <f t="shared" si="189"/>
        <v>0</v>
      </c>
      <c r="O272" s="125">
        <f t="shared" si="189"/>
        <v>0</v>
      </c>
      <c r="P272" s="125">
        <f t="shared" si="189"/>
        <v>0.299998</v>
      </c>
      <c r="Q272" s="125">
        <f t="shared" si="189"/>
        <v>0.299998</v>
      </c>
    </row>
    <row r="273" ht="24" customHeight="1" spans="1:17">
      <c r="A273" s="99" t="s">
        <v>289</v>
      </c>
      <c r="B273" s="99" t="s">
        <v>299</v>
      </c>
      <c r="C273" s="99" t="s">
        <v>344</v>
      </c>
      <c r="D273" s="47" t="s">
        <v>294</v>
      </c>
      <c r="E273" s="47" t="s">
        <v>160</v>
      </c>
      <c r="F273" s="125">
        <f t="shared" si="185"/>
        <v>0</v>
      </c>
      <c r="G273" s="125">
        <f t="shared" ref="G273:Q273" si="190">F273+G206</f>
        <v>0</v>
      </c>
      <c r="H273" s="125">
        <f t="shared" si="190"/>
        <v>0</v>
      </c>
      <c r="I273" s="125">
        <f t="shared" si="190"/>
        <v>0</v>
      </c>
      <c r="J273" s="125">
        <f t="shared" si="190"/>
        <v>0</v>
      </c>
      <c r="K273" s="125">
        <f t="shared" si="190"/>
        <v>0</v>
      </c>
      <c r="L273" s="125">
        <f t="shared" si="190"/>
        <v>0</v>
      </c>
      <c r="M273" s="125">
        <f t="shared" si="190"/>
        <v>0</v>
      </c>
      <c r="N273" s="125">
        <f t="shared" si="190"/>
        <v>0</v>
      </c>
      <c r="O273" s="125">
        <f t="shared" si="190"/>
        <v>0</v>
      </c>
      <c r="P273" s="125">
        <f t="shared" si="190"/>
        <v>0</v>
      </c>
      <c r="Q273" s="125">
        <f t="shared" si="190"/>
        <v>0</v>
      </c>
    </row>
    <row r="274" ht="24" customHeight="1" spans="1:17">
      <c r="A274" s="99" t="s">
        <v>289</v>
      </c>
      <c r="B274" s="99" t="s">
        <v>299</v>
      </c>
      <c r="C274" s="99" t="s">
        <v>344</v>
      </c>
      <c r="D274" s="47" t="s">
        <v>321</v>
      </c>
      <c r="E274" s="47" t="s">
        <v>93</v>
      </c>
      <c r="F274" s="126">
        <f t="shared" ref="F274:Q274" si="191">IFERROR(F269/F256,"-")</f>
        <v>0.841113104653753</v>
      </c>
      <c r="G274" s="126">
        <f t="shared" si="191"/>
        <v>0.906137447295069</v>
      </c>
      <c r="H274" s="126">
        <f t="shared" si="191"/>
        <v>0.848121123673798</v>
      </c>
      <c r="I274" s="126">
        <f t="shared" si="191"/>
        <v>0.798913994144539</v>
      </c>
      <c r="J274" s="126">
        <f t="shared" si="191"/>
        <v>0.839268712225461</v>
      </c>
      <c r="K274" s="126">
        <f t="shared" si="191"/>
        <v>0.80289299010455</v>
      </c>
      <c r="L274" s="126">
        <f t="shared" si="191"/>
        <v>0.803171965775276</v>
      </c>
      <c r="M274" s="126">
        <f t="shared" si="191"/>
        <v>0.793841305648945</v>
      </c>
      <c r="N274" s="126">
        <f t="shared" si="191"/>
        <v>0.779164633676903</v>
      </c>
      <c r="O274" s="126">
        <f t="shared" si="191"/>
        <v>0.772157695684279</v>
      </c>
      <c r="P274" s="126">
        <f t="shared" si="191"/>
        <v>0.769435388627616</v>
      </c>
      <c r="Q274" s="126">
        <f t="shared" si="191"/>
        <v>0.758296463065767</v>
      </c>
    </row>
    <row r="275" ht="24" customHeight="1" spans="1:17">
      <c r="A275" s="99" t="s">
        <v>289</v>
      </c>
      <c r="B275" s="99" t="s">
        <v>299</v>
      </c>
      <c r="C275" s="99" t="s">
        <v>344</v>
      </c>
      <c r="D275" s="47" t="s">
        <v>321</v>
      </c>
      <c r="E275" s="47" t="s">
        <v>85</v>
      </c>
      <c r="F275" s="126">
        <f t="shared" ref="F275:Q275" si="192">IFERROR(F270/F256,"-")</f>
        <v>0.106256111188714</v>
      </c>
      <c r="G275" s="126">
        <f t="shared" si="192"/>
        <v>0.0627708774530296</v>
      </c>
      <c r="H275" s="126">
        <f t="shared" si="192"/>
        <v>0.129307528042919</v>
      </c>
      <c r="I275" s="126">
        <f t="shared" si="192"/>
        <v>0.12353026295794</v>
      </c>
      <c r="J275" s="126">
        <f t="shared" si="192"/>
        <v>0.106123625522813</v>
      </c>
      <c r="K275" s="126">
        <f t="shared" si="192"/>
        <v>0.111036343767475</v>
      </c>
      <c r="L275" s="126">
        <f t="shared" si="192"/>
        <v>0.116952967867392</v>
      </c>
      <c r="M275" s="126">
        <f t="shared" si="192"/>
        <v>0.113525659340344</v>
      </c>
      <c r="N275" s="126">
        <f t="shared" si="192"/>
        <v>0.115961796046396</v>
      </c>
      <c r="O275" s="126">
        <f t="shared" si="192"/>
        <v>0.11640203706416</v>
      </c>
      <c r="P275" s="126">
        <f t="shared" si="192"/>
        <v>0.11192933158987</v>
      </c>
      <c r="Q275" s="126">
        <f t="shared" si="192"/>
        <v>0.131648675214292</v>
      </c>
    </row>
    <row r="276" ht="24" customHeight="1" spans="1:17">
      <c r="A276" s="99" t="s">
        <v>289</v>
      </c>
      <c r="B276" s="99" t="s">
        <v>299</v>
      </c>
      <c r="C276" s="99" t="s">
        <v>344</v>
      </c>
      <c r="D276" s="47" t="s">
        <v>321</v>
      </c>
      <c r="E276" s="47" t="s">
        <v>81</v>
      </c>
      <c r="F276" s="126">
        <f t="shared" ref="F276:Q276" si="193">IFERROR(F271/F256,"-")</f>
        <v>0.0526307841575337</v>
      </c>
      <c r="G276" s="126">
        <f t="shared" si="193"/>
        <v>0.0310916752519013</v>
      </c>
      <c r="H276" s="126">
        <f t="shared" si="193"/>
        <v>0.0225713482832829</v>
      </c>
      <c r="I276" s="126">
        <f t="shared" si="193"/>
        <v>0.0775557428975209</v>
      </c>
      <c r="J276" s="126">
        <f t="shared" si="193"/>
        <v>0.054607662251726</v>
      </c>
      <c r="K276" s="126">
        <f t="shared" si="193"/>
        <v>0.0860706661279752</v>
      </c>
      <c r="L276" s="126">
        <f t="shared" si="193"/>
        <v>0.0798750663573313</v>
      </c>
      <c r="M276" s="126">
        <f t="shared" si="193"/>
        <v>0.0926330350107108</v>
      </c>
      <c r="N276" s="126">
        <f t="shared" si="193"/>
        <v>0.104873570276701</v>
      </c>
      <c r="O276" s="126">
        <f t="shared" si="193"/>
        <v>0.111440267251562</v>
      </c>
      <c r="P276" s="126">
        <f t="shared" si="193"/>
        <v>0.113403572857422</v>
      </c>
      <c r="Q276" s="126">
        <f t="shared" si="193"/>
        <v>0.105201543354142</v>
      </c>
    </row>
    <row r="277" ht="24" customHeight="1" spans="1:17">
      <c r="A277" s="99" t="s">
        <v>289</v>
      </c>
      <c r="B277" s="99" t="s">
        <v>299</v>
      </c>
      <c r="C277" s="99" t="s">
        <v>344</v>
      </c>
      <c r="D277" s="47" t="s">
        <v>321</v>
      </c>
      <c r="E277" s="47" t="s">
        <v>96</v>
      </c>
      <c r="F277" s="126">
        <f t="shared" ref="F277:Q277" si="194">IFERROR(F272/F256,"-")</f>
        <v>0</v>
      </c>
      <c r="G277" s="126">
        <f t="shared" si="194"/>
        <v>0</v>
      </c>
      <c r="H277" s="126">
        <f t="shared" si="194"/>
        <v>0</v>
      </c>
      <c r="I277" s="126">
        <f t="shared" si="194"/>
        <v>0</v>
      </c>
      <c r="J277" s="126">
        <f t="shared" si="194"/>
        <v>0</v>
      </c>
      <c r="K277" s="126">
        <f t="shared" si="194"/>
        <v>0</v>
      </c>
      <c r="L277" s="126">
        <f t="shared" si="194"/>
        <v>0</v>
      </c>
      <c r="M277" s="126">
        <f t="shared" si="194"/>
        <v>0</v>
      </c>
      <c r="N277" s="126">
        <f t="shared" si="194"/>
        <v>0</v>
      </c>
      <c r="O277" s="126">
        <f t="shared" si="194"/>
        <v>0</v>
      </c>
      <c r="P277" s="126">
        <f t="shared" si="194"/>
        <v>0.00523170692509164</v>
      </c>
      <c r="Q277" s="126">
        <f t="shared" si="194"/>
        <v>0.00485331836579936</v>
      </c>
    </row>
    <row r="278" ht="24" customHeight="1" spans="1:17">
      <c r="A278" s="99" t="s">
        <v>289</v>
      </c>
      <c r="B278" s="99" t="s">
        <v>299</v>
      </c>
      <c r="C278" s="99" t="s">
        <v>344</v>
      </c>
      <c r="D278" s="47" t="s">
        <v>321</v>
      </c>
      <c r="E278" s="47" t="s">
        <v>160</v>
      </c>
      <c r="F278" s="126">
        <f t="shared" ref="F278:Q278" si="195">IFERROR(F273/F256,"-")</f>
        <v>0</v>
      </c>
      <c r="G278" s="126">
        <f t="shared" si="195"/>
        <v>0</v>
      </c>
      <c r="H278" s="126">
        <f t="shared" si="195"/>
        <v>0</v>
      </c>
      <c r="I278" s="126">
        <f t="shared" si="195"/>
        <v>0</v>
      </c>
      <c r="J278" s="126">
        <f t="shared" si="195"/>
        <v>0</v>
      </c>
      <c r="K278" s="126">
        <f t="shared" si="195"/>
        <v>0</v>
      </c>
      <c r="L278" s="126">
        <f t="shared" si="195"/>
        <v>0</v>
      </c>
      <c r="M278" s="126">
        <f t="shared" si="195"/>
        <v>0</v>
      </c>
      <c r="N278" s="126">
        <f t="shared" si="195"/>
        <v>0</v>
      </c>
      <c r="O278" s="126">
        <f t="shared" si="195"/>
        <v>0</v>
      </c>
      <c r="P278" s="126">
        <f t="shared" si="195"/>
        <v>0</v>
      </c>
      <c r="Q278" s="126">
        <f t="shared" si="195"/>
        <v>0</v>
      </c>
    </row>
    <row r="279" ht="24" customHeight="1" spans="1:17">
      <c r="A279" s="99" t="s">
        <v>289</v>
      </c>
      <c r="B279" s="99" t="s">
        <v>299</v>
      </c>
      <c r="C279" s="99" t="s">
        <v>343</v>
      </c>
      <c r="D279" s="114" t="s">
        <v>292</v>
      </c>
      <c r="E279" s="53" t="s">
        <v>326</v>
      </c>
      <c r="F279" s="123">
        <f t="shared" ref="F279:F304" si="196">F207</f>
        <v>0.312457</v>
      </c>
      <c r="G279" s="123">
        <f t="shared" ref="G279:Q279" si="197">F279+G207</f>
        <v>0.312457</v>
      </c>
      <c r="H279" s="123">
        <f t="shared" si="197"/>
        <v>0.312457</v>
      </c>
      <c r="I279" s="123">
        <f t="shared" si="197"/>
        <v>0.5127036454</v>
      </c>
      <c r="J279" s="123">
        <f t="shared" si="197"/>
        <v>1.4745786454</v>
      </c>
      <c r="K279" s="123">
        <f t="shared" si="197"/>
        <v>1.6133946454</v>
      </c>
      <c r="L279" s="123">
        <f t="shared" si="197"/>
        <v>1.7178086454</v>
      </c>
      <c r="M279" s="123">
        <f t="shared" si="197"/>
        <v>1.8301026454</v>
      </c>
      <c r="N279" s="123">
        <f t="shared" si="197"/>
        <v>1.8713706454</v>
      </c>
      <c r="O279" s="123">
        <f t="shared" si="197"/>
        <v>1.9252506454</v>
      </c>
      <c r="P279" s="123">
        <f t="shared" si="197"/>
        <v>2.1974716454</v>
      </c>
      <c r="Q279" s="123">
        <f t="shared" si="197"/>
        <v>2.4144826454</v>
      </c>
    </row>
    <row r="280" ht="24" customHeight="1" spans="1:17">
      <c r="A280" s="99" t="s">
        <v>289</v>
      </c>
      <c r="B280" s="99" t="s">
        <v>299</v>
      </c>
      <c r="C280" s="99" t="s">
        <v>343</v>
      </c>
      <c r="D280" s="114" t="s">
        <v>292</v>
      </c>
      <c r="E280" s="53" t="s">
        <v>327</v>
      </c>
      <c r="F280" s="123">
        <f t="shared" si="196"/>
        <v>0.039611</v>
      </c>
      <c r="G280" s="123">
        <f t="shared" ref="G280:Q280" si="198">F280+G208</f>
        <v>0.302221</v>
      </c>
      <c r="H280" s="123">
        <f t="shared" si="198"/>
        <v>0.656261</v>
      </c>
      <c r="I280" s="123">
        <f t="shared" si="198"/>
        <v>0.682217</v>
      </c>
      <c r="J280" s="123">
        <f t="shared" si="198"/>
        <v>1.4972689978</v>
      </c>
      <c r="K280" s="123">
        <f t="shared" si="198"/>
        <v>1.5063619978</v>
      </c>
      <c r="L280" s="123">
        <f t="shared" si="198"/>
        <v>1.5288329978</v>
      </c>
      <c r="M280" s="123">
        <f t="shared" si="198"/>
        <v>1.6849169978</v>
      </c>
      <c r="N280" s="123">
        <f t="shared" si="198"/>
        <v>1.7096499978</v>
      </c>
      <c r="O280" s="123">
        <f t="shared" si="198"/>
        <v>1.7096499978</v>
      </c>
      <c r="P280" s="123">
        <f t="shared" si="198"/>
        <v>1.7096499978</v>
      </c>
      <c r="Q280" s="123">
        <f t="shared" si="198"/>
        <v>1.7791789978</v>
      </c>
    </row>
    <row r="281" ht="24" customHeight="1" spans="1:17">
      <c r="A281" s="99" t="s">
        <v>289</v>
      </c>
      <c r="B281" s="99" t="s">
        <v>299</v>
      </c>
      <c r="C281" s="99" t="s">
        <v>343</v>
      </c>
      <c r="D281" s="114" t="s">
        <v>292</v>
      </c>
      <c r="E281" s="53" t="s">
        <v>328</v>
      </c>
      <c r="F281" s="123">
        <f t="shared" si="196"/>
        <v>0</v>
      </c>
      <c r="G281" s="123">
        <f t="shared" ref="G281:Q281" si="199">F281+G209</f>
        <v>0</v>
      </c>
      <c r="H281" s="123">
        <f t="shared" si="199"/>
        <v>0</v>
      </c>
      <c r="I281" s="123">
        <f t="shared" si="199"/>
        <v>0</v>
      </c>
      <c r="J281" s="123">
        <f t="shared" si="199"/>
        <v>0</v>
      </c>
      <c r="K281" s="123">
        <f t="shared" si="199"/>
        <v>0</v>
      </c>
      <c r="L281" s="123">
        <f t="shared" si="199"/>
        <v>0</v>
      </c>
      <c r="M281" s="123">
        <f t="shared" si="199"/>
        <v>0</v>
      </c>
      <c r="N281" s="123">
        <f t="shared" si="199"/>
        <v>0</v>
      </c>
      <c r="O281" s="123">
        <f t="shared" si="199"/>
        <v>0</v>
      </c>
      <c r="P281" s="123">
        <f t="shared" si="199"/>
        <v>0</v>
      </c>
      <c r="Q281" s="123">
        <f t="shared" si="199"/>
        <v>0</v>
      </c>
    </row>
    <row r="282" ht="24" customHeight="1" spans="1:17">
      <c r="A282" s="99" t="s">
        <v>289</v>
      </c>
      <c r="B282" s="99" t="s">
        <v>299</v>
      </c>
      <c r="C282" s="99" t="s">
        <v>343</v>
      </c>
      <c r="D282" s="53" t="s">
        <v>326</v>
      </c>
      <c r="E282" s="53" t="s">
        <v>93</v>
      </c>
      <c r="F282" s="123">
        <f t="shared" si="196"/>
        <v>0.210536</v>
      </c>
      <c r="G282" s="123">
        <f t="shared" ref="G282:Q282" si="200">F282+G210</f>
        <v>0.210536</v>
      </c>
      <c r="H282" s="123">
        <f t="shared" si="200"/>
        <v>0.210536</v>
      </c>
      <c r="I282" s="123">
        <f t="shared" si="200"/>
        <v>0.210922</v>
      </c>
      <c r="J282" s="123">
        <f t="shared" si="200"/>
        <v>0.450974</v>
      </c>
      <c r="K282" s="123">
        <f t="shared" si="200"/>
        <v>0.450974</v>
      </c>
      <c r="L282" s="123">
        <f t="shared" si="200"/>
        <v>0.555387999999999</v>
      </c>
      <c r="M282" s="123">
        <f t="shared" si="200"/>
        <v>0.653510999999999</v>
      </c>
      <c r="N282" s="123">
        <f t="shared" si="200"/>
        <v>0.691192999999999</v>
      </c>
      <c r="O282" s="123">
        <f t="shared" si="200"/>
        <v>0.691192999999999</v>
      </c>
      <c r="P282" s="123">
        <f t="shared" si="200"/>
        <v>0.726337999999999</v>
      </c>
      <c r="Q282" s="123">
        <f t="shared" si="200"/>
        <v>0.726337999999999</v>
      </c>
    </row>
    <row r="283" ht="24" customHeight="1" spans="1:17">
      <c r="A283" s="99" t="s">
        <v>289</v>
      </c>
      <c r="B283" s="99" t="s">
        <v>299</v>
      </c>
      <c r="C283" s="99" t="s">
        <v>343</v>
      </c>
      <c r="D283" s="53" t="s">
        <v>326</v>
      </c>
      <c r="E283" s="53" t="s">
        <v>85</v>
      </c>
      <c r="F283" s="123">
        <f t="shared" si="196"/>
        <v>0.057962</v>
      </c>
      <c r="G283" s="123">
        <f t="shared" ref="G283:Q283" si="201">F283+G211</f>
        <v>0.057962</v>
      </c>
      <c r="H283" s="123">
        <f t="shared" si="201"/>
        <v>0.057962</v>
      </c>
      <c r="I283" s="123">
        <f t="shared" si="201"/>
        <v>0.057962</v>
      </c>
      <c r="J283" s="123">
        <f t="shared" si="201"/>
        <v>0.779785</v>
      </c>
      <c r="K283" s="123">
        <f t="shared" si="201"/>
        <v>0.803958</v>
      </c>
      <c r="L283" s="123">
        <f t="shared" si="201"/>
        <v>0.803958</v>
      </c>
      <c r="M283" s="123">
        <f t="shared" si="201"/>
        <v>0.818129</v>
      </c>
      <c r="N283" s="123">
        <f t="shared" si="201"/>
        <v>0.821715</v>
      </c>
      <c r="O283" s="123">
        <f t="shared" si="201"/>
        <v>0.838546</v>
      </c>
      <c r="P283" s="123">
        <f t="shared" si="201"/>
        <v>0.838546</v>
      </c>
      <c r="Q283" s="123">
        <f t="shared" si="201"/>
        <v>1.055557</v>
      </c>
    </row>
    <row r="284" ht="24" customHeight="1" spans="1:17">
      <c r="A284" s="99" t="s">
        <v>289</v>
      </c>
      <c r="B284" s="99" t="s">
        <v>299</v>
      </c>
      <c r="C284" s="99" t="s">
        <v>343</v>
      </c>
      <c r="D284" s="53" t="s">
        <v>326</v>
      </c>
      <c r="E284" s="53" t="s">
        <v>81</v>
      </c>
      <c r="F284" s="123">
        <f t="shared" si="196"/>
        <v>0.043959</v>
      </c>
      <c r="G284" s="123">
        <f t="shared" ref="G284:Q284" si="202">F284+G212</f>
        <v>0.043959</v>
      </c>
      <c r="H284" s="123">
        <f t="shared" si="202"/>
        <v>0.043959</v>
      </c>
      <c r="I284" s="123">
        <f t="shared" si="202"/>
        <v>0.2438196454</v>
      </c>
      <c r="J284" s="123">
        <f t="shared" si="202"/>
        <v>0.2438196454</v>
      </c>
      <c r="K284" s="123">
        <f t="shared" si="202"/>
        <v>0.3584626454</v>
      </c>
      <c r="L284" s="123">
        <f t="shared" si="202"/>
        <v>0.3584626454</v>
      </c>
      <c r="M284" s="123">
        <f t="shared" si="202"/>
        <v>0.3584626454</v>
      </c>
      <c r="N284" s="123">
        <f t="shared" si="202"/>
        <v>0.3584626454</v>
      </c>
      <c r="O284" s="123">
        <f t="shared" si="202"/>
        <v>0.3955116454</v>
      </c>
      <c r="P284" s="123">
        <f t="shared" si="202"/>
        <v>0.5948126454</v>
      </c>
      <c r="Q284" s="123">
        <f t="shared" si="202"/>
        <v>0.5948126454</v>
      </c>
    </row>
    <row r="285" ht="24" customHeight="1" spans="1:17">
      <c r="A285" s="99" t="s">
        <v>289</v>
      </c>
      <c r="B285" s="99" t="s">
        <v>299</v>
      </c>
      <c r="C285" s="99" t="s">
        <v>343</v>
      </c>
      <c r="D285" s="53" t="s">
        <v>326</v>
      </c>
      <c r="E285" s="53" t="s">
        <v>96</v>
      </c>
      <c r="F285" s="123">
        <f t="shared" si="196"/>
        <v>0</v>
      </c>
      <c r="G285" s="123">
        <f t="shared" ref="G285:Q285" si="203">F285+G213</f>
        <v>0</v>
      </c>
      <c r="H285" s="123">
        <f t="shared" si="203"/>
        <v>0</v>
      </c>
      <c r="I285" s="123">
        <f t="shared" si="203"/>
        <v>0</v>
      </c>
      <c r="J285" s="123">
        <f t="shared" si="203"/>
        <v>0</v>
      </c>
      <c r="K285" s="123">
        <f t="shared" si="203"/>
        <v>0</v>
      </c>
      <c r="L285" s="123">
        <f t="shared" si="203"/>
        <v>0</v>
      </c>
      <c r="M285" s="123">
        <f t="shared" si="203"/>
        <v>0</v>
      </c>
      <c r="N285" s="123">
        <f t="shared" si="203"/>
        <v>0</v>
      </c>
      <c r="O285" s="123">
        <f t="shared" si="203"/>
        <v>0</v>
      </c>
      <c r="P285" s="123">
        <f t="shared" si="203"/>
        <v>0.037775</v>
      </c>
      <c r="Q285" s="123">
        <f t="shared" si="203"/>
        <v>0.037775</v>
      </c>
    </row>
    <row r="286" ht="24" customHeight="1" spans="1:17">
      <c r="A286" s="99" t="s">
        <v>289</v>
      </c>
      <c r="B286" s="99" t="s">
        <v>299</v>
      </c>
      <c r="C286" s="99" t="s">
        <v>343</v>
      </c>
      <c r="D286" s="53" t="s">
        <v>326</v>
      </c>
      <c r="E286" s="53" t="s">
        <v>160</v>
      </c>
      <c r="F286" s="123">
        <f t="shared" si="196"/>
        <v>0</v>
      </c>
      <c r="G286" s="123">
        <f t="shared" ref="G286:Q286" si="204">F286+G214</f>
        <v>0</v>
      </c>
      <c r="H286" s="123">
        <f t="shared" si="204"/>
        <v>0</v>
      </c>
      <c r="I286" s="123">
        <f t="shared" si="204"/>
        <v>0</v>
      </c>
      <c r="J286" s="123">
        <f t="shared" si="204"/>
        <v>0</v>
      </c>
      <c r="K286" s="123">
        <f t="shared" si="204"/>
        <v>0</v>
      </c>
      <c r="L286" s="123">
        <f t="shared" si="204"/>
        <v>0</v>
      </c>
      <c r="M286" s="123">
        <f t="shared" si="204"/>
        <v>0</v>
      </c>
      <c r="N286" s="123">
        <f t="shared" si="204"/>
        <v>0</v>
      </c>
      <c r="O286" s="123">
        <f t="shared" si="204"/>
        <v>0</v>
      </c>
      <c r="P286" s="123">
        <f t="shared" si="204"/>
        <v>0</v>
      </c>
      <c r="Q286" s="123">
        <f t="shared" si="204"/>
        <v>0</v>
      </c>
    </row>
    <row r="287" ht="24" customHeight="1" spans="1:17">
      <c r="A287" s="99" t="s">
        <v>289</v>
      </c>
      <c r="B287" s="99" t="s">
        <v>299</v>
      </c>
      <c r="C287" s="99" t="s">
        <v>343</v>
      </c>
      <c r="D287" s="53" t="s">
        <v>327</v>
      </c>
      <c r="E287" s="53" t="s">
        <v>93</v>
      </c>
      <c r="F287" s="123">
        <f t="shared" si="196"/>
        <v>0.039611</v>
      </c>
      <c r="G287" s="123">
        <f t="shared" ref="G287:Q287" si="205">F287+G215</f>
        <v>0.302221</v>
      </c>
      <c r="H287" s="123">
        <f t="shared" si="205"/>
        <v>0.646621</v>
      </c>
      <c r="I287" s="123">
        <f t="shared" si="205"/>
        <v>0.670163</v>
      </c>
      <c r="J287" s="123">
        <f t="shared" si="205"/>
        <v>1.39758</v>
      </c>
      <c r="K287" s="123">
        <f t="shared" si="205"/>
        <v>1.406673</v>
      </c>
      <c r="L287" s="123">
        <f t="shared" si="205"/>
        <v>1.409374</v>
      </c>
      <c r="M287" s="123">
        <f t="shared" si="205"/>
        <v>1.502274</v>
      </c>
      <c r="N287" s="123">
        <f t="shared" si="205"/>
        <v>1.502274</v>
      </c>
      <c r="O287" s="123">
        <f t="shared" si="205"/>
        <v>1.502274</v>
      </c>
      <c r="P287" s="123">
        <f t="shared" si="205"/>
        <v>1.502274</v>
      </c>
      <c r="Q287" s="123">
        <f t="shared" si="205"/>
        <v>1.564316</v>
      </c>
    </row>
    <row r="288" ht="24" customHeight="1" spans="1:17">
      <c r="A288" s="99" t="s">
        <v>289</v>
      </c>
      <c r="B288" s="99" t="s">
        <v>299</v>
      </c>
      <c r="C288" s="99" t="s">
        <v>343</v>
      </c>
      <c r="D288" s="53" t="s">
        <v>327</v>
      </c>
      <c r="E288" s="53" t="s">
        <v>85</v>
      </c>
      <c r="F288" s="123">
        <f t="shared" si="196"/>
        <v>0</v>
      </c>
      <c r="G288" s="123">
        <f t="shared" ref="G288:Q288" si="206">F288+G216</f>
        <v>0</v>
      </c>
      <c r="H288" s="123">
        <f t="shared" si="206"/>
        <v>0.00963999999999996</v>
      </c>
      <c r="I288" s="123">
        <f t="shared" si="206"/>
        <v>0.012054</v>
      </c>
      <c r="J288" s="123">
        <f t="shared" si="206"/>
        <v>0.012054</v>
      </c>
      <c r="K288" s="123">
        <f t="shared" si="206"/>
        <v>0.012054</v>
      </c>
      <c r="L288" s="123">
        <f t="shared" si="206"/>
        <v>0.031824</v>
      </c>
      <c r="M288" s="123">
        <f t="shared" si="206"/>
        <v>0.031824</v>
      </c>
      <c r="N288" s="123">
        <f t="shared" si="206"/>
        <v>0.043684</v>
      </c>
      <c r="O288" s="123">
        <f t="shared" si="206"/>
        <v>0.043684</v>
      </c>
      <c r="P288" s="123">
        <f t="shared" si="206"/>
        <v>0.043684</v>
      </c>
      <c r="Q288" s="123">
        <f t="shared" si="206"/>
        <v>0.051171</v>
      </c>
    </row>
    <row r="289" ht="24" customHeight="1" spans="1:17">
      <c r="A289" s="99" t="s">
        <v>289</v>
      </c>
      <c r="B289" s="99" t="s">
        <v>299</v>
      </c>
      <c r="C289" s="99" t="s">
        <v>343</v>
      </c>
      <c r="D289" s="53" t="s">
        <v>327</v>
      </c>
      <c r="E289" s="53" t="s">
        <v>81</v>
      </c>
      <c r="F289" s="123">
        <f t="shared" si="196"/>
        <v>0</v>
      </c>
      <c r="G289" s="123">
        <f t="shared" ref="G289:Q289" si="207">F289+G217</f>
        <v>0</v>
      </c>
      <c r="H289" s="123">
        <f t="shared" si="207"/>
        <v>0</v>
      </c>
      <c r="I289" s="123">
        <f t="shared" si="207"/>
        <v>0</v>
      </c>
      <c r="J289" s="123">
        <f t="shared" si="207"/>
        <v>0.0876349978</v>
      </c>
      <c r="K289" s="123">
        <f t="shared" si="207"/>
        <v>0.0876349978</v>
      </c>
      <c r="L289" s="123">
        <f t="shared" si="207"/>
        <v>0.0876349978</v>
      </c>
      <c r="M289" s="123">
        <f t="shared" si="207"/>
        <v>0.1508189978</v>
      </c>
      <c r="N289" s="123">
        <f t="shared" si="207"/>
        <v>0.1636919978</v>
      </c>
      <c r="O289" s="123">
        <f t="shared" si="207"/>
        <v>0.1636919978</v>
      </c>
      <c r="P289" s="123">
        <f t="shared" si="207"/>
        <v>0.1636919978</v>
      </c>
      <c r="Q289" s="123">
        <f t="shared" si="207"/>
        <v>0.1636919978</v>
      </c>
    </row>
    <row r="290" ht="24" customHeight="1" spans="1:17">
      <c r="A290" s="99" t="s">
        <v>289</v>
      </c>
      <c r="B290" s="99" t="s">
        <v>299</v>
      </c>
      <c r="C290" s="99" t="s">
        <v>343</v>
      </c>
      <c r="D290" s="53" t="s">
        <v>327</v>
      </c>
      <c r="E290" s="53" t="s">
        <v>96</v>
      </c>
      <c r="F290" s="123">
        <f t="shared" si="196"/>
        <v>0</v>
      </c>
      <c r="G290" s="123">
        <f t="shared" ref="G290:Q290" si="208">F290+G218</f>
        <v>0</v>
      </c>
      <c r="H290" s="123">
        <f t="shared" si="208"/>
        <v>0</v>
      </c>
      <c r="I290" s="123">
        <f t="shared" si="208"/>
        <v>0</v>
      </c>
      <c r="J290" s="123">
        <f t="shared" si="208"/>
        <v>0</v>
      </c>
      <c r="K290" s="123">
        <f t="shared" si="208"/>
        <v>0</v>
      </c>
      <c r="L290" s="123">
        <f t="shared" si="208"/>
        <v>0</v>
      </c>
      <c r="M290" s="123">
        <f t="shared" si="208"/>
        <v>0</v>
      </c>
      <c r="N290" s="123">
        <f t="shared" si="208"/>
        <v>0</v>
      </c>
      <c r="O290" s="123">
        <f t="shared" si="208"/>
        <v>0</v>
      </c>
      <c r="P290" s="123">
        <f t="shared" si="208"/>
        <v>0</v>
      </c>
      <c r="Q290" s="123">
        <f t="shared" si="208"/>
        <v>0</v>
      </c>
    </row>
    <row r="291" ht="24" customHeight="1" spans="1:17">
      <c r="A291" s="99" t="s">
        <v>289</v>
      </c>
      <c r="B291" s="99" t="s">
        <v>299</v>
      </c>
      <c r="C291" s="99" t="s">
        <v>343</v>
      </c>
      <c r="D291" s="53" t="s">
        <v>327</v>
      </c>
      <c r="E291" s="53" t="s">
        <v>160</v>
      </c>
      <c r="F291" s="123">
        <f t="shared" si="196"/>
        <v>0</v>
      </c>
      <c r="G291" s="123">
        <f t="shared" ref="G291:Q291" si="209">F291+G219</f>
        <v>0</v>
      </c>
      <c r="H291" s="123">
        <f t="shared" si="209"/>
        <v>0</v>
      </c>
      <c r="I291" s="123">
        <f t="shared" si="209"/>
        <v>0</v>
      </c>
      <c r="J291" s="123">
        <f t="shared" si="209"/>
        <v>0</v>
      </c>
      <c r="K291" s="123">
        <f t="shared" si="209"/>
        <v>0</v>
      </c>
      <c r="L291" s="123">
        <f t="shared" si="209"/>
        <v>0</v>
      </c>
      <c r="M291" s="123">
        <f t="shared" si="209"/>
        <v>0</v>
      </c>
      <c r="N291" s="123">
        <f t="shared" si="209"/>
        <v>0</v>
      </c>
      <c r="O291" s="123">
        <f t="shared" si="209"/>
        <v>0</v>
      </c>
      <c r="P291" s="123">
        <f t="shared" si="209"/>
        <v>0</v>
      </c>
      <c r="Q291" s="123">
        <f t="shared" si="209"/>
        <v>0</v>
      </c>
    </row>
    <row r="292" ht="24" customHeight="1" spans="1:17">
      <c r="A292" s="99" t="s">
        <v>289</v>
      </c>
      <c r="B292" s="99" t="s">
        <v>299</v>
      </c>
      <c r="C292" s="99" t="s">
        <v>344</v>
      </c>
      <c r="D292" s="114" t="s">
        <v>292</v>
      </c>
      <c r="E292" s="122" t="s">
        <v>326</v>
      </c>
      <c r="F292" s="124">
        <f t="shared" si="196"/>
        <v>0.312457</v>
      </c>
      <c r="G292" s="124">
        <f t="shared" ref="G292:Q292" si="210">F292+G220</f>
        <v>0.312457</v>
      </c>
      <c r="H292" s="124">
        <f t="shared" si="210"/>
        <v>0.312457</v>
      </c>
      <c r="I292" s="124">
        <f t="shared" si="210"/>
        <v>0.5127036454</v>
      </c>
      <c r="J292" s="124">
        <f t="shared" si="210"/>
        <v>1.4745786454</v>
      </c>
      <c r="K292" s="124">
        <f t="shared" si="210"/>
        <v>1.6133946454</v>
      </c>
      <c r="L292" s="124">
        <f t="shared" si="210"/>
        <v>1.7178086454</v>
      </c>
      <c r="M292" s="124">
        <f t="shared" si="210"/>
        <v>1.8301026454</v>
      </c>
      <c r="N292" s="124">
        <f t="shared" si="210"/>
        <v>1.8713706454</v>
      </c>
      <c r="O292" s="124">
        <f t="shared" si="210"/>
        <v>1.9252506454</v>
      </c>
      <c r="P292" s="124">
        <f t="shared" si="210"/>
        <v>2.1974716454</v>
      </c>
      <c r="Q292" s="124">
        <f t="shared" si="210"/>
        <v>2.4144826454</v>
      </c>
    </row>
    <row r="293" ht="24" customHeight="1" spans="1:17">
      <c r="A293" s="99" t="s">
        <v>289</v>
      </c>
      <c r="B293" s="99" t="s">
        <v>299</v>
      </c>
      <c r="C293" s="99" t="s">
        <v>344</v>
      </c>
      <c r="D293" s="114" t="s">
        <v>292</v>
      </c>
      <c r="E293" s="122" t="s">
        <v>327</v>
      </c>
      <c r="F293" s="124">
        <f t="shared" si="196"/>
        <v>0.039611</v>
      </c>
      <c r="G293" s="124">
        <f t="shared" ref="G293:Q293" si="211">F293+G221</f>
        <v>0.302221</v>
      </c>
      <c r="H293" s="124">
        <f t="shared" si="211"/>
        <v>0.656261</v>
      </c>
      <c r="I293" s="124">
        <f t="shared" si="211"/>
        <v>0.682217</v>
      </c>
      <c r="J293" s="124">
        <f t="shared" si="211"/>
        <v>1.4972689978</v>
      </c>
      <c r="K293" s="124">
        <f t="shared" si="211"/>
        <v>1.5063619978</v>
      </c>
      <c r="L293" s="124">
        <f t="shared" si="211"/>
        <v>1.5288329978</v>
      </c>
      <c r="M293" s="124">
        <f t="shared" si="211"/>
        <v>1.6849169978</v>
      </c>
      <c r="N293" s="124">
        <f t="shared" si="211"/>
        <v>1.7096499978</v>
      </c>
      <c r="O293" s="124">
        <f t="shared" si="211"/>
        <v>1.7096499978</v>
      </c>
      <c r="P293" s="124">
        <f t="shared" si="211"/>
        <v>1.7096499978</v>
      </c>
      <c r="Q293" s="124">
        <f t="shared" si="211"/>
        <v>1.7791789978</v>
      </c>
    </row>
    <row r="294" ht="24" customHeight="1" spans="1:17">
      <c r="A294" s="99" t="s">
        <v>289</v>
      </c>
      <c r="B294" s="99" t="s">
        <v>299</v>
      </c>
      <c r="C294" s="99" t="s">
        <v>344</v>
      </c>
      <c r="D294" s="114" t="s">
        <v>292</v>
      </c>
      <c r="E294" s="122" t="s">
        <v>328</v>
      </c>
      <c r="F294" s="124">
        <f t="shared" si="196"/>
        <v>0</v>
      </c>
      <c r="G294" s="124">
        <f t="shared" ref="G294:Q294" si="212">F294+G222</f>
        <v>0</v>
      </c>
      <c r="H294" s="124">
        <f t="shared" si="212"/>
        <v>0</v>
      </c>
      <c r="I294" s="124">
        <f t="shared" si="212"/>
        <v>0</v>
      </c>
      <c r="J294" s="124">
        <f t="shared" si="212"/>
        <v>0</v>
      </c>
      <c r="K294" s="124">
        <f t="shared" si="212"/>
        <v>0</v>
      </c>
      <c r="L294" s="124">
        <f t="shared" si="212"/>
        <v>0</v>
      </c>
      <c r="M294" s="124">
        <f t="shared" si="212"/>
        <v>0</v>
      </c>
      <c r="N294" s="124">
        <f t="shared" si="212"/>
        <v>0</v>
      </c>
      <c r="O294" s="124">
        <f t="shared" si="212"/>
        <v>0</v>
      </c>
      <c r="P294" s="124">
        <f t="shared" si="212"/>
        <v>0</v>
      </c>
      <c r="Q294" s="124">
        <f t="shared" si="212"/>
        <v>0</v>
      </c>
    </row>
    <row r="295" ht="24" customHeight="1" spans="1:17">
      <c r="A295" s="99" t="s">
        <v>289</v>
      </c>
      <c r="B295" s="99" t="s">
        <v>299</v>
      </c>
      <c r="C295" s="99" t="s">
        <v>344</v>
      </c>
      <c r="D295" s="122" t="s">
        <v>326</v>
      </c>
      <c r="E295" s="122" t="s">
        <v>93</v>
      </c>
      <c r="F295" s="124">
        <f t="shared" si="196"/>
        <v>0.210536</v>
      </c>
      <c r="G295" s="124">
        <f t="shared" ref="G295:Q295" si="213">F295+G223</f>
        <v>0.210536</v>
      </c>
      <c r="H295" s="124">
        <f t="shared" si="213"/>
        <v>0.210536</v>
      </c>
      <c r="I295" s="124">
        <f t="shared" si="213"/>
        <v>0.210922</v>
      </c>
      <c r="J295" s="124">
        <f t="shared" si="213"/>
        <v>0.450974</v>
      </c>
      <c r="K295" s="124">
        <f t="shared" si="213"/>
        <v>0.450974</v>
      </c>
      <c r="L295" s="124">
        <f t="shared" si="213"/>
        <v>0.555387999999999</v>
      </c>
      <c r="M295" s="124">
        <f t="shared" si="213"/>
        <v>0.653510999999999</v>
      </c>
      <c r="N295" s="124">
        <f t="shared" si="213"/>
        <v>0.691192999999999</v>
      </c>
      <c r="O295" s="124">
        <f t="shared" si="213"/>
        <v>0.691192999999999</v>
      </c>
      <c r="P295" s="124">
        <f t="shared" si="213"/>
        <v>0.726337999999999</v>
      </c>
      <c r="Q295" s="124">
        <f t="shared" si="213"/>
        <v>0.726337999999999</v>
      </c>
    </row>
    <row r="296" ht="24" customHeight="1" spans="1:17">
      <c r="A296" s="99" t="s">
        <v>289</v>
      </c>
      <c r="B296" s="99" t="s">
        <v>299</v>
      </c>
      <c r="C296" s="99" t="s">
        <v>344</v>
      </c>
      <c r="D296" s="122" t="s">
        <v>326</v>
      </c>
      <c r="E296" s="122" t="s">
        <v>85</v>
      </c>
      <c r="F296" s="124">
        <f t="shared" si="196"/>
        <v>0.057962</v>
      </c>
      <c r="G296" s="124">
        <f t="shared" ref="G296:Q296" si="214">F296+G224</f>
        <v>0.057962</v>
      </c>
      <c r="H296" s="124">
        <f t="shared" si="214"/>
        <v>0.057962</v>
      </c>
      <c r="I296" s="124">
        <f t="shared" si="214"/>
        <v>0.057962</v>
      </c>
      <c r="J296" s="124">
        <f t="shared" si="214"/>
        <v>0.779785</v>
      </c>
      <c r="K296" s="124">
        <f t="shared" si="214"/>
        <v>0.803958</v>
      </c>
      <c r="L296" s="124">
        <f t="shared" si="214"/>
        <v>0.803958</v>
      </c>
      <c r="M296" s="124">
        <f t="shared" si="214"/>
        <v>0.818129</v>
      </c>
      <c r="N296" s="124">
        <f t="shared" si="214"/>
        <v>0.821715</v>
      </c>
      <c r="O296" s="124">
        <f t="shared" si="214"/>
        <v>0.838546</v>
      </c>
      <c r="P296" s="124">
        <f t="shared" si="214"/>
        <v>0.838546</v>
      </c>
      <c r="Q296" s="124">
        <f t="shared" si="214"/>
        <v>1.055557</v>
      </c>
    </row>
    <row r="297" ht="24" customHeight="1" spans="1:17">
      <c r="A297" s="99" t="s">
        <v>289</v>
      </c>
      <c r="B297" s="99" t="s">
        <v>299</v>
      </c>
      <c r="C297" s="99" t="s">
        <v>344</v>
      </c>
      <c r="D297" s="122" t="s">
        <v>326</v>
      </c>
      <c r="E297" s="122" t="s">
        <v>81</v>
      </c>
      <c r="F297" s="124">
        <f t="shared" si="196"/>
        <v>0.043959</v>
      </c>
      <c r="G297" s="124">
        <f t="shared" ref="G297:Q297" si="215">F297+G225</f>
        <v>0.043959</v>
      </c>
      <c r="H297" s="124">
        <f t="shared" si="215"/>
        <v>0.043959</v>
      </c>
      <c r="I297" s="124">
        <f t="shared" si="215"/>
        <v>0.2438196454</v>
      </c>
      <c r="J297" s="124">
        <f t="shared" si="215"/>
        <v>0.2438196454</v>
      </c>
      <c r="K297" s="124">
        <f t="shared" si="215"/>
        <v>0.3584626454</v>
      </c>
      <c r="L297" s="124">
        <f t="shared" si="215"/>
        <v>0.3584626454</v>
      </c>
      <c r="M297" s="124">
        <f t="shared" si="215"/>
        <v>0.3584626454</v>
      </c>
      <c r="N297" s="124">
        <f t="shared" si="215"/>
        <v>0.3584626454</v>
      </c>
      <c r="O297" s="124">
        <f t="shared" si="215"/>
        <v>0.3955116454</v>
      </c>
      <c r="P297" s="124">
        <f t="shared" si="215"/>
        <v>0.5948126454</v>
      </c>
      <c r="Q297" s="124">
        <f t="shared" si="215"/>
        <v>0.5948126454</v>
      </c>
    </row>
    <row r="298" ht="24" customHeight="1" spans="1:17">
      <c r="A298" s="99" t="s">
        <v>289</v>
      </c>
      <c r="B298" s="99" t="s">
        <v>299</v>
      </c>
      <c r="C298" s="99" t="s">
        <v>344</v>
      </c>
      <c r="D298" s="122" t="s">
        <v>326</v>
      </c>
      <c r="E298" s="122" t="s">
        <v>96</v>
      </c>
      <c r="F298" s="124">
        <f t="shared" si="196"/>
        <v>0</v>
      </c>
      <c r="G298" s="124">
        <f t="shared" ref="G298:Q298" si="216">F298+G226</f>
        <v>0</v>
      </c>
      <c r="H298" s="124">
        <f t="shared" si="216"/>
        <v>0</v>
      </c>
      <c r="I298" s="124">
        <f t="shared" si="216"/>
        <v>0</v>
      </c>
      <c r="J298" s="124">
        <f t="shared" si="216"/>
        <v>0</v>
      </c>
      <c r="K298" s="124">
        <f t="shared" si="216"/>
        <v>0</v>
      </c>
      <c r="L298" s="124">
        <f t="shared" si="216"/>
        <v>0</v>
      </c>
      <c r="M298" s="124">
        <f t="shared" si="216"/>
        <v>0</v>
      </c>
      <c r="N298" s="124">
        <f t="shared" si="216"/>
        <v>0</v>
      </c>
      <c r="O298" s="124">
        <f t="shared" si="216"/>
        <v>0</v>
      </c>
      <c r="P298" s="124">
        <f t="shared" si="216"/>
        <v>0.037775</v>
      </c>
      <c r="Q298" s="124">
        <f t="shared" si="216"/>
        <v>0.037775</v>
      </c>
    </row>
    <row r="299" ht="24" customHeight="1" spans="1:17">
      <c r="A299" s="99" t="s">
        <v>289</v>
      </c>
      <c r="B299" s="99" t="s">
        <v>299</v>
      </c>
      <c r="C299" s="99" t="s">
        <v>344</v>
      </c>
      <c r="D299" s="122" t="s">
        <v>326</v>
      </c>
      <c r="E299" s="122" t="s">
        <v>160</v>
      </c>
      <c r="F299" s="124">
        <f t="shared" si="196"/>
        <v>0</v>
      </c>
      <c r="G299" s="124">
        <f t="shared" ref="G299:Q299" si="217">F299+G227</f>
        <v>0</v>
      </c>
      <c r="H299" s="124">
        <f t="shared" si="217"/>
        <v>0</v>
      </c>
      <c r="I299" s="124">
        <f t="shared" si="217"/>
        <v>0</v>
      </c>
      <c r="J299" s="124">
        <f t="shared" si="217"/>
        <v>0</v>
      </c>
      <c r="K299" s="124">
        <f t="shared" si="217"/>
        <v>0</v>
      </c>
      <c r="L299" s="124">
        <f t="shared" si="217"/>
        <v>0</v>
      </c>
      <c r="M299" s="124">
        <f t="shared" si="217"/>
        <v>0</v>
      </c>
      <c r="N299" s="124">
        <f t="shared" si="217"/>
        <v>0</v>
      </c>
      <c r="O299" s="124">
        <f t="shared" si="217"/>
        <v>0</v>
      </c>
      <c r="P299" s="124">
        <f t="shared" si="217"/>
        <v>0</v>
      </c>
      <c r="Q299" s="124">
        <f t="shared" si="217"/>
        <v>0</v>
      </c>
    </row>
    <row r="300" ht="24" customHeight="1" spans="1:17">
      <c r="A300" s="99" t="s">
        <v>289</v>
      </c>
      <c r="B300" s="99" t="s">
        <v>299</v>
      </c>
      <c r="C300" s="99" t="s">
        <v>344</v>
      </c>
      <c r="D300" s="122" t="s">
        <v>327</v>
      </c>
      <c r="E300" s="122" t="s">
        <v>93</v>
      </c>
      <c r="F300" s="124">
        <f t="shared" si="196"/>
        <v>0.039611</v>
      </c>
      <c r="G300" s="124">
        <f t="shared" ref="G300:Q300" si="218">F300+G228</f>
        <v>0.302221</v>
      </c>
      <c r="H300" s="124">
        <f t="shared" si="218"/>
        <v>0.646621</v>
      </c>
      <c r="I300" s="124">
        <f t="shared" si="218"/>
        <v>0.670163</v>
      </c>
      <c r="J300" s="124">
        <f t="shared" si="218"/>
        <v>1.39758</v>
      </c>
      <c r="K300" s="124">
        <f t="shared" si="218"/>
        <v>1.406673</v>
      </c>
      <c r="L300" s="124">
        <f t="shared" si="218"/>
        <v>1.409374</v>
      </c>
      <c r="M300" s="124">
        <f t="shared" si="218"/>
        <v>1.502274</v>
      </c>
      <c r="N300" s="124">
        <f t="shared" si="218"/>
        <v>1.502274</v>
      </c>
      <c r="O300" s="124">
        <f t="shared" si="218"/>
        <v>1.502274</v>
      </c>
      <c r="P300" s="124">
        <f t="shared" si="218"/>
        <v>1.502274</v>
      </c>
      <c r="Q300" s="124">
        <f t="shared" si="218"/>
        <v>1.564316</v>
      </c>
    </row>
    <row r="301" ht="24" customHeight="1" spans="1:17">
      <c r="A301" s="99" t="s">
        <v>289</v>
      </c>
      <c r="B301" s="99" t="s">
        <v>299</v>
      </c>
      <c r="C301" s="99" t="s">
        <v>344</v>
      </c>
      <c r="D301" s="122" t="s">
        <v>327</v>
      </c>
      <c r="E301" s="122" t="s">
        <v>85</v>
      </c>
      <c r="F301" s="124">
        <f t="shared" si="196"/>
        <v>0</v>
      </c>
      <c r="G301" s="124">
        <f t="shared" ref="G301:Q301" si="219">F301+G229</f>
        <v>0</v>
      </c>
      <c r="H301" s="124">
        <f t="shared" si="219"/>
        <v>0.00963999999999996</v>
      </c>
      <c r="I301" s="124">
        <f t="shared" si="219"/>
        <v>0.012054</v>
      </c>
      <c r="J301" s="124">
        <f t="shared" si="219"/>
        <v>0.012054</v>
      </c>
      <c r="K301" s="124">
        <f t="shared" si="219"/>
        <v>0.012054</v>
      </c>
      <c r="L301" s="124">
        <f t="shared" si="219"/>
        <v>0.031824</v>
      </c>
      <c r="M301" s="124">
        <f t="shared" si="219"/>
        <v>0.031824</v>
      </c>
      <c r="N301" s="124">
        <f t="shared" si="219"/>
        <v>0.043684</v>
      </c>
      <c r="O301" s="124">
        <f t="shared" si="219"/>
        <v>0.043684</v>
      </c>
      <c r="P301" s="124">
        <f t="shared" si="219"/>
        <v>0.043684</v>
      </c>
      <c r="Q301" s="124">
        <f t="shared" si="219"/>
        <v>0.051171</v>
      </c>
    </row>
    <row r="302" ht="24" customHeight="1" spans="1:17">
      <c r="A302" s="99" t="s">
        <v>289</v>
      </c>
      <c r="B302" s="99" t="s">
        <v>299</v>
      </c>
      <c r="C302" s="99" t="s">
        <v>344</v>
      </c>
      <c r="D302" s="122" t="s">
        <v>327</v>
      </c>
      <c r="E302" s="122" t="s">
        <v>81</v>
      </c>
      <c r="F302" s="124">
        <f t="shared" si="196"/>
        <v>0</v>
      </c>
      <c r="G302" s="124">
        <f t="shared" ref="G302:Q302" si="220">F302+G230</f>
        <v>0</v>
      </c>
      <c r="H302" s="124">
        <f t="shared" si="220"/>
        <v>0</v>
      </c>
      <c r="I302" s="124">
        <f t="shared" si="220"/>
        <v>0</v>
      </c>
      <c r="J302" s="124">
        <f t="shared" si="220"/>
        <v>0.0876349978</v>
      </c>
      <c r="K302" s="124">
        <f t="shared" si="220"/>
        <v>0.0876349978</v>
      </c>
      <c r="L302" s="124">
        <f t="shared" si="220"/>
        <v>0.0876349978</v>
      </c>
      <c r="M302" s="124">
        <f t="shared" si="220"/>
        <v>0.1508189978</v>
      </c>
      <c r="N302" s="124">
        <f t="shared" si="220"/>
        <v>0.1636919978</v>
      </c>
      <c r="O302" s="124">
        <f t="shared" si="220"/>
        <v>0.1636919978</v>
      </c>
      <c r="P302" s="124">
        <f t="shared" si="220"/>
        <v>0.1636919978</v>
      </c>
      <c r="Q302" s="124">
        <f t="shared" si="220"/>
        <v>0.1636919978</v>
      </c>
    </row>
    <row r="303" ht="24" customHeight="1" spans="1:17">
      <c r="A303" s="99" t="s">
        <v>289</v>
      </c>
      <c r="B303" s="99" t="s">
        <v>299</v>
      </c>
      <c r="C303" s="99" t="s">
        <v>344</v>
      </c>
      <c r="D303" s="122" t="s">
        <v>327</v>
      </c>
      <c r="E303" s="122" t="s">
        <v>96</v>
      </c>
      <c r="F303" s="124">
        <f t="shared" si="196"/>
        <v>0</v>
      </c>
      <c r="G303" s="124">
        <f t="shared" ref="G303:Q303" si="221">F303+G231</f>
        <v>0</v>
      </c>
      <c r="H303" s="124">
        <f t="shared" si="221"/>
        <v>0</v>
      </c>
      <c r="I303" s="124">
        <f t="shared" si="221"/>
        <v>0</v>
      </c>
      <c r="J303" s="124">
        <f t="shared" si="221"/>
        <v>0</v>
      </c>
      <c r="K303" s="124">
        <f t="shared" si="221"/>
        <v>0</v>
      </c>
      <c r="L303" s="124">
        <f t="shared" si="221"/>
        <v>0</v>
      </c>
      <c r="M303" s="124">
        <f t="shared" si="221"/>
        <v>0</v>
      </c>
      <c r="N303" s="124">
        <f t="shared" si="221"/>
        <v>0</v>
      </c>
      <c r="O303" s="124">
        <f t="shared" si="221"/>
        <v>0</v>
      </c>
      <c r="P303" s="124">
        <f t="shared" si="221"/>
        <v>0</v>
      </c>
      <c r="Q303" s="124">
        <f t="shared" si="221"/>
        <v>0</v>
      </c>
    </row>
    <row r="304" ht="24" customHeight="1" spans="1:17">
      <c r="A304" s="99" t="s">
        <v>289</v>
      </c>
      <c r="B304" s="99" t="s">
        <v>299</v>
      </c>
      <c r="C304" s="99" t="s">
        <v>344</v>
      </c>
      <c r="D304" s="122" t="s">
        <v>327</v>
      </c>
      <c r="E304" s="122" t="s">
        <v>160</v>
      </c>
      <c r="F304" s="124">
        <f t="shared" si="196"/>
        <v>0</v>
      </c>
      <c r="G304" s="124">
        <f t="shared" ref="G304:Q304" si="222">F304+G232</f>
        <v>0</v>
      </c>
      <c r="H304" s="124">
        <f t="shared" si="222"/>
        <v>0</v>
      </c>
      <c r="I304" s="124">
        <f t="shared" si="222"/>
        <v>0</v>
      </c>
      <c r="J304" s="124">
        <f t="shared" si="222"/>
        <v>0</v>
      </c>
      <c r="K304" s="124">
        <f t="shared" si="222"/>
        <v>0</v>
      </c>
      <c r="L304" s="124">
        <f t="shared" si="222"/>
        <v>0</v>
      </c>
      <c r="M304" s="124">
        <f t="shared" si="222"/>
        <v>0</v>
      </c>
      <c r="N304" s="124">
        <f t="shared" si="222"/>
        <v>0</v>
      </c>
      <c r="O304" s="124">
        <f t="shared" si="222"/>
        <v>0</v>
      </c>
      <c r="P304" s="124">
        <f t="shared" si="222"/>
        <v>0</v>
      </c>
      <c r="Q304" s="124">
        <f t="shared" si="222"/>
        <v>0</v>
      </c>
    </row>
    <row r="305" ht="24" customHeight="1" spans="1:35">
      <c r="A305" s="99" t="s">
        <v>345</v>
      </c>
      <c r="B305" s="99" t="s">
        <v>290</v>
      </c>
      <c r="C305" s="99" t="s">
        <v>291</v>
      </c>
      <c r="D305" s="100" t="s">
        <v>292</v>
      </c>
      <c r="E305" s="100" t="s">
        <v>293</v>
      </c>
      <c r="F305" s="104">
        <f t="shared" ref="F305:Q305" si="223">IF((SUM(F306:F311)-MAX(F317,F321))&lt;0,"ERR",SUM(F306:F311))</f>
        <v>3</v>
      </c>
      <c r="G305" s="104">
        <f t="shared" si="223"/>
        <v>0</v>
      </c>
      <c r="H305" s="104">
        <f t="shared" si="223"/>
        <v>1</v>
      </c>
      <c r="I305" s="104">
        <f t="shared" si="223"/>
        <v>2</v>
      </c>
      <c r="J305" s="104">
        <f t="shared" si="223"/>
        <v>2</v>
      </c>
      <c r="K305" s="104">
        <f t="shared" si="223"/>
        <v>0</v>
      </c>
      <c r="L305" s="104">
        <f t="shared" si="223"/>
        <v>2</v>
      </c>
      <c r="M305" s="104">
        <f t="shared" si="223"/>
        <v>1</v>
      </c>
      <c r="N305" s="104">
        <f t="shared" si="223"/>
        <v>0</v>
      </c>
      <c r="O305" s="104">
        <f t="shared" si="223"/>
        <v>1</v>
      </c>
      <c r="P305" s="104">
        <f t="shared" si="223"/>
        <v>1</v>
      </c>
      <c r="Q305" s="104">
        <f t="shared" si="223"/>
        <v>0</v>
      </c>
      <c r="S305" s="108" t="s">
        <v>272</v>
      </c>
      <c r="T305" s="108" t="s">
        <v>273</v>
      </c>
      <c r="U305" s="108" t="s">
        <v>274</v>
      </c>
      <c r="V305" s="98" t="s">
        <v>275</v>
      </c>
      <c r="W305" s="98" t="s">
        <v>276</v>
      </c>
      <c r="X305" s="102" t="s">
        <v>277</v>
      </c>
      <c r="Y305" s="103" t="s">
        <v>278</v>
      </c>
      <c r="Z305" s="102" t="s">
        <v>279</v>
      </c>
      <c r="AA305" s="103" t="s">
        <v>280</v>
      </c>
      <c r="AB305" s="102" t="s">
        <v>281</v>
      </c>
      <c r="AC305" s="103" t="s">
        <v>282</v>
      </c>
      <c r="AD305" s="102" t="s">
        <v>283</v>
      </c>
      <c r="AE305" s="103" t="s">
        <v>284</v>
      </c>
      <c r="AF305" s="102" t="s">
        <v>285</v>
      </c>
      <c r="AG305" s="103" t="s">
        <v>286</v>
      </c>
      <c r="AH305" s="102" t="s">
        <v>287</v>
      </c>
      <c r="AI305" s="107" t="s">
        <v>288</v>
      </c>
    </row>
    <row r="306" ht="24" customHeight="1" spans="1:17">
      <c r="A306" s="99" t="s">
        <v>345</v>
      </c>
      <c r="B306" s="99" t="s">
        <v>290</v>
      </c>
      <c r="C306" s="99" t="s">
        <v>291</v>
      </c>
      <c r="D306" s="48" t="s">
        <v>31</v>
      </c>
      <c r="E306" s="48" t="s">
        <v>406</v>
      </c>
      <c r="F306" s="105">
        <f>COUNTIFS('2024数据'!$G$3:$G$152,"&gt;="&amp;DATE(2023,1,1),'2024数据'!$G$3:$G$152,"&lt;="&amp;DATE(2024,1,31),'2024数据'!$AE$3:$AE$152,$E306)</f>
        <v>1</v>
      </c>
      <c r="G306" s="105">
        <f>COUNTIFS('2024数据'!$G$3:$G$152,"&gt;="&amp;DATE(2024,2,1),'2024数据'!$G$3:$G$152,"&lt;="&amp;DATE(2024,2,29),'2024数据'!$AE$3:$AE$152,$E306)</f>
        <v>0</v>
      </c>
      <c r="H306" s="105">
        <f>COUNTIFS('2024数据'!$G$3:$G$152,"&gt;="&amp;DATE(2024,3,1),'2024数据'!$G$3:$G$152,"&lt;="&amp;DATE(2024,3,31),'2024数据'!$AE$3:$AE$152,$E306)</f>
        <v>0</v>
      </c>
      <c r="I306" s="105">
        <f>COUNTIFS('2024数据'!$G$3:$G$152,"&gt;="&amp;DATE(2024,4,1),'2024数据'!$G$3:$G$152,"&lt;="&amp;DATE(2024,4,30),'2024数据'!$AE$3:$AE$152,$E306)</f>
        <v>1</v>
      </c>
      <c r="J306" s="105">
        <f>COUNTIFS('2024数据'!$G$3:$G$152,"&gt;="&amp;DATE(2024,5,1),'2024数据'!$G$3:$G$152,"&lt;="&amp;DATE(2024,5,31),'2024数据'!$AE$3:$AE$152,$E306)</f>
        <v>1</v>
      </c>
      <c r="K306" s="105">
        <f>COUNTIFS('2024数据'!$G$3:$G$152,"&gt;="&amp;DATE(2024,6,1),'2024数据'!$G$3:$G$152,"&lt;="&amp;DATE(2024,6,30),'2024数据'!$AE$3:$AE$152,$E306)</f>
        <v>0</v>
      </c>
      <c r="L306" s="105">
        <f>COUNTIFS('2024数据'!$G$3:$G$152,"&gt;="&amp;DATE(2024,7,1),'2024数据'!$G$3:$G$152,"&lt;="&amp;DATE(2024,7,31),'2024数据'!$AE$3:$AE$152,$E306)</f>
        <v>2</v>
      </c>
      <c r="M306" s="105">
        <f>COUNTIFS('2024数据'!$G$3:$G$152,"&gt;="&amp;DATE(2024,8,1),'2024数据'!$G$3:$G$152,"&lt;="&amp;DATE(2024,8,31),'2024数据'!$AE$3:$AE$152,$E306)</f>
        <v>0</v>
      </c>
      <c r="N306" s="105">
        <f>COUNTIFS('2024数据'!$G$3:$G$152,"&gt;="&amp;DATE(2024,9,1),'2024数据'!$G$3:$G$152,"&lt;="&amp;DATE(2024,9,30),'2024数据'!$AE$3:$AE$152,$E306)</f>
        <v>0</v>
      </c>
      <c r="O306" s="105">
        <f>COUNTIFS('2024数据'!$G$3:$G$152,"&gt;="&amp;DATE(2024,10,1),'2024数据'!$G$3:$G$152,"&lt;="&amp;DATE(2024,10,31),'2024数据'!$AE$3:$AE$152,$E306)</f>
        <v>0</v>
      </c>
      <c r="P306" s="105">
        <f>COUNTIFS('2024数据'!$G$3:$G$152,"&gt;="&amp;DATE(2024,11,1),'2024数据'!$G$3:$G$152,"&lt;="&amp;DATE(2024,11,30),'2024数据'!$AE$3:$AE$152,$E306)</f>
        <v>0</v>
      </c>
      <c r="Q306" s="105">
        <f>COUNTIFS('2024数据'!$G$3:$G$152,"&gt;="&amp;DATE(2024,12,1),'2024数据'!$G$3:$G$152,"&lt;="&amp;DATE(2024,12,31),'2024数据'!$AE$3:$AE$152,$E306)</f>
        <v>0</v>
      </c>
    </row>
    <row r="307" ht="24" customHeight="1" spans="1:17">
      <c r="A307" s="99" t="s">
        <v>345</v>
      </c>
      <c r="B307" s="99" t="s">
        <v>290</v>
      </c>
      <c r="C307" s="99" t="s">
        <v>291</v>
      </c>
      <c r="D307" s="48" t="s">
        <v>31</v>
      </c>
      <c r="E307" s="48" t="s">
        <v>82</v>
      </c>
      <c r="F307" s="105">
        <f>COUNTIFS('2024数据'!$G$3:$G$152,"&gt;="&amp;DATE(2023,1,1),'2024数据'!$G$3:$G$152,"&lt;="&amp;DATE(2024,1,31),'2024数据'!$AE$3:$AE$152,$E307)</f>
        <v>0</v>
      </c>
      <c r="G307" s="105">
        <f>COUNTIFS('2024数据'!$G$3:$G$152,"&gt;="&amp;DATE(2024,2,1),'2024数据'!$G$3:$G$152,"&lt;="&amp;DATE(2024,2,29),'2024数据'!$AE$3:$AE$152,$E307)</f>
        <v>0</v>
      </c>
      <c r="H307" s="105">
        <f>COUNTIFS('2024数据'!$G$3:$G$152,"&gt;="&amp;DATE(2024,3,1),'2024数据'!$G$3:$G$152,"&lt;="&amp;DATE(2024,3,31),'2024数据'!$AE$3:$AE$152,$E307)</f>
        <v>0</v>
      </c>
      <c r="I307" s="105">
        <f>COUNTIFS('2024数据'!$G$3:$G$152,"&gt;="&amp;DATE(2024,4,1),'2024数据'!$G$3:$G$152,"&lt;="&amp;DATE(2024,4,30),'2024数据'!$AE$3:$AE$152,$E307)</f>
        <v>0</v>
      </c>
      <c r="J307" s="105">
        <f>COUNTIFS('2024数据'!$G$3:$G$152,"&gt;="&amp;DATE(2024,5,1),'2024数据'!$G$3:$G$152,"&lt;="&amp;DATE(2024,5,31),'2024数据'!$AE$3:$AE$152,$E307)</f>
        <v>0</v>
      </c>
      <c r="K307" s="105">
        <f>COUNTIFS('2024数据'!$G$3:$G$152,"&gt;="&amp;DATE(2024,6,1),'2024数据'!$G$3:$G$152,"&lt;="&amp;DATE(2024,6,30),'2024数据'!$AE$3:$AE$152,$E307)</f>
        <v>0</v>
      </c>
      <c r="L307" s="105">
        <f>COUNTIFS('2024数据'!$G$3:$G$152,"&gt;="&amp;DATE(2024,7,1),'2024数据'!$G$3:$G$152,"&lt;="&amp;DATE(2024,7,31),'2024数据'!$AE$3:$AE$152,$E307)</f>
        <v>0</v>
      </c>
      <c r="M307" s="105">
        <f>COUNTIFS('2024数据'!$G$3:$G$152,"&gt;="&amp;DATE(2024,8,1),'2024数据'!$G$3:$G$152,"&lt;="&amp;DATE(2024,8,31),'2024数据'!$AE$3:$AE$152,$E307)</f>
        <v>1</v>
      </c>
      <c r="N307" s="105">
        <f>COUNTIFS('2024数据'!$G$3:$G$152,"&gt;="&amp;DATE(2024,9,1),'2024数据'!$G$3:$G$152,"&lt;="&amp;DATE(2024,9,30),'2024数据'!$AE$3:$AE$152,$E307)</f>
        <v>0</v>
      </c>
      <c r="O307" s="105">
        <f>COUNTIFS('2024数据'!$G$3:$G$152,"&gt;="&amp;DATE(2024,10,1),'2024数据'!$G$3:$G$152,"&lt;="&amp;DATE(2024,10,31),'2024数据'!$AE$3:$AE$152,$E307)</f>
        <v>0</v>
      </c>
      <c r="P307" s="105">
        <f>COUNTIFS('2024数据'!$G$3:$G$152,"&gt;="&amp;DATE(2024,11,1),'2024数据'!$G$3:$G$152,"&lt;="&amp;DATE(2024,11,30),'2024数据'!$AE$3:$AE$152,$E307)</f>
        <v>0</v>
      </c>
      <c r="Q307" s="105">
        <f>COUNTIFS('2024数据'!$G$3:$G$152,"&gt;="&amp;DATE(2024,12,1),'2024数据'!$G$3:$G$152,"&lt;="&amp;DATE(2024,12,31),'2024数据'!$AE$3:$AE$152,$E307)</f>
        <v>0</v>
      </c>
    </row>
    <row r="308" ht="24" customHeight="1" spans="1:17">
      <c r="A308" s="99" t="s">
        <v>345</v>
      </c>
      <c r="B308" s="99" t="s">
        <v>290</v>
      </c>
      <c r="C308" s="99" t="s">
        <v>291</v>
      </c>
      <c r="D308" s="48" t="s">
        <v>31</v>
      </c>
      <c r="E308" s="48" t="s">
        <v>86</v>
      </c>
      <c r="F308" s="105">
        <f>COUNTIFS('2024数据'!$G$3:$G$152,"&gt;="&amp;DATE(2023,1,1),'2024数据'!$G$3:$G$152,"&lt;="&amp;DATE(2024,1,31),'2024数据'!$AE$3:$AE$152,$E308)</f>
        <v>1</v>
      </c>
      <c r="G308" s="105">
        <f>COUNTIFS('2024数据'!$G$3:$G$152,"&gt;="&amp;DATE(2024,2,1),'2024数据'!$G$3:$G$152,"&lt;="&amp;DATE(2024,2,29),'2024数据'!$AE$3:$AE$152,$E308)</f>
        <v>0</v>
      </c>
      <c r="H308" s="105">
        <f>COUNTIFS('2024数据'!$G$3:$G$152,"&gt;="&amp;DATE(2024,3,1),'2024数据'!$G$3:$G$152,"&lt;="&amp;DATE(2024,3,31),'2024数据'!$AE$3:$AE$152,$E308)</f>
        <v>0</v>
      </c>
      <c r="I308" s="105">
        <f>COUNTIFS('2024数据'!$G$3:$G$152,"&gt;="&amp;DATE(2024,4,1),'2024数据'!$G$3:$G$152,"&lt;="&amp;DATE(2024,4,30),'2024数据'!$AE$3:$AE$152,$E308)</f>
        <v>1</v>
      </c>
      <c r="J308" s="105">
        <f>COUNTIFS('2024数据'!$G$3:$G$152,"&gt;="&amp;DATE(2024,5,1),'2024数据'!$G$3:$G$152,"&lt;="&amp;DATE(2024,5,31),'2024数据'!$AE$3:$AE$152,$E308)</f>
        <v>0</v>
      </c>
      <c r="K308" s="105">
        <f>COUNTIFS('2024数据'!$G$3:$G$152,"&gt;="&amp;DATE(2024,6,1),'2024数据'!$G$3:$G$152,"&lt;="&amp;DATE(2024,6,30),'2024数据'!$AE$3:$AE$152,$E308)</f>
        <v>0</v>
      </c>
      <c r="L308" s="105">
        <f>COUNTIFS('2024数据'!$G$3:$G$152,"&gt;="&amp;DATE(2024,7,1),'2024数据'!$G$3:$G$152,"&lt;="&amp;DATE(2024,7,31),'2024数据'!$AE$3:$AE$152,$E308)</f>
        <v>0</v>
      </c>
      <c r="M308" s="105">
        <f>COUNTIFS('2024数据'!$G$3:$G$152,"&gt;="&amp;DATE(2024,8,1),'2024数据'!$G$3:$G$152,"&lt;="&amp;DATE(2024,8,31),'2024数据'!$AE$3:$AE$152,$E308)</f>
        <v>0</v>
      </c>
      <c r="N308" s="105">
        <f>COUNTIFS('2024数据'!$G$3:$G$152,"&gt;="&amp;DATE(2024,9,1),'2024数据'!$G$3:$G$152,"&lt;="&amp;DATE(2024,9,30),'2024数据'!$AE$3:$AE$152,$E308)</f>
        <v>0</v>
      </c>
      <c r="O308" s="105">
        <f>COUNTIFS('2024数据'!$G$3:$G$152,"&gt;="&amp;DATE(2024,10,1),'2024数据'!$G$3:$G$152,"&lt;="&amp;DATE(2024,10,31),'2024数据'!$AE$3:$AE$152,$E308)</f>
        <v>0</v>
      </c>
      <c r="P308" s="105">
        <f>COUNTIFS('2024数据'!$G$3:$G$152,"&gt;="&amp;DATE(2024,11,1),'2024数据'!$G$3:$G$152,"&lt;="&amp;DATE(2024,11,30),'2024数据'!$AE$3:$AE$152,$E308)</f>
        <v>0</v>
      </c>
      <c r="Q308" s="105">
        <f>COUNTIFS('2024数据'!$G$3:$G$152,"&gt;="&amp;DATE(2024,12,1),'2024数据'!$G$3:$G$152,"&lt;="&amp;DATE(2024,12,31),'2024数据'!$AE$3:$AE$152,$E308)</f>
        <v>0</v>
      </c>
    </row>
    <row r="309" ht="24" customHeight="1" spans="1:17">
      <c r="A309" s="99" t="s">
        <v>345</v>
      </c>
      <c r="B309" s="99" t="s">
        <v>290</v>
      </c>
      <c r="C309" s="99" t="s">
        <v>291</v>
      </c>
      <c r="D309" s="48" t="s">
        <v>31</v>
      </c>
      <c r="E309" s="48" t="s">
        <v>97</v>
      </c>
      <c r="F309" s="105">
        <f>COUNTIFS('2024数据'!$G$3:$G$152,"&gt;="&amp;DATE(2023,1,1),'2024数据'!$G$3:$G$152,"&lt;="&amp;DATE(2024,1,31),'2024数据'!$AE$3:$AE$152,$E309)</f>
        <v>1</v>
      </c>
      <c r="G309" s="105">
        <f>COUNTIFS('2024数据'!$G$3:$G$152,"&gt;="&amp;DATE(2024,2,1),'2024数据'!$G$3:$G$152,"&lt;="&amp;DATE(2024,2,29),'2024数据'!$AE$3:$AE$152,$E309)</f>
        <v>0</v>
      </c>
      <c r="H309" s="105">
        <f>COUNTIFS('2024数据'!$G$3:$G$152,"&gt;="&amp;DATE(2024,3,1),'2024数据'!$G$3:$G$152,"&lt;="&amp;DATE(2024,3,31),'2024数据'!$AE$3:$AE$152,$E309)</f>
        <v>0</v>
      </c>
      <c r="I309" s="105">
        <f>COUNTIFS('2024数据'!$G$3:$G$152,"&gt;="&amp;DATE(2024,4,1),'2024数据'!$G$3:$G$152,"&lt;="&amp;DATE(2024,4,30),'2024数据'!$AE$3:$AE$152,$E309)</f>
        <v>0</v>
      </c>
      <c r="J309" s="105">
        <f>COUNTIFS('2024数据'!$G$3:$G$152,"&gt;="&amp;DATE(2024,5,1),'2024数据'!$G$3:$G$152,"&lt;="&amp;DATE(2024,5,31),'2024数据'!$AE$3:$AE$152,$E309)</f>
        <v>0</v>
      </c>
      <c r="K309" s="105">
        <f>COUNTIFS('2024数据'!$G$3:$G$152,"&gt;="&amp;DATE(2024,6,1),'2024数据'!$G$3:$G$152,"&lt;="&amp;DATE(2024,6,30),'2024数据'!$AE$3:$AE$152,$E309)</f>
        <v>0</v>
      </c>
      <c r="L309" s="105">
        <f>COUNTIFS('2024数据'!$G$3:$G$152,"&gt;="&amp;DATE(2024,7,1),'2024数据'!$G$3:$G$152,"&lt;="&amp;DATE(2024,7,31),'2024数据'!$AE$3:$AE$152,$E309)</f>
        <v>0</v>
      </c>
      <c r="M309" s="105">
        <f>COUNTIFS('2024数据'!$G$3:$G$152,"&gt;="&amp;DATE(2024,8,1),'2024数据'!$G$3:$G$152,"&lt;="&amp;DATE(2024,8,31),'2024数据'!$AE$3:$AE$152,$E309)</f>
        <v>0</v>
      </c>
      <c r="N309" s="105">
        <f>COUNTIFS('2024数据'!$G$3:$G$152,"&gt;="&amp;DATE(2024,9,1),'2024数据'!$G$3:$G$152,"&lt;="&amp;DATE(2024,9,30),'2024数据'!$AE$3:$AE$152,$E309)</f>
        <v>0</v>
      </c>
      <c r="O309" s="105">
        <f>COUNTIFS('2024数据'!$G$3:$G$152,"&gt;="&amp;DATE(2024,10,1),'2024数据'!$G$3:$G$152,"&lt;="&amp;DATE(2024,10,31),'2024数据'!$AE$3:$AE$152,$E309)</f>
        <v>1</v>
      </c>
      <c r="P309" s="105">
        <f>COUNTIFS('2024数据'!$G$3:$G$152,"&gt;="&amp;DATE(2024,11,1),'2024数据'!$G$3:$G$152,"&lt;="&amp;DATE(2024,11,30),'2024数据'!$AE$3:$AE$152,$E309)</f>
        <v>1</v>
      </c>
      <c r="Q309" s="105">
        <f>COUNTIFS('2024数据'!$G$3:$G$152,"&gt;="&amp;DATE(2024,12,1),'2024数据'!$G$3:$G$152,"&lt;="&amp;DATE(2024,12,31),'2024数据'!$AE$3:$AE$152,$E309)</f>
        <v>0</v>
      </c>
    </row>
    <row r="310" ht="24" customHeight="1" spans="1:17">
      <c r="A310" s="99" t="s">
        <v>345</v>
      </c>
      <c r="B310" s="99" t="s">
        <v>290</v>
      </c>
      <c r="C310" s="99" t="s">
        <v>291</v>
      </c>
      <c r="D310" s="48" t="s">
        <v>31</v>
      </c>
      <c r="E310" s="48" t="s">
        <v>87</v>
      </c>
      <c r="F310" s="105">
        <f>COUNTIFS('2024数据'!$G$3:$G$152,"&gt;="&amp;DATE(2023,1,1),'2024数据'!$G$3:$G$152,"&lt;="&amp;DATE(2024,1,31),'2024数据'!$AE$3:$AE$152,$E310)</f>
        <v>0</v>
      </c>
      <c r="G310" s="105">
        <f>COUNTIFS('2024数据'!$G$3:$G$152,"&gt;="&amp;DATE(2024,2,1),'2024数据'!$G$3:$G$152,"&lt;="&amp;DATE(2024,2,29),'2024数据'!$AE$3:$AE$152,$E310)</f>
        <v>0</v>
      </c>
      <c r="H310" s="105">
        <f>COUNTIFS('2024数据'!$G$3:$G$152,"&gt;="&amp;DATE(2024,3,1),'2024数据'!$G$3:$G$152,"&lt;="&amp;DATE(2024,3,31),'2024数据'!$AE$3:$AE$152,$E310)</f>
        <v>0</v>
      </c>
      <c r="I310" s="105">
        <f>COUNTIFS('2024数据'!$G$3:$G$152,"&gt;="&amp;DATE(2024,4,1),'2024数据'!$G$3:$G$152,"&lt;="&amp;DATE(2024,4,30),'2024数据'!$AE$3:$AE$152,$E310)</f>
        <v>0</v>
      </c>
      <c r="J310" s="105">
        <f>COUNTIFS('2024数据'!$G$3:$G$152,"&gt;="&amp;DATE(2024,5,1),'2024数据'!$G$3:$G$152,"&lt;="&amp;DATE(2024,5,31),'2024数据'!$AE$3:$AE$152,$E310)</f>
        <v>1</v>
      </c>
      <c r="K310" s="105">
        <f>COUNTIFS('2024数据'!$G$3:$G$152,"&gt;="&amp;DATE(2024,6,1),'2024数据'!$G$3:$G$152,"&lt;="&amp;DATE(2024,6,30),'2024数据'!$AE$3:$AE$152,$E310)</f>
        <v>0</v>
      </c>
      <c r="L310" s="105">
        <f>COUNTIFS('2024数据'!$G$3:$G$152,"&gt;="&amp;DATE(2024,7,1),'2024数据'!$G$3:$G$152,"&lt;="&amp;DATE(2024,7,31),'2024数据'!$AE$3:$AE$152,$E310)</f>
        <v>0</v>
      </c>
      <c r="M310" s="105">
        <f>COUNTIFS('2024数据'!$G$3:$G$152,"&gt;="&amp;DATE(2024,8,1),'2024数据'!$G$3:$G$152,"&lt;="&amp;DATE(2024,8,31),'2024数据'!$AE$3:$AE$152,$E310)</f>
        <v>0</v>
      </c>
      <c r="N310" s="105">
        <f>COUNTIFS('2024数据'!$G$3:$G$152,"&gt;="&amp;DATE(2024,9,1),'2024数据'!$G$3:$G$152,"&lt;="&amp;DATE(2024,9,30),'2024数据'!$AE$3:$AE$152,$E310)</f>
        <v>0</v>
      </c>
      <c r="O310" s="105">
        <f>COUNTIFS('2024数据'!$G$3:$G$152,"&gt;="&amp;DATE(2024,10,1),'2024数据'!$G$3:$G$152,"&lt;="&amp;DATE(2024,10,31),'2024数据'!$AE$3:$AE$152,$E310)</f>
        <v>0</v>
      </c>
      <c r="P310" s="105">
        <f>COUNTIFS('2024数据'!$G$3:$G$152,"&gt;="&amp;DATE(2024,11,1),'2024数据'!$G$3:$G$152,"&lt;="&amp;DATE(2024,11,30),'2024数据'!$AE$3:$AE$152,$E310)</f>
        <v>0</v>
      </c>
      <c r="Q310" s="105">
        <f>COUNTIFS('2024数据'!$G$3:$G$152,"&gt;="&amp;DATE(2024,12,1),'2024数据'!$G$3:$G$152,"&lt;="&amp;DATE(2024,12,31),'2024数据'!$AE$3:$AE$152,$E310)</f>
        <v>0</v>
      </c>
    </row>
    <row r="311" ht="24" customHeight="1" spans="1:17">
      <c r="A311" s="99" t="s">
        <v>345</v>
      </c>
      <c r="B311" s="99" t="s">
        <v>290</v>
      </c>
      <c r="C311" s="99" t="s">
        <v>291</v>
      </c>
      <c r="D311" s="48" t="s">
        <v>31</v>
      </c>
      <c r="E311" s="48" t="s">
        <v>83</v>
      </c>
      <c r="F311" s="105">
        <f>COUNTIFS('2024数据'!$G$3:$G$152,"&gt;="&amp;DATE(2023,1,1),'2024数据'!$G$3:$G$152,"&lt;="&amp;DATE(2024,1,31),'2024数据'!$AE$3:$AE$152,$E311)</f>
        <v>0</v>
      </c>
      <c r="G311" s="105">
        <f>COUNTIFS('2024数据'!$G$3:$G$152,"&gt;="&amp;DATE(2024,2,1),'2024数据'!$G$3:$G$152,"&lt;="&amp;DATE(2024,2,29),'2024数据'!$AE$3:$AE$152,$E311)</f>
        <v>0</v>
      </c>
      <c r="H311" s="105">
        <f>COUNTIFS('2024数据'!$G$3:$G$152,"&gt;="&amp;DATE(2024,3,1),'2024数据'!$G$3:$G$152,"&lt;="&amp;DATE(2024,3,31),'2024数据'!$AE$3:$AE$152,$E311)</f>
        <v>1</v>
      </c>
      <c r="I311" s="105">
        <f>COUNTIFS('2024数据'!$G$3:$G$152,"&gt;="&amp;DATE(2024,4,1),'2024数据'!$G$3:$G$152,"&lt;="&amp;DATE(2024,4,30),'2024数据'!$AE$3:$AE$152,$E311)</f>
        <v>0</v>
      </c>
      <c r="J311" s="105">
        <f>COUNTIFS('2024数据'!$G$3:$G$152,"&gt;="&amp;DATE(2024,5,1),'2024数据'!$G$3:$G$152,"&lt;="&amp;DATE(2024,5,31),'2024数据'!$AE$3:$AE$152,$E311)</f>
        <v>0</v>
      </c>
      <c r="K311" s="105">
        <f>COUNTIFS('2024数据'!$G$3:$G$152,"&gt;="&amp;DATE(2024,6,1),'2024数据'!$G$3:$G$152,"&lt;="&amp;DATE(2024,6,30),'2024数据'!$AE$3:$AE$152,$E311)</f>
        <v>0</v>
      </c>
      <c r="L311" s="105">
        <f>COUNTIFS('2024数据'!$G$3:$G$152,"&gt;="&amp;DATE(2024,7,1),'2024数据'!$G$3:$G$152,"&lt;="&amp;DATE(2024,7,31),'2024数据'!$AE$3:$AE$152,$E311)</f>
        <v>0</v>
      </c>
      <c r="M311" s="105">
        <f>COUNTIFS('2024数据'!$G$3:$G$152,"&gt;="&amp;DATE(2024,8,1),'2024数据'!$G$3:$G$152,"&lt;="&amp;DATE(2024,8,31),'2024数据'!$AE$3:$AE$152,$E311)</f>
        <v>0</v>
      </c>
      <c r="N311" s="105">
        <f>COUNTIFS('2024数据'!$G$3:$G$152,"&gt;="&amp;DATE(2024,9,1),'2024数据'!$G$3:$G$152,"&lt;="&amp;DATE(2024,9,30),'2024数据'!$AE$3:$AE$152,$E311)</f>
        <v>0</v>
      </c>
      <c r="O311" s="105">
        <f>COUNTIFS('2024数据'!$G$3:$G$152,"&gt;="&amp;DATE(2024,10,1),'2024数据'!$G$3:$G$152,"&lt;="&amp;DATE(2024,10,31),'2024数据'!$AE$3:$AE$152,$E311)</f>
        <v>0</v>
      </c>
      <c r="P311" s="105">
        <f>COUNTIFS('2024数据'!$G$3:$G$152,"&gt;="&amp;DATE(2024,11,1),'2024数据'!$G$3:$G$152,"&lt;="&amp;DATE(2024,11,30),'2024数据'!$AE$3:$AE$152,$E311)</f>
        <v>0</v>
      </c>
      <c r="Q311" s="105">
        <f>COUNTIFS('2024数据'!$G$3:$G$152,"&gt;="&amp;DATE(2024,12,1),'2024数据'!$G$3:$G$152,"&lt;="&amp;DATE(2024,12,31),'2024数据'!$AE$3:$AE$152,$E311)</f>
        <v>0</v>
      </c>
    </row>
    <row r="312" ht="24" customHeight="1" spans="1:17">
      <c r="A312" s="99" t="s">
        <v>345</v>
      </c>
      <c r="B312" s="99" t="s">
        <v>290</v>
      </c>
      <c r="C312" s="99" t="s">
        <v>291</v>
      </c>
      <c r="D312" s="47" t="s">
        <v>294</v>
      </c>
      <c r="E312" s="47" t="s">
        <v>93</v>
      </c>
      <c r="F312" s="106">
        <f>COUNTIFS('2024数据'!$G$3:$G$152,"&gt;="&amp;DATE(2023,1,1),'2024数据'!$G$3:$G$152,"&lt;="&amp;DATE(2024,1,31),'2024数据'!$B$3:$B$152,$E312)</f>
        <v>2</v>
      </c>
      <c r="G312" s="106">
        <f>COUNTIFS('2024数据'!$G$3:$G$152,"&gt;="&amp;DATE(2024,2,1),'2024数据'!$G$3:$G$152,"&lt;="&amp;DATE(2024,2,29),'2024数据'!$B$3:$B$152,$E312)</f>
        <v>0</v>
      </c>
      <c r="H312" s="106">
        <f>COUNTIFS('2024数据'!$G$3:$G$152,"&gt;="&amp;DATE(2024,3,1),'2024数据'!$G$3:$G$152,"&lt;="&amp;DATE(2024,3,31),'2024数据'!$B$3:$B$152,$E312)</f>
        <v>0</v>
      </c>
      <c r="I312" s="106">
        <f>COUNTIFS('2024数据'!$G$3:$G$152,"&gt;="&amp;DATE(2024,4,1),'2024数据'!$G$3:$G$152,"&lt;="&amp;DATE(2024,4,30),'2024数据'!$B$3:$B$152,$E312)</f>
        <v>0</v>
      </c>
      <c r="J312" s="106">
        <f>COUNTIFS('2024数据'!$G$3:$G$152,"&gt;="&amp;DATE(2024,5,1),'2024数据'!$G$3:$G$152,"&lt;="&amp;DATE(2024,5,31),'2024数据'!$B$3:$B$152,$E312)</f>
        <v>0</v>
      </c>
      <c r="K312" s="106">
        <f>COUNTIFS('2024数据'!$G$3:$G$152,"&gt;="&amp;DATE(2024,6,1),'2024数据'!$G$3:$G$152,"&lt;="&amp;DATE(2024,6,30),'2024数据'!$B$3:$B$152,$E312)</f>
        <v>0</v>
      </c>
      <c r="L312" s="106">
        <f>COUNTIFS('2024数据'!$G$3:$G$152,"&gt;="&amp;DATE(2024,7,1),'2024数据'!$G$3:$G$152,"&lt;="&amp;DATE(2024,7,31),'2024数据'!$B$3:$B$152,$E312)</f>
        <v>0</v>
      </c>
      <c r="M312" s="106">
        <f>COUNTIFS('2024数据'!$G$3:$G$152,"&gt;="&amp;DATE(2024,8,1),'2024数据'!$G$3:$G$152,"&lt;="&amp;DATE(2024,8,31),'2024数据'!$B$3:$B$152,$E312)</f>
        <v>1</v>
      </c>
      <c r="N312" s="106">
        <f>COUNTIFS('2024数据'!$G$3:$G$152,"&gt;="&amp;DATE(2024,9,1),'2024数据'!$G$3:$G$152,"&lt;="&amp;DATE(2024,9,30),'2024数据'!$B$3:$B$152,$E312)</f>
        <v>0</v>
      </c>
      <c r="O312" s="106">
        <f>COUNTIFS('2024数据'!$G$3:$G$152,"&gt;="&amp;DATE(2024,10,1),'2024数据'!$G$3:$G$152,"&lt;="&amp;DATE(2024,10,31),'2024数据'!$B$3:$B$152,$E312)</f>
        <v>0</v>
      </c>
      <c r="P312" s="106">
        <f>COUNTIFS('2024数据'!$G$3:$G$152,"&gt;="&amp;DATE(2024,11,1),'2024数据'!$G$3:$G$152,"&lt;="&amp;DATE(2024,11,30),'2024数据'!$B$3:$B$152,$E312)</f>
        <v>1</v>
      </c>
      <c r="Q312" s="106">
        <f>COUNTIFS('2024数据'!$G$3:$G$152,"&gt;="&amp;DATE(2024,12,1),'2024数据'!$G$3:$G$152,"&lt;="&amp;DATE(2024,12,31),'2024数据'!$B$3:$B$152,$E312)</f>
        <v>0</v>
      </c>
    </row>
    <row r="313" ht="24" customHeight="1" spans="1:17">
      <c r="A313" s="99" t="s">
        <v>345</v>
      </c>
      <c r="B313" s="99" t="s">
        <v>290</v>
      </c>
      <c r="C313" s="99" t="s">
        <v>291</v>
      </c>
      <c r="D313" s="47" t="s">
        <v>294</v>
      </c>
      <c r="E313" s="47" t="s">
        <v>85</v>
      </c>
      <c r="F313" s="106">
        <f>COUNTIFS('2024数据'!$G$3:$G$152,"&gt;="&amp;DATE(2023,1,1),'2024数据'!$G$3:$G$152,"&lt;="&amp;DATE(2024,1,31),'2024数据'!$B$3:$B$152,$E313)</f>
        <v>0</v>
      </c>
      <c r="G313" s="106">
        <f>COUNTIFS('2024数据'!$G$3:$G$152,"&gt;="&amp;DATE(2024,2,1),'2024数据'!$G$3:$G$152,"&lt;="&amp;DATE(2024,2,29),'2024数据'!$B$3:$B$152,$E313)</f>
        <v>0</v>
      </c>
      <c r="H313" s="106">
        <f>COUNTIFS('2024数据'!$G$3:$G$152,"&gt;="&amp;DATE(2024,3,1),'2024数据'!$G$3:$G$152,"&lt;="&amp;DATE(2024,3,31),'2024数据'!$B$3:$B$152,$E313)</f>
        <v>0</v>
      </c>
      <c r="I313" s="106">
        <f>COUNTIFS('2024数据'!$G$3:$G$152,"&gt;="&amp;DATE(2024,4,1),'2024数据'!$G$3:$G$152,"&lt;="&amp;DATE(2024,4,30),'2024数据'!$B$3:$B$152,$E313)</f>
        <v>1</v>
      </c>
      <c r="J313" s="106">
        <f>COUNTIFS('2024数据'!$G$3:$G$152,"&gt;="&amp;DATE(2024,5,1),'2024数据'!$G$3:$G$152,"&lt;="&amp;DATE(2024,5,31),'2024数据'!$B$3:$B$152,$E313)</f>
        <v>0</v>
      </c>
      <c r="K313" s="106">
        <f>COUNTIFS('2024数据'!$G$3:$G$152,"&gt;="&amp;DATE(2024,6,1),'2024数据'!$G$3:$G$152,"&lt;="&amp;DATE(2024,6,30),'2024数据'!$B$3:$B$152,$E313)</f>
        <v>0</v>
      </c>
      <c r="L313" s="106">
        <f>COUNTIFS('2024数据'!$G$3:$G$152,"&gt;="&amp;DATE(2024,7,1),'2024数据'!$G$3:$G$152,"&lt;="&amp;DATE(2024,7,31),'2024数据'!$B$3:$B$152,$E313)</f>
        <v>0</v>
      </c>
      <c r="M313" s="106">
        <f>COUNTIFS('2024数据'!$G$3:$G$152,"&gt;="&amp;DATE(2024,8,1),'2024数据'!$G$3:$G$152,"&lt;="&amp;DATE(2024,8,31),'2024数据'!$B$3:$B$152,$E313)</f>
        <v>0</v>
      </c>
      <c r="N313" s="106">
        <f>COUNTIFS('2024数据'!$G$3:$G$152,"&gt;="&amp;DATE(2024,9,1),'2024数据'!$G$3:$G$152,"&lt;="&amp;DATE(2024,9,30),'2024数据'!$B$3:$B$152,$E313)</f>
        <v>0</v>
      </c>
      <c r="O313" s="106">
        <f>COUNTIFS('2024数据'!$G$3:$G$152,"&gt;="&amp;DATE(2024,10,1),'2024数据'!$G$3:$G$152,"&lt;="&amp;DATE(2024,10,31),'2024数据'!$B$3:$B$152,$E313)</f>
        <v>0</v>
      </c>
      <c r="P313" s="106">
        <f>COUNTIFS('2024数据'!$G$3:$G$152,"&gt;="&amp;DATE(2024,11,1),'2024数据'!$G$3:$G$152,"&lt;="&amp;DATE(2024,11,30),'2024数据'!$B$3:$B$152,$E313)</f>
        <v>0</v>
      </c>
      <c r="Q313" s="106">
        <f>COUNTIFS('2024数据'!$G$3:$G$152,"&gt;="&amp;DATE(2024,12,1),'2024数据'!$G$3:$G$152,"&lt;="&amp;DATE(2024,12,31),'2024数据'!$B$3:$B$152,$E313)</f>
        <v>0</v>
      </c>
    </row>
    <row r="314" ht="24" customHeight="1" spans="1:17">
      <c r="A314" s="99" t="s">
        <v>345</v>
      </c>
      <c r="B314" s="99" t="s">
        <v>290</v>
      </c>
      <c r="C314" s="99" t="s">
        <v>291</v>
      </c>
      <c r="D314" s="47" t="s">
        <v>294</v>
      </c>
      <c r="E314" s="47" t="s">
        <v>81</v>
      </c>
      <c r="F314" s="106">
        <f>COUNTIFS('2024数据'!$G$3:$G$152,"&gt;="&amp;DATE(2023,1,1),'2024数据'!$G$3:$G$152,"&lt;="&amp;DATE(2024,1,31),'2024数据'!$B$3:$B$152,$E314)</f>
        <v>1</v>
      </c>
      <c r="G314" s="106">
        <f>COUNTIFS('2024数据'!$G$3:$G$152,"&gt;="&amp;DATE(2024,2,1),'2024数据'!$G$3:$G$152,"&lt;="&amp;DATE(2024,2,29),'2024数据'!$B$3:$B$152,$E314)</f>
        <v>0</v>
      </c>
      <c r="H314" s="106">
        <f>COUNTIFS('2024数据'!$G$3:$G$152,"&gt;="&amp;DATE(2024,3,1),'2024数据'!$G$3:$G$152,"&lt;="&amp;DATE(2024,3,31),'2024数据'!$B$3:$B$152,$E314)</f>
        <v>0</v>
      </c>
      <c r="I314" s="106">
        <f>COUNTIFS('2024数据'!$G$3:$G$152,"&gt;="&amp;DATE(2024,4,1),'2024数据'!$G$3:$G$152,"&lt;="&amp;DATE(2024,4,30),'2024数据'!$B$3:$B$152,$E314)</f>
        <v>1</v>
      </c>
      <c r="J314" s="106">
        <f>COUNTIFS('2024数据'!$G$3:$G$152,"&gt;="&amp;DATE(2024,5,1),'2024数据'!$G$3:$G$152,"&lt;="&amp;DATE(2024,5,31),'2024数据'!$B$3:$B$152,$E314)</f>
        <v>1</v>
      </c>
      <c r="K314" s="106">
        <f>COUNTIFS('2024数据'!$G$3:$G$152,"&gt;="&amp;DATE(2024,6,1),'2024数据'!$G$3:$G$152,"&lt;="&amp;DATE(2024,6,30),'2024数据'!$B$3:$B$152,$E314)</f>
        <v>0</v>
      </c>
      <c r="L314" s="106">
        <f>COUNTIFS('2024数据'!$G$3:$G$152,"&gt;="&amp;DATE(2024,7,1),'2024数据'!$G$3:$G$152,"&lt;="&amp;DATE(2024,7,31),'2024数据'!$B$3:$B$152,$E314)</f>
        <v>1</v>
      </c>
      <c r="M314" s="106">
        <f>COUNTIFS('2024数据'!$G$3:$G$152,"&gt;="&amp;DATE(2024,8,1),'2024数据'!$G$3:$G$152,"&lt;="&amp;DATE(2024,8,31),'2024数据'!$B$3:$B$152,$E314)</f>
        <v>0</v>
      </c>
      <c r="N314" s="106">
        <f>COUNTIFS('2024数据'!$G$3:$G$152,"&gt;="&amp;DATE(2024,9,1),'2024数据'!$G$3:$G$152,"&lt;="&amp;DATE(2024,9,30),'2024数据'!$B$3:$B$152,$E314)</f>
        <v>0</v>
      </c>
      <c r="O314" s="106">
        <f>COUNTIFS('2024数据'!$G$3:$G$152,"&gt;="&amp;DATE(2024,10,1),'2024数据'!$G$3:$G$152,"&lt;="&amp;DATE(2024,10,31),'2024数据'!$B$3:$B$152,$E314)</f>
        <v>1</v>
      </c>
      <c r="P314" s="106">
        <f>COUNTIFS('2024数据'!$G$3:$G$152,"&gt;="&amp;DATE(2024,11,1),'2024数据'!$G$3:$G$152,"&lt;="&amp;DATE(2024,11,30),'2024数据'!$B$3:$B$152,$E314)</f>
        <v>0</v>
      </c>
      <c r="Q314" s="106">
        <f>COUNTIFS('2024数据'!$G$3:$G$152,"&gt;="&amp;DATE(2024,12,1),'2024数据'!$G$3:$G$152,"&lt;="&amp;DATE(2024,12,31),'2024数据'!$B$3:$B$152,$E314)</f>
        <v>0</v>
      </c>
    </row>
    <row r="315" ht="24" customHeight="1" spans="1:17">
      <c r="A315" s="99" t="s">
        <v>345</v>
      </c>
      <c r="B315" s="99" t="s">
        <v>290</v>
      </c>
      <c r="C315" s="99" t="s">
        <v>291</v>
      </c>
      <c r="D315" s="47" t="s">
        <v>294</v>
      </c>
      <c r="E315" s="47" t="s">
        <v>96</v>
      </c>
      <c r="F315" s="106">
        <f>COUNTIFS('2024数据'!$G$3:$G$152,"&gt;="&amp;DATE(2023,1,1),'2024数据'!$G$3:$G$152,"&lt;="&amp;DATE(2024,1,31),'2024数据'!$B$3:$B$152,$E315)</f>
        <v>0</v>
      </c>
      <c r="G315" s="106">
        <f>COUNTIFS('2024数据'!$G$3:$G$152,"&gt;="&amp;DATE(2024,2,1),'2024数据'!$G$3:$G$152,"&lt;="&amp;DATE(2024,2,29),'2024数据'!$B$3:$B$152,$E315)</f>
        <v>0</v>
      </c>
      <c r="H315" s="106">
        <f>COUNTIFS('2024数据'!$G$3:$G$152,"&gt;="&amp;DATE(2024,3,1),'2024数据'!$G$3:$G$152,"&lt;="&amp;DATE(2024,3,31),'2024数据'!$B$3:$B$152,$E315)</f>
        <v>0</v>
      </c>
      <c r="I315" s="106">
        <f>COUNTIFS('2024数据'!$G$3:$G$152,"&gt;="&amp;DATE(2024,4,1),'2024数据'!$G$3:$G$152,"&lt;="&amp;DATE(2024,4,30),'2024数据'!$B$3:$B$152,$E315)</f>
        <v>0</v>
      </c>
      <c r="J315" s="106">
        <f>COUNTIFS('2024数据'!$G$3:$G$152,"&gt;="&amp;DATE(2024,5,1),'2024数据'!$G$3:$G$152,"&lt;="&amp;DATE(2024,5,31),'2024数据'!$B$3:$B$152,$E315)</f>
        <v>1</v>
      </c>
      <c r="K315" s="106">
        <f>COUNTIFS('2024数据'!$G$3:$G$152,"&gt;="&amp;DATE(2024,6,1),'2024数据'!$G$3:$G$152,"&lt;="&amp;DATE(2024,6,30),'2024数据'!$B$3:$B$152,$E315)</f>
        <v>0</v>
      </c>
      <c r="L315" s="106">
        <f>COUNTIFS('2024数据'!$G$3:$G$152,"&gt;="&amp;DATE(2024,7,1),'2024数据'!$G$3:$G$152,"&lt;="&amp;DATE(2024,7,31),'2024数据'!$B$3:$B$152,$E315)</f>
        <v>1</v>
      </c>
      <c r="M315" s="106">
        <f>COUNTIFS('2024数据'!$G$3:$G$152,"&gt;="&amp;DATE(2024,8,1),'2024数据'!$G$3:$G$152,"&lt;="&amp;DATE(2024,8,31),'2024数据'!$B$3:$B$152,$E315)</f>
        <v>0</v>
      </c>
      <c r="N315" s="106">
        <f>COUNTIFS('2024数据'!$G$3:$G$152,"&gt;="&amp;DATE(2024,9,1),'2024数据'!$G$3:$G$152,"&lt;="&amp;DATE(2024,9,30),'2024数据'!$B$3:$B$152,$E315)</f>
        <v>0</v>
      </c>
      <c r="O315" s="106">
        <f>COUNTIFS('2024数据'!$G$3:$G$152,"&gt;="&amp;DATE(2024,10,1),'2024数据'!$G$3:$G$152,"&lt;="&amp;DATE(2024,10,31),'2024数据'!$B$3:$B$152,$E315)</f>
        <v>0</v>
      </c>
      <c r="P315" s="106">
        <f>COUNTIFS('2024数据'!$G$3:$G$152,"&gt;="&amp;DATE(2024,11,1),'2024数据'!$G$3:$G$152,"&lt;="&amp;DATE(2024,11,30),'2024数据'!$B$3:$B$152,$E315)</f>
        <v>0</v>
      </c>
      <c r="Q315" s="106">
        <f>COUNTIFS('2024数据'!$G$3:$G$152,"&gt;="&amp;DATE(2024,12,1),'2024数据'!$G$3:$G$152,"&lt;="&amp;DATE(2024,12,31),'2024数据'!$B$3:$B$152,$E315)</f>
        <v>0</v>
      </c>
    </row>
    <row r="316" ht="24" customHeight="1" spans="1:17">
      <c r="A316" s="99" t="s">
        <v>345</v>
      </c>
      <c r="B316" s="99" t="s">
        <v>290</v>
      </c>
      <c r="C316" s="99" t="s">
        <v>291</v>
      </c>
      <c r="D316" s="47" t="s">
        <v>294</v>
      </c>
      <c r="E316" s="47" t="s">
        <v>160</v>
      </c>
      <c r="F316" s="106">
        <f t="shared" ref="F316:Q316" si="224">SUM(F306:F311)-SUM(F312:F315)</f>
        <v>0</v>
      </c>
      <c r="G316" s="106">
        <f t="shared" si="224"/>
        <v>0</v>
      </c>
      <c r="H316" s="106">
        <f t="shared" si="224"/>
        <v>1</v>
      </c>
      <c r="I316" s="106">
        <f t="shared" si="224"/>
        <v>0</v>
      </c>
      <c r="J316" s="106">
        <f t="shared" si="224"/>
        <v>0</v>
      </c>
      <c r="K316" s="106">
        <f t="shared" si="224"/>
        <v>0</v>
      </c>
      <c r="L316" s="106">
        <f t="shared" si="224"/>
        <v>0</v>
      </c>
      <c r="M316" s="106">
        <f t="shared" si="224"/>
        <v>0</v>
      </c>
      <c r="N316" s="106">
        <f t="shared" si="224"/>
        <v>0</v>
      </c>
      <c r="O316" s="106">
        <f t="shared" si="224"/>
        <v>0</v>
      </c>
      <c r="P316" s="106">
        <f t="shared" si="224"/>
        <v>0</v>
      </c>
      <c r="Q316" s="106">
        <f t="shared" si="224"/>
        <v>0</v>
      </c>
    </row>
    <row r="317" ht="24" customHeight="1" spans="1:17">
      <c r="A317" s="99" t="s">
        <v>345</v>
      </c>
      <c r="B317" s="99" t="s">
        <v>290</v>
      </c>
      <c r="C317" s="99" t="s">
        <v>291</v>
      </c>
      <c r="D317" s="100" t="s">
        <v>292</v>
      </c>
      <c r="E317" s="100" t="s">
        <v>295</v>
      </c>
      <c r="F317" s="104">
        <f t="shared" ref="F317:Q317" si="225">SUM(F318:F320)</f>
        <v>3</v>
      </c>
      <c r="G317" s="104">
        <f t="shared" si="225"/>
        <v>0</v>
      </c>
      <c r="H317" s="104">
        <f t="shared" si="225"/>
        <v>0</v>
      </c>
      <c r="I317" s="104">
        <f t="shared" si="225"/>
        <v>2</v>
      </c>
      <c r="J317" s="104">
        <f t="shared" si="225"/>
        <v>1</v>
      </c>
      <c r="K317" s="104">
        <f t="shared" si="225"/>
        <v>0</v>
      </c>
      <c r="L317" s="104">
        <f t="shared" si="225"/>
        <v>2</v>
      </c>
      <c r="M317" s="104">
        <f t="shared" si="225"/>
        <v>1</v>
      </c>
      <c r="N317" s="104">
        <f t="shared" si="225"/>
        <v>0</v>
      </c>
      <c r="O317" s="104">
        <f t="shared" si="225"/>
        <v>0</v>
      </c>
      <c r="P317" s="104">
        <f t="shared" si="225"/>
        <v>1</v>
      </c>
      <c r="Q317" s="104">
        <f t="shared" si="225"/>
        <v>0</v>
      </c>
    </row>
    <row r="318" ht="24" customHeight="1" spans="1:17">
      <c r="A318" s="99" t="s">
        <v>345</v>
      </c>
      <c r="B318" s="99" t="s">
        <v>290</v>
      </c>
      <c r="C318" s="99" t="s">
        <v>291</v>
      </c>
      <c r="D318" s="48" t="s">
        <v>296</v>
      </c>
      <c r="E318" s="48" t="s">
        <v>406</v>
      </c>
      <c r="F318" s="105">
        <f>COUNTIFS('2024数据'!$G$3:$G$152,"&gt;="&amp;DATE(2023,1,1),'2024数据'!$G$3:$G$152,"&lt;="&amp;DATE(2024,1,31),'2024数据'!$AF$3:$AF$152,$E318)</f>
        <v>1</v>
      </c>
      <c r="G318" s="105">
        <f>COUNTIFS('2024数据'!$G$3:$G$152,"&gt;="&amp;DATE(2024,2,1),'2024数据'!$G$3:$G$152,"&lt;="&amp;DATE(2024,2,29),'2024数据'!$AF$3:$AF$152,$E318)</f>
        <v>0</v>
      </c>
      <c r="H318" s="105">
        <f>COUNTIFS('2024数据'!$G$3:$G$152,"&gt;="&amp;DATE(2024,3,1),'2024数据'!$G$3:$G$152,"&lt;="&amp;DATE(2024,3,31),'2024数据'!$AF$3:$AF$152,$E318)</f>
        <v>0</v>
      </c>
      <c r="I318" s="105">
        <f>COUNTIFS('2024数据'!$G$3:$G$152,"&gt;="&amp;DATE(2024,4,1),'2024数据'!$G$3:$G$152,"&lt;="&amp;DATE(2024,4,30),'2024数据'!$AF$3:$AF$152,$E318)</f>
        <v>1</v>
      </c>
      <c r="J318" s="105">
        <f>COUNTIFS('2024数据'!$G$3:$G$152,"&gt;="&amp;DATE(2024,5,1),'2024数据'!$G$3:$G$152,"&lt;="&amp;DATE(2024,5,31),'2024数据'!$AF$3:$AF$152,$E318)</f>
        <v>1</v>
      </c>
      <c r="K318" s="105">
        <f>COUNTIFS('2024数据'!$G$3:$G$152,"&gt;="&amp;DATE(2024,6,1),'2024数据'!$G$3:$G$152,"&lt;="&amp;DATE(2024,6,30),'2024数据'!$AF$3:$AF$152,$E318)</f>
        <v>0</v>
      </c>
      <c r="L318" s="105">
        <f>COUNTIFS('2024数据'!$G$3:$G$152,"&gt;="&amp;DATE(2024,7,1),'2024数据'!$G$3:$G$152,"&lt;="&amp;DATE(2024,7,31),'2024数据'!$AF$3:$AF$152,$E318)</f>
        <v>2</v>
      </c>
      <c r="M318" s="105">
        <f>COUNTIFS('2024数据'!$G$3:$G$152,"&gt;="&amp;DATE(2024,8,1),'2024数据'!$G$3:$G$152,"&lt;="&amp;DATE(2024,8,31),'2024数据'!$AF$3:$AF$152,$E318)</f>
        <v>0</v>
      </c>
      <c r="N318" s="105">
        <f>COUNTIFS('2024数据'!$G$3:$G$152,"&gt;="&amp;DATE(2024,9,1),'2024数据'!$G$3:$G$152,"&lt;="&amp;DATE(2024,9,30),'2024数据'!$AF$3:$AF$152,$E318)</f>
        <v>0</v>
      </c>
      <c r="O318" s="105">
        <f>COUNTIFS('2024数据'!$G$3:$G$152,"&gt;="&amp;DATE(2024,10,1),'2024数据'!$G$3:$G$152,"&lt;="&amp;DATE(2024,10,31),'2024数据'!$AF$3:$AF$152,$E318)</f>
        <v>0</v>
      </c>
      <c r="P318" s="105">
        <f>COUNTIFS('2024数据'!$G$3:$G$152,"&gt;="&amp;DATE(2024,11,1),'2024数据'!$G$3:$G$152,"&lt;="&amp;DATE(2024,11,30),'2024数据'!$AF$3:$AF$152,$E318)</f>
        <v>0</v>
      </c>
      <c r="Q318" s="105">
        <f>COUNTIFS('2024数据'!$G$3:$G$152,"&gt;="&amp;DATE(2024,12,1),'2024数据'!$G$3:$G$152,"&lt;="&amp;DATE(2024,12,31),'2024数据'!$AF$3:$AF$152,$E318)</f>
        <v>0</v>
      </c>
    </row>
    <row r="319" ht="24" customHeight="1" spans="1:17">
      <c r="A319" s="99" t="s">
        <v>345</v>
      </c>
      <c r="B319" s="99" t="s">
        <v>290</v>
      </c>
      <c r="C319" s="99" t="s">
        <v>291</v>
      </c>
      <c r="D319" s="48" t="s">
        <v>296</v>
      </c>
      <c r="E319" s="48" t="s">
        <v>82</v>
      </c>
      <c r="F319" s="105">
        <f>COUNTIFS('2024数据'!$G$3:$G$152,"&gt;="&amp;DATE(2023,1,1),'2024数据'!$G$3:$G$152,"&lt;="&amp;DATE(2024,1,31),'2024数据'!$AF$3:$AF$152,$E319)</f>
        <v>1</v>
      </c>
      <c r="G319" s="105">
        <f>COUNTIFS('2024数据'!$G$3:$G$152,"&gt;="&amp;DATE(2024,2,1),'2024数据'!$G$3:$G$152,"&lt;="&amp;DATE(2024,2,29),'2024数据'!$AF$3:$AF$152,$E319)</f>
        <v>0</v>
      </c>
      <c r="H319" s="105">
        <f>COUNTIFS('2024数据'!$G$3:$G$152,"&gt;="&amp;DATE(2024,3,1),'2024数据'!$G$3:$G$152,"&lt;="&amp;DATE(2024,3,31),'2024数据'!$AF$3:$AF$152,$E319)</f>
        <v>0</v>
      </c>
      <c r="I319" s="105">
        <f>COUNTIFS('2024数据'!$G$3:$G$152,"&gt;="&amp;DATE(2024,4,1),'2024数据'!$G$3:$G$152,"&lt;="&amp;DATE(2024,4,30),'2024数据'!$AF$3:$AF$152,$E319)</f>
        <v>0</v>
      </c>
      <c r="J319" s="105">
        <f>COUNTIFS('2024数据'!$G$3:$G$152,"&gt;="&amp;DATE(2024,5,1),'2024数据'!$G$3:$G$152,"&lt;="&amp;DATE(2024,5,31),'2024数据'!$AF$3:$AF$152,$E319)</f>
        <v>0</v>
      </c>
      <c r="K319" s="105">
        <f>COUNTIFS('2024数据'!$G$3:$G$152,"&gt;="&amp;DATE(2024,6,1),'2024数据'!$G$3:$G$152,"&lt;="&amp;DATE(2024,6,30),'2024数据'!$AF$3:$AF$152,$E319)</f>
        <v>0</v>
      </c>
      <c r="L319" s="105">
        <f>COUNTIFS('2024数据'!$G$3:$G$152,"&gt;="&amp;DATE(2024,7,1),'2024数据'!$G$3:$G$152,"&lt;="&amp;DATE(2024,7,31),'2024数据'!$AF$3:$AF$152,$E319)</f>
        <v>0</v>
      </c>
      <c r="M319" s="105">
        <f>COUNTIFS('2024数据'!$G$3:$G$152,"&gt;="&amp;DATE(2024,8,1),'2024数据'!$G$3:$G$152,"&lt;="&amp;DATE(2024,8,31),'2024数据'!$AF$3:$AF$152,$E319)</f>
        <v>1</v>
      </c>
      <c r="N319" s="105">
        <f>COUNTIFS('2024数据'!$G$3:$G$152,"&gt;="&amp;DATE(2024,9,1),'2024数据'!$G$3:$G$152,"&lt;="&amp;DATE(2024,9,30),'2024数据'!$AF$3:$AF$152,$E319)</f>
        <v>0</v>
      </c>
      <c r="O319" s="105">
        <f>COUNTIFS('2024数据'!$G$3:$G$152,"&gt;="&amp;DATE(2024,10,1),'2024数据'!$G$3:$G$152,"&lt;="&amp;DATE(2024,10,31),'2024数据'!$AF$3:$AF$152,$E319)</f>
        <v>0</v>
      </c>
      <c r="P319" s="105">
        <f>COUNTIFS('2024数据'!$G$3:$G$152,"&gt;="&amp;DATE(2024,11,1),'2024数据'!$G$3:$G$152,"&lt;="&amp;DATE(2024,11,30),'2024数据'!$AF$3:$AF$152,$E319)</f>
        <v>1</v>
      </c>
      <c r="Q319" s="105">
        <f>COUNTIFS('2024数据'!$G$3:$G$152,"&gt;="&amp;DATE(2024,12,1),'2024数据'!$G$3:$G$152,"&lt;="&amp;DATE(2024,12,31),'2024数据'!$AF$3:$AF$152,$E319)</f>
        <v>0</v>
      </c>
    </row>
    <row r="320" ht="24" customHeight="1" spans="1:17">
      <c r="A320" s="99" t="s">
        <v>345</v>
      </c>
      <c r="B320" s="99" t="s">
        <v>290</v>
      </c>
      <c r="C320" s="99" t="s">
        <v>291</v>
      </c>
      <c r="D320" s="48" t="s">
        <v>296</v>
      </c>
      <c r="E320" s="48" t="s">
        <v>86</v>
      </c>
      <c r="F320" s="105">
        <f>COUNTIFS('2024数据'!$G$3:$G$152,"&gt;="&amp;DATE(2023,1,1),'2024数据'!$G$3:$G$152,"&lt;="&amp;DATE(2024,1,31),'2024数据'!$AF$3:$AF$152,$E320)</f>
        <v>1</v>
      </c>
      <c r="G320" s="105">
        <f>COUNTIFS('2024数据'!$G$3:$G$152,"&gt;="&amp;DATE(2024,2,1),'2024数据'!$G$3:$G$152,"&lt;="&amp;DATE(2024,2,29),'2024数据'!$AF$3:$AF$152,$E320)</f>
        <v>0</v>
      </c>
      <c r="H320" s="105">
        <f>COUNTIFS('2024数据'!$G$3:$G$152,"&gt;="&amp;DATE(2024,3,1),'2024数据'!$G$3:$G$152,"&lt;="&amp;DATE(2024,3,31),'2024数据'!$AF$3:$AF$152,$E320)</f>
        <v>0</v>
      </c>
      <c r="I320" s="105">
        <f>COUNTIFS('2024数据'!$G$3:$G$152,"&gt;="&amp;DATE(2024,4,1),'2024数据'!$G$3:$G$152,"&lt;="&amp;DATE(2024,4,30),'2024数据'!$AF$3:$AF$152,$E320)</f>
        <v>1</v>
      </c>
      <c r="J320" s="105">
        <f>COUNTIFS('2024数据'!$G$3:$G$152,"&gt;="&amp;DATE(2024,5,1),'2024数据'!$G$3:$G$152,"&lt;="&amp;DATE(2024,5,31),'2024数据'!$AF$3:$AF$152,$E320)</f>
        <v>0</v>
      </c>
      <c r="K320" s="105">
        <f>COUNTIFS('2024数据'!$G$3:$G$152,"&gt;="&amp;DATE(2024,6,1),'2024数据'!$G$3:$G$152,"&lt;="&amp;DATE(2024,6,30),'2024数据'!$AF$3:$AF$152,$E320)</f>
        <v>0</v>
      </c>
      <c r="L320" s="105">
        <f>COUNTIFS('2024数据'!$G$3:$G$152,"&gt;="&amp;DATE(2024,7,1),'2024数据'!$G$3:$G$152,"&lt;="&amp;DATE(2024,7,31),'2024数据'!$AF$3:$AF$152,$E320)</f>
        <v>0</v>
      </c>
      <c r="M320" s="105">
        <f>COUNTIFS('2024数据'!$G$3:$G$152,"&gt;="&amp;DATE(2024,8,1),'2024数据'!$G$3:$G$152,"&lt;="&amp;DATE(2024,8,31),'2024数据'!$AF$3:$AF$152,$E320)</f>
        <v>0</v>
      </c>
      <c r="N320" s="105">
        <f>COUNTIFS('2024数据'!$G$3:$G$152,"&gt;="&amp;DATE(2024,9,1),'2024数据'!$G$3:$G$152,"&lt;="&amp;DATE(2024,9,30),'2024数据'!$AF$3:$AF$152,$E320)</f>
        <v>0</v>
      </c>
      <c r="O320" s="105">
        <f>COUNTIFS('2024数据'!$G$3:$G$152,"&gt;="&amp;DATE(2024,10,1),'2024数据'!$G$3:$G$152,"&lt;="&amp;DATE(2024,10,31),'2024数据'!$AF$3:$AF$152,$E320)</f>
        <v>0</v>
      </c>
      <c r="P320" s="105">
        <f>COUNTIFS('2024数据'!$G$3:$G$152,"&gt;="&amp;DATE(2024,11,1),'2024数据'!$G$3:$G$152,"&lt;="&amp;DATE(2024,11,30),'2024数据'!$AF$3:$AF$152,$E320)</f>
        <v>0</v>
      </c>
      <c r="Q320" s="105">
        <f>COUNTIFS('2024数据'!$G$3:$G$152,"&gt;="&amp;DATE(2024,12,1),'2024数据'!$G$3:$G$152,"&lt;="&amp;DATE(2024,12,31),'2024数据'!$AF$3:$AF$152,$E320)</f>
        <v>0</v>
      </c>
    </row>
    <row r="321" ht="24" customHeight="1" spans="1:17">
      <c r="A321" s="99" t="s">
        <v>345</v>
      </c>
      <c r="B321" s="99" t="s">
        <v>290</v>
      </c>
      <c r="C321" s="99" t="s">
        <v>291</v>
      </c>
      <c r="D321" s="100" t="s">
        <v>292</v>
      </c>
      <c r="E321" s="100" t="s">
        <v>297</v>
      </c>
      <c r="F321" s="104">
        <f t="shared" ref="F321:Q321" si="226">SUM(F322:F324)</f>
        <v>3</v>
      </c>
      <c r="G321" s="104">
        <f t="shared" si="226"/>
        <v>0</v>
      </c>
      <c r="H321" s="104">
        <f t="shared" si="226"/>
        <v>1</v>
      </c>
      <c r="I321" s="104">
        <f t="shared" si="226"/>
        <v>2</v>
      </c>
      <c r="J321" s="104">
        <f t="shared" si="226"/>
        <v>1</v>
      </c>
      <c r="K321" s="104">
        <f t="shared" si="226"/>
        <v>0</v>
      </c>
      <c r="L321" s="104">
        <f t="shared" si="226"/>
        <v>1</v>
      </c>
      <c r="M321" s="104">
        <f t="shared" si="226"/>
        <v>1</v>
      </c>
      <c r="N321" s="104">
        <f t="shared" si="226"/>
        <v>0</v>
      </c>
      <c r="O321" s="104">
        <f t="shared" si="226"/>
        <v>1</v>
      </c>
      <c r="P321" s="104">
        <f t="shared" si="226"/>
        <v>1</v>
      </c>
      <c r="Q321" s="104">
        <f t="shared" si="226"/>
        <v>0</v>
      </c>
    </row>
    <row r="322" ht="24" customHeight="1" spans="1:17">
      <c r="A322" s="99" t="s">
        <v>345</v>
      </c>
      <c r="B322" s="99" t="s">
        <v>290</v>
      </c>
      <c r="C322" s="99" t="s">
        <v>291</v>
      </c>
      <c r="D322" s="48" t="s">
        <v>298</v>
      </c>
      <c r="E322" s="48" t="s">
        <v>97</v>
      </c>
      <c r="F322" s="105">
        <f>COUNTIFS('2024数据'!$G$3:$G$152,"&gt;="&amp;DATE(2023,1,1),'2024数据'!$G$3:$G$152,"&lt;="&amp;DATE(2024,1,31),'2024数据'!$AG$3:$AG$152,$E322)</f>
        <v>3</v>
      </c>
      <c r="G322" s="105">
        <f>COUNTIFS('2024数据'!$G$3:$G$152,"&gt;="&amp;DATE(2024,2,1),'2024数据'!$G$3:$G$152,"&lt;="&amp;DATE(2024,2,29),'2024数据'!$AG$3:$AG$152,$E322)</f>
        <v>0</v>
      </c>
      <c r="H322" s="105">
        <f>COUNTIFS('2024数据'!$G$3:$G$152,"&gt;="&amp;DATE(2024,3,1),'2024数据'!$G$3:$G$152,"&lt;="&amp;DATE(2024,3,31),'2024数据'!$AG$3:$AG$152,$E322)</f>
        <v>0</v>
      </c>
      <c r="I322" s="105">
        <f>COUNTIFS('2024数据'!$G$3:$G$152,"&gt;="&amp;DATE(2024,4,1),'2024数据'!$G$3:$G$152,"&lt;="&amp;DATE(2024,4,30),'2024数据'!$AG$3:$AG$152,$E322)</f>
        <v>1</v>
      </c>
      <c r="J322" s="105">
        <f>COUNTIFS('2024数据'!$G$3:$G$152,"&gt;="&amp;DATE(2024,5,1),'2024数据'!$G$3:$G$152,"&lt;="&amp;DATE(2024,5,31),'2024数据'!$AG$3:$AG$152,$E322)</f>
        <v>0</v>
      </c>
      <c r="K322" s="105">
        <f>COUNTIFS('2024数据'!$G$3:$G$152,"&gt;="&amp;DATE(2024,6,1),'2024数据'!$G$3:$G$152,"&lt;="&amp;DATE(2024,6,30),'2024数据'!$AG$3:$AG$152,$E322)</f>
        <v>0</v>
      </c>
      <c r="L322" s="105">
        <f>COUNTIFS('2024数据'!$G$3:$G$152,"&gt;="&amp;DATE(2024,7,1),'2024数据'!$G$3:$G$152,"&lt;="&amp;DATE(2024,7,31),'2024数据'!$AG$3:$AG$152,$E322)</f>
        <v>1</v>
      </c>
      <c r="M322" s="105">
        <f>COUNTIFS('2024数据'!$G$3:$G$152,"&gt;="&amp;DATE(2024,8,1),'2024数据'!$G$3:$G$152,"&lt;="&amp;DATE(2024,8,31),'2024数据'!$AG$3:$AG$152,$E322)</f>
        <v>0</v>
      </c>
      <c r="N322" s="105">
        <f>COUNTIFS('2024数据'!$G$3:$G$152,"&gt;="&amp;DATE(2024,9,1),'2024数据'!$G$3:$G$152,"&lt;="&amp;DATE(2024,9,30),'2024数据'!$AG$3:$AG$152,$E322)</f>
        <v>0</v>
      </c>
      <c r="O322" s="105">
        <f>COUNTIFS('2024数据'!$G$3:$G$152,"&gt;="&amp;DATE(2024,10,1),'2024数据'!$G$3:$G$152,"&lt;="&amp;DATE(2024,10,31),'2024数据'!$AG$3:$AG$152,$E322)</f>
        <v>1</v>
      </c>
      <c r="P322" s="105">
        <f>COUNTIFS('2024数据'!$G$3:$G$152,"&gt;="&amp;DATE(2024,11,1),'2024数据'!$G$3:$G$152,"&lt;="&amp;DATE(2024,11,30),'2024数据'!$AG$3:$AG$152,$E322)</f>
        <v>1</v>
      </c>
      <c r="Q322" s="105">
        <f>COUNTIFS('2024数据'!$G$3:$G$152,"&gt;="&amp;DATE(2024,12,1),'2024数据'!$G$3:$G$152,"&lt;="&amp;DATE(2024,12,31),'2024数据'!$AG$3:$AG$152,$E322)</f>
        <v>0</v>
      </c>
    </row>
    <row r="323" ht="24" customHeight="1" spans="1:17">
      <c r="A323" s="99" t="s">
        <v>345</v>
      </c>
      <c r="B323" s="99" t="s">
        <v>290</v>
      </c>
      <c r="C323" s="99" t="s">
        <v>291</v>
      </c>
      <c r="D323" s="48" t="s">
        <v>298</v>
      </c>
      <c r="E323" s="48" t="s">
        <v>87</v>
      </c>
      <c r="F323" s="105">
        <f>COUNTIFS('2024数据'!$G$3:$G$152,"&gt;="&amp;DATE(2023,1,1),'2024数据'!$G$3:$G$152,"&lt;="&amp;DATE(2024,1,31),'2024数据'!$AG$3:$AG$152,$E323)</f>
        <v>0</v>
      </c>
      <c r="G323" s="105">
        <f>COUNTIFS('2024数据'!$G$3:$G$152,"&gt;="&amp;DATE(2024,2,1),'2024数据'!$G$3:$G$152,"&lt;="&amp;DATE(2024,2,29),'2024数据'!$AG$3:$AG$152,$E323)</f>
        <v>0</v>
      </c>
      <c r="H323" s="105">
        <f>COUNTIFS('2024数据'!$G$3:$G$152,"&gt;="&amp;DATE(2024,3,1),'2024数据'!$G$3:$G$152,"&lt;="&amp;DATE(2024,3,31),'2024数据'!$AG$3:$AG$152,$E323)</f>
        <v>0</v>
      </c>
      <c r="I323" s="105">
        <f>COUNTIFS('2024数据'!$G$3:$G$152,"&gt;="&amp;DATE(2024,4,1),'2024数据'!$G$3:$G$152,"&lt;="&amp;DATE(2024,4,30),'2024数据'!$AG$3:$AG$152,$E323)</f>
        <v>0</v>
      </c>
      <c r="J323" s="105">
        <f>COUNTIFS('2024数据'!$G$3:$G$152,"&gt;="&amp;DATE(2024,5,1),'2024数据'!$G$3:$G$152,"&lt;="&amp;DATE(2024,5,31),'2024数据'!$AG$3:$AG$152,$E323)</f>
        <v>1</v>
      </c>
      <c r="K323" s="105">
        <f>COUNTIFS('2024数据'!$G$3:$G$152,"&gt;="&amp;DATE(2024,6,1),'2024数据'!$G$3:$G$152,"&lt;="&amp;DATE(2024,6,30),'2024数据'!$AG$3:$AG$152,$E323)</f>
        <v>0</v>
      </c>
      <c r="L323" s="105">
        <f>COUNTIFS('2024数据'!$G$3:$G$152,"&gt;="&amp;DATE(2024,7,1),'2024数据'!$G$3:$G$152,"&lt;="&amp;DATE(2024,7,31),'2024数据'!$AG$3:$AG$152,$E323)</f>
        <v>0</v>
      </c>
      <c r="M323" s="105">
        <f>COUNTIFS('2024数据'!$G$3:$G$152,"&gt;="&amp;DATE(2024,8,1),'2024数据'!$G$3:$G$152,"&lt;="&amp;DATE(2024,8,31),'2024数据'!$AG$3:$AG$152,$E323)</f>
        <v>1</v>
      </c>
      <c r="N323" s="105">
        <f>COUNTIFS('2024数据'!$G$3:$G$152,"&gt;="&amp;DATE(2024,9,1),'2024数据'!$G$3:$G$152,"&lt;="&amp;DATE(2024,9,30),'2024数据'!$AG$3:$AG$152,$E323)</f>
        <v>0</v>
      </c>
      <c r="O323" s="105">
        <f>COUNTIFS('2024数据'!$G$3:$G$152,"&gt;="&amp;DATE(2024,10,1),'2024数据'!$G$3:$G$152,"&lt;="&amp;DATE(2024,10,31),'2024数据'!$AG$3:$AG$152,$E323)</f>
        <v>0</v>
      </c>
      <c r="P323" s="105">
        <f>COUNTIFS('2024数据'!$G$3:$G$152,"&gt;="&amp;DATE(2024,11,1),'2024数据'!$G$3:$G$152,"&lt;="&amp;DATE(2024,11,30),'2024数据'!$AG$3:$AG$152,$E323)</f>
        <v>0</v>
      </c>
      <c r="Q323" s="105">
        <f>COUNTIFS('2024数据'!$G$3:$G$152,"&gt;="&amp;DATE(2024,12,1),'2024数据'!$G$3:$G$152,"&lt;="&amp;DATE(2024,12,31),'2024数据'!$AG$3:$AG$152,$E323)</f>
        <v>0</v>
      </c>
    </row>
    <row r="324" ht="24" customHeight="1" spans="1:17">
      <c r="A324" s="99" t="s">
        <v>345</v>
      </c>
      <c r="B324" s="99" t="s">
        <v>290</v>
      </c>
      <c r="C324" s="99" t="s">
        <v>291</v>
      </c>
      <c r="D324" s="48" t="s">
        <v>298</v>
      </c>
      <c r="E324" s="48" t="s">
        <v>83</v>
      </c>
      <c r="F324" s="105">
        <f>COUNTIFS('2024数据'!$G$3:$G$152,"&gt;="&amp;DATE(2023,1,1),'2024数据'!$G$3:$G$152,"&lt;="&amp;DATE(2024,1,31),'2024数据'!$AG$3:$AG$152,$E324)</f>
        <v>0</v>
      </c>
      <c r="G324" s="105">
        <f>COUNTIFS('2024数据'!$G$3:$G$152,"&gt;="&amp;DATE(2024,2,1),'2024数据'!$G$3:$G$152,"&lt;="&amp;DATE(2024,2,29),'2024数据'!$AG$3:$AG$152,$E324)</f>
        <v>0</v>
      </c>
      <c r="H324" s="105">
        <f>COUNTIFS('2024数据'!$G$3:$G$152,"&gt;="&amp;DATE(2024,3,1),'2024数据'!$G$3:$G$152,"&lt;="&amp;DATE(2024,3,31),'2024数据'!$AG$3:$AG$152,$E324)</f>
        <v>1</v>
      </c>
      <c r="I324" s="105">
        <f>COUNTIFS('2024数据'!$G$3:$G$152,"&gt;="&amp;DATE(2024,4,1),'2024数据'!$G$3:$G$152,"&lt;="&amp;DATE(2024,4,30),'2024数据'!$AG$3:$AG$152,$E324)</f>
        <v>1</v>
      </c>
      <c r="J324" s="105">
        <f>COUNTIFS('2024数据'!$G$3:$G$152,"&gt;="&amp;DATE(2024,5,1),'2024数据'!$G$3:$G$152,"&lt;="&amp;DATE(2024,5,31),'2024数据'!$AG$3:$AG$152,$E324)</f>
        <v>0</v>
      </c>
      <c r="K324" s="105">
        <f>COUNTIFS('2024数据'!$G$3:$G$152,"&gt;="&amp;DATE(2024,6,1),'2024数据'!$G$3:$G$152,"&lt;="&amp;DATE(2024,6,30),'2024数据'!$AG$3:$AG$152,$E324)</f>
        <v>0</v>
      </c>
      <c r="L324" s="105">
        <f>COUNTIFS('2024数据'!$G$3:$G$152,"&gt;="&amp;DATE(2024,7,1),'2024数据'!$G$3:$G$152,"&lt;="&amp;DATE(2024,7,31),'2024数据'!$AG$3:$AG$152,$E324)</f>
        <v>0</v>
      </c>
      <c r="M324" s="105">
        <f>COUNTIFS('2024数据'!$G$3:$G$152,"&gt;="&amp;DATE(2024,8,1),'2024数据'!$G$3:$G$152,"&lt;="&amp;DATE(2024,8,31),'2024数据'!$AG$3:$AG$152,$E324)</f>
        <v>0</v>
      </c>
      <c r="N324" s="105">
        <f>COUNTIFS('2024数据'!$G$3:$G$152,"&gt;="&amp;DATE(2024,9,1),'2024数据'!$G$3:$G$152,"&lt;="&amp;DATE(2024,9,30),'2024数据'!$AG$3:$AG$152,$E324)</f>
        <v>0</v>
      </c>
      <c r="O324" s="105">
        <f>COUNTIFS('2024数据'!$G$3:$G$152,"&gt;="&amp;DATE(2024,10,1),'2024数据'!$G$3:$G$152,"&lt;="&amp;DATE(2024,10,31),'2024数据'!$AG$3:$AG$152,$E324)</f>
        <v>0</v>
      </c>
      <c r="P324" s="105">
        <f>COUNTIFS('2024数据'!$G$3:$G$152,"&gt;="&amp;DATE(2024,11,1),'2024数据'!$G$3:$G$152,"&lt;="&amp;DATE(2024,11,30),'2024数据'!$AG$3:$AG$152,$E324)</f>
        <v>0</v>
      </c>
      <c r="Q324" s="105">
        <f>COUNTIFS('2024数据'!$G$3:$G$152,"&gt;="&amp;DATE(2024,12,1),'2024数据'!$G$3:$G$152,"&lt;="&amp;DATE(2024,12,31),'2024数据'!$AG$3:$AG$152,$E324)</f>
        <v>0</v>
      </c>
    </row>
    <row r="325" ht="24" customHeight="1" spans="1:17">
      <c r="A325" s="99" t="s">
        <v>345</v>
      </c>
      <c r="B325" s="99" t="s">
        <v>299</v>
      </c>
      <c r="C325" s="99" t="s">
        <v>291</v>
      </c>
      <c r="D325" s="100" t="s">
        <v>292</v>
      </c>
      <c r="E325" s="100" t="s">
        <v>300</v>
      </c>
      <c r="F325" s="104">
        <f t="shared" ref="F325:Q325" si="227">IF((SUM(F326:F331)-MAX(F355,F359))&lt;0,"ERR",SUM(F326:F331))</f>
        <v>2</v>
      </c>
      <c r="G325" s="104">
        <f t="shared" si="227"/>
        <v>1</v>
      </c>
      <c r="H325" s="104">
        <f t="shared" si="227"/>
        <v>0</v>
      </c>
      <c r="I325" s="104">
        <f t="shared" si="227"/>
        <v>1</v>
      </c>
      <c r="J325" s="104">
        <f t="shared" si="227"/>
        <v>3</v>
      </c>
      <c r="K325" s="104">
        <f t="shared" si="227"/>
        <v>0</v>
      </c>
      <c r="L325" s="104">
        <f t="shared" si="227"/>
        <v>1</v>
      </c>
      <c r="M325" s="104">
        <f t="shared" si="227"/>
        <v>1</v>
      </c>
      <c r="N325" s="104">
        <f t="shared" si="227"/>
        <v>0</v>
      </c>
      <c r="O325" s="104">
        <f t="shared" si="227"/>
        <v>1</v>
      </c>
      <c r="P325" s="104">
        <f t="shared" si="227"/>
        <v>1</v>
      </c>
      <c r="Q325" s="104">
        <f t="shared" si="227"/>
        <v>1</v>
      </c>
    </row>
    <row r="326" ht="24" customHeight="1" spans="1:17">
      <c r="A326" s="99" t="s">
        <v>345</v>
      </c>
      <c r="B326" s="99" t="s">
        <v>299</v>
      </c>
      <c r="C326" s="99" t="s">
        <v>291</v>
      </c>
      <c r="D326" s="48" t="s">
        <v>31</v>
      </c>
      <c r="E326" s="48" t="s">
        <v>406</v>
      </c>
      <c r="F326" s="105">
        <f>COUNTIFS('2024数据'!$H$3:$H$152,"&gt;="&amp;DATE(2024,1,1),'2024数据'!$H$3:$H$152,"&lt;="&amp;DATE(2024,1,31),'2024数据'!$AE$3:$AE$152,$E326)</f>
        <v>1</v>
      </c>
      <c r="G326" s="105">
        <f>COUNTIFS('2024数据'!$H$3:$H$152,"&gt;="&amp;DATE(2024,2,1),'2024数据'!$H$3:$H$152,"&lt;="&amp;DATE(2024,2,29),'2024数据'!$AE$3:$AE$152,$E326)</f>
        <v>0</v>
      </c>
      <c r="H326" s="105">
        <f>COUNTIFS('2024数据'!$H$3:$H$152,"&gt;="&amp;DATE(2024,3,1),'2024数据'!$H$3:$H$152,"&lt;="&amp;DATE(2024,3,31),'2024数据'!$AE$3:$AE$152,$E326)</f>
        <v>0</v>
      </c>
      <c r="I326" s="105">
        <f>COUNTIFS('2024数据'!$H$3:$H$152,"&gt;="&amp;DATE(2024,4,1),'2024数据'!$H$3:$H$152,"&lt;="&amp;DATE(2024,4,30),'2024数据'!$AE$3:$AE$152,$E326)</f>
        <v>0</v>
      </c>
      <c r="J326" s="105">
        <f>COUNTIFS('2024数据'!$H$3:$H$152,"&gt;="&amp;DATE(2024,5,1),'2024数据'!$H$3:$H$152,"&lt;="&amp;DATE(2024,5,31),'2024数据'!$AE$3:$AE$152,$E326)</f>
        <v>2</v>
      </c>
      <c r="K326" s="105">
        <f>COUNTIFS('2024数据'!$H$3:$H$152,"&gt;="&amp;DATE(2024,6,1),'2024数据'!$H$3:$H$152,"&lt;="&amp;DATE(2024,6,30),'2024数据'!$AE$3:$AE$152,$E326)</f>
        <v>0</v>
      </c>
      <c r="L326" s="105">
        <f>COUNTIFS('2024数据'!$H$3:$H$152,"&gt;="&amp;DATE(2024,7,1),'2024数据'!$H$3:$H$152,"&lt;="&amp;DATE(2024,7,31),'2024数据'!$AE$3:$AE$152,$E326)</f>
        <v>1</v>
      </c>
      <c r="M326" s="105">
        <f>COUNTIFS('2024数据'!$H$3:$H$152,"&gt;="&amp;DATE(2024,8,1),'2024数据'!$H$3:$H$152,"&lt;="&amp;DATE(2024,8,31),'2024数据'!$AE$3:$AE$152,$E326)</f>
        <v>1</v>
      </c>
      <c r="N326" s="105">
        <f>COUNTIFS('2024数据'!$H$3:$H$152,"&gt;="&amp;DATE(2024,9,1),'2024数据'!$H$3:$H$152,"&lt;="&amp;DATE(2024,9,30),'2024数据'!$AE$3:$AE$152,$E326)</f>
        <v>0</v>
      </c>
      <c r="O326" s="105">
        <f>COUNTIFS('2024数据'!$H$3:$H$152,"&gt;="&amp;DATE(2024,10,1),'2024数据'!$H$3:$H$152,"&lt;="&amp;DATE(2024,10,31),'2024数据'!$AE$3:$AE$152,$E326)</f>
        <v>0</v>
      </c>
      <c r="P326" s="105">
        <f>COUNTIFS('2024数据'!$H$3:$H$152,"&gt;="&amp;DATE(2024,11,1),'2024数据'!$H$3:$H$152,"&lt;="&amp;DATE(2024,11,30),'2024数据'!$AE$3:$AE$152,$E326)</f>
        <v>0</v>
      </c>
      <c r="Q326" s="105">
        <f>COUNTIFS('2024数据'!$H$3:$H$152,"&gt;="&amp;DATE(2024,12,1),'2024数据'!$H$3:$H$152,"&lt;="&amp;DATE(2024,12,31),'2024数据'!$AE$3:$AE$152,$E326)</f>
        <v>0</v>
      </c>
    </row>
    <row r="327" ht="24" customHeight="1" spans="1:17">
      <c r="A327" s="99" t="s">
        <v>345</v>
      </c>
      <c r="B327" s="99" t="s">
        <v>299</v>
      </c>
      <c r="C327" s="99" t="s">
        <v>291</v>
      </c>
      <c r="D327" s="48" t="s">
        <v>31</v>
      </c>
      <c r="E327" s="48" t="s">
        <v>82</v>
      </c>
      <c r="F327" s="105">
        <f>COUNTIFS('2024数据'!$H$3:$H$152,"&gt;="&amp;DATE(2024,1,1),'2024数据'!$H$3:$H$152,"&lt;="&amp;DATE(2024,1,31),'2024数据'!$AE$3:$AE$152,$E327)</f>
        <v>0</v>
      </c>
      <c r="G327" s="105">
        <f>COUNTIFS('2024数据'!$H$3:$H$152,"&gt;="&amp;DATE(2024,2,1),'2024数据'!$H$3:$H$152,"&lt;="&amp;DATE(2024,2,29),'2024数据'!$AE$3:$AE$152,$E327)</f>
        <v>0</v>
      </c>
      <c r="H327" s="105">
        <f>COUNTIFS('2024数据'!$H$3:$H$152,"&gt;="&amp;DATE(2024,3,1),'2024数据'!$H$3:$H$152,"&lt;="&amp;DATE(2024,3,31),'2024数据'!$AE$3:$AE$152,$E327)</f>
        <v>0</v>
      </c>
      <c r="I327" s="105">
        <f>COUNTIFS('2024数据'!$H$3:$H$152,"&gt;="&amp;DATE(2024,4,1),'2024数据'!$H$3:$H$152,"&lt;="&amp;DATE(2024,4,30),'2024数据'!$AE$3:$AE$152,$E327)</f>
        <v>0</v>
      </c>
      <c r="J327" s="105">
        <f>COUNTIFS('2024数据'!$H$3:$H$152,"&gt;="&amp;DATE(2024,5,1),'2024数据'!$H$3:$H$152,"&lt;="&amp;DATE(2024,5,31),'2024数据'!$AE$3:$AE$152,$E327)</f>
        <v>0</v>
      </c>
      <c r="K327" s="105">
        <f>COUNTIFS('2024数据'!$H$3:$H$152,"&gt;="&amp;DATE(2024,6,1),'2024数据'!$H$3:$H$152,"&lt;="&amp;DATE(2024,6,30),'2024数据'!$AE$3:$AE$152,$E327)</f>
        <v>0</v>
      </c>
      <c r="L327" s="105">
        <f>COUNTIFS('2024数据'!$H$3:$H$152,"&gt;="&amp;DATE(2024,7,1),'2024数据'!$H$3:$H$152,"&lt;="&amp;DATE(2024,7,31),'2024数据'!$AE$3:$AE$152,$E327)</f>
        <v>0</v>
      </c>
      <c r="M327" s="105">
        <f>COUNTIFS('2024数据'!$H$3:$H$152,"&gt;="&amp;DATE(2024,8,1),'2024数据'!$H$3:$H$152,"&lt;="&amp;DATE(2024,8,31),'2024数据'!$AE$3:$AE$152,$E327)</f>
        <v>0</v>
      </c>
      <c r="N327" s="105">
        <f>COUNTIFS('2024数据'!$H$3:$H$152,"&gt;="&amp;DATE(2024,9,1),'2024数据'!$H$3:$H$152,"&lt;="&amp;DATE(2024,9,30),'2024数据'!$AE$3:$AE$152,$E327)</f>
        <v>0</v>
      </c>
      <c r="O327" s="105">
        <f>COUNTIFS('2024数据'!$H$3:$H$152,"&gt;="&amp;DATE(2024,10,1),'2024数据'!$H$3:$H$152,"&lt;="&amp;DATE(2024,10,31),'2024数据'!$AE$3:$AE$152,$E327)</f>
        <v>1</v>
      </c>
      <c r="P327" s="105">
        <f>COUNTIFS('2024数据'!$H$3:$H$152,"&gt;="&amp;DATE(2024,11,1),'2024数据'!$H$3:$H$152,"&lt;="&amp;DATE(2024,11,30),'2024数据'!$AE$3:$AE$152,$E327)</f>
        <v>0</v>
      </c>
      <c r="Q327" s="105">
        <f>COUNTIFS('2024数据'!$H$3:$H$152,"&gt;="&amp;DATE(2024,12,1),'2024数据'!$H$3:$H$152,"&lt;="&amp;DATE(2024,12,31),'2024数据'!$AE$3:$AE$152,$E327)</f>
        <v>0</v>
      </c>
    </row>
    <row r="328" ht="24" customHeight="1" spans="1:17">
      <c r="A328" s="99" t="s">
        <v>345</v>
      </c>
      <c r="B328" s="99" t="s">
        <v>299</v>
      </c>
      <c r="C328" s="99" t="s">
        <v>291</v>
      </c>
      <c r="D328" s="48" t="s">
        <v>31</v>
      </c>
      <c r="E328" s="48" t="s">
        <v>86</v>
      </c>
      <c r="F328" s="105">
        <f>COUNTIFS('2024数据'!$H$3:$H$152,"&gt;="&amp;DATE(2024,1,1),'2024数据'!$H$3:$H$152,"&lt;="&amp;DATE(2024,1,31),'2024数据'!$AE$3:$AE$152,$E328)</f>
        <v>0</v>
      </c>
      <c r="G328" s="105">
        <f>COUNTIFS('2024数据'!$H$3:$H$152,"&gt;="&amp;DATE(2024,2,1),'2024数据'!$H$3:$H$152,"&lt;="&amp;DATE(2024,2,29),'2024数据'!$AE$3:$AE$152,$E328)</f>
        <v>1</v>
      </c>
      <c r="H328" s="105">
        <f>COUNTIFS('2024数据'!$H$3:$H$152,"&gt;="&amp;DATE(2024,3,1),'2024数据'!$H$3:$H$152,"&lt;="&amp;DATE(2024,3,31),'2024数据'!$AE$3:$AE$152,$E328)</f>
        <v>0</v>
      </c>
      <c r="I328" s="105">
        <f>COUNTIFS('2024数据'!$H$3:$H$152,"&gt;="&amp;DATE(2024,4,1),'2024数据'!$H$3:$H$152,"&lt;="&amp;DATE(2024,4,30),'2024数据'!$AE$3:$AE$152,$E328)</f>
        <v>0</v>
      </c>
      <c r="J328" s="105">
        <f>COUNTIFS('2024数据'!$H$3:$H$152,"&gt;="&amp;DATE(2024,5,1),'2024数据'!$H$3:$H$152,"&lt;="&amp;DATE(2024,5,31),'2024数据'!$AE$3:$AE$152,$E328)</f>
        <v>0</v>
      </c>
      <c r="K328" s="105">
        <f>COUNTIFS('2024数据'!$H$3:$H$152,"&gt;="&amp;DATE(2024,6,1),'2024数据'!$H$3:$H$152,"&lt;="&amp;DATE(2024,6,30),'2024数据'!$AE$3:$AE$152,$E328)</f>
        <v>0</v>
      </c>
      <c r="L328" s="105">
        <f>COUNTIFS('2024数据'!$H$3:$H$152,"&gt;="&amp;DATE(2024,7,1),'2024数据'!$H$3:$H$152,"&lt;="&amp;DATE(2024,7,31),'2024数据'!$AE$3:$AE$152,$E328)</f>
        <v>0</v>
      </c>
      <c r="M328" s="105">
        <f>COUNTIFS('2024数据'!$H$3:$H$152,"&gt;="&amp;DATE(2024,8,1),'2024数据'!$H$3:$H$152,"&lt;="&amp;DATE(2024,8,31),'2024数据'!$AE$3:$AE$152,$E328)</f>
        <v>0</v>
      </c>
      <c r="N328" s="105">
        <f>COUNTIFS('2024数据'!$H$3:$H$152,"&gt;="&amp;DATE(2024,9,1),'2024数据'!$H$3:$H$152,"&lt;="&amp;DATE(2024,9,30),'2024数据'!$AE$3:$AE$152,$E328)</f>
        <v>0</v>
      </c>
      <c r="O328" s="105">
        <f>COUNTIFS('2024数据'!$H$3:$H$152,"&gt;="&amp;DATE(2024,10,1),'2024数据'!$H$3:$H$152,"&lt;="&amp;DATE(2024,10,31),'2024数据'!$AE$3:$AE$152,$E328)</f>
        <v>0</v>
      </c>
      <c r="P328" s="105">
        <f>COUNTIFS('2024数据'!$H$3:$H$152,"&gt;="&amp;DATE(2024,11,1),'2024数据'!$H$3:$H$152,"&lt;="&amp;DATE(2024,11,30),'2024数据'!$AE$3:$AE$152,$E328)</f>
        <v>0</v>
      </c>
      <c r="Q328" s="105">
        <f>COUNTIFS('2024数据'!$H$3:$H$152,"&gt;="&amp;DATE(2024,12,1),'2024数据'!$H$3:$H$152,"&lt;="&amp;DATE(2024,12,31),'2024数据'!$AE$3:$AE$152,$E328)</f>
        <v>0</v>
      </c>
    </row>
    <row r="329" ht="24" customHeight="1" spans="1:17">
      <c r="A329" s="99" t="s">
        <v>345</v>
      </c>
      <c r="B329" s="99" t="s">
        <v>299</v>
      </c>
      <c r="C329" s="99" t="s">
        <v>291</v>
      </c>
      <c r="D329" s="48" t="s">
        <v>31</v>
      </c>
      <c r="E329" s="48" t="s">
        <v>97</v>
      </c>
      <c r="F329" s="105">
        <f>COUNTIFS('2024数据'!$H$3:$H$152,"&gt;="&amp;DATE(2024,1,1),'2024数据'!$H$3:$H$152,"&lt;="&amp;DATE(2024,1,31),'2024数据'!$AE$3:$AE$152,$E329)</f>
        <v>1</v>
      </c>
      <c r="G329" s="105">
        <f>COUNTIFS('2024数据'!$H$3:$H$152,"&gt;="&amp;DATE(2024,2,1),'2024数据'!$H$3:$H$152,"&lt;="&amp;DATE(2024,2,29),'2024数据'!$AE$3:$AE$152,$E329)</f>
        <v>0</v>
      </c>
      <c r="H329" s="105">
        <f>COUNTIFS('2024数据'!$H$3:$H$152,"&gt;="&amp;DATE(2024,3,1),'2024数据'!$H$3:$H$152,"&lt;="&amp;DATE(2024,3,31),'2024数据'!$AE$3:$AE$152,$E329)</f>
        <v>0</v>
      </c>
      <c r="I329" s="105">
        <f>COUNTIFS('2024数据'!$H$3:$H$152,"&gt;="&amp;DATE(2024,4,1),'2024数据'!$H$3:$H$152,"&lt;="&amp;DATE(2024,4,30),'2024数据'!$AE$3:$AE$152,$E329)</f>
        <v>0</v>
      </c>
      <c r="J329" s="105">
        <f>COUNTIFS('2024数据'!$H$3:$H$152,"&gt;="&amp;DATE(2024,5,1),'2024数据'!$H$3:$H$152,"&lt;="&amp;DATE(2024,5,31),'2024数据'!$AE$3:$AE$152,$E329)</f>
        <v>0</v>
      </c>
      <c r="K329" s="105">
        <f>COUNTIFS('2024数据'!$H$3:$H$152,"&gt;="&amp;DATE(2024,6,1),'2024数据'!$H$3:$H$152,"&lt;="&amp;DATE(2024,6,30),'2024数据'!$AE$3:$AE$152,$E329)</f>
        <v>0</v>
      </c>
      <c r="L329" s="105">
        <f>COUNTIFS('2024数据'!$H$3:$H$152,"&gt;="&amp;DATE(2024,7,1),'2024数据'!$H$3:$H$152,"&lt;="&amp;DATE(2024,7,31),'2024数据'!$AE$3:$AE$152,$E329)</f>
        <v>0</v>
      </c>
      <c r="M329" s="105">
        <f>COUNTIFS('2024数据'!$H$3:$H$152,"&gt;="&amp;DATE(2024,8,1),'2024数据'!$H$3:$H$152,"&lt;="&amp;DATE(2024,8,31),'2024数据'!$AE$3:$AE$152,$E329)</f>
        <v>0</v>
      </c>
      <c r="N329" s="105">
        <f>COUNTIFS('2024数据'!$H$3:$H$152,"&gt;="&amp;DATE(2024,9,1),'2024数据'!$H$3:$H$152,"&lt;="&amp;DATE(2024,9,30),'2024数据'!$AE$3:$AE$152,$E329)</f>
        <v>0</v>
      </c>
      <c r="O329" s="105">
        <f>COUNTIFS('2024数据'!$H$3:$H$152,"&gt;="&amp;DATE(2024,10,1),'2024数据'!$H$3:$H$152,"&lt;="&amp;DATE(2024,10,31),'2024数据'!$AE$3:$AE$152,$E329)</f>
        <v>0</v>
      </c>
      <c r="P329" s="105">
        <f>COUNTIFS('2024数据'!$H$3:$H$152,"&gt;="&amp;DATE(2024,11,1),'2024数据'!$H$3:$H$152,"&lt;="&amp;DATE(2024,11,30),'2024数据'!$AE$3:$AE$152,$E329)</f>
        <v>1</v>
      </c>
      <c r="Q329" s="105">
        <f>COUNTIFS('2024数据'!$H$3:$H$152,"&gt;="&amp;DATE(2024,12,1),'2024数据'!$H$3:$H$152,"&lt;="&amp;DATE(2024,12,31),'2024数据'!$AE$3:$AE$152,$E329)</f>
        <v>1</v>
      </c>
    </row>
    <row r="330" ht="24" customHeight="1" spans="1:17">
      <c r="A330" s="99" t="s">
        <v>345</v>
      </c>
      <c r="B330" s="99" t="s">
        <v>299</v>
      </c>
      <c r="C330" s="99" t="s">
        <v>291</v>
      </c>
      <c r="D330" s="48" t="s">
        <v>31</v>
      </c>
      <c r="E330" s="48" t="s">
        <v>87</v>
      </c>
      <c r="F330" s="105">
        <f>COUNTIFS('2024数据'!$H$3:$H$152,"&gt;="&amp;DATE(2024,1,1),'2024数据'!$H$3:$H$152,"&lt;="&amp;DATE(2024,1,31),'2024数据'!$AE$3:$AE$152,$E330)</f>
        <v>0</v>
      </c>
      <c r="G330" s="105">
        <f>COUNTIFS('2024数据'!$H$3:$H$152,"&gt;="&amp;DATE(2024,2,1),'2024数据'!$H$3:$H$152,"&lt;="&amp;DATE(2024,2,29),'2024数据'!$AE$3:$AE$152,$E330)</f>
        <v>0</v>
      </c>
      <c r="H330" s="105">
        <f>COUNTIFS('2024数据'!$H$3:$H$152,"&gt;="&amp;DATE(2024,3,1),'2024数据'!$H$3:$H$152,"&lt;="&amp;DATE(2024,3,31),'2024数据'!$AE$3:$AE$152,$E330)</f>
        <v>0</v>
      </c>
      <c r="I330" s="105">
        <f>COUNTIFS('2024数据'!$H$3:$H$152,"&gt;="&amp;DATE(2024,4,1),'2024数据'!$H$3:$H$152,"&lt;="&amp;DATE(2024,4,30),'2024数据'!$AE$3:$AE$152,$E330)</f>
        <v>0</v>
      </c>
      <c r="J330" s="105">
        <f>COUNTIFS('2024数据'!$H$3:$H$152,"&gt;="&amp;DATE(2024,5,1),'2024数据'!$H$3:$H$152,"&lt;="&amp;DATE(2024,5,31),'2024数据'!$AE$3:$AE$152,$E330)</f>
        <v>1</v>
      </c>
      <c r="K330" s="105">
        <f>COUNTIFS('2024数据'!$H$3:$H$152,"&gt;="&amp;DATE(2024,6,1),'2024数据'!$H$3:$H$152,"&lt;="&amp;DATE(2024,6,30),'2024数据'!$AE$3:$AE$152,$E330)</f>
        <v>0</v>
      </c>
      <c r="L330" s="105">
        <f>COUNTIFS('2024数据'!$H$3:$H$152,"&gt;="&amp;DATE(2024,7,1),'2024数据'!$H$3:$H$152,"&lt;="&amp;DATE(2024,7,31),'2024数据'!$AE$3:$AE$152,$E330)</f>
        <v>0</v>
      </c>
      <c r="M330" s="105">
        <f>COUNTIFS('2024数据'!$H$3:$H$152,"&gt;="&amp;DATE(2024,8,1),'2024数据'!$H$3:$H$152,"&lt;="&amp;DATE(2024,8,31),'2024数据'!$AE$3:$AE$152,$E330)</f>
        <v>0</v>
      </c>
      <c r="N330" s="105">
        <f>COUNTIFS('2024数据'!$H$3:$H$152,"&gt;="&amp;DATE(2024,9,1),'2024数据'!$H$3:$H$152,"&lt;="&amp;DATE(2024,9,30),'2024数据'!$AE$3:$AE$152,$E330)</f>
        <v>0</v>
      </c>
      <c r="O330" s="105">
        <f>COUNTIFS('2024数据'!$H$3:$H$152,"&gt;="&amp;DATE(2024,10,1),'2024数据'!$H$3:$H$152,"&lt;="&amp;DATE(2024,10,31),'2024数据'!$AE$3:$AE$152,$E330)</f>
        <v>0</v>
      </c>
      <c r="P330" s="105">
        <f>COUNTIFS('2024数据'!$H$3:$H$152,"&gt;="&amp;DATE(2024,11,1),'2024数据'!$H$3:$H$152,"&lt;="&amp;DATE(2024,11,30),'2024数据'!$AE$3:$AE$152,$E330)</f>
        <v>0</v>
      </c>
      <c r="Q330" s="105">
        <f>COUNTIFS('2024数据'!$H$3:$H$152,"&gt;="&amp;DATE(2024,12,1),'2024数据'!$H$3:$H$152,"&lt;="&amp;DATE(2024,12,31),'2024数据'!$AE$3:$AE$152,$E330)</f>
        <v>0</v>
      </c>
    </row>
    <row r="331" ht="24" customHeight="1" spans="1:17">
      <c r="A331" s="99" t="s">
        <v>345</v>
      </c>
      <c r="B331" s="99" t="s">
        <v>299</v>
      </c>
      <c r="C331" s="99" t="s">
        <v>291</v>
      </c>
      <c r="D331" s="48" t="s">
        <v>31</v>
      </c>
      <c r="E331" s="48" t="s">
        <v>83</v>
      </c>
      <c r="F331" s="105">
        <f>COUNTIFS('2024数据'!$H$3:$H$152,"&gt;="&amp;DATE(2024,1,1),'2024数据'!$H$3:$H$152,"&lt;="&amp;DATE(2024,1,31),'2024数据'!$AE$3:$AE$152,$E331)</f>
        <v>0</v>
      </c>
      <c r="G331" s="105">
        <f>COUNTIFS('2024数据'!$H$3:$H$152,"&gt;="&amp;DATE(2024,2,1),'2024数据'!$H$3:$H$152,"&lt;="&amp;DATE(2024,2,29),'2024数据'!$AE$3:$AE$152,$E331)</f>
        <v>0</v>
      </c>
      <c r="H331" s="105">
        <f>COUNTIFS('2024数据'!$H$3:$H$152,"&gt;="&amp;DATE(2024,3,1),'2024数据'!$H$3:$H$152,"&lt;="&amp;DATE(2024,3,31),'2024数据'!$AE$3:$AE$152,$E331)</f>
        <v>0</v>
      </c>
      <c r="I331" s="105">
        <f>COUNTIFS('2024数据'!$H$3:$H$152,"&gt;="&amp;DATE(2024,4,1),'2024数据'!$H$3:$H$152,"&lt;="&amp;DATE(2024,4,30),'2024数据'!$AE$3:$AE$152,$E331)</f>
        <v>1</v>
      </c>
      <c r="J331" s="105">
        <f>COUNTIFS('2024数据'!$H$3:$H$152,"&gt;="&amp;DATE(2024,5,1),'2024数据'!$H$3:$H$152,"&lt;="&amp;DATE(2024,5,31),'2024数据'!$AE$3:$AE$152,$E331)</f>
        <v>0</v>
      </c>
      <c r="K331" s="105">
        <f>COUNTIFS('2024数据'!$H$3:$H$152,"&gt;="&amp;DATE(2024,6,1),'2024数据'!$H$3:$H$152,"&lt;="&amp;DATE(2024,6,30),'2024数据'!$AE$3:$AE$152,$E331)</f>
        <v>0</v>
      </c>
      <c r="L331" s="105">
        <f>COUNTIFS('2024数据'!$H$3:$H$152,"&gt;="&amp;DATE(2024,7,1),'2024数据'!$H$3:$H$152,"&lt;="&amp;DATE(2024,7,31),'2024数据'!$AE$3:$AE$152,$E331)</f>
        <v>0</v>
      </c>
      <c r="M331" s="105">
        <f>COUNTIFS('2024数据'!$H$3:$H$152,"&gt;="&amp;DATE(2024,8,1),'2024数据'!$H$3:$H$152,"&lt;="&amp;DATE(2024,8,31),'2024数据'!$AE$3:$AE$152,$E331)</f>
        <v>0</v>
      </c>
      <c r="N331" s="105">
        <f>COUNTIFS('2024数据'!$H$3:$H$152,"&gt;="&amp;DATE(2024,9,1),'2024数据'!$H$3:$H$152,"&lt;="&amp;DATE(2024,9,30),'2024数据'!$AE$3:$AE$152,$E331)</f>
        <v>0</v>
      </c>
      <c r="O331" s="105">
        <f>COUNTIFS('2024数据'!$H$3:$H$152,"&gt;="&amp;DATE(2024,10,1),'2024数据'!$H$3:$H$152,"&lt;="&amp;DATE(2024,10,31),'2024数据'!$AE$3:$AE$152,$E331)</f>
        <v>0</v>
      </c>
      <c r="P331" s="105">
        <f>COUNTIFS('2024数据'!$H$3:$H$152,"&gt;="&amp;DATE(2024,11,1),'2024数据'!$H$3:$H$152,"&lt;="&amp;DATE(2024,11,30),'2024数据'!$AE$3:$AE$152,$E331)</f>
        <v>0</v>
      </c>
      <c r="Q331" s="105">
        <f>COUNTIFS('2024数据'!$H$3:$H$152,"&gt;="&amp;DATE(2024,12,1),'2024数据'!$H$3:$H$152,"&lt;="&amp;DATE(2024,12,31),'2024数据'!$AE$3:$AE$152,$E331)</f>
        <v>0</v>
      </c>
    </row>
    <row r="332" ht="24" customHeight="1" spans="1:17">
      <c r="A332" s="99" t="s">
        <v>345</v>
      </c>
      <c r="B332" s="99" t="s">
        <v>299</v>
      </c>
      <c r="C332" s="99" t="s">
        <v>291</v>
      </c>
      <c r="D332" s="47" t="s">
        <v>294</v>
      </c>
      <c r="E332" s="47" t="s">
        <v>93</v>
      </c>
      <c r="F332" s="106">
        <f>COUNTIFS('2024数据'!$H$3:$H$152,"&gt;="&amp;DATE(2024,1,1),'2024数据'!$H$3:$H$152,"&lt;="&amp;DATE(2024,1,31),'2024数据'!$B$3:$B$152,$E332)</f>
        <v>1</v>
      </c>
      <c r="G332" s="106">
        <f>COUNTIFS('2024数据'!$H$3:$H$152,"&gt;="&amp;DATE(2024,2,1),'2024数据'!$H$3:$H$152,"&lt;="&amp;DATE(2024,2,29),'2024数据'!$B$3:$B$152,$E332)</f>
        <v>1</v>
      </c>
      <c r="H332" s="106">
        <f>COUNTIFS('2024数据'!$H$3:$H$152,"&gt;="&amp;DATE(2024,3,1),'2024数据'!$H$3:$H$152,"&lt;="&amp;DATE(2024,3,31),'2024数据'!$B$3:$B$152,$E332)</f>
        <v>0</v>
      </c>
      <c r="I332" s="106">
        <f>COUNTIFS('2024数据'!$H$3:$H$152,"&gt;="&amp;DATE(2024,4,1),'2024数据'!$H$3:$H$152,"&lt;="&amp;DATE(2024,4,30),'2024数据'!$B$3:$B$152,$E332)</f>
        <v>0</v>
      </c>
      <c r="J332" s="106">
        <f>COUNTIFS('2024数据'!$H$3:$H$152,"&gt;="&amp;DATE(2024,5,1),'2024数据'!$H$3:$H$152,"&lt;="&amp;DATE(2024,5,31),'2024数据'!$B$3:$B$152,$E332)</f>
        <v>0</v>
      </c>
      <c r="K332" s="106">
        <f>COUNTIFS('2024数据'!$H$3:$H$152,"&gt;="&amp;DATE(2024,6,1),'2024数据'!$H$3:$H$152,"&lt;="&amp;DATE(2024,6,30),'2024数据'!$B$3:$B$152,$E332)</f>
        <v>0</v>
      </c>
      <c r="L332" s="106">
        <f>COUNTIFS('2024数据'!$H$3:$H$152,"&gt;="&amp;DATE(2024,7,1),'2024数据'!$H$3:$H$152,"&lt;="&amp;DATE(2024,7,31),'2024数据'!$B$3:$B$152,$E332)</f>
        <v>0</v>
      </c>
      <c r="M332" s="106">
        <f>COUNTIFS('2024数据'!$H$3:$H$152,"&gt;="&amp;DATE(2024,8,1),'2024数据'!$H$3:$H$152,"&lt;="&amp;DATE(2024,8,31),'2024数据'!$B$3:$B$152,$E332)</f>
        <v>0</v>
      </c>
      <c r="N332" s="106">
        <f>COUNTIFS('2024数据'!$H$3:$H$152,"&gt;="&amp;DATE(2024,9,1),'2024数据'!$H$3:$H$152,"&lt;="&amp;DATE(2024,9,30),'2024数据'!$B$3:$B$152,$E332)</f>
        <v>0</v>
      </c>
      <c r="O332" s="106">
        <f>COUNTIFS('2024数据'!$H$3:$H$152,"&gt;="&amp;DATE(2024,10,1),'2024数据'!$H$3:$H$152,"&lt;="&amp;DATE(2024,10,31),'2024数据'!$B$3:$B$152,$E332)</f>
        <v>1</v>
      </c>
      <c r="P332" s="106">
        <f>COUNTIFS('2024数据'!$H$3:$H$152,"&gt;="&amp;DATE(2024,11,1),'2024数据'!$H$3:$H$152,"&lt;="&amp;DATE(2024,11,30),'2024数据'!$B$3:$B$152,$E332)</f>
        <v>0</v>
      </c>
      <c r="Q332" s="106">
        <f>COUNTIFS('2024数据'!$H$3:$H$152,"&gt;="&amp;DATE(2024,12,1),'2024数据'!$H$3:$H$152,"&lt;="&amp;DATE(2024,12,31),'2024数据'!$B$3:$B$152,$E332)</f>
        <v>1</v>
      </c>
    </row>
    <row r="333" ht="24" customHeight="1" spans="1:17">
      <c r="A333" s="99" t="s">
        <v>345</v>
      </c>
      <c r="B333" s="99" t="s">
        <v>299</v>
      </c>
      <c r="C333" s="99" t="s">
        <v>291</v>
      </c>
      <c r="D333" s="47" t="s">
        <v>294</v>
      </c>
      <c r="E333" s="47" t="s">
        <v>85</v>
      </c>
      <c r="F333" s="106">
        <f>COUNTIFS('2024数据'!$H$3:$H$152,"&gt;="&amp;DATE(2024,1,1),'2024数据'!$H$3:$H$152,"&lt;="&amp;DATE(2024,1,31),'2024数据'!$B$3:$B$152,$E333)</f>
        <v>0</v>
      </c>
      <c r="G333" s="106">
        <f>COUNTIFS('2024数据'!$H$3:$H$152,"&gt;="&amp;DATE(2024,2,1),'2024数据'!$H$3:$H$152,"&lt;="&amp;DATE(2024,2,29),'2024数据'!$B$3:$B$152,$E333)</f>
        <v>0</v>
      </c>
      <c r="H333" s="106">
        <f>COUNTIFS('2024数据'!$H$3:$H$152,"&gt;="&amp;DATE(2024,3,1),'2024数据'!$H$3:$H$152,"&lt;="&amp;DATE(2024,3,31),'2024数据'!$B$3:$B$152,$E333)</f>
        <v>0</v>
      </c>
      <c r="I333" s="106">
        <f>COUNTIFS('2024数据'!$H$3:$H$152,"&gt;="&amp;DATE(2024,4,1),'2024数据'!$H$3:$H$152,"&lt;="&amp;DATE(2024,4,30),'2024数据'!$B$3:$B$152,$E333)</f>
        <v>0</v>
      </c>
      <c r="J333" s="106">
        <f>COUNTIFS('2024数据'!$H$3:$H$152,"&gt;="&amp;DATE(2024,5,1),'2024数据'!$H$3:$H$152,"&lt;="&amp;DATE(2024,5,31),'2024数据'!$B$3:$B$152,$E333)</f>
        <v>1</v>
      </c>
      <c r="K333" s="106">
        <f>COUNTIFS('2024数据'!$H$3:$H$152,"&gt;="&amp;DATE(2024,6,1),'2024数据'!$H$3:$H$152,"&lt;="&amp;DATE(2024,6,30),'2024数据'!$B$3:$B$152,$E333)</f>
        <v>0</v>
      </c>
      <c r="L333" s="106">
        <f>COUNTIFS('2024数据'!$H$3:$H$152,"&gt;="&amp;DATE(2024,7,1),'2024数据'!$H$3:$H$152,"&lt;="&amp;DATE(2024,7,31),'2024数据'!$B$3:$B$152,$E333)</f>
        <v>0</v>
      </c>
      <c r="M333" s="106">
        <f>COUNTIFS('2024数据'!$H$3:$H$152,"&gt;="&amp;DATE(2024,8,1),'2024数据'!$H$3:$H$152,"&lt;="&amp;DATE(2024,8,31),'2024数据'!$B$3:$B$152,$E333)</f>
        <v>0</v>
      </c>
      <c r="N333" s="106">
        <f>COUNTIFS('2024数据'!$H$3:$H$152,"&gt;="&amp;DATE(2024,9,1),'2024数据'!$H$3:$H$152,"&lt;="&amp;DATE(2024,9,30),'2024数据'!$B$3:$B$152,$E333)</f>
        <v>0</v>
      </c>
      <c r="O333" s="106">
        <f>COUNTIFS('2024数据'!$H$3:$H$152,"&gt;="&amp;DATE(2024,10,1),'2024数据'!$H$3:$H$152,"&lt;="&amp;DATE(2024,10,31),'2024数据'!$B$3:$B$152,$E333)</f>
        <v>0</v>
      </c>
      <c r="P333" s="106">
        <f>COUNTIFS('2024数据'!$H$3:$H$152,"&gt;="&amp;DATE(2024,11,1),'2024数据'!$H$3:$H$152,"&lt;="&amp;DATE(2024,11,30),'2024数据'!$B$3:$B$152,$E333)</f>
        <v>0</v>
      </c>
      <c r="Q333" s="106">
        <f>COUNTIFS('2024数据'!$H$3:$H$152,"&gt;="&amp;DATE(2024,12,1),'2024数据'!$H$3:$H$152,"&lt;="&amp;DATE(2024,12,31),'2024数据'!$B$3:$B$152,$E333)</f>
        <v>0</v>
      </c>
    </row>
    <row r="334" ht="24" customHeight="1" spans="1:17">
      <c r="A334" s="99" t="s">
        <v>345</v>
      </c>
      <c r="B334" s="99" t="s">
        <v>299</v>
      </c>
      <c r="C334" s="99" t="s">
        <v>291</v>
      </c>
      <c r="D334" s="47" t="s">
        <v>294</v>
      </c>
      <c r="E334" s="47" t="s">
        <v>81</v>
      </c>
      <c r="F334" s="106">
        <f>COUNTIFS('2024数据'!$H$3:$H$152,"&gt;="&amp;DATE(2024,1,1),'2024数据'!$H$3:$H$152,"&lt;="&amp;DATE(2024,1,31),'2024数据'!$B$3:$B$152,$E334)</f>
        <v>1</v>
      </c>
      <c r="G334" s="106">
        <f>COUNTIFS('2024数据'!$H$3:$H$152,"&gt;="&amp;DATE(2024,2,1),'2024数据'!$H$3:$H$152,"&lt;="&amp;DATE(2024,2,29),'2024数据'!$B$3:$B$152,$E334)</f>
        <v>0</v>
      </c>
      <c r="H334" s="106">
        <f>COUNTIFS('2024数据'!$H$3:$H$152,"&gt;="&amp;DATE(2024,3,1),'2024数据'!$H$3:$H$152,"&lt;="&amp;DATE(2024,3,31),'2024数据'!$B$3:$B$152,$E334)</f>
        <v>0</v>
      </c>
      <c r="I334" s="106">
        <f>COUNTIFS('2024数据'!$H$3:$H$152,"&gt;="&amp;DATE(2024,4,1),'2024数据'!$H$3:$H$152,"&lt;="&amp;DATE(2024,4,30),'2024数据'!$B$3:$B$152,$E334)</f>
        <v>0</v>
      </c>
      <c r="J334" s="106">
        <f>COUNTIFS('2024数据'!$H$3:$H$152,"&gt;="&amp;DATE(2024,5,1),'2024数据'!$H$3:$H$152,"&lt;="&amp;DATE(2024,5,31),'2024数据'!$B$3:$B$152,$E334)</f>
        <v>1</v>
      </c>
      <c r="K334" s="106">
        <f>COUNTIFS('2024数据'!$H$3:$H$152,"&gt;="&amp;DATE(2024,6,1),'2024数据'!$H$3:$H$152,"&lt;="&amp;DATE(2024,6,30),'2024数据'!$B$3:$B$152,$E334)</f>
        <v>0</v>
      </c>
      <c r="L334" s="106">
        <f>COUNTIFS('2024数据'!$H$3:$H$152,"&gt;="&amp;DATE(2024,7,1),'2024数据'!$H$3:$H$152,"&lt;="&amp;DATE(2024,7,31),'2024数据'!$B$3:$B$152,$E334)</f>
        <v>0</v>
      </c>
      <c r="M334" s="106">
        <f>COUNTIFS('2024数据'!$H$3:$H$152,"&gt;="&amp;DATE(2024,8,1),'2024数据'!$H$3:$H$152,"&lt;="&amp;DATE(2024,8,31),'2024数据'!$B$3:$B$152,$E334)</f>
        <v>1</v>
      </c>
      <c r="N334" s="106">
        <f>COUNTIFS('2024数据'!$H$3:$H$152,"&gt;="&amp;DATE(2024,9,1),'2024数据'!$H$3:$H$152,"&lt;="&amp;DATE(2024,9,30),'2024数据'!$B$3:$B$152,$E334)</f>
        <v>0</v>
      </c>
      <c r="O334" s="106">
        <f>COUNTIFS('2024数据'!$H$3:$H$152,"&gt;="&amp;DATE(2024,10,1),'2024数据'!$H$3:$H$152,"&lt;="&amp;DATE(2024,10,31),'2024数据'!$B$3:$B$152,$E334)</f>
        <v>0</v>
      </c>
      <c r="P334" s="106">
        <f>COUNTIFS('2024数据'!$H$3:$H$152,"&gt;="&amp;DATE(2024,11,1),'2024数据'!$H$3:$H$152,"&lt;="&amp;DATE(2024,11,30),'2024数据'!$B$3:$B$152,$E334)</f>
        <v>1</v>
      </c>
      <c r="Q334" s="106">
        <f>COUNTIFS('2024数据'!$H$3:$H$152,"&gt;="&amp;DATE(2024,12,1),'2024数据'!$H$3:$H$152,"&lt;="&amp;DATE(2024,12,31),'2024数据'!$B$3:$B$152,$E334)</f>
        <v>0</v>
      </c>
    </row>
    <row r="335" ht="24" customHeight="1" spans="1:17">
      <c r="A335" s="99" t="s">
        <v>345</v>
      </c>
      <c r="B335" s="99" t="s">
        <v>299</v>
      </c>
      <c r="C335" s="99" t="s">
        <v>291</v>
      </c>
      <c r="D335" s="47" t="s">
        <v>294</v>
      </c>
      <c r="E335" s="47" t="s">
        <v>96</v>
      </c>
      <c r="F335" s="106">
        <f>COUNTIFS('2024数据'!$H$3:$H$152,"&gt;="&amp;DATE(2024,1,1),'2024数据'!$H$3:$H$152,"&lt;="&amp;DATE(2024,1,31),'2024数据'!$B$3:$B$152,$E335)</f>
        <v>0</v>
      </c>
      <c r="G335" s="106">
        <f>COUNTIFS('2024数据'!$H$3:$H$152,"&gt;="&amp;DATE(2024,2,1),'2024数据'!$H$3:$H$152,"&lt;="&amp;DATE(2024,2,29),'2024数据'!$B$3:$B$152,$E335)</f>
        <v>0</v>
      </c>
      <c r="H335" s="106">
        <f>COUNTIFS('2024数据'!$H$3:$H$152,"&gt;="&amp;DATE(2024,3,1),'2024数据'!$H$3:$H$152,"&lt;="&amp;DATE(2024,3,31),'2024数据'!$B$3:$B$152,$E335)</f>
        <v>0</v>
      </c>
      <c r="I335" s="106">
        <f>COUNTIFS('2024数据'!$H$3:$H$152,"&gt;="&amp;DATE(2024,4,1),'2024数据'!$H$3:$H$152,"&lt;="&amp;DATE(2024,4,30),'2024数据'!$B$3:$B$152,$E335)</f>
        <v>0</v>
      </c>
      <c r="J335" s="106">
        <f>COUNTIFS('2024数据'!$H$3:$H$152,"&gt;="&amp;DATE(2024,5,1),'2024数据'!$H$3:$H$152,"&lt;="&amp;DATE(2024,5,31),'2024数据'!$B$3:$B$152,$E335)</f>
        <v>1</v>
      </c>
      <c r="K335" s="106">
        <f>COUNTIFS('2024数据'!$H$3:$H$152,"&gt;="&amp;DATE(2024,6,1),'2024数据'!$H$3:$H$152,"&lt;="&amp;DATE(2024,6,30),'2024数据'!$B$3:$B$152,$E335)</f>
        <v>0</v>
      </c>
      <c r="L335" s="106">
        <f>COUNTIFS('2024数据'!$H$3:$H$152,"&gt;="&amp;DATE(2024,7,1),'2024数据'!$H$3:$H$152,"&lt;="&amp;DATE(2024,7,31),'2024数据'!$B$3:$B$152,$E335)</f>
        <v>1</v>
      </c>
      <c r="M335" s="106">
        <f>COUNTIFS('2024数据'!$H$3:$H$152,"&gt;="&amp;DATE(2024,8,1),'2024数据'!$H$3:$H$152,"&lt;="&amp;DATE(2024,8,31),'2024数据'!$B$3:$B$152,$E335)</f>
        <v>0</v>
      </c>
      <c r="N335" s="106">
        <f>COUNTIFS('2024数据'!$H$3:$H$152,"&gt;="&amp;DATE(2024,9,1),'2024数据'!$H$3:$H$152,"&lt;="&amp;DATE(2024,9,30),'2024数据'!$B$3:$B$152,$E335)</f>
        <v>0</v>
      </c>
      <c r="O335" s="106">
        <f>COUNTIFS('2024数据'!$H$3:$H$152,"&gt;="&amp;DATE(2024,10,1),'2024数据'!$H$3:$H$152,"&lt;="&amp;DATE(2024,10,31),'2024数据'!$B$3:$B$152,$E335)</f>
        <v>0</v>
      </c>
      <c r="P335" s="106">
        <f>COUNTIFS('2024数据'!$H$3:$H$152,"&gt;="&amp;DATE(2024,11,1),'2024数据'!$H$3:$H$152,"&lt;="&amp;DATE(2024,11,30),'2024数据'!$B$3:$B$152,$E335)</f>
        <v>0</v>
      </c>
      <c r="Q335" s="106">
        <f>COUNTIFS('2024数据'!$H$3:$H$152,"&gt;="&amp;DATE(2024,12,1),'2024数据'!$H$3:$H$152,"&lt;="&amp;DATE(2024,12,31),'2024数据'!$B$3:$B$152,$E335)</f>
        <v>0</v>
      </c>
    </row>
    <row r="336" ht="24" customHeight="1" spans="1:17">
      <c r="A336" s="99" t="s">
        <v>345</v>
      </c>
      <c r="B336" s="99" t="s">
        <v>299</v>
      </c>
      <c r="C336" s="99" t="s">
        <v>291</v>
      </c>
      <c r="D336" s="47" t="s">
        <v>294</v>
      </c>
      <c r="E336" s="47" t="s">
        <v>160</v>
      </c>
      <c r="F336" s="106">
        <f t="shared" ref="F336:Q336" si="228">SUM(F326:F331)-SUM(F332:F335)</f>
        <v>0</v>
      </c>
      <c r="G336" s="106">
        <f t="shared" si="228"/>
        <v>0</v>
      </c>
      <c r="H336" s="106">
        <f t="shared" si="228"/>
        <v>0</v>
      </c>
      <c r="I336" s="106">
        <f t="shared" si="228"/>
        <v>1</v>
      </c>
      <c r="J336" s="106">
        <f t="shared" si="228"/>
        <v>0</v>
      </c>
      <c r="K336" s="106">
        <f t="shared" si="228"/>
        <v>0</v>
      </c>
      <c r="L336" s="106">
        <f t="shared" si="228"/>
        <v>0</v>
      </c>
      <c r="M336" s="106">
        <f t="shared" si="228"/>
        <v>0</v>
      </c>
      <c r="N336" s="106">
        <f t="shared" si="228"/>
        <v>0</v>
      </c>
      <c r="O336" s="106">
        <f t="shared" si="228"/>
        <v>0</v>
      </c>
      <c r="P336" s="106">
        <f t="shared" si="228"/>
        <v>0</v>
      </c>
      <c r="Q336" s="106">
        <f t="shared" si="228"/>
        <v>0</v>
      </c>
    </row>
    <row r="337" ht="24" customHeight="1" spans="1:17">
      <c r="A337" s="99" t="s">
        <v>345</v>
      </c>
      <c r="B337" s="99" t="s">
        <v>299</v>
      </c>
      <c r="C337" s="99" t="s">
        <v>291</v>
      </c>
      <c r="D337" s="100" t="s">
        <v>292</v>
      </c>
      <c r="E337" s="110" t="s">
        <v>301</v>
      </c>
      <c r="F337" s="111">
        <f>COUNTIFS('2024数据'!$H$3:$H$152,"&gt;="&amp;DATE(2024,1,1),'2024数据'!$H$3:$H$152,"&lt;="&amp;DATE(2024,1,31),'2024数据'!$AS$3:$AS$152,$E337)</f>
        <v>2</v>
      </c>
      <c r="G337" s="111">
        <f>COUNTIFS('2024数据'!$H$3:$H$152,"&gt;="&amp;DATE(2024,2,1),'2024数据'!$H$3:$H$152,"&lt;="&amp;DATE(2024,2,29),'2024数据'!$AS$3:$AS$152,$E337)</f>
        <v>0</v>
      </c>
      <c r="H337" s="111">
        <f>COUNTIFS('2024数据'!$H$3:$H$152,"&gt;="&amp;DATE(2024,3,1),'2024数据'!$H$3:$H$152,"&lt;="&amp;DATE(2024,3,31),'2024数据'!$AS$3:$AS$152,$E337)</f>
        <v>0</v>
      </c>
      <c r="I337" s="111">
        <f>COUNTIFS('2024数据'!$H$3:$H$152,"&gt;="&amp;DATE(2024,4,1),'2024数据'!$H$3:$H$152,"&lt;="&amp;DATE(2024,4,30),'2024数据'!$AS$3:$AS$152,$E337)</f>
        <v>1</v>
      </c>
      <c r="J337" s="111">
        <f>COUNTIFS('2024数据'!$H$3:$H$152,"&gt;="&amp;DATE(2024,5,1),'2024数据'!$H$3:$H$152,"&lt;="&amp;DATE(2024,5,31),'2024数据'!$AS$3:$AS$152,$E337)</f>
        <v>2</v>
      </c>
      <c r="K337" s="111">
        <f>COUNTIFS('2024数据'!$H$3:$H$152,"&gt;="&amp;DATE(2024,6,1),'2024数据'!$H$3:$H$152,"&lt;="&amp;DATE(2024,6,30),'2024数据'!$AS$3:$AS$152,$E337)</f>
        <v>0</v>
      </c>
      <c r="L337" s="111">
        <f>COUNTIFS('2024数据'!$H$3:$H$152,"&gt;="&amp;DATE(2024,7,1),'2024数据'!$H$3:$H$152,"&lt;="&amp;DATE(2024,7,31),'2024数据'!$AS$3:$AS$152,$E337)</f>
        <v>1</v>
      </c>
      <c r="M337" s="111">
        <f>COUNTIFS('2024数据'!$H$3:$H$152,"&gt;="&amp;DATE(2024,8,1),'2024数据'!$H$3:$H$152,"&lt;="&amp;DATE(2024,8,31),'2024数据'!$AS$3:$AS$152,$E337)</f>
        <v>1</v>
      </c>
      <c r="N337" s="111">
        <f>COUNTIFS('2024数据'!$H$3:$H$152,"&gt;="&amp;DATE(2024,9,1),'2024数据'!$H$3:$H$152,"&lt;="&amp;DATE(2024,9,30),'2024数据'!$AS$3:$AS$152,$E337)</f>
        <v>0</v>
      </c>
      <c r="O337" s="111">
        <f>COUNTIFS('2024数据'!$H$3:$H$152,"&gt;="&amp;DATE(2024,10,1),'2024数据'!$H$3:$H$152,"&lt;="&amp;DATE(2024,10,31),'2024数据'!$AS$3:$AS$152,$E337)</f>
        <v>0</v>
      </c>
      <c r="P337" s="111">
        <f>COUNTIFS('2024数据'!$H$3:$H$152,"&gt;="&amp;DATE(2024,11,1),'2024数据'!$H$3:$H$152,"&lt;="&amp;DATE(2024,11,30),'2024数据'!$AS$3:$AS$152,$E337)</f>
        <v>0</v>
      </c>
      <c r="Q337" s="111">
        <f>COUNTIFS('2024数据'!$H$3:$H$152,"&gt;="&amp;DATE(2024,12,1),'2024数据'!$H$3:$H$152,"&lt;="&amp;DATE(2024,12,31),'2024数据'!$AS$3:$AS$152,$E337)</f>
        <v>0</v>
      </c>
    </row>
    <row r="338" ht="24" customHeight="1" spans="1:17">
      <c r="A338" s="99" t="s">
        <v>345</v>
      </c>
      <c r="B338" s="99" t="s">
        <v>299</v>
      </c>
      <c r="C338" s="99" t="s">
        <v>291</v>
      </c>
      <c r="D338" s="100" t="s">
        <v>292</v>
      </c>
      <c r="E338" s="110" t="s">
        <v>302</v>
      </c>
      <c r="F338" s="111">
        <f>COUNTIFS('2024数据'!$H$3:$H$152,"&gt;="&amp;DATE(2024,1,1),'2024数据'!$H$3:$H$152,"&lt;="&amp;DATE(2024,1,31),'2024数据'!$AS$3:$AS$152,$E338)</f>
        <v>0</v>
      </c>
      <c r="G338" s="111">
        <f>COUNTIFS('2024数据'!$H$3:$H$152,"&gt;="&amp;DATE(2024,2,1),'2024数据'!$H$3:$H$152,"&lt;="&amp;DATE(2024,2,29),'2024数据'!$AS$3:$AS$152,$E338)</f>
        <v>1</v>
      </c>
      <c r="H338" s="111">
        <f>COUNTIFS('2024数据'!$H$3:$H$152,"&gt;="&amp;DATE(2024,3,1),'2024数据'!$H$3:$H$152,"&lt;="&amp;DATE(2024,3,31),'2024数据'!$AS$3:$AS$152,$E338)</f>
        <v>0</v>
      </c>
      <c r="I338" s="111">
        <f>COUNTIFS('2024数据'!$H$3:$H$152,"&gt;="&amp;DATE(2024,4,1),'2024数据'!$H$3:$H$152,"&lt;="&amp;DATE(2024,4,30),'2024数据'!$AS$3:$AS$152,$E338)</f>
        <v>0</v>
      </c>
      <c r="J338" s="111">
        <f>COUNTIFS('2024数据'!$H$3:$H$152,"&gt;="&amp;DATE(2024,5,1),'2024数据'!$H$3:$H$152,"&lt;="&amp;DATE(2024,5,31),'2024数据'!$AS$3:$AS$152,$E338)</f>
        <v>1</v>
      </c>
      <c r="K338" s="111">
        <f>COUNTIFS('2024数据'!$H$3:$H$152,"&gt;="&amp;DATE(2024,6,1),'2024数据'!$H$3:$H$152,"&lt;="&amp;DATE(2024,6,30),'2024数据'!$AS$3:$AS$152,$E338)</f>
        <v>0</v>
      </c>
      <c r="L338" s="111">
        <f>COUNTIFS('2024数据'!$H$3:$H$152,"&gt;="&amp;DATE(2024,7,1),'2024数据'!$H$3:$H$152,"&lt;="&amp;DATE(2024,7,31),'2024数据'!$AS$3:$AS$152,$E338)</f>
        <v>0</v>
      </c>
      <c r="M338" s="111">
        <f>COUNTIFS('2024数据'!$H$3:$H$152,"&gt;="&amp;DATE(2024,8,1),'2024数据'!$H$3:$H$152,"&lt;="&amp;DATE(2024,8,31),'2024数据'!$AS$3:$AS$152,$E338)</f>
        <v>0</v>
      </c>
      <c r="N338" s="111">
        <f>COUNTIFS('2024数据'!$H$3:$H$152,"&gt;="&amp;DATE(2024,9,1),'2024数据'!$H$3:$H$152,"&lt;="&amp;DATE(2024,9,30),'2024数据'!$AS$3:$AS$152,$E338)</f>
        <v>0</v>
      </c>
      <c r="O338" s="111">
        <f>COUNTIFS('2024数据'!$H$3:$H$152,"&gt;="&amp;DATE(2024,10,1),'2024数据'!$H$3:$H$152,"&lt;="&amp;DATE(2024,10,31),'2024数据'!$AS$3:$AS$152,$E338)</f>
        <v>1</v>
      </c>
      <c r="P338" s="111">
        <f>COUNTIFS('2024数据'!$H$3:$H$152,"&gt;="&amp;DATE(2024,11,1),'2024数据'!$H$3:$H$152,"&lt;="&amp;DATE(2024,11,30),'2024数据'!$AS$3:$AS$152,$E338)</f>
        <v>0</v>
      </c>
      <c r="Q338" s="111">
        <f>COUNTIFS('2024数据'!$H$3:$H$152,"&gt;="&amp;DATE(2024,12,1),'2024数据'!$H$3:$H$152,"&lt;="&amp;DATE(2024,12,31),'2024数据'!$AS$3:$AS$152,$E338)</f>
        <v>1</v>
      </c>
    </row>
    <row r="339" ht="24" customHeight="1" spans="1:17">
      <c r="A339" s="99" t="s">
        <v>345</v>
      </c>
      <c r="B339" s="99" t="s">
        <v>299</v>
      </c>
      <c r="C339" s="99" t="s">
        <v>291</v>
      </c>
      <c r="D339" s="100" t="s">
        <v>292</v>
      </c>
      <c r="E339" s="110" t="s">
        <v>150</v>
      </c>
      <c r="F339" s="111">
        <f>COUNTIFS('2024数据'!$H$3:$H$152,"&gt;="&amp;DATE(2024,1,1),'2024数据'!$H$3:$H$152,"&lt;="&amp;DATE(2024,1,31),'2024数据'!$AS$3:$AS$152,$E339)</f>
        <v>0</v>
      </c>
      <c r="G339" s="111">
        <f>COUNTIFS('2024数据'!$H$3:$H$152,"&gt;="&amp;DATE(2024,2,1),'2024数据'!$H$3:$H$152,"&lt;="&amp;DATE(2024,2,29),'2024数据'!$AS$3:$AS$152,$E339)</f>
        <v>0</v>
      </c>
      <c r="H339" s="111">
        <f>COUNTIFS('2024数据'!$H$3:$H$152,"&gt;="&amp;DATE(2024,3,1),'2024数据'!$H$3:$H$152,"&lt;="&amp;DATE(2024,3,31),'2024数据'!$AS$3:$AS$152,$E339)</f>
        <v>0</v>
      </c>
      <c r="I339" s="111">
        <f>COUNTIFS('2024数据'!$H$3:$H$152,"&gt;="&amp;DATE(2024,4,1),'2024数据'!$H$3:$H$152,"&lt;="&amp;DATE(2024,4,30),'2024数据'!$AS$3:$AS$152,$E339)</f>
        <v>0</v>
      </c>
      <c r="J339" s="111">
        <f>COUNTIFS('2024数据'!$H$3:$H$152,"&gt;="&amp;DATE(2024,5,1),'2024数据'!$H$3:$H$152,"&lt;="&amp;DATE(2024,5,31),'2024数据'!$AS$3:$AS$152,$E339)</f>
        <v>0</v>
      </c>
      <c r="K339" s="111">
        <f>COUNTIFS('2024数据'!$H$3:$H$152,"&gt;="&amp;DATE(2024,6,1),'2024数据'!$H$3:$H$152,"&lt;="&amp;DATE(2024,6,30),'2024数据'!$AS$3:$AS$152,$E339)</f>
        <v>0</v>
      </c>
      <c r="L339" s="111">
        <f>COUNTIFS('2024数据'!$H$3:$H$152,"&gt;="&amp;DATE(2024,7,1),'2024数据'!$H$3:$H$152,"&lt;="&amp;DATE(2024,7,31),'2024数据'!$AS$3:$AS$152,$E339)</f>
        <v>0</v>
      </c>
      <c r="M339" s="111">
        <f>COUNTIFS('2024数据'!$H$3:$H$152,"&gt;="&amp;DATE(2024,8,1),'2024数据'!$H$3:$H$152,"&lt;="&amp;DATE(2024,8,31),'2024数据'!$AS$3:$AS$152,$E339)</f>
        <v>0</v>
      </c>
      <c r="N339" s="111">
        <f>COUNTIFS('2024数据'!$H$3:$H$152,"&gt;="&amp;DATE(2024,9,1),'2024数据'!$H$3:$H$152,"&lt;="&amp;DATE(2024,9,30),'2024数据'!$AS$3:$AS$152,$E339)</f>
        <v>0</v>
      </c>
      <c r="O339" s="111">
        <f>COUNTIFS('2024数据'!$H$3:$H$152,"&gt;="&amp;DATE(2024,10,1),'2024数据'!$H$3:$H$152,"&lt;="&amp;DATE(2024,10,31),'2024数据'!$AS$3:$AS$152,$E339)</f>
        <v>0</v>
      </c>
      <c r="P339" s="111">
        <f>COUNTIFS('2024数据'!$H$3:$H$152,"&gt;="&amp;DATE(2024,11,1),'2024数据'!$H$3:$H$152,"&lt;="&amp;DATE(2024,11,30),'2024数据'!$AS$3:$AS$152,$E339)</f>
        <v>1</v>
      </c>
      <c r="Q339" s="111">
        <f>COUNTIFS('2024数据'!$H$3:$H$152,"&gt;="&amp;DATE(2024,12,1),'2024数据'!$H$3:$H$152,"&lt;="&amp;DATE(2024,12,31),'2024数据'!$AS$3:$AS$152,$E339)</f>
        <v>0</v>
      </c>
    </row>
    <row r="340" ht="24" customHeight="1" spans="1:17">
      <c r="A340" s="99" t="s">
        <v>345</v>
      </c>
      <c r="B340" s="99" t="s">
        <v>299</v>
      </c>
      <c r="C340" s="99" t="s">
        <v>291</v>
      </c>
      <c r="D340" s="53" t="s">
        <v>303</v>
      </c>
      <c r="E340" s="53" t="s">
        <v>93</v>
      </c>
      <c r="F340" s="111">
        <f>COUNTIFS('2024数据'!$H$3:$H$152,"&gt;="&amp;DATE(2024,1,1),'2024数据'!$H$3:$H$152,"&lt;="&amp;DATE(2024,1,31),'2024数据'!$AS$3:$AS$152,$E$35,'2024数据'!$B$3:$B$152,'2024整理'!$E332)</f>
        <v>1</v>
      </c>
      <c r="G340" s="111">
        <f>COUNTIFS('2024数据'!$H$3:$H$152,"&gt;="&amp;DATE(2024,2,1),'2024数据'!$H$3:$H$152,"&lt;="&amp;DATE(2024,2,29),'2024数据'!$AS$3:$AS$152,$E$35,'2024数据'!$B$3:$B$152,'2024整理'!$E332)</f>
        <v>0</v>
      </c>
      <c r="H340" s="111">
        <f>COUNTIFS('2024数据'!$H$3:$H$152,"&gt;="&amp;DATE(2024,3,1),'2024数据'!$H$3:$H$152,"&lt;="&amp;DATE(2024,3,31),'2024数据'!$AS$3:$AS$152,$E$35,'2024数据'!$B$3:$B$152,'2024整理'!$E332)</f>
        <v>0</v>
      </c>
      <c r="I340" s="111">
        <f>COUNTIFS('2024数据'!$H$3:$H$152,"&gt;="&amp;DATE(2024,4,1),'2024数据'!$H$3:$H$152,"&lt;="&amp;DATE(2024,4,30),'2024数据'!$AS$3:$AS$152,$E$35,'2024数据'!$B$3:$B$152,'2024整理'!$E332)</f>
        <v>0</v>
      </c>
      <c r="J340" s="111">
        <f>COUNTIFS('2024数据'!$H$3:$H$152,"&gt;="&amp;DATE(2024,5,1),'2024数据'!$H$3:$H$152,"&lt;="&amp;DATE(2024,5,31),'2024数据'!$AS$3:$AS$152,$E$35,'2024数据'!$B$3:$B$152,'2024整理'!$E332)</f>
        <v>0</v>
      </c>
      <c r="K340" s="111">
        <f>COUNTIFS('2024数据'!$H$3:$H$152,"&gt;="&amp;DATE(2024,6,1),'2024数据'!$H$3:$H$152,"&lt;="&amp;DATE(2024,6,30),'2024数据'!$AS$3:$AS$152,$E$35,'2024数据'!$B$3:$B$152,'2024整理'!$E332)</f>
        <v>0</v>
      </c>
      <c r="L340" s="111">
        <f>COUNTIFS('2024数据'!$H$3:$H$152,"&gt;="&amp;DATE(2024,7,1),'2024数据'!$H$3:$H$152,"&lt;="&amp;DATE(2024,7,31),'2024数据'!$AS$3:$AS$152,$E$35,'2024数据'!$B$3:$B$152,'2024整理'!$E332)</f>
        <v>0</v>
      </c>
      <c r="M340" s="111">
        <f>COUNTIFS('2024数据'!$H$3:$H$152,"&gt;="&amp;DATE(2024,8,1),'2024数据'!$H$3:$H$152,"&lt;="&amp;DATE(2024,8,31),'2024数据'!$AS$3:$AS$152,$E$35,'2024数据'!$B$3:$B$152,'2024整理'!$E332)</f>
        <v>0</v>
      </c>
      <c r="N340" s="111">
        <f>COUNTIFS('2024数据'!$H$3:$H$152,"&gt;="&amp;DATE(2024,9,1),'2024数据'!$H$3:$H$152,"&lt;="&amp;DATE(2024,9,30),'2024数据'!$AS$3:$AS$152,$E$35,'2024数据'!$B$3:$B$152,'2024整理'!$E332)</f>
        <v>0</v>
      </c>
      <c r="O340" s="111">
        <f>COUNTIFS('2024数据'!$H$3:$H$152,"&gt;="&amp;DATE(2024,10,1),'2024数据'!$H$3:$H$152,"&lt;="&amp;DATE(2024,10,31),'2024数据'!$AS$3:$AS$152,$E$35,'2024数据'!$B$3:$B$152,'2024整理'!$E332)</f>
        <v>0</v>
      </c>
      <c r="P340" s="111">
        <f>COUNTIFS('2024数据'!$H$3:$H$152,"&gt;="&amp;DATE(2024,11,1),'2024数据'!$H$3:$H$152,"&lt;="&amp;DATE(2024,11,30),'2024数据'!$AS$3:$AS$152,$E$35,'2024数据'!$B$3:$B$152,'2024整理'!$E332)</f>
        <v>0</v>
      </c>
      <c r="Q340" s="111">
        <f>COUNTIFS('2024数据'!$H$3:$H$152,"&gt;="&amp;DATE(2024,12,1),'2024数据'!$H$3:$H$152,"&lt;="&amp;DATE(2024,12,31),'2024数据'!$AS$3:$AS$152,$E$35,'2024数据'!$B$3:$B$152,'2024整理'!$E332)</f>
        <v>0</v>
      </c>
    </row>
    <row r="341" ht="24" customHeight="1" spans="1:17">
      <c r="A341" s="99" t="s">
        <v>345</v>
      </c>
      <c r="B341" s="99" t="s">
        <v>299</v>
      </c>
      <c r="C341" s="99" t="s">
        <v>291</v>
      </c>
      <c r="D341" s="53" t="s">
        <v>303</v>
      </c>
      <c r="E341" s="53" t="s">
        <v>85</v>
      </c>
      <c r="F341" s="111">
        <f>COUNTIFS('2024数据'!$H$3:$H$152,"&gt;="&amp;DATE(2024,1,1),'2024数据'!$H$3:$H$152,"&lt;="&amp;DATE(2024,1,31),'2024数据'!$AS$3:$AS$152,$E$35,'2024数据'!$B$3:$B$152,'2024整理'!$E333)</f>
        <v>0</v>
      </c>
      <c r="G341" s="111">
        <f>COUNTIFS('2024数据'!$H$3:$H$152,"&gt;="&amp;DATE(2024,2,1),'2024数据'!$H$3:$H$152,"&lt;="&amp;DATE(2024,2,29),'2024数据'!$AS$3:$AS$152,$E$35,'2024数据'!$B$3:$B$152,'2024整理'!$E333)</f>
        <v>0</v>
      </c>
      <c r="H341" s="111">
        <f>COUNTIFS('2024数据'!$H$3:$H$152,"&gt;="&amp;DATE(2024,3,1),'2024数据'!$H$3:$H$152,"&lt;="&amp;DATE(2024,3,31),'2024数据'!$AS$3:$AS$152,$E$35,'2024数据'!$B$3:$B$152,'2024整理'!$E333)</f>
        <v>0</v>
      </c>
      <c r="I341" s="111">
        <f>COUNTIFS('2024数据'!$H$3:$H$152,"&gt;="&amp;DATE(2024,4,1),'2024数据'!$H$3:$H$152,"&lt;="&amp;DATE(2024,4,30),'2024数据'!$AS$3:$AS$152,$E$35,'2024数据'!$B$3:$B$152,'2024整理'!$E333)</f>
        <v>0</v>
      </c>
      <c r="J341" s="111">
        <f>COUNTIFS('2024数据'!$H$3:$H$152,"&gt;="&amp;DATE(2024,5,1),'2024数据'!$H$3:$H$152,"&lt;="&amp;DATE(2024,5,31),'2024数据'!$AS$3:$AS$152,$E$35,'2024数据'!$B$3:$B$152,'2024整理'!$E333)</f>
        <v>1</v>
      </c>
      <c r="K341" s="111">
        <f>COUNTIFS('2024数据'!$H$3:$H$152,"&gt;="&amp;DATE(2024,6,1),'2024数据'!$H$3:$H$152,"&lt;="&amp;DATE(2024,6,30),'2024数据'!$AS$3:$AS$152,$E$35,'2024数据'!$B$3:$B$152,'2024整理'!$E333)</f>
        <v>0</v>
      </c>
      <c r="L341" s="111">
        <f>COUNTIFS('2024数据'!$H$3:$H$152,"&gt;="&amp;DATE(2024,7,1),'2024数据'!$H$3:$H$152,"&lt;="&amp;DATE(2024,7,31),'2024数据'!$AS$3:$AS$152,$E$35,'2024数据'!$B$3:$B$152,'2024整理'!$E333)</f>
        <v>0</v>
      </c>
      <c r="M341" s="111">
        <f>COUNTIFS('2024数据'!$H$3:$H$152,"&gt;="&amp;DATE(2024,8,1),'2024数据'!$H$3:$H$152,"&lt;="&amp;DATE(2024,8,31),'2024数据'!$AS$3:$AS$152,$E$35,'2024数据'!$B$3:$B$152,'2024整理'!$E333)</f>
        <v>0</v>
      </c>
      <c r="N341" s="111">
        <f>COUNTIFS('2024数据'!$H$3:$H$152,"&gt;="&amp;DATE(2024,9,1),'2024数据'!$H$3:$H$152,"&lt;="&amp;DATE(2024,9,30),'2024数据'!$AS$3:$AS$152,$E$35,'2024数据'!$B$3:$B$152,'2024整理'!$E333)</f>
        <v>0</v>
      </c>
      <c r="O341" s="111">
        <f>COUNTIFS('2024数据'!$H$3:$H$152,"&gt;="&amp;DATE(2024,10,1),'2024数据'!$H$3:$H$152,"&lt;="&amp;DATE(2024,10,31),'2024数据'!$AS$3:$AS$152,$E$35,'2024数据'!$B$3:$B$152,'2024整理'!$E333)</f>
        <v>0</v>
      </c>
      <c r="P341" s="111">
        <f>COUNTIFS('2024数据'!$H$3:$H$152,"&gt;="&amp;DATE(2024,11,1),'2024数据'!$H$3:$H$152,"&lt;="&amp;DATE(2024,11,30),'2024数据'!$AS$3:$AS$152,$E$35,'2024数据'!$B$3:$B$152,'2024整理'!$E333)</f>
        <v>0</v>
      </c>
      <c r="Q341" s="111">
        <f>COUNTIFS('2024数据'!$H$3:$H$152,"&gt;="&amp;DATE(2024,12,1),'2024数据'!$H$3:$H$152,"&lt;="&amp;DATE(2024,12,31),'2024数据'!$AS$3:$AS$152,$E$35,'2024数据'!$B$3:$B$152,'2024整理'!$E333)</f>
        <v>0</v>
      </c>
    </row>
    <row r="342" ht="24" customHeight="1" spans="1:17">
      <c r="A342" s="99" t="s">
        <v>345</v>
      </c>
      <c r="B342" s="99" t="s">
        <v>299</v>
      </c>
      <c r="C342" s="99" t="s">
        <v>291</v>
      </c>
      <c r="D342" s="53" t="s">
        <v>303</v>
      </c>
      <c r="E342" s="53" t="s">
        <v>81</v>
      </c>
      <c r="F342" s="111">
        <f>COUNTIFS('2024数据'!$H$3:$H$152,"&gt;="&amp;DATE(2024,1,1),'2024数据'!$H$3:$H$152,"&lt;="&amp;DATE(2024,1,31),'2024数据'!$AS$3:$AS$152,$E$35,'2024数据'!$B$3:$B$152,'2024整理'!$E334)</f>
        <v>1</v>
      </c>
      <c r="G342" s="111">
        <f>COUNTIFS('2024数据'!$H$3:$H$152,"&gt;="&amp;DATE(2024,2,1),'2024数据'!$H$3:$H$152,"&lt;="&amp;DATE(2024,2,29),'2024数据'!$AS$3:$AS$152,$E$35,'2024数据'!$B$3:$B$152,'2024整理'!$E334)</f>
        <v>0</v>
      </c>
      <c r="H342" s="111">
        <f>COUNTIFS('2024数据'!$H$3:$H$152,"&gt;="&amp;DATE(2024,3,1),'2024数据'!$H$3:$H$152,"&lt;="&amp;DATE(2024,3,31),'2024数据'!$AS$3:$AS$152,$E$35,'2024数据'!$B$3:$B$152,'2024整理'!$E334)</f>
        <v>0</v>
      </c>
      <c r="I342" s="111">
        <f>COUNTIFS('2024数据'!$H$3:$H$152,"&gt;="&amp;DATE(2024,4,1),'2024数据'!$H$3:$H$152,"&lt;="&amp;DATE(2024,4,30),'2024数据'!$AS$3:$AS$152,$E$35,'2024数据'!$B$3:$B$152,'2024整理'!$E334)</f>
        <v>0</v>
      </c>
      <c r="J342" s="111">
        <f>COUNTIFS('2024数据'!$H$3:$H$152,"&gt;="&amp;DATE(2024,5,1),'2024数据'!$H$3:$H$152,"&lt;="&amp;DATE(2024,5,31),'2024数据'!$AS$3:$AS$152,$E$35,'2024数据'!$B$3:$B$152,'2024整理'!$E334)</f>
        <v>1</v>
      </c>
      <c r="K342" s="111">
        <f>COUNTIFS('2024数据'!$H$3:$H$152,"&gt;="&amp;DATE(2024,6,1),'2024数据'!$H$3:$H$152,"&lt;="&amp;DATE(2024,6,30),'2024数据'!$AS$3:$AS$152,$E$35,'2024数据'!$B$3:$B$152,'2024整理'!$E334)</f>
        <v>0</v>
      </c>
      <c r="L342" s="111">
        <f>COUNTIFS('2024数据'!$H$3:$H$152,"&gt;="&amp;DATE(2024,7,1),'2024数据'!$H$3:$H$152,"&lt;="&amp;DATE(2024,7,31),'2024数据'!$AS$3:$AS$152,$E$35,'2024数据'!$B$3:$B$152,'2024整理'!$E334)</f>
        <v>0</v>
      </c>
      <c r="M342" s="111">
        <f>COUNTIFS('2024数据'!$H$3:$H$152,"&gt;="&amp;DATE(2024,8,1),'2024数据'!$H$3:$H$152,"&lt;="&amp;DATE(2024,8,31),'2024数据'!$AS$3:$AS$152,$E$35,'2024数据'!$B$3:$B$152,'2024整理'!$E334)</f>
        <v>1</v>
      </c>
      <c r="N342" s="111">
        <f>COUNTIFS('2024数据'!$H$3:$H$152,"&gt;="&amp;DATE(2024,9,1),'2024数据'!$H$3:$H$152,"&lt;="&amp;DATE(2024,9,30),'2024数据'!$AS$3:$AS$152,$E$35,'2024数据'!$B$3:$B$152,'2024整理'!$E334)</f>
        <v>0</v>
      </c>
      <c r="O342" s="111">
        <f>COUNTIFS('2024数据'!$H$3:$H$152,"&gt;="&amp;DATE(2024,10,1),'2024数据'!$H$3:$H$152,"&lt;="&amp;DATE(2024,10,31),'2024数据'!$AS$3:$AS$152,$E$35,'2024数据'!$B$3:$B$152,'2024整理'!$E334)</f>
        <v>0</v>
      </c>
      <c r="P342" s="111">
        <f>COUNTIFS('2024数据'!$H$3:$H$152,"&gt;="&amp;DATE(2024,11,1),'2024数据'!$H$3:$H$152,"&lt;="&amp;DATE(2024,11,30),'2024数据'!$AS$3:$AS$152,$E$35,'2024数据'!$B$3:$B$152,'2024整理'!$E334)</f>
        <v>0</v>
      </c>
      <c r="Q342" s="111">
        <f>COUNTIFS('2024数据'!$H$3:$H$152,"&gt;="&amp;DATE(2024,12,1),'2024数据'!$H$3:$H$152,"&lt;="&amp;DATE(2024,12,31),'2024数据'!$AS$3:$AS$152,$E$35,'2024数据'!$B$3:$B$152,'2024整理'!$E334)</f>
        <v>0</v>
      </c>
    </row>
    <row r="343" ht="24" customHeight="1" spans="1:17">
      <c r="A343" s="99" t="s">
        <v>345</v>
      </c>
      <c r="B343" s="99" t="s">
        <v>299</v>
      </c>
      <c r="C343" s="99" t="s">
        <v>291</v>
      </c>
      <c r="D343" s="53" t="s">
        <v>303</v>
      </c>
      <c r="E343" s="53" t="s">
        <v>96</v>
      </c>
      <c r="F343" s="111">
        <f>COUNTIFS('2024数据'!$H$3:$H$152,"&gt;="&amp;DATE(2024,1,1),'2024数据'!$H$3:$H$152,"&lt;="&amp;DATE(2024,1,31),'2024数据'!$AS$3:$AS$152,$E$35,'2024数据'!$B$3:$B$152,'2024整理'!$E335)</f>
        <v>0</v>
      </c>
      <c r="G343" s="111">
        <f>COUNTIFS('2024数据'!$H$3:$H$152,"&gt;="&amp;DATE(2024,2,1),'2024数据'!$H$3:$H$152,"&lt;="&amp;DATE(2024,2,29),'2024数据'!$AS$3:$AS$152,$E$35,'2024数据'!$B$3:$B$152,'2024整理'!$E335)</f>
        <v>0</v>
      </c>
      <c r="H343" s="111">
        <f>COUNTIFS('2024数据'!$H$3:$H$152,"&gt;="&amp;DATE(2024,3,1),'2024数据'!$H$3:$H$152,"&lt;="&amp;DATE(2024,3,31),'2024数据'!$AS$3:$AS$152,$E$35,'2024数据'!$B$3:$B$152,'2024整理'!$E335)</f>
        <v>0</v>
      </c>
      <c r="I343" s="111">
        <f>COUNTIFS('2024数据'!$H$3:$H$152,"&gt;="&amp;DATE(2024,4,1),'2024数据'!$H$3:$H$152,"&lt;="&amp;DATE(2024,4,30),'2024数据'!$AS$3:$AS$152,$E$35,'2024数据'!$B$3:$B$152,'2024整理'!$E335)</f>
        <v>0</v>
      </c>
      <c r="J343" s="111">
        <f>COUNTIFS('2024数据'!$H$3:$H$152,"&gt;="&amp;DATE(2024,5,1),'2024数据'!$H$3:$H$152,"&lt;="&amp;DATE(2024,5,31),'2024数据'!$AS$3:$AS$152,$E$35,'2024数据'!$B$3:$B$152,'2024整理'!$E335)</f>
        <v>0</v>
      </c>
      <c r="K343" s="111">
        <f>COUNTIFS('2024数据'!$H$3:$H$152,"&gt;="&amp;DATE(2024,6,1),'2024数据'!$H$3:$H$152,"&lt;="&amp;DATE(2024,6,30),'2024数据'!$AS$3:$AS$152,$E$35,'2024数据'!$B$3:$B$152,'2024整理'!$E335)</f>
        <v>0</v>
      </c>
      <c r="L343" s="111">
        <f>COUNTIFS('2024数据'!$H$3:$H$152,"&gt;="&amp;DATE(2024,7,1),'2024数据'!$H$3:$H$152,"&lt;="&amp;DATE(2024,7,31),'2024数据'!$AS$3:$AS$152,$E$35,'2024数据'!$B$3:$B$152,'2024整理'!$E335)</f>
        <v>1</v>
      </c>
      <c r="M343" s="111">
        <f>COUNTIFS('2024数据'!$H$3:$H$152,"&gt;="&amp;DATE(2024,8,1),'2024数据'!$H$3:$H$152,"&lt;="&amp;DATE(2024,8,31),'2024数据'!$AS$3:$AS$152,$E$35,'2024数据'!$B$3:$B$152,'2024整理'!$E335)</f>
        <v>0</v>
      </c>
      <c r="N343" s="111">
        <f>COUNTIFS('2024数据'!$H$3:$H$152,"&gt;="&amp;DATE(2024,9,1),'2024数据'!$H$3:$H$152,"&lt;="&amp;DATE(2024,9,30),'2024数据'!$AS$3:$AS$152,$E$35,'2024数据'!$B$3:$B$152,'2024整理'!$E335)</f>
        <v>0</v>
      </c>
      <c r="O343" s="111">
        <f>COUNTIFS('2024数据'!$H$3:$H$152,"&gt;="&amp;DATE(2024,10,1),'2024数据'!$H$3:$H$152,"&lt;="&amp;DATE(2024,10,31),'2024数据'!$AS$3:$AS$152,$E$35,'2024数据'!$B$3:$B$152,'2024整理'!$E335)</f>
        <v>0</v>
      </c>
      <c r="P343" s="111">
        <f>COUNTIFS('2024数据'!$H$3:$H$152,"&gt;="&amp;DATE(2024,11,1),'2024数据'!$H$3:$H$152,"&lt;="&amp;DATE(2024,11,30),'2024数据'!$AS$3:$AS$152,$E$35,'2024数据'!$B$3:$B$152,'2024整理'!$E335)</f>
        <v>0</v>
      </c>
      <c r="Q343" s="111">
        <f>COUNTIFS('2024数据'!$H$3:$H$152,"&gt;="&amp;DATE(2024,12,1),'2024数据'!$H$3:$H$152,"&lt;="&amp;DATE(2024,12,31),'2024数据'!$AS$3:$AS$152,$E$35,'2024数据'!$B$3:$B$152,'2024整理'!$E335)</f>
        <v>0</v>
      </c>
    </row>
    <row r="344" ht="24" customHeight="1" spans="1:17">
      <c r="A344" s="99" t="s">
        <v>345</v>
      </c>
      <c r="B344" s="99" t="s">
        <v>299</v>
      </c>
      <c r="C344" s="99" t="s">
        <v>291</v>
      </c>
      <c r="D344" s="53" t="s">
        <v>303</v>
      </c>
      <c r="E344" s="53" t="s">
        <v>160</v>
      </c>
      <c r="F344" s="111">
        <f>COUNTIFS('2024数据'!$H$3:$H$152,"&gt;="&amp;DATE(2024,1,1),'2024数据'!$H$3:$H$152,"&lt;="&amp;DATE(2024,1,31),'2024数据'!$AS$3:$AS$152,$E$35,'2024数据'!$B$3:$B$152,'2024整理'!$E336)</f>
        <v>0</v>
      </c>
      <c r="G344" s="111">
        <f>COUNTIFS('2024数据'!$H$3:$H$152,"&gt;="&amp;DATE(2024,2,1),'2024数据'!$H$3:$H$152,"&lt;="&amp;DATE(2024,2,29),'2024数据'!$AS$3:$AS$152,$E$35,'2024数据'!$B$3:$B$152,'2024整理'!$E336)</f>
        <v>0</v>
      </c>
      <c r="H344" s="111">
        <f>COUNTIFS('2024数据'!$H$3:$H$152,"&gt;="&amp;DATE(2024,3,1),'2024数据'!$H$3:$H$152,"&lt;="&amp;DATE(2024,3,31),'2024数据'!$AS$3:$AS$152,$E$35,'2024数据'!$B$3:$B$152,'2024整理'!$E336)</f>
        <v>0</v>
      </c>
      <c r="I344" s="111">
        <f>COUNTIFS('2024数据'!$H$3:$H$152,"&gt;="&amp;DATE(2024,4,1),'2024数据'!$H$3:$H$152,"&lt;="&amp;DATE(2024,4,30),'2024数据'!$AS$3:$AS$152,$E$35,'2024数据'!$B$3:$B$152,'2024整理'!$E336)</f>
        <v>1</v>
      </c>
      <c r="J344" s="111">
        <f>COUNTIFS('2024数据'!$H$3:$H$152,"&gt;="&amp;DATE(2024,5,1),'2024数据'!$H$3:$H$152,"&lt;="&amp;DATE(2024,5,31),'2024数据'!$AS$3:$AS$152,$E$35,'2024数据'!$B$3:$B$152,'2024整理'!$E336)</f>
        <v>0</v>
      </c>
      <c r="K344" s="111">
        <f>COUNTIFS('2024数据'!$H$3:$H$152,"&gt;="&amp;DATE(2024,6,1),'2024数据'!$H$3:$H$152,"&lt;="&amp;DATE(2024,6,30),'2024数据'!$AS$3:$AS$152,$E$35,'2024数据'!$B$3:$B$152,'2024整理'!$E336)</f>
        <v>0</v>
      </c>
      <c r="L344" s="111">
        <f>COUNTIFS('2024数据'!$H$3:$H$152,"&gt;="&amp;DATE(2024,7,1),'2024数据'!$H$3:$H$152,"&lt;="&amp;DATE(2024,7,31),'2024数据'!$AS$3:$AS$152,$E$35,'2024数据'!$B$3:$B$152,'2024整理'!$E336)</f>
        <v>0</v>
      </c>
      <c r="M344" s="111">
        <f>COUNTIFS('2024数据'!$H$3:$H$152,"&gt;="&amp;DATE(2024,8,1),'2024数据'!$H$3:$H$152,"&lt;="&amp;DATE(2024,8,31),'2024数据'!$AS$3:$AS$152,$E$35,'2024数据'!$B$3:$B$152,'2024整理'!$E336)</f>
        <v>0</v>
      </c>
      <c r="N344" s="111">
        <f>COUNTIFS('2024数据'!$H$3:$H$152,"&gt;="&amp;DATE(2024,9,1),'2024数据'!$H$3:$H$152,"&lt;="&amp;DATE(2024,9,30),'2024数据'!$AS$3:$AS$152,$E$35,'2024数据'!$B$3:$B$152,'2024整理'!$E336)</f>
        <v>0</v>
      </c>
      <c r="O344" s="111">
        <f>COUNTIFS('2024数据'!$H$3:$H$152,"&gt;="&amp;DATE(2024,10,1),'2024数据'!$H$3:$H$152,"&lt;="&amp;DATE(2024,10,31),'2024数据'!$AS$3:$AS$152,$E$35,'2024数据'!$B$3:$B$152,'2024整理'!$E336)</f>
        <v>0</v>
      </c>
      <c r="P344" s="111">
        <f>COUNTIFS('2024数据'!$H$3:$H$152,"&gt;="&amp;DATE(2024,11,1),'2024数据'!$H$3:$H$152,"&lt;="&amp;DATE(2024,11,30),'2024数据'!$AS$3:$AS$152,$E$35,'2024数据'!$B$3:$B$152,'2024整理'!$E336)</f>
        <v>0</v>
      </c>
      <c r="Q344" s="111">
        <f>COUNTIFS('2024数据'!$H$3:$H$152,"&gt;="&amp;DATE(2024,12,1),'2024数据'!$H$3:$H$152,"&lt;="&amp;DATE(2024,12,31),'2024数据'!$AS$3:$AS$152,$E$35,'2024数据'!$B$3:$B$152,'2024整理'!$E336)</f>
        <v>0</v>
      </c>
    </row>
    <row r="345" ht="24" customHeight="1" spans="1:17">
      <c r="A345" s="99" t="s">
        <v>345</v>
      </c>
      <c r="B345" s="99" t="s">
        <v>299</v>
      </c>
      <c r="C345" s="99" t="s">
        <v>291</v>
      </c>
      <c r="D345" s="53" t="s">
        <v>304</v>
      </c>
      <c r="E345" s="53" t="s">
        <v>93</v>
      </c>
      <c r="F345" s="111">
        <f>COUNTIFS('2024数据'!$H$3:$H$152,"&gt;="&amp;DATE(2024,1,1),'2024数据'!$H$3:$H$152,"&lt;="&amp;DATE(2024,1,31),'2024数据'!$AS$3:$AS$152,$E$36,'2024数据'!$B$3:$B$152,'2024整理'!$E332)</f>
        <v>0</v>
      </c>
      <c r="G345" s="111">
        <f>COUNTIFS('2024数据'!$H$3:$H$152,"&gt;="&amp;DATE(2024,2,1),'2024数据'!$H$3:$H$152,"&lt;="&amp;DATE(2024,2,29),'2024数据'!$AS$3:$AS$152,$E$36,'2024数据'!$B$3:$B$152,'2024整理'!$E332)</f>
        <v>1</v>
      </c>
      <c r="H345" s="111">
        <f>COUNTIFS('2024数据'!$H$3:$H$152,"&gt;="&amp;DATE(2024,3,1),'2024数据'!$H$3:$H$152,"&lt;="&amp;DATE(2024,3,31),'2024数据'!$AS$3:$AS$152,$E$36,'2024数据'!$B$3:$B$152,'2024整理'!$E332)</f>
        <v>0</v>
      </c>
      <c r="I345" s="111">
        <f>COUNTIFS('2024数据'!$H$3:$H$152,"&gt;="&amp;DATE(2024,4,1),'2024数据'!$H$3:$H$152,"&lt;="&amp;DATE(2024,4,30),'2024数据'!$AS$3:$AS$152,$E$36,'2024数据'!$B$3:$B$152,'2024整理'!$E332)</f>
        <v>0</v>
      </c>
      <c r="J345" s="111">
        <f>COUNTIFS('2024数据'!$H$3:$H$152,"&gt;="&amp;DATE(2024,5,1),'2024数据'!$H$3:$H$152,"&lt;="&amp;DATE(2024,5,31),'2024数据'!$AS$3:$AS$152,$E$36,'2024数据'!$B$3:$B$152,'2024整理'!$E332)</f>
        <v>0</v>
      </c>
      <c r="K345" s="111">
        <f>COUNTIFS('2024数据'!$H$3:$H$152,"&gt;="&amp;DATE(2024,6,1),'2024数据'!$H$3:$H$152,"&lt;="&amp;DATE(2024,6,30),'2024数据'!$AS$3:$AS$152,$E$36,'2024数据'!$B$3:$B$152,'2024整理'!$E332)</f>
        <v>0</v>
      </c>
      <c r="L345" s="111">
        <f>COUNTIFS('2024数据'!$H$3:$H$152,"&gt;="&amp;DATE(2024,7,1),'2024数据'!$H$3:$H$152,"&lt;="&amp;DATE(2024,7,31),'2024数据'!$AS$3:$AS$152,$E$36,'2024数据'!$B$3:$B$152,'2024整理'!$E332)</f>
        <v>0</v>
      </c>
      <c r="M345" s="111">
        <f>COUNTIFS('2024数据'!$H$3:$H$152,"&gt;="&amp;DATE(2024,8,1),'2024数据'!$H$3:$H$152,"&lt;="&amp;DATE(2024,8,31),'2024数据'!$AS$3:$AS$152,$E$36,'2024数据'!$B$3:$B$152,'2024整理'!$E332)</f>
        <v>0</v>
      </c>
      <c r="N345" s="111">
        <f>COUNTIFS('2024数据'!$H$3:$H$152,"&gt;="&amp;DATE(2024,9,1),'2024数据'!$H$3:$H$152,"&lt;="&amp;DATE(2024,9,30),'2024数据'!$AS$3:$AS$152,$E$36,'2024数据'!$B$3:$B$152,'2024整理'!$E332)</f>
        <v>0</v>
      </c>
      <c r="O345" s="111">
        <f>COUNTIFS('2024数据'!$H$3:$H$152,"&gt;="&amp;DATE(2024,10,1),'2024数据'!$H$3:$H$152,"&lt;="&amp;DATE(2024,10,31),'2024数据'!$AS$3:$AS$152,$E$36,'2024数据'!$B$3:$B$152,'2024整理'!$E332)</f>
        <v>1</v>
      </c>
      <c r="P345" s="111">
        <f>COUNTIFS('2024数据'!$H$3:$H$152,"&gt;="&amp;DATE(2024,11,1),'2024数据'!$H$3:$H$152,"&lt;="&amp;DATE(2024,11,30),'2024数据'!$AS$3:$AS$152,$E$36,'2024数据'!$B$3:$B$152,'2024整理'!$E332)</f>
        <v>0</v>
      </c>
      <c r="Q345" s="111">
        <f>COUNTIFS('2024数据'!$H$3:$H$152,"&gt;="&amp;DATE(2024,12,1),'2024数据'!$H$3:$H$152,"&lt;="&amp;DATE(2024,12,31),'2024数据'!$AS$3:$AS$152,$E$36,'2024数据'!$B$3:$B$152,'2024整理'!$E332)</f>
        <v>1</v>
      </c>
    </row>
    <row r="346" ht="24" customHeight="1" spans="1:17">
      <c r="A346" s="99" t="s">
        <v>345</v>
      </c>
      <c r="B346" s="99" t="s">
        <v>299</v>
      </c>
      <c r="C346" s="99" t="s">
        <v>291</v>
      </c>
      <c r="D346" s="53" t="s">
        <v>304</v>
      </c>
      <c r="E346" s="53" t="s">
        <v>85</v>
      </c>
      <c r="F346" s="111">
        <f>COUNTIFS('2024数据'!$H$3:$H$152,"&gt;="&amp;DATE(2024,1,1),'2024数据'!$H$3:$H$152,"&lt;="&amp;DATE(2024,1,31),'2024数据'!$AS$3:$AS$152,$E$36,'2024数据'!$B$3:$B$152,'2024整理'!$E333)</f>
        <v>0</v>
      </c>
      <c r="G346" s="111">
        <f>COUNTIFS('2024数据'!$H$3:$H$152,"&gt;="&amp;DATE(2024,2,1),'2024数据'!$H$3:$H$152,"&lt;="&amp;DATE(2024,2,29),'2024数据'!$AS$3:$AS$152,$E$36,'2024数据'!$B$3:$B$152,'2024整理'!$E333)</f>
        <v>0</v>
      </c>
      <c r="H346" s="111">
        <f>COUNTIFS('2024数据'!$H$3:$H$152,"&gt;="&amp;DATE(2024,3,1),'2024数据'!$H$3:$H$152,"&lt;="&amp;DATE(2024,3,31),'2024数据'!$AS$3:$AS$152,$E$36,'2024数据'!$B$3:$B$152,'2024整理'!$E333)</f>
        <v>0</v>
      </c>
      <c r="I346" s="111">
        <f>COUNTIFS('2024数据'!$H$3:$H$152,"&gt;="&amp;DATE(2024,4,1),'2024数据'!$H$3:$H$152,"&lt;="&amp;DATE(2024,4,30),'2024数据'!$AS$3:$AS$152,$E$36,'2024数据'!$B$3:$B$152,'2024整理'!$E333)</f>
        <v>0</v>
      </c>
      <c r="J346" s="111">
        <f>COUNTIFS('2024数据'!$H$3:$H$152,"&gt;="&amp;DATE(2024,5,1),'2024数据'!$H$3:$H$152,"&lt;="&amp;DATE(2024,5,31),'2024数据'!$AS$3:$AS$152,$E$36,'2024数据'!$B$3:$B$152,'2024整理'!$E333)</f>
        <v>0</v>
      </c>
      <c r="K346" s="111">
        <f>COUNTIFS('2024数据'!$H$3:$H$152,"&gt;="&amp;DATE(2024,6,1),'2024数据'!$H$3:$H$152,"&lt;="&amp;DATE(2024,6,30),'2024数据'!$AS$3:$AS$152,$E$36,'2024数据'!$B$3:$B$152,'2024整理'!$E333)</f>
        <v>0</v>
      </c>
      <c r="L346" s="111">
        <f>COUNTIFS('2024数据'!$H$3:$H$152,"&gt;="&amp;DATE(2024,7,1),'2024数据'!$H$3:$H$152,"&lt;="&amp;DATE(2024,7,31),'2024数据'!$AS$3:$AS$152,$E$36,'2024数据'!$B$3:$B$152,'2024整理'!$E333)</f>
        <v>0</v>
      </c>
      <c r="M346" s="111">
        <f>COUNTIFS('2024数据'!$H$3:$H$152,"&gt;="&amp;DATE(2024,8,1),'2024数据'!$H$3:$H$152,"&lt;="&amp;DATE(2024,8,31),'2024数据'!$AS$3:$AS$152,$E$36,'2024数据'!$B$3:$B$152,'2024整理'!$E333)</f>
        <v>0</v>
      </c>
      <c r="N346" s="111">
        <f>COUNTIFS('2024数据'!$H$3:$H$152,"&gt;="&amp;DATE(2024,9,1),'2024数据'!$H$3:$H$152,"&lt;="&amp;DATE(2024,9,30),'2024数据'!$AS$3:$AS$152,$E$36,'2024数据'!$B$3:$B$152,'2024整理'!$E333)</f>
        <v>0</v>
      </c>
      <c r="O346" s="111">
        <f>COUNTIFS('2024数据'!$H$3:$H$152,"&gt;="&amp;DATE(2024,10,1),'2024数据'!$H$3:$H$152,"&lt;="&amp;DATE(2024,10,31),'2024数据'!$AS$3:$AS$152,$E$36,'2024数据'!$B$3:$B$152,'2024整理'!$E333)</f>
        <v>0</v>
      </c>
      <c r="P346" s="111">
        <f>COUNTIFS('2024数据'!$H$3:$H$152,"&gt;="&amp;DATE(2024,11,1),'2024数据'!$H$3:$H$152,"&lt;="&amp;DATE(2024,11,30),'2024数据'!$AS$3:$AS$152,$E$36,'2024数据'!$B$3:$B$152,'2024整理'!$E333)</f>
        <v>0</v>
      </c>
      <c r="Q346" s="111">
        <f>COUNTIFS('2024数据'!$H$3:$H$152,"&gt;="&amp;DATE(2024,12,1),'2024数据'!$H$3:$H$152,"&lt;="&amp;DATE(2024,12,31),'2024数据'!$AS$3:$AS$152,$E$36,'2024数据'!$B$3:$B$152,'2024整理'!$E333)</f>
        <v>0</v>
      </c>
    </row>
    <row r="347" ht="24" customHeight="1" spans="1:17">
      <c r="A347" s="99" t="s">
        <v>345</v>
      </c>
      <c r="B347" s="99" t="s">
        <v>299</v>
      </c>
      <c r="C347" s="99" t="s">
        <v>291</v>
      </c>
      <c r="D347" s="53" t="s">
        <v>304</v>
      </c>
      <c r="E347" s="53" t="s">
        <v>81</v>
      </c>
      <c r="F347" s="111">
        <f>COUNTIFS('2024数据'!$H$3:$H$152,"&gt;="&amp;DATE(2024,1,1),'2024数据'!$H$3:$H$152,"&lt;="&amp;DATE(2024,1,31),'2024数据'!$AS$3:$AS$152,$E$36,'2024数据'!$B$3:$B$152,'2024整理'!$E334)</f>
        <v>0</v>
      </c>
      <c r="G347" s="111">
        <f>COUNTIFS('2024数据'!$H$3:$H$152,"&gt;="&amp;DATE(2024,2,1),'2024数据'!$H$3:$H$152,"&lt;="&amp;DATE(2024,2,29),'2024数据'!$AS$3:$AS$152,$E$36,'2024数据'!$B$3:$B$152,'2024整理'!$E334)</f>
        <v>0</v>
      </c>
      <c r="H347" s="111">
        <f>COUNTIFS('2024数据'!$H$3:$H$152,"&gt;="&amp;DATE(2024,3,1),'2024数据'!$H$3:$H$152,"&lt;="&amp;DATE(2024,3,31),'2024数据'!$AS$3:$AS$152,$E$36,'2024数据'!$B$3:$B$152,'2024整理'!$E334)</f>
        <v>0</v>
      </c>
      <c r="I347" s="111">
        <f>COUNTIFS('2024数据'!$H$3:$H$152,"&gt;="&amp;DATE(2024,4,1),'2024数据'!$H$3:$H$152,"&lt;="&amp;DATE(2024,4,30),'2024数据'!$AS$3:$AS$152,$E$36,'2024数据'!$B$3:$B$152,'2024整理'!$E334)</f>
        <v>0</v>
      </c>
      <c r="J347" s="111">
        <f>COUNTIFS('2024数据'!$H$3:$H$152,"&gt;="&amp;DATE(2024,5,1),'2024数据'!$H$3:$H$152,"&lt;="&amp;DATE(2024,5,31),'2024数据'!$AS$3:$AS$152,$E$36,'2024数据'!$B$3:$B$152,'2024整理'!$E334)</f>
        <v>0</v>
      </c>
      <c r="K347" s="111">
        <f>COUNTIFS('2024数据'!$H$3:$H$152,"&gt;="&amp;DATE(2024,6,1),'2024数据'!$H$3:$H$152,"&lt;="&amp;DATE(2024,6,30),'2024数据'!$AS$3:$AS$152,$E$36,'2024数据'!$B$3:$B$152,'2024整理'!$E334)</f>
        <v>0</v>
      </c>
      <c r="L347" s="111">
        <f>COUNTIFS('2024数据'!$H$3:$H$152,"&gt;="&amp;DATE(2024,7,1),'2024数据'!$H$3:$H$152,"&lt;="&amp;DATE(2024,7,31),'2024数据'!$AS$3:$AS$152,$E$36,'2024数据'!$B$3:$B$152,'2024整理'!$E334)</f>
        <v>0</v>
      </c>
      <c r="M347" s="111">
        <f>COUNTIFS('2024数据'!$H$3:$H$152,"&gt;="&amp;DATE(2024,8,1),'2024数据'!$H$3:$H$152,"&lt;="&amp;DATE(2024,8,31),'2024数据'!$AS$3:$AS$152,$E$36,'2024数据'!$B$3:$B$152,'2024整理'!$E334)</f>
        <v>0</v>
      </c>
      <c r="N347" s="111">
        <f>COUNTIFS('2024数据'!$H$3:$H$152,"&gt;="&amp;DATE(2024,9,1),'2024数据'!$H$3:$H$152,"&lt;="&amp;DATE(2024,9,30),'2024数据'!$AS$3:$AS$152,$E$36,'2024数据'!$B$3:$B$152,'2024整理'!$E334)</f>
        <v>0</v>
      </c>
      <c r="O347" s="111">
        <f>COUNTIFS('2024数据'!$H$3:$H$152,"&gt;="&amp;DATE(2024,10,1),'2024数据'!$H$3:$H$152,"&lt;="&amp;DATE(2024,10,31),'2024数据'!$AS$3:$AS$152,$E$36,'2024数据'!$B$3:$B$152,'2024整理'!$E334)</f>
        <v>0</v>
      </c>
      <c r="P347" s="111">
        <f>COUNTIFS('2024数据'!$H$3:$H$152,"&gt;="&amp;DATE(2024,11,1),'2024数据'!$H$3:$H$152,"&lt;="&amp;DATE(2024,11,30),'2024数据'!$AS$3:$AS$152,$E$36,'2024数据'!$B$3:$B$152,'2024整理'!$E334)</f>
        <v>0</v>
      </c>
      <c r="Q347" s="111">
        <f>COUNTIFS('2024数据'!$H$3:$H$152,"&gt;="&amp;DATE(2024,12,1),'2024数据'!$H$3:$H$152,"&lt;="&amp;DATE(2024,12,31),'2024数据'!$AS$3:$AS$152,$E$36,'2024数据'!$B$3:$B$152,'2024整理'!$E334)</f>
        <v>0</v>
      </c>
    </row>
    <row r="348" ht="24" customHeight="1" spans="1:17">
      <c r="A348" s="99" t="s">
        <v>345</v>
      </c>
      <c r="B348" s="99" t="s">
        <v>299</v>
      </c>
      <c r="C348" s="99" t="s">
        <v>291</v>
      </c>
      <c r="D348" s="53" t="s">
        <v>304</v>
      </c>
      <c r="E348" s="53" t="s">
        <v>96</v>
      </c>
      <c r="F348" s="111">
        <f>COUNTIFS('2024数据'!$H$3:$H$152,"&gt;="&amp;DATE(2024,1,1),'2024数据'!$H$3:$H$152,"&lt;="&amp;DATE(2024,1,31),'2024数据'!$AS$3:$AS$152,$E$36,'2024数据'!$B$3:$B$152,'2024整理'!$E335)</f>
        <v>0</v>
      </c>
      <c r="G348" s="111">
        <f>COUNTIFS('2024数据'!$H$3:$H$152,"&gt;="&amp;DATE(2024,2,1),'2024数据'!$H$3:$H$152,"&lt;="&amp;DATE(2024,2,29),'2024数据'!$AS$3:$AS$152,$E$36,'2024数据'!$B$3:$B$152,'2024整理'!$E335)</f>
        <v>0</v>
      </c>
      <c r="H348" s="111">
        <f>COUNTIFS('2024数据'!$H$3:$H$152,"&gt;="&amp;DATE(2024,3,1),'2024数据'!$H$3:$H$152,"&lt;="&amp;DATE(2024,3,31),'2024数据'!$AS$3:$AS$152,$E$36,'2024数据'!$B$3:$B$152,'2024整理'!$E335)</f>
        <v>0</v>
      </c>
      <c r="I348" s="111">
        <f>COUNTIFS('2024数据'!$H$3:$H$152,"&gt;="&amp;DATE(2024,4,1),'2024数据'!$H$3:$H$152,"&lt;="&amp;DATE(2024,4,30),'2024数据'!$AS$3:$AS$152,$E$36,'2024数据'!$B$3:$B$152,'2024整理'!$E335)</f>
        <v>0</v>
      </c>
      <c r="J348" s="111">
        <f>COUNTIFS('2024数据'!$H$3:$H$152,"&gt;="&amp;DATE(2024,5,1),'2024数据'!$H$3:$H$152,"&lt;="&amp;DATE(2024,5,31),'2024数据'!$AS$3:$AS$152,$E$36,'2024数据'!$B$3:$B$152,'2024整理'!$E335)</f>
        <v>1</v>
      </c>
      <c r="K348" s="111">
        <f>COUNTIFS('2024数据'!$H$3:$H$152,"&gt;="&amp;DATE(2024,6,1),'2024数据'!$H$3:$H$152,"&lt;="&amp;DATE(2024,6,30),'2024数据'!$AS$3:$AS$152,$E$36,'2024数据'!$B$3:$B$152,'2024整理'!$E335)</f>
        <v>0</v>
      </c>
      <c r="L348" s="111">
        <f>COUNTIFS('2024数据'!$H$3:$H$152,"&gt;="&amp;DATE(2024,7,1),'2024数据'!$H$3:$H$152,"&lt;="&amp;DATE(2024,7,31),'2024数据'!$AS$3:$AS$152,$E$36,'2024数据'!$B$3:$B$152,'2024整理'!$E335)</f>
        <v>0</v>
      </c>
      <c r="M348" s="111">
        <f>COUNTIFS('2024数据'!$H$3:$H$152,"&gt;="&amp;DATE(2024,8,1),'2024数据'!$H$3:$H$152,"&lt;="&amp;DATE(2024,8,31),'2024数据'!$AS$3:$AS$152,$E$36,'2024数据'!$B$3:$B$152,'2024整理'!$E335)</f>
        <v>0</v>
      </c>
      <c r="N348" s="111">
        <f>COUNTIFS('2024数据'!$H$3:$H$152,"&gt;="&amp;DATE(2024,9,1),'2024数据'!$H$3:$H$152,"&lt;="&amp;DATE(2024,9,30),'2024数据'!$AS$3:$AS$152,$E$36,'2024数据'!$B$3:$B$152,'2024整理'!$E335)</f>
        <v>0</v>
      </c>
      <c r="O348" s="111">
        <f>COUNTIFS('2024数据'!$H$3:$H$152,"&gt;="&amp;DATE(2024,10,1),'2024数据'!$H$3:$H$152,"&lt;="&amp;DATE(2024,10,31),'2024数据'!$AS$3:$AS$152,$E$36,'2024数据'!$B$3:$B$152,'2024整理'!$E335)</f>
        <v>0</v>
      </c>
      <c r="P348" s="111">
        <f>COUNTIFS('2024数据'!$H$3:$H$152,"&gt;="&amp;DATE(2024,11,1),'2024数据'!$H$3:$H$152,"&lt;="&amp;DATE(2024,11,30),'2024数据'!$AS$3:$AS$152,$E$36,'2024数据'!$B$3:$B$152,'2024整理'!$E335)</f>
        <v>0</v>
      </c>
      <c r="Q348" s="111">
        <f>COUNTIFS('2024数据'!$H$3:$H$152,"&gt;="&amp;DATE(2024,12,1),'2024数据'!$H$3:$H$152,"&lt;="&amp;DATE(2024,12,31),'2024数据'!$AS$3:$AS$152,$E$36,'2024数据'!$B$3:$B$152,'2024整理'!$E335)</f>
        <v>0</v>
      </c>
    </row>
    <row r="349" ht="24" customHeight="1" spans="1:17">
      <c r="A349" s="99" t="s">
        <v>345</v>
      </c>
      <c r="B349" s="99" t="s">
        <v>299</v>
      </c>
      <c r="C349" s="99" t="s">
        <v>291</v>
      </c>
      <c r="D349" s="53" t="s">
        <v>304</v>
      </c>
      <c r="E349" s="53" t="s">
        <v>160</v>
      </c>
      <c r="F349" s="111">
        <f>COUNTIFS('2024数据'!$H$3:$H$152,"&gt;="&amp;DATE(2024,1,1),'2024数据'!$H$3:$H$152,"&lt;="&amp;DATE(2024,1,31),'2024数据'!$AS$3:$AS$152,$E$36,'2024数据'!$B$3:$B$152,'2024整理'!$E336)</f>
        <v>0</v>
      </c>
      <c r="G349" s="111">
        <f>COUNTIFS('2024数据'!$H$3:$H$152,"&gt;="&amp;DATE(2024,2,1),'2024数据'!$H$3:$H$152,"&lt;="&amp;DATE(2024,2,29),'2024数据'!$AS$3:$AS$152,$E$36,'2024数据'!$B$3:$B$152,'2024整理'!$E336)</f>
        <v>0</v>
      </c>
      <c r="H349" s="111">
        <f>COUNTIFS('2024数据'!$H$3:$H$152,"&gt;="&amp;DATE(2024,3,1),'2024数据'!$H$3:$H$152,"&lt;="&amp;DATE(2024,3,31),'2024数据'!$AS$3:$AS$152,$E$36,'2024数据'!$B$3:$B$152,'2024整理'!$E336)</f>
        <v>0</v>
      </c>
      <c r="I349" s="111">
        <f>COUNTIFS('2024数据'!$H$3:$H$152,"&gt;="&amp;DATE(2024,4,1),'2024数据'!$H$3:$H$152,"&lt;="&amp;DATE(2024,4,30),'2024数据'!$AS$3:$AS$152,$E$36,'2024数据'!$B$3:$B$152,'2024整理'!$E336)</f>
        <v>0</v>
      </c>
      <c r="J349" s="111">
        <f>COUNTIFS('2024数据'!$H$3:$H$152,"&gt;="&amp;DATE(2024,5,1),'2024数据'!$H$3:$H$152,"&lt;="&amp;DATE(2024,5,31),'2024数据'!$AS$3:$AS$152,$E$36,'2024数据'!$B$3:$B$152,'2024整理'!$E336)</f>
        <v>0</v>
      </c>
      <c r="K349" s="111">
        <f>COUNTIFS('2024数据'!$H$3:$H$152,"&gt;="&amp;DATE(2024,6,1),'2024数据'!$H$3:$H$152,"&lt;="&amp;DATE(2024,6,30),'2024数据'!$AS$3:$AS$152,$E$36,'2024数据'!$B$3:$B$152,'2024整理'!$E336)</f>
        <v>0</v>
      </c>
      <c r="L349" s="111">
        <f>COUNTIFS('2024数据'!$H$3:$H$152,"&gt;="&amp;DATE(2024,7,1),'2024数据'!$H$3:$H$152,"&lt;="&amp;DATE(2024,7,31),'2024数据'!$AS$3:$AS$152,$E$36,'2024数据'!$B$3:$B$152,'2024整理'!$E336)</f>
        <v>0</v>
      </c>
      <c r="M349" s="111">
        <f>COUNTIFS('2024数据'!$H$3:$H$152,"&gt;="&amp;DATE(2024,8,1),'2024数据'!$H$3:$H$152,"&lt;="&amp;DATE(2024,8,31),'2024数据'!$AS$3:$AS$152,$E$36,'2024数据'!$B$3:$B$152,'2024整理'!$E336)</f>
        <v>0</v>
      </c>
      <c r="N349" s="111">
        <f>COUNTIFS('2024数据'!$H$3:$H$152,"&gt;="&amp;DATE(2024,9,1),'2024数据'!$H$3:$H$152,"&lt;="&amp;DATE(2024,9,30),'2024数据'!$AS$3:$AS$152,$E$36,'2024数据'!$B$3:$B$152,'2024整理'!$E336)</f>
        <v>0</v>
      </c>
      <c r="O349" s="111">
        <f>COUNTIFS('2024数据'!$H$3:$H$152,"&gt;="&amp;DATE(2024,10,1),'2024数据'!$H$3:$H$152,"&lt;="&amp;DATE(2024,10,31),'2024数据'!$AS$3:$AS$152,$E$36,'2024数据'!$B$3:$B$152,'2024整理'!$E336)</f>
        <v>0</v>
      </c>
      <c r="P349" s="111">
        <f>COUNTIFS('2024数据'!$H$3:$H$152,"&gt;="&amp;DATE(2024,11,1),'2024数据'!$H$3:$H$152,"&lt;="&amp;DATE(2024,11,30),'2024数据'!$AS$3:$AS$152,$E$36,'2024数据'!$B$3:$B$152,'2024整理'!$E336)</f>
        <v>0</v>
      </c>
      <c r="Q349" s="111">
        <f>COUNTIFS('2024数据'!$H$3:$H$152,"&gt;="&amp;DATE(2024,12,1),'2024数据'!$H$3:$H$152,"&lt;="&amp;DATE(2024,12,31),'2024数据'!$AS$3:$AS$152,$E$36,'2024数据'!$B$3:$B$152,'2024整理'!$E336)</f>
        <v>0</v>
      </c>
    </row>
    <row r="350" ht="24" customHeight="1" spans="1:17">
      <c r="A350" s="99" t="s">
        <v>345</v>
      </c>
      <c r="B350" s="99" t="s">
        <v>299</v>
      </c>
      <c r="C350" s="99" t="s">
        <v>291</v>
      </c>
      <c r="D350" s="53" t="s">
        <v>305</v>
      </c>
      <c r="E350" s="53" t="s">
        <v>93</v>
      </c>
      <c r="F350" s="111">
        <f>COUNTIFS('2024数据'!$H$3:$H$152,"&gt;="&amp;DATE(2024,1,1),'2024数据'!$H$3:$H$152,"&lt;="&amp;DATE(2024,1,31),'2024数据'!$AS$3:$AS$152,$E$37,'2024数据'!$B$3:$B$152,'2024整理'!$E332)</f>
        <v>0</v>
      </c>
      <c r="G350" s="111">
        <f>COUNTIFS('2024数据'!$H$3:$H$152,"&gt;="&amp;DATE(2024,2,1),'2024数据'!$H$3:$H$152,"&lt;="&amp;DATE(2024,2,29),'2024数据'!$AS$3:$AS$152,$E$37,'2024数据'!$B$3:$B$152,'2024整理'!$E332)</f>
        <v>0</v>
      </c>
      <c r="H350" s="111">
        <f>COUNTIFS('2024数据'!$H$3:$H$152,"&gt;="&amp;DATE(2024,3,1),'2024数据'!$H$3:$H$152,"&lt;="&amp;DATE(2024,3,31),'2024数据'!$AS$3:$AS$152,$E$37,'2024数据'!$B$3:$B$152,'2024整理'!$E332)</f>
        <v>0</v>
      </c>
      <c r="I350" s="111">
        <f>COUNTIFS('2024数据'!$H$3:$H$152,"&gt;="&amp;DATE(2024,4,1),'2024数据'!$H$3:$H$152,"&lt;="&amp;DATE(2024,4,30),'2024数据'!$AS$3:$AS$152,$E$37,'2024数据'!$B$3:$B$152,'2024整理'!$E332)</f>
        <v>0</v>
      </c>
      <c r="J350" s="111">
        <f>COUNTIFS('2024数据'!$H$3:$H$152,"&gt;="&amp;DATE(2024,5,1),'2024数据'!$H$3:$H$152,"&lt;="&amp;DATE(2024,5,31),'2024数据'!$AS$3:$AS$152,$E$37,'2024数据'!$B$3:$B$152,'2024整理'!$E332)</f>
        <v>0</v>
      </c>
      <c r="K350" s="111">
        <f>COUNTIFS('2024数据'!$H$3:$H$152,"&gt;="&amp;DATE(2024,6,1),'2024数据'!$H$3:$H$152,"&lt;="&amp;DATE(2024,6,30),'2024数据'!$AS$3:$AS$152,$E$37,'2024数据'!$B$3:$B$152,'2024整理'!$E332)</f>
        <v>0</v>
      </c>
      <c r="L350" s="111">
        <f>COUNTIFS('2024数据'!$H$3:$H$152,"&gt;="&amp;DATE(2024,7,1),'2024数据'!$H$3:$H$152,"&lt;="&amp;DATE(2024,7,31),'2024数据'!$AS$3:$AS$152,$E$37,'2024数据'!$B$3:$B$152,'2024整理'!$E332)</f>
        <v>0</v>
      </c>
      <c r="M350" s="111">
        <f>COUNTIFS('2024数据'!$H$3:$H$152,"&gt;="&amp;DATE(2024,8,1),'2024数据'!$H$3:$H$152,"&lt;="&amp;DATE(2024,8,31),'2024数据'!$AS$3:$AS$152,$E$37,'2024数据'!$B$3:$B$152,'2024整理'!$E332)</f>
        <v>0</v>
      </c>
      <c r="N350" s="111">
        <f>COUNTIFS('2024数据'!$H$3:$H$152,"&gt;="&amp;DATE(2024,9,1),'2024数据'!$H$3:$H$152,"&lt;="&amp;DATE(2024,9,30),'2024数据'!$AS$3:$AS$152,$E$37,'2024数据'!$B$3:$B$152,'2024整理'!$E332)</f>
        <v>0</v>
      </c>
      <c r="O350" s="111">
        <f>COUNTIFS('2024数据'!$H$3:$H$152,"&gt;="&amp;DATE(2024,10,1),'2024数据'!$H$3:$H$152,"&lt;="&amp;DATE(2024,10,31),'2024数据'!$AS$3:$AS$152,$E$37,'2024数据'!$B$3:$B$152,'2024整理'!$E332)</f>
        <v>0</v>
      </c>
      <c r="P350" s="111">
        <f>COUNTIFS('2024数据'!$H$3:$H$152,"&gt;="&amp;DATE(2024,11,1),'2024数据'!$H$3:$H$152,"&lt;="&amp;DATE(2024,11,30),'2024数据'!$AS$3:$AS$152,$E$37,'2024数据'!$B$3:$B$152,'2024整理'!$E332)</f>
        <v>0</v>
      </c>
      <c r="Q350" s="111">
        <f>COUNTIFS('2024数据'!$H$3:$H$152,"&gt;="&amp;DATE(2024,12,1),'2024数据'!$H$3:$H$152,"&lt;="&amp;DATE(2024,12,31),'2024数据'!$AS$3:$AS$152,$E$37,'2024数据'!$B$3:$B$152,'2024整理'!$E332)</f>
        <v>0</v>
      </c>
    </row>
    <row r="351" ht="24" customHeight="1" spans="1:17">
      <c r="A351" s="99" t="s">
        <v>345</v>
      </c>
      <c r="B351" s="99" t="s">
        <v>299</v>
      </c>
      <c r="C351" s="99" t="s">
        <v>291</v>
      </c>
      <c r="D351" s="53" t="s">
        <v>305</v>
      </c>
      <c r="E351" s="53" t="s">
        <v>85</v>
      </c>
      <c r="F351" s="111">
        <f>COUNTIFS('2024数据'!$H$3:$H$152,"&gt;="&amp;DATE(2024,1,1),'2024数据'!$H$3:$H$152,"&lt;="&amp;DATE(2024,1,31),'2024数据'!$AS$3:$AS$152,$E$37,'2024数据'!$B$3:$B$152,'2024整理'!$E333)</f>
        <v>0</v>
      </c>
      <c r="G351" s="111">
        <f>COUNTIFS('2024数据'!$H$3:$H$152,"&gt;="&amp;DATE(2024,2,1),'2024数据'!$H$3:$H$152,"&lt;="&amp;DATE(2024,2,29),'2024数据'!$AS$3:$AS$152,$E$37,'2024数据'!$B$3:$B$152,'2024整理'!$E333)</f>
        <v>0</v>
      </c>
      <c r="H351" s="111">
        <f>COUNTIFS('2024数据'!$H$3:$H$152,"&gt;="&amp;DATE(2024,3,1),'2024数据'!$H$3:$H$152,"&lt;="&amp;DATE(2024,3,31),'2024数据'!$AS$3:$AS$152,$E$37,'2024数据'!$B$3:$B$152,'2024整理'!$E333)</f>
        <v>0</v>
      </c>
      <c r="I351" s="111">
        <f>COUNTIFS('2024数据'!$H$3:$H$152,"&gt;="&amp;DATE(2024,4,1),'2024数据'!$H$3:$H$152,"&lt;="&amp;DATE(2024,4,30),'2024数据'!$AS$3:$AS$152,$E$37,'2024数据'!$B$3:$B$152,'2024整理'!$E333)</f>
        <v>0</v>
      </c>
      <c r="J351" s="111">
        <f>COUNTIFS('2024数据'!$H$3:$H$152,"&gt;="&amp;DATE(2024,5,1),'2024数据'!$H$3:$H$152,"&lt;="&amp;DATE(2024,5,31),'2024数据'!$AS$3:$AS$152,$E$37,'2024数据'!$B$3:$B$152,'2024整理'!$E333)</f>
        <v>0</v>
      </c>
      <c r="K351" s="111">
        <f>COUNTIFS('2024数据'!$H$3:$H$152,"&gt;="&amp;DATE(2024,6,1),'2024数据'!$H$3:$H$152,"&lt;="&amp;DATE(2024,6,30),'2024数据'!$AS$3:$AS$152,$E$37,'2024数据'!$B$3:$B$152,'2024整理'!$E333)</f>
        <v>0</v>
      </c>
      <c r="L351" s="111">
        <f>COUNTIFS('2024数据'!$H$3:$H$152,"&gt;="&amp;DATE(2024,7,1),'2024数据'!$H$3:$H$152,"&lt;="&amp;DATE(2024,7,31),'2024数据'!$AS$3:$AS$152,$E$37,'2024数据'!$B$3:$B$152,'2024整理'!$E333)</f>
        <v>0</v>
      </c>
      <c r="M351" s="111">
        <f>COUNTIFS('2024数据'!$H$3:$H$152,"&gt;="&amp;DATE(2024,8,1),'2024数据'!$H$3:$H$152,"&lt;="&amp;DATE(2024,8,31),'2024数据'!$AS$3:$AS$152,$E$37,'2024数据'!$B$3:$B$152,'2024整理'!$E333)</f>
        <v>0</v>
      </c>
      <c r="N351" s="111">
        <f>COUNTIFS('2024数据'!$H$3:$H$152,"&gt;="&amp;DATE(2024,9,1),'2024数据'!$H$3:$H$152,"&lt;="&amp;DATE(2024,9,30),'2024数据'!$AS$3:$AS$152,$E$37,'2024数据'!$B$3:$B$152,'2024整理'!$E333)</f>
        <v>0</v>
      </c>
      <c r="O351" s="111">
        <f>COUNTIFS('2024数据'!$H$3:$H$152,"&gt;="&amp;DATE(2024,10,1),'2024数据'!$H$3:$H$152,"&lt;="&amp;DATE(2024,10,31),'2024数据'!$AS$3:$AS$152,$E$37,'2024数据'!$B$3:$B$152,'2024整理'!$E333)</f>
        <v>0</v>
      </c>
      <c r="P351" s="111">
        <f>COUNTIFS('2024数据'!$H$3:$H$152,"&gt;="&amp;DATE(2024,11,1),'2024数据'!$H$3:$H$152,"&lt;="&amp;DATE(2024,11,30),'2024数据'!$AS$3:$AS$152,$E$37,'2024数据'!$B$3:$B$152,'2024整理'!$E333)</f>
        <v>0</v>
      </c>
      <c r="Q351" s="111">
        <f>COUNTIFS('2024数据'!$H$3:$H$152,"&gt;="&amp;DATE(2024,12,1),'2024数据'!$H$3:$H$152,"&lt;="&amp;DATE(2024,12,31),'2024数据'!$AS$3:$AS$152,$E$37,'2024数据'!$B$3:$B$152,'2024整理'!$E333)</f>
        <v>0</v>
      </c>
    </row>
    <row r="352" ht="24" customHeight="1" spans="1:17">
      <c r="A352" s="99" t="s">
        <v>345</v>
      </c>
      <c r="B352" s="99" t="s">
        <v>299</v>
      </c>
      <c r="C352" s="99" t="s">
        <v>291</v>
      </c>
      <c r="D352" s="53" t="s">
        <v>305</v>
      </c>
      <c r="E352" s="53" t="s">
        <v>81</v>
      </c>
      <c r="F352" s="111">
        <f>COUNTIFS('2024数据'!$H$3:$H$152,"&gt;="&amp;DATE(2024,1,1),'2024数据'!$H$3:$H$152,"&lt;="&amp;DATE(2024,1,31),'2024数据'!$AS$3:$AS$152,$E$37,'2024数据'!$B$3:$B$152,'2024整理'!$E334)</f>
        <v>0</v>
      </c>
      <c r="G352" s="111">
        <f>COUNTIFS('2024数据'!$H$3:$H$152,"&gt;="&amp;DATE(2024,2,1),'2024数据'!$H$3:$H$152,"&lt;="&amp;DATE(2024,2,29),'2024数据'!$AS$3:$AS$152,$E$37,'2024数据'!$B$3:$B$152,'2024整理'!$E334)</f>
        <v>0</v>
      </c>
      <c r="H352" s="111">
        <f>COUNTIFS('2024数据'!$H$3:$H$152,"&gt;="&amp;DATE(2024,3,1),'2024数据'!$H$3:$H$152,"&lt;="&amp;DATE(2024,3,31),'2024数据'!$AS$3:$AS$152,$E$37,'2024数据'!$B$3:$B$152,'2024整理'!$E334)</f>
        <v>0</v>
      </c>
      <c r="I352" s="111">
        <f>COUNTIFS('2024数据'!$H$3:$H$152,"&gt;="&amp;DATE(2024,4,1),'2024数据'!$H$3:$H$152,"&lt;="&amp;DATE(2024,4,30),'2024数据'!$AS$3:$AS$152,$E$37,'2024数据'!$B$3:$B$152,'2024整理'!$E334)</f>
        <v>0</v>
      </c>
      <c r="J352" s="111">
        <f>COUNTIFS('2024数据'!$H$3:$H$152,"&gt;="&amp;DATE(2024,5,1),'2024数据'!$H$3:$H$152,"&lt;="&amp;DATE(2024,5,31),'2024数据'!$AS$3:$AS$152,$E$37,'2024数据'!$B$3:$B$152,'2024整理'!$E334)</f>
        <v>0</v>
      </c>
      <c r="K352" s="111">
        <f>COUNTIFS('2024数据'!$H$3:$H$152,"&gt;="&amp;DATE(2024,6,1),'2024数据'!$H$3:$H$152,"&lt;="&amp;DATE(2024,6,30),'2024数据'!$AS$3:$AS$152,$E$37,'2024数据'!$B$3:$B$152,'2024整理'!$E334)</f>
        <v>0</v>
      </c>
      <c r="L352" s="111">
        <f>COUNTIFS('2024数据'!$H$3:$H$152,"&gt;="&amp;DATE(2024,7,1),'2024数据'!$H$3:$H$152,"&lt;="&amp;DATE(2024,7,31),'2024数据'!$AS$3:$AS$152,$E$37,'2024数据'!$B$3:$B$152,'2024整理'!$E334)</f>
        <v>0</v>
      </c>
      <c r="M352" s="111">
        <f>COUNTIFS('2024数据'!$H$3:$H$152,"&gt;="&amp;DATE(2024,8,1),'2024数据'!$H$3:$H$152,"&lt;="&amp;DATE(2024,8,31),'2024数据'!$AS$3:$AS$152,$E$37,'2024数据'!$B$3:$B$152,'2024整理'!$E334)</f>
        <v>0</v>
      </c>
      <c r="N352" s="111">
        <f>COUNTIFS('2024数据'!$H$3:$H$152,"&gt;="&amp;DATE(2024,9,1),'2024数据'!$H$3:$H$152,"&lt;="&amp;DATE(2024,9,30),'2024数据'!$AS$3:$AS$152,$E$37,'2024数据'!$B$3:$B$152,'2024整理'!$E334)</f>
        <v>0</v>
      </c>
      <c r="O352" s="111">
        <f>COUNTIFS('2024数据'!$H$3:$H$152,"&gt;="&amp;DATE(2024,10,1),'2024数据'!$H$3:$H$152,"&lt;="&amp;DATE(2024,10,31),'2024数据'!$AS$3:$AS$152,$E$37,'2024数据'!$B$3:$B$152,'2024整理'!$E334)</f>
        <v>0</v>
      </c>
      <c r="P352" s="111">
        <f>COUNTIFS('2024数据'!$H$3:$H$152,"&gt;="&amp;DATE(2024,11,1),'2024数据'!$H$3:$H$152,"&lt;="&amp;DATE(2024,11,30),'2024数据'!$AS$3:$AS$152,$E$37,'2024数据'!$B$3:$B$152,'2024整理'!$E334)</f>
        <v>1</v>
      </c>
      <c r="Q352" s="111">
        <f>COUNTIFS('2024数据'!$H$3:$H$152,"&gt;="&amp;DATE(2024,12,1),'2024数据'!$H$3:$H$152,"&lt;="&amp;DATE(2024,12,31),'2024数据'!$AS$3:$AS$152,$E$37,'2024数据'!$B$3:$B$152,'2024整理'!$E334)</f>
        <v>0</v>
      </c>
    </row>
    <row r="353" ht="24" customHeight="1" spans="1:17">
      <c r="A353" s="99" t="s">
        <v>345</v>
      </c>
      <c r="B353" s="99" t="s">
        <v>299</v>
      </c>
      <c r="C353" s="99" t="s">
        <v>291</v>
      </c>
      <c r="D353" s="53" t="s">
        <v>305</v>
      </c>
      <c r="E353" s="53" t="s">
        <v>96</v>
      </c>
      <c r="F353" s="111">
        <f>COUNTIFS('2024数据'!$H$3:$H$152,"&gt;="&amp;DATE(2024,1,1),'2024数据'!$H$3:$H$152,"&lt;="&amp;DATE(2024,1,31),'2024数据'!$AS$3:$AS$152,$E$37,'2024数据'!$B$3:$B$152,'2024整理'!$E335)</f>
        <v>0</v>
      </c>
      <c r="G353" s="111">
        <f>COUNTIFS('2024数据'!$H$3:$H$152,"&gt;="&amp;DATE(2024,2,1),'2024数据'!$H$3:$H$152,"&lt;="&amp;DATE(2024,2,29),'2024数据'!$AS$3:$AS$152,$E$37,'2024数据'!$B$3:$B$152,'2024整理'!$E335)</f>
        <v>0</v>
      </c>
      <c r="H353" s="111">
        <f>COUNTIFS('2024数据'!$H$3:$H$152,"&gt;="&amp;DATE(2024,3,1),'2024数据'!$H$3:$H$152,"&lt;="&amp;DATE(2024,3,31),'2024数据'!$AS$3:$AS$152,$E$37,'2024数据'!$B$3:$B$152,'2024整理'!$E335)</f>
        <v>0</v>
      </c>
      <c r="I353" s="111">
        <f>COUNTIFS('2024数据'!$H$3:$H$152,"&gt;="&amp;DATE(2024,4,1),'2024数据'!$H$3:$H$152,"&lt;="&amp;DATE(2024,4,30),'2024数据'!$AS$3:$AS$152,$E$37,'2024数据'!$B$3:$B$152,'2024整理'!$E335)</f>
        <v>0</v>
      </c>
      <c r="J353" s="111">
        <f>COUNTIFS('2024数据'!$H$3:$H$152,"&gt;="&amp;DATE(2024,5,1),'2024数据'!$H$3:$H$152,"&lt;="&amp;DATE(2024,5,31),'2024数据'!$AS$3:$AS$152,$E$37,'2024数据'!$B$3:$B$152,'2024整理'!$E335)</f>
        <v>0</v>
      </c>
      <c r="K353" s="111">
        <f>COUNTIFS('2024数据'!$H$3:$H$152,"&gt;="&amp;DATE(2024,6,1),'2024数据'!$H$3:$H$152,"&lt;="&amp;DATE(2024,6,30),'2024数据'!$AS$3:$AS$152,$E$37,'2024数据'!$B$3:$B$152,'2024整理'!$E335)</f>
        <v>0</v>
      </c>
      <c r="L353" s="111">
        <f>COUNTIFS('2024数据'!$H$3:$H$152,"&gt;="&amp;DATE(2024,7,1),'2024数据'!$H$3:$H$152,"&lt;="&amp;DATE(2024,7,31),'2024数据'!$AS$3:$AS$152,$E$37,'2024数据'!$B$3:$B$152,'2024整理'!$E335)</f>
        <v>0</v>
      </c>
      <c r="M353" s="111">
        <f>COUNTIFS('2024数据'!$H$3:$H$152,"&gt;="&amp;DATE(2024,8,1),'2024数据'!$H$3:$H$152,"&lt;="&amp;DATE(2024,8,31),'2024数据'!$AS$3:$AS$152,$E$37,'2024数据'!$B$3:$B$152,'2024整理'!$E335)</f>
        <v>0</v>
      </c>
      <c r="N353" s="111">
        <f>COUNTIFS('2024数据'!$H$3:$H$152,"&gt;="&amp;DATE(2024,9,1),'2024数据'!$H$3:$H$152,"&lt;="&amp;DATE(2024,9,30),'2024数据'!$AS$3:$AS$152,$E$37,'2024数据'!$B$3:$B$152,'2024整理'!$E335)</f>
        <v>0</v>
      </c>
      <c r="O353" s="111">
        <f>COUNTIFS('2024数据'!$H$3:$H$152,"&gt;="&amp;DATE(2024,10,1),'2024数据'!$H$3:$H$152,"&lt;="&amp;DATE(2024,10,31),'2024数据'!$AS$3:$AS$152,$E$37,'2024数据'!$B$3:$B$152,'2024整理'!$E335)</f>
        <v>0</v>
      </c>
      <c r="P353" s="111">
        <f>COUNTIFS('2024数据'!$H$3:$H$152,"&gt;="&amp;DATE(2024,11,1),'2024数据'!$H$3:$H$152,"&lt;="&amp;DATE(2024,11,30),'2024数据'!$AS$3:$AS$152,$E$37,'2024数据'!$B$3:$B$152,'2024整理'!$E335)</f>
        <v>0</v>
      </c>
      <c r="Q353" s="111">
        <f>COUNTIFS('2024数据'!$H$3:$H$152,"&gt;="&amp;DATE(2024,12,1),'2024数据'!$H$3:$H$152,"&lt;="&amp;DATE(2024,12,31),'2024数据'!$AS$3:$AS$152,$E$37,'2024数据'!$B$3:$B$152,'2024整理'!$E335)</f>
        <v>0</v>
      </c>
    </row>
    <row r="354" ht="24" customHeight="1" spans="1:17">
      <c r="A354" s="99" t="s">
        <v>345</v>
      </c>
      <c r="B354" s="99" t="s">
        <v>299</v>
      </c>
      <c r="C354" s="99" t="s">
        <v>291</v>
      </c>
      <c r="D354" s="53" t="s">
        <v>305</v>
      </c>
      <c r="E354" s="53" t="s">
        <v>160</v>
      </c>
      <c r="F354" s="111">
        <f>COUNTIFS('2024数据'!$H$3:$H$152,"&gt;="&amp;DATE(2024,1,1),'2024数据'!$H$3:$H$152,"&lt;="&amp;DATE(2024,1,31),'2024数据'!$AS$3:$AS$152,$E$37,'2024数据'!$B$3:$B$152,'2024整理'!$E336)</f>
        <v>0</v>
      </c>
      <c r="G354" s="111">
        <f>COUNTIFS('2024数据'!$H$3:$H$152,"&gt;="&amp;DATE(2024,2,1),'2024数据'!$H$3:$H$152,"&lt;="&amp;DATE(2024,2,29),'2024数据'!$AS$3:$AS$152,$E$37,'2024数据'!$B$3:$B$152,'2024整理'!$E336)</f>
        <v>0</v>
      </c>
      <c r="H354" s="111">
        <f>COUNTIFS('2024数据'!$H$3:$H$152,"&gt;="&amp;DATE(2024,3,1),'2024数据'!$H$3:$H$152,"&lt;="&amp;DATE(2024,3,31),'2024数据'!$AS$3:$AS$152,$E$37,'2024数据'!$B$3:$B$152,'2024整理'!$E336)</f>
        <v>0</v>
      </c>
      <c r="I354" s="111">
        <f>COUNTIFS('2024数据'!$H$3:$H$152,"&gt;="&amp;DATE(2024,4,1),'2024数据'!$H$3:$H$152,"&lt;="&amp;DATE(2024,4,30),'2024数据'!$AS$3:$AS$152,$E$37,'2024数据'!$B$3:$B$152,'2024整理'!$E336)</f>
        <v>0</v>
      </c>
      <c r="J354" s="111">
        <f>COUNTIFS('2024数据'!$H$3:$H$152,"&gt;="&amp;DATE(2024,5,1),'2024数据'!$H$3:$H$152,"&lt;="&amp;DATE(2024,5,31),'2024数据'!$AS$3:$AS$152,$E$37,'2024数据'!$B$3:$B$152,'2024整理'!$E336)</f>
        <v>0</v>
      </c>
      <c r="K354" s="111">
        <f>COUNTIFS('2024数据'!$H$3:$H$152,"&gt;="&amp;DATE(2024,6,1),'2024数据'!$H$3:$H$152,"&lt;="&amp;DATE(2024,6,30),'2024数据'!$AS$3:$AS$152,$E$37,'2024数据'!$B$3:$B$152,'2024整理'!$E336)</f>
        <v>0</v>
      </c>
      <c r="L354" s="111">
        <f>COUNTIFS('2024数据'!$H$3:$H$152,"&gt;="&amp;DATE(2024,7,1),'2024数据'!$H$3:$H$152,"&lt;="&amp;DATE(2024,7,31),'2024数据'!$AS$3:$AS$152,$E$37,'2024数据'!$B$3:$B$152,'2024整理'!$E336)</f>
        <v>0</v>
      </c>
      <c r="M354" s="111">
        <f>COUNTIFS('2024数据'!$H$3:$H$152,"&gt;="&amp;DATE(2024,8,1),'2024数据'!$H$3:$H$152,"&lt;="&amp;DATE(2024,8,31),'2024数据'!$AS$3:$AS$152,$E$37,'2024数据'!$B$3:$B$152,'2024整理'!$E336)</f>
        <v>0</v>
      </c>
      <c r="N354" s="111">
        <f>COUNTIFS('2024数据'!$H$3:$H$152,"&gt;="&amp;DATE(2024,9,1),'2024数据'!$H$3:$H$152,"&lt;="&amp;DATE(2024,9,30),'2024数据'!$AS$3:$AS$152,$E$37,'2024数据'!$B$3:$B$152,'2024整理'!$E336)</f>
        <v>0</v>
      </c>
      <c r="O354" s="111">
        <f>COUNTIFS('2024数据'!$H$3:$H$152,"&gt;="&amp;DATE(2024,10,1),'2024数据'!$H$3:$H$152,"&lt;="&amp;DATE(2024,10,31),'2024数据'!$AS$3:$AS$152,$E$37,'2024数据'!$B$3:$B$152,'2024整理'!$E336)</f>
        <v>0</v>
      </c>
      <c r="P354" s="111">
        <f>COUNTIFS('2024数据'!$H$3:$H$152,"&gt;="&amp;DATE(2024,11,1),'2024数据'!$H$3:$H$152,"&lt;="&amp;DATE(2024,11,30),'2024数据'!$AS$3:$AS$152,$E$37,'2024数据'!$B$3:$B$152,'2024整理'!$E336)</f>
        <v>0</v>
      </c>
      <c r="Q354" s="111">
        <f>COUNTIFS('2024数据'!$H$3:$H$152,"&gt;="&amp;DATE(2024,12,1),'2024数据'!$H$3:$H$152,"&lt;="&amp;DATE(2024,12,31),'2024数据'!$AS$3:$AS$152,$E$37,'2024数据'!$B$3:$B$152,'2024整理'!$E336)</f>
        <v>0</v>
      </c>
    </row>
    <row r="355" ht="24" customHeight="1" spans="1:17">
      <c r="A355" s="99" t="s">
        <v>345</v>
      </c>
      <c r="B355" s="99" t="s">
        <v>299</v>
      </c>
      <c r="C355" s="99" t="s">
        <v>291</v>
      </c>
      <c r="D355" s="100" t="s">
        <v>292</v>
      </c>
      <c r="E355" s="100" t="s">
        <v>306</v>
      </c>
      <c r="F355" s="104">
        <f t="shared" ref="F355:Q355" si="229">SUM(F356:F358)</f>
        <v>2</v>
      </c>
      <c r="G355" s="104">
        <f t="shared" si="229"/>
        <v>1</v>
      </c>
      <c r="H355" s="104">
        <f t="shared" si="229"/>
        <v>0</v>
      </c>
      <c r="I355" s="104">
        <f t="shared" si="229"/>
        <v>0</v>
      </c>
      <c r="J355" s="104">
        <f t="shared" si="229"/>
        <v>2</v>
      </c>
      <c r="K355" s="104">
        <f t="shared" si="229"/>
        <v>0</v>
      </c>
      <c r="L355" s="104">
        <f t="shared" si="229"/>
        <v>1</v>
      </c>
      <c r="M355" s="104">
        <f t="shared" si="229"/>
        <v>1</v>
      </c>
      <c r="N355" s="104">
        <f t="shared" si="229"/>
        <v>0</v>
      </c>
      <c r="O355" s="104">
        <f t="shared" si="229"/>
        <v>1</v>
      </c>
      <c r="P355" s="104">
        <f t="shared" si="229"/>
        <v>0</v>
      </c>
      <c r="Q355" s="104">
        <f t="shared" si="229"/>
        <v>1</v>
      </c>
    </row>
    <row r="356" ht="24" customHeight="1" spans="1:17">
      <c r="A356" s="99" t="s">
        <v>345</v>
      </c>
      <c r="B356" s="99" t="s">
        <v>299</v>
      </c>
      <c r="C356" s="99" t="s">
        <v>291</v>
      </c>
      <c r="D356" s="48" t="s">
        <v>296</v>
      </c>
      <c r="E356" s="48" t="s">
        <v>406</v>
      </c>
      <c r="F356" s="105">
        <f>COUNTIFS('2024数据'!$H$3:$H$152,"&gt;="&amp;DATE(2024,1,1),'2024数据'!$H$3:$H$152,"&lt;="&amp;DATE(2024,1,31),'2024数据'!$AF$3:$AF$152,$E356)</f>
        <v>1</v>
      </c>
      <c r="G356" s="105">
        <f>COUNTIFS('2024数据'!$H$3:$H$152,"&gt;="&amp;DATE(2024,2,1),'2024数据'!$H$3:$H$152,"&lt;="&amp;DATE(2024,2,29),'2024数据'!$AF$3:$AF$152,$E356)</f>
        <v>0</v>
      </c>
      <c r="H356" s="105">
        <f>COUNTIFS('2024数据'!$H$3:$H$152,"&gt;="&amp;DATE(2024,3,1),'2024数据'!$H$3:$H$152,"&lt;="&amp;DATE(2024,3,31),'2024数据'!$AF$3:$AF$152,$E356)</f>
        <v>0</v>
      </c>
      <c r="I356" s="105">
        <f>COUNTIFS('2024数据'!$H$3:$H$152,"&gt;="&amp;DATE(2024,4,1),'2024数据'!$H$3:$H$152,"&lt;="&amp;DATE(2024,4,30),'2024数据'!$AF$3:$AF$152,$E356)</f>
        <v>0</v>
      </c>
      <c r="J356" s="105">
        <f>COUNTIFS('2024数据'!$H$3:$H$152,"&gt;="&amp;DATE(2024,5,1),'2024数据'!$H$3:$H$152,"&lt;="&amp;DATE(2024,5,31),'2024数据'!$AF$3:$AF$152,$E356)</f>
        <v>2</v>
      </c>
      <c r="K356" s="105">
        <f>COUNTIFS('2024数据'!$H$3:$H$152,"&gt;="&amp;DATE(2024,6,1),'2024数据'!$H$3:$H$152,"&lt;="&amp;DATE(2024,6,30),'2024数据'!$AF$3:$AF$152,$E356)</f>
        <v>0</v>
      </c>
      <c r="L356" s="105">
        <f>COUNTIFS('2024数据'!$H$3:$H$152,"&gt;="&amp;DATE(2024,7,1),'2024数据'!$H$3:$H$152,"&lt;="&amp;DATE(2024,7,31),'2024数据'!$AF$3:$AF$152,$E356)</f>
        <v>1</v>
      </c>
      <c r="M356" s="105">
        <f>COUNTIFS('2024数据'!$H$3:$H$152,"&gt;="&amp;DATE(2024,8,1),'2024数据'!$H$3:$H$152,"&lt;="&amp;DATE(2024,8,31),'2024数据'!$AF$3:$AF$152,$E356)</f>
        <v>1</v>
      </c>
      <c r="N356" s="105">
        <f>COUNTIFS('2024数据'!$H$3:$H$152,"&gt;="&amp;DATE(2024,9,1),'2024数据'!$H$3:$H$152,"&lt;="&amp;DATE(2024,9,30),'2024数据'!$AF$3:$AF$152,$E356)</f>
        <v>0</v>
      </c>
      <c r="O356" s="105">
        <f>COUNTIFS('2024数据'!$H$3:$H$152,"&gt;="&amp;DATE(2024,10,1),'2024数据'!$H$3:$H$152,"&lt;="&amp;DATE(2024,10,31),'2024数据'!$AF$3:$AF$152,$E356)</f>
        <v>0</v>
      </c>
      <c r="P356" s="105">
        <f>COUNTIFS('2024数据'!$H$3:$H$152,"&gt;="&amp;DATE(2024,11,1),'2024数据'!$H$3:$H$152,"&lt;="&amp;DATE(2024,11,30),'2024数据'!$AF$3:$AF$152,$E356)</f>
        <v>0</v>
      </c>
      <c r="Q356" s="105">
        <f>COUNTIFS('2024数据'!$H$3:$H$152,"&gt;="&amp;DATE(2024,12,1),'2024数据'!$H$3:$H$152,"&lt;="&amp;DATE(2024,12,31),'2024数据'!$AF$3:$AF$152,$E356)</f>
        <v>0</v>
      </c>
    </row>
    <row r="357" ht="24" customHeight="1" spans="1:17">
      <c r="A357" s="99" t="s">
        <v>345</v>
      </c>
      <c r="B357" s="99" t="s">
        <v>299</v>
      </c>
      <c r="C357" s="99" t="s">
        <v>291</v>
      </c>
      <c r="D357" s="48" t="s">
        <v>296</v>
      </c>
      <c r="E357" s="48" t="s">
        <v>82</v>
      </c>
      <c r="F357" s="105">
        <f>COUNTIFS('2024数据'!$H$3:$H$152,"&gt;="&amp;DATE(2024,1,1),'2024数据'!$H$3:$H$152,"&lt;="&amp;DATE(2024,1,31),'2024数据'!$AF$3:$AF$152,$E357)</f>
        <v>1</v>
      </c>
      <c r="G357" s="105">
        <f>COUNTIFS('2024数据'!$H$3:$H$152,"&gt;="&amp;DATE(2024,2,1),'2024数据'!$H$3:$H$152,"&lt;="&amp;DATE(2024,2,29),'2024数据'!$AF$3:$AF$152,$E357)</f>
        <v>0</v>
      </c>
      <c r="H357" s="105">
        <f>COUNTIFS('2024数据'!$H$3:$H$152,"&gt;="&amp;DATE(2024,3,1),'2024数据'!$H$3:$H$152,"&lt;="&amp;DATE(2024,3,31),'2024数据'!$AF$3:$AF$152,$E357)</f>
        <v>0</v>
      </c>
      <c r="I357" s="105">
        <f>COUNTIFS('2024数据'!$H$3:$H$152,"&gt;="&amp;DATE(2024,4,1),'2024数据'!$H$3:$H$152,"&lt;="&amp;DATE(2024,4,30),'2024数据'!$AF$3:$AF$152,$E357)</f>
        <v>0</v>
      </c>
      <c r="J357" s="105">
        <f>COUNTIFS('2024数据'!$H$3:$H$152,"&gt;="&amp;DATE(2024,5,1),'2024数据'!$H$3:$H$152,"&lt;="&amp;DATE(2024,5,31),'2024数据'!$AF$3:$AF$152,$E357)</f>
        <v>0</v>
      </c>
      <c r="K357" s="105">
        <f>COUNTIFS('2024数据'!$H$3:$H$152,"&gt;="&amp;DATE(2024,6,1),'2024数据'!$H$3:$H$152,"&lt;="&amp;DATE(2024,6,30),'2024数据'!$AF$3:$AF$152,$E357)</f>
        <v>0</v>
      </c>
      <c r="L357" s="105">
        <f>COUNTIFS('2024数据'!$H$3:$H$152,"&gt;="&amp;DATE(2024,7,1),'2024数据'!$H$3:$H$152,"&lt;="&amp;DATE(2024,7,31),'2024数据'!$AF$3:$AF$152,$E357)</f>
        <v>0</v>
      </c>
      <c r="M357" s="105">
        <f>COUNTIFS('2024数据'!$H$3:$H$152,"&gt;="&amp;DATE(2024,8,1),'2024数据'!$H$3:$H$152,"&lt;="&amp;DATE(2024,8,31),'2024数据'!$AF$3:$AF$152,$E357)</f>
        <v>0</v>
      </c>
      <c r="N357" s="105">
        <f>COUNTIFS('2024数据'!$H$3:$H$152,"&gt;="&amp;DATE(2024,9,1),'2024数据'!$H$3:$H$152,"&lt;="&amp;DATE(2024,9,30),'2024数据'!$AF$3:$AF$152,$E357)</f>
        <v>0</v>
      </c>
      <c r="O357" s="105">
        <f>COUNTIFS('2024数据'!$H$3:$H$152,"&gt;="&amp;DATE(2024,10,1),'2024数据'!$H$3:$H$152,"&lt;="&amp;DATE(2024,10,31),'2024数据'!$AF$3:$AF$152,$E357)</f>
        <v>1</v>
      </c>
      <c r="P357" s="105">
        <f>COUNTIFS('2024数据'!$H$3:$H$152,"&gt;="&amp;DATE(2024,11,1),'2024数据'!$H$3:$H$152,"&lt;="&amp;DATE(2024,11,30),'2024数据'!$AF$3:$AF$152,$E357)</f>
        <v>0</v>
      </c>
      <c r="Q357" s="105">
        <f>COUNTIFS('2024数据'!$H$3:$H$152,"&gt;="&amp;DATE(2024,12,1),'2024数据'!$H$3:$H$152,"&lt;="&amp;DATE(2024,12,31),'2024数据'!$AF$3:$AF$152,$E357)</f>
        <v>1</v>
      </c>
    </row>
    <row r="358" ht="24" customHeight="1" spans="1:17">
      <c r="A358" s="99" t="s">
        <v>345</v>
      </c>
      <c r="B358" s="99" t="s">
        <v>299</v>
      </c>
      <c r="C358" s="99" t="s">
        <v>291</v>
      </c>
      <c r="D358" s="48" t="s">
        <v>296</v>
      </c>
      <c r="E358" s="48" t="s">
        <v>86</v>
      </c>
      <c r="F358" s="105">
        <f>COUNTIFS('2024数据'!$H$3:$H$152,"&gt;="&amp;DATE(2024,1,1),'2024数据'!$H$3:$H$152,"&lt;="&amp;DATE(2024,1,31),'2024数据'!$AF$3:$AF$152,$E358)</f>
        <v>0</v>
      </c>
      <c r="G358" s="105">
        <f>COUNTIFS('2024数据'!$H$3:$H$152,"&gt;="&amp;DATE(2024,2,1),'2024数据'!$H$3:$H$152,"&lt;="&amp;DATE(2024,2,29),'2024数据'!$AF$3:$AF$152,$E358)</f>
        <v>1</v>
      </c>
      <c r="H358" s="105">
        <f>COUNTIFS('2024数据'!$H$3:$H$152,"&gt;="&amp;DATE(2024,3,1),'2024数据'!$H$3:$H$152,"&lt;="&amp;DATE(2024,3,31),'2024数据'!$AF$3:$AF$152,$E358)</f>
        <v>0</v>
      </c>
      <c r="I358" s="105">
        <f>COUNTIFS('2024数据'!$H$3:$H$152,"&gt;="&amp;DATE(2024,4,1),'2024数据'!$H$3:$H$152,"&lt;="&amp;DATE(2024,4,30),'2024数据'!$AF$3:$AF$152,$E358)</f>
        <v>0</v>
      </c>
      <c r="J358" s="105">
        <f>COUNTIFS('2024数据'!$H$3:$H$152,"&gt;="&amp;DATE(2024,5,1),'2024数据'!$H$3:$H$152,"&lt;="&amp;DATE(2024,5,31),'2024数据'!$AF$3:$AF$152,$E358)</f>
        <v>0</v>
      </c>
      <c r="K358" s="105">
        <f>COUNTIFS('2024数据'!$H$3:$H$152,"&gt;="&amp;DATE(2024,6,1),'2024数据'!$H$3:$H$152,"&lt;="&amp;DATE(2024,6,30),'2024数据'!$AF$3:$AF$152,$E358)</f>
        <v>0</v>
      </c>
      <c r="L358" s="105">
        <f>COUNTIFS('2024数据'!$H$3:$H$152,"&gt;="&amp;DATE(2024,7,1),'2024数据'!$H$3:$H$152,"&lt;="&amp;DATE(2024,7,31),'2024数据'!$AF$3:$AF$152,$E358)</f>
        <v>0</v>
      </c>
      <c r="M358" s="105">
        <f>COUNTIFS('2024数据'!$H$3:$H$152,"&gt;="&amp;DATE(2024,8,1),'2024数据'!$H$3:$H$152,"&lt;="&amp;DATE(2024,8,31),'2024数据'!$AF$3:$AF$152,$E358)</f>
        <v>0</v>
      </c>
      <c r="N358" s="105">
        <f>COUNTIFS('2024数据'!$H$3:$H$152,"&gt;="&amp;DATE(2024,9,1),'2024数据'!$H$3:$H$152,"&lt;="&amp;DATE(2024,9,30),'2024数据'!$AF$3:$AF$152,$E358)</f>
        <v>0</v>
      </c>
      <c r="O358" s="105">
        <f>COUNTIFS('2024数据'!$H$3:$H$152,"&gt;="&amp;DATE(2024,10,1),'2024数据'!$H$3:$H$152,"&lt;="&amp;DATE(2024,10,31),'2024数据'!$AF$3:$AF$152,$E358)</f>
        <v>0</v>
      </c>
      <c r="P358" s="105">
        <f>COUNTIFS('2024数据'!$H$3:$H$152,"&gt;="&amp;DATE(2024,11,1),'2024数据'!$H$3:$H$152,"&lt;="&amp;DATE(2024,11,30),'2024数据'!$AF$3:$AF$152,$E358)</f>
        <v>0</v>
      </c>
      <c r="Q358" s="105">
        <f>COUNTIFS('2024数据'!$H$3:$H$152,"&gt;="&amp;DATE(2024,12,1),'2024数据'!$H$3:$H$152,"&lt;="&amp;DATE(2024,12,31),'2024数据'!$AF$3:$AF$152,$E358)</f>
        <v>0</v>
      </c>
    </row>
    <row r="359" ht="24" customHeight="1" spans="1:17">
      <c r="A359" s="99" t="s">
        <v>345</v>
      </c>
      <c r="B359" s="99" t="s">
        <v>299</v>
      </c>
      <c r="C359" s="99" t="s">
        <v>291</v>
      </c>
      <c r="D359" s="100" t="s">
        <v>292</v>
      </c>
      <c r="E359" s="100" t="s">
        <v>307</v>
      </c>
      <c r="F359" s="104">
        <f t="shared" ref="F359:Q359" si="230">SUM(F360:F362)</f>
        <v>2</v>
      </c>
      <c r="G359" s="104">
        <f t="shared" si="230"/>
        <v>1</v>
      </c>
      <c r="H359" s="104">
        <f t="shared" si="230"/>
        <v>0</v>
      </c>
      <c r="I359" s="104">
        <f t="shared" si="230"/>
        <v>1</v>
      </c>
      <c r="J359" s="104">
        <f t="shared" si="230"/>
        <v>2</v>
      </c>
      <c r="K359" s="104">
        <f t="shared" si="230"/>
        <v>0</v>
      </c>
      <c r="L359" s="104">
        <f t="shared" si="230"/>
        <v>0</v>
      </c>
      <c r="M359" s="104">
        <f t="shared" si="230"/>
        <v>1</v>
      </c>
      <c r="N359" s="104">
        <f t="shared" si="230"/>
        <v>0</v>
      </c>
      <c r="O359" s="104">
        <f t="shared" si="230"/>
        <v>1</v>
      </c>
      <c r="P359" s="104">
        <f t="shared" si="230"/>
        <v>1</v>
      </c>
      <c r="Q359" s="104">
        <f t="shared" si="230"/>
        <v>1</v>
      </c>
    </row>
    <row r="360" ht="24" customHeight="1" spans="1:17">
      <c r="A360" s="99" t="s">
        <v>345</v>
      </c>
      <c r="B360" s="99" t="s">
        <v>299</v>
      </c>
      <c r="C360" s="99" t="s">
        <v>291</v>
      </c>
      <c r="D360" s="48" t="s">
        <v>298</v>
      </c>
      <c r="E360" s="48" t="s">
        <v>97</v>
      </c>
      <c r="F360" s="105">
        <f>COUNTIFS('2024数据'!$H$3:$H$152,"&gt;="&amp;DATE(2024,1,1),'2024数据'!$H$3:$H$152,"&lt;="&amp;DATE(2024,1,31),'2024数据'!$AG$3:$AG$152,$E360)</f>
        <v>2</v>
      </c>
      <c r="G360" s="105">
        <f>COUNTIFS('2024数据'!$H$3:$H$152,"&gt;="&amp;DATE(2024,2,1),'2024数据'!$H$3:$H$152,"&lt;="&amp;DATE(2024,2,29),'2024数据'!$AG$3:$AG$152,$E360)</f>
        <v>1</v>
      </c>
      <c r="H360" s="105">
        <f>COUNTIFS('2024数据'!$H$3:$H$152,"&gt;="&amp;DATE(2024,3,1),'2024数据'!$H$3:$H$152,"&lt;="&amp;DATE(2024,3,31),'2024数据'!$AG$3:$AG$152,$E360)</f>
        <v>0</v>
      </c>
      <c r="I360" s="105">
        <f>COUNTIFS('2024数据'!$H$3:$H$152,"&gt;="&amp;DATE(2024,4,1),'2024数据'!$H$3:$H$152,"&lt;="&amp;DATE(2024,4,30),'2024数据'!$AG$3:$AG$152,$E360)</f>
        <v>0</v>
      </c>
      <c r="J360" s="105">
        <f>COUNTIFS('2024数据'!$H$3:$H$152,"&gt;="&amp;DATE(2024,5,1),'2024数据'!$H$3:$H$152,"&lt;="&amp;DATE(2024,5,31),'2024数据'!$AG$3:$AG$152,$E360)</f>
        <v>1</v>
      </c>
      <c r="K360" s="105">
        <f>COUNTIFS('2024数据'!$H$3:$H$152,"&gt;="&amp;DATE(2024,6,1),'2024数据'!$H$3:$H$152,"&lt;="&amp;DATE(2024,6,30),'2024数据'!$AG$3:$AG$152,$E360)</f>
        <v>0</v>
      </c>
      <c r="L360" s="105">
        <f>COUNTIFS('2024数据'!$H$3:$H$152,"&gt;="&amp;DATE(2024,7,1),'2024数据'!$H$3:$H$152,"&lt;="&amp;DATE(2024,7,31),'2024数据'!$AG$3:$AG$152,$E360)</f>
        <v>0</v>
      </c>
      <c r="M360" s="105">
        <f>COUNTIFS('2024数据'!$H$3:$H$152,"&gt;="&amp;DATE(2024,8,1),'2024数据'!$H$3:$H$152,"&lt;="&amp;DATE(2024,8,31),'2024数据'!$AG$3:$AG$152,$E360)</f>
        <v>1</v>
      </c>
      <c r="N360" s="105">
        <f>COUNTIFS('2024数据'!$H$3:$H$152,"&gt;="&amp;DATE(2024,9,1),'2024数据'!$H$3:$H$152,"&lt;="&amp;DATE(2024,9,30),'2024数据'!$AG$3:$AG$152,$E360)</f>
        <v>0</v>
      </c>
      <c r="O360" s="105">
        <f>COUNTIFS('2024数据'!$H$3:$H$152,"&gt;="&amp;DATE(2024,10,1),'2024数据'!$H$3:$H$152,"&lt;="&amp;DATE(2024,10,31),'2024数据'!$AG$3:$AG$152,$E360)</f>
        <v>0</v>
      </c>
      <c r="P360" s="105">
        <f>COUNTIFS('2024数据'!$H$3:$H$152,"&gt;="&amp;DATE(2024,11,1),'2024数据'!$H$3:$H$152,"&lt;="&amp;DATE(2024,11,30),'2024数据'!$AG$3:$AG$152,$E360)</f>
        <v>1</v>
      </c>
      <c r="Q360" s="105">
        <f>COUNTIFS('2024数据'!$H$3:$H$152,"&gt;="&amp;DATE(2024,12,1),'2024数据'!$H$3:$H$152,"&lt;="&amp;DATE(2024,12,31),'2024数据'!$AG$3:$AG$152,$E360)</f>
        <v>1</v>
      </c>
    </row>
    <row r="361" ht="24" customHeight="1" spans="1:17">
      <c r="A361" s="99" t="s">
        <v>345</v>
      </c>
      <c r="B361" s="99" t="s">
        <v>299</v>
      </c>
      <c r="C361" s="99" t="s">
        <v>291</v>
      </c>
      <c r="D361" s="48" t="s">
        <v>298</v>
      </c>
      <c r="E361" s="48" t="s">
        <v>87</v>
      </c>
      <c r="F361" s="105">
        <f>COUNTIFS('2024数据'!$H$3:$H$152,"&gt;="&amp;DATE(2024,1,1),'2024数据'!$H$3:$H$152,"&lt;="&amp;DATE(2024,1,31),'2024数据'!$AG$3:$AG$152,$E361)</f>
        <v>0</v>
      </c>
      <c r="G361" s="105">
        <f>COUNTIFS('2024数据'!$H$3:$H$152,"&gt;="&amp;DATE(2024,2,1),'2024数据'!$H$3:$H$152,"&lt;="&amp;DATE(2024,2,29),'2024数据'!$AG$3:$AG$152,$E361)</f>
        <v>0</v>
      </c>
      <c r="H361" s="105">
        <f>COUNTIFS('2024数据'!$H$3:$H$152,"&gt;="&amp;DATE(2024,3,1),'2024数据'!$H$3:$H$152,"&lt;="&amp;DATE(2024,3,31),'2024数据'!$AG$3:$AG$152,$E361)</f>
        <v>0</v>
      </c>
      <c r="I361" s="105">
        <f>COUNTIFS('2024数据'!$H$3:$H$152,"&gt;="&amp;DATE(2024,4,1),'2024数据'!$H$3:$H$152,"&lt;="&amp;DATE(2024,4,30),'2024数据'!$AG$3:$AG$152,$E361)</f>
        <v>0</v>
      </c>
      <c r="J361" s="105">
        <f>COUNTIFS('2024数据'!$H$3:$H$152,"&gt;="&amp;DATE(2024,5,1),'2024数据'!$H$3:$H$152,"&lt;="&amp;DATE(2024,5,31),'2024数据'!$AG$3:$AG$152,$E361)</f>
        <v>1</v>
      </c>
      <c r="K361" s="105">
        <f>COUNTIFS('2024数据'!$H$3:$H$152,"&gt;="&amp;DATE(2024,6,1),'2024数据'!$H$3:$H$152,"&lt;="&amp;DATE(2024,6,30),'2024数据'!$AG$3:$AG$152,$E361)</f>
        <v>0</v>
      </c>
      <c r="L361" s="105">
        <f>COUNTIFS('2024数据'!$H$3:$H$152,"&gt;="&amp;DATE(2024,7,1),'2024数据'!$H$3:$H$152,"&lt;="&amp;DATE(2024,7,31),'2024数据'!$AG$3:$AG$152,$E361)</f>
        <v>0</v>
      </c>
      <c r="M361" s="105">
        <f>COUNTIFS('2024数据'!$H$3:$H$152,"&gt;="&amp;DATE(2024,8,1),'2024数据'!$H$3:$H$152,"&lt;="&amp;DATE(2024,8,31),'2024数据'!$AG$3:$AG$152,$E361)</f>
        <v>0</v>
      </c>
      <c r="N361" s="105">
        <f>COUNTIFS('2024数据'!$H$3:$H$152,"&gt;="&amp;DATE(2024,9,1),'2024数据'!$H$3:$H$152,"&lt;="&amp;DATE(2024,9,30),'2024数据'!$AG$3:$AG$152,$E361)</f>
        <v>0</v>
      </c>
      <c r="O361" s="105">
        <f>COUNTIFS('2024数据'!$H$3:$H$152,"&gt;="&amp;DATE(2024,10,1),'2024数据'!$H$3:$H$152,"&lt;="&amp;DATE(2024,10,31),'2024数据'!$AG$3:$AG$152,$E361)</f>
        <v>1</v>
      </c>
      <c r="P361" s="105">
        <f>COUNTIFS('2024数据'!$H$3:$H$152,"&gt;="&amp;DATE(2024,11,1),'2024数据'!$H$3:$H$152,"&lt;="&amp;DATE(2024,11,30),'2024数据'!$AG$3:$AG$152,$E361)</f>
        <v>0</v>
      </c>
      <c r="Q361" s="105">
        <f>COUNTIFS('2024数据'!$H$3:$H$152,"&gt;="&amp;DATE(2024,12,1),'2024数据'!$H$3:$H$152,"&lt;="&amp;DATE(2024,12,31),'2024数据'!$AG$3:$AG$152,$E361)</f>
        <v>0</v>
      </c>
    </row>
    <row r="362" ht="24" customHeight="1" spans="1:17">
      <c r="A362" s="99" t="s">
        <v>345</v>
      </c>
      <c r="B362" s="99" t="s">
        <v>299</v>
      </c>
      <c r="C362" s="99" t="s">
        <v>291</v>
      </c>
      <c r="D362" s="48" t="s">
        <v>298</v>
      </c>
      <c r="E362" s="48" t="s">
        <v>83</v>
      </c>
      <c r="F362" s="105">
        <f>COUNTIFS('2024数据'!$H$3:$H$152,"&gt;="&amp;DATE(2024,1,1),'2024数据'!$H$3:$H$152,"&lt;="&amp;DATE(2024,1,31),'2024数据'!$AG$3:$AG$152,$E362)</f>
        <v>0</v>
      </c>
      <c r="G362" s="105">
        <f>COUNTIFS('2024数据'!$H$3:$H$152,"&gt;="&amp;DATE(2024,2,1),'2024数据'!$H$3:$H$152,"&lt;="&amp;DATE(2024,2,29),'2024数据'!$AG$3:$AG$152,$E362)</f>
        <v>0</v>
      </c>
      <c r="H362" s="105">
        <f>COUNTIFS('2024数据'!$H$3:$H$152,"&gt;="&amp;DATE(2024,3,1),'2024数据'!$H$3:$H$152,"&lt;="&amp;DATE(2024,3,31),'2024数据'!$AG$3:$AG$152,$E362)</f>
        <v>0</v>
      </c>
      <c r="I362" s="105">
        <f>COUNTIFS('2024数据'!$H$3:$H$152,"&gt;="&amp;DATE(2024,4,1),'2024数据'!$H$3:$H$152,"&lt;="&amp;DATE(2024,4,30),'2024数据'!$AG$3:$AG$152,$E362)</f>
        <v>1</v>
      </c>
      <c r="J362" s="105">
        <f>COUNTIFS('2024数据'!$H$3:$H$152,"&gt;="&amp;DATE(2024,5,1),'2024数据'!$H$3:$H$152,"&lt;="&amp;DATE(2024,5,31),'2024数据'!$AG$3:$AG$152,$E362)</f>
        <v>0</v>
      </c>
      <c r="K362" s="105">
        <f>COUNTIFS('2024数据'!$H$3:$H$152,"&gt;="&amp;DATE(2024,6,1),'2024数据'!$H$3:$H$152,"&lt;="&amp;DATE(2024,6,30),'2024数据'!$AG$3:$AG$152,$E362)</f>
        <v>0</v>
      </c>
      <c r="L362" s="105">
        <f>COUNTIFS('2024数据'!$H$3:$H$152,"&gt;="&amp;DATE(2024,7,1),'2024数据'!$H$3:$H$152,"&lt;="&amp;DATE(2024,7,31),'2024数据'!$AG$3:$AG$152,$E362)</f>
        <v>0</v>
      </c>
      <c r="M362" s="105">
        <f>COUNTIFS('2024数据'!$H$3:$H$152,"&gt;="&amp;DATE(2024,8,1),'2024数据'!$H$3:$H$152,"&lt;="&amp;DATE(2024,8,31),'2024数据'!$AG$3:$AG$152,$E362)</f>
        <v>0</v>
      </c>
      <c r="N362" s="105">
        <f>COUNTIFS('2024数据'!$H$3:$H$152,"&gt;="&amp;DATE(2024,9,1),'2024数据'!$H$3:$H$152,"&lt;="&amp;DATE(2024,9,30),'2024数据'!$AG$3:$AG$152,$E362)</f>
        <v>0</v>
      </c>
      <c r="O362" s="105">
        <f>COUNTIFS('2024数据'!$H$3:$H$152,"&gt;="&amp;DATE(2024,10,1),'2024数据'!$H$3:$H$152,"&lt;="&amp;DATE(2024,10,31),'2024数据'!$AG$3:$AG$152,$E362)</f>
        <v>0</v>
      </c>
      <c r="P362" s="105">
        <f>COUNTIFS('2024数据'!$H$3:$H$152,"&gt;="&amp;DATE(2024,11,1),'2024数据'!$H$3:$H$152,"&lt;="&amp;DATE(2024,11,30),'2024数据'!$AG$3:$AG$152,$E362)</f>
        <v>0</v>
      </c>
      <c r="Q362" s="105">
        <f>COUNTIFS('2024数据'!$H$3:$H$152,"&gt;="&amp;DATE(2024,12,1),'2024数据'!$H$3:$H$152,"&lt;="&amp;DATE(2024,12,31),'2024数据'!$AG$3:$AG$152,$E362)</f>
        <v>0</v>
      </c>
    </row>
    <row r="363" ht="24" customHeight="1" spans="1:17">
      <c r="A363" s="99" t="s">
        <v>345</v>
      </c>
      <c r="B363" s="99" t="s">
        <v>308</v>
      </c>
      <c r="C363" s="99" t="s">
        <v>309</v>
      </c>
      <c r="D363" s="100" t="s">
        <v>292</v>
      </c>
      <c r="E363" s="100" t="s">
        <v>310</v>
      </c>
      <c r="F363" s="104">
        <f t="shared" ref="F363:Q363" si="231">IF((SUM(F364:F369)-MAX(F381,F388))&lt;0,"ERR",SUM(F364:F369))</f>
        <v>1</v>
      </c>
      <c r="G363" s="104">
        <f t="shared" si="231"/>
        <v>0</v>
      </c>
      <c r="H363" s="104">
        <f t="shared" si="231"/>
        <v>1</v>
      </c>
      <c r="I363" s="104">
        <f t="shared" si="231"/>
        <v>2</v>
      </c>
      <c r="J363" s="104">
        <f t="shared" si="231"/>
        <v>1</v>
      </c>
      <c r="K363" s="104">
        <f t="shared" si="231"/>
        <v>1</v>
      </c>
      <c r="L363" s="104">
        <f t="shared" si="231"/>
        <v>2</v>
      </c>
      <c r="M363" s="104">
        <f t="shared" si="231"/>
        <v>2</v>
      </c>
      <c r="N363" s="104">
        <f t="shared" si="231"/>
        <v>2</v>
      </c>
      <c r="O363" s="104">
        <f t="shared" si="231"/>
        <v>2</v>
      </c>
      <c r="P363" s="104">
        <f t="shared" si="231"/>
        <v>2</v>
      </c>
      <c r="Q363" s="104">
        <f t="shared" si="231"/>
        <v>1</v>
      </c>
    </row>
    <row r="364" ht="24" customHeight="1" spans="1:17">
      <c r="A364" s="99" t="s">
        <v>345</v>
      </c>
      <c r="B364" s="99" t="s">
        <v>308</v>
      </c>
      <c r="C364" s="99" t="s">
        <v>309</v>
      </c>
      <c r="D364" s="48" t="s">
        <v>31</v>
      </c>
      <c r="E364" s="48" t="s">
        <v>406</v>
      </c>
      <c r="F364" s="105">
        <f t="shared" ref="F364:Q364" si="232">F396-F416</f>
        <v>0</v>
      </c>
      <c r="G364" s="105">
        <f t="shared" si="232"/>
        <v>0</v>
      </c>
      <c r="H364" s="105">
        <f t="shared" si="232"/>
        <v>0</v>
      </c>
      <c r="I364" s="105">
        <f t="shared" si="232"/>
        <v>1</v>
      </c>
      <c r="J364" s="105">
        <f t="shared" si="232"/>
        <v>0</v>
      </c>
      <c r="K364" s="105">
        <f t="shared" si="232"/>
        <v>0</v>
      </c>
      <c r="L364" s="105">
        <f t="shared" si="232"/>
        <v>1</v>
      </c>
      <c r="M364" s="105">
        <f t="shared" si="232"/>
        <v>0</v>
      </c>
      <c r="N364" s="105">
        <f t="shared" si="232"/>
        <v>0</v>
      </c>
      <c r="O364" s="105">
        <f t="shared" si="232"/>
        <v>0</v>
      </c>
      <c r="P364" s="105">
        <f t="shared" si="232"/>
        <v>0</v>
      </c>
      <c r="Q364" s="105">
        <f t="shared" si="232"/>
        <v>0</v>
      </c>
    </row>
    <row r="365" ht="24" customHeight="1" spans="1:17">
      <c r="A365" s="99" t="s">
        <v>345</v>
      </c>
      <c r="B365" s="99" t="s">
        <v>308</v>
      </c>
      <c r="C365" s="99" t="s">
        <v>309</v>
      </c>
      <c r="D365" s="48" t="s">
        <v>31</v>
      </c>
      <c r="E365" s="48" t="s">
        <v>82</v>
      </c>
      <c r="F365" s="105">
        <f t="shared" ref="F365:Q365" si="233">F397-F417</f>
        <v>0</v>
      </c>
      <c r="G365" s="105">
        <f t="shared" si="233"/>
        <v>0</v>
      </c>
      <c r="H365" s="105">
        <f t="shared" si="233"/>
        <v>0</v>
      </c>
      <c r="I365" s="105">
        <f t="shared" si="233"/>
        <v>0</v>
      </c>
      <c r="J365" s="105">
        <f t="shared" si="233"/>
        <v>0</v>
      </c>
      <c r="K365" s="105">
        <f t="shared" si="233"/>
        <v>0</v>
      </c>
      <c r="L365" s="105">
        <f t="shared" si="233"/>
        <v>0</v>
      </c>
      <c r="M365" s="105">
        <f t="shared" si="233"/>
        <v>1</v>
      </c>
      <c r="N365" s="105">
        <f t="shared" si="233"/>
        <v>1</v>
      </c>
      <c r="O365" s="105">
        <f t="shared" si="233"/>
        <v>0</v>
      </c>
      <c r="P365" s="105">
        <f t="shared" si="233"/>
        <v>0</v>
      </c>
      <c r="Q365" s="105">
        <f t="shared" si="233"/>
        <v>0</v>
      </c>
    </row>
    <row r="366" ht="24" customHeight="1" spans="1:17">
      <c r="A366" s="99" t="s">
        <v>345</v>
      </c>
      <c r="B366" s="99" t="s">
        <v>308</v>
      </c>
      <c r="C366" s="99" t="s">
        <v>309</v>
      </c>
      <c r="D366" s="48" t="s">
        <v>31</v>
      </c>
      <c r="E366" s="48" t="s">
        <v>86</v>
      </c>
      <c r="F366" s="105">
        <f t="shared" ref="F366:Q366" si="234">F398-F418</f>
        <v>1</v>
      </c>
      <c r="G366" s="105">
        <f t="shared" si="234"/>
        <v>0</v>
      </c>
      <c r="H366" s="105">
        <f t="shared" si="234"/>
        <v>0</v>
      </c>
      <c r="I366" s="105">
        <f t="shared" si="234"/>
        <v>1</v>
      </c>
      <c r="J366" s="105">
        <f t="shared" si="234"/>
        <v>1</v>
      </c>
      <c r="K366" s="105">
        <f t="shared" si="234"/>
        <v>1</v>
      </c>
      <c r="L366" s="105">
        <f t="shared" si="234"/>
        <v>1</v>
      </c>
      <c r="M366" s="105">
        <f t="shared" si="234"/>
        <v>1</v>
      </c>
      <c r="N366" s="105">
        <f t="shared" si="234"/>
        <v>1</v>
      </c>
      <c r="O366" s="105">
        <f t="shared" si="234"/>
        <v>1</v>
      </c>
      <c r="P366" s="105">
        <f t="shared" si="234"/>
        <v>1</v>
      </c>
      <c r="Q366" s="105">
        <f t="shared" si="234"/>
        <v>1</v>
      </c>
    </row>
    <row r="367" ht="24" customHeight="1" spans="1:17">
      <c r="A367" s="99" t="s">
        <v>345</v>
      </c>
      <c r="B367" s="99" t="s">
        <v>308</v>
      </c>
      <c r="C367" s="99" t="s">
        <v>309</v>
      </c>
      <c r="D367" s="48" t="s">
        <v>31</v>
      </c>
      <c r="E367" s="48" t="s">
        <v>97</v>
      </c>
      <c r="F367" s="105">
        <f t="shared" ref="F367:Q367" si="235">F399-F419</f>
        <v>0</v>
      </c>
      <c r="G367" s="105">
        <f t="shared" si="235"/>
        <v>0</v>
      </c>
      <c r="H367" s="105">
        <f t="shared" si="235"/>
        <v>0</v>
      </c>
      <c r="I367" s="105">
        <f t="shared" si="235"/>
        <v>0</v>
      </c>
      <c r="J367" s="105">
        <f t="shared" si="235"/>
        <v>0</v>
      </c>
      <c r="K367" s="105">
        <f t="shared" si="235"/>
        <v>0</v>
      </c>
      <c r="L367" s="105">
        <f t="shared" si="235"/>
        <v>0</v>
      </c>
      <c r="M367" s="105">
        <f t="shared" si="235"/>
        <v>0</v>
      </c>
      <c r="N367" s="105">
        <f t="shared" si="235"/>
        <v>0</v>
      </c>
      <c r="O367" s="105">
        <f t="shared" si="235"/>
        <v>1</v>
      </c>
      <c r="P367" s="105">
        <f t="shared" si="235"/>
        <v>1</v>
      </c>
      <c r="Q367" s="105">
        <f t="shared" si="235"/>
        <v>0</v>
      </c>
    </row>
    <row r="368" ht="24" customHeight="1" spans="1:17">
      <c r="A368" s="99" t="s">
        <v>345</v>
      </c>
      <c r="B368" s="99" t="s">
        <v>308</v>
      </c>
      <c r="C368" s="99" t="s">
        <v>309</v>
      </c>
      <c r="D368" s="48" t="s">
        <v>31</v>
      </c>
      <c r="E368" s="48" t="s">
        <v>87</v>
      </c>
      <c r="F368" s="105">
        <f t="shared" ref="F368:Q368" si="236">F400-F420</f>
        <v>0</v>
      </c>
      <c r="G368" s="105">
        <f t="shared" si="236"/>
        <v>0</v>
      </c>
      <c r="H368" s="105">
        <f t="shared" si="236"/>
        <v>0</v>
      </c>
      <c r="I368" s="105">
        <f t="shared" si="236"/>
        <v>0</v>
      </c>
      <c r="J368" s="105">
        <f t="shared" si="236"/>
        <v>0</v>
      </c>
      <c r="K368" s="105">
        <f t="shared" si="236"/>
        <v>0</v>
      </c>
      <c r="L368" s="105">
        <f t="shared" si="236"/>
        <v>0</v>
      </c>
      <c r="M368" s="105">
        <f t="shared" si="236"/>
        <v>0</v>
      </c>
      <c r="N368" s="105">
        <f t="shared" si="236"/>
        <v>0</v>
      </c>
      <c r="O368" s="105">
        <f t="shared" si="236"/>
        <v>0</v>
      </c>
      <c r="P368" s="105">
        <f t="shared" si="236"/>
        <v>0</v>
      </c>
      <c r="Q368" s="105">
        <f t="shared" si="236"/>
        <v>0</v>
      </c>
    </row>
    <row r="369" ht="24" customHeight="1" spans="1:17">
      <c r="A369" s="99" t="s">
        <v>345</v>
      </c>
      <c r="B369" s="99" t="s">
        <v>308</v>
      </c>
      <c r="C369" s="99" t="s">
        <v>309</v>
      </c>
      <c r="D369" s="48" t="s">
        <v>31</v>
      </c>
      <c r="E369" s="48" t="s">
        <v>83</v>
      </c>
      <c r="F369" s="105">
        <f t="shared" ref="F369:Q369" si="237">F401-F421</f>
        <v>0</v>
      </c>
      <c r="G369" s="105">
        <f t="shared" si="237"/>
        <v>0</v>
      </c>
      <c r="H369" s="105">
        <f t="shared" si="237"/>
        <v>1</v>
      </c>
      <c r="I369" s="105">
        <f t="shared" si="237"/>
        <v>0</v>
      </c>
      <c r="J369" s="105">
        <f t="shared" si="237"/>
        <v>0</v>
      </c>
      <c r="K369" s="105">
        <f t="shared" si="237"/>
        <v>0</v>
      </c>
      <c r="L369" s="105">
        <f t="shared" si="237"/>
        <v>0</v>
      </c>
      <c r="M369" s="105">
        <f t="shared" si="237"/>
        <v>0</v>
      </c>
      <c r="N369" s="105">
        <f t="shared" si="237"/>
        <v>0</v>
      </c>
      <c r="O369" s="105">
        <f t="shared" si="237"/>
        <v>0</v>
      </c>
      <c r="P369" s="105">
        <f t="shared" si="237"/>
        <v>0</v>
      </c>
      <c r="Q369" s="105">
        <f t="shared" si="237"/>
        <v>0</v>
      </c>
    </row>
    <row r="370" ht="24" customHeight="1" spans="1:17">
      <c r="A370" s="99" t="s">
        <v>345</v>
      </c>
      <c r="B370" s="99" t="s">
        <v>308</v>
      </c>
      <c r="C370" s="99" t="s">
        <v>309</v>
      </c>
      <c r="D370" s="48" t="s">
        <v>311</v>
      </c>
      <c r="E370" s="48" t="s">
        <v>406</v>
      </c>
      <c r="F370" s="112">
        <f t="shared" ref="F370:Q370" si="238">IFERROR(F364/F363,"-")</f>
        <v>0</v>
      </c>
      <c r="G370" s="112" t="str">
        <f t="shared" si="238"/>
        <v>-</v>
      </c>
      <c r="H370" s="112">
        <f t="shared" si="238"/>
        <v>0</v>
      </c>
      <c r="I370" s="112">
        <f t="shared" si="238"/>
        <v>0.5</v>
      </c>
      <c r="J370" s="112">
        <f t="shared" si="238"/>
        <v>0</v>
      </c>
      <c r="K370" s="112">
        <f t="shared" si="238"/>
        <v>0</v>
      </c>
      <c r="L370" s="112">
        <f t="shared" si="238"/>
        <v>0.5</v>
      </c>
      <c r="M370" s="112">
        <f t="shared" si="238"/>
        <v>0</v>
      </c>
      <c r="N370" s="112">
        <f t="shared" si="238"/>
        <v>0</v>
      </c>
      <c r="O370" s="112">
        <f t="shared" si="238"/>
        <v>0</v>
      </c>
      <c r="P370" s="112">
        <f t="shared" si="238"/>
        <v>0</v>
      </c>
      <c r="Q370" s="112">
        <f t="shared" si="238"/>
        <v>0</v>
      </c>
    </row>
    <row r="371" ht="24" customHeight="1" spans="1:17">
      <c r="A371" s="99" t="s">
        <v>345</v>
      </c>
      <c r="B371" s="99" t="s">
        <v>308</v>
      </c>
      <c r="C371" s="99" t="s">
        <v>309</v>
      </c>
      <c r="D371" s="48" t="s">
        <v>311</v>
      </c>
      <c r="E371" s="48" t="s">
        <v>82</v>
      </c>
      <c r="F371" s="112">
        <f t="shared" ref="F371:Q371" si="239">IFERROR(F365/F363,"-")</f>
        <v>0</v>
      </c>
      <c r="G371" s="112" t="str">
        <f t="shared" si="239"/>
        <v>-</v>
      </c>
      <c r="H371" s="112">
        <f t="shared" si="239"/>
        <v>0</v>
      </c>
      <c r="I371" s="112">
        <f t="shared" si="239"/>
        <v>0</v>
      </c>
      <c r="J371" s="112">
        <f t="shared" si="239"/>
        <v>0</v>
      </c>
      <c r="K371" s="112">
        <f t="shared" si="239"/>
        <v>0</v>
      </c>
      <c r="L371" s="112">
        <f t="shared" si="239"/>
        <v>0</v>
      </c>
      <c r="M371" s="112">
        <f t="shared" si="239"/>
        <v>0.5</v>
      </c>
      <c r="N371" s="112">
        <f t="shared" si="239"/>
        <v>0.5</v>
      </c>
      <c r="O371" s="112">
        <f t="shared" si="239"/>
        <v>0</v>
      </c>
      <c r="P371" s="112">
        <f t="shared" si="239"/>
        <v>0</v>
      </c>
      <c r="Q371" s="112">
        <f t="shared" si="239"/>
        <v>0</v>
      </c>
    </row>
    <row r="372" ht="24" customHeight="1" spans="1:17">
      <c r="A372" s="99" t="s">
        <v>345</v>
      </c>
      <c r="B372" s="99" t="s">
        <v>308</v>
      </c>
      <c r="C372" s="99" t="s">
        <v>309</v>
      </c>
      <c r="D372" s="48" t="s">
        <v>311</v>
      </c>
      <c r="E372" s="48" t="s">
        <v>86</v>
      </c>
      <c r="F372" s="112">
        <f t="shared" ref="F372:Q372" si="240">IFERROR(F366/F363,"-")</f>
        <v>1</v>
      </c>
      <c r="G372" s="112" t="str">
        <f t="shared" si="240"/>
        <v>-</v>
      </c>
      <c r="H372" s="112">
        <f t="shared" si="240"/>
        <v>0</v>
      </c>
      <c r="I372" s="112">
        <f t="shared" si="240"/>
        <v>0.5</v>
      </c>
      <c r="J372" s="112">
        <f t="shared" si="240"/>
        <v>1</v>
      </c>
      <c r="K372" s="112">
        <f t="shared" si="240"/>
        <v>1</v>
      </c>
      <c r="L372" s="112">
        <f t="shared" si="240"/>
        <v>0.5</v>
      </c>
      <c r="M372" s="112">
        <f t="shared" si="240"/>
        <v>0.5</v>
      </c>
      <c r="N372" s="112">
        <f t="shared" si="240"/>
        <v>0.5</v>
      </c>
      <c r="O372" s="112">
        <f t="shared" si="240"/>
        <v>0.5</v>
      </c>
      <c r="P372" s="112">
        <f t="shared" si="240"/>
        <v>0.5</v>
      </c>
      <c r="Q372" s="112">
        <f t="shared" si="240"/>
        <v>1</v>
      </c>
    </row>
    <row r="373" ht="24" customHeight="1" spans="1:17">
      <c r="A373" s="99" t="s">
        <v>345</v>
      </c>
      <c r="B373" s="99" t="s">
        <v>308</v>
      </c>
      <c r="C373" s="99" t="s">
        <v>309</v>
      </c>
      <c r="D373" s="48" t="s">
        <v>311</v>
      </c>
      <c r="E373" s="48" t="s">
        <v>97</v>
      </c>
      <c r="F373" s="112">
        <f t="shared" ref="F373:Q373" si="241">IFERROR(F367/F363,"-")</f>
        <v>0</v>
      </c>
      <c r="G373" s="112" t="str">
        <f t="shared" si="241"/>
        <v>-</v>
      </c>
      <c r="H373" s="112">
        <f t="shared" si="241"/>
        <v>0</v>
      </c>
      <c r="I373" s="112">
        <f t="shared" si="241"/>
        <v>0</v>
      </c>
      <c r="J373" s="112">
        <f t="shared" si="241"/>
        <v>0</v>
      </c>
      <c r="K373" s="112">
        <f t="shared" si="241"/>
        <v>0</v>
      </c>
      <c r="L373" s="112">
        <f t="shared" si="241"/>
        <v>0</v>
      </c>
      <c r="M373" s="112">
        <f t="shared" si="241"/>
        <v>0</v>
      </c>
      <c r="N373" s="112">
        <f t="shared" si="241"/>
        <v>0</v>
      </c>
      <c r="O373" s="112">
        <f t="shared" si="241"/>
        <v>0.5</v>
      </c>
      <c r="P373" s="112">
        <f t="shared" si="241"/>
        <v>0.5</v>
      </c>
      <c r="Q373" s="112">
        <f t="shared" si="241"/>
        <v>0</v>
      </c>
    </row>
    <row r="374" ht="24" customHeight="1" spans="1:17">
      <c r="A374" s="99" t="s">
        <v>345</v>
      </c>
      <c r="B374" s="99" t="s">
        <v>308</v>
      </c>
      <c r="C374" s="99" t="s">
        <v>309</v>
      </c>
      <c r="D374" s="48" t="s">
        <v>311</v>
      </c>
      <c r="E374" s="48" t="s">
        <v>87</v>
      </c>
      <c r="F374" s="112">
        <f t="shared" ref="F374:Q374" si="242">IFERROR(F368/F363,"-")</f>
        <v>0</v>
      </c>
      <c r="G374" s="112" t="str">
        <f t="shared" si="242"/>
        <v>-</v>
      </c>
      <c r="H374" s="112">
        <f t="shared" si="242"/>
        <v>0</v>
      </c>
      <c r="I374" s="112">
        <f t="shared" si="242"/>
        <v>0</v>
      </c>
      <c r="J374" s="112">
        <f t="shared" si="242"/>
        <v>0</v>
      </c>
      <c r="K374" s="112">
        <f t="shared" si="242"/>
        <v>0</v>
      </c>
      <c r="L374" s="112">
        <f t="shared" si="242"/>
        <v>0</v>
      </c>
      <c r="M374" s="112">
        <f t="shared" si="242"/>
        <v>0</v>
      </c>
      <c r="N374" s="112">
        <f t="shared" si="242"/>
        <v>0</v>
      </c>
      <c r="O374" s="112">
        <f t="shared" si="242"/>
        <v>0</v>
      </c>
      <c r="P374" s="112">
        <f t="shared" si="242"/>
        <v>0</v>
      </c>
      <c r="Q374" s="112">
        <f t="shared" si="242"/>
        <v>0</v>
      </c>
    </row>
    <row r="375" ht="24" customHeight="1" spans="1:17">
      <c r="A375" s="99" t="s">
        <v>345</v>
      </c>
      <c r="B375" s="99" t="s">
        <v>308</v>
      </c>
      <c r="C375" s="99" t="s">
        <v>309</v>
      </c>
      <c r="D375" s="48" t="s">
        <v>311</v>
      </c>
      <c r="E375" s="48" t="s">
        <v>83</v>
      </c>
      <c r="F375" s="112">
        <f t="shared" ref="F375:Q375" si="243">IFERROR(F369/F363,"-")</f>
        <v>0</v>
      </c>
      <c r="G375" s="112" t="str">
        <f t="shared" si="243"/>
        <v>-</v>
      </c>
      <c r="H375" s="112">
        <f t="shared" si="243"/>
        <v>1</v>
      </c>
      <c r="I375" s="112">
        <f t="shared" si="243"/>
        <v>0</v>
      </c>
      <c r="J375" s="112">
        <f t="shared" si="243"/>
        <v>0</v>
      </c>
      <c r="K375" s="112">
        <f t="shared" si="243"/>
        <v>0</v>
      </c>
      <c r="L375" s="112">
        <f t="shared" si="243"/>
        <v>0</v>
      </c>
      <c r="M375" s="112">
        <f t="shared" si="243"/>
        <v>0</v>
      </c>
      <c r="N375" s="112">
        <f t="shared" si="243"/>
        <v>0</v>
      </c>
      <c r="O375" s="112">
        <f t="shared" si="243"/>
        <v>0</v>
      </c>
      <c r="P375" s="112">
        <f t="shared" si="243"/>
        <v>0</v>
      </c>
      <c r="Q375" s="112">
        <f t="shared" si="243"/>
        <v>0</v>
      </c>
    </row>
    <row r="376" ht="24" customHeight="1" spans="1:17">
      <c r="A376" s="99" t="s">
        <v>345</v>
      </c>
      <c r="B376" s="99" t="s">
        <v>308</v>
      </c>
      <c r="C376" s="99" t="s">
        <v>309</v>
      </c>
      <c r="D376" s="47" t="s">
        <v>294</v>
      </c>
      <c r="E376" s="47" t="s">
        <v>93</v>
      </c>
      <c r="F376" s="106">
        <f t="shared" ref="F376:Q376" si="244">F402-F428</f>
        <v>1</v>
      </c>
      <c r="G376" s="106">
        <f t="shared" si="244"/>
        <v>0</v>
      </c>
      <c r="H376" s="106">
        <f t="shared" si="244"/>
        <v>0</v>
      </c>
      <c r="I376" s="106">
        <f t="shared" si="244"/>
        <v>0</v>
      </c>
      <c r="J376" s="106">
        <f t="shared" si="244"/>
        <v>0</v>
      </c>
      <c r="K376" s="106">
        <f t="shared" si="244"/>
        <v>0</v>
      </c>
      <c r="L376" s="106">
        <f t="shared" si="244"/>
        <v>0</v>
      </c>
      <c r="M376" s="106">
        <f t="shared" si="244"/>
        <v>1</v>
      </c>
      <c r="N376" s="106">
        <f t="shared" si="244"/>
        <v>1</v>
      </c>
      <c r="O376" s="106">
        <f t="shared" si="244"/>
        <v>0</v>
      </c>
      <c r="P376" s="106">
        <f t="shared" si="244"/>
        <v>1</v>
      </c>
      <c r="Q376" s="106">
        <f t="shared" si="244"/>
        <v>0</v>
      </c>
    </row>
    <row r="377" ht="24" customHeight="1" spans="1:17">
      <c r="A377" s="99" t="s">
        <v>345</v>
      </c>
      <c r="B377" s="99" t="s">
        <v>308</v>
      </c>
      <c r="C377" s="99" t="s">
        <v>309</v>
      </c>
      <c r="D377" s="47" t="s">
        <v>294</v>
      </c>
      <c r="E377" s="47" t="s">
        <v>85</v>
      </c>
      <c r="F377" s="106">
        <f t="shared" ref="F377:Q377" si="245">F403-F429</f>
        <v>0</v>
      </c>
      <c r="G377" s="106">
        <f t="shared" si="245"/>
        <v>0</v>
      </c>
      <c r="H377" s="106">
        <f t="shared" si="245"/>
        <v>0</v>
      </c>
      <c r="I377" s="106">
        <f t="shared" si="245"/>
        <v>1</v>
      </c>
      <c r="J377" s="106">
        <f t="shared" si="245"/>
        <v>0</v>
      </c>
      <c r="K377" s="106">
        <f t="shared" si="245"/>
        <v>0</v>
      </c>
      <c r="L377" s="106">
        <f t="shared" si="245"/>
        <v>0</v>
      </c>
      <c r="M377" s="106">
        <f t="shared" si="245"/>
        <v>0</v>
      </c>
      <c r="N377" s="106">
        <f t="shared" si="245"/>
        <v>0</v>
      </c>
      <c r="O377" s="106">
        <f t="shared" si="245"/>
        <v>0</v>
      </c>
      <c r="P377" s="106">
        <f t="shared" si="245"/>
        <v>0</v>
      </c>
      <c r="Q377" s="106">
        <f t="shared" si="245"/>
        <v>0</v>
      </c>
    </row>
    <row r="378" ht="24" customHeight="1" spans="1:17">
      <c r="A378" s="99" t="s">
        <v>345</v>
      </c>
      <c r="B378" s="99" t="s">
        <v>308</v>
      </c>
      <c r="C378" s="99" t="s">
        <v>309</v>
      </c>
      <c r="D378" s="47" t="s">
        <v>294</v>
      </c>
      <c r="E378" s="47" t="s">
        <v>81</v>
      </c>
      <c r="F378" s="106">
        <f t="shared" ref="F378:Q378" si="246">F404-F430</f>
        <v>0</v>
      </c>
      <c r="G378" s="106">
        <f t="shared" si="246"/>
        <v>0</v>
      </c>
      <c r="H378" s="106">
        <f t="shared" si="246"/>
        <v>0</v>
      </c>
      <c r="I378" s="106">
        <f t="shared" si="246"/>
        <v>1</v>
      </c>
      <c r="J378" s="106">
        <f t="shared" si="246"/>
        <v>1</v>
      </c>
      <c r="K378" s="106">
        <f t="shared" si="246"/>
        <v>1</v>
      </c>
      <c r="L378" s="106">
        <f t="shared" si="246"/>
        <v>2</v>
      </c>
      <c r="M378" s="106">
        <f t="shared" si="246"/>
        <v>1</v>
      </c>
      <c r="N378" s="106">
        <f t="shared" si="246"/>
        <v>1</v>
      </c>
      <c r="O378" s="106">
        <f t="shared" si="246"/>
        <v>2</v>
      </c>
      <c r="P378" s="106">
        <f t="shared" si="246"/>
        <v>1</v>
      </c>
      <c r="Q378" s="106">
        <f t="shared" si="246"/>
        <v>1</v>
      </c>
    </row>
    <row r="379" ht="24" customHeight="1" spans="1:17">
      <c r="A379" s="99" t="s">
        <v>345</v>
      </c>
      <c r="B379" s="99" t="s">
        <v>308</v>
      </c>
      <c r="C379" s="99" t="s">
        <v>309</v>
      </c>
      <c r="D379" s="47" t="s">
        <v>294</v>
      </c>
      <c r="E379" s="47" t="s">
        <v>96</v>
      </c>
      <c r="F379" s="106">
        <f t="shared" ref="F379:Q379" si="247">F405-F431</f>
        <v>0</v>
      </c>
      <c r="G379" s="106">
        <f t="shared" si="247"/>
        <v>0</v>
      </c>
      <c r="H379" s="106">
        <f t="shared" si="247"/>
        <v>0</v>
      </c>
      <c r="I379" s="106">
        <f t="shared" si="247"/>
        <v>0</v>
      </c>
      <c r="J379" s="106">
        <f t="shared" si="247"/>
        <v>0</v>
      </c>
      <c r="K379" s="106">
        <f t="shared" si="247"/>
        <v>0</v>
      </c>
      <c r="L379" s="106">
        <f t="shared" si="247"/>
        <v>0</v>
      </c>
      <c r="M379" s="106">
        <f t="shared" si="247"/>
        <v>0</v>
      </c>
      <c r="N379" s="106">
        <f t="shared" si="247"/>
        <v>0</v>
      </c>
      <c r="O379" s="106">
        <f t="shared" si="247"/>
        <v>0</v>
      </c>
      <c r="P379" s="106">
        <f t="shared" si="247"/>
        <v>0</v>
      </c>
      <c r="Q379" s="106">
        <f t="shared" si="247"/>
        <v>0</v>
      </c>
    </row>
    <row r="380" ht="24" customHeight="1" spans="1:17">
      <c r="A380" s="99" t="s">
        <v>345</v>
      </c>
      <c r="B380" s="99" t="s">
        <v>308</v>
      </c>
      <c r="C380" s="99" t="s">
        <v>309</v>
      </c>
      <c r="D380" s="47" t="s">
        <v>294</v>
      </c>
      <c r="E380" s="47" t="s">
        <v>160</v>
      </c>
      <c r="F380" s="106">
        <f t="shared" ref="F380:Q380" si="248">F406-F432</f>
        <v>0</v>
      </c>
      <c r="G380" s="106">
        <f t="shared" si="248"/>
        <v>0</v>
      </c>
      <c r="H380" s="106">
        <f t="shared" si="248"/>
        <v>1</v>
      </c>
      <c r="I380" s="106">
        <f t="shared" si="248"/>
        <v>0</v>
      </c>
      <c r="J380" s="106">
        <f t="shared" si="248"/>
        <v>0</v>
      </c>
      <c r="K380" s="106">
        <f t="shared" si="248"/>
        <v>0</v>
      </c>
      <c r="L380" s="106">
        <f t="shared" si="248"/>
        <v>0</v>
      </c>
      <c r="M380" s="106">
        <f t="shared" si="248"/>
        <v>0</v>
      </c>
      <c r="N380" s="106">
        <f t="shared" si="248"/>
        <v>0</v>
      </c>
      <c r="O380" s="106">
        <f t="shared" si="248"/>
        <v>0</v>
      </c>
      <c r="P380" s="106">
        <f t="shared" si="248"/>
        <v>0</v>
      </c>
      <c r="Q380" s="106">
        <f t="shared" si="248"/>
        <v>0</v>
      </c>
    </row>
    <row r="381" ht="24" customHeight="1" spans="1:17">
      <c r="A381" s="99" t="s">
        <v>345</v>
      </c>
      <c r="B381" s="99" t="s">
        <v>308</v>
      </c>
      <c r="C381" s="99" t="s">
        <v>309</v>
      </c>
      <c r="D381" s="100" t="s">
        <v>292</v>
      </c>
      <c r="E381" s="100" t="s">
        <v>312</v>
      </c>
      <c r="F381" s="104">
        <f t="shared" ref="F381:Q381" si="249">SUM(F382:F384)</f>
        <v>1</v>
      </c>
      <c r="G381" s="104">
        <f t="shared" si="249"/>
        <v>0</v>
      </c>
      <c r="H381" s="104">
        <f t="shared" si="249"/>
        <v>0</v>
      </c>
      <c r="I381" s="104">
        <f t="shared" si="249"/>
        <v>2</v>
      </c>
      <c r="J381" s="104">
        <f t="shared" si="249"/>
        <v>1</v>
      </c>
      <c r="K381" s="104">
        <f t="shared" si="249"/>
        <v>1</v>
      </c>
      <c r="L381" s="104">
        <f t="shared" si="249"/>
        <v>2</v>
      </c>
      <c r="M381" s="104">
        <f t="shared" si="249"/>
        <v>2</v>
      </c>
      <c r="N381" s="104">
        <f t="shared" si="249"/>
        <v>2</v>
      </c>
      <c r="O381" s="104">
        <f t="shared" si="249"/>
        <v>1</v>
      </c>
      <c r="P381" s="104">
        <f t="shared" si="249"/>
        <v>2</v>
      </c>
      <c r="Q381" s="104">
        <f t="shared" si="249"/>
        <v>1</v>
      </c>
    </row>
    <row r="382" ht="24" customHeight="1" spans="1:17">
      <c r="A382" s="99" t="s">
        <v>345</v>
      </c>
      <c r="B382" s="99" t="s">
        <v>308</v>
      </c>
      <c r="C382" s="99" t="s">
        <v>309</v>
      </c>
      <c r="D382" s="48" t="s">
        <v>296</v>
      </c>
      <c r="E382" s="48" t="s">
        <v>406</v>
      </c>
      <c r="F382" s="105">
        <f t="shared" ref="F382:Q382" si="250">F408-F434</f>
        <v>0</v>
      </c>
      <c r="G382" s="105">
        <f t="shared" si="250"/>
        <v>0</v>
      </c>
      <c r="H382" s="105">
        <f t="shared" si="250"/>
        <v>0</v>
      </c>
      <c r="I382" s="105">
        <f t="shared" si="250"/>
        <v>1</v>
      </c>
      <c r="J382" s="105">
        <f t="shared" si="250"/>
        <v>0</v>
      </c>
      <c r="K382" s="105">
        <f t="shared" si="250"/>
        <v>0</v>
      </c>
      <c r="L382" s="105">
        <f t="shared" si="250"/>
        <v>1</v>
      </c>
      <c r="M382" s="105">
        <f t="shared" si="250"/>
        <v>0</v>
      </c>
      <c r="N382" s="105">
        <f t="shared" si="250"/>
        <v>0</v>
      </c>
      <c r="O382" s="105">
        <f t="shared" si="250"/>
        <v>0</v>
      </c>
      <c r="P382" s="105">
        <f t="shared" si="250"/>
        <v>0</v>
      </c>
      <c r="Q382" s="105">
        <f t="shared" si="250"/>
        <v>0</v>
      </c>
    </row>
    <row r="383" ht="24" customHeight="1" spans="1:17">
      <c r="A383" s="99" t="s">
        <v>345</v>
      </c>
      <c r="B383" s="99" t="s">
        <v>308</v>
      </c>
      <c r="C383" s="99" t="s">
        <v>309</v>
      </c>
      <c r="D383" s="48" t="s">
        <v>296</v>
      </c>
      <c r="E383" s="48" t="s">
        <v>82</v>
      </c>
      <c r="F383" s="105">
        <f t="shared" ref="F383:Q383" si="251">F409-F435</f>
        <v>0</v>
      </c>
      <c r="G383" s="105">
        <f t="shared" si="251"/>
        <v>0</v>
      </c>
      <c r="H383" s="105">
        <f t="shared" si="251"/>
        <v>0</v>
      </c>
      <c r="I383" s="105">
        <f t="shared" si="251"/>
        <v>0</v>
      </c>
      <c r="J383" s="105">
        <f t="shared" si="251"/>
        <v>0</v>
      </c>
      <c r="K383" s="105">
        <f t="shared" si="251"/>
        <v>0</v>
      </c>
      <c r="L383" s="105">
        <f t="shared" si="251"/>
        <v>0</v>
      </c>
      <c r="M383" s="105">
        <f t="shared" si="251"/>
        <v>1</v>
      </c>
      <c r="N383" s="105">
        <f t="shared" si="251"/>
        <v>1</v>
      </c>
      <c r="O383" s="105">
        <f t="shared" si="251"/>
        <v>0</v>
      </c>
      <c r="P383" s="105">
        <f t="shared" si="251"/>
        <v>1</v>
      </c>
      <c r="Q383" s="105">
        <f t="shared" si="251"/>
        <v>0</v>
      </c>
    </row>
    <row r="384" ht="24" customHeight="1" spans="1:17">
      <c r="A384" s="99" t="s">
        <v>345</v>
      </c>
      <c r="B384" s="99" t="s">
        <v>308</v>
      </c>
      <c r="C384" s="99" t="s">
        <v>309</v>
      </c>
      <c r="D384" s="48" t="s">
        <v>296</v>
      </c>
      <c r="E384" s="48" t="s">
        <v>86</v>
      </c>
      <c r="F384" s="105">
        <f t="shared" ref="F384:Q384" si="252">F410-F436</f>
        <v>1</v>
      </c>
      <c r="G384" s="105">
        <f t="shared" si="252"/>
        <v>0</v>
      </c>
      <c r="H384" s="105">
        <f t="shared" si="252"/>
        <v>0</v>
      </c>
      <c r="I384" s="105">
        <f t="shared" si="252"/>
        <v>1</v>
      </c>
      <c r="J384" s="105">
        <f t="shared" si="252"/>
        <v>1</v>
      </c>
      <c r="K384" s="105">
        <f t="shared" si="252"/>
        <v>1</v>
      </c>
      <c r="L384" s="105">
        <f t="shared" si="252"/>
        <v>1</v>
      </c>
      <c r="M384" s="105">
        <f t="shared" si="252"/>
        <v>1</v>
      </c>
      <c r="N384" s="105">
        <f t="shared" si="252"/>
        <v>1</v>
      </c>
      <c r="O384" s="105">
        <f t="shared" si="252"/>
        <v>1</v>
      </c>
      <c r="P384" s="105">
        <f t="shared" si="252"/>
        <v>1</v>
      </c>
      <c r="Q384" s="105">
        <f t="shared" si="252"/>
        <v>1</v>
      </c>
    </row>
    <row r="385" ht="24" customHeight="1" spans="1:17">
      <c r="A385" s="99" t="s">
        <v>345</v>
      </c>
      <c r="B385" s="99" t="s">
        <v>308</v>
      </c>
      <c r="C385" s="99" t="s">
        <v>309</v>
      </c>
      <c r="D385" s="48" t="s">
        <v>313</v>
      </c>
      <c r="E385" s="48" t="s">
        <v>406</v>
      </c>
      <c r="F385" s="112">
        <f t="shared" ref="F385:Q385" si="253">F382/F$79</f>
        <v>0</v>
      </c>
      <c r="G385" s="112">
        <f t="shared" si="253"/>
        <v>0</v>
      </c>
      <c r="H385" s="112">
        <f t="shared" si="253"/>
        <v>0</v>
      </c>
      <c r="I385" s="112">
        <f t="shared" si="253"/>
        <v>0.142857142857143</v>
      </c>
      <c r="J385" s="112">
        <f t="shared" si="253"/>
        <v>0</v>
      </c>
      <c r="K385" s="112">
        <f t="shared" si="253"/>
        <v>0</v>
      </c>
      <c r="L385" s="112">
        <f t="shared" si="253"/>
        <v>0.333333333333333</v>
      </c>
      <c r="M385" s="112">
        <f t="shared" si="253"/>
        <v>0</v>
      </c>
      <c r="N385" s="112">
        <f t="shared" si="253"/>
        <v>0</v>
      </c>
      <c r="O385" s="112">
        <f t="shared" si="253"/>
        <v>0</v>
      </c>
      <c r="P385" s="112">
        <f t="shared" si="253"/>
        <v>0</v>
      </c>
      <c r="Q385" s="112" t="e">
        <f t="shared" si="253"/>
        <v>#DIV/0!</v>
      </c>
    </row>
    <row r="386" ht="24" customHeight="1" spans="1:17">
      <c r="A386" s="99" t="s">
        <v>345</v>
      </c>
      <c r="B386" s="99" t="s">
        <v>308</v>
      </c>
      <c r="C386" s="99" t="s">
        <v>309</v>
      </c>
      <c r="D386" s="48" t="s">
        <v>313</v>
      </c>
      <c r="E386" s="48" t="s">
        <v>82</v>
      </c>
      <c r="F386" s="112">
        <f t="shared" ref="F386:Q386" si="254">F383/F$79</f>
        <v>0</v>
      </c>
      <c r="G386" s="112">
        <f t="shared" si="254"/>
        <v>0</v>
      </c>
      <c r="H386" s="112">
        <f t="shared" si="254"/>
        <v>0</v>
      </c>
      <c r="I386" s="112">
        <f t="shared" si="254"/>
        <v>0</v>
      </c>
      <c r="J386" s="112">
        <f t="shared" si="254"/>
        <v>0</v>
      </c>
      <c r="K386" s="112">
        <f t="shared" si="254"/>
        <v>0</v>
      </c>
      <c r="L386" s="112">
        <f t="shared" si="254"/>
        <v>0</v>
      </c>
      <c r="M386" s="112">
        <f t="shared" si="254"/>
        <v>0.5</v>
      </c>
      <c r="N386" s="112">
        <f t="shared" si="254"/>
        <v>1</v>
      </c>
      <c r="O386" s="112">
        <f t="shared" si="254"/>
        <v>0</v>
      </c>
      <c r="P386" s="112">
        <f t="shared" si="254"/>
        <v>0.5</v>
      </c>
      <c r="Q386" s="112" t="e">
        <f t="shared" si="254"/>
        <v>#DIV/0!</v>
      </c>
    </row>
    <row r="387" ht="24" customHeight="1" spans="1:17">
      <c r="A387" s="99" t="s">
        <v>345</v>
      </c>
      <c r="B387" s="99" t="s">
        <v>308</v>
      </c>
      <c r="C387" s="99" t="s">
        <v>309</v>
      </c>
      <c r="D387" s="48" t="s">
        <v>313</v>
      </c>
      <c r="E387" s="48" t="s">
        <v>86</v>
      </c>
      <c r="F387" s="112">
        <f t="shared" ref="F387:Q387" si="255">F384/F$79</f>
        <v>0.142857142857143</v>
      </c>
      <c r="G387" s="112">
        <f t="shared" si="255"/>
        <v>0</v>
      </c>
      <c r="H387" s="112">
        <f t="shared" si="255"/>
        <v>0</v>
      </c>
      <c r="I387" s="112">
        <f t="shared" si="255"/>
        <v>0.142857142857143</v>
      </c>
      <c r="J387" s="112">
        <f t="shared" si="255"/>
        <v>0.333333333333333</v>
      </c>
      <c r="K387" s="112">
        <f t="shared" si="255"/>
        <v>0.333333333333333</v>
      </c>
      <c r="L387" s="112">
        <f t="shared" si="255"/>
        <v>0.333333333333333</v>
      </c>
      <c r="M387" s="112">
        <f t="shared" si="255"/>
        <v>0.5</v>
      </c>
      <c r="N387" s="112">
        <f t="shared" si="255"/>
        <v>1</v>
      </c>
      <c r="O387" s="112">
        <f t="shared" si="255"/>
        <v>1</v>
      </c>
      <c r="P387" s="112">
        <f t="shared" si="255"/>
        <v>0.5</v>
      </c>
      <c r="Q387" s="112" t="e">
        <f t="shared" si="255"/>
        <v>#DIV/0!</v>
      </c>
    </row>
    <row r="388" ht="24" customHeight="1" spans="1:17">
      <c r="A388" s="99" t="s">
        <v>345</v>
      </c>
      <c r="B388" s="99" t="s">
        <v>308</v>
      </c>
      <c r="C388" s="99" t="s">
        <v>309</v>
      </c>
      <c r="D388" s="100" t="s">
        <v>292</v>
      </c>
      <c r="E388" s="100" t="s">
        <v>314</v>
      </c>
      <c r="F388" s="104">
        <f t="shared" ref="F388:Q388" si="256">SUM(F389:F391)</f>
        <v>1</v>
      </c>
      <c r="G388" s="104">
        <f t="shared" si="256"/>
        <v>0</v>
      </c>
      <c r="H388" s="104">
        <f t="shared" si="256"/>
        <v>1</v>
      </c>
      <c r="I388" s="104">
        <f t="shared" si="256"/>
        <v>2</v>
      </c>
      <c r="J388" s="104">
        <f t="shared" si="256"/>
        <v>1</v>
      </c>
      <c r="K388" s="104">
        <f t="shared" si="256"/>
        <v>1</v>
      </c>
      <c r="L388" s="104">
        <f t="shared" si="256"/>
        <v>2</v>
      </c>
      <c r="M388" s="104">
        <f t="shared" si="256"/>
        <v>2</v>
      </c>
      <c r="N388" s="104">
        <f t="shared" si="256"/>
        <v>2</v>
      </c>
      <c r="O388" s="104">
        <f t="shared" si="256"/>
        <v>2</v>
      </c>
      <c r="P388" s="104">
        <f t="shared" si="256"/>
        <v>2</v>
      </c>
      <c r="Q388" s="104">
        <f t="shared" si="256"/>
        <v>1</v>
      </c>
    </row>
    <row r="389" ht="24" customHeight="1" spans="1:17">
      <c r="A389" s="99" t="s">
        <v>345</v>
      </c>
      <c r="B389" s="99" t="s">
        <v>308</v>
      </c>
      <c r="C389" s="99" t="s">
        <v>309</v>
      </c>
      <c r="D389" s="48" t="s">
        <v>298</v>
      </c>
      <c r="E389" s="48" t="s">
        <v>97</v>
      </c>
      <c r="F389" s="105">
        <f t="shared" ref="F389:Q389" si="257">F412-F441</f>
        <v>1</v>
      </c>
      <c r="G389" s="105">
        <f t="shared" si="257"/>
        <v>0</v>
      </c>
      <c r="H389" s="105">
        <f t="shared" si="257"/>
        <v>0</v>
      </c>
      <c r="I389" s="105">
        <f t="shared" si="257"/>
        <v>1</v>
      </c>
      <c r="J389" s="105">
        <f t="shared" si="257"/>
        <v>0</v>
      </c>
      <c r="K389" s="105">
        <f t="shared" si="257"/>
        <v>0</v>
      </c>
      <c r="L389" s="105">
        <f t="shared" si="257"/>
        <v>1</v>
      </c>
      <c r="M389" s="105">
        <f t="shared" si="257"/>
        <v>0</v>
      </c>
      <c r="N389" s="105">
        <f t="shared" si="257"/>
        <v>0</v>
      </c>
      <c r="O389" s="105">
        <f t="shared" si="257"/>
        <v>1</v>
      </c>
      <c r="P389" s="105">
        <f t="shared" si="257"/>
        <v>1</v>
      </c>
      <c r="Q389" s="105">
        <f t="shared" si="257"/>
        <v>0</v>
      </c>
    </row>
    <row r="390" ht="24" customHeight="1" spans="1:17">
      <c r="A390" s="99" t="s">
        <v>345</v>
      </c>
      <c r="B390" s="99" t="s">
        <v>308</v>
      </c>
      <c r="C390" s="99" t="s">
        <v>309</v>
      </c>
      <c r="D390" s="48" t="s">
        <v>298</v>
      </c>
      <c r="E390" s="48" t="s">
        <v>87</v>
      </c>
      <c r="F390" s="105">
        <f t="shared" ref="F390:Q390" si="258">F413-F442</f>
        <v>0</v>
      </c>
      <c r="G390" s="105">
        <f t="shared" si="258"/>
        <v>0</v>
      </c>
      <c r="H390" s="105">
        <f t="shared" si="258"/>
        <v>0</v>
      </c>
      <c r="I390" s="105">
        <f t="shared" si="258"/>
        <v>0</v>
      </c>
      <c r="J390" s="105">
        <f t="shared" si="258"/>
        <v>0</v>
      </c>
      <c r="K390" s="105">
        <f t="shared" si="258"/>
        <v>0</v>
      </c>
      <c r="L390" s="105">
        <f t="shared" si="258"/>
        <v>0</v>
      </c>
      <c r="M390" s="105">
        <f t="shared" si="258"/>
        <v>1</v>
      </c>
      <c r="N390" s="105">
        <f t="shared" si="258"/>
        <v>1</v>
      </c>
      <c r="O390" s="105">
        <f t="shared" si="258"/>
        <v>0</v>
      </c>
      <c r="P390" s="105">
        <f t="shared" si="258"/>
        <v>0</v>
      </c>
      <c r="Q390" s="105">
        <f t="shared" si="258"/>
        <v>0</v>
      </c>
    </row>
    <row r="391" ht="24" customHeight="1" spans="1:17">
      <c r="A391" s="99" t="s">
        <v>345</v>
      </c>
      <c r="B391" s="99" t="s">
        <v>308</v>
      </c>
      <c r="C391" s="99" t="s">
        <v>309</v>
      </c>
      <c r="D391" s="48" t="s">
        <v>298</v>
      </c>
      <c r="E391" s="48" t="s">
        <v>83</v>
      </c>
      <c r="F391" s="105">
        <f t="shared" ref="F391:Q391" si="259">F414-F443</f>
        <v>0</v>
      </c>
      <c r="G391" s="105">
        <f t="shared" si="259"/>
        <v>0</v>
      </c>
      <c r="H391" s="105">
        <f t="shared" si="259"/>
        <v>1</v>
      </c>
      <c r="I391" s="105">
        <f t="shared" si="259"/>
        <v>1</v>
      </c>
      <c r="J391" s="105">
        <f t="shared" si="259"/>
        <v>1</v>
      </c>
      <c r="K391" s="105">
        <f t="shared" si="259"/>
        <v>1</v>
      </c>
      <c r="L391" s="105">
        <f t="shared" si="259"/>
        <v>1</v>
      </c>
      <c r="M391" s="105">
        <f t="shared" si="259"/>
        <v>1</v>
      </c>
      <c r="N391" s="105">
        <f t="shared" si="259"/>
        <v>1</v>
      </c>
      <c r="O391" s="105">
        <f t="shared" si="259"/>
        <v>1</v>
      </c>
      <c r="P391" s="105">
        <f t="shared" si="259"/>
        <v>1</v>
      </c>
      <c r="Q391" s="105">
        <f t="shared" si="259"/>
        <v>1</v>
      </c>
    </row>
    <row r="392" ht="24" customHeight="1" spans="1:17">
      <c r="A392" s="99" t="s">
        <v>345</v>
      </c>
      <c r="B392" s="99" t="s">
        <v>308</v>
      </c>
      <c r="C392" s="99" t="s">
        <v>309</v>
      </c>
      <c r="D392" s="48" t="s">
        <v>315</v>
      </c>
      <c r="E392" s="48" t="s">
        <v>97</v>
      </c>
      <c r="F392" s="112">
        <f t="shared" ref="F392:Q392" si="260">F389/F$86</f>
        <v>0.142857142857143</v>
      </c>
      <c r="G392" s="112">
        <f t="shared" si="260"/>
        <v>0</v>
      </c>
      <c r="H392" s="112">
        <f t="shared" si="260"/>
        <v>0</v>
      </c>
      <c r="I392" s="112">
        <f t="shared" si="260"/>
        <v>0.125</v>
      </c>
      <c r="J392" s="112">
        <f t="shared" si="260"/>
        <v>0</v>
      </c>
      <c r="K392" s="112">
        <f t="shared" si="260"/>
        <v>0</v>
      </c>
      <c r="L392" s="112">
        <f t="shared" si="260"/>
        <v>0.5</v>
      </c>
      <c r="M392" s="112">
        <f t="shared" si="260"/>
        <v>0</v>
      </c>
      <c r="N392" s="112">
        <f t="shared" si="260"/>
        <v>0</v>
      </c>
      <c r="O392" s="112">
        <f t="shared" si="260"/>
        <v>0.5</v>
      </c>
      <c r="P392" s="112">
        <f t="shared" si="260"/>
        <v>0.333333333333333</v>
      </c>
      <c r="Q392" s="112">
        <f t="shared" si="260"/>
        <v>0</v>
      </c>
    </row>
    <row r="393" ht="24" customHeight="1" spans="1:17">
      <c r="A393" s="99" t="s">
        <v>345</v>
      </c>
      <c r="B393" s="99" t="s">
        <v>308</v>
      </c>
      <c r="C393" s="99" t="s">
        <v>309</v>
      </c>
      <c r="D393" s="48" t="s">
        <v>315</v>
      </c>
      <c r="E393" s="48" t="s">
        <v>87</v>
      </c>
      <c r="F393" s="112">
        <f t="shared" ref="F393:Q393" si="261">F390/F$86</f>
        <v>0</v>
      </c>
      <c r="G393" s="112">
        <f t="shared" si="261"/>
        <v>0</v>
      </c>
      <c r="H393" s="112">
        <f t="shared" si="261"/>
        <v>0</v>
      </c>
      <c r="I393" s="112">
        <f t="shared" si="261"/>
        <v>0</v>
      </c>
      <c r="J393" s="112">
        <f t="shared" si="261"/>
        <v>0</v>
      </c>
      <c r="K393" s="112">
        <f t="shared" si="261"/>
        <v>0</v>
      </c>
      <c r="L393" s="112">
        <f t="shared" si="261"/>
        <v>0</v>
      </c>
      <c r="M393" s="112">
        <f t="shared" si="261"/>
        <v>0.5</v>
      </c>
      <c r="N393" s="112">
        <f t="shared" si="261"/>
        <v>0.333333333333333</v>
      </c>
      <c r="O393" s="112">
        <f t="shared" si="261"/>
        <v>0</v>
      </c>
      <c r="P393" s="112">
        <f t="shared" si="261"/>
        <v>0</v>
      </c>
      <c r="Q393" s="112">
        <f t="shared" si="261"/>
        <v>0</v>
      </c>
    </row>
    <row r="394" ht="24" customHeight="1" spans="1:17">
      <c r="A394" s="99" t="s">
        <v>345</v>
      </c>
      <c r="B394" s="99" t="s">
        <v>308</v>
      </c>
      <c r="C394" s="99" t="s">
        <v>309</v>
      </c>
      <c r="D394" s="48" t="s">
        <v>315</v>
      </c>
      <c r="E394" s="48" t="s">
        <v>83</v>
      </c>
      <c r="F394" s="112">
        <f t="shared" ref="F394:Q394" si="262">F391/F$86</f>
        <v>0</v>
      </c>
      <c r="G394" s="112">
        <f t="shared" si="262"/>
        <v>0</v>
      </c>
      <c r="H394" s="112">
        <f t="shared" si="262"/>
        <v>0.0833333333333333</v>
      </c>
      <c r="I394" s="112">
        <f t="shared" si="262"/>
        <v>0.125</v>
      </c>
      <c r="J394" s="112">
        <f t="shared" si="262"/>
        <v>0.5</v>
      </c>
      <c r="K394" s="112">
        <f t="shared" si="262"/>
        <v>0.5</v>
      </c>
      <c r="L394" s="112">
        <f t="shared" si="262"/>
        <v>0.5</v>
      </c>
      <c r="M394" s="112">
        <f t="shared" si="262"/>
        <v>0.5</v>
      </c>
      <c r="N394" s="112">
        <f t="shared" si="262"/>
        <v>0.333333333333333</v>
      </c>
      <c r="O394" s="112">
        <f t="shared" si="262"/>
        <v>0.5</v>
      </c>
      <c r="P394" s="112">
        <f t="shared" si="262"/>
        <v>0.333333333333333</v>
      </c>
      <c r="Q394" s="112">
        <f t="shared" si="262"/>
        <v>1</v>
      </c>
    </row>
    <row r="395" ht="24" customHeight="1" spans="1:17">
      <c r="A395" s="99" t="s">
        <v>345</v>
      </c>
      <c r="B395" s="99" t="s">
        <v>290</v>
      </c>
      <c r="C395" s="99" t="s">
        <v>316</v>
      </c>
      <c r="D395" s="100" t="s">
        <v>292</v>
      </c>
      <c r="E395" s="100" t="s">
        <v>317</v>
      </c>
      <c r="F395" s="104">
        <f t="shared" ref="F395:Q395" si="263">IF((SUM(F396:F401)-MAX(F407,F411))&lt;0,"ERR",SUM(F396:F401))</f>
        <v>3</v>
      </c>
      <c r="G395" s="104">
        <f t="shared" si="263"/>
        <v>3</v>
      </c>
      <c r="H395" s="104">
        <f t="shared" si="263"/>
        <v>4</v>
      </c>
      <c r="I395" s="104">
        <f t="shared" si="263"/>
        <v>6</v>
      </c>
      <c r="J395" s="104">
        <f t="shared" si="263"/>
        <v>8</v>
      </c>
      <c r="K395" s="104">
        <f t="shared" si="263"/>
        <v>8</v>
      </c>
      <c r="L395" s="104">
        <f t="shared" si="263"/>
        <v>10</v>
      </c>
      <c r="M395" s="104">
        <f t="shared" si="263"/>
        <v>11</v>
      </c>
      <c r="N395" s="104">
        <f t="shared" si="263"/>
        <v>11</v>
      </c>
      <c r="O395" s="104">
        <f t="shared" si="263"/>
        <v>12</v>
      </c>
      <c r="P395" s="104">
        <f t="shared" si="263"/>
        <v>13</v>
      </c>
      <c r="Q395" s="104">
        <f t="shared" si="263"/>
        <v>13</v>
      </c>
    </row>
    <row r="396" ht="24" customHeight="1" spans="1:17">
      <c r="A396" s="99" t="s">
        <v>345</v>
      </c>
      <c r="B396" s="99" t="s">
        <v>290</v>
      </c>
      <c r="C396" s="99" t="s">
        <v>316</v>
      </c>
      <c r="D396" s="48" t="s">
        <v>31</v>
      </c>
      <c r="E396" s="48" t="s">
        <v>406</v>
      </c>
      <c r="F396" s="105">
        <f t="shared" ref="F396:F406" si="264">F306</f>
        <v>1</v>
      </c>
      <c r="G396" s="105">
        <f t="shared" ref="G396:Q396" si="265">G306+F396</f>
        <v>1</v>
      </c>
      <c r="H396" s="105">
        <f t="shared" si="265"/>
        <v>1</v>
      </c>
      <c r="I396" s="105">
        <f t="shared" si="265"/>
        <v>2</v>
      </c>
      <c r="J396" s="105">
        <f t="shared" si="265"/>
        <v>3</v>
      </c>
      <c r="K396" s="105">
        <f t="shared" si="265"/>
        <v>3</v>
      </c>
      <c r="L396" s="105">
        <f t="shared" si="265"/>
        <v>5</v>
      </c>
      <c r="M396" s="105">
        <f t="shared" si="265"/>
        <v>5</v>
      </c>
      <c r="N396" s="105">
        <f t="shared" si="265"/>
        <v>5</v>
      </c>
      <c r="O396" s="105">
        <f t="shared" si="265"/>
        <v>5</v>
      </c>
      <c r="P396" s="105">
        <f t="shared" si="265"/>
        <v>5</v>
      </c>
      <c r="Q396" s="105">
        <f t="shared" si="265"/>
        <v>5</v>
      </c>
    </row>
    <row r="397" ht="24" customHeight="1" spans="1:17">
      <c r="A397" s="99" t="s">
        <v>345</v>
      </c>
      <c r="B397" s="99" t="s">
        <v>290</v>
      </c>
      <c r="C397" s="99" t="s">
        <v>316</v>
      </c>
      <c r="D397" s="48" t="s">
        <v>31</v>
      </c>
      <c r="E397" s="48" t="s">
        <v>82</v>
      </c>
      <c r="F397" s="105">
        <f t="shared" si="264"/>
        <v>0</v>
      </c>
      <c r="G397" s="105">
        <f t="shared" ref="G397:Q397" si="266">G307+F397</f>
        <v>0</v>
      </c>
      <c r="H397" s="105">
        <f t="shared" si="266"/>
        <v>0</v>
      </c>
      <c r="I397" s="105">
        <f t="shared" si="266"/>
        <v>0</v>
      </c>
      <c r="J397" s="105">
        <f t="shared" si="266"/>
        <v>0</v>
      </c>
      <c r="K397" s="105">
        <f t="shared" si="266"/>
        <v>0</v>
      </c>
      <c r="L397" s="105">
        <f t="shared" si="266"/>
        <v>0</v>
      </c>
      <c r="M397" s="105">
        <f t="shared" si="266"/>
        <v>1</v>
      </c>
      <c r="N397" s="105">
        <f t="shared" si="266"/>
        <v>1</v>
      </c>
      <c r="O397" s="105">
        <f t="shared" si="266"/>
        <v>1</v>
      </c>
      <c r="P397" s="105">
        <f t="shared" si="266"/>
        <v>1</v>
      </c>
      <c r="Q397" s="105">
        <f t="shared" si="266"/>
        <v>1</v>
      </c>
    </row>
    <row r="398" ht="24" customHeight="1" spans="1:17">
      <c r="A398" s="99" t="s">
        <v>345</v>
      </c>
      <c r="B398" s="99" t="s">
        <v>290</v>
      </c>
      <c r="C398" s="99" t="s">
        <v>316</v>
      </c>
      <c r="D398" s="48" t="s">
        <v>31</v>
      </c>
      <c r="E398" s="48" t="s">
        <v>86</v>
      </c>
      <c r="F398" s="105">
        <f t="shared" si="264"/>
        <v>1</v>
      </c>
      <c r="G398" s="105">
        <f t="shared" ref="G398:Q398" si="267">G308+F398</f>
        <v>1</v>
      </c>
      <c r="H398" s="105">
        <f t="shared" si="267"/>
        <v>1</v>
      </c>
      <c r="I398" s="105">
        <f t="shared" si="267"/>
        <v>2</v>
      </c>
      <c r="J398" s="105">
        <f t="shared" si="267"/>
        <v>2</v>
      </c>
      <c r="K398" s="105">
        <f t="shared" si="267"/>
        <v>2</v>
      </c>
      <c r="L398" s="105">
        <f t="shared" si="267"/>
        <v>2</v>
      </c>
      <c r="M398" s="105">
        <f t="shared" si="267"/>
        <v>2</v>
      </c>
      <c r="N398" s="105">
        <f t="shared" si="267"/>
        <v>2</v>
      </c>
      <c r="O398" s="105">
        <f t="shared" si="267"/>
        <v>2</v>
      </c>
      <c r="P398" s="105">
        <f t="shared" si="267"/>
        <v>2</v>
      </c>
      <c r="Q398" s="105">
        <f t="shared" si="267"/>
        <v>2</v>
      </c>
    </row>
    <row r="399" ht="24" customHeight="1" spans="1:17">
      <c r="A399" s="99" t="s">
        <v>345</v>
      </c>
      <c r="B399" s="99" t="s">
        <v>290</v>
      </c>
      <c r="C399" s="99" t="s">
        <v>316</v>
      </c>
      <c r="D399" s="48" t="s">
        <v>31</v>
      </c>
      <c r="E399" s="48" t="s">
        <v>97</v>
      </c>
      <c r="F399" s="105">
        <f t="shared" si="264"/>
        <v>1</v>
      </c>
      <c r="G399" s="105">
        <f t="shared" ref="G399:Q399" si="268">G309+F399</f>
        <v>1</v>
      </c>
      <c r="H399" s="105">
        <f t="shared" si="268"/>
        <v>1</v>
      </c>
      <c r="I399" s="105">
        <f t="shared" si="268"/>
        <v>1</v>
      </c>
      <c r="J399" s="105">
        <f t="shared" si="268"/>
        <v>1</v>
      </c>
      <c r="K399" s="105">
        <f t="shared" si="268"/>
        <v>1</v>
      </c>
      <c r="L399" s="105">
        <f t="shared" si="268"/>
        <v>1</v>
      </c>
      <c r="M399" s="105">
        <f t="shared" si="268"/>
        <v>1</v>
      </c>
      <c r="N399" s="105">
        <f t="shared" si="268"/>
        <v>1</v>
      </c>
      <c r="O399" s="105">
        <f t="shared" si="268"/>
        <v>2</v>
      </c>
      <c r="P399" s="105">
        <f t="shared" si="268"/>
        <v>3</v>
      </c>
      <c r="Q399" s="105">
        <f t="shared" si="268"/>
        <v>3</v>
      </c>
    </row>
    <row r="400" ht="24" customHeight="1" spans="1:17">
      <c r="A400" s="99" t="s">
        <v>345</v>
      </c>
      <c r="B400" s="99" t="s">
        <v>290</v>
      </c>
      <c r="C400" s="99" t="s">
        <v>316</v>
      </c>
      <c r="D400" s="48" t="s">
        <v>31</v>
      </c>
      <c r="E400" s="48" t="s">
        <v>87</v>
      </c>
      <c r="F400" s="105">
        <f t="shared" si="264"/>
        <v>0</v>
      </c>
      <c r="G400" s="105">
        <f t="shared" ref="G400:Q400" si="269">G310+F400</f>
        <v>0</v>
      </c>
      <c r="H400" s="105">
        <f t="shared" si="269"/>
        <v>0</v>
      </c>
      <c r="I400" s="105">
        <f t="shared" si="269"/>
        <v>0</v>
      </c>
      <c r="J400" s="105">
        <f t="shared" si="269"/>
        <v>1</v>
      </c>
      <c r="K400" s="105">
        <f t="shared" si="269"/>
        <v>1</v>
      </c>
      <c r="L400" s="105">
        <f t="shared" si="269"/>
        <v>1</v>
      </c>
      <c r="M400" s="105">
        <f t="shared" si="269"/>
        <v>1</v>
      </c>
      <c r="N400" s="105">
        <f t="shared" si="269"/>
        <v>1</v>
      </c>
      <c r="O400" s="105">
        <f t="shared" si="269"/>
        <v>1</v>
      </c>
      <c r="P400" s="105">
        <f t="shared" si="269"/>
        <v>1</v>
      </c>
      <c r="Q400" s="105">
        <f t="shared" si="269"/>
        <v>1</v>
      </c>
    </row>
    <row r="401" ht="24" customHeight="1" spans="1:17">
      <c r="A401" s="99" t="s">
        <v>345</v>
      </c>
      <c r="B401" s="99" t="s">
        <v>290</v>
      </c>
      <c r="C401" s="99" t="s">
        <v>316</v>
      </c>
      <c r="D401" s="48" t="s">
        <v>31</v>
      </c>
      <c r="E401" s="48" t="s">
        <v>83</v>
      </c>
      <c r="F401" s="105">
        <f t="shared" si="264"/>
        <v>0</v>
      </c>
      <c r="G401" s="105">
        <f t="shared" ref="G401:Q401" si="270">G311+F401</f>
        <v>0</v>
      </c>
      <c r="H401" s="105">
        <f t="shared" si="270"/>
        <v>1</v>
      </c>
      <c r="I401" s="105">
        <f t="shared" si="270"/>
        <v>1</v>
      </c>
      <c r="J401" s="105">
        <f t="shared" si="270"/>
        <v>1</v>
      </c>
      <c r="K401" s="105">
        <f t="shared" si="270"/>
        <v>1</v>
      </c>
      <c r="L401" s="105">
        <f t="shared" si="270"/>
        <v>1</v>
      </c>
      <c r="M401" s="105">
        <f t="shared" si="270"/>
        <v>1</v>
      </c>
      <c r="N401" s="105">
        <f t="shared" si="270"/>
        <v>1</v>
      </c>
      <c r="O401" s="105">
        <f t="shared" si="270"/>
        <v>1</v>
      </c>
      <c r="P401" s="105">
        <f t="shared" si="270"/>
        <v>1</v>
      </c>
      <c r="Q401" s="105">
        <f t="shared" si="270"/>
        <v>1</v>
      </c>
    </row>
    <row r="402" ht="24" customHeight="1" spans="1:17">
      <c r="A402" s="99" t="s">
        <v>345</v>
      </c>
      <c r="B402" s="99" t="s">
        <v>290</v>
      </c>
      <c r="C402" s="99" t="s">
        <v>316</v>
      </c>
      <c r="D402" s="47" t="s">
        <v>294</v>
      </c>
      <c r="E402" s="47" t="s">
        <v>93</v>
      </c>
      <c r="F402" s="106">
        <f t="shared" si="264"/>
        <v>2</v>
      </c>
      <c r="G402" s="106">
        <f t="shared" ref="G402:Q402" si="271">G312+F402</f>
        <v>2</v>
      </c>
      <c r="H402" s="106">
        <f t="shared" si="271"/>
        <v>2</v>
      </c>
      <c r="I402" s="106">
        <f t="shared" si="271"/>
        <v>2</v>
      </c>
      <c r="J402" s="106">
        <f t="shared" si="271"/>
        <v>2</v>
      </c>
      <c r="K402" s="106">
        <f t="shared" si="271"/>
        <v>2</v>
      </c>
      <c r="L402" s="106">
        <f t="shared" si="271"/>
        <v>2</v>
      </c>
      <c r="M402" s="106">
        <f t="shared" si="271"/>
        <v>3</v>
      </c>
      <c r="N402" s="106">
        <f t="shared" si="271"/>
        <v>3</v>
      </c>
      <c r="O402" s="106">
        <f t="shared" si="271"/>
        <v>3</v>
      </c>
      <c r="P402" s="106">
        <f t="shared" si="271"/>
        <v>4</v>
      </c>
      <c r="Q402" s="106">
        <f t="shared" si="271"/>
        <v>4</v>
      </c>
    </row>
    <row r="403" ht="24" customHeight="1" spans="1:17">
      <c r="A403" s="99" t="s">
        <v>345</v>
      </c>
      <c r="B403" s="99" t="s">
        <v>290</v>
      </c>
      <c r="C403" s="99" t="s">
        <v>316</v>
      </c>
      <c r="D403" s="47" t="s">
        <v>294</v>
      </c>
      <c r="E403" s="47" t="s">
        <v>85</v>
      </c>
      <c r="F403" s="106">
        <f t="shared" si="264"/>
        <v>0</v>
      </c>
      <c r="G403" s="106">
        <f t="shared" ref="G403:Q403" si="272">G313+F403</f>
        <v>0</v>
      </c>
      <c r="H403" s="106">
        <f t="shared" si="272"/>
        <v>0</v>
      </c>
      <c r="I403" s="106">
        <f t="shared" si="272"/>
        <v>1</v>
      </c>
      <c r="J403" s="106">
        <f t="shared" si="272"/>
        <v>1</v>
      </c>
      <c r="K403" s="106">
        <f t="shared" si="272"/>
        <v>1</v>
      </c>
      <c r="L403" s="106">
        <f t="shared" si="272"/>
        <v>1</v>
      </c>
      <c r="M403" s="106">
        <f t="shared" si="272"/>
        <v>1</v>
      </c>
      <c r="N403" s="106">
        <f t="shared" si="272"/>
        <v>1</v>
      </c>
      <c r="O403" s="106">
        <f t="shared" si="272"/>
        <v>1</v>
      </c>
      <c r="P403" s="106">
        <f t="shared" si="272"/>
        <v>1</v>
      </c>
      <c r="Q403" s="106">
        <f t="shared" si="272"/>
        <v>1</v>
      </c>
    </row>
    <row r="404" ht="24" customHeight="1" spans="1:17">
      <c r="A404" s="99" t="s">
        <v>345</v>
      </c>
      <c r="B404" s="99" t="s">
        <v>290</v>
      </c>
      <c r="C404" s="99" t="s">
        <v>316</v>
      </c>
      <c r="D404" s="47" t="s">
        <v>294</v>
      </c>
      <c r="E404" s="47" t="s">
        <v>81</v>
      </c>
      <c r="F404" s="106">
        <f t="shared" si="264"/>
        <v>1</v>
      </c>
      <c r="G404" s="106">
        <f t="shared" ref="G404:Q404" si="273">G314+F404</f>
        <v>1</v>
      </c>
      <c r="H404" s="106">
        <f t="shared" si="273"/>
        <v>1</v>
      </c>
      <c r="I404" s="106">
        <f t="shared" si="273"/>
        <v>2</v>
      </c>
      <c r="J404" s="106">
        <f t="shared" si="273"/>
        <v>3</v>
      </c>
      <c r="K404" s="106">
        <f t="shared" si="273"/>
        <v>3</v>
      </c>
      <c r="L404" s="106">
        <f t="shared" si="273"/>
        <v>4</v>
      </c>
      <c r="M404" s="106">
        <f t="shared" si="273"/>
        <v>4</v>
      </c>
      <c r="N404" s="106">
        <f t="shared" si="273"/>
        <v>4</v>
      </c>
      <c r="O404" s="106">
        <f t="shared" si="273"/>
        <v>5</v>
      </c>
      <c r="P404" s="106">
        <f t="shared" si="273"/>
        <v>5</v>
      </c>
      <c r="Q404" s="106">
        <f t="shared" si="273"/>
        <v>5</v>
      </c>
    </row>
    <row r="405" ht="24" customHeight="1" spans="1:17">
      <c r="A405" s="99" t="s">
        <v>345</v>
      </c>
      <c r="B405" s="99" t="s">
        <v>290</v>
      </c>
      <c r="C405" s="99" t="s">
        <v>316</v>
      </c>
      <c r="D405" s="47" t="s">
        <v>294</v>
      </c>
      <c r="E405" s="47" t="s">
        <v>96</v>
      </c>
      <c r="F405" s="106">
        <f t="shared" si="264"/>
        <v>0</v>
      </c>
      <c r="G405" s="106">
        <f t="shared" ref="G405:Q405" si="274">G315+F405</f>
        <v>0</v>
      </c>
      <c r="H405" s="106">
        <f t="shared" si="274"/>
        <v>0</v>
      </c>
      <c r="I405" s="106">
        <f t="shared" si="274"/>
        <v>0</v>
      </c>
      <c r="J405" s="106">
        <f t="shared" si="274"/>
        <v>1</v>
      </c>
      <c r="K405" s="106">
        <f t="shared" si="274"/>
        <v>1</v>
      </c>
      <c r="L405" s="106">
        <f t="shared" si="274"/>
        <v>2</v>
      </c>
      <c r="M405" s="106">
        <f t="shared" si="274"/>
        <v>2</v>
      </c>
      <c r="N405" s="106">
        <f t="shared" si="274"/>
        <v>2</v>
      </c>
      <c r="O405" s="106">
        <f t="shared" si="274"/>
        <v>2</v>
      </c>
      <c r="P405" s="106">
        <f t="shared" si="274"/>
        <v>2</v>
      </c>
      <c r="Q405" s="106">
        <f t="shared" si="274"/>
        <v>2</v>
      </c>
    </row>
    <row r="406" ht="24" customHeight="1" spans="1:17">
      <c r="A406" s="99" t="s">
        <v>345</v>
      </c>
      <c r="B406" s="99" t="s">
        <v>290</v>
      </c>
      <c r="C406" s="99" t="s">
        <v>316</v>
      </c>
      <c r="D406" s="47" t="s">
        <v>294</v>
      </c>
      <c r="E406" s="47" t="s">
        <v>160</v>
      </c>
      <c r="F406" s="106">
        <f t="shared" si="264"/>
        <v>0</v>
      </c>
      <c r="G406" s="106">
        <f t="shared" ref="G406:Q406" si="275">G316+F406</f>
        <v>0</v>
      </c>
      <c r="H406" s="106">
        <f t="shared" si="275"/>
        <v>1</v>
      </c>
      <c r="I406" s="106">
        <f t="shared" si="275"/>
        <v>1</v>
      </c>
      <c r="J406" s="106">
        <f t="shared" si="275"/>
        <v>1</v>
      </c>
      <c r="K406" s="106">
        <f t="shared" si="275"/>
        <v>1</v>
      </c>
      <c r="L406" s="106">
        <f t="shared" si="275"/>
        <v>1</v>
      </c>
      <c r="M406" s="106">
        <f t="shared" si="275"/>
        <v>1</v>
      </c>
      <c r="N406" s="106">
        <f t="shared" si="275"/>
        <v>1</v>
      </c>
      <c r="O406" s="106">
        <f t="shared" si="275"/>
        <v>1</v>
      </c>
      <c r="P406" s="106">
        <f t="shared" si="275"/>
        <v>1</v>
      </c>
      <c r="Q406" s="106">
        <f t="shared" si="275"/>
        <v>1</v>
      </c>
    </row>
    <row r="407" ht="24" customHeight="1" spans="1:17">
      <c r="A407" s="99" t="s">
        <v>345</v>
      </c>
      <c r="B407" s="99" t="s">
        <v>290</v>
      </c>
      <c r="C407" s="99" t="s">
        <v>316</v>
      </c>
      <c r="D407" s="100" t="s">
        <v>292</v>
      </c>
      <c r="E407" s="100" t="s">
        <v>318</v>
      </c>
      <c r="F407" s="104">
        <f t="shared" ref="F407:Q407" si="276">SUM(F408:F410)</f>
        <v>3</v>
      </c>
      <c r="G407" s="104">
        <f t="shared" si="276"/>
        <v>3</v>
      </c>
      <c r="H407" s="104">
        <f t="shared" si="276"/>
        <v>3</v>
      </c>
      <c r="I407" s="104">
        <f t="shared" si="276"/>
        <v>5</v>
      </c>
      <c r="J407" s="104">
        <f t="shared" si="276"/>
        <v>6</v>
      </c>
      <c r="K407" s="104">
        <f t="shared" si="276"/>
        <v>6</v>
      </c>
      <c r="L407" s="104">
        <f t="shared" si="276"/>
        <v>8</v>
      </c>
      <c r="M407" s="104">
        <f t="shared" si="276"/>
        <v>9</v>
      </c>
      <c r="N407" s="104">
        <f t="shared" si="276"/>
        <v>9</v>
      </c>
      <c r="O407" s="104">
        <f t="shared" si="276"/>
        <v>9</v>
      </c>
      <c r="P407" s="104">
        <f t="shared" si="276"/>
        <v>10</v>
      </c>
      <c r="Q407" s="104">
        <f t="shared" si="276"/>
        <v>10</v>
      </c>
    </row>
    <row r="408" ht="24" customHeight="1" spans="1:17">
      <c r="A408" s="99" t="s">
        <v>345</v>
      </c>
      <c r="B408" s="99" t="s">
        <v>290</v>
      </c>
      <c r="C408" s="99" t="s">
        <v>316</v>
      </c>
      <c r="D408" s="48" t="s">
        <v>296</v>
      </c>
      <c r="E408" s="48" t="s">
        <v>406</v>
      </c>
      <c r="F408" s="105">
        <f t="shared" ref="F408:F410" si="277">F318</f>
        <v>1</v>
      </c>
      <c r="G408" s="105">
        <f t="shared" ref="G408:Q408" si="278">G318+F408</f>
        <v>1</v>
      </c>
      <c r="H408" s="105">
        <f t="shared" si="278"/>
        <v>1</v>
      </c>
      <c r="I408" s="105">
        <f t="shared" si="278"/>
        <v>2</v>
      </c>
      <c r="J408" s="105">
        <f t="shared" si="278"/>
        <v>3</v>
      </c>
      <c r="K408" s="105">
        <f t="shared" si="278"/>
        <v>3</v>
      </c>
      <c r="L408" s="105">
        <f t="shared" si="278"/>
        <v>5</v>
      </c>
      <c r="M408" s="105">
        <f t="shared" si="278"/>
        <v>5</v>
      </c>
      <c r="N408" s="105">
        <f t="shared" si="278"/>
        <v>5</v>
      </c>
      <c r="O408" s="105">
        <f t="shared" si="278"/>
        <v>5</v>
      </c>
      <c r="P408" s="105">
        <f t="shared" si="278"/>
        <v>5</v>
      </c>
      <c r="Q408" s="105">
        <f t="shared" si="278"/>
        <v>5</v>
      </c>
    </row>
    <row r="409" ht="24" customHeight="1" spans="1:17">
      <c r="A409" s="99" t="s">
        <v>345</v>
      </c>
      <c r="B409" s="99" t="s">
        <v>290</v>
      </c>
      <c r="C409" s="99" t="s">
        <v>316</v>
      </c>
      <c r="D409" s="48" t="s">
        <v>296</v>
      </c>
      <c r="E409" s="48" t="s">
        <v>82</v>
      </c>
      <c r="F409" s="105">
        <f t="shared" si="277"/>
        <v>1</v>
      </c>
      <c r="G409" s="105">
        <f t="shared" ref="G409:Q409" si="279">G319+F409</f>
        <v>1</v>
      </c>
      <c r="H409" s="105">
        <f t="shared" si="279"/>
        <v>1</v>
      </c>
      <c r="I409" s="105">
        <f t="shared" si="279"/>
        <v>1</v>
      </c>
      <c r="J409" s="105">
        <f t="shared" si="279"/>
        <v>1</v>
      </c>
      <c r="K409" s="105">
        <f t="shared" si="279"/>
        <v>1</v>
      </c>
      <c r="L409" s="105">
        <f t="shared" si="279"/>
        <v>1</v>
      </c>
      <c r="M409" s="105">
        <f t="shared" si="279"/>
        <v>2</v>
      </c>
      <c r="N409" s="105">
        <f t="shared" si="279"/>
        <v>2</v>
      </c>
      <c r="O409" s="105">
        <f t="shared" si="279"/>
        <v>2</v>
      </c>
      <c r="P409" s="105">
        <f t="shared" si="279"/>
        <v>3</v>
      </c>
      <c r="Q409" s="105">
        <f t="shared" si="279"/>
        <v>3</v>
      </c>
    </row>
    <row r="410" ht="24" customHeight="1" spans="1:17">
      <c r="A410" s="99" t="s">
        <v>345</v>
      </c>
      <c r="B410" s="99" t="s">
        <v>290</v>
      </c>
      <c r="C410" s="99" t="s">
        <v>316</v>
      </c>
      <c r="D410" s="48" t="s">
        <v>296</v>
      </c>
      <c r="E410" s="48" t="s">
        <v>86</v>
      </c>
      <c r="F410" s="105">
        <f t="shared" si="277"/>
        <v>1</v>
      </c>
      <c r="G410" s="105">
        <f t="shared" ref="G410:Q410" si="280">G320+F410</f>
        <v>1</v>
      </c>
      <c r="H410" s="105">
        <f t="shared" si="280"/>
        <v>1</v>
      </c>
      <c r="I410" s="105">
        <f t="shared" si="280"/>
        <v>2</v>
      </c>
      <c r="J410" s="105">
        <f t="shared" si="280"/>
        <v>2</v>
      </c>
      <c r="K410" s="105">
        <f t="shared" si="280"/>
        <v>2</v>
      </c>
      <c r="L410" s="105">
        <f t="shared" si="280"/>
        <v>2</v>
      </c>
      <c r="M410" s="105">
        <f t="shared" si="280"/>
        <v>2</v>
      </c>
      <c r="N410" s="105">
        <f t="shared" si="280"/>
        <v>2</v>
      </c>
      <c r="O410" s="105">
        <f t="shared" si="280"/>
        <v>2</v>
      </c>
      <c r="P410" s="105">
        <f t="shared" si="280"/>
        <v>2</v>
      </c>
      <c r="Q410" s="105">
        <f t="shared" si="280"/>
        <v>2</v>
      </c>
    </row>
    <row r="411" ht="24" customHeight="1" spans="1:17">
      <c r="A411" s="99" t="s">
        <v>345</v>
      </c>
      <c r="B411" s="99" t="s">
        <v>290</v>
      </c>
      <c r="C411" s="99" t="s">
        <v>316</v>
      </c>
      <c r="D411" s="100" t="s">
        <v>292</v>
      </c>
      <c r="E411" s="100" t="s">
        <v>319</v>
      </c>
      <c r="F411" s="104">
        <f t="shared" ref="F411:M411" si="281">SUM(F412:F414)</f>
        <v>3</v>
      </c>
      <c r="G411" s="104">
        <f t="shared" si="281"/>
        <v>3</v>
      </c>
      <c r="H411" s="104">
        <f t="shared" si="281"/>
        <v>4</v>
      </c>
      <c r="I411" s="104">
        <f t="shared" si="281"/>
        <v>6</v>
      </c>
      <c r="J411" s="104">
        <f t="shared" si="281"/>
        <v>7</v>
      </c>
      <c r="K411" s="104">
        <f t="shared" si="281"/>
        <v>7</v>
      </c>
      <c r="L411" s="104">
        <f t="shared" si="281"/>
        <v>8</v>
      </c>
      <c r="M411" s="104">
        <f t="shared" si="281"/>
        <v>9</v>
      </c>
      <c r="N411" s="104"/>
      <c r="O411" s="104"/>
      <c r="P411" s="104"/>
      <c r="Q411" s="104"/>
    </row>
    <row r="412" ht="24" customHeight="1" spans="1:17">
      <c r="A412" s="99" t="s">
        <v>345</v>
      </c>
      <c r="B412" s="99" t="s">
        <v>290</v>
      </c>
      <c r="C412" s="99" t="s">
        <v>316</v>
      </c>
      <c r="D412" s="48" t="s">
        <v>298</v>
      </c>
      <c r="E412" s="48" t="s">
        <v>97</v>
      </c>
      <c r="F412" s="105">
        <f t="shared" ref="F412:F414" si="282">F322</f>
        <v>3</v>
      </c>
      <c r="G412" s="105">
        <f t="shared" ref="G412:Q412" si="283">G322+F412</f>
        <v>3</v>
      </c>
      <c r="H412" s="105">
        <f t="shared" si="283"/>
        <v>3</v>
      </c>
      <c r="I412" s="105">
        <f t="shared" si="283"/>
        <v>4</v>
      </c>
      <c r="J412" s="105">
        <f t="shared" si="283"/>
        <v>4</v>
      </c>
      <c r="K412" s="105">
        <f t="shared" si="283"/>
        <v>4</v>
      </c>
      <c r="L412" s="105">
        <f t="shared" si="283"/>
        <v>5</v>
      </c>
      <c r="M412" s="105">
        <f t="shared" si="283"/>
        <v>5</v>
      </c>
      <c r="N412" s="105">
        <f t="shared" si="283"/>
        <v>5</v>
      </c>
      <c r="O412" s="105">
        <f t="shared" si="283"/>
        <v>6</v>
      </c>
      <c r="P412" s="105">
        <f t="shared" si="283"/>
        <v>7</v>
      </c>
      <c r="Q412" s="105">
        <f t="shared" si="283"/>
        <v>7</v>
      </c>
    </row>
    <row r="413" ht="24" customHeight="1" spans="1:17">
      <c r="A413" s="99" t="s">
        <v>345</v>
      </c>
      <c r="B413" s="99" t="s">
        <v>290</v>
      </c>
      <c r="C413" s="99" t="s">
        <v>316</v>
      </c>
      <c r="D413" s="48" t="s">
        <v>298</v>
      </c>
      <c r="E413" s="48" t="s">
        <v>87</v>
      </c>
      <c r="F413" s="105">
        <f t="shared" si="282"/>
        <v>0</v>
      </c>
      <c r="G413" s="105">
        <f t="shared" ref="G413:Q413" si="284">G323+F413</f>
        <v>0</v>
      </c>
      <c r="H413" s="105">
        <f t="shared" si="284"/>
        <v>0</v>
      </c>
      <c r="I413" s="105">
        <f t="shared" si="284"/>
        <v>0</v>
      </c>
      <c r="J413" s="105">
        <f t="shared" si="284"/>
        <v>1</v>
      </c>
      <c r="K413" s="105">
        <f t="shared" si="284"/>
        <v>1</v>
      </c>
      <c r="L413" s="105">
        <f t="shared" si="284"/>
        <v>1</v>
      </c>
      <c r="M413" s="105">
        <f t="shared" si="284"/>
        <v>2</v>
      </c>
      <c r="N413" s="105">
        <f t="shared" si="284"/>
        <v>2</v>
      </c>
      <c r="O413" s="105">
        <f t="shared" si="284"/>
        <v>2</v>
      </c>
      <c r="P413" s="105">
        <f t="shared" si="284"/>
        <v>2</v>
      </c>
      <c r="Q413" s="105">
        <f t="shared" si="284"/>
        <v>2</v>
      </c>
    </row>
    <row r="414" ht="24" customHeight="1" spans="1:17">
      <c r="A414" s="99" t="s">
        <v>345</v>
      </c>
      <c r="B414" s="99" t="s">
        <v>290</v>
      </c>
      <c r="C414" s="99" t="s">
        <v>316</v>
      </c>
      <c r="D414" s="48" t="s">
        <v>298</v>
      </c>
      <c r="E414" s="48" t="s">
        <v>83</v>
      </c>
      <c r="F414" s="105">
        <f t="shared" si="282"/>
        <v>0</v>
      </c>
      <c r="G414" s="105">
        <f t="shared" ref="G414:Q414" si="285">G324+F414</f>
        <v>0</v>
      </c>
      <c r="H414" s="105">
        <f t="shared" si="285"/>
        <v>1</v>
      </c>
      <c r="I414" s="105">
        <f t="shared" si="285"/>
        <v>2</v>
      </c>
      <c r="J414" s="105">
        <f t="shared" si="285"/>
        <v>2</v>
      </c>
      <c r="K414" s="105">
        <f t="shared" si="285"/>
        <v>2</v>
      </c>
      <c r="L414" s="105">
        <f t="shared" si="285"/>
        <v>2</v>
      </c>
      <c r="M414" s="105">
        <f t="shared" si="285"/>
        <v>2</v>
      </c>
      <c r="N414" s="105">
        <f t="shared" si="285"/>
        <v>2</v>
      </c>
      <c r="O414" s="105">
        <f t="shared" si="285"/>
        <v>2</v>
      </c>
      <c r="P414" s="105">
        <f t="shared" si="285"/>
        <v>2</v>
      </c>
      <c r="Q414" s="105">
        <f t="shared" si="285"/>
        <v>2</v>
      </c>
    </row>
    <row r="415" ht="24" customHeight="1" spans="1:17">
      <c r="A415" s="99" t="s">
        <v>345</v>
      </c>
      <c r="B415" s="99" t="s">
        <v>299</v>
      </c>
      <c r="C415" s="99" t="s">
        <v>316</v>
      </c>
      <c r="D415" s="100" t="s">
        <v>292</v>
      </c>
      <c r="E415" s="100" t="s">
        <v>320</v>
      </c>
      <c r="F415" s="104">
        <f t="shared" ref="F415:Q415" si="286">IF((SUM(F416:F421)-MAX(F433,F440))&lt;0,"ERR",SUM(F416:F421))</f>
        <v>2</v>
      </c>
      <c r="G415" s="104">
        <f t="shared" si="286"/>
        <v>3</v>
      </c>
      <c r="H415" s="104">
        <f t="shared" si="286"/>
        <v>3</v>
      </c>
      <c r="I415" s="104">
        <f t="shared" si="286"/>
        <v>4</v>
      </c>
      <c r="J415" s="104">
        <f t="shared" si="286"/>
        <v>7</v>
      </c>
      <c r="K415" s="104">
        <f t="shared" si="286"/>
        <v>7</v>
      </c>
      <c r="L415" s="104">
        <f t="shared" si="286"/>
        <v>8</v>
      </c>
      <c r="M415" s="104">
        <f t="shared" si="286"/>
        <v>9</v>
      </c>
      <c r="N415" s="104">
        <f t="shared" si="286"/>
        <v>9</v>
      </c>
      <c r="O415" s="104">
        <f t="shared" si="286"/>
        <v>10</v>
      </c>
      <c r="P415" s="104">
        <f t="shared" si="286"/>
        <v>11</v>
      </c>
      <c r="Q415" s="104">
        <f t="shared" si="286"/>
        <v>12</v>
      </c>
    </row>
    <row r="416" ht="24" customHeight="1" spans="1:17">
      <c r="A416" s="99" t="s">
        <v>345</v>
      </c>
      <c r="B416" s="99" t="s">
        <v>299</v>
      </c>
      <c r="C416" s="99" t="s">
        <v>316</v>
      </c>
      <c r="D416" s="48" t="s">
        <v>31</v>
      </c>
      <c r="E416" s="48" t="s">
        <v>406</v>
      </c>
      <c r="F416" s="105">
        <f t="shared" ref="F416:F421" si="287">F326</f>
        <v>1</v>
      </c>
      <c r="G416" s="105">
        <f t="shared" ref="G416:Q416" si="288">G326+F416</f>
        <v>1</v>
      </c>
      <c r="H416" s="105">
        <f t="shared" si="288"/>
        <v>1</v>
      </c>
      <c r="I416" s="105">
        <f t="shared" si="288"/>
        <v>1</v>
      </c>
      <c r="J416" s="105">
        <f t="shared" si="288"/>
        <v>3</v>
      </c>
      <c r="K416" s="105">
        <f t="shared" si="288"/>
        <v>3</v>
      </c>
      <c r="L416" s="105">
        <f t="shared" si="288"/>
        <v>4</v>
      </c>
      <c r="M416" s="105">
        <f t="shared" si="288"/>
        <v>5</v>
      </c>
      <c r="N416" s="105">
        <f t="shared" si="288"/>
        <v>5</v>
      </c>
      <c r="O416" s="105">
        <f t="shared" si="288"/>
        <v>5</v>
      </c>
      <c r="P416" s="105">
        <f t="shared" si="288"/>
        <v>5</v>
      </c>
      <c r="Q416" s="105">
        <f t="shared" si="288"/>
        <v>5</v>
      </c>
    </row>
    <row r="417" ht="24" customHeight="1" spans="1:17">
      <c r="A417" s="99" t="s">
        <v>345</v>
      </c>
      <c r="B417" s="99" t="s">
        <v>299</v>
      </c>
      <c r="C417" s="99" t="s">
        <v>316</v>
      </c>
      <c r="D417" s="48" t="s">
        <v>31</v>
      </c>
      <c r="E417" s="48" t="s">
        <v>82</v>
      </c>
      <c r="F417" s="105">
        <f t="shared" si="287"/>
        <v>0</v>
      </c>
      <c r="G417" s="105">
        <f t="shared" ref="G417:Q417" si="289">G327+F417</f>
        <v>0</v>
      </c>
      <c r="H417" s="105">
        <f t="shared" si="289"/>
        <v>0</v>
      </c>
      <c r="I417" s="105">
        <f t="shared" si="289"/>
        <v>0</v>
      </c>
      <c r="J417" s="105">
        <f t="shared" si="289"/>
        <v>0</v>
      </c>
      <c r="K417" s="105">
        <f t="shared" si="289"/>
        <v>0</v>
      </c>
      <c r="L417" s="105">
        <f t="shared" si="289"/>
        <v>0</v>
      </c>
      <c r="M417" s="105">
        <f t="shared" si="289"/>
        <v>0</v>
      </c>
      <c r="N417" s="105">
        <f t="shared" si="289"/>
        <v>0</v>
      </c>
      <c r="O417" s="105">
        <f t="shared" si="289"/>
        <v>1</v>
      </c>
      <c r="P417" s="105">
        <f t="shared" si="289"/>
        <v>1</v>
      </c>
      <c r="Q417" s="105">
        <f t="shared" si="289"/>
        <v>1</v>
      </c>
    </row>
    <row r="418" ht="24" customHeight="1" spans="1:17">
      <c r="A418" s="99" t="s">
        <v>345</v>
      </c>
      <c r="B418" s="99" t="s">
        <v>299</v>
      </c>
      <c r="C418" s="99" t="s">
        <v>316</v>
      </c>
      <c r="D418" s="48" t="s">
        <v>31</v>
      </c>
      <c r="E418" s="48" t="s">
        <v>86</v>
      </c>
      <c r="F418" s="105">
        <f t="shared" si="287"/>
        <v>0</v>
      </c>
      <c r="G418" s="105">
        <f t="shared" ref="G418:Q418" si="290">G328+F418</f>
        <v>1</v>
      </c>
      <c r="H418" s="105">
        <f t="shared" si="290"/>
        <v>1</v>
      </c>
      <c r="I418" s="105">
        <f t="shared" si="290"/>
        <v>1</v>
      </c>
      <c r="J418" s="105">
        <f t="shared" si="290"/>
        <v>1</v>
      </c>
      <c r="K418" s="105">
        <f t="shared" si="290"/>
        <v>1</v>
      </c>
      <c r="L418" s="105">
        <f t="shared" si="290"/>
        <v>1</v>
      </c>
      <c r="M418" s="105">
        <f t="shared" si="290"/>
        <v>1</v>
      </c>
      <c r="N418" s="105">
        <f t="shared" si="290"/>
        <v>1</v>
      </c>
      <c r="O418" s="105">
        <f t="shared" si="290"/>
        <v>1</v>
      </c>
      <c r="P418" s="105">
        <f t="shared" si="290"/>
        <v>1</v>
      </c>
      <c r="Q418" s="105">
        <f t="shared" si="290"/>
        <v>1</v>
      </c>
    </row>
    <row r="419" ht="24" customHeight="1" spans="1:17">
      <c r="A419" s="99" t="s">
        <v>345</v>
      </c>
      <c r="B419" s="99" t="s">
        <v>299</v>
      </c>
      <c r="C419" s="99" t="s">
        <v>316</v>
      </c>
      <c r="D419" s="48" t="s">
        <v>31</v>
      </c>
      <c r="E419" s="48" t="s">
        <v>97</v>
      </c>
      <c r="F419" s="105">
        <f t="shared" si="287"/>
        <v>1</v>
      </c>
      <c r="G419" s="105">
        <f t="shared" ref="G419:Q419" si="291">G329+F419</f>
        <v>1</v>
      </c>
      <c r="H419" s="105">
        <f t="shared" si="291"/>
        <v>1</v>
      </c>
      <c r="I419" s="105">
        <f t="shared" si="291"/>
        <v>1</v>
      </c>
      <c r="J419" s="105">
        <f t="shared" si="291"/>
        <v>1</v>
      </c>
      <c r="K419" s="105">
        <f t="shared" si="291"/>
        <v>1</v>
      </c>
      <c r="L419" s="105">
        <f t="shared" si="291"/>
        <v>1</v>
      </c>
      <c r="M419" s="105">
        <f t="shared" si="291"/>
        <v>1</v>
      </c>
      <c r="N419" s="105">
        <f t="shared" si="291"/>
        <v>1</v>
      </c>
      <c r="O419" s="105">
        <f t="shared" si="291"/>
        <v>1</v>
      </c>
      <c r="P419" s="105">
        <f t="shared" si="291"/>
        <v>2</v>
      </c>
      <c r="Q419" s="105">
        <f t="shared" si="291"/>
        <v>3</v>
      </c>
    </row>
    <row r="420" ht="24" customHeight="1" spans="1:17">
      <c r="A420" s="99" t="s">
        <v>345</v>
      </c>
      <c r="B420" s="99" t="s">
        <v>299</v>
      </c>
      <c r="C420" s="99" t="s">
        <v>316</v>
      </c>
      <c r="D420" s="48" t="s">
        <v>31</v>
      </c>
      <c r="E420" s="48" t="s">
        <v>87</v>
      </c>
      <c r="F420" s="105">
        <f t="shared" si="287"/>
        <v>0</v>
      </c>
      <c r="G420" s="105">
        <f t="shared" ref="G420:Q420" si="292">G330+F420</f>
        <v>0</v>
      </c>
      <c r="H420" s="105">
        <f t="shared" si="292"/>
        <v>0</v>
      </c>
      <c r="I420" s="105">
        <f t="shared" si="292"/>
        <v>0</v>
      </c>
      <c r="J420" s="105">
        <f t="shared" si="292"/>
        <v>1</v>
      </c>
      <c r="K420" s="105">
        <f t="shared" si="292"/>
        <v>1</v>
      </c>
      <c r="L420" s="105">
        <f t="shared" si="292"/>
        <v>1</v>
      </c>
      <c r="M420" s="105">
        <f t="shared" si="292"/>
        <v>1</v>
      </c>
      <c r="N420" s="105">
        <f t="shared" si="292"/>
        <v>1</v>
      </c>
      <c r="O420" s="105">
        <f t="shared" si="292"/>
        <v>1</v>
      </c>
      <c r="P420" s="105">
        <f t="shared" si="292"/>
        <v>1</v>
      </c>
      <c r="Q420" s="105">
        <f t="shared" si="292"/>
        <v>1</v>
      </c>
    </row>
    <row r="421" ht="24" customHeight="1" spans="1:17">
      <c r="A421" s="99" t="s">
        <v>345</v>
      </c>
      <c r="B421" s="99" t="s">
        <v>299</v>
      </c>
      <c r="C421" s="99" t="s">
        <v>316</v>
      </c>
      <c r="D421" s="48" t="s">
        <v>31</v>
      </c>
      <c r="E421" s="48" t="s">
        <v>83</v>
      </c>
      <c r="F421" s="105">
        <f t="shared" si="287"/>
        <v>0</v>
      </c>
      <c r="G421" s="105">
        <f t="shared" ref="G421:Q421" si="293">G331+F421</f>
        <v>0</v>
      </c>
      <c r="H421" s="105">
        <f t="shared" si="293"/>
        <v>0</v>
      </c>
      <c r="I421" s="105">
        <f t="shared" si="293"/>
        <v>1</v>
      </c>
      <c r="J421" s="105">
        <f t="shared" si="293"/>
        <v>1</v>
      </c>
      <c r="K421" s="105">
        <f t="shared" si="293"/>
        <v>1</v>
      </c>
      <c r="L421" s="105">
        <f t="shared" si="293"/>
        <v>1</v>
      </c>
      <c r="M421" s="105">
        <f t="shared" si="293"/>
        <v>1</v>
      </c>
      <c r="N421" s="105">
        <f t="shared" si="293"/>
        <v>1</v>
      </c>
      <c r="O421" s="105">
        <f t="shared" si="293"/>
        <v>1</v>
      </c>
      <c r="P421" s="105">
        <f t="shared" si="293"/>
        <v>1</v>
      </c>
      <c r="Q421" s="105">
        <f t="shared" si="293"/>
        <v>1</v>
      </c>
    </row>
    <row r="422" ht="24" customHeight="1" spans="1:17">
      <c r="A422" s="99" t="s">
        <v>345</v>
      </c>
      <c r="B422" s="99" t="s">
        <v>299</v>
      </c>
      <c r="C422" s="99" t="s">
        <v>316</v>
      </c>
      <c r="D422" s="48" t="s">
        <v>321</v>
      </c>
      <c r="E422" s="48" t="s">
        <v>406</v>
      </c>
      <c r="F422" s="112">
        <f t="shared" ref="F422:Q422" si="294">IFERROR(F416/F415,"-")</f>
        <v>0.5</v>
      </c>
      <c r="G422" s="112">
        <f t="shared" si="294"/>
        <v>0.333333333333333</v>
      </c>
      <c r="H422" s="112">
        <f t="shared" si="294"/>
        <v>0.333333333333333</v>
      </c>
      <c r="I422" s="112">
        <f t="shared" si="294"/>
        <v>0.25</v>
      </c>
      <c r="J422" s="112">
        <f t="shared" si="294"/>
        <v>0.428571428571429</v>
      </c>
      <c r="K422" s="112">
        <f t="shared" si="294"/>
        <v>0.428571428571429</v>
      </c>
      <c r="L422" s="112">
        <f t="shared" si="294"/>
        <v>0.5</v>
      </c>
      <c r="M422" s="112">
        <f t="shared" si="294"/>
        <v>0.555555555555556</v>
      </c>
      <c r="N422" s="112">
        <f t="shared" si="294"/>
        <v>0.555555555555556</v>
      </c>
      <c r="O422" s="112">
        <f t="shared" si="294"/>
        <v>0.5</v>
      </c>
      <c r="P422" s="112">
        <f t="shared" si="294"/>
        <v>0.454545454545455</v>
      </c>
      <c r="Q422" s="112">
        <f t="shared" si="294"/>
        <v>0.416666666666667</v>
      </c>
    </row>
    <row r="423" ht="24" customHeight="1" spans="1:17">
      <c r="A423" s="99" t="s">
        <v>345</v>
      </c>
      <c r="B423" s="99" t="s">
        <v>299</v>
      </c>
      <c r="C423" s="99" t="s">
        <v>316</v>
      </c>
      <c r="D423" s="48" t="s">
        <v>321</v>
      </c>
      <c r="E423" s="48" t="s">
        <v>82</v>
      </c>
      <c r="F423" s="112">
        <f t="shared" ref="F423:Q423" si="295">IFERROR(F417/F415,"-")</f>
        <v>0</v>
      </c>
      <c r="G423" s="112">
        <f t="shared" si="295"/>
        <v>0</v>
      </c>
      <c r="H423" s="112">
        <f t="shared" si="295"/>
        <v>0</v>
      </c>
      <c r="I423" s="112">
        <f t="shared" si="295"/>
        <v>0</v>
      </c>
      <c r="J423" s="112">
        <f t="shared" si="295"/>
        <v>0</v>
      </c>
      <c r="K423" s="112">
        <f t="shared" si="295"/>
        <v>0</v>
      </c>
      <c r="L423" s="112">
        <f t="shared" si="295"/>
        <v>0</v>
      </c>
      <c r="M423" s="112">
        <f t="shared" si="295"/>
        <v>0</v>
      </c>
      <c r="N423" s="112">
        <f t="shared" si="295"/>
        <v>0</v>
      </c>
      <c r="O423" s="112">
        <f t="shared" si="295"/>
        <v>0.1</v>
      </c>
      <c r="P423" s="112">
        <f t="shared" si="295"/>
        <v>0.0909090909090909</v>
      </c>
      <c r="Q423" s="112">
        <f t="shared" si="295"/>
        <v>0.0833333333333333</v>
      </c>
    </row>
    <row r="424" ht="24" customHeight="1" spans="1:17">
      <c r="A424" s="99" t="s">
        <v>345</v>
      </c>
      <c r="B424" s="99" t="s">
        <v>299</v>
      </c>
      <c r="C424" s="99" t="s">
        <v>316</v>
      </c>
      <c r="D424" s="48" t="s">
        <v>321</v>
      </c>
      <c r="E424" s="48" t="s">
        <v>86</v>
      </c>
      <c r="F424" s="112">
        <f t="shared" ref="F424:Q424" si="296">IFERROR(F418/F415,"-")</f>
        <v>0</v>
      </c>
      <c r="G424" s="112">
        <f t="shared" si="296"/>
        <v>0.333333333333333</v>
      </c>
      <c r="H424" s="112">
        <f t="shared" si="296"/>
        <v>0.333333333333333</v>
      </c>
      <c r="I424" s="112">
        <f t="shared" si="296"/>
        <v>0.25</v>
      </c>
      <c r="J424" s="112">
        <f t="shared" si="296"/>
        <v>0.142857142857143</v>
      </c>
      <c r="K424" s="112">
        <f t="shared" si="296"/>
        <v>0.142857142857143</v>
      </c>
      <c r="L424" s="112">
        <f t="shared" si="296"/>
        <v>0.125</v>
      </c>
      <c r="M424" s="112">
        <f t="shared" si="296"/>
        <v>0.111111111111111</v>
      </c>
      <c r="N424" s="112">
        <f t="shared" si="296"/>
        <v>0.111111111111111</v>
      </c>
      <c r="O424" s="112">
        <f t="shared" si="296"/>
        <v>0.1</v>
      </c>
      <c r="P424" s="112">
        <f t="shared" si="296"/>
        <v>0.0909090909090909</v>
      </c>
      <c r="Q424" s="112">
        <f t="shared" si="296"/>
        <v>0.0833333333333333</v>
      </c>
    </row>
    <row r="425" ht="24" customHeight="1" spans="1:17">
      <c r="A425" s="99" t="s">
        <v>345</v>
      </c>
      <c r="B425" s="99" t="s">
        <v>299</v>
      </c>
      <c r="C425" s="99" t="s">
        <v>316</v>
      </c>
      <c r="D425" s="48" t="s">
        <v>321</v>
      </c>
      <c r="E425" s="48" t="s">
        <v>97</v>
      </c>
      <c r="F425" s="112">
        <f t="shared" ref="F425:Q425" si="297">IFERROR(F419/F415,"-")</f>
        <v>0.5</v>
      </c>
      <c r="G425" s="112">
        <f t="shared" si="297"/>
        <v>0.333333333333333</v>
      </c>
      <c r="H425" s="112">
        <f t="shared" si="297"/>
        <v>0.333333333333333</v>
      </c>
      <c r="I425" s="112">
        <f t="shared" si="297"/>
        <v>0.25</v>
      </c>
      <c r="J425" s="112">
        <f t="shared" si="297"/>
        <v>0.142857142857143</v>
      </c>
      <c r="K425" s="112">
        <f t="shared" si="297"/>
        <v>0.142857142857143</v>
      </c>
      <c r="L425" s="112">
        <f t="shared" si="297"/>
        <v>0.125</v>
      </c>
      <c r="M425" s="112">
        <f t="shared" si="297"/>
        <v>0.111111111111111</v>
      </c>
      <c r="N425" s="112">
        <f t="shared" si="297"/>
        <v>0.111111111111111</v>
      </c>
      <c r="O425" s="112">
        <f t="shared" si="297"/>
        <v>0.1</v>
      </c>
      <c r="P425" s="112">
        <f t="shared" si="297"/>
        <v>0.181818181818182</v>
      </c>
      <c r="Q425" s="112">
        <f t="shared" si="297"/>
        <v>0.25</v>
      </c>
    </row>
    <row r="426" ht="24" customHeight="1" spans="1:17">
      <c r="A426" s="99" t="s">
        <v>345</v>
      </c>
      <c r="B426" s="99" t="s">
        <v>299</v>
      </c>
      <c r="C426" s="99" t="s">
        <v>316</v>
      </c>
      <c r="D426" s="48" t="s">
        <v>321</v>
      </c>
      <c r="E426" s="48" t="s">
        <v>87</v>
      </c>
      <c r="F426" s="112">
        <f t="shared" ref="F426:Q426" si="298">IFERROR(F420/F415,"-")</f>
        <v>0</v>
      </c>
      <c r="G426" s="112">
        <f t="shared" si="298"/>
        <v>0</v>
      </c>
      <c r="H426" s="112">
        <f t="shared" si="298"/>
        <v>0</v>
      </c>
      <c r="I426" s="112">
        <f t="shared" si="298"/>
        <v>0</v>
      </c>
      <c r="J426" s="112">
        <f t="shared" si="298"/>
        <v>0.142857142857143</v>
      </c>
      <c r="K426" s="112">
        <f t="shared" si="298"/>
        <v>0.142857142857143</v>
      </c>
      <c r="L426" s="112">
        <f t="shared" si="298"/>
        <v>0.125</v>
      </c>
      <c r="M426" s="112">
        <f t="shared" si="298"/>
        <v>0.111111111111111</v>
      </c>
      <c r="N426" s="112">
        <f t="shared" si="298"/>
        <v>0.111111111111111</v>
      </c>
      <c r="O426" s="112">
        <f t="shared" si="298"/>
        <v>0.1</v>
      </c>
      <c r="P426" s="112">
        <f t="shared" si="298"/>
        <v>0.0909090909090909</v>
      </c>
      <c r="Q426" s="112">
        <f t="shared" si="298"/>
        <v>0.0833333333333333</v>
      </c>
    </row>
    <row r="427" ht="24" customHeight="1" spans="1:17">
      <c r="A427" s="99" t="s">
        <v>345</v>
      </c>
      <c r="B427" s="99" t="s">
        <v>299</v>
      </c>
      <c r="C427" s="99" t="s">
        <v>316</v>
      </c>
      <c r="D427" s="48" t="s">
        <v>321</v>
      </c>
      <c r="E427" s="48" t="s">
        <v>83</v>
      </c>
      <c r="F427" s="112">
        <f t="shared" ref="F427:Q427" si="299">IFERROR(F421/F415,"-")</f>
        <v>0</v>
      </c>
      <c r="G427" s="112">
        <f t="shared" si="299"/>
        <v>0</v>
      </c>
      <c r="H427" s="112">
        <f t="shared" si="299"/>
        <v>0</v>
      </c>
      <c r="I427" s="112">
        <f t="shared" si="299"/>
        <v>0.25</v>
      </c>
      <c r="J427" s="112">
        <f t="shared" si="299"/>
        <v>0.142857142857143</v>
      </c>
      <c r="K427" s="112">
        <f t="shared" si="299"/>
        <v>0.142857142857143</v>
      </c>
      <c r="L427" s="112">
        <f t="shared" si="299"/>
        <v>0.125</v>
      </c>
      <c r="M427" s="112">
        <f t="shared" si="299"/>
        <v>0.111111111111111</v>
      </c>
      <c r="N427" s="112">
        <f t="shared" si="299"/>
        <v>0.111111111111111</v>
      </c>
      <c r="O427" s="112">
        <f t="shared" si="299"/>
        <v>0.1</v>
      </c>
      <c r="P427" s="112">
        <f t="shared" si="299"/>
        <v>0.0909090909090909</v>
      </c>
      <c r="Q427" s="112">
        <f t="shared" si="299"/>
        <v>0.0833333333333333</v>
      </c>
    </row>
    <row r="428" ht="24" customHeight="1" spans="1:17">
      <c r="A428" s="99" t="s">
        <v>345</v>
      </c>
      <c r="B428" s="99" t="s">
        <v>299</v>
      </c>
      <c r="C428" s="99" t="s">
        <v>316</v>
      </c>
      <c r="D428" s="47" t="s">
        <v>294</v>
      </c>
      <c r="E428" s="47" t="s">
        <v>93</v>
      </c>
      <c r="F428" s="106">
        <f t="shared" ref="F428:F432" si="300">F332</f>
        <v>1</v>
      </c>
      <c r="G428" s="106">
        <f t="shared" ref="G428:Q428" si="301">G332+F428</f>
        <v>2</v>
      </c>
      <c r="H428" s="106">
        <f t="shared" si="301"/>
        <v>2</v>
      </c>
      <c r="I428" s="106">
        <f t="shared" si="301"/>
        <v>2</v>
      </c>
      <c r="J428" s="106">
        <f t="shared" si="301"/>
        <v>2</v>
      </c>
      <c r="K428" s="106">
        <f t="shared" si="301"/>
        <v>2</v>
      </c>
      <c r="L428" s="106">
        <f t="shared" si="301"/>
        <v>2</v>
      </c>
      <c r="M428" s="106">
        <f t="shared" si="301"/>
        <v>2</v>
      </c>
      <c r="N428" s="106">
        <f t="shared" si="301"/>
        <v>2</v>
      </c>
      <c r="O428" s="106">
        <f t="shared" si="301"/>
        <v>3</v>
      </c>
      <c r="P428" s="106">
        <f t="shared" si="301"/>
        <v>3</v>
      </c>
      <c r="Q428" s="106">
        <f t="shared" si="301"/>
        <v>4</v>
      </c>
    </row>
    <row r="429" ht="24" customHeight="1" spans="1:17">
      <c r="A429" s="99" t="s">
        <v>345</v>
      </c>
      <c r="B429" s="99" t="s">
        <v>299</v>
      </c>
      <c r="C429" s="99" t="s">
        <v>316</v>
      </c>
      <c r="D429" s="47" t="s">
        <v>294</v>
      </c>
      <c r="E429" s="47" t="s">
        <v>85</v>
      </c>
      <c r="F429" s="106">
        <f t="shared" si="300"/>
        <v>0</v>
      </c>
      <c r="G429" s="106">
        <f t="shared" ref="G429:Q429" si="302">G333+F429</f>
        <v>0</v>
      </c>
      <c r="H429" s="106">
        <f t="shared" si="302"/>
        <v>0</v>
      </c>
      <c r="I429" s="106">
        <f t="shared" si="302"/>
        <v>0</v>
      </c>
      <c r="J429" s="106">
        <f t="shared" si="302"/>
        <v>1</v>
      </c>
      <c r="K429" s="106">
        <f t="shared" si="302"/>
        <v>1</v>
      </c>
      <c r="L429" s="106">
        <f t="shared" si="302"/>
        <v>1</v>
      </c>
      <c r="M429" s="106">
        <f t="shared" si="302"/>
        <v>1</v>
      </c>
      <c r="N429" s="106">
        <f t="shared" si="302"/>
        <v>1</v>
      </c>
      <c r="O429" s="106">
        <f t="shared" si="302"/>
        <v>1</v>
      </c>
      <c r="P429" s="106">
        <f t="shared" si="302"/>
        <v>1</v>
      </c>
      <c r="Q429" s="106">
        <f t="shared" si="302"/>
        <v>1</v>
      </c>
    </row>
    <row r="430" ht="24" customHeight="1" spans="1:17">
      <c r="A430" s="99" t="s">
        <v>345</v>
      </c>
      <c r="B430" s="99" t="s">
        <v>299</v>
      </c>
      <c r="C430" s="99" t="s">
        <v>316</v>
      </c>
      <c r="D430" s="47" t="s">
        <v>294</v>
      </c>
      <c r="E430" s="47" t="s">
        <v>81</v>
      </c>
      <c r="F430" s="106">
        <f t="shared" si="300"/>
        <v>1</v>
      </c>
      <c r="G430" s="106">
        <f t="shared" ref="G430:Q430" si="303">G334+F430</f>
        <v>1</v>
      </c>
      <c r="H430" s="106">
        <f t="shared" si="303"/>
        <v>1</v>
      </c>
      <c r="I430" s="106">
        <f t="shared" si="303"/>
        <v>1</v>
      </c>
      <c r="J430" s="106">
        <f t="shared" si="303"/>
        <v>2</v>
      </c>
      <c r="K430" s="106">
        <f t="shared" si="303"/>
        <v>2</v>
      </c>
      <c r="L430" s="106">
        <f t="shared" si="303"/>
        <v>2</v>
      </c>
      <c r="M430" s="106">
        <f t="shared" si="303"/>
        <v>3</v>
      </c>
      <c r="N430" s="106">
        <f t="shared" si="303"/>
        <v>3</v>
      </c>
      <c r="O430" s="106">
        <f t="shared" si="303"/>
        <v>3</v>
      </c>
      <c r="P430" s="106">
        <f t="shared" si="303"/>
        <v>4</v>
      </c>
      <c r="Q430" s="106">
        <f t="shared" si="303"/>
        <v>4</v>
      </c>
    </row>
    <row r="431" ht="24" customHeight="1" spans="1:17">
      <c r="A431" s="99" t="s">
        <v>345</v>
      </c>
      <c r="B431" s="99" t="s">
        <v>299</v>
      </c>
      <c r="C431" s="99" t="s">
        <v>316</v>
      </c>
      <c r="D431" s="47" t="s">
        <v>294</v>
      </c>
      <c r="E431" s="47" t="s">
        <v>96</v>
      </c>
      <c r="F431" s="106">
        <f t="shared" si="300"/>
        <v>0</v>
      </c>
      <c r="G431" s="106">
        <f t="shared" ref="G431:Q431" si="304">G335+F431</f>
        <v>0</v>
      </c>
      <c r="H431" s="106">
        <f t="shared" si="304"/>
        <v>0</v>
      </c>
      <c r="I431" s="106">
        <f t="shared" si="304"/>
        <v>0</v>
      </c>
      <c r="J431" s="106">
        <f t="shared" si="304"/>
        <v>1</v>
      </c>
      <c r="K431" s="106">
        <f t="shared" si="304"/>
        <v>1</v>
      </c>
      <c r="L431" s="106">
        <f t="shared" si="304"/>
        <v>2</v>
      </c>
      <c r="M431" s="106">
        <f t="shared" si="304"/>
        <v>2</v>
      </c>
      <c r="N431" s="106">
        <f t="shared" si="304"/>
        <v>2</v>
      </c>
      <c r="O431" s="106">
        <f t="shared" si="304"/>
        <v>2</v>
      </c>
      <c r="P431" s="106">
        <f t="shared" si="304"/>
        <v>2</v>
      </c>
      <c r="Q431" s="106">
        <f t="shared" si="304"/>
        <v>2</v>
      </c>
    </row>
    <row r="432" ht="24" customHeight="1" spans="1:17">
      <c r="A432" s="99" t="s">
        <v>345</v>
      </c>
      <c r="B432" s="99" t="s">
        <v>299</v>
      </c>
      <c r="C432" s="99" t="s">
        <v>316</v>
      </c>
      <c r="D432" s="47" t="s">
        <v>294</v>
      </c>
      <c r="E432" s="47" t="s">
        <v>160</v>
      </c>
      <c r="F432" s="106">
        <f t="shared" si="300"/>
        <v>0</v>
      </c>
      <c r="G432" s="106">
        <f t="shared" ref="G432:Q432" si="305">G336+F432</f>
        <v>0</v>
      </c>
      <c r="H432" s="106">
        <f t="shared" si="305"/>
        <v>0</v>
      </c>
      <c r="I432" s="106">
        <f t="shared" si="305"/>
        <v>1</v>
      </c>
      <c r="J432" s="106">
        <f t="shared" si="305"/>
        <v>1</v>
      </c>
      <c r="K432" s="106">
        <f t="shared" si="305"/>
        <v>1</v>
      </c>
      <c r="L432" s="106">
        <f t="shared" si="305"/>
        <v>1</v>
      </c>
      <c r="M432" s="106">
        <f t="shared" si="305"/>
        <v>1</v>
      </c>
      <c r="N432" s="106">
        <f t="shared" si="305"/>
        <v>1</v>
      </c>
      <c r="O432" s="106">
        <f t="shared" si="305"/>
        <v>1</v>
      </c>
      <c r="P432" s="106">
        <f t="shared" si="305"/>
        <v>1</v>
      </c>
      <c r="Q432" s="106">
        <f t="shared" si="305"/>
        <v>1</v>
      </c>
    </row>
    <row r="433" ht="24" customHeight="1" spans="1:17">
      <c r="A433" s="99" t="s">
        <v>345</v>
      </c>
      <c r="B433" s="99" t="s">
        <v>299</v>
      </c>
      <c r="C433" s="99" t="s">
        <v>316</v>
      </c>
      <c r="D433" s="100" t="s">
        <v>292</v>
      </c>
      <c r="E433" s="100" t="s">
        <v>322</v>
      </c>
      <c r="F433" s="104">
        <f t="shared" ref="F433:Q433" si="306">SUM(F434:F436)</f>
        <v>2</v>
      </c>
      <c r="G433" s="104">
        <f t="shared" si="306"/>
        <v>3</v>
      </c>
      <c r="H433" s="104">
        <f t="shared" si="306"/>
        <v>3</v>
      </c>
      <c r="I433" s="104">
        <f t="shared" si="306"/>
        <v>3</v>
      </c>
      <c r="J433" s="104">
        <f t="shared" si="306"/>
        <v>5</v>
      </c>
      <c r="K433" s="104">
        <f t="shared" si="306"/>
        <v>5</v>
      </c>
      <c r="L433" s="104">
        <f t="shared" si="306"/>
        <v>6</v>
      </c>
      <c r="M433" s="104">
        <f t="shared" si="306"/>
        <v>7</v>
      </c>
      <c r="N433" s="104">
        <f t="shared" si="306"/>
        <v>7</v>
      </c>
      <c r="O433" s="104">
        <f t="shared" si="306"/>
        <v>8</v>
      </c>
      <c r="P433" s="104">
        <f t="shared" si="306"/>
        <v>8</v>
      </c>
      <c r="Q433" s="104">
        <f t="shared" si="306"/>
        <v>9</v>
      </c>
    </row>
    <row r="434" ht="24" customHeight="1" spans="1:17">
      <c r="A434" s="99" t="s">
        <v>345</v>
      </c>
      <c r="B434" s="99" t="s">
        <v>299</v>
      </c>
      <c r="C434" s="99" t="s">
        <v>316</v>
      </c>
      <c r="D434" s="48" t="s">
        <v>296</v>
      </c>
      <c r="E434" s="48" t="s">
        <v>406</v>
      </c>
      <c r="F434" s="105">
        <f t="shared" ref="F434:F436" si="307">F356</f>
        <v>1</v>
      </c>
      <c r="G434" s="105">
        <f t="shared" ref="G434:Q434" si="308">G356+F434</f>
        <v>1</v>
      </c>
      <c r="H434" s="105">
        <f t="shared" si="308"/>
        <v>1</v>
      </c>
      <c r="I434" s="105">
        <f t="shared" si="308"/>
        <v>1</v>
      </c>
      <c r="J434" s="105">
        <f t="shared" si="308"/>
        <v>3</v>
      </c>
      <c r="K434" s="105">
        <f t="shared" si="308"/>
        <v>3</v>
      </c>
      <c r="L434" s="105">
        <f t="shared" si="308"/>
        <v>4</v>
      </c>
      <c r="M434" s="105">
        <f t="shared" si="308"/>
        <v>5</v>
      </c>
      <c r="N434" s="105">
        <f t="shared" si="308"/>
        <v>5</v>
      </c>
      <c r="O434" s="105">
        <f t="shared" si="308"/>
        <v>5</v>
      </c>
      <c r="P434" s="105">
        <f t="shared" si="308"/>
        <v>5</v>
      </c>
      <c r="Q434" s="105">
        <f t="shared" si="308"/>
        <v>5</v>
      </c>
    </row>
    <row r="435" ht="24" customHeight="1" spans="1:17">
      <c r="A435" s="99" t="s">
        <v>345</v>
      </c>
      <c r="B435" s="99" t="s">
        <v>299</v>
      </c>
      <c r="C435" s="99" t="s">
        <v>316</v>
      </c>
      <c r="D435" s="48" t="s">
        <v>296</v>
      </c>
      <c r="E435" s="48" t="s">
        <v>82</v>
      </c>
      <c r="F435" s="105">
        <f t="shared" si="307"/>
        <v>1</v>
      </c>
      <c r="G435" s="105">
        <f t="shared" ref="G435:Q435" si="309">G357+F435</f>
        <v>1</v>
      </c>
      <c r="H435" s="105">
        <f t="shared" si="309"/>
        <v>1</v>
      </c>
      <c r="I435" s="105">
        <f t="shared" si="309"/>
        <v>1</v>
      </c>
      <c r="J435" s="105">
        <f t="shared" si="309"/>
        <v>1</v>
      </c>
      <c r="K435" s="105">
        <f t="shared" si="309"/>
        <v>1</v>
      </c>
      <c r="L435" s="105">
        <f t="shared" si="309"/>
        <v>1</v>
      </c>
      <c r="M435" s="105">
        <f t="shared" si="309"/>
        <v>1</v>
      </c>
      <c r="N435" s="105">
        <f t="shared" si="309"/>
        <v>1</v>
      </c>
      <c r="O435" s="105">
        <f t="shared" si="309"/>
        <v>2</v>
      </c>
      <c r="P435" s="105">
        <f t="shared" si="309"/>
        <v>2</v>
      </c>
      <c r="Q435" s="105">
        <f t="shared" si="309"/>
        <v>3</v>
      </c>
    </row>
    <row r="436" ht="24" customHeight="1" spans="1:17">
      <c r="A436" s="99" t="s">
        <v>345</v>
      </c>
      <c r="B436" s="99" t="s">
        <v>299</v>
      </c>
      <c r="C436" s="99" t="s">
        <v>316</v>
      </c>
      <c r="D436" s="48" t="s">
        <v>296</v>
      </c>
      <c r="E436" s="48" t="s">
        <v>86</v>
      </c>
      <c r="F436" s="105">
        <f t="shared" si="307"/>
        <v>0</v>
      </c>
      <c r="G436" s="105">
        <f t="shared" ref="G436:Q436" si="310">G358+F436</f>
        <v>1</v>
      </c>
      <c r="H436" s="105">
        <f t="shared" si="310"/>
        <v>1</v>
      </c>
      <c r="I436" s="105">
        <f t="shared" si="310"/>
        <v>1</v>
      </c>
      <c r="J436" s="105">
        <f t="shared" si="310"/>
        <v>1</v>
      </c>
      <c r="K436" s="105">
        <f t="shared" si="310"/>
        <v>1</v>
      </c>
      <c r="L436" s="105">
        <f t="shared" si="310"/>
        <v>1</v>
      </c>
      <c r="M436" s="105">
        <f t="shared" si="310"/>
        <v>1</v>
      </c>
      <c r="N436" s="105">
        <f t="shared" si="310"/>
        <v>1</v>
      </c>
      <c r="O436" s="105">
        <f t="shared" si="310"/>
        <v>1</v>
      </c>
      <c r="P436" s="105">
        <f t="shared" si="310"/>
        <v>1</v>
      </c>
      <c r="Q436" s="105">
        <f t="shared" si="310"/>
        <v>1</v>
      </c>
    </row>
    <row r="437" ht="24" customHeight="1" spans="1:17">
      <c r="A437" s="99" t="s">
        <v>345</v>
      </c>
      <c r="B437" s="99" t="s">
        <v>299</v>
      </c>
      <c r="C437" s="99" t="s">
        <v>316</v>
      </c>
      <c r="D437" s="48" t="s">
        <v>323</v>
      </c>
      <c r="E437" s="48" t="s">
        <v>406</v>
      </c>
      <c r="F437" s="112">
        <f t="shared" ref="F437:Q437" si="311">F434/F433</f>
        <v>0.5</v>
      </c>
      <c r="G437" s="112">
        <f t="shared" si="311"/>
        <v>0.333333333333333</v>
      </c>
      <c r="H437" s="112">
        <f t="shared" si="311"/>
        <v>0.333333333333333</v>
      </c>
      <c r="I437" s="112">
        <f t="shared" si="311"/>
        <v>0.333333333333333</v>
      </c>
      <c r="J437" s="112">
        <f t="shared" si="311"/>
        <v>0.6</v>
      </c>
      <c r="K437" s="112">
        <f t="shared" si="311"/>
        <v>0.6</v>
      </c>
      <c r="L437" s="112">
        <f t="shared" si="311"/>
        <v>0.666666666666667</v>
      </c>
      <c r="M437" s="112">
        <f t="shared" si="311"/>
        <v>0.714285714285714</v>
      </c>
      <c r="N437" s="112">
        <f t="shared" si="311"/>
        <v>0.714285714285714</v>
      </c>
      <c r="O437" s="112">
        <f t="shared" si="311"/>
        <v>0.625</v>
      </c>
      <c r="P437" s="112">
        <f t="shared" si="311"/>
        <v>0.625</v>
      </c>
      <c r="Q437" s="112">
        <f t="shared" si="311"/>
        <v>0.555555555555556</v>
      </c>
    </row>
    <row r="438" ht="24" customHeight="1" spans="1:17">
      <c r="A438" s="99" t="s">
        <v>345</v>
      </c>
      <c r="B438" s="99" t="s">
        <v>299</v>
      </c>
      <c r="C438" s="99" t="s">
        <v>316</v>
      </c>
      <c r="D438" s="48" t="s">
        <v>323</v>
      </c>
      <c r="E438" s="48" t="s">
        <v>82</v>
      </c>
      <c r="F438" s="112">
        <f t="shared" ref="F438:Q438" si="312">F435/F433</f>
        <v>0.5</v>
      </c>
      <c r="G438" s="112">
        <f t="shared" si="312"/>
        <v>0.333333333333333</v>
      </c>
      <c r="H438" s="112">
        <f t="shared" si="312"/>
        <v>0.333333333333333</v>
      </c>
      <c r="I438" s="112">
        <f t="shared" si="312"/>
        <v>0.333333333333333</v>
      </c>
      <c r="J438" s="112">
        <f t="shared" si="312"/>
        <v>0.2</v>
      </c>
      <c r="K438" s="112">
        <f t="shared" si="312"/>
        <v>0.2</v>
      </c>
      <c r="L438" s="112">
        <f t="shared" si="312"/>
        <v>0.166666666666667</v>
      </c>
      <c r="M438" s="112">
        <f t="shared" si="312"/>
        <v>0.142857142857143</v>
      </c>
      <c r="N438" s="112">
        <f t="shared" si="312"/>
        <v>0.142857142857143</v>
      </c>
      <c r="O438" s="112">
        <f t="shared" si="312"/>
        <v>0.25</v>
      </c>
      <c r="P438" s="112">
        <f t="shared" si="312"/>
        <v>0.25</v>
      </c>
      <c r="Q438" s="112">
        <f t="shared" si="312"/>
        <v>0.333333333333333</v>
      </c>
    </row>
    <row r="439" ht="24" customHeight="1" spans="1:17">
      <c r="A439" s="99" t="s">
        <v>345</v>
      </c>
      <c r="B439" s="99" t="s">
        <v>299</v>
      </c>
      <c r="C439" s="99" t="s">
        <v>316</v>
      </c>
      <c r="D439" s="48" t="s">
        <v>323</v>
      </c>
      <c r="E439" s="48" t="s">
        <v>86</v>
      </c>
      <c r="F439" s="112">
        <f t="shared" ref="F439:Q439" si="313">F436/F433</f>
        <v>0</v>
      </c>
      <c r="G439" s="112">
        <f t="shared" si="313"/>
        <v>0.333333333333333</v>
      </c>
      <c r="H439" s="112">
        <f t="shared" si="313"/>
        <v>0.333333333333333</v>
      </c>
      <c r="I439" s="112">
        <f t="shared" si="313"/>
        <v>0.333333333333333</v>
      </c>
      <c r="J439" s="112">
        <f t="shared" si="313"/>
        <v>0.2</v>
      </c>
      <c r="K439" s="112">
        <f t="shared" si="313"/>
        <v>0.2</v>
      </c>
      <c r="L439" s="112">
        <f t="shared" si="313"/>
        <v>0.166666666666667</v>
      </c>
      <c r="M439" s="112">
        <f t="shared" si="313"/>
        <v>0.142857142857143</v>
      </c>
      <c r="N439" s="112">
        <f t="shared" si="313"/>
        <v>0.142857142857143</v>
      </c>
      <c r="O439" s="112">
        <f t="shared" si="313"/>
        <v>0.125</v>
      </c>
      <c r="P439" s="112">
        <f t="shared" si="313"/>
        <v>0.125</v>
      </c>
      <c r="Q439" s="112">
        <f t="shared" si="313"/>
        <v>0.111111111111111</v>
      </c>
    </row>
    <row r="440" ht="24" customHeight="1" spans="1:17">
      <c r="A440" s="99" t="s">
        <v>345</v>
      </c>
      <c r="B440" s="99" t="s">
        <v>299</v>
      </c>
      <c r="C440" s="99" t="s">
        <v>316</v>
      </c>
      <c r="D440" s="100" t="s">
        <v>292</v>
      </c>
      <c r="E440" s="100" t="s">
        <v>324</v>
      </c>
      <c r="F440" s="104">
        <f t="shared" ref="F440:Q440" si="314">SUM(F441:F443)</f>
        <v>2</v>
      </c>
      <c r="G440" s="104">
        <f t="shared" si="314"/>
        <v>3</v>
      </c>
      <c r="H440" s="104">
        <f t="shared" si="314"/>
        <v>3</v>
      </c>
      <c r="I440" s="104">
        <f t="shared" si="314"/>
        <v>4</v>
      </c>
      <c r="J440" s="104">
        <f t="shared" si="314"/>
        <v>6</v>
      </c>
      <c r="K440" s="104">
        <f t="shared" si="314"/>
        <v>6</v>
      </c>
      <c r="L440" s="104">
        <f t="shared" si="314"/>
        <v>6</v>
      </c>
      <c r="M440" s="104">
        <f t="shared" si="314"/>
        <v>7</v>
      </c>
      <c r="N440" s="104">
        <f t="shared" si="314"/>
        <v>7</v>
      </c>
      <c r="O440" s="104">
        <f t="shared" si="314"/>
        <v>8</v>
      </c>
      <c r="P440" s="104">
        <f t="shared" si="314"/>
        <v>9</v>
      </c>
      <c r="Q440" s="104">
        <f t="shared" si="314"/>
        <v>10</v>
      </c>
    </row>
    <row r="441" ht="24" customHeight="1" spans="1:17">
      <c r="A441" s="99" t="s">
        <v>345</v>
      </c>
      <c r="B441" s="99" t="s">
        <v>299</v>
      </c>
      <c r="C441" s="99" t="s">
        <v>316</v>
      </c>
      <c r="D441" s="48" t="s">
        <v>298</v>
      </c>
      <c r="E441" s="48" t="s">
        <v>97</v>
      </c>
      <c r="F441" s="105">
        <f t="shared" ref="F441:F443" si="315">F360</f>
        <v>2</v>
      </c>
      <c r="G441" s="105">
        <f t="shared" ref="G441:Q441" si="316">G360+F441</f>
        <v>3</v>
      </c>
      <c r="H441" s="105">
        <f t="shared" si="316"/>
        <v>3</v>
      </c>
      <c r="I441" s="105">
        <f t="shared" si="316"/>
        <v>3</v>
      </c>
      <c r="J441" s="105">
        <f t="shared" si="316"/>
        <v>4</v>
      </c>
      <c r="K441" s="105">
        <f t="shared" si="316"/>
        <v>4</v>
      </c>
      <c r="L441" s="105">
        <f t="shared" si="316"/>
        <v>4</v>
      </c>
      <c r="M441" s="105">
        <f t="shared" si="316"/>
        <v>5</v>
      </c>
      <c r="N441" s="105">
        <f t="shared" si="316"/>
        <v>5</v>
      </c>
      <c r="O441" s="105">
        <f t="shared" si="316"/>
        <v>5</v>
      </c>
      <c r="P441" s="105">
        <f t="shared" si="316"/>
        <v>6</v>
      </c>
      <c r="Q441" s="105">
        <f t="shared" si="316"/>
        <v>7</v>
      </c>
    </row>
    <row r="442" ht="24" customHeight="1" spans="1:17">
      <c r="A442" s="99" t="s">
        <v>345</v>
      </c>
      <c r="B442" s="99" t="s">
        <v>299</v>
      </c>
      <c r="C442" s="99" t="s">
        <v>316</v>
      </c>
      <c r="D442" s="48" t="s">
        <v>298</v>
      </c>
      <c r="E442" s="48" t="s">
        <v>87</v>
      </c>
      <c r="F442" s="105">
        <f t="shared" si="315"/>
        <v>0</v>
      </c>
      <c r="G442" s="105">
        <f t="shared" ref="G442:Q442" si="317">G361+F442</f>
        <v>0</v>
      </c>
      <c r="H442" s="105">
        <f t="shared" si="317"/>
        <v>0</v>
      </c>
      <c r="I442" s="105">
        <f t="shared" si="317"/>
        <v>0</v>
      </c>
      <c r="J442" s="105">
        <f t="shared" si="317"/>
        <v>1</v>
      </c>
      <c r="K442" s="105">
        <f t="shared" si="317"/>
        <v>1</v>
      </c>
      <c r="L442" s="105">
        <f t="shared" si="317"/>
        <v>1</v>
      </c>
      <c r="M442" s="105">
        <f t="shared" si="317"/>
        <v>1</v>
      </c>
      <c r="N442" s="105">
        <f t="shared" si="317"/>
        <v>1</v>
      </c>
      <c r="O442" s="105">
        <f t="shared" si="317"/>
        <v>2</v>
      </c>
      <c r="P442" s="105">
        <f t="shared" si="317"/>
        <v>2</v>
      </c>
      <c r="Q442" s="105">
        <f t="shared" si="317"/>
        <v>2</v>
      </c>
    </row>
    <row r="443" ht="24" customHeight="1" spans="1:17">
      <c r="A443" s="99" t="s">
        <v>345</v>
      </c>
      <c r="B443" s="99" t="s">
        <v>299</v>
      </c>
      <c r="C443" s="99" t="s">
        <v>316</v>
      </c>
      <c r="D443" s="48" t="s">
        <v>298</v>
      </c>
      <c r="E443" s="48" t="s">
        <v>83</v>
      </c>
      <c r="F443" s="105">
        <f t="shared" si="315"/>
        <v>0</v>
      </c>
      <c r="G443" s="105">
        <f t="shared" ref="G443:Q443" si="318">G362+F443</f>
        <v>0</v>
      </c>
      <c r="H443" s="105">
        <f t="shared" si="318"/>
        <v>0</v>
      </c>
      <c r="I443" s="105">
        <f t="shared" si="318"/>
        <v>1</v>
      </c>
      <c r="J443" s="105">
        <f t="shared" si="318"/>
        <v>1</v>
      </c>
      <c r="K443" s="105">
        <f t="shared" si="318"/>
        <v>1</v>
      </c>
      <c r="L443" s="105">
        <f t="shared" si="318"/>
        <v>1</v>
      </c>
      <c r="M443" s="105">
        <f t="shared" si="318"/>
        <v>1</v>
      </c>
      <c r="N443" s="105">
        <f t="shared" si="318"/>
        <v>1</v>
      </c>
      <c r="O443" s="105">
        <f t="shared" si="318"/>
        <v>1</v>
      </c>
      <c r="P443" s="105">
        <f t="shared" si="318"/>
        <v>1</v>
      </c>
      <c r="Q443" s="105">
        <f t="shared" si="318"/>
        <v>1</v>
      </c>
    </row>
    <row r="444" ht="24" customHeight="1" spans="1:17">
      <c r="A444" s="99" t="s">
        <v>345</v>
      </c>
      <c r="B444" s="99" t="s">
        <v>299</v>
      </c>
      <c r="C444" s="99" t="s">
        <v>316</v>
      </c>
      <c r="D444" s="48" t="s">
        <v>325</v>
      </c>
      <c r="E444" s="48" t="s">
        <v>97</v>
      </c>
      <c r="F444" s="112">
        <f t="shared" ref="F444:Q444" si="319">F441/F440</f>
        <v>1</v>
      </c>
      <c r="G444" s="112">
        <f t="shared" si="319"/>
        <v>1</v>
      </c>
      <c r="H444" s="112">
        <f t="shared" si="319"/>
        <v>1</v>
      </c>
      <c r="I444" s="112">
        <f t="shared" si="319"/>
        <v>0.75</v>
      </c>
      <c r="J444" s="112">
        <f t="shared" si="319"/>
        <v>0.666666666666667</v>
      </c>
      <c r="K444" s="112">
        <f t="shared" si="319"/>
        <v>0.666666666666667</v>
      </c>
      <c r="L444" s="112">
        <f t="shared" si="319"/>
        <v>0.666666666666667</v>
      </c>
      <c r="M444" s="112">
        <f t="shared" si="319"/>
        <v>0.714285714285714</v>
      </c>
      <c r="N444" s="112">
        <f t="shared" si="319"/>
        <v>0.714285714285714</v>
      </c>
      <c r="O444" s="112">
        <f t="shared" si="319"/>
        <v>0.625</v>
      </c>
      <c r="P444" s="112">
        <f t="shared" si="319"/>
        <v>0.666666666666667</v>
      </c>
      <c r="Q444" s="112">
        <f t="shared" si="319"/>
        <v>0.7</v>
      </c>
    </row>
    <row r="445" ht="24" customHeight="1" spans="1:17">
      <c r="A445" s="99" t="s">
        <v>345</v>
      </c>
      <c r="B445" s="99" t="s">
        <v>299</v>
      </c>
      <c r="C445" s="99" t="s">
        <v>316</v>
      </c>
      <c r="D445" s="48" t="s">
        <v>325</v>
      </c>
      <c r="E445" s="48" t="s">
        <v>87</v>
      </c>
      <c r="F445" s="112">
        <f t="shared" ref="F445:Q445" si="320">F442/F440</f>
        <v>0</v>
      </c>
      <c r="G445" s="112">
        <f t="shared" si="320"/>
        <v>0</v>
      </c>
      <c r="H445" s="112">
        <f t="shared" si="320"/>
        <v>0</v>
      </c>
      <c r="I445" s="112">
        <f t="shared" si="320"/>
        <v>0</v>
      </c>
      <c r="J445" s="112">
        <f t="shared" si="320"/>
        <v>0.166666666666667</v>
      </c>
      <c r="K445" s="112">
        <f t="shared" si="320"/>
        <v>0.166666666666667</v>
      </c>
      <c r="L445" s="112">
        <f t="shared" si="320"/>
        <v>0.166666666666667</v>
      </c>
      <c r="M445" s="112">
        <f t="shared" si="320"/>
        <v>0.142857142857143</v>
      </c>
      <c r="N445" s="112">
        <f t="shared" si="320"/>
        <v>0.142857142857143</v>
      </c>
      <c r="O445" s="112">
        <f t="shared" si="320"/>
        <v>0.25</v>
      </c>
      <c r="P445" s="112">
        <f t="shared" si="320"/>
        <v>0.222222222222222</v>
      </c>
      <c r="Q445" s="112">
        <f t="shared" si="320"/>
        <v>0.2</v>
      </c>
    </row>
    <row r="446" ht="24" customHeight="1" spans="1:17">
      <c r="A446" s="99" t="s">
        <v>345</v>
      </c>
      <c r="B446" s="99" t="s">
        <v>299</v>
      </c>
      <c r="C446" s="99" t="s">
        <v>316</v>
      </c>
      <c r="D446" s="48" t="s">
        <v>325</v>
      </c>
      <c r="E446" s="48" t="s">
        <v>83</v>
      </c>
      <c r="F446" s="112">
        <f t="shared" ref="F446:Q446" si="321">F443/F440</f>
        <v>0</v>
      </c>
      <c r="G446" s="112">
        <f t="shared" si="321"/>
        <v>0</v>
      </c>
      <c r="H446" s="112">
        <f t="shared" si="321"/>
        <v>0</v>
      </c>
      <c r="I446" s="112">
        <f t="shared" si="321"/>
        <v>0.25</v>
      </c>
      <c r="J446" s="112">
        <f t="shared" si="321"/>
        <v>0.166666666666667</v>
      </c>
      <c r="K446" s="112">
        <f t="shared" si="321"/>
        <v>0.166666666666667</v>
      </c>
      <c r="L446" s="112">
        <f t="shared" si="321"/>
        <v>0.166666666666667</v>
      </c>
      <c r="M446" s="112">
        <f t="shared" si="321"/>
        <v>0.142857142857143</v>
      </c>
      <c r="N446" s="112">
        <f t="shared" si="321"/>
        <v>0.142857142857143</v>
      </c>
      <c r="O446" s="112">
        <f t="shared" si="321"/>
        <v>0.125</v>
      </c>
      <c r="P446" s="112">
        <f t="shared" si="321"/>
        <v>0.111111111111111</v>
      </c>
      <c r="Q446" s="112">
        <f t="shared" si="321"/>
        <v>0.1</v>
      </c>
    </row>
    <row r="447" ht="24" customHeight="1" spans="1:17">
      <c r="A447" s="99" t="s">
        <v>345</v>
      </c>
      <c r="B447" s="99" t="s">
        <v>299</v>
      </c>
      <c r="C447" s="99" t="s">
        <v>316</v>
      </c>
      <c r="D447" s="100" t="s">
        <v>292</v>
      </c>
      <c r="E447" s="53" t="s">
        <v>326</v>
      </c>
      <c r="F447" s="111">
        <f>IF((F337-F450-F451-F452-F453-F454)&lt;&gt;0,"ERR",F337)</f>
        <v>2</v>
      </c>
      <c r="G447" s="111">
        <f t="shared" ref="G447:Q447" si="322">IF((G337+F447-G450-G451-G452-G453-G454)&lt;&gt;0,"ERR",G337+F447)</f>
        <v>2</v>
      </c>
      <c r="H447" s="111">
        <f t="shared" si="322"/>
        <v>2</v>
      </c>
      <c r="I447" s="111">
        <f t="shared" si="322"/>
        <v>3</v>
      </c>
      <c r="J447" s="111">
        <f t="shared" si="322"/>
        <v>5</v>
      </c>
      <c r="K447" s="111">
        <f t="shared" si="322"/>
        <v>5</v>
      </c>
      <c r="L447" s="111">
        <f t="shared" si="322"/>
        <v>6</v>
      </c>
      <c r="M447" s="111">
        <f t="shared" si="322"/>
        <v>7</v>
      </c>
      <c r="N447" s="111">
        <f t="shared" si="322"/>
        <v>7</v>
      </c>
      <c r="O447" s="111">
        <f t="shared" si="322"/>
        <v>7</v>
      </c>
      <c r="P447" s="111">
        <f t="shared" si="322"/>
        <v>7</v>
      </c>
      <c r="Q447" s="111">
        <f t="shared" si="322"/>
        <v>7</v>
      </c>
    </row>
    <row r="448" ht="24" customHeight="1" spans="1:17">
      <c r="A448" s="99" t="s">
        <v>345</v>
      </c>
      <c r="B448" s="99" t="s">
        <v>299</v>
      </c>
      <c r="C448" s="99" t="s">
        <v>316</v>
      </c>
      <c r="D448" s="100" t="s">
        <v>292</v>
      </c>
      <c r="E448" s="53" t="s">
        <v>327</v>
      </c>
      <c r="F448" s="111">
        <f>IF((F338-F455-F456-F457-F458-F459)&lt;&gt;0,"ERR",F338)</f>
        <v>0</v>
      </c>
      <c r="G448" s="111">
        <f t="shared" ref="G448:Q448" si="323">IF((G338+F448-G455-G456-G457-G458-G459)&lt;&gt;0,"ERR",G338+F448)</f>
        <v>1</v>
      </c>
      <c r="H448" s="111">
        <f t="shared" si="323"/>
        <v>1</v>
      </c>
      <c r="I448" s="111">
        <f t="shared" si="323"/>
        <v>1</v>
      </c>
      <c r="J448" s="111">
        <f t="shared" si="323"/>
        <v>2</v>
      </c>
      <c r="K448" s="111">
        <f t="shared" si="323"/>
        <v>2</v>
      </c>
      <c r="L448" s="111">
        <f t="shared" si="323"/>
        <v>2</v>
      </c>
      <c r="M448" s="111">
        <f t="shared" si="323"/>
        <v>2</v>
      </c>
      <c r="N448" s="111">
        <f t="shared" si="323"/>
        <v>2</v>
      </c>
      <c r="O448" s="111">
        <f t="shared" si="323"/>
        <v>3</v>
      </c>
      <c r="P448" s="111">
        <f t="shared" si="323"/>
        <v>3</v>
      </c>
      <c r="Q448" s="111">
        <f t="shared" si="323"/>
        <v>4</v>
      </c>
    </row>
    <row r="449" ht="24" customHeight="1" spans="1:17">
      <c r="A449" s="99" t="s">
        <v>345</v>
      </c>
      <c r="B449" s="99" t="s">
        <v>299</v>
      </c>
      <c r="C449" s="99" t="s">
        <v>316</v>
      </c>
      <c r="D449" s="100" t="s">
        <v>292</v>
      </c>
      <c r="E449" s="53" t="s">
        <v>328</v>
      </c>
      <c r="F449" s="111">
        <f>IF((F339-F460-F461-F462-F463-F464)&lt;&gt;0,"ERR",F339)</f>
        <v>0</v>
      </c>
      <c r="G449" s="111">
        <f t="shared" ref="G449:Q449" si="324">IF((G339+F449-G460-G461-G462-G463-G464)&lt;&gt;0,"ERR",G339+F449)</f>
        <v>0</v>
      </c>
      <c r="H449" s="111">
        <f t="shared" si="324"/>
        <v>0</v>
      </c>
      <c r="I449" s="111">
        <f t="shared" si="324"/>
        <v>0</v>
      </c>
      <c r="J449" s="111">
        <f t="shared" si="324"/>
        <v>0</v>
      </c>
      <c r="K449" s="111">
        <f t="shared" si="324"/>
        <v>0</v>
      </c>
      <c r="L449" s="111">
        <f t="shared" si="324"/>
        <v>0</v>
      </c>
      <c r="M449" s="111">
        <f t="shared" si="324"/>
        <v>0</v>
      </c>
      <c r="N449" s="111">
        <f t="shared" si="324"/>
        <v>0</v>
      </c>
      <c r="O449" s="111">
        <f t="shared" si="324"/>
        <v>0</v>
      </c>
      <c r="P449" s="111">
        <f t="shared" si="324"/>
        <v>1</v>
      </c>
      <c r="Q449" s="111">
        <f t="shared" si="324"/>
        <v>1</v>
      </c>
    </row>
    <row r="450" ht="24" customHeight="1" spans="1:17">
      <c r="A450" s="99" t="s">
        <v>345</v>
      </c>
      <c r="B450" s="99" t="s">
        <v>299</v>
      </c>
      <c r="C450" s="99" t="s">
        <v>316</v>
      </c>
      <c r="D450" s="53" t="s">
        <v>326</v>
      </c>
      <c r="E450" s="53" t="s">
        <v>93</v>
      </c>
      <c r="F450" s="111">
        <f t="shared" ref="F450:F464" si="325">F340</f>
        <v>1</v>
      </c>
      <c r="G450" s="111">
        <f t="shared" ref="G450:Q450" si="326">G340+F450</f>
        <v>1</v>
      </c>
      <c r="H450" s="111">
        <f t="shared" si="326"/>
        <v>1</v>
      </c>
      <c r="I450" s="111">
        <f t="shared" si="326"/>
        <v>1</v>
      </c>
      <c r="J450" s="111">
        <f t="shared" si="326"/>
        <v>1</v>
      </c>
      <c r="K450" s="111">
        <f t="shared" si="326"/>
        <v>1</v>
      </c>
      <c r="L450" s="111">
        <f t="shared" si="326"/>
        <v>1</v>
      </c>
      <c r="M450" s="111">
        <f t="shared" si="326"/>
        <v>1</v>
      </c>
      <c r="N450" s="111">
        <f t="shared" si="326"/>
        <v>1</v>
      </c>
      <c r="O450" s="111">
        <f t="shared" si="326"/>
        <v>1</v>
      </c>
      <c r="P450" s="111">
        <f t="shared" si="326"/>
        <v>1</v>
      </c>
      <c r="Q450" s="111">
        <f t="shared" si="326"/>
        <v>1</v>
      </c>
    </row>
    <row r="451" ht="24" customHeight="1" spans="1:17">
      <c r="A451" s="99" t="s">
        <v>345</v>
      </c>
      <c r="B451" s="99" t="s">
        <v>299</v>
      </c>
      <c r="C451" s="99" t="s">
        <v>316</v>
      </c>
      <c r="D451" s="53" t="s">
        <v>326</v>
      </c>
      <c r="E451" s="53" t="s">
        <v>85</v>
      </c>
      <c r="F451" s="111">
        <f t="shared" si="325"/>
        <v>0</v>
      </c>
      <c r="G451" s="111">
        <f t="shared" ref="G451:Q451" si="327">G341+F451</f>
        <v>0</v>
      </c>
      <c r="H451" s="111">
        <f t="shared" si="327"/>
        <v>0</v>
      </c>
      <c r="I451" s="111">
        <f t="shared" si="327"/>
        <v>0</v>
      </c>
      <c r="J451" s="111">
        <f t="shared" si="327"/>
        <v>1</v>
      </c>
      <c r="K451" s="111">
        <f t="shared" si="327"/>
        <v>1</v>
      </c>
      <c r="L451" s="111">
        <f t="shared" si="327"/>
        <v>1</v>
      </c>
      <c r="M451" s="111">
        <f t="shared" si="327"/>
        <v>1</v>
      </c>
      <c r="N451" s="111">
        <f t="shared" si="327"/>
        <v>1</v>
      </c>
      <c r="O451" s="111">
        <f t="shared" si="327"/>
        <v>1</v>
      </c>
      <c r="P451" s="111">
        <f t="shared" si="327"/>
        <v>1</v>
      </c>
      <c r="Q451" s="111">
        <f t="shared" si="327"/>
        <v>1</v>
      </c>
    </row>
    <row r="452" ht="24" customHeight="1" spans="1:17">
      <c r="A452" s="99" t="s">
        <v>345</v>
      </c>
      <c r="B452" s="99" t="s">
        <v>299</v>
      </c>
      <c r="C452" s="99" t="s">
        <v>316</v>
      </c>
      <c r="D452" s="53" t="s">
        <v>326</v>
      </c>
      <c r="E452" s="53" t="s">
        <v>81</v>
      </c>
      <c r="F452" s="111">
        <f t="shared" si="325"/>
        <v>1</v>
      </c>
      <c r="G452" s="111">
        <f t="shared" ref="G452:Q452" si="328">G342+F452</f>
        <v>1</v>
      </c>
      <c r="H452" s="111">
        <f t="shared" si="328"/>
        <v>1</v>
      </c>
      <c r="I452" s="111">
        <f t="shared" si="328"/>
        <v>1</v>
      </c>
      <c r="J452" s="111">
        <f t="shared" si="328"/>
        <v>2</v>
      </c>
      <c r="K452" s="111">
        <f t="shared" si="328"/>
        <v>2</v>
      </c>
      <c r="L452" s="111">
        <f t="shared" si="328"/>
        <v>2</v>
      </c>
      <c r="M452" s="111">
        <f t="shared" si="328"/>
        <v>3</v>
      </c>
      <c r="N452" s="111">
        <f t="shared" si="328"/>
        <v>3</v>
      </c>
      <c r="O452" s="111">
        <f t="shared" si="328"/>
        <v>3</v>
      </c>
      <c r="P452" s="111">
        <f t="shared" si="328"/>
        <v>3</v>
      </c>
      <c r="Q452" s="111">
        <f t="shared" si="328"/>
        <v>3</v>
      </c>
    </row>
    <row r="453" ht="24" customHeight="1" spans="1:17">
      <c r="A453" s="99" t="s">
        <v>345</v>
      </c>
      <c r="B453" s="99" t="s">
        <v>299</v>
      </c>
      <c r="C453" s="99" t="s">
        <v>316</v>
      </c>
      <c r="D453" s="53" t="s">
        <v>326</v>
      </c>
      <c r="E453" s="53" t="s">
        <v>96</v>
      </c>
      <c r="F453" s="111">
        <f t="shared" si="325"/>
        <v>0</v>
      </c>
      <c r="G453" s="111">
        <f t="shared" ref="G453:Q453" si="329">G343+F453</f>
        <v>0</v>
      </c>
      <c r="H453" s="111">
        <f t="shared" si="329"/>
        <v>0</v>
      </c>
      <c r="I453" s="111">
        <f t="shared" si="329"/>
        <v>0</v>
      </c>
      <c r="J453" s="111">
        <f t="shared" si="329"/>
        <v>0</v>
      </c>
      <c r="K453" s="111">
        <f t="shared" si="329"/>
        <v>0</v>
      </c>
      <c r="L453" s="111">
        <f t="shared" si="329"/>
        <v>1</v>
      </c>
      <c r="M453" s="111">
        <f t="shared" si="329"/>
        <v>1</v>
      </c>
      <c r="N453" s="111">
        <f t="shared" si="329"/>
        <v>1</v>
      </c>
      <c r="O453" s="111">
        <f t="shared" si="329"/>
        <v>1</v>
      </c>
      <c r="P453" s="111">
        <f t="shared" si="329"/>
        <v>1</v>
      </c>
      <c r="Q453" s="111">
        <f t="shared" si="329"/>
        <v>1</v>
      </c>
    </row>
    <row r="454" ht="24" customHeight="1" spans="1:17">
      <c r="A454" s="99" t="s">
        <v>345</v>
      </c>
      <c r="B454" s="99" t="s">
        <v>299</v>
      </c>
      <c r="C454" s="99" t="s">
        <v>316</v>
      </c>
      <c r="D454" s="53" t="s">
        <v>326</v>
      </c>
      <c r="E454" s="53" t="s">
        <v>160</v>
      </c>
      <c r="F454" s="111">
        <f t="shared" si="325"/>
        <v>0</v>
      </c>
      <c r="G454" s="111">
        <f t="shared" ref="G454:Q454" si="330">G344+F454</f>
        <v>0</v>
      </c>
      <c r="H454" s="111">
        <f t="shared" si="330"/>
        <v>0</v>
      </c>
      <c r="I454" s="111">
        <f t="shared" si="330"/>
        <v>1</v>
      </c>
      <c r="J454" s="111">
        <f t="shared" si="330"/>
        <v>1</v>
      </c>
      <c r="K454" s="111">
        <f t="shared" si="330"/>
        <v>1</v>
      </c>
      <c r="L454" s="111">
        <f t="shared" si="330"/>
        <v>1</v>
      </c>
      <c r="M454" s="111">
        <f t="shared" si="330"/>
        <v>1</v>
      </c>
      <c r="N454" s="111">
        <f t="shared" si="330"/>
        <v>1</v>
      </c>
      <c r="O454" s="111">
        <f t="shared" si="330"/>
        <v>1</v>
      </c>
      <c r="P454" s="111">
        <f t="shared" si="330"/>
        <v>1</v>
      </c>
      <c r="Q454" s="111">
        <f t="shared" si="330"/>
        <v>1</v>
      </c>
    </row>
    <row r="455" ht="24" customHeight="1" spans="1:17">
      <c r="A455" s="99" t="s">
        <v>345</v>
      </c>
      <c r="B455" s="99" t="s">
        <v>299</v>
      </c>
      <c r="C455" s="99" t="s">
        <v>316</v>
      </c>
      <c r="D455" s="53" t="s">
        <v>327</v>
      </c>
      <c r="E455" s="53" t="s">
        <v>93</v>
      </c>
      <c r="F455" s="111">
        <f t="shared" si="325"/>
        <v>0</v>
      </c>
      <c r="G455" s="111">
        <f t="shared" ref="G455:Q455" si="331">G345+F455</f>
        <v>1</v>
      </c>
      <c r="H455" s="111">
        <f t="shared" si="331"/>
        <v>1</v>
      </c>
      <c r="I455" s="111">
        <f t="shared" si="331"/>
        <v>1</v>
      </c>
      <c r="J455" s="111">
        <f t="shared" si="331"/>
        <v>1</v>
      </c>
      <c r="K455" s="111">
        <f t="shared" si="331"/>
        <v>1</v>
      </c>
      <c r="L455" s="111">
        <f t="shared" si="331"/>
        <v>1</v>
      </c>
      <c r="M455" s="111">
        <f t="shared" si="331"/>
        <v>1</v>
      </c>
      <c r="N455" s="111">
        <f t="shared" si="331"/>
        <v>1</v>
      </c>
      <c r="O455" s="111">
        <f t="shared" si="331"/>
        <v>2</v>
      </c>
      <c r="P455" s="111">
        <f t="shared" si="331"/>
        <v>2</v>
      </c>
      <c r="Q455" s="111">
        <f t="shared" si="331"/>
        <v>3</v>
      </c>
    </row>
    <row r="456" ht="24" customHeight="1" spans="1:17">
      <c r="A456" s="99" t="s">
        <v>345</v>
      </c>
      <c r="B456" s="99" t="s">
        <v>299</v>
      </c>
      <c r="C456" s="99" t="s">
        <v>316</v>
      </c>
      <c r="D456" s="53" t="s">
        <v>327</v>
      </c>
      <c r="E456" s="53" t="s">
        <v>85</v>
      </c>
      <c r="F456" s="111">
        <f t="shared" si="325"/>
        <v>0</v>
      </c>
      <c r="G456" s="111">
        <f t="shared" ref="G456:Q456" si="332">G346+F456</f>
        <v>0</v>
      </c>
      <c r="H456" s="111">
        <f t="shared" si="332"/>
        <v>0</v>
      </c>
      <c r="I456" s="111">
        <f t="shared" si="332"/>
        <v>0</v>
      </c>
      <c r="J456" s="111">
        <f t="shared" si="332"/>
        <v>0</v>
      </c>
      <c r="K456" s="111">
        <f t="shared" si="332"/>
        <v>0</v>
      </c>
      <c r="L456" s="111">
        <f t="shared" si="332"/>
        <v>0</v>
      </c>
      <c r="M456" s="111">
        <f t="shared" si="332"/>
        <v>0</v>
      </c>
      <c r="N456" s="111">
        <f t="shared" si="332"/>
        <v>0</v>
      </c>
      <c r="O456" s="111">
        <f t="shared" si="332"/>
        <v>0</v>
      </c>
      <c r="P456" s="111">
        <f t="shared" si="332"/>
        <v>0</v>
      </c>
      <c r="Q456" s="111">
        <f t="shared" si="332"/>
        <v>0</v>
      </c>
    </row>
    <row r="457" ht="24" customHeight="1" spans="1:17">
      <c r="A457" s="99" t="s">
        <v>345</v>
      </c>
      <c r="B457" s="99" t="s">
        <v>299</v>
      </c>
      <c r="C457" s="99" t="s">
        <v>316</v>
      </c>
      <c r="D457" s="53" t="s">
        <v>327</v>
      </c>
      <c r="E457" s="53" t="s">
        <v>81</v>
      </c>
      <c r="F457" s="111">
        <f t="shared" si="325"/>
        <v>0</v>
      </c>
      <c r="G457" s="111">
        <f t="shared" ref="G457:Q457" si="333">G347+F457</f>
        <v>0</v>
      </c>
      <c r="H457" s="111">
        <f t="shared" si="333"/>
        <v>0</v>
      </c>
      <c r="I457" s="111">
        <f t="shared" si="333"/>
        <v>0</v>
      </c>
      <c r="J457" s="111">
        <f t="shared" si="333"/>
        <v>0</v>
      </c>
      <c r="K457" s="111">
        <f t="shared" si="333"/>
        <v>0</v>
      </c>
      <c r="L457" s="111">
        <f t="shared" si="333"/>
        <v>0</v>
      </c>
      <c r="M457" s="111">
        <f t="shared" si="333"/>
        <v>0</v>
      </c>
      <c r="N457" s="111">
        <f t="shared" si="333"/>
        <v>0</v>
      </c>
      <c r="O457" s="111">
        <f t="shared" si="333"/>
        <v>0</v>
      </c>
      <c r="P457" s="111">
        <f t="shared" si="333"/>
        <v>0</v>
      </c>
      <c r="Q457" s="111">
        <f t="shared" si="333"/>
        <v>0</v>
      </c>
    </row>
    <row r="458" ht="24" customHeight="1" spans="1:17">
      <c r="A458" s="99" t="s">
        <v>345</v>
      </c>
      <c r="B458" s="99" t="s">
        <v>299</v>
      </c>
      <c r="C458" s="99" t="s">
        <v>316</v>
      </c>
      <c r="D458" s="53" t="s">
        <v>327</v>
      </c>
      <c r="E458" s="53" t="s">
        <v>96</v>
      </c>
      <c r="F458" s="111">
        <f t="shared" si="325"/>
        <v>0</v>
      </c>
      <c r="G458" s="111">
        <f t="shared" ref="G458:Q458" si="334">G348+F458</f>
        <v>0</v>
      </c>
      <c r="H458" s="111">
        <f t="shared" si="334"/>
        <v>0</v>
      </c>
      <c r="I458" s="111">
        <f t="shared" si="334"/>
        <v>0</v>
      </c>
      <c r="J458" s="111">
        <f t="shared" si="334"/>
        <v>1</v>
      </c>
      <c r="K458" s="111">
        <f t="shared" si="334"/>
        <v>1</v>
      </c>
      <c r="L458" s="111">
        <f t="shared" si="334"/>
        <v>1</v>
      </c>
      <c r="M458" s="111">
        <f t="shared" si="334"/>
        <v>1</v>
      </c>
      <c r="N458" s="111">
        <f t="shared" si="334"/>
        <v>1</v>
      </c>
      <c r="O458" s="111">
        <f t="shared" si="334"/>
        <v>1</v>
      </c>
      <c r="P458" s="111">
        <f t="shared" si="334"/>
        <v>1</v>
      </c>
      <c r="Q458" s="111">
        <f t="shared" si="334"/>
        <v>1</v>
      </c>
    </row>
    <row r="459" ht="24" customHeight="1" spans="1:17">
      <c r="A459" s="99" t="s">
        <v>345</v>
      </c>
      <c r="B459" s="99" t="s">
        <v>299</v>
      </c>
      <c r="C459" s="99" t="s">
        <v>316</v>
      </c>
      <c r="D459" s="53" t="s">
        <v>327</v>
      </c>
      <c r="E459" s="53" t="s">
        <v>160</v>
      </c>
      <c r="F459" s="111">
        <f t="shared" si="325"/>
        <v>0</v>
      </c>
      <c r="G459" s="111">
        <f t="shared" ref="G459:Q459" si="335">G349+F459</f>
        <v>0</v>
      </c>
      <c r="H459" s="111">
        <f t="shared" si="335"/>
        <v>0</v>
      </c>
      <c r="I459" s="111">
        <f t="shared" si="335"/>
        <v>0</v>
      </c>
      <c r="J459" s="111">
        <f t="shared" si="335"/>
        <v>0</v>
      </c>
      <c r="K459" s="111">
        <f t="shared" si="335"/>
        <v>0</v>
      </c>
      <c r="L459" s="111">
        <f t="shared" si="335"/>
        <v>0</v>
      </c>
      <c r="M459" s="111">
        <f t="shared" si="335"/>
        <v>0</v>
      </c>
      <c r="N459" s="111">
        <f t="shared" si="335"/>
        <v>0</v>
      </c>
      <c r="O459" s="111">
        <f t="shared" si="335"/>
        <v>0</v>
      </c>
      <c r="P459" s="111">
        <f t="shared" si="335"/>
        <v>0</v>
      </c>
      <c r="Q459" s="111">
        <f t="shared" si="335"/>
        <v>0</v>
      </c>
    </row>
    <row r="460" ht="24" customHeight="1" spans="1:17">
      <c r="A460" s="99" t="s">
        <v>345</v>
      </c>
      <c r="B460" s="99" t="s">
        <v>299</v>
      </c>
      <c r="C460" s="99" t="s">
        <v>316</v>
      </c>
      <c r="D460" s="53" t="s">
        <v>328</v>
      </c>
      <c r="E460" s="53" t="s">
        <v>93</v>
      </c>
      <c r="F460" s="111">
        <f t="shared" si="325"/>
        <v>0</v>
      </c>
      <c r="G460" s="111">
        <f t="shared" ref="G460:Q460" si="336">G350+F460</f>
        <v>0</v>
      </c>
      <c r="H460" s="111">
        <f t="shared" si="336"/>
        <v>0</v>
      </c>
      <c r="I460" s="111">
        <f t="shared" si="336"/>
        <v>0</v>
      </c>
      <c r="J460" s="111">
        <f t="shared" si="336"/>
        <v>0</v>
      </c>
      <c r="K460" s="111">
        <f t="shared" si="336"/>
        <v>0</v>
      </c>
      <c r="L460" s="111">
        <f t="shared" si="336"/>
        <v>0</v>
      </c>
      <c r="M460" s="111">
        <f t="shared" si="336"/>
        <v>0</v>
      </c>
      <c r="N460" s="111">
        <f t="shared" si="336"/>
        <v>0</v>
      </c>
      <c r="O460" s="111">
        <f t="shared" si="336"/>
        <v>0</v>
      </c>
      <c r="P460" s="111">
        <f t="shared" si="336"/>
        <v>0</v>
      </c>
      <c r="Q460" s="111">
        <f t="shared" si="336"/>
        <v>0</v>
      </c>
    </row>
    <row r="461" ht="24" customHeight="1" spans="1:17">
      <c r="A461" s="99" t="s">
        <v>345</v>
      </c>
      <c r="B461" s="99" t="s">
        <v>299</v>
      </c>
      <c r="C461" s="99" t="s">
        <v>316</v>
      </c>
      <c r="D461" s="53" t="s">
        <v>328</v>
      </c>
      <c r="E461" s="53" t="s">
        <v>85</v>
      </c>
      <c r="F461" s="111">
        <f t="shared" si="325"/>
        <v>0</v>
      </c>
      <c r="G461" s="111">
        <f t="shared" ref="G461:Q461" si="337">G351+F461</f>
        <v>0</v>
      </c>
      <c r="H461" s="111">
        <f t="shared" si="337"/>
        <v>0</v>
      </c>
      <c r="I461" s="111">
        <f t="shared" si="337"/>
        <v>0</v>
      </c>
      <c r="J461" s="111">
        <f t="shared" si="337"/>
        <v>0</v>
      </c>
      <c r="K461" s="111">
        <f t="shared" si="337"/>
        <v>0</v>
      </c>
      <c r="L461" s="111">
        <f t="shared" si="337"/>
        <v>0</v>
      </c>
      <c r="M461" s="111">
        <f t="shared" si="337"/>
        <v>0</v>
      </c>
      <c r="N461" s="111">
        <f t="shared" si="337"/>
        <v>0</v>
      </c>
      <c r="O461" s="111">
        <f t="shared" si="337"/>
        <v>0</v>
      </c>
      <c r="P461" s="111">
        <f t="shared" si="337"/>
        <v>0</v>
      </c>
      <c r="Q461" s="111">
        <f t="shared" si="337"/>
        <v>0</v>
      </c>
    </row>
    <row r="462" ht="24" customHeight="1" spans="1:17">
      <c r="A462" s="99" t="s">
        <v>345</v>
      </c>
      <c r="B462" s="99" t="s">
        <v>299</v>
      </c>
      <c r="C462" s="99" t="s">
        <v>316</v>
      </c>
      <c r="D462" s="53" t="s">
        <v>328</v>
      </c>
      <c r="E462" s="53" t="s">
        <v>81</v>
      </c>
      <c r="F462" s="111">
        <f t="shared" si="325"/>
        <v>0</v>
      </c>
      <c r="G462" s="111">
        <f t="shared" ref="G462:Q462" si="338">G352+F462</f>
        <v>0</v>
      </c>
      <c r="H462" s="111">
        <f t="shared" si="338"/>
        <v>0</v>
      </c>
      <c r="I462" s="111">
        <f t="shared" si="338"/>
        <v>0</v>
      </c>
      <c r="J462" s="111">
        <f t="shared" si="338"/>
        <v>0</v>
      </c>
      <c r="K462" s="111">
        <f t="shared" si="338"/>
        <v>0</v>
      </c>
      <c r="L462" s="111">
        <f t="shared" si="338"/>
        <v>0</v>
      </c>
      <c r="M462" s="111">
        <f t="shared" si="338"/>
        <v>0</v>
      </c>
      <c r="N462" s="111">
        <f t="shared" si="338"/>
        <v>0</v>
      </c>
      <c r="O462" s="111">
        <f t="shared" si="338"/>
        <v>0</v>
      </c>
      <c r="P462" s="111">
        <f t="shared" si="338"/>
        <v>1</v>
      </c>
      <c r="Q462" s="111">
        <f t="shared" si="338"/>
        <v>1</v>
      </c>
    </row>
    <row r="463" ht="24" customHeight="1" spans="1:17">
      <c r="A463" s="99" t="s">
        <v>345</v>
      </c>
      <c r="B463" s="99" t="s">
        <v>299</v>
      </c>
      <c r="C463" s="99" t="s">
        <v>316</v>
      </c>
      <c r="D463" s="53" t="s">
        <v>328</v>
      </c>
      <c r="E463" s="53" t="s">
        <v>96</v>
      </c>
      <c r="F463" s="111">
        <f t="shared" si="325"/>
        <v>0</v>
      </c>
      <c r="G463" s="111">
        <f t="shared" ref="G463:Q463" si="339">G353+F463</f>
        <v>0</v>
      </c>
      <c r="H463" s="111">
        <f t="shared" si="339"/>
        <v>0</v>
      </c>
      <c r="I463" s="111">
        <f t="shared" si="339"/>
        <v>0</v>
      </c>
      <c r="J463" s="111">
        <f t="shared" si="339"/>
        <v>0</v>
      </c>
      <c r="K463" s="111">
        <f t="shared" si="339"/>
        <v>0</v>
      </c>
      <c r="L463" s="111">
        <f t="shared" si="339"/>
        <v>0</v>
      </c>
      <c r="M463" s="111">
        <f t="shared" si="339"/>
        <v>0</v>
      </c>
      <c r="N463" s="111">
        <f t="shared" si="339"/>
        <v>0</v>
      </c>
      <c r="O463" s="111">
        <f t="shared" si="339"/>
        <v>0</v>
      </c>
      <c r="P463" s="111">
        <f t="shared" si="339"/>
        <v>0</v>
      </c>
      <c r="Q463" s="111">
        <f t="shared" si="339"/>
        <v>0</v>
      </c>
    </row>
    <row r="464" ht="24" customHeight="1" spans="1:17">
      <c r="A464" s="99" t="s">
        <v>345</v>
      </c>
      <c r="B464" s="99" t="s">
        <v>299</v>
      </c>
      <c r="C464" s="99" t="s">
        <v>316</v>
      </c>
      <c r="D464" s="53" t="s">
        <v>328</v>
      </c>
      <c r="E464" s="53" t="s">
        <v>160</v>
      </c>
      <c r="F464" s="111">
        <f t="shared" si="325"/>
        <v>0</v>
      </c>
      <c r="G464" s="111">
        <f t="shared" ref="G464:Q464" si="340">G354+F464</f>
        <v>0</v>
      </c>
      <c r="H464" s="111">
        <f t="shared" si="340"/>
        <v>0</v>
      </c>
      <c r="I464" s="111">
        <f t="shared" si="340"/>
        <v>0</v>
      </c>
      <c r="J464" s="111">
        <f t="shared" si="340"/>
        <v>0</v>
      </c>
      <c r="K464" s="111">
        <f t="shared" si="340"/>
        <v>0</v>
      </c>
      <c r="L464" s="111">
        <f t="shared" si="340"/>
        <v>0</v>
      </c>
      <c r="M464" s="111">
        <f t="shared" si="340"/>
        <v>0</v>
      </c>
      <c r="N464" s="111">
        <f t="shared" si="340"/>
        <v>0</v>
      </c>
      <c r="O464" s="111">
        <f t="shared" si="340"/>
        <v>0</v>
      </c>
      <c r="P464" s="111">
        <f t="shared" si="340"/>
        <v>0</v>
      </c>
      <c r="Q464" s="111">
        <f t="shared" si="340"/>
        <v>0</v>
      </c>
    </row>
    <row r="465" ht="24" customHeight="1" spans="1:17">
      <c r="A465" s="99" t="s">
        <v>345</v>
      </c>
      <c r="B465" s="99" t="s">
        <v>299</v>
      </c>
      <c r="C465" s="99" t="s">
        <v>329</v>
      </c>
      <c r="D465" s="113" t="s">
        <v>292</v>
      </c>
      <c r="E465" s="113" t="s">
        <v>330</v>
      </c>
      <c r="F465" s="115">
        <f t="shared" ref="F465:Q465" si="341">IF(F395=0,"",F415/F395)</f>
        <v>0.666666666666667</v>
      </c>
      <c r="G465" s="115">
        <f t="shared" si="341"/>
        <v>1</v>
      </c>
      <c r="H465" s="115">
        <f t="shared" si="341"/>
        <v>0.75</v>
      </c>
      <c r="I465" s="115">
        <f t="shared" si="341"/>
        <v>0.666666666666667</v>
      </c>
      <c r="J465" s="115">
        <f t="shared" si="341"/>
        <v>0.875</v>
      </c>
      <c r="K465" s="115">
        <f t="shared" si="341"/>
        <v>0.875</v>
      </c>
      <c r="L465" s="115">
        <f t="shared" si="341"/>
        <v>0.8</v>
      </c>
      <c r="M465" s="115">
        <f t="shared" si="341"/>
        <v>0.818181818181818</v>
      </c>
      <c r="N465" s="115">
        <f t="shared" si="341"/>
        <v>0.818181818181818</v>
      </c>
      <c r="O465" s="115">
        <f t="shared" si="341"/>
        <v>0.833333333333333</v>
      </c>
      <c r="P465" s="115">
        <f t="shared" si="341"/>
        <v>0.846153846153846</v>
      </c>
      <c r="Q465" s="115">
        <f t="shared" si="341"/>
        <v>0.923076923076923</v>
      </c>
    </row>
    <row r="466" ht="24" customHeight="1" spans="1:17">
      <c r="A466" s="99" t="s">
        <v>345</v>
      </c>
      <c r="B466" s="99" t="s">
        <v>299</v>
      </c>
      <c r="C466" s="99" t="s">
        <v>329</v>
      </c>
      <c r="D466" s="48" t="s">
        <v>296</v>
      </c>
      <c r="E466" s="116" t="s">
        <v>406</v>
      </c>
      <c r="F466" s="117">
        <f t="shared" ref="F466:Q466" si="342">IF(F396=0,"",F416/F396)</f>
        <v>1</v>
      </c>
      <c r="G466" s="117">
        <f t="shared" si="342"/>
        <v>1</v>
      </c>
      <c r="H466" s="117">
        <f t="shared" si="342"/>
        <v>1</v>
      </c>
      <c r="I466" s="117">
        <f t="shared" si="342"/>
        <v>0.5</v>
      </c>
      <c r="J466" s="117">
        <f t="shared" si="342"/>
        <v>1</v>
      </c>
      <c r="K466" s="117">
        <f t="shared" si="342"/>
        <v>1</v>
      </c>
      <c r="L466" s="117">
        <f t="shared" si="342"/>
        <v>0.8</v>
      </c>
      <c r="M466" s="117">
        <f t="shared" si="342"/>
        <v>1</v>
      </c>
      <c r="N466" s="117">
        <f t="shared" si="342"/>
        <v>1</v>
      </c>
      <c r="O466" s="117">
        <f t="shared" si="342"/>
        <v>1</v>
      </c>
      <c r="P466" s="117">
        <f t="shared" si="342"/>
        <v>1</v>
      </c>
      <c r="Q466" s="117">
        <f t="shared" si="342"/>
        <v>1</v>
      </c>
    </row>
    <row r="467" ht="24" customHeight="1" spans="1:17">
      <c r="A467" s="99" t="s">
        <v>345</v>
      </c>
      <c r="B467" s="99" t="s">
        <v>299</v>
      </c>
      <c r="C467" s="99" t="s">
        <v>329</v>
      </c>
      <c r="D467" s="48" t="s">
        <v>296</v>
      </c>
      <c r="E467" s="116" t="s">
        <v>82</v>
      </c>
      <c r="F467" s="117" t="str">
        <f t="shared" ref="F467:Q467" si="343">IF(F397=0,"",F417/F397)</f>
        <v/>
      </c>
      <c r="G467" s="117" t="str">
        <f t="shared" si="343"/>
        <v/>
      </c>
      <c r="H467" s="117" t="str">
        <f t="shared" si="343"/>
        <v/>
      </c>
      <c r="I467" s="117" t="str">
        <f t="shared" si="343"/>
        <v/>
      </c>
      <c r="J467" s="117" t="str">
        <f t="shared" si="343"/>
        <v/>
      </c>
      <c r="K467" s="117" t="str">
        <f t="shared" si="343"/>
        <v/>
      </c>
      <c r="L467" s="117" t="str">
        <f t="shared" si="343"/>
        <v/>
      </c>
      <c r="M467" s="117">
        <f t="shared" si="343"/>
        <v>0</v>
      </c>
      <c r="N467" s="117">
        <f t="shared" si="343"/>
        <v>0</v>
      </c>
      <c r="O467" s="117">
        <f t="shared" si="343"/>
        <v>1</v>
      </c>
      <c r="P467" s="117">
        <f t="shared" si="343"/>
        <v>1</v>
      </c>
      <c r="Q467" s="117">
        <f t="shared" si="343"/>
        <v>1</v>
      </c>
    </row>
    <row r="468" ht="24" customHeight="1" spans="1:17">
      <c r="A468" s="99" t="s">
        <v>345</v>
      </c>
      <c r="B468" s="99" t="s">
        <v>299</v>
      </c>
      <c r="C468" s="99" t="s">
        <v>329</v>
      </c>
      <c r="D468" s="48" t="s">
        <v>296</v>
      </c>
      <c r="E468" s="116" t="s">
        <v>86</v>
      </c>
      <c r="F468" s="117">
        <f t="shared" ref="F468:Q468" si="344">IF(F398=0,"",F418/F398)</f>
        <v>0</v>
      </c>
      <c r="G468" s="117">
        <f t="shared" si="344"/>
        <v>1</v>
      </c>
      <c r="H468" s="117">
        <f t="shared" si="344"/>
        <v>1</v>
      </c>
      <c r="I468" s="117">
        <f t="shared" si="344"/>
        <v>0.5</v>
      </c>
      <c r="J468" s="117">
        <f t="shared" si="344"/>
        <v>0.5</v>
      </c>
      <c r="K468" s="117">
        <f t="shared" si="344"/>
        <v>0.5</v>
      </c>
      <c r="L468" s="117">
        <f t="shared" si="344"/>
        <v>0.5</v>
      </c>
      <c r="M468" s="117">
        <f t="shared" si="344"/>
        <v>0.5</v>
      </c>
      <c r="N468" s="117">
        <f t="shared" si="344"/>
        <v>0.5</v>
      </c>
      <c r="O468" s="117">
        <f t="shared" si="344"/>
        <v>0.5</v>
      </c>
      <c r="P468" s="117">
        <f t="shared" si="344"/>
        <v>0.5</v>
      </c>
      <c r="Q468" s="117">
        <f t="shared" si="344"/>
        <v>0.5</v>
      </c>
    </row>
    <row r="469" ht="24" customHeight="1" spans="1:17">
      <c r="A469" s="99" t="s">
        <v>345</v>
      </c>
      <c r="B469" s="99" t="s">
        <v>299</v>
      </c>
      <c r="C469" s="99" t="s">
        <v>329</v>
      </c>
      <c r="D469" s="48" t="s">
        <v>298</v>
      </c>
      <c r="E469" s="116" t="s">
        <v>97</v>
      </c>
      <c r="F469" s="117">
        <f t="shared" ref="F469:Q469" si="345">IF(F399=0,"",F419/F399)</f>
        <v>1</v>
      </c>
      <c r="G469" s="117">
        <f t="shared" si="345"/>
        <v>1</v>
      </c>
      <c r="H469" s="117">
        <f t="shared" si="345"/>
        <v>1</v>
      </c>
      <c r="I469" s="117">
        <f t="shared" si="345"/>
        <v>1</v>
      </c>
      <c r="J469" s="117">
        <f t="shared" si="345"/>
        <v>1</v>
      </c>
      <c r="K469" s="117">
        <f t="shared" si="345"/>
        <v>1</v>
      </c>
      <c r="L469" s="117">
        <f t="shared" si="345"/>
        <v>1</v>
      </c>
      <c r="M469" s="117">
        <f t="shared" si="345"/>
        <v>1</v>
      </c>
      <c r="N469" s="117">
        <f t="shared" si="345"/>
        <v>1</v>
      </c>
      <c r="O469" s="117">
        <f t="shared" si="345"/>
        <v>0.5</v>
      </c>
      <c r="P469" s="117">
        <f t="shared" si="345"/>
        <v>0.666666666666667</v>
      </c>
      <c r="Q469" s="117">
        <f t="shared" si="345"/>
        <v>1</v>
      </c>
    </row>
    <row r="470" ht="24" customHeight="1" spans="1:17">
      <c r="A470" s="99" t="s">
        <v>345</v>
      </c>
      <c r="B470" s="99" t="s">
        <v>299</v>
      </c>
      <c r="C470" s="99" t="s">
        <v>329</v>
      </c>
      <c r="D470" s="48" t="s">
        <v>298</v>
      </c>
      <c r="E470" s="116" t="s">
        <v>87</v>
      </c>
      <c r="F470" s="117" t="str">
        <f t="shared" ref="F470:Q470" si="346">IF(F400=0,"",F420/F400)</f>
        <v/>
      </c>
      <c r="G470" s="117" t="str">
        <f t="shared" si="346"/>
        <v/>
      </c>
      <c r="H470" s="117" t="str">
        <f t="shared" si="346"/>
        <v/>
      </c>
      <c r="I470" s="117" t="str">
        <f t="shared" si="346"/>
        <v/>
      </c>
      <c r="J470" s="117">
        <f t="shared" si="346"/>
        <v>1</v>
      </c>
      <c r="K470" s="117">
        <f t="shared" si="346"/>
        <v>1</v>
      </c>
      <c r="L470" s="117">
        <f t="shared" si="346"/>
        <v>1</v>
      </c>
      <c r="M470" s="117">
        <f t="shared" si="346"/>
        <v>1</v>
      </c>
      <c r="N470" s="117">
        <f t="shared" si="346"/>
        <v>1</v>
      </c>
      <c r="O470" s="117">
        <f t="shared" si="346"/>
        <v>1</v>
      </c>
      <c r="P470" s="117">
        <f t="shared" si="346"/>
        <v>1</v>
      </c>
      <c r="Q470" s="117">
        <f t="shared" si="346"/>
        <v>1</v>
      </c>
    </row>
    <row r="471" ht="24" customHeight="1" spans="1:17">
      <c r="A471" s="99" t="s">
        <v>345</v>
      </c>
      <c r="B471" s="99" t="s">
        <v>299</v>
      </c>
      <c r="C471" s="99" t="s">
        <v>329</v>
      </c>
      <c r="D471" s="48" t="s">
        <v>298</v>
      </c>
      <c r="E471" s="116" t="s">
        <v>83</v>
      </c>
      <c r="F471" s="117" t="str">
        <f t="shared" ref="F471:Q471" si="347">IF(F401=0,"",F421/F401)</f>
        <v/>
      </c>
      <c r="G471" s="117" t="str">
        <f t="shared" si="347"/>
        <v/>
      </c>
      <c r="H471" s="117">
        <f t="shared" si="347"/>
        <v>0</v>
      </c>
      <c r="I471" s="117">
        <f t="shared" si="347"/>
        <v>1</v>
      </c>
      <c r="J471" s="117">
        <f t="shared" si="347"/>
        <v>1</v>
      </c>
      <c r="K471" s="117">
        <f t="shared" si="347"/>
        <v>1</v>
      </c>
      <c r="L471" s="117">
        <f t="shared" si="347"/>
        <v>1</v>
      </c>
      <c r="M471" s="117">
        <f t="shared" si="347"/>
        <v>1</v>
      </c>
      <c r="N471" s="117">
        <f t="shared" si="347"/>
        <v>1</v>
      </c>
      <c r="O471" s="117">
        <f t="shared" si="347"/>
        <v>1</v>
      </c>
      <c r="P471" s="117">
        <f t="shared" si="347"/>
        <v>1</v>
      </c>
      <c r="Q471" s="117">
        <f t="shared" si="347"/>
        <v>1</v>
      </c>
    </row>
    <row r="472" ht="24" customHeight="1" spans="1:17">
      <c r="A472" s="99" t="s">
        <v>345</v>
      </c>
      <c r="B472" s="99" t="s">
        <v>299</v>
      </c>
      <c r="C472" s="99" t="s">
        <v>329</v>
      </c>
      <c r="D472" s="47" t="s">
        <v>294</v>
      </c>
      <c r="E472" s="118" t="s">
        <v>93</v>
      </c>
      <c r="F472" s="119">
        <f t="shared" ref="F472:Q472" si="348">IF(F402=0,"",F428/F402)</f>
        <v>0.5</v>
      </c>
      <c r="G472" s="119">
        <f t="shared" si="348"/>
        <v>1</v>
      </c>
      <c r="H472" s="119">
        <f t="shared" si="348"/>
        <v>1</v>
      </c>
      <c r="I472" s="119">
        <f t="shared" si="348"/>
        <v>1</v>
      </c>
      <c r="J472" s="119">
        <f t="shared" si="348"/>
        <v>1</v>
      </c>
      <c r="K472" s="119">
        <f t="shared" si="348"/>
        <v>1</v>
      </c>
      <c r="L472" s="119">
        <f t="shared" si="348"/>
        <v>1</v>
      </c>
      <c r="M472" s="119">
        <f t="shared" si="348"/>
        <v>0.666666666666667</v>
      </c>
      <c r="N472" s="119">
        <f t="shared" si="348"/>
        <v>0.666666666666667</v>
      </c>
      <c r="O472" s="119">
        <f t="shared" si="348"/>
        <v>1</v>
      </c>
      <c r="P472" s="119">
        <f t="shared" si="348"/>
        <v>0.75</v>
      </c>
      <c r="Q472" s="119">
        <f t="shared" si="348"/>
        <v>1</v>
      </c>
    </row>
    <row r="473" ht="24" customHeight="1" spans="1:17">
      <c r="A473" s="99" t="s">
        <v>345</v>
      </c>
      <c r="B473" s="99" t="s">
        <v>299</v>
      </c>
      <c r="C473" s="99" t="s">
        <v>329</v>
      </c>
      <c r="D473" s="47" t="s">
        <v>294</v>
      </c>
      <c r="E473" s="118" t="s">
        <v>85</v>
      </c>
      <c r="F473" s="119" t="str">
        <f t="shared" ref="F473:Q473" si="349">IF(F403=0,"",F429/F403)</f>
        <v/>
      </c>
      <c r="G473" s="119" t="str">
        <f t="shared" si="349"/>
        <v/>
      </c>
      <c r="H473" s="119" t="str">
        <f t="shared" si="349"/>
        <v/>
      </c>
      <c r="I473" s="119">
        <f t="shared" si="349"/>
        <v>0</v>
      </c>
      <c r="J473" s="119">
        <f t="shared" si="349"/>
        <v>1</v>
      </c>
      <c r="K473" s="119">
        <f t="shared" si="349"/>
        <v>1</v>
      </c>
      <c r="L473" s="119">
        <f t="shared" si="349"/>
        <v>1</v>
      </c>
      <c r="M473" s="119">
        <f t="shared" si="349"/>
        <v>1</v>
      </c>
      <c r="N473" s="119">
        <f t="shared" si="349"/>
        <v>1</v>
      </c>
      <c r="O473" s="119">
        <f t="shared" si="349"/>
        <v>1</v>
      </c>
      <c r="P473" s="119">
        <f t="shared" si="349"/>
        <v>1</v>
      </c>
      <c r="Q473" s="119">
        <f t="shared" si="349"/>
        <v>1</v>
      </c>
    </row>
    <row r="474" ht="24" customHeight="1" spans="1:17">
      <c r="A474" s="99" t="s">
        <v>345</v>
      </c>
      <c r="B474" s="99" t="s">
        <v>299</v>
      </c>
      <c r="C474" s="99" t="s">
        <v>329</v>
      </c>
      <c r="D474" s="47" t="s">
        <v>294</v>
      </c>
      <c r="E474" s="118" t="s">
        <v>81</v>
      </c>
      <c r="F474" s="119">
        <f t="shared" ref="F474:Q474" si="350">IF(F404=0,"",F430/F404)</f>
        <v>1</v>
      </c>
      <c r="G474" s="119">
        <f t="shared" si="350"/>
        <v>1</v>
      </c>
      <c r="H474" s="119">
        <f t="shared" si="350"/>
        <v>1</v>
      </c>
      <c r="I474" s="119">
        <f t="shared" si="350"/>
        <v>0.5</v>
      </c>
      <c r="J474" s="119">
        <f t="shared" si="350"/>
        <v>0.666666666666667</v>
      </c>
      <c r="K474" s="119">
        <f t="shared" si="350"/>
        <v>0.666666666666667</v>
      </c>
      <c r="L474" s="119">
        <f t="shared" si="350"/>
        <v>0.5</v>
      </c>
      <c r="M474" s="119">
        <f t="shared" si="350"/>
        <v>0.75</v>
      </c>
      <c r="N474" s="119">
        <f t="shared" si="350"/>
        <v>0.75</v>
      </c>
      <c r="O474" s="119">
        <f t="shared" si="350"/>
        <v>0.6</v>
      </c>
      <c r="P474" s="119">
        <f t="shared" si="350"/>
        <v>0.8</v>
      </c>
      <c r="Q474" s="119">
        <f t="shared" si="350"/>
        <v>0.8</v>
      </c>
    </row>
    <row r="475" ht="24" customHeight="1" spans="1:17">
      <c r="A475" s="99" t="s">
        <v>345</v>
      </c>
      <c r="B475" s="99" t="s">
        <v>299</v>
      </c>
      <c r="C475" s="99" t="s">
        <v>329</v>
      </c>
      <c r="D475" s="47" t="s">
        <v>294</v>
      </c>
      <c r="E475" s="118" t="s">
        <v>96</v>
      </c>
      <c r="F475" s="119" t="str">
        <f t="shared" ref="F475:Q475" si="351">IF(F405=0,"",F431/F405)</f>
        <v/>
      </c>
      <c r="G475" s="119" t="str">
        <f t="shared" si="351"/>
        <v/>
      </c>
      <c r="H475" s="119" t="str">
        <f t="shared" si="351"/>
        <v/>
      </c>
      <c r="I475" s="119" t="str">
        <f t="shared" si="351"/>
        <v/>
      </c>
      <c r="J475" s="119">
        <f t="shared" si="351"/>
        <v>1</v>
      </c>
      <c r="K475" s="119">
        <f t="shared" si="351"/>
        <v>1</v>
      </c>
      <c r="L475" s="119">
        <f t="shared" si="351"/>
        <v>1</v>
      </c>
      <c r="M475" s="119">
        <f t="shared" si="351"/>
        <v>1</v>
      </c>
      <c r="N475" s="119">
        <f t="shared" si="351"/>
        <v>1</v>
      </c>
      <c r="O475" s="119">
        <f t="shared" si="351"/>
        <v>1</v>
      </c>
      <c r="P475" s="119">
        <f t="shared" si="351"/>
        <v>1</v>
      </c>
      <c r="Q475" s="119">
        <f t="shared" si="351"/>
        <v>1</v>
      </c>
    </row>
    <row r="476" ht="24" customHeight="1" spans="1:17">
      <c r="A476" s="99" t="s">
        <v>345</v>
      </c>
      <c r="B476" s="99" t="s">
        <v>299</v>
      </c>
      <c r="C476" s="99" t="s">
        <v>329</v>
      </c>
      <c r="D476" s="47" t="s">
        <v>294</v>
      </c>
      <c r="E476" s="118" t="s">
        <v>160</v>
      </c>
      <c r="F476" s="119" t="str">
        <f t="shared" ref="F476:Q476" si="352">IF(F406=0,"",F432/F406)</f>
        <v/>
      </c>
      <c r="G476" s="119" t="str">
        <f t="shared" si="352"/>
        <v/>
      </c>
      <c r="H476" s="119">
        <f t="shared" si="352"/>
        <v>0</v>
      </c>
      <c r="I476" s="119">
        <f t="shared" si="352"/>
        <v>1</v>
      </c>
      <c r="J476" s="119">
        <f t="shared" si="352"/>
        <v>1</v>
      </c>
      <c r="K476" s="119">
        <f t="shared" si="352"/>
        <v>1</v>
      </c>
      <c r="L476" s="119">
        <f t="shared" si="352"/>
        <v>1</v>
      </c>
      <c r="M476" s="119">
        <f t="shared" si="352"/>
        <v>1</v>
      </c>
      <c r="N476" s="119">
        <f t="shared" si="352"/>
        <v>1</v>
      </c>
      <c r="O476" s="119">
        <f t="shared" si="352"/>
        <v>1</v>
      </c>
      <c r="P476" s="119">
        <f t="shared" si="352"/>
        <v>1</v>
      </c>
      <c r="Q476" s="119">
        <f t="shared" si="352"/>
        <v>1</v>
      </c>
    </row>
    <row r="477" ht="24" customHeight="1" spans="1:17">
      <c r="A477" s="99" t="s">
        <v>345</v>
      </c>
      <c r="B477" s="99" t="s">
        <v>299</v>
      </c>
      <c r="C477" s="99" t="s">
        <v>329</v>
      </c>
      <c r="D477" s="113" t="s">
        <v>292</v>
      </c>
      <c r="E477" s="113" t="s">
        <v>331</v>
      </c>
      <c r="F477" s="115">
        <f t="shared" ref="F477:Q477" si="353">IF(F407=0,"",F433/F407)</f>
        <v>0.666666666666667</v>
      </c>
      <c r="G477" s="115">
        <f t="shared" si="353"/>
        <v>1</v>
      </c>
      <c r="H477" s="115">
        <f t="shared" si="353"/>
        <v>1</v>
      </c>
      <c r="I477" s="115">
        <f t="shared" si="353"/>
        <v>0.6</v>
      </c>
      <c r="J477" s="115">
        <f t="shared" si="353"/>
        <v>0.833333333333333</v>
      </c>
      <c r="K477" s="115">
        <f t="shared" si="353"/>
        <v>0.833333333333333</v>
      </c>
      <c r="L477" s="115">
        <f t="shared" si="353"/>
        <v>0.75</v>
      </c>
      <c r="M477" s="115">
        <f t="shared" si="353"/>
        <v>0.777777777777778</v>
      </c>
      <c r="N477" s="115">
        <f t="shared" si="353"/>
        <v>0.777777777777778</v>
      </c>
      <c r="O477" s="115">
        <f t="shared" si="353"/>
        <v>0.888888888888889</v>
      </c>
      <c r="P477" s="115">
        <f t="shared" si="353"/>
        <v>0.8</v>
      </c>
      <c r="Q477" s="115">
        <f t="shared" si="353"/>
        <v>0.9</v>
      </c>
    </row>
    <row r="478" ht="24" customHeight="1" spans="1:17">
      <c r="A478" s="99" t="s">
        <v>345</v>
      </c>
      <c r="B478" s="99" t="s">
        <v>299</v>
      </c>
      <c r="C478" s="99" t="s">
        <v>329</v>
      </c>
      <c r="D478" s="48" t="s">
        <v>296</v>
      </c>
      <c r="E478" s="116" t="s">
        <v>406</v>
      </c>
      <c r="F478" s="117">
        <f t="shared" ref="F478:Q478" si="354">IF(F408=0,"",F434/F408)</f>
        <v>1</v>
      </c>
      <c r="G478" s="117">
        <f t="shared" si="354"/>
        <v>1</v>
      </c>
      <c r="H478" s="117">
        <f t="shared" si="354"/>
        <v>1</v>
      </c>
      <c r="I478" s="117">
        <f t="shared" si="354"/>
        <v>0.5</v>
      </c>
      <c r="J478" s="117">
        <f t="shared" si="354"/>
        <v>1</v>
      </c>
      <c r="K478" s="117">
        <f t="shared" si="354"/>
        <v>1</v>
      </c>
      <c r="L478" s="117">
        <f t="shared" si="354"/>
        <v>0.8</v>
      </c>
      <c r="M478" s="117">
        <f t="shared" si="354"/>
        <v>1</v>
      </c>
      <c r="N478" s="117">
        <f t="shared" si="354"/>
        <v>1</v>
      </c>
      <c r="O478" s="117">
        <f t="shared" si="354"/>
        <v>1</v>
      </c>
      <c r="P478" s="117">
        <f t="shared" si="354"/>
        <v>1</v>
      </c>
      <c r="Q478" s="117">
        <f t="shared" si="354"/>
        <v>1</v>
      </c>
    </row>
    <row r="479" ht="24" customHeight="1" spans="1:17">
      <c r="A479" s="99" t="s">
        <v>345</v>
      </c>
      <c r="B479" s="99" t="s">
        <v>299</v>
      </c>
      <c r="C479" s="99" t="s">
        <v>329</v>
      </c>
      <c r="D479" s="48" t="s">
        <v>296</v>
      </c>
      <c r="E479" s="116" t="s">
        <v>82</v>
      </c>
      <c r="F479" s="117">
        <f t="shared" ref="F479:Q479" si="355">IF(F409=0,"",F435/F409)</f>
        <v>1</v>
      </c>
      <c r="G479" s="117">
        <f t="shared" si="355"/>
        <v>1</v>
      </c>
      <c r="H479" s="117">
        <f t="shared" si="355"/>
        <v>1</v>
      </c>
      <c r="I479" s="117">
        <f t="shared" si="355"/>
        <v>1</v>
      </c>
      <c r="J479" s="117">
        <f t="shared" si="355"/>
        <v>1</v>
      </c>
      <c r="K479" s="117">
        <f t="shared" si="355"/>
        <v>1</v>
      </c>
      <c r="L479" s="117">
        <f t="shared" si="355"/>
        <v>1</v>
      </c>
      <c r="M479" s="117">
        <f t="shared" si="355"/>
        <v>0.5</v>
      </c>
      <c r="N479" s="117">
        <f t="shared" si="355"/>
        <v>0.5</v>
      </c>
      <c r="O479" s="117">
        <f t="shared" si="355"/>
        <v>1</v>
      </c>
      <c r="P479" s="117">
        <f t="shared" si="355"/>
        <v>0.666666666666667</v>
      </c>
      <c r="Q479" s="117">
        <f t="shared" si="355"/>
        <v>1</v>
      </c>
    </row>
    <row r="480" ht="24" customHeight="1" spans="1:17">
      <c r="A480" s="99" t="s">
        <v>345</v>
      </c>
      <c r="B480" s="99" t="s">
        <v>299</v>
      </c>
      <c r="C480" s="99" t="s">
        <v>329</v>
      </c>
      <c r="D480" s="48" t="s">
        <v>296</v>
      </c>
      <c r="E480" s="116" t="s">
        <v>86</v>
      </c>
      <c r="F480" s="117">
        <f t="shared" ref="F480:Q480" si="356">IF(F410=0,"",F436/F410)</f>
        <v>0</v>
      </c>
      <c r="G480" s="117">
        <f t="shared" si="356"/>
        <v>1</v>
      </c>
      <c r="H480" s="117">
        <f t="shared" si="356"/>
        <v>1</v>
      </c>
      <c r="I480" s="117">
        <f t="shared" si="356"/>
        <v>0.5</v>
      </c>
      <c r="J480" s="117">
        <f t="shared" si="356"/>
        <v>0.5</v>
      </c>
      <c r="K480" s="117">
        <f t="shared" si="356"/>
        <v>0.5</v>
      </c>
      <c r="L480" s="117">
        <f t="shared" si="356"/>
        <v>0.5</v>
      </c>
      <c r="M480" s="117">
        <f t="shared" si="356"/>
        <v>0.5</v>
      </c>
      <c r="N480" s="117">
        <f t="shared" si="356"/>
        <v>0.5</v>
      </c>
      <c r="O480" s="117">
        <f t="shared" si="356"/>
        <v>0.5</v>
      </c>
      <c r="P480" s="117">
        <f t="shared" si="356"/>
        <v>0.5</v>
      </c>
      <c r="Q480" s="117">
        <f t="shared" si="356"/>
        <v>0.5</v>
      </c>
    </row>
    <row r="481" ht="24" customHeight="1" spans="1:17">
      <c r="A481" s="99" t="s">
        <v>345</v>
      </c>
      <c r="B481" s="99" t="s">
        <v>299</v>
      </c>
      <c r="C481" s="99" t="s">
        <v>329</v>
      </c>
      <c r="D481" s="113" t="s">
        <v>292</v>
      </c>
      <c r="E481" s="113" t="s">
        <v>332</v>
      </c>
      <c r="F481" s="115">
        <f t="shared" ref="F481:Q481" si="357">IF(F411=0,"",F440/F411)</f>
        <v>0.666666666666667</v>
      </c>
      <c r="G481" s="115">
        <f t="shared" si="357"/>
        <v>1</v>
      </c>
      <c r="H481" s="115">
        <f t="shared" si="357"/>
        <v>0.75</v>
      </c>
      <c r="I481" s="115">
        <f t="shared" si="357"/>
        <v>0.666666666666667</v>
      </c>
      <c r="J481" s="115">
        <f t="shared" si="357"/>
        <v>0.857142857142857</v>
      </c>
      <c r="K481" s="115">
        <f t="shared" si="357"/>
        <v>0.857142857142857</v>
      </c>
      <c r="L481" s="115">
        <f t="shared" si="357"/>
        <v>0.75</v>
      </c>
      <c r="M481" s="115">
        <f t="shared" si="357"/>
        <v>0.777777777777778</v>
      </c>
      <c r="N481" s="115" t="str">
        <f t="shared" si="357"/>
        <v/>
      </c>
      <c r="O481" s="115" t="str">
        <f t="shared" si="357"/>
        <v/>
      </c>
      <c r="P481" s="115" t="str">
        <f t="shared" si="357"/>
        <v/>
      </c>
      <c r="Q481" s="115" t="str">
        <f t="shared" si="357"/>
        <v/>
      </c>
    </row>
    <row r="482" ht="24" customHeight="1" spans="1:17">
      <c r="A482" s="99" t="s">
        <v>345</v>
      </c>
      <c r="B482" s="99" t="s">
        <v>299</v>
      </c>
      <c r="C482" s="99" t="s">
        <v>329</v>
      </c>
      <c r="D482" s="48" t="s">
        <v>298</v>
      </c>
      <c r="E482" s="116" t="s">
        <v>97</v>
      </c>
      <c r="F482" s="117">
        <f t="shared" ref="F482:Q482" si="358">IF(F412=0,"",F441/F412)</f>
        <v>0.666666666666667</v>
      </c>
      <c r="G482" s="117">
        <f t="shared" si="358"/>
        <v>1</v>
      </c>
      <c r="H482" s="117">
        <f t="shared" si="358"/>
        <v>1</v>
      </c>
      <c r="I482" s="117">
        <f t="shared" si="358"/>
        <v>0.75</v>
      </c>
      <c r="J482" s="117">
        <f t="shared" si="358"/>
        <v>1</v>
      </c>
      <c r="K482" s="117">
        <f t="shared" si="358"/>
        <v>1</v>
      </c>
      <c r="L482" s="117">
        <f t="shared" si="358"/>
        <v>0.8</v>
      </c>
      <c r="M482" s="117">
        <f t="shared" si="358"/>
        <v>1</v>
      </c>
      <c r="N482" s="117">
        <f t="shared" si="358"/>
        <v>1</v>
      </c>
      <c r="O482" s="117">
        <f t="shared" si="358"/>
        <v>0.833333333333333</v>
      </c>
      <c r="P482" s="117">
        <f t="shared" si="358"/>
        <v>0.857142857142857</v>
      </c>
      <c r="Q482" s="117">
        <f t="shared" si="358"/>
        <v>1</v>
      </c>
    </row>
    <row r="483" ht="24" customHeight="1" spans="1:17">
      <c r="A483" s="99" t="s">
        <v>345</v>
      </c>
      <c r="B483" s="99" t="s">
        <v>299</v>
      </c>
      <c r="C483" s="99" t="s">
        <v>329</v>
      </c>
      <c r="D483" s="48" t="s">
        <v>298</v>
      </c>
      <c r="E483" s="116" t="s">
        <v>87</v>
      </c>
      <c r="F483" s="117" t="str">
        <f t="shared" ref="F483:Q483" si="359">IF(F413=0,"",F442/F413)</f>
        <v/>
      </c>
      <c r="G483" s="117" t="str">
        <f t="shared" si="359"/>
        <v/>
      </c>
      <c r="H483" s="117" t="str">
        <f t="shared" si="359"/>
        <v/>
      </c>
      <c r="I483" s="117" t="str">
        <f t="shared" si="359"/>
        <v/>
      </c>
      <c r="J483" s="117">
        <f t="shared" si="359"/>
        <v>1</v>
      </c>
      <c r="K483" s="117">
        <f t="shared" si="359"/>
        <v>1</v>
      </c>
      <c r="L483" s="117">
        <f t="shared" si="359"/>
        <v>1</v>
      </c>
      <c r="M483" s="117">
        <f t="shared" si="359"/>
        <v>0.5</v>
      </c>
      <c r="N483" s="117">
        <f t="shared" si="359"/>
        <v>0.5</v>
      </c>
      <c r="O483" s="117">
        <f t="shared" si="359"/>
        <v>1</v>
      </c>
      <c r="P483" s="117">
        <f t="shared" si="359"/>
        <v>1</v>
      </c>
      <c r="Q483" s="117">
        <f t="shared" si="359"/>
        <v>1</v>
      </c>
    </row>
    <row r="484" ht="24" customHeight="1" spans="1:17">
      <c r="A484" s="99" t="s">
        <v>345</v>
      </c>
      <c r="B484" s="99" t="s">
        <v>299</v>
      </c>
      <c r="C484" s="99" t="s">
        <v>329</v>
      </c>
      <c r="D484" s="48" t="s">
        <v>298</v>
      </c>
      <c r="E484" s="116" t="s">
        <v>83</v>
      </c>
      <c r="F484" s="117" t="str">
        <f t="shared" ref="F484:Q484" si="360">IF(F414=0,"",F443/F414)</f>
        <v/>
      </c>
      <c r="G484" s="117" t="str">
        <f t="shared" si="360"/>
        <v/>
      </c>
      <c r="H484" s="117">
        <f t="shared" si="360"/>
        <v>0</v>
      </c>
      <c r="I484" s="117">
        <f t="shared" si="360"/>
        <v>0.5</v>
      </c>
      <c r="J484" s="117">
        <f t="shared" si="360"/>
        <v>0.5</v>
      </c>
      <c r="K484" s="117">
        <f t="shared" si="360"/>
        <v>0.5</v>
      </c>
      <c r="L484" s="117">
        <f t="shared" si="360"/>
        <v>0.5</v>
      </c>
      <c r="M484" s="117">
        <f t="shared" si="360"/>
        <v>0.5</v>
      </c>
      <c r="N484" s="117">
        <f t="shared" si="360"/>
        <v>0.5</v>
      </c>
      <c r="O484" s="117">
        <f t="shared" si="360"/>
        <v>0.5</v>
      </c>
      <c r="P484" s="117">
        <f t="shared" si="360"/>
        <v>0.5</v>
      </c>
      <c r="Q484" s="117">
        <f t="shared" si="360"/>
        <v>0.5</v>
      </c>
    </row>
    <row r="485" ht="24" customHeight="1" spans="1:17">
      <c r="A485" s="99" t="s">
        <v>345</v>
      </c>
      <c r="B485" s="99" t="s">
        <v>299</v>
      </c>
      <c r="C485" s="99" t="s">
        <v>333</v>
      </c>
      <c r="D485" s="114" t="s">
        <v>292</v>
      </c>
      <c r="E485" s="114" t="s">
        <v>300</v>
      </c>
      <c r="F485" s="120">
        <f t="shared" ref="F485:Q485" si="361">SUM(F486:F491)</f>
        <v>3.591092</v>
      </c>
      <c r="G485" s="120">
        <f t="shared" si="361"/>
        <v>0.780199</v>
      </c>
      <c r="H485" s="120">
        <f t="shared" si="361"/>
        <v>0</v>
      </c>
      <c r="I485" s="120">
        <f t="shared" si="361"/>
        <v>0.624034</v>
      </c>
      <c r="J485" s="120">
        <f t="shared" si="361"/>
        <v>4.949911</v>
      </c>
      <c r="K485" s="120">
        <f t="shared" si="361"/>
        <v>0</v>
      </c>
      <c r="L485" s="120">
        <f t="shared" si="361"/>
        <v>1.892256</v>
      </c>
      <c r="M485" s="120">
        <f t="shared" si="361"/>
        <v>1.943826</v>
      </c>
      <c r="N485" s="120">
        <f t="shared" si="361"/>
        <v>0</v>
      </c>
      <c r="O485" s="120">
        <f t="shared" si="361"/>
        <v>7.870485</v>
      </c>
      <c r="P485" s="120">
        <f t="shared" si="361"/>
        <v>0.146327</v>
      </c>
      <c r="Q485" s="120">
        <f t="shared" si="361"/>
        <v>4.0903</v>
      </c>
    </row>
    <row r="486" ht="24" customHeight="1" spans="1:17">
      <c r="A486" s="99" t="s">
        <v>345</v>
      </c>
      <c r="B486" s="99" t="s">
        <v>299</v>
      </c>
      <c r="C486" s="99" t="s">
        <v>333</v>
      </c>
      <c r="D486" s="48" t="s">
        <v>31</v>
      </c>
      <c r="E486" s="48" t="s">
        <v>406</v>
      </c>
      <c r="F486" s="121">
        <f>SUMIFS('2024数据'!$AR$3:$AR$152,'2024数据'!$H$3:$H$152,"&gt;="&amp;DATE(2024,1,1),'2024数据'!$H$3:$H$152,"&lt;="&amp;DATE(2024,1,31),'2024数据'!$AE$3:$AE$152,$E486)/10000</f>
        <v>0.862777</v>
      </c>
      <c r="G486" s="121">
        <f>SUMIFS('2024数据'!$AR$3:$AR$152,'2024数据'!$H$3:$H$152,"&gt;="&amp;DATE(2024,2,1),'2024数据'!$H$3:$H$152,"&lt;="&amp;DATE(2024,2,29),'2024数据'!$AE$3:$AE$152,$E486)/10000</f>
        <v>0</v>
      </c>
      <c r="H486" s="121">
        <f>SUMIFS('2024数据'!$AR$3:$AR$152,'2024数据'!$H$3:$H$152,"&gt;="&amp;DATE(2024,3,1),'2024数据'!$H$3:$H$152,"&lt;="&amp;DATE(2024,3,31),'2024数据'!$AE$3:$AE$152,$E486)/10000</f>
        <v>0</v>
      </c>
      <c r="I486" s="121">
        <f>SUMIFS('2024数据'!$AR$3:$AR$152,'2024数据'!$H$3:$H$152,"&gt;="&amp;DATE(2024,4,1),'2024数据'!$H$3:$H$152,"&lt;="&amp;DATE(2024,4,30),'2024数据'!$AE$3:$AE$152,$E486)/10000</f>
        <v>0</v>
      </c>
      <c r="J486" s="121">
        <f>SUMIFS('2024数据'!$AR$3:$AR$152,'2024数据'!$H$3:$H$152,"&gt;="&amp;DATE(2024,5,1),'2024数据'!$H$3:$H$152,"&lt;="&amp;DATE(2024,5,31),'2024数据'!$AE$3:$AE$152,$E486)/10000</f>
        <v>2.243233</v>
      </c>
      <c r="K486" s="121">
        <f>SUMIFS('2024数据'!$AR$3:$AR$152,'2024数据'!$H$3:$H$152,"&gt;="&amp;DATE(2024,6,1),'2024数据'!$H$3:$H$152,"&lt;="&amp;DATE(2024,6,30),'2024数据'!$AE$3:$AE$152,$E486)/10000</f>
        <v>0</v>
      </c>
      <c r="L486" s="121">
        <f>SUMIFS('2024数据'!$AR$3:$AR$152,'2024数据'!$H$3:$H$152,"&gt;="&amp;DATE(2024,7,1),'2024数据'!$H$3:$H$152,"&lt;="&amp;DATE(2024,7,31),'2024数据'!$AE$3:$AE$152,$E486)/10000</f>
        <v>1.892256</v>
      </c>
      <c r="M486" s="121">
        <f>SUMIFS('2024数据'!$AR$3:$AR$152,'2024数据'!$H$3:$H$152,"&gt;="&amp;DATE(2024,8,1),'2024数据'!$H$3:$H$152,"&lt;="&amp;DATE(2024,8,31),'2024数据'!$AE$3:$AE$152,$E486)/10000</f>
        <v>1.943826</v>
      </c>
      <c r="N486" s="121">
        <f>SUMIFS('2024数据'!$AR$3:$AR$152,'2024数据'!$H$3:$H$152,"&gt;="&amp;DATE(2024,9,1),'2024数据'!$H$3:$H$152,"&lt;="&amp;DATE(2024,9,30),'2024数据'!$AE$3:$AE$152,$E486)/10000</f>
        <v>0</v>
      </c>
      <c r="O486" s="121">
        <f>SUMIFS('2024数据'!$AR$3:$AR$152,'2024数据'!$H$3:$H$152,"&gt;="&amp;DATE(2024,10,1),'2024数据'!$H$3:$H$152,"&lt;="&amp;DATE(2024,10,31),'2024数据'!$AE$3:$AE$152,$E486)/10000</f>
        <v>0</v>
      </c>
      <c r="P486" s="121">
        <f>SUMIFS('2024数据'!$AR$3:$AR$152,'2024数据'!$H$3:$H$152,"&gt;="&amp;DATE(2024,11,1),'2024数据'!$H$3:$H$152,"&lt;="&amp;DATE(2024,11,30),'2024数据'!$AE$3:$AE$152,$E486)/10000</f>
        <v>0</v>
      </c>
      <c r="Q486" s="121">
        <f>SUMIFS('2024数据'!$AR$3:$AR$152,'2024数据'!$H$3:$H$152,"&gt;="&amp;DATE(2024,12,1),'2024数据'!$H$3:$H$152,"&lt;="&amp;DATE(2024,12,31),'2024数据'!$AE$3:$AE$152,$E486)/10000</f>
        <v>0</v>
      </c>
    </row>
    <row r="487" ht="24" customHeight="1" spans="1:17">
      <c r="A487" s="99" t="s">
        <v>345</v>
      </c>
      <c r="B487" s="99" t="s">
        <v>299</v>
      </c>
      <c r="C487" s="99" t="s">
        <v>333</v>
      </c>
      <c r="D487" s="48" t="s">
        <v>31</v>
      </c>
      <c r="E487" s="48" t="s">
        <v>82</v>
      </c>
      <c r="F487" s="121">
        <f>SUMIFS('2024数据'!$AR$3:$AR$152,'2024数据'!$H$3:$H$152,"&gt;="&amp;DATE(2024,1,1),'2024数据'!$H$3:$H$152,"&lt;="&amp;DATE(2024,1,31),'2024数据'!$AE$3:$AE$152,$E487)/10000</f>
        <v>0</v>
      </c>
      <c r="G487" s="121">
        <f>SUMIFS('2024数据'!$AR$3:$AR$152,'2024数据'!$H$3:$H$152,"&gt;="&amp;DATE(2024,2,1),'2024数据'!$H$3:$H$152,"&lt;="&amp;DATE(2024,2,29),'2024数据'!$AE$3:$AE$152,$E487)/10000</f>
        <v>0</v>
      </c>
      <c r="H487" s="121">
        <f>SUMIFS('2024数据'!$AR$3:$AR$152,'2024数据'!$H$3:$H$152,"&gt;="&amp;DATE(2024,3,1),'2024数据'!$H$3:$H$152,"&lt;="&amp;DATE(2024,3,31),'2024数据'!$AE$3:$AE$152,$E487)/10000</f>
        <v>0</v>
      </c>
      <c r="I487" s="121">
        <f>SUMIFS('2024数据'!$AR$3:$AR$152,'2024数据'!$H$3:$H$152,"&gt;="&amp;DATE(2024,4,1),'2024数据'!$H$3:$H$152,"&lt;="&amp;DATE(2024,4,30),'2024数据'!$AE$3:$AE$152,$E487)/10000</f>
        <v>0</v>
      </c>
      <c r="J487" s="121">
        <f>SUMIFS('2024数据'!$AR$3:$AR$152,'2024数据'!$H$3:$H$152,"&gt;="&amp;DATE(2024,5,1),'2024数据'!$H$3:$H$152,"&lt;="&amp;DATE(2024,5,31),'2024数据'!$AE$3:$AE$152,$E487)/10000</f>
        <v>0</v>
      </c>
      <c r="K487" s="121">
        <f>SUMIFS('2024数据'!$AR$3:$AR$152,'2024数据'!$H$3:$H$152,"&gt;="&amp;DATE(2024,6,1),'2024数据'!$H$3:$H$152,"&lt;="&amp;DATE(2024,6,30),'2024数据'!$AE$3:$AE$152,$E487)/10000</f>
        <v>0</v>
      </c>
      <c r="L487" s="121">
        <f>SUMIFS('2024数据'!$AR$3:$AR$152,'2024数据'!$H$3:$H$152,"&gt;="&amp;DATE(2024,7,1),'2024数据'!$H$3:$H$152,"&lt;="&amp;DATE(2024,7,31),'2024数据'!$AE$3:$AE$152,$E487)/10000</f>
        <v>0</v>
      </c>
      <c r="M487" s="121">
        <f>SUMIFS('2024数据'!$AR$3:$AR$152,'2024数据'!$H$3:$H$152,"&gt;="&amp;DATE(2024,8,1),'2024数据'!$H$3:$H$152,"&lt;="&amp;DATE(2024,8,31),'2024数据'!$AE$3:$AE$152,$E487)/10000</f>
        <v>0</v>
      </c>
      <c r="N487" s="121">
        <f>SUMIFS('2024数据'!$AR$3:$AR$152,'2024数据'!$H$3:$H$152,"&gt;="&amp;DATE(2024,9,1),'2024数据'!$H$3:$H$152,"&lt;="&amp;DATE(2024,9,30),'2024数据'!$AE$3:$AE$152,$E487)/10000</f>
        <v>0</v>
      </c>
      <c r="O487" s="121">
        <f>SUMIFS('2024数据'!$AR$3:$AR$152,'2024数据'!$H$3:$H$152,"&gt;="&amp;DATE(2024,10,1),'2024数据'!$H$3:$H$152,"&lt;="&amp;DATE(2024,10,31),'2024数据'!$AE$3:$AE$152,$E487)/10000</f>
        <v>7.870485</v>
      </c>
      <c r="P487" s="121">
        <f>SUMIFS('2024数据'!$AR$3:$AR$152,'2024数据'!$H$3:$H$152,"&gt;="&amp;DATE(2024,11,1),'2024数据'!$H$3:$H$152,"&lt;="&amp;DATE(2024,11,30),'2024数据'!$AE$3:$AE$152,$E487)/10000</f>
        <v>0</v>
      </c>
      <c r="Q487" s="121">
        <f>SUMIFS('2024数据'!$AR$3:$AR$152,'2024数据'!$H$3:$H$152,"&gt;="&amp;DATE(2024,12,1),'2024数据'!$H$3:$H$152,"&lt;="&amp;DATE(2024,12,31),'2024数据'!$AE$3:$AE$152,$E487)/10000</f>
        <v>0</v>
      </c>
    </row>
    <row r="488" ht="24" customHeight="1" spans="1:17">
      <c r="A488" s="99" t="s">
        <v>345</v>
      </c>
      <c r="B488" s="99" t="s">
        <v>299</v>
      </c>
      <c r="C488" s="99" t="s">
        <v>333</v>
      </c>
      <c r="D488" s="48" t="s">
        <v>31</v>
      </c>
      <c r="E488" s="48" t="s">
        <v>86</v>
      </c>
      <c r="F488" s="121">
        <f>SUMIFS('2024数据'!$AR$3:$AR$152,'2024数据'!$H$3:$H$152,"&gt;="&amp;DATE(2024,1,1),'2024数据'!$H$3:$H$152,"&lt;="&amp;DATE(2024,1,31),'2024数据'!$AE$3:$AE$152,$E488)/10000</f>
        <v>0</v>
      </c>
      <c r="G488" s="121">
        <f>SUMIFS('2024数据'!$AR$3:$AR$152,'2024数据'!$H$3:$H$152,"&gt;="&amp;DATE(2024,2,1),'2024数据'!$H$3:$H$152,"&lt;="&amp;DATE(2024,2,29),'2024数据'!$AE$3:$AE$152,$E488)/10000</f>
        <v>0.780199</v>
      </c>
      <c r="H488" s="121">
        <f>SUMIFS('2024数据'!$AR$3:$AR$152,'2024数据'!$H$3:$H$152,"&gt;="&amp;DATE(2024,3,1),'2024数据'!$H$3:$H$152,"&lt;="&amp;DATE(2024,3,31),'2024数据'!$AE$3:$AE$152,$E488)/10000</f>
        <v>0</v>
      </c>
      <c r="I488" s="121">
        <f>SUMIFS('2024数据'!$AR$3:$AR$152,'2024数据'!$H$3:$H$152,"&gt;="&amp;DATE(2024,4,1),'2024数据'!$H$3:$H$152,"&lt;="&amp;DATE(2024,4,30),'2024数据'!$AE$3:$AE$152,$E488)/10000</f>
        <v>0</v>
      </c>
      <c r="J488" s="121">
        <f>SUMIFS('2024数据'!$AR$3:$AR$152,'2024数据'!$H$3:$H$152,"&gt;="&amp;DATE(2024,5,1),'2024数据'!$H$3:$H$152,"&lt;="&amp;DATE(2024,5,31),'2024数据'!$AE$3:$AE$152,$E488)/10000</f>
        <v>0</v>
      </c>
      <c r="K488" s="121">
        <f>SUMIFS('2024数据'!$AR$3:$AR$152,'2024数据'!$H$3:$H$152,"&gt;="&amp;DATE(2024,6,1),'2024数据'!$H$3:$H$152,"&lt;="&amp;DATE(2024,6,30),'2024数据'!$AE$3:$AE$152,$E488)/10000</f>
        <v>0</v>
      </c>
      <c r="L488" s="121">
        <f>SUMIFS('2024数据'!$AR$3:$AR$152,'2024数据'!$H$3:$H$152,"&gt;="&amp;DATE(2024,7,1),'2024数据'!$H$3:$H$152,"&lt;="&amp;DATE(2024,7,31),'2024数据'!$AE$3:$AE$152,$E488)/10000</f>
        <v>0</v>
      </c>
      <c r="M488" s="121">
        <f>SUMIFS('2024数据'!$AR$3:$AR$152,'2024数据'!$H$3:$H$152,"&gt;="&amp;DATE(2024,8,1),'2024数据'!$H$3:$H$152,"&lt;="&amp;DATE(2024,8,31),'2024数据'!$AE$3:$AE$152,$E488)/10000</f>
        <v>0</v>
      </c>
      <c r="N488" s="121">
        <f>SUMIFS('2024数据'!$AR$3:$AR$152,'2024数据'!$H$3:$H$152,"&gt;="&amp;DATE(2024,9,1),'2024数据'!$H$3:$H$152,"&lt;="&amp;DATE(2024,9,30),'2024数据'!$AE$3:$AE$152,$E488)/10000</f>
        <v>0</v>
      </c>
      <c r="O488" s="121">
        <f>SUMIFS('2024数据'!$AR$3:$AR$152,'2024数据'!$H$3:$H$152,"&gt;="&amp;DATE(2024,10,1),'2024数据'!$H$3:$H$152,"&lt;="&amp;DATE(2024,10,31),'2024数据'!$AE$3:$AE$152,$E488)/10000</f>
        <v>0</v>
      </c>
      <c r="P488" s="121">
        <f>SUMIFS('2024数据'!$AR$3:$AR$152,'2024数据'!$H$3:$H$152,"&gt;="&amp;DATE(2024,11,1),'2024数据'!$H$3:$H$152,"&lt;="&amp;DATE(2024,11,30),'2024数据'!$AE$3:$AE$152,$E488)/10000</f>
        <v>0</v>
      </c>
      <c r="Q488" s="121">
        <f>SUMIFS('2024数据'!$AR$3:$AR$152,'2024数据'!$H$3:$H$152,"&gt;="&amp;DATE(2024,12,1),'2024数据'!$H$3:$H$152,"&lt;="&amp;DATE(2024,12,31),'2024数据'!$AE$3:$AE$152,$E488)/10000</f>
        <v>0</v>
      </c>
    </row>
    <row r="489" ht="24" customHeight="1" spans="1:17">
      <c r="A489" s="99" t="s">
        <v>345</v>
      </c>
      <c r="B489" s="99" t="s">
        <v>299</v>
      </c>
      <c r="C489" s="99" t="s">
        <v>333</v>
      </c>
      <c r="D489" s="48" t="s">
        <v>31</v>
      </c>
      <c r="E489" s="48" t="s">
        <v>97</v>
      </c>
      <c r="F489" s="121">
        <f>SUMIFS('2024数据'!$AR$3:$AR$152,'2024数据'!$H$3:$H$152,"&gt;="&amp;DATE(2024,1,1),'2024数据'!$H$3:$H$152,"&lt;="&amp;DATE(2024,1,31),'2024数据'!$AE$3:$AE$152,$E489)/10000</f>
        <v>2.728315</v>
      </c>
      <c r="G489" s="121">
        <f>SUMIFS('2024数据'!$AR$3:$AR$152,'2024数据'!$H$3:$H$152,"&gt;="&amp;DATE(2024,2,1),'2024数据'!$H$3:$H$152,"&lt;="&amp;DATE(2024,2,29),'2024数据'!$AE$3:$AE$152,$E489)/10000</f>
        <v>0</v>
      </c>
      <c r="H489" s="121">
        <f>SUMIFS('2024数据'!$AR$3:$AR$152,'2024数据'!$H$3:$H$152,"&gt;="&amp;DATE(2024,3,1),'2024数据'!$H$3:$H$152,"&lt;="&amp;DATE(2024,3,31),'2024数据'!$AE$3:$AE$152,$E489)/10000</f>
        <v>0</v>
      </c>
      <c r="I489" s="121">
        <f>SUMIFS('2024数据'!$AR$3:$AR$152,'2024数据'!$H$3:$H$152,"&gt;="&amp;DATE(2024,4,1),'2024数据'!$H$3:$H$152,"&lt;="&amp;DATE(2024,4,30),'2024数据'!$AE$3:$AE$152,$E489)/10000</f>
        <v>0</v>
      </c>
      <c r="J489" s="121">
        <f>SUMIFS('2024数据'!$AR$3:$AR$152,'2024数据'!$H$3:$H$152,"&gt;="&amp;DATE(2024,5,1),'2024数据'!$H$3:$H$152,"&lt;="&amp;DATE(2024,5,31),'2024数据'!$AE$3:$AE$152,$E489)/10000</f>
        <v>0</v>
      </c>
      <c r="K489" s="121">
        <f>SUMIFS('2024数据'!$AR$3:$AR$152,'2024数据'!$H$3:$H$152,"&gt;="&amp;DATE(2024,6,1),'2024数据'!$H$3:$H$152,"&lt;="&amp;DATE(2024,6,30),'2024数据'!$AE$3:$AE$152,$E489)/10000</f>
        <v>0</v>
      </c>
      <c r="L489" s="121">
        <f>SUMIFS('2024数据'!$AR$3:$AR$152,'2024数据'!$H$3:$H$152,"&gt;="&amp;DATE(2024,7,1),'2024数据'!$H$3:$H$152,"&lt;="&amp;DATE(2024,7,31),'2024数据'!$AE$3:$AE$152,$E489)/10000</f>
        <v>0</v>
      </c>
      <c r="M489" s="121">
        <f>SUMIFS('2024数据'!$AR$3:$AR$152,'2024数据'!$H$3:$H$152,"&gt;="&amp;DATE(2024,8,1),'2024数据'!$H$3:$H$152,"&lt;="&amp;DATE(2024,8,31),'2024数据'!$AE$3:$AE$152,$E489)/10000</f>
        <v>0</v>
      </c>
      <c r="N489" s="121">
        <f>SUMIFS('2024数据'!$AR$3:$AR$152,'2024数据'!$H$3:$H$152,"&gt;="&amp;DATE(2024,9,1),'2024数据'!$H$3:$H$152,"&lt;="&amp;DATE(2024,9,30),'2024数据'!$AE$3:$AE$152,$E489)/10000</f>
        <v>0</v>
      </c>
      <c r="O489" s="121">
        <f>SUMIFS('2024数据'!$AR$3:$AR$152,'2024数据'!$H$3:$H$152,"&gt;="&amp;DATE(2024,10,1),'2024数据'!$H$3:$H$152,"&lt;="&amp;DATE(2024,10,31),'2024数据'!$AE$3:$AE$152,$E489)/10000</f>
        <v>0</v>
      </c>
      <c r="P489" s="121">
        <f>SUMIFS('2024数据'!$AR$3:$AR$152,'2024数据'!$H$3:$H$152,"&gt;="&amp;DATE(2024,11,1),'2024数据'!$H$3:$H$152,"&lt;="&amp;DATE(2024,11,30),'2024数据'!$AE$3:$AE$152,$E489)/10000</f>
        <v>0.146327</v>
      </c>
      <c r="Q489" s="121">
        <f>SUMIFS('2024数据'!$AR$3:$AR$152,'2024数据'!$H$3:$H$152,"&gt;="&amp;DATE(2024,12,1),'2024数据'!$H$3:$H$152,"&lt;="&amp;DATE(2024,12,31),'2024数据'!$AE$3:$AE$152,$E489)/10000</f>
        <v>4.0903</v>
      </c>
    </row>
    <row r="490" ht="24" customHeight="1" spans="1:17">
      <c r="A490" s="99" t="s">
        <v>345</v>
      </c>
      <c r="B490" s="99" t="s">
        <v>299</v>
      </c>
      <c r="C490" s="99" t="s">
        <v>333</v>
      </c>
      <c r="D490" s="48" t="s">
        <v>31</v>
      </c>
      <c r="E490" s="48" t="s">
        <v>87</v>
      </c>
      <c r="F490" s="121">
        <f>SUMIFS('2024数据'!$AR$3:$AR$152,'2024数据'!$H$3:$H$152,"&gt;="&amp;DATE(2024,1,1),'2024数据'!$H$3:$H$152,"&lt;="&amp;DATE(2024,1,31),'2024数据'!$AE$3:$AE$152,$E490)/10000</f>
        <v>0</v>
      </c>
      <c r="G490" s="121">
        <f>SUMIFS('2024数据'!$AR$3:$AR$152,'2024数据'!$H$3:$H$152,"&gt;="&amp;DATE(2024,2,1),'2024数据'!$H$3:$H$152,"&lt;="&amp;DATE(2024,2,29),'2024数据'!$AE$3:$AE$152,$E490)/10000</f>
        <v>0</v>
      </c>
      <c r="H490" s="121">
        <f>SUMIFS('2024数据'!$AR$3:$AR$152,'2024数据'!$H$3:$H$152,"&gt;="&amp;DATE(2024,3,1),'2024数据'!$H$3:$H$152,"&lt;="&amp;DATE(2024,3,31),'2024数据'!$AE$3:$AE$152,$E490)/10000</f>
        <v>0</v>
      </c>
      <c r="I490" s="121">
        <f>SUMIFS('2024数据'!$AR$3:$AR$152,'2024数据'!$H$3:$H$152,"&gt;="&amp;DATE(2024,4,1),'2024数据'!$H$3:$H$152,"&lt;="&amp;DATE(2024,4,30),'2024数据'!$AE$3:$AE$152,$E490)/10000</f>
        <v>0</v>
      </c>
      <c r="J490" s="121">
        <f>SUMIFS('2024数据'!$AR$3:$AR$152,'2024数据'!$H$3:$H$152,"&gt;="&amp;DATE(2024,5,1),'2024数据'!$H$3:$H$152,"&lt;="&amp;DATE(2024,5,31),'2024数据'!$AE$3:$AE$152,$E490)/10000</f>
        <v>2.706678</v>
      </c>
      <c r="K490" s="121">
        <f>SUMIFS('2024数据'!$AR$3:$AR$152,'2024数据'!$H$3:$H$152,"&gt;="&amp;DATE(2024,6,1),'2024数据'!$H$3:$H$152,"&lt;="&amp;DATE(2024,6,30),'2024数据'!$AE$3:$AE$152,$E490)/10000</f>
        <v>0</v>
      </c>
      <c r="L490" s="121">
        <f>SUMIFS('2024数据'!$AR$3:$AR$152,'2024数据'!$H$3:$H$152,"&gt;="&amp;DATE(2024,7,1),'2024数据'!$H$3:$H$152,"&lt;="&amp;DATE(2024,7,31),'2024数据'!$AE$3:$AE$152,$E490)/10000</f>
        <v>0</v>
      </c>
      <c r="M490" s="121">
        <f>SUMIFS('2024数据'!$AR$3:$AR$152,'2024数据'!$H$3:$H$152,"&gt;="&amp;DATE(2024,8,1),'2024数据'!$H$3:$H$152,"&lt;="&amp;DATE(2024,8,31),'2024数据'!$AE$3:$AE$152,$E490)/10000</f>
        <v>0</v>
      </c>
      <c r="N490" s="121">
        <f>SUMIFS('2024数据'!$AR$3:$AR$152,'2024数据'!$H$3:$H$152,"&gt;="&amp;DATE(2024,9,1),'2024数据'!$H$3:$H$152,"&lt;="&amp;DATE(2024,9,30),'2024数据'!$AE$3:$AE$152,$E490)/10000</f>
        <v>0</v>
      </c>
      <c r="O490" s="121">
        <f>SUMIFS('2024数据'!$AR$3:$AR$152,'2024数据'!$H$3:$H$152,"&gt;="&amp;DATE(2024,10,1),'2024数据'!$H$3:$H$152,"&lt;="&amp;DATE(2024,10,31),'2024数据'!$AE$3:$AE$152,$E490)/10000</f>
        <v>0</v>
      </c>
      <c r="P490" s="121">
        <f>SUMIFS('2024数据'!$AR$3:$AR$152,'2024数据'!$H$3:$H$152,"&gt;="&amp;DATE(2024,11,1),'2024数据'!$H$3:$H$152,"&lt;="&amp;DATE(2024,11,30),'2024数据'!$AE$3:$AE$152,$E490)/10000</f>
        <v>0</v>
      </c>
      <c r="Q490" s="121">
        <f>SUMIFS('2024数据'!$AR$3:$AR$152,'2024数据'!$H$3:$H$152,"&gt;="&amp;DATE(2024,12,1),'2024数据'!$H$3:$H$152,"&lt;="&amp;DATE(2024,12,31),'2024数据'!$AE$3:$AE$152,$E490)/10000</f>
        <v>0</v>
      </c>
    </row>
    <row r="491" ht="24" customHeight="1" spans="1:17">
      <c r="A491" s="99" t="s">
        <v>345</v>
      </c>
      <c r="B491" s="99" t="s">
        <v>299</v>
      </c>
      <c r="C491" s="99" t="s">
        <v>333</v>
      </c>
      <c r="D491" s="48" t="s">
        <v>31</v>
      </c>
      <c r="E491" s="48" t="s">
        <v>83</v>
      </c>
      <c r="F491" s="121">
        <f>SUMIFS('2024数据'!$AR$3:$AR$152,'2024数据'!$H$3:$H$152,"&gt;="&amp;DATE(2024,1,1),'2024数据'!$H$3:$H$152,"&lt;="&amp;DATE(2024,1,31),'2024数据'!$AE$3:$AE$152,$E491)/10000</f>
        <v>0</v>
      </c>
      <c r="G491" s="121">
        <f>SUMIFS('2024数据'!$AR$3:$AR$152,'2024数据'!$H$3:$H$152,"&gt;="&amp;DATE(2024,2,1),'2024数据'!$H$3:$H$152,"&lt;="&amp;DATE(2024,2,29),'2024数据'!$AE$3:$AE$152,$E491)/10000</f>
        <v>0</v>
      </c>
      <c r="H491" s="121">
        <f>SUMIFS('2024数据'!$AR$3:$AR$152,'2024数据'!$H$3:$H$152,"&gt;="&amp;DATE(2024,3,1),'2024数据'!$H$3:$H$152,"&lt;="&amp;DATE(2024,3,31),'2024数据'!$AE$3:$AE$152,$E491)/10000</f>
        <v>0</v>
      </c>
      <c r="I491" s="121">
        <f>SUMIFS('2024数据'!$AR$3:$AR$152,'2024数据'!$H$3:$H$152,"&gt;="&amp;DATE(2024,4,1),'2024数据'!$H$3:$H$152,"&lt;="&amp;DATE(2024,4,30),'2024数据'!$AE$3:$AE$152,$E491)/10000</f>
        <v>0.624034</v>
      </c>
      <c r="J491" s="121">
        <f>SUMIFS('2024数据'!$AR$3:$AR$152,'2024数据'!$H$3:$H$152,"&gt;="&amp;DATE(2024,5,1),'2024数据'!$H$3:$H$152,"&lt;="&amp;DATE(2024,5,31),'2024数据'!$AE$3:$AE$152,$E491)/10000</f>
        <v>0</v>
      </c>
      <c r="K491" s="121">
        <f>SUMIFS('2024数据'!$AR$3:$AR$152,'2024数据'!$H$3:$H$152,"&gt;="&amp;DATE(2024,6,1),'2024数据'!$H$3:$H$152,"&lt;="&amp;DATE(2024,6,30),'2024数据'!$AE$3:$AE$152,$E491)/10000</f>
        <v>0</v>
      </c>
      <c r="L491" s="121">
        <f>SUMIFS('2024数据'!$AR$3:$AR$152,'2024数据'!$H$3:$H$152,"&gt;="&amp;DATE(2024,7,1),'2024数据'!$H$3:$H$152,"&lt;="&amp;DATE(2024,7,31),'2024数据'!$AE$3:$AE$152,$E491)/10000</f>
        <v>0</v>
      </c>
      <c r="M491" s="121">
        <f>SUMIFS('2024数据'!$AR$3:$AR$152,'2024数据'!$H$3:$H$152,"&gt;="&amp;DATE(2024,8,1),'2024数据'!$H$3:$H$152,"&lt;="&amp;DATE(2024,8,31),'2024数据'!$AE$3:$AE$152,$E491)/10000</f>
        <v>0</v>
      </c>
      <c r="N491" s="121">
        <f>SUMIFS('2024数据'!$AR$3:$AR$152,'2024数据'!$H$3:$H$152,"&gt;="&amp;DATE(2024,9,1),'2024数据'!$H$3:$H$152,"&lt;="&amp;DATE(2024,9,30),'2024数据'!$AE$3:$AE$152,$E491)/10000</f>
        <v>0</v>
      </c>
      <c r="O491" s="121">
        <f>SUMIFS('2024数据'!$AR$3:$AR$152,'2024数据'!$H$3:$H$152,"&gt;="&amp;DATE(2024,10,1),'2024数据'!$H$3:$H$152,"&lt;="&amp;DATE(2024,10,31),'2024数据'!$AE$3:$AE$152,$E491)/10000</f>
        <v>0</v>
      </c>
      <c r="P491" s="121">
        <f>SUMIFS('2024数据'!$AR$3:$AR$152,'2024数据'!$H$3:$H$152,"&gt;="&amp;DATE(2024,11,1),'2024数据'!$H$3:$H$152,"&lt;="&amp;DATE(2024,11,30),'2024数据'!$AE$3:$AE$152,$E491)/10000</f>
        <v>0</v>
      </c>
      <c r="Q491" s="121">
        <f>SUMIFS('2024数据'!$AR$3:$AR$152,'2024数据'!$H$3:$H$152,"&gt;="&amp;DATE(2024,12,1),'2024数据'!$H$3:$H$152,"&lt;="&amp;DATE(2024,12,31),'2024数据'!$AE$3:$AE$152,$E491)/10000</f>
        <v>0</v>
      </c>
    </row>
    <row r="492" ht="24" customHeight="1" spans="1:17">
      <c r="A492" s="99" t="s">
        <v>345</v>
      </c>
      <c r="B492" s="99" t="s">
        <v>299</v>
      </c>
      <c r="C492" s="99" t="s">
        <v>333</v>
      </c>
      <c r="D492" s="47" t="s">
        <v>294</v>
      </c>
      <c r="E492" s="47" t="s">
        <v>93</v>
      </c>
      <c r="F492" s="121">
        <f>SUMIFS('2024数据'!$AR$3:$AR$152,'2024数据'!$H$3:$H$152,"&gt;="&amp;DATE(2024,1,1),'2024数据'!$H$3:$H$152,"&lt;="&amp;DATE(2024,1,31),'2024数据'!$B$3:$B$152,$E492)/10000</f>
        <v>2.728315</v>
      </c>
      <c r="G492" s="121">
        <f>SUMIFS('2024数据'!$AR$3:$AR$152,'2024数据'!$H$3:$H$152,"&gt;="&amp;DATE(2024,2,1),'2024数据'!$H$3:$H$152,"&lt;="&amp;DATE(2024,2,29),'2024数据'!$B$3:$B$152,$E492)/10000</f>
        <v>0.780199</v>
      </c>
      <c r="H492" s="121">
        <f>SUMIFS('2024数据'!$AR$3:$AR$152,'2024数据'!$H$3:$H$152,"&gt;="&amp;DATE(2024,3,1),'2024数据'!$H$3:$H$152,"&lt;="&amp;DATE(2024,3,31),'2024数据'!$B$3:$B$152,$E492)/10000</f>
        <v>0</v>
      </c>
      <c r="I492" s="121">
        <f>SUMIFS('2024数据'!$AR$3:$AR$152,'2024数据'!$H$3:$H$152,"&gt;="&amp;DATE(2024,4,1),'2024数据'!$H$3:$H$152,"&lt;="&amp;DATE(2024,4,30),'2024数据'!$B$3:$B$152,$E492)/10000</f>
        <v>0</v>
      </c>
      <c r="J492" s="121">
        <f>SUMIFS('2024数据'!$AR$3:$AR$152,'2024数据'!$H$3:$H$152,"&gt;="&amp;DATE(2024,5,1),'2024数据'!$H$3:$H$152,"&lt;="&amp;DATE(2024,5,31),'2024数据'!$B$3:$B$152,$E492)/10000</f>
        <v>0</v>
      </c>
      <c r="K492" s="121">
        <f>SUMIFS('2024数据'!$AR$3:$AR$152,'2024数据'!$H$3:$H$152,"&gt;="&amp;DATE(2024,6,1),'2024数据'!$H$3:$H$152,"&lt;="&amp;DATE(2024,6,30),'2024数据'!$B$3:$B$152,$E492)/10000</f>
        <v>0</v>
      </c>
      <c r="L492" s="121">
        <f>SUMIFS('2024数据'!$AR$3:$AR$152,'2024数据'!$H$3:$H$152,"&gt;="&amp;DATE(2024,7,1),'2024数据'!$H$3:$H$152,"&lt;="&amp;DATE(2024,7,31),'2024数据'!$B$3:$B$152,$E492)/10000</f>
        <v>0</v>
      </c>
      <c r="M492" s="121">
        <f>SUMIFS('2024数据'!$AR$3:$AR$152,'2024数据'!$H$3:$H$152,"&gt;="&amp;DATE(2024,8,1),'2024数据'!$H$3:$H$152,"&lt;="&amp;DATE(2024,8,31),'2024数据'!$B$3:$B$152,$E492)/10000</f>
        <v>0</v>
      </c>
      <c r="N492" s="121">
        <f>SUMIFS('2024数据'!$AR$3:$AR$152,'2024数据'!$H$3:$H$152,"&gt;="&amp;DATE(2024,9,1),'2024数据'!$H$3:$H$152,"&lt;="&amp;DATE(2024,9,30),'2024数据'!$B$3:$B$152,$E492)/10000</f>
        <v>0</v>
      </c>
      <c r="O492" s="121">
        <f>SUMIFS('2024数据'!$AR$3:$AR$152,'2024数据'!$H$3:$H$152,"&gt;="&amp;DATE(2024,10,1),'2024数据'!$H$3:$H$152,"&lt;="&amp;DATE(2024,10,31),'2024数据'!$B$3:$B$152,$E492)/10000</f>
        <v>7.870485</v>
      </c>
      <c r="P492" s="121">
        <f>SUMIFS('2024数据'!$AR$3:$AR$152,'2024数据'!$H$3:$H$152,"&gt;="&amp;DATE(2024,11,1),'2024数据'!$H$3:$H$152,"&lt;="&amp;DATE(2024,11,30),'2024数据'!$B$3:$B$152,$E492)/10000</f>
        <v>0</v>
      </c>
      <c r="Q492" s="121">
        <f>SUMIFS('2024数据'!$AR$3:$AR$152,'2024数据'!$H$3:$H$152,"&gt;="&amp;DATE(2024,12,1),'2024数据'!$H$3:$H$152,"&lt;="&amp;DATE(2024,12,31),'2024数据'!$B$3:$B$152,$E492)/10000</f>
        <v>4.0903</v>
      </c>
    </row>
    <row r="493" ht="24" customHeight="1" spans="1:17">
      <c r="A493" s="99" t="s">
        <v>345</v>
      </c>
      <c r="B493" s="99" t="s">
        <v>299</v>
      </c>
      <c r="C493" s="99" t="s">
        <v>333</v>
      </c>
      <c r="D493" s="47" t="s">
        <v>294</v>
      </c>
      <c r="E493" s="47" t="s">
        <v>85</v>
      </c>
      <c r="F493" s="121">
        <f>SUMIFS('2024数据'!$AR$3:$AR$152,'2024数据'!$H$3:$H$152,"&gt;="&amp;DATE(2024,1,1),'2024数据'!$H$3:$H$152,"&lt;="&amp;DATE(2024,1,31),'2024数据'!$B$3:$B$152,$E493)/10000</f>
        <v>0</v>
      </c>
      <c r="G493" s="121">
        <f>SUMIFS('2024数据'!$AR$3:$AR$152,'2024数据'!$H$3:$H$152,"&gt;="&amp;DATE(2024,2,1),'2024数据'!$H$3:$H$152,"&lt;="&amp;DATE(2024,2,29),'2024数据'!$B$3:$B$152,$E493)/10000</f>
        <v>0</v>
      </c>
      <c r="H493" s="121">
        <f>SUMIFS('2024数据'!$AR$3:$AR$152,'2024数据'!$H$3:$H$152,"&gt;="&amp;DATE(2024,3,1),'2024数据'!$H$3:$H$152,"&lt;="&amp;DATE(2024,3,31),'2024数据'!$B$3:$B$152,$E493)/10000</f>
        <v>0</v>
      </c>
      <c r="I493" s="121">
        <f>SUMIFS('2024数据'!$AR$3:$AR$152,'2024数据'!$H$3:$H$152,"&gt;="&amp;DATE(2024,4,1),'2024数据'!$H$3:$H$152,"&lt;="&amp;DATE(2024,4,30),'2024数据'!$B$3:$B$152,$E493)/10000</f>
        <v>0</v>
      </c>
      <c r="J493" s="121">
        <f>SUMIFS('2024数据'!$AR$3:$AR$152,'2024数据'!$H$3:$H$152,"&gt;="&amp;DATE(2024,5,1),'2024数据'!$H$3:$H$152,"&lt;="&amp;DATE(2024,5,31),'2024数据'!$B$3:$B$152,$E493)/10000</f>
        <v>1.750338</v>
      </c>
      <c r="K493" s="121">
        <f>SUMIFS('2024数据'!$AR$3:$AR$152,'2024数据'!$H$3:$H$152,"&gt;="&amp;DATE(2024,6,1),'2024数据'!$H$3:$H$152,"&lt;="&amp;DATE(2024,6,30),'2024数据'!$B$3:$B$152,$E493)/10000</f>
        <v>0</v>
      </c>
      <c r="L493" s="121">
        <f>SUMIFS('2024数据'!$AR$3:$AR$152,'2024数据'!$H$3:$H$152,"&gt;="&amp;DATE(2024,7,1),'2024数据'!$H$3:$H$152,"&lt;="&amp;DATE(2024,7,31),'2024数据'!$B$3:$B$152,$E493)/10000</f>
        <v>0</v>
      </c>
      <c r="M493" s="121">
        <f>SUMIFS('2024数据'!$AR$3:$AR$152,'2024数据'!$H$3:$H$152,"&gt;="&amp;DATE(2024,8,1),'2024数据'!$H$3:$H$152,"&lt;="&amp;DATE(2024,8,31),'2024数据'!$B$3:$B$152,$E493)/10000</f>
        <v>0</v>
      </c>
      <c r="N493" s="121">
        <f>SUMIFS('2024数据'!$AR$3:$AR$152,'2024数据'!$H$3:$H$152,"&gt;="&amp;DATE(2024,9,1),'2024数据'!$H$3:$H$152,"&lt;="&amp;DATE(2024,9,30),'2024数据'!$B$3:$B$152,$E493)/10000</f>
        <v>0</v>
      </c>
      <c r="O493" s="121">
        <f>SUMIFS('2024数据'!$AR$3:$AR$152,'2024数据'!$H$3:$H$152,"&gt;="&amp;DATE(2024,10,1),'2024数据'!$H$3:$H$152,"&lt;="&amp;DATE(2024,10,31),'2024数据'!$B$3:$B$152,$E493)/10000</f>
        <v>0</v>
      </c>
      <c r="P493" s="121">
        <f>SUMIFS('2024数据'!$AR$3:$AR$152,'2024数据'!$H$3:$H$152,"&gt;="&amp;DATE(2024,11,1),'2024数据'!$H$3:$H$152,"&lt;="&amp;DATE(2024,11,30),'2024数据'!$B$3:$B$152,$E493)/10000</f>
        <v>0</v>
      </c>
      <c r="Q493" s="121">
        <f>SUMIFS('2024数据'!$AR$3:$AR$152,'2024数据'!$H$3:$H$152,"&gt;="&amp;DATE(2024,12,1),'2024数据'!$H$3:$H$152,"&lt;="&amp;DATE(2024,12,31),'2024数据'!$B$3:$B$152,$E493)/10000</f>
        <v>0</v>
      </c>
    </row>
    <row r="494" ht="24" customHeight="1" spans="1:17">
      <c r="A494" s="99" t="s">
        <v>345</v>
      </c>
      <c r="B494" s="99" t="s">
        <v>299</v>
      </c>
      <c r="C494" s="99" t="s">
        <v>333</v>
      </c>
      <c r="D494" s="47" t="s">
        <v>294</v>
      </c>
      <c r="E494" s="47" t="s">
        <v>81</v>
      </c>
      <c r="F494" s="121">
        <f>SUMIFS('2024数据'!$AR$3:$AR$152,'2024数据'!$H$3:$H$152,"&gt;="&amp;DATE(2024,1,1),'2024数据'!$H$3:$H$152,"&lt;="&amp;DATE(2024,1,31),'2024数据'!$B$3:$B$152,$E494)/10000</f>
        <v>0.862777</v>
      </c>
      <c r="G494" s="121">
        <f>SUMIFS('2024数据'!$AR$3:$AR$152,'2024数据'!$H$3:$H$152,"&gt;="&amp;DATE(2024,2,1),'2024数据'!$H$3:$H$152,"&lt;="&amp;DATE(2024,2,29),'2024数据'!$B$3:$B$152,$E494)/10000</f>
        <v>0</v>
      </c>
      <c r="H494" s="121">
        <f>SUMIFS('2024数据'!$AR$3:$AR$152,'2024数据'!$H$3:$H$152,"&gt;="&amp;DATE(2024,3,1),'2024数据'!$H$3:$H$152,"&lt;="&amp;DATE(2024,3,31),'2024数据'!$B$3:$B$152,$E494)/10000</f>
        <v>0</v>
      </c>
      <c r="I494" s="121">
        <f>SUMIFS('2024数据'!$AR$3:$AR$152,'2024数据'!$H$3:$H$152,"&gt;="&amp;DATE(2024,4,1),'2024数据'!$H$3:$H$152,"&lt;="&amp;DATE(2024,4,30),'2024数据'!$B$3:$B$152,$E494)/10000</f>
        <v>0</v>
      </c>
      <c r="J494" s="121">
        <f>SUMIFS('2024数据'!$AR$3:$AR$152,'2024数据'!$H$3:$H$152,"&gt;="&amp;DATE(2024,5,1),'2024数据'!$H$3:$H$152,"&lt;="&amp;DATE(2024,5,31),'2024数据'!$B$3:$B$152,$E494)/10000</f>
        <v>0.492895</v>
      </c>
      <c r="K494" s="121">
        <f>SUMIFS('2024数据'!$AR$3:$AR$152,'2024数据'!$H$3:$H$152,"&gt;="&amp;DATE(2024,6,1),'2024数据'!$H$3:$H$152,"&lt;="&amp;DATE(2024,6,30),'2024数据'!$B$3:$B$152,$E494)/10000</f>
        <v>0</v>
      </c>
      <c r="L494" s="121">
        <f>SUMIFS('2024数据'!$AR$3:$AR$152,'2024数据'!$H$3:$H$152,"&gt;="&amp;DATE(2024,7,1),'2024数据'!$H$3:$H$152,"&lt;="&amp;DATE(2024,7,31),'2024数据'!$B$3:$B$152,$E494)/10000</f>
        <v>0</v>
      </c>
      <c r="M494" s="121">
        <f>SUMIFS('2024数据'!$AR$3:$AR$152,'2024数据'!$H$3:$H$152,"&gt;="&amp;DATE(2024,8,1),'2024数据'!$H$3:$H$152,"&lt;="&amp;DATE(2024,8,31),'2024数据'!$B$3:$B$152,$E494)/10000</f>
        <v>1.943826</v>
      </c>
      <c r="N494" s="121">
        <f>SUMIFS('2024数据'!$AR$3:$AR$152,'2024数据'!$H$3:$H$152,"&gt;="&amp;DATE(2024,9,1),'2024数据'!$H$3:$H$152,"&lt;="&amp;DATE(2024,9,30),'2024数据'!$B$3:$B$152,$E494)/10000</f>
        <v>0</v>
      </c>
      <c r="O494" s="121">
        <f>SUMIFS('2024数据'!$AR$3:$AR$152,'2024数据'!$H$3:$H$152,"&gt;="&amp;DATE(2024,10,1),'2024数据'!$H$3:$H$152,"&lt;="&amp;DATE(2024,10,31),'2024数据'!$B$3:$B$152,$E494)/10000</f>
        <v>0</v>
      </c>
      <c r="P494" s="121">
        <f>SUMIFS('2024数据'!$AR$3:$AR$152,'2024数据'!$H$3:$H$152,"&gt;="&amp;DATE(2024,11,1),'2024数据'!$H$3:$H$152,"&lt;="&amp;DATE(2024,11,30),'2024数据'!$B$3:$B$152,$E494)/10000</f>
        <v>0.146327</v>
      </c>
      <c r="Q494" s="121">
        <f>SUMIFS('2024数据'!$AR$3:$AR$152,'2024数据'!$H$3:$H$152,"&gt;="&amp;DATE(2024,12,1),'2024数据'!$H$3:$H$152,"&lt;="&amp;DATE(2024,12,31),'2024数据'!$B$3:$B$152,$E494)/10000</f>
        <v>0</v>
      </c>
    </row>
    <row r="495" ht="24" customHeight="1" spans="1:17">
      <c r="A495" s="99" t="s">
        <v>345</v>
      </c>
      <c r="B495" s="99" t="s">
        <v>299</v>
      </c>
      <c r="C495" s="99" t="s">
        <v>333</v>
      </c>
      <c r="D495" s="47" t="s">
        <v>294</v>
      </c>
      <c r="E495" s="47" t="s">
        <v>96</v>
      </c>
      <c r="F495" s="121">
        <f>SUMIFS('2024数据'!$AR$3:$AR$152,'2024数据'!$H$3:$H$152,"&gt;="&amp;DATE(2024,1,1),'2024数据'!$H$3:$H$152,"&lt;="&amp;DATE(2024,1,31),'2024数据'!$B$3:$B$152,$E495)/10000</f>
        <v>0</v>
      </c>
      <c r="G495" s="121">
        <f>SUMIFS('2024数据'!$AR$3:$AR$152,'2024数据'!$H$3:$H$152,"&gt;="&amp;DATE(2024,2,1),'2024数据'!$H$3:$H$152,"&lt;="&amp;DATE(2024,2,29),'2024数据'!$B$3:$B$152,$E495)/10000</f>
        <v>0</v>
      </c>
      <c r="H495" s="121">
        <f>SUMIFS('2024数据'!$AR$3:$AR$152,'2024数据'!$H$3:$H$152,"&gt;="&amp;DATE(2024,3,1),'2024数据'!$H$3:$H$152,"&lt;="&amp;DATE(2024,3,31),'2024数据'!$B$3:$B$152,$E495)/10000</f>
        <v>0</v>
      </c>
      <c r="I495" s="121">
        <f>SUMIFS('2024数据'!$AR$3:$AR$152,'2024数据'!$H$3:$H$152,"&gt;="&amp;DATE(2024,4,1),'2024数据'!$H$3:$H$152,"&lt;="&amp;DATE(2024,4,30),'2024数据'!$B$3:$B$152,$E495)/10000</f>
        <v>0</v>
      </c>
      <c r="J495" s="121">
        <f>SUMIFS('2024数据'!$AR$3:$AR$152,'2024数据'!$H$3:$H$152,"&gt;="&amp;DATE(2024,5,1),'2024数据'!$H$3:$H$152,"&lt;="&amp;DATE(2024,5,31),'2024数据'!$B$3:$B$152,$E495)/10000</f>
        <v>2.706678</v>
      </c>
      <c r="K495" s="121">
        <f>SUMIFS('2024数据'!$AR$3:$AR$152,'2024数据'!$H$3:$H$152,"&gt;="&amp;DATE(2024,6,1),'2024数据'!$H$3:$H$152,"&lt;="&amp;DATE(2024,6,30),'2024数据'!$B$3:$B$152,$E495)/10000</f>
        <v>0</v>
      </c>
      <c r="L495" s="121">
        <f>SUMIFS('2024数据'!$AR$3:$AR$152,'2024数据'!$H$3:$H$152,"&gt;="&amp;DATE(2024,7,1),'2024数据'!$H$3:$H$152,"&lt;="&amp;DATE(2024,7,31),'2024数据'!$B$3:$B$152,$E495)/10000</f>
        <v>1.892256</v>
      </c>
      <c r="M495" s="121">
        <f>SUMIFS('2024数据'!$AR$3:$AR$152,'2024数据'!$H$3:$H$152,"&gt;="&amp;DATE(2024,8,1),'2024数据'!$H$3:$H$152,"&lt;="&amp;DATE(2024,8,31),'2024数据'!$B$3:$B$152,$E495)/10000</f>
        <v>0</v>
      </c>
      <c r="N495" s="121">
        <f>SUMIFS('2024数据'!$AR$3:$AR$152,'2024数据'!$H$3:$H$152,"&gt;="&amp;DATE(2024,9,1),'2024数据'!$H$3:$H$152,"&lt;="&amp;DATE(2024,9,30),'2024数据'!$B$3:$B$152,$E495)/10000</f>
        <v>0</v>
      </c>
      <c r="O495" s="121">
        <f>SUMIFS('2024数据'!$AR$3:$AR$152,'2024数据'!$H$3:$H$152,"&gt;="&amp;DATE(2024,10,1),'2024数据'!$H$3:$H$152,"&lt;="&amp;DATE(2024,10,31),'2024数据'!$B$3:$B$152,$E495)/10000</f>
        <v>0</v>
      </c>
      <c r="P495" s="121">
        <f>SUMIFS('2024数据'!$AR$3:$AR$152,'2024数据'!$H$3:$H$152,"&gt;="&amp;DATE(2024,11,1),'2024数据'!$H$3:$H$152,"&lt;="&amp;DATE(2024,11,30),'2024数据'!$B$3:$B$152,$E495)/10000</f>
        <v>0</v>
      </c>
      <c r="Q495" s="121">
        <f>SUMIFS('2024数据'!$AR$3:$AR$152,'2024数据'!$H$3:$H$152,"&gt;="&amp;DATE(2024,12,1),'2024数据'!$H$3:$H$152,"&lt;="&amp;DATE(2024,12,31),'2024数据'!$B$3:$B$152,$E495)/10000</f>
        <v>0</v>
      </c>
    </row>
    <row r="496" ht="24" customHeight="1" spans="1:17">
      <c r="A496" s="99" t="s">
        <v>345</v>
      </c>
      <c r="B496" s="99" t="s">
        <v>299</v>
      </c>
      <c r="C496" s="99" t="s">
        <v>333</v>
      </c>
      <c r="D496" s="47" t="s">
        <v>294</v>
      </c>
      <c r="E496" s="47" t="s">
        <v>160</v>
      </c>
      <c r="F496" s="121">
        <f t="shared" ref="F496:Q496" si="362">SUM(F486:F491)-SUM(F492:F495)</f>
        <v>0</v>
      </c>
      <c r="G496" s="121">
        <f t="shared" si="362"/>
        <v>0</v>
      </c>
      <c r="H496" s="121">
        <f t="shared" si="362"/>
        <v>0</v>
      </c>
      <c r="I496" s="121">
        <f t="shared" si="362"/>
        <v>0.624034</v>
      </c>
      <c r="J496" s="121">
        <f t="shared" si="362"/>
        <v>0</v>
      </c>
      <c r="K496" s="121">
        <f t="shared" si="362"/>
        <v>0</v>
      </c>
      <c r="L496" s="121">
        <f t="shared" si="362"/>
        <v>0</v>
      </c>
      <c r="M496" s="121">
        <f t="shared" si="362"/>
        <v>0</v>
      </c>
      <c r="N496" s="121">
        <f t="shared" si="362"/>
        <v>0</v>
      </c>
      <c r="O496" s="121">
        <f t="shared" si="362"/>
        <v>0</v>
      </c>
      <c r="P496" s="121">
        <f t="shared" si="362"/>
        <v>0</v>
      </c>
      <c r="Q496" s="121">
        <f t="shared" si="362"/>
        <v>0</v>
      </c>
    </row>
    <row r="497" ht="24" customHeight="1" spans="1:17">
      <c r="A497" s="99" t="s">
        <v>345</v>
      </c>
      <c r="B497" s="99" t="s">
        <v>299</v>
      </c>
      <c r="C497" s="99" t="s">
        <v>336</v>
      </c>
      <c r="D497" s="114" t="s">
        <v>292</v>
      </c>
      <c r="E497" s="114" t="s">
        <v>300</v>
      </c>
      <c r="F497" s="120">
        <f t="shared" ref="F497:Q497" si="363">SUM(F498:F503)</f>
        <v>3.654331</v>
      </c>
      <c r="G497" s="120">
        <f t="shared" si="363"/>
        <v>0.793825</v>
      </c>
      <c r="H497" s="120">
        <f t="shared" si="363"/>
        <v>0</v>
      </c>
      <c r="I497" s="120">
        <f t="shared" si="363"/>
        <v>0.637032</v>
      </c>
      <c r="J497" s="120">
        <f t="shared" si="363"/>
        <v>5.047182</v>
      </c>
      <c r="K497" s="120">
        <f t="shared" si="363"/>
        <v>0</v>
      </c>
      <c r="L497" s="120">
        <f t="shared" si="363"/>
        <v>1.905914</v>
      </c>
      <c r="M497" s="120">
        <f t="shared" si="363"/>
        <v>1.97771</v>
      </c>
      <c r="N497" s="120">
        <f t="shared" si="363"/>
        <v>0</v>
      </c>
      <c r="O497" s="120">
        <f t="shared" si="363"/>
        <v>8.009963</v>
      </c>
      <c r="P497" s="120">
        <f t="shared" si="363"/>
        <v>0.146694</v>
      </c>
      <c r="Q497" s="120">
        <f t="shared" si="363"/>
        <v>4.163586</v>
      </c>
    </row>
    <row r="498" ht="24" customHeight="1" spans="1:17">
      <c r="A498" s="99" t="s">
        <v>345</v>
      </c>
      <c r="B498" s="99" t="s">
        <v>299</v>
      </c>
      <c r="C498" s="99" t="s">
        <v>336</v>
      </c>
      <c r="D498" s="48" t="s">
        <v>31</v>
      </c>
      <c r="E498" s="48" t="s">
        <v>406</v>
      </c>
      <c r="F498" s="121">
        <f>SUMIFS('2024数据'!$AP$3:$AP$152,'2024数据'!$H$3:$H$152,"&gt;="&amp;DATE(2024,1,1),'2024数据'!$H$3:$H$152,"&lt;="&amp;DATE(2024,1,31),'2024数据'!$AE$3:$AE$152,$E498)/10000</f>
        <v>0.877846</v>
      </c>
      <c r="G498" s="121">
        <f>SUMIFS('2024数据'!$AP$3:$AP$152,'2024数据'!$H$3:$H$152,"&gt;="&amp;DATE(2024,2,1),'2024数据'!$H$3:$H$152,"&lt;="&amp;DATE(2024,2,29),'2024数据'!$AE$3:$AE$152,$E498)/10000</f>
        <v>0</v>
      </c>
      <c r="H498" s="121">
        <f>SUMIFS('2024数据'!$AP$3:$AP$152,'2024数据'!$H$3:$H$152,"&gt;="&amp;DATE(2024,3,1),'2024数据'!$H$3:$H$152,"&lt;="&amp;DATE(2024,3,31),'2024数据'!$AE$3:$AE$152,$E498)/10000</f>
        <v>0</v>
      </c>
      <c r="I498" s="121">
        <f>SUMIFS('2024数据'!$AP$3:$AP$152,'2024数据'!$H$3:$H$152,"&gt;="&amp;DATE(2024,4,1),'2024数据'!$H$3:$H$152,"&lt;="&amp;DATE(2024,4,30),'2024数据'!$AE$3:$AE$152,$E498)/10000</f>
        <v>0</v>
      </c>
      <c r="J498" s="121">
        <f>SUMIFS('2024数据'!$AP$3:$AP$152,'2024数据'!$H$3:$H$152,"&gt;="&amp;DATE(2024,5,1),'2024数据'!$H$3:$H$152,"&lt;="&amp;DATE(2024,5,31),'2024数据'!$AE$3:$AE$152,$E498)/10000</f>
        <v>2.289874</v>
      </c>
      <c r="K498" s="121">
        <f>SUMIFS('2024数据'!$AP$3:$AP$152,'2024数据'!$H$3:$H$152,"&gt;="&amp;DATE(2024,6,1),'2024数据'!$H$3:$H$152,"&lt;="&amp;DATE(2024,6,30),'2024数据'!$AE$3:$AE$152,$E498)/10000</f>
        <v>0</v>
      </c>
      <c r="L498" s="121">
        <f>SUMIFS('2024数据'!$AP$3:$AP$152,'2024数据'!$H$3:$H$152,"&gt;="&amp;DATE(2024,7,1),'2024数据'!$H$3:$H$152,"&lt;="&amp;DATE(2024,7,31),'2024数据'!$AE$3:$AE$152,$E498)/10000</f>
        <v>1.905914</v>
      </c>
      <c r="M498" s="121">
        <f>SUMIFS('2024数据'!$AP$3:$AP$152,'2024数据'!$H$3:$H$152,"&gt;="&amp;DATE(2024,8,1),'2024数据'!$H$3:$H$152,"&lt;="&amp;DATE(2024,8,31),'2024数据'!$AE$3:$AE$152,$E498)/10000</f>
        <v>1.97771</v>
      </c>
      <c r="N498" s="121">
        <f>SUMIFS('2024数据'!$AP$3:$AP$152,'2024数据'!$H$3:$H$152,"&gt;="&amp;DATE(2024,9,1),'2024数据'!$H$3:$H$152,"&lt;="&amp;DATE(2024,9,30),'2024数据'!$AE$3:$AE$152,$E498)/10000</f>
        <v>0</v>
      </c>
      <c r="O498" s="121">
        <f>SUMIFS('2024数据'!$AP$3:$AP$152,'2024数据'!$H$3:$H$152,"&gt;="&amp;DATE(2024,10,1),'2024数据'!$H$3:$H$152,"&lt;="&amp;DATE(2024,10,31),'2024数据'!$AE$3:$AE$152,$E498)/10000</f>
        <v>0</v>
      </c>
      <c r="P498" s="121">
        <f>SUMIFS('2024数据'!$AP$3:$AP$152,'2024数据'!$H$3:$H$152,"&gt;="&amp;DATE(2024,11,1),'2024数据'!$H$3:$H$152,"&lt;="&amp;DATE(2024,11,30),'2024数据'!$AE$3:$AE$152,$E498)/10000</f>
        <v>0</v>
      </c>
      <c r="Q498" s="121">
        <f>SUMIFS('2024数据'!$AP$3:$AP$152,'2024数据'!$H$3:$H$152,"&gt;="&amp;DATE(2024,12,1),'2024数据'!$H$3:$H$152,"&lt;="&amp;DATE(2024,12,31),'2024数据'!$AE$3:$AE$152,$E498)/10000</f>
        <v>0</v>
      </c>
    </row>
    <row r="499" ht="24" customHeight="1" spans="1:17">
      <c r="A499" s="99" t="s">
        <v>345</v>
      </c>
      <c r="B499" s="99" t="s">
        <v>299</v>
      </c>
      <c r="C499" s="99" t="s">
        <v>336</v>
      </c>
      <c r="D499" s="48" t="s">
        <v>31</v>
      </c>
      <c r="E499" s="48" t="s">
        <v>82</v>
      </c>
      <c r="F499" s="121">
        <f>SUMIFS('2024数据'!$AP$3:$AP$152,'2024数据'!$H$3:$H$152,"&gt;="&amp;DATE(2024,1,1),'2024数据'!$H$3:$H$152,"&lt;="&amp;DATE(2024,1,31),'2024数据'!$AE$3:$AE$152,$E499)/10000</f>
        <v>0</v>
      </c>
      <c r="G499" s="121">
        <f>SUMIFS('2024数据'!$AP$3:$AP$152,'2024数据'!$H$3:$H$152,"&gt;="&amp;DATE(2024,2,1),'2024数据'!$H$3:$H$152,"&lt;="&amp;DATE(2024,2,29),'2024数据'!$AE$3:$AE$152,$E499)/10000</f>
        <v>0</v>
      </c>
      <c r="H499" s="121">
        <f>SUMIFS('2024数据'!$AP$3:$AP$152,'2024数据'!$H$3:$H$152,"&gt;="&amp;DATE(2024,3,1),'2024数据'!$H$3:$H$152,"&lt;="&amp;DATE(2024,3,31),'2024数据'!$AE$3:$AE$152,$E499)/10000</f>
        <v>0</v>
      </c>
      <c r="I499" s="121">
        <f>SUMIFS('2024数据'!$AP$3:$AP$152,'2024数据'!$H$3:$H$152,"&gt;="&amp;DATE(2024,4,1),'2024数据'!$H$3:$H$152,"&lt;="&amp;DATE(2024,4,30),'2024数据'!$AE$3:$AE$152,$E499)/10000</f>
        <v>0</v>
      </c>
      <c r="J499" s="121">
        <f>SUMIFS('2024数据'!$AP$3:$AP$152,'2024数据'!$H$3:$H$152,"&gt;="&amp;DATE(2024,5,1),'2024数据'!$H$3:$H$152,"&lt;="&amp;DATE(2024,5,31),'2024数据'!$AE$3:$AE$152,$E499)/10000</f>
        <v>0</v>
      </c>
      <c r="K499" s="121">
        <f>SUMIFS('2024数据'!$AP$3:$AP$152,'2024数据'!$H$3:$H$152,"&gt;="&amp;DATE(2024,6,1),'2024数据'!$H$3:$H$152,"&lt;="&amp;DATE(2024,6,30),'2024数据'!$AE$3:$AE$152,$E499)/10000</f>
        <v>0</v>
      </c>
      <c r="L499" s="121">
        <f>SUMIFS('2024数据'!$AP$3:$AP$152,'2024数据'!$H$3:$H$152,"&gt;="&amp;DATE(2024,7,1),'2024数据'!$H$3:$H$152,"&lt;="&amp;DATE(2024,7,31),'2024数据'!$AE$3:$AE$152,$E499)/10000</f>
        <v>0</v>
      </c>
      <c r="M499" s="121">
        <f>SUMIFS('2024数据'!$AP$3:$AP$152,'2024数据'!$H$3:$H$152,"&gt;="&amp;DATE(2024,8,1),'2024数据'!$H$3:$H$152,"&lt;="&amp;DATE(2024,8,31),'2024数据'!$AE$3:$AE$152,$E499)/10000</f>
        <v>0</v>
      </c>
      <c r="N499" s="121">
        <f>SUMIFS('2024数据'!$AP$3:$AP$152,'2024数据'!$H$3:$H$152,"&gt;="&amp;DATE(2024,9,1),'2024数据'!$H$3:$H$152,"&lt;="&amp;DATE(2024,9,30),'2024数据'!$AE$3:$AE$152,$E499)/10000</f>
        <v>0</v>
      </c>
      <c r="O499" s="121">
        <f>SUMIFS('2024数据'!$AP$3:$AP$152,'2024数据'!$H$3:$H$152,"&gt;="&amp;DATE(2024,10,1),'2024数据'!$H$3:$H$152,"&lt;="&amp;DATE(2024,10,31),'2024数据'!$AE$3:$AE$152,$E499)/10000</f>
        <v>8.009963</v>
      </c>
      <c r="P499" s="121">
        <f>SUMIFS('2024数据'!$AP$3:$AP$152,'2024数据'!$H$3:$H$152,"&gt;="&amp;DATE(2024,11,1),'2024数据'!$H$3:$H$152,"&lt;="&amp;DATE(2024,11,30),'2024数据'!$AE$3:$AE$152,$E499)/10000</f>
        <v>0</v>
      </c>
      <c r="Q499" s="121">
        <f>SUMIFS('2024数据'!$AP$3:$AP$152,'2024数据'!$H$3:$H$152,"&gt;="&amp;DATE(2024,12,1),'2024数据'!$H$3:$H$152,"&lt;="&amp;DATE(2024,12,31),'2024数据'!$AE$3:$AE$152,$E499)/10000</f>
        <v>0</v>
      </c>
    </row>
    <row r="500" ht="24" customHeight="1" spans="1:17">
      <c r="A500" s="99" t="s">
        <v>345</v>
      </c>
      <c r="B500" s="99" t="s">
        <v>299</v>
      </c>
      <c r="C500" s="99" t="s">
        <v>336</v>
      </c>
      <c r="D500" s="48" t="s">
        <v>31</v>
      </c>
      <c r="E500" s="48" t="s">
        <v>86</v>
      </c>
      <c r="F500" s="121">
        <f>SUMIFS('2024数据'!$AP$3:$AP$152,'2024数据'!$H$3:$H$152,"&gt;="&amp;DATE(2024,1,1),'2024数据'!$H$3:$H$152,"&lt;="&amp;DATE(2024,1,31),'2024数据'!$AE$3:$AE$152,$E500)/10000</f>
        <v>0</v>
      </c>
      <c r="G500" s="121">
        <f>SUMIFS('2024数据'!$AP$3:$AP$152,'2024数据'!$H$3:$H$152,"&gt;="&amp;DATE(2024,2,1),'2024数据'!$H$3:$H$152,"&lt;="&amp;DATE(2024,2,29),'2024数据'!$AE$3:$AE$152,$E500)/10000</f>
        <v>0.793825</v>
      </c>
      <c r="H500" s="121">
        <f>SUMIFS('2024数据'!$AP$3:$AP$152,'2024数据'!$H$3:$H$152,"&gt;="&amp;DATE(2024,3,1),'2024数据'!$H$3:$H$152,"&lt;="&amp;DATE(2024,3,31),'2024数据'!$AE$3:$AE$152,$E500)/10000</f>
        <v>0</v>
      </c>
      <c r="I500" s="121">
        <f>SUMIFS('2024数据'!$AP$3:$AP$152,'2024数据'!$H$3:$H$152,"&gt;="&amp;DATE(2024,4,1),'2024数据'!$H$3:$H$152,"&lt;="&amp;DATE(2024,4,30),'2024数据'!$AE$3:$AE$152,$E500)/10000</f>
        <v>0</v>
      </c>
      <c r="J500" s="121">
        <f>SUMIFS('2024数据'!$AP$3:$AP$152,'2024数据'!$H$3:$H$152,"&gt;="&amp;DATE(2024,5,1),'2024数据'!$H$3:$H$152,"&lt;="&amp;DATE(2024,5,31),'2024数据'!$AE$3:$AE$152,$E500)/10000</f>
        <v>0</v>
      </c>
      <c r="K500" s="121">
        <f>SUMIFS('2024数据'!$AP$3:$AP$152,'2024数据'!$H$3:$H$152,"&gt;="&amp;DATE(2024,6,1),'2024数据'!$H$3:$H$152,"&lt;="&amp;DATE(2024,6,30),'2024数据'!$AE$3:$AE$152,$E500)/10000</f>
        <v>0</v>
      </c>
      <c r="L500" s="121">
        <f>SUMIFS('2024数据'!$AP$3:$AP$152,'2024数据'!$H$3:$H$152,"&gt;="&amp;DATE(2024,7,1),'2024数据'!$H$3:$H$152,"&lt;="&amp;DATE(2024,7,31),'2024数据'!$AE$3:$AE$152,$E500)/10000</f>
        <v>0</v>
      </c>
      <c r="M500" s="121">
        <f>SUMIFS('2024数据'!$AP$3:$AP$152,'2024数据'!$H$3:$H$152,"&gt;="&amp;DATE(2024,8,1),'2024数据'!$H$3:$H$152,"&lt;="&amp;DATE(2024,8,31),'2024数据'!$AE$3:$AE$152,$E500)/10000</f>
        <v>0</v>
      </c>
      <c r="N500" s="121">
        <f>SUMIFS('2024数据'!$AP$3:$AP$152,'2024数据'!$H$3:$H$152,"&gt;="&amp;DATE(2024,9,1),'2024数据'!$H$3:$H$152,"&lt;="&amp;DATE(2024,9,30),'2024数据'!$AE$3:$AE$152,$E500)/10000</f>
        <v>0</v>
      </c>
      <c r="O500" s="121">
        <f>SUMIFS('2024数据'!$AP$3:$AP$152,'2024数据'!$H$3:$H$152,"&gt;="&amp;DATE(2024,10,1),'2024数据'!$H$3:$H$152,"&lt;="&amp;DATE(2024,10,31),'2024数据'!$AE$3:$AE$152,$E500)/10000</f>
        <v>0</v>
      </c>
      <c r="P500" s="121">
        <f>SUMIFS('2024数据'!$AP$3:$AP$152,'2024数据'!$H$3:$H$152,"&gt;="&amp;DATE(2024,11,1),'2024数据'!$H$3:$H$152,"&lt;="&amp;DATE(2024,11,30),'2024数据'!$AE$3:$AE$152,$E500)/10000</f>
        <v>0</v>
      </c>
      <c r="Q500" s="121">
        <f>SUMIFS('2024数据'!$AP$3:$AP$152,'2024数据'!$H$3:$H$152,"&gt;="&amp;DATE(2024,12,1),'2024数据'!$H$3:$H$152,"&lt;="&amp;DATE(2024,12,31),'2024数据'!$AE$3:$AE$152,$E500)/10000</f>
        <v>0</v>
      </c>
    </row>
    <row r="501" ht="24" customHeight="1" spans="1:17">
      <c r="A501" s="99" t="s">
        <v>345</v>
      </c>
      <c r="B501" s="99" t="s">
        <v>299</v>
      </c>
      <c r="C501" s="99" t="s">
        <v>336</v>
      </c>
      <c r="D501" s="48" t="s">
        <v>31</v>
      </c>
      <c r="E501" s="48" t="s">
        <v>97</v>
      </c>
      <c r="F501" s="121">
        <f>SUMIFS('2024数据'!$AP$3:$AP$152,'2024数据'!$H$3:$H$152,"&gt;="&amp;DATE(2024,1,1),'2024数据'!$H$3:$H$152,"&lt;="&amp;DATE(2024,1,31),'2024数据'!$AE$3:$AE$152,$E501)/10000</f>
        <v>2.776485</v>
      </c>
      <c r="G501" s="121">
        <f>SUMIFS('2024数据'!$AP$3:$AP$152,'2024数据'!$H$3:$H$152,"&gt;="&amp;DATE(2024,2,1),'2024数据'!$H$3:$H$152,"&lt;="&amp;DATE(2024,2,29),'2024数据'!$AE$3:$AE$152,$E501)/10000</f>
        <v>0</v>
      </c>
      <c r="H501" s="121">
        <f>SUMIFS('2024数据'!$AP$3:$AP$152,'2024数据'!$H$3:$H$152,"&gt;="&amp;DATE(2024,3,1),'2024数据'!$H$3:$H$152,"&lt;="&amp;DATE(2024,3,31),'2024数据'!$AE$3:$AE$152,$E501)/10000</f>
        <v>0</v>
      </c>
      <c r="I501" s="121">
        <f>SUMIFS('2024数据'!$AP$3:$AP$152,'2024数据'!$H$3:$H$152,"&gt;="&amp;DATE(2024,4,1),'2024数据'!$H$3:$H$152,"&lt;="&amp;DATE(2024,4,30),'2024数据'!$AE$3:$AE$152,$E501)/10000</f>
        <v>0</v>
      </c>
      <c r="J501" s="121">
        <f>SUMIFS('2024数据'!$AP$3:$AP$152,'2024数据'!$H$3:$H$152,"&gt;="&amp;DATE(2024,5,1),'2024数据'!$H$3:$H$152,"&lt;="&amp;DATE(2024,5,31),'2024数据'!$AE$3:$AE$152,$E501)/10000</f>
        <v>0</v>
      </c>
      <c r="K501" s="121">
        <f>SUMIFS('2024数据'!$AP$3:$AP$152,'2024数据'!$H$3:$H$152,"&gt;="&amp;DATE(2024,6,1),'2024数据'!$H$3:$H$152,"&lt;="&amp;DATE(2024,6,30),'2024数据'!$AE$3:$AE$152,$E501)/10000</f>
        <v>0</v>
      </c>
      <c r="L501" s="121">
        <f>SUMIFS('2024数据'!$AP$3:$AP$152,'2024数据'!$H$3:$H$152,"&gt;="&amp;DATE(2024,7,1),'2024数据'!$H$3:$H$152,"&lt;="&amp;DATE(2024,7,31),'2024数据'!$AE$3:$AE$152,$E501)/10000</f>
        <v>0</v>
      </c>
      <c r="M501" s="121">
        <f>SUMIFS('2024数据'!$AP$3:$AP$152,'2024数据'!$H$3:$H$152,"&gt;="&amp;DATE(2024,8,1),'2024数据'!$H$3:$H$152,"&lt;="&amp;DATE(2024,8,31),'2024数据'!$AE$3:$AE$152,$E501)/10000</f>
        <v>0</v>
      </c>
      <c r="N501" s="121">
        <f>SUMIFS('2024数据'!$AP$3:$AP$152,'2024数据'!$H$3:$H$152,"&gt;="&amp;DATE(2024,9,1),'2024数据'!$H$3:$H$152,"&lt;="&amp;DATE(2024,9,30),'2024数据'!$AE$3:$AE$152,$E501)/10000</f>
        <v>0</v>
      </c>
      <c r="O501" s="121">
        <f>SUMIFS('2024数据'!$AP$3:$AP$152,'2024数据'!$H$3:$H$152,"&gt;="&amp;DATE(2024,10,1),'2024数据'!$H$3:$H$152,"&lt;="&amp;DATE(2024,10,31),'2024数据'!$AE$3:$AE$152,$E501)/10000</f>
        <v>0</v>
      </c>
      <c r="P501" s="121">
        <f>SUMIFS('2024数据'!$AP$3:$AP$152,'2024数据'!$H$3:$H$152,"&gt;="&amp;DATE(2024,11,1),'2024数据'!$H$3:$H$152,"&lt;="&amp;DATE(2024,11,30),'2024数据'!$AE$3:$AE$152,$E501)/10000</f>
        <v>0.146694</v>
      </c>
      <c r="Q501" s="121">
        <f>SUMIFS('2024数据'!$AP$3:$AP$152,'2024数据'!$H$3:$H$152,"&gt;="&amp;DATE(2024,12,1),'2024数据'!$H$3:$H$152,"&lt;="&amp;DATE(2024,12,31),'2024数据'!$AE$3:$AE$152,$E501)/10000</f>
        <v>4.163586</v>
      </c>
    </row>
    <row r="502" ht="24" customHeight="1" spans="1:17">
      <c r="A502" s="99" t="s">
        <v>345</v>
      </c>
      <c r="B502" s="99" t="s">
        <v>299</v>
      </c>
      <c r="C502" s="99" t="s">
        <v>336</v>
      </c>
      <c r="D502" s="48" t="s">
        <v>31</v>
      </c>
      <c r="E502" s="48" t="s">
        <v>87</v>
      </c>
      <c r="F502" s="121">
        <f>SUMIFS('2024数据'!$AP$3:$AP$152,'2024数据'!$H$3:$H$152,"&gt;="&amp;DATE(2024,1,1),'2024数据'!$H$3:$H$152,"&lt;="&amp;DATE(2024,1,31),'2024数据'!$AE$3:$AE$152,$E502)/10000</f>
        <v>0</v>
      </c>
      <c r="G502" s="121">
        <f>SUMIFS('2024数据'!$AP$3:$AP$152,'2024数据'!$H$3:$H$152,"&gt;="&amp;DATE(2024,2,1),'2024数据'!$H$3:$H$152,"&lt;="&amp;DATE(2024,2,29),'2024数据'!$AE$3:$AE$152,$E502)/10000</f>
        <v>0</v>
      </c>
      <c r="H502" s="121">
        <f>SUMIFS('2024数据'!$AP$3:$AP$152,'2024数据'!$H$3:$H$152,"&gt;="&amp;DATE(2024,3,1),'2024数据'!$H$3:$H$152,"&lt;="&amp;DATE(2024,3,31),'2024数据'!$AE$3:$AE$152,$E502)/10000</f>
        <v>0</v>
      </c>
      <c r="I502" s="121">
        <f>SUMIFS('2024数据'!$AP$3:$AP$152,'2024数据'!$H$3:$H$152,"&gt;="&amp;DATE(2024,4,1),'2024数据'!$H$3:$H$152,"&lt;="&amp;DATE(2024,4,30),'2024数据'!$AE$3:$AE$152,$E502)/10000</f>
        <v>0</v>
      </c>
      <c r="J502" s="121">
        <f>SUMIFS('2024数据'!$AP$3:$AP$152,'2024数据'!$H$3:$H$152,"&gt;="&amp;DATE(2024,5,1),'2024数据'!$H$3:$H$152,"&lt;="&amp;DATE(2024,5,31),'2024数据'!$AE$3:$AE$152,$E502)/10000</f>
        <v>2.757308</v>
      </c>
      <c r="K502" s="121">
        <f>SUMIFS('2024数据'!$AP$3:$AP$152,'2024数据'!$H$3:$H$152,"&gt;="&amp;DATE(2024,6,1),'2024数据'!$H$3:$H$152,"&lt;="&amp;DATE(2024,6,30),'2024数据'!$AE$3:$AE$152,$E502)/10000</f>
        <v>0</v>
      </c>
      <c r="L502" s="121">
        <f>SUMIFS('2024数据'!$AP$3:$AP$152,'2024数据'!$H$3:$H$152,"&gt;="&amp;DATE(2024,7,1),'2024数据'!$H$3:$H$152,"&lt;="&amp;DATE(2024,7,31),'2024数据'!$AE$3:$AE$152,$E502)/10000</f>
        <v>0</v>
      </c>
      <c r="M502" s="121">
        <f>SUMIFS('2024数据'!$AP$3:$AP$152,'2024数据'!$H$3:$H$152,"&gt;="&amp;DATE(2024,8,1),'2024数据'!$H$3:$H$152,"&lt;="&amp;DATE(2024,8,31),'2024数据'!$AE$3:$AE$152,$E502)/10000</f>
        <v>0</v>
      </c>
      <c r="N502" s="121">
        <f>SUMIFS('2024数据'!$AP$3:$AP$152,'2024数据'!$H$3:$H$152,"&gt;="&amp;DATE(2024,9,1),'2024数据'!$H$3:$H$152,"&lt;="&amp;DATE(2024,9,30),'2024数据'!$AE$3:$AE$152,$E502)/10000</f>
        <v>0</v>
      </c>
      <c r="O502" s="121">
        <f>SUMIFS('2024数据'!$AP$3:$AP$152,'2024数据'!$H$3:$H$152,"&gt;="&amp;DATE(2024,10,1),'2024数据'!$H$3:$H$152,"&lt;="&amp;DATE(2024,10,31),'2024数据'!$AE$3:$AE$152,$E502)/10000</f>
        <v>0</v>
      </c>
      <c r="P502" s="121">
        <f>SUMIFS('2024数据'!$AP$3:$AP$152,'2024数据'!$H$3:$H$152,"&gt;="&amp;DATE(2024,11,1),'2024数据'!$H$3:$H$152,"&lt;="&amp;DATE(2024,11,30),'2024数据'!$AE$3:$AE$152,$E502)/10000</f>
        <v>0</v>
      </c>
      <c r="Q502" s="121">
        <f>SUMIFS('2024数据'!$AP$3:$AP$152,'2024数据'!$H$3:$H$152,"&gt;="&amp;DATE(2024,12,1),'2024数据'!$H$3:$H$152,"&lt;="&amp;DATE(2024,12,31),'2024数据'!$AE$3:$AE$152,$E502)/10000</f>
        <v>0</v>
      </c>
    </row>
    <row r="503" ht="24" customHeight="1" spans="1:17">
      <c r="A503" s="99" t="s">
        <v>345</v>
      </c>
      <c r="B503" s="99" t="s">
        <v>299</v>
      </c>
      <c r="C503" s="99" t="s">
        <v>336</v>
      </c>
      <c r="D503" s="48" t="s">
        <v>31</v>
      </c>
      <c r="E503" s="48" t="s">
        <v>83</v>
      </c>
      <c r="F503" s="121">
        <f>SUMIFS('2024数据'!$AP$3:$AP$152,'2024数据'!$H$3:$H$152,"&gt;="&amp;DATE(2024,1,1),'2024数据'!$H$3:$H$152,"&lt;="&amp;DATE(2024,1,31),'2024数据'!$AE$3:$AE$152,$E503)/10000</f>
        <v>0</v>
      </c>
      <c r="G503" s="121">
        <f>SUMIFS('2024数据'!$AP$3:$AP$152,'2024数据'!$H$3:$H$152,"&gt;="&amp;DATE(2024,2,1),'2024数据'!$H$3:$H$152,"&lt;="&amp;DATE(2024,2,29),'2024数据'!$AE$3:$AE$152,$E503)/10000</f>
        <v>0</v>
      </c>
      <c r="H503" s="121">
        <f>SUMIFS('2024数据'!$AP$3:$AP$152,'2024数据'!$H$3:$H$152,"&gt;="&amp;DATE(2024,3,1),'2024数据'!$H$3:$H$152,"&lt;="&amp;DATE(2024,3,31),'2024数据'!$AE$3:$AE$152,$E503)/10000</f>
        <v>0</v>
      </c>
      <c r="I503" s="121">
        <f>SUMIFS('2024数据'!$AP$3:$AP$152,'2024数据'!$H$3:$H$152,"&gt;="&amp;DATE(2024,4,1),'2024数据'!$H$3:$H$152,"&lt;="&amp;DATE(2024,4,30),'2024数据'!$AE$3:$AE$152,$E503)/10000</f>
        <v>0.637032</v>
      </c>
      <c r="J503" s="121">
        <f>SUMIFS('2024数据'!$AP$3:$AP$152,'2024数据'!$H$3:$H$152,"&gt;="&amp;DATE(2024,5,1),'2024数据'!$H$3:$H$152,"&lt;="&amp;DATE(2024,5,31),'2024数据'!$AE$3:$AE$152,$E503)/10000</f>
        <v>0</v>
      </c>
      <c r="K503" s="121">
        <f>SUMIFS('2024数据'!$AP$3:$AP$152,'2024数据'!$H$3:$H$152,"&gt;="&amp;DATE(2024,6,1),'2024数据'!$H$3:$H$152,"&lt;="&amp;DATE(2024,6,30),'2024数据'!$AE$3:$AE$152,$E503)/10000</f>
        <v>0</v>
      </c>
      <c r="L503" s="121">
        <f>SUMIFS('2024数据'!$AP$3:$AP$152,'2024数据'!$H$3:$H$152,"&gt;="&amp;DATE(2024,7,1),'2024数据'!$H$3:$H$152,"&lt;="&amp;DATE(2024,7,31),'2024数据'!$AE$3:$AE$152,$E503)/10000</f>
        <v>0</v>
      </c>
      <c r="M503" s="121">
        <f>SUMIFS('2024数据'!$AP$3:$AP$152,'2024数据'!$H$3:$H$152,"&gt;="&amp;DATE(2024,8,1),'2024数据'!$H$3:$H$152,"&lt;="&amp;DATE(2024,8,31),'2024数据'!$AE$3:$AE$152,$E503)/10000</f>
        <v>0</v>
      </c>
      <c r="N503" s="121">
        <f>SUMIFS('2024数据'!$AP$3:$AP$152,'2024数据'!$H$3:$H$152,"&gt;="&amp;DATE(2024,9,1),'2024数据'!$H$3:$H$152,"&lt;="&amp;DATE(2024,9,30),'2024数据'!$AE$3:$AE$152,$E503)/10000</f>
        <v>0</v>
      </c>
      <c r="O503" s="121">
        <f>SUMIFS('2024数据'!$AP$3:$AP$152,'2024数据'!$H$3:$H$152,"&gt;="&amp;DATE(2024,10,1),'2024数据'!$H$3:$H$152,"&lt;="&amp;DATE(2024,10,31),'2024数据'!$AE$3:$AE$152,$E503)/10000</f>
        <v>0</v>
      </c>
      <c r="P503" s="121">
        <f>SUMIFS('2024数据'!$AP$3:$AP$152,'2024数据'!$H$3:$H$152,"&gt;="&amp;DATE(2024,11,1),'2024数据'!$H$3:$H$152,"&lt;="&amp;DATE(2024,11,30),'2024数据'!$AE$3:$AE$152,$E503)/10000</f>
        <v>0</v>
      </c>
      <c r="Q503" s="121">
        <f>SUMIFS('2024数据'!$AP$3:$AP$152,'2024数据'!$H$3:$H$152,"&gt;="&amp;DATE(2024,12,1),'2024数据'!$H$3:$H$152,"&lt;="&amp;DATE(2024,12,31),'2024数据'!$AE$3:$AE$152,$E503)/10000</f>
        <v>0</v>
      </c>
    </row>
    <row r="504" ht="24" customHeight="1" spans="1:17">
      <c r="A504" s="99" t="s">
        <v>345</v>
      </c>
      <c r="B504" s="99" t="s">
        <v>299</v>
      </c>
      <c r="C504" s="99" t="s">
        <v>336</v>
      </c>
      <c r="D504" s="47" t="s">
        <v>294</v>
      </c>
      <c r="E504" s="47" t="s">
        <v>93</v>
      </c>
      <c r="F504" s="121">
        <f>SUMIFS('2024数据'!$AP$3:$AP$152,'2024数据'!$H$3:$H$152,"&gt;="&amp;DATE(2024,1,1),'2024数据'!$H$3:$H$152,"&lt;="&amp;DATE(2024,1,31),'2024数据'!$B$3:$B$152,$E504)/10000</f>
        <v>2.776485</v>
      </c>
      <c r="G504" s="121">
        <f>SUMIFS('2024数据'!$AP$3:$AP$152,'2024数据'!$H$3:$H$152,"&gt;="&amp;DATE(2024,2,1),'2024数据'!$H$3:$H$152,"&lt;="&amp;DATE(2024,2,29),'2024数据'!$B$3:$B$152,$E504)/10000</f>
        <v>0.793825</v>
      </c>
      <c r="H504" s="121">
        <f>SUMIFS('2024数据'!$AP$3:$AP$152,'2024数据'!$H$3:$H$152,"&gt;="&amp;DATE(2024,3,1),'2024数据'!$H$3:$H$152,"&lt;="&amp;DATE(2024,3,31),'2024数据'!$B$3:$B$152,$E504)/10000</f>
        <v>0</v>
      </c>
      <c r="I504" s="121">
        <f>SUMIFS('2024数据'!$AP$3:$AP$152,'2024数据'!$H$3:$H$152,"&gt;="&amp;DATE(2024,4,1),'2024数据'!$H$3:$H$152,"&lt;="&amp;DATE(2024,4,30),'2024数据'!$B$3:$B$152,$E504)/10000</f>
        <v>0</v>
      </c>
      <c r="J504" s="121">
        <f>SUMIFS('2024数据'!$AP$3:$AP$152,'2024数据'!$H$3:$H$152,"&gt;="&amp;DATE(2024,5,1),'2024数据'!$H$3:$H$152,"&lt;="&amp;DATE(2024,5,31),'2024数据'!$B$3:$B$152,$E504)/10000</f>
        <v>0</v>
      </c>
      <c r="K504" s="121">
        <f>SUMIFS('2024数据'!$AP$3:$AP$152,'2024数据'!$H$3:$H$152,"&gt;="&amp;DATE(2024,6,1),'2024数据'!$H$3:$H$152,"&lt;="&amp;DATE(2024,6,30),'2024数据'!$B$3:$B$152,$E504)/10000</f>
        <v>0</v>
      </c>
      <c r="L504" s="121">
        <f>SUMIFS('2024数据'!$AP$3:$AP$152,'2024数据'!$H$3:$H$152,"&gt;="&amp;DATE(2024,7,1),'2024数据'!$H$3:$H$152,"&lt;="&amp;DATE(2024,7,31),'2024数据'!$B$3:$B$152,$E504)/10000</f>
        <v>0</v>
      </c>
      <c r="M504" s="121">
        <f>SUMIFS('2024数据'!$AP$3:$AP$152,'2024数据'!$H$3:$H$152,"&gt;="&amp;DATE(2024,8,1),'2024数据'!$H$3:$H$152,"&lt;="&amp;DATE(2024,8,31),'2024数据'!$B$3:$B$152,$E504)/10000</f>
        <v>0</v>
      </c>
      <c r="N504" s="121">
        <f>SUMIFS('2024数据'!$AP$3:$AP$152,'2024数据'!$H$3:$H$152,"&gt;="&amp;DATE(2024,9,1),'2024数据'!$H$3:$H$152,"&lt;="&amp;DATE(2024,9,30),'2024数据'!$B$3:$B$152,$E504)/10000</f>
        <v>0</v>
      </c>
      <c r="O504" s="121">
        <f>SUMIFS('2024数据'!$AP$3:$AP$152,'2024数据'!$H$3:$H$152,"&gt;="&amp;DATE(2024,10,1),'2024数据'!$H$3:$H$152,"&lt;="&amp;DATE(2024,10,31),'2024数据'!$B$3:$B$152,$E504)/10000</f>
        <v>8.009963</v>
      </c>
      <c r="P504" s="121">
        <f>SUMIFS('2024数据'!$AP$3:$AP$152,'2024数据'!$H$3:$H$152,"&gt;="&amp;DATE(2024,11,1),'2024数据'!$H$3:$H$152,"&lt;="&amp;DATE(2024,11,30),'2024数据'!$B$3:$B$152,$E504)/10000</f>
        <v>0</v>
      </c>
      <c r="Q504" s="121">
        <f>SUMIFS('2024数据'!$AP$3:$AP$152,'2024数据'!$H$3:$H$152,"&gt;="&amp;DATE(2024,12,1),'2024数据'!$H$3:$H$152,"&lt;="&amp;DATE(2024,12,31),'2024数据'!$B$3:$B$152,$E504)/10000</f>
        <v>4.163586</v>
      </c>
    </row>
    <row r="505" ht="24" customHeight="1" spans="1:17">
      <c r="A505" s="99" t="s">
        <v>345</v>
      </c>
      <c r="B505" s="99" t="s">
        <v>299</v>
      </c>
      <c r="C505" s="99" t="s">
        <v>336</v>
      </c>
      <c r="D505" s="47" t="s">
        <v>294</v>
      </c>
      <c r="E505" s="47" t="s">
        <v>85</v>
      </c>
      <c r="F505" s="121">
        <f>SUMIFS('2024数据'!$AP$3:$AP$152,'2024数据'!$H$3:$H$152,"&gt;="&amp;DATE(2024,1,1),'2024数据'!$H$3:$H$152,"&lt;="&amp;DATE(2024,1,31),'2024数据'!$B$3:$B$152,$E505)/10000</f>
        <v>0</v>
      </c>
      <c r="G505" s="121">
        <f>SUMIFS('2024数据'!$AP$3:$AP$152,'2024数据'!$H$3:$H$152,"&gt;="&amp;DATE(2024,2,1),'2024数据'!$H$3:$H$152,"&lt;="&amp;DATE(2024,2,29),'2024数据'!$B$3:$B$152,$E505)/10000</f>
        <v>0</v>
      </c>
      <c r="H505" s="121">
        <f>SUMIFS('2024数据'!$AP$3:$AP$152,'2024数据'!$H$3:$H$152,"&gt;="&amp;DATE(2024,3,1),'2024数据'!$H$3:$H$152,"&lt;="&amp;DATE(2024,3,31),'2024数据'!$B$3:$B$152,$E505)/10000</f>
        <v>0</v>
      </c>
      <c r="I505" s="121">
        <f>SUMIFS('2024数据'!$AP$3:$AP$152,'2024数据'!$H$3:$H$152,"&gt;="&amp;DATE(2024,4,1),'2024数据'!$H$3:$H$152,"&lt;="&amp;DATE(2024,4,30),'2024数据'!$B$3:$B$152,$E505)/10000</f>
        <v>0</v>
      </c>
      <c r="J505" s="121">
        <f>SUMIFS('2024数据'!$AP$3:$AP$152,'2024数据'!$H$3:$H$152,"&gt;="&amp;DATE(2024,5,1),'2024数据'!$H$3:$H$152,"&lt;="&amp;DATE(2024,5,31),'2024数据'!$B$3:$B$152,$E505)/10000</f>
        <v>1.788371</v>
      </c>
      <c r="K505" s="121">
        <f>SUMIFS('2024数据'!$AP$3:$AP$152,'2024数据'!$H$3:$H$152,"&gt;="&amp;DATE(2024,6,1),'2024数据'!$H$3:$H$152,"&lt;="&amp;DATE(2024,6,30),'2024数据'!$B$3:$B$152,$E505)/10000</f>
        <v>0</v>
      </c>
      <c r="L505" s="121">
        <f>SUMIFS('2024数据'!$AP$3:$AP$152,'2024数据'!$H$3:$H$152,"&gt;="&amp;DATE(2024,7,1),'2024数据'!$H$3:$H$152,"&lt;="&amp;DATE(2024,7,31),'2024数据'!$B$3:$B$152,$E505)/10000</f>
        <v>0</v>
      </c>
      <c r="M505" s="121">
        <f>SUMIFS('2024数据'!$AP$3:$AP$152,'2024数据'!$H$3:$H$152,"&gt;="&amp;DATE(2024,8,1),'2024数据'!$H$3:$H$152,"&lt;="&amp;DATE(2024,8,31),'2024数据'!$B$3:$B$152,$E505)/10000</f>
        <v>0</v>
      </c>
      <c r="N505" s="121">
        <f>SUMIFS('2024数据'!$AP$3:$AP$152,'2024数据'!$H$3:$H$152,"&gt;="&amp;DATE(2024,9,1),'2024数据'!$H$3:$H$152,"&lt;="&amp;DATE(2024,9,30),'2024数据'!$B$3:$B$152,$E505)/10000</f>
        <v>0</v>
      </c>
      <c r="O505" s="121">
        <f>SUMIFS('2024数据'!$AP$3:$AP$152,'2024数据'!$H$3:$H$152,"&gt;="&amp;DATE(2024,10,1),'2024数据'!$H$3:$H$152,"&lt;="&amp;DATE(2024,10,31),'2024数据'!$B$3:$B$152,$E505)/10000</f>
        <v>0</v>
      </c>
      <c r="P505" s="121">
        <f>SUMIFS('2024数据'!$AP$3:$AP$152,'2024数据'!$H$3:$H$152,"&gt;="&amp;DATE(2024,11,1),'2024数据'!$H$3:$H$152,"&lt;="&amp;DATE(2024,11,30),'2024数据'!$B$3:$B$152,$E505)/10000</f>
        <v>0</v>
      </c>
      <c r="Q505" s="121">
        <f>SUMIFS('2024数据'!$AP$3:$AP$152,'2024数据'!$H$3:$H$152,"&gt;="&amp;DATE(2024,12,1),'2024数据'!$H$3:$H$152,"&lt;="&amp;DATE(2024,12,31),'2024数据'!$B$3:$B$152,$E505)/10000</f>
        <v>0</v>
      </c>
    </row>
    <row r="506" ht="24" customHeight="1" spans="1:17">
      <c r="A506" s="99" t="s">
        <v>345</v>
      </c>
      <c r="B506" s="99" t="s">
        <v>299</v>
      </c>
      <c r="C506" s="99" t="s">
        <v>336</v>
      </c>
      <c r="D506" s="47" t="s">
        <v>294</v>
      </c>
      <c r="E506" s="47" t="s">
        <v>81</v>
      </c>
      <c r="F506" s="121">
        <f>SUMIFS('2024数据'!$AP$3:$AP$152,'2024数据'!$H$3:$H$152,"&gt;="&amp;DATE(2024,1,1),'2024数据'!$H$3:$H$152,"&lt;="&amp;DATE(2024,1,31),'2024数据'!$B$3:$B$152,$E506)/10000</f>
        <v>0.877846</v>
      </c>
      <c r="G506" s="121">
        <f>SUMIFS('2024数据'!$AP$3:$AP$152,'2024数据'!$H$3:$H$152,"&gt;="&amp;DATE(2024,2,1),'2024数据'!$H$3:$H$152,"&lt;="&amp;DATE(2024,2,29),'2024数据'!$B$3:$B$152,$E506)/10000</f>
        <v>0</v>
      </c>
      <c r="H506" s="121">
        <f>SUMIFS('2024数据'!$AP$3:$AP$152,'2024数据'!$H$3:$H$152,"&gt;="&amp;DATE(2024,3,1),'2024数据'!$H$3:$H$152,"&lt;="&amp;DATE(2024,3,31),'2024数据'!$B$3:$B$152,$E506)/10000</f>
        <v>0</v>
      </c>
      <c r="I506" s="121">
        <f>SUMIFS('2024数据'!$AP$3:$AP$152,'2024数据'!$H$3:$H$152,"&gt;="&amp;DATE(2024,4,1),'2024数据'!$H$3:$H$152,"&lt;="&amp;DATE(2024,4,30),'2024数据'!$B$3:$B$152,$E506)/10000</f>
        <v>0</v>
      </c>
      <c r="J506" s="121">
        <f>SUMIFS('2024数据'!$AP$3:$AP$152,'2024数据'!$H$3:$H$152,"&gt;="&amp;DATE(2024,5,1),'2024数据'!$H$3:$H$152,"&lt;="&amp;DATE(2024,5,31),'2024数据'!$B$3:$B$152,$E506)/10000</f>
        <v>0.501503</v>
      </c>
      <c r="K506" s="121">
        <f>SUMIFS('2024数据'!$AP$3:$AP$152,'2024数据'!$H$3:$H$152,"&gt;="&amp;DATE(2024,6,1),'2024数据'!$H$3:$H$152,"&lt;="&amp;DATE(2024,6,30),'2024数据'!$B$3:$B$152,$E506)/10000</f>
        <v>0</v>
      </c>
      <c r="L506" s="121">
        <f>SUMIFS('2024数据'!$AP$3:$AP$152,'2024数据'!$H$3:$H$152,"&gt;="&amp;DATE(2024,7,1),'2024数据'!$H$3:$H$152,"&lt;="&amp;DATE(2024,7,31),'2024数据'!$B$3:$B$152,$E506)/10000</f>
        <v>0</v>
      </c>
      <c r="M506" s="121">
        <f>SUMIFS('2024数据'!$AP$3:$AP$152,'2024数据'!$H$3:$H$152,"&gt;="&amp;DATE(2024,8,1),'2024数据'!$H$3:$H$152,"&lt;="&amp;DATE(2024,8,31),'2024数据'!$B$3:$B$152,$E506)/10000</f>
        <v>1.97771</v>
      </c>
      <c r="N506" s="121">
        <f>SUMIFS('2024数据'!$AP$3:$AP$152,'2024数据'!$H$3:$H$152,"&gt;="&amp;DATE(2024,9,1),'2024数据'!$H$3:$H$152,"&lt;="&amp;DATE(2024,9,30),'2024数据'!$B$3:$B$152,$E506)/10000</f>
        <v>0</v>
      </c>
      <c r="O506" s="121">
        <f>SUMIFS('2024数据'!$AP$3:$AP$152,'2024数据'!$H$3:$H$152,"&gt;="&amp;DATE(2024,10,1),'2024数据'!$H$3:$H$152,"&lt;="&amp;DATE(2024,10,31),'2024数据'!$B$3:$B$152,$E506)/10000</f>
        <v>0</v>
      </c>
      <c r="P506" s="121">
        <f>SUMIFS('2024数据'!$AP$3:$AP$152,'2024数据'!$H$3:$H$152,"&gt;="&amp;DATE(2024,11,1),'2024数据'!$H$3:$H$152,"&lt;="&amp;DATE(2024,11,30),'2024数据'!$B$3:$B$152,$E506)/10000</f>
        <v>0.146694</v>
      </c>
      <c r="Q506" s="121">
        <f>SUMIFS('2024数据'!$AP$3:$AP$152,'2024数据'!$H$3:$H$152,"&gt;="&amp;DATE(2024,12,1),'2024数据'!$H$3:$H$152,"&lt;="&amp;DATE(2024,12,31),'2024数据'!$B$3:$B$152,$E506)/10000</f>
        <v>0</v>
      </c>
    </row>
    <row r="507" ht="24" customHeight="1" spans="1:17">
      <c r="A507" s="99" t="s">
        <v>345</v>
      </c>
      <c r="B507" s="99" t="s">
        <v>299</v>
      </c>
      <c r="C507" s="99" t="s">
        <v>336</v>
      </c>
      <c r="D507" s="47" t="s">
        <v>294</v>
      </c>
      <c r="E507" s="47" t="s">
        <v>96</v>
      </c>
      <c r="F507" s="121">
        <f>SUMIFS('2024数据'!$AP$3:$AP$152,'2024数据'!$H$3:$H$152,"&gt;="&amp;DATE(2024,1,1),'2024数据'!$H$3:$H$152,"&lt;="&amp;DATE(2024,1,31),'2024数据'!$B$3:$B$152,$E507)/10000</f>
        <v>0</v>
      </c>
      <c r="G507" s="121">
        <f>SUMIFS('2024数据'!$AP$3:$AP$152,'2024数据'!$H$3:$H$152,"&gt;="&amp;DATE(2024,2,1),'2024数据'!$H$3:$H$152,"&lt;="&amp;DATE(2024,2,29),'2024数据'!$B$3:$B$152,$E507)/10000</f>
        <v>0</v>
      </c>
      <c r="H507" s="121">
        <f>SUMIFS('2024数据'!$AP$3:$AP$152,'2024数据'!$H$3:$H$152,"&gt;="&amp;DATE(2024,3,1),'2024数据'!$H$3:$H$152,"&lt;="&amp;DATE(2024,3,31),'2024数据'!$B$3:$B$152,$E507)/10000</f>
        <v>0</v>
      </c>
      <c r="I507" s="121">
        <f>SUMIFS('2024数据'!$AP$3:$AP$152,'2024数据'!$H$3:$H$152,"&gt;="&amp;DATE(2024,4,1),'2024数据'!$H$3:$H$152,"&lt;="&amp;DATE(2024,4,30),'2024数据'!$B$3:$B$152,$E507)/10000</f>
        <v>0</v>
      </c>
      <c r="J507" s="121">
        <f>SUMIFS('2024数据'!$AP$3:$AP$152,'2024数据'!$H$3:$H$152,"&gt;="&amp;DATE(2024,5,1),'2024数据'!$H$3:$H$152,"&lt;="&amp;DATE(2024,5,31),'2024数据'!$B$3:$B$152,$E507)/10000</f>
        <v>2.757308</v>
      </c>
      <c r="K507" s="121">
        <f>SUMIFS('2024数据'!$AP$3:$AP$152,'2024数据'!$H$3:$H$152,"&gt;="&amp;DATE(2024,6,1),'2024数据'!$H$3:$H$152,"&lt;="&amp;DATE(2024,6,30),'2024数据'!$B$3:$B$152,$E507)/10000</f>
        <v>0</v>
      </c>
      <c r="L507" s="121">
        <f>SUMIFS('2024数据'!$AP$3:$AP$152,'2024数据'!$H$3:$H$152,"&gt;="&amp;DATE(2024,7,1),'2024数据'!$H$3:$H$152,"&lt;="&amp;DATE(2024,7,31),'2024数据'!$B$3:$B$152,$E507)/10000</f>
        <v>1.905914</v>
      </c>
      <c r="M507" s="121">
        <f>SUMIFS('2024数据'!$AP$3:$AP$152,'2024数据'!$H$3:$H$152,"&gt;="&amp;DATE(2024,8,1),'2024数据'!$H$3:$H$152,"&lt;="&amp;DATE(2024,8,31),'2024数据'!$B$3:$B$152,$E507)/10000</f>
        <v>0</v>
      </c>
      <c r="N507" s="121">
        <f>SUMIFS('2024数据'!$AP$3:$AP$152,'2024数据'!$H$3:$H$152,"&gt;="&amp;DATE(2024,9,1),'2024数据'!$H$3:$H$152,"&lt;="&amp;DATE(2024,9,30),'2024数据'!$B$3:$B$152,$E507)/10000</f>
        <v>0</v>
      </c>
      <c r="O507" s="121">
        <f>SUMIFS('2024数据'!$AP$3:$AP$152,'2024数据'!$H$3:$H$152,"&gt;="&amp;DATE(2024,10,1),'2024数据'!$H$3:$H$152,"&lt;="&amp;DATE(2024,10,31),'2024数据'!$B$3:$B$152,$E507)/10000</f>
        <v>0</v>
      </c>
      <c r="P507" s="121">
        <f>SUMIFS('2024数据'!$AP$3:$AP$152,'2024数据'!$H$3:$H$152,"&gt;="&amp;DATE(2024,11,1),'2024数据'!$H$3:$H$152,"&lt;="&amp;DATE(2024,11,30),'2024数据'!$B$3:$B$152,$E507)/10000</f>
        <v>0</v>
      </c>
      <c r="Q507" s="121">
        <f>SUMIFS('2024数据'!$AP$3:$AP$152,'2024数据'!$H$3:$H$152,"&gt;="&amp;DATE(2024,12,1),'2024数据'!$H$3:$H$152,"&lt;="&amp;DATE(2024,12,31),'2024数据'!$B$3:$B$152,$E507)/10000</f>
        <v>0</v>
      </c>
    </row>
    <row r="508" ht="24" customHeight="1" spans="1:17">
      <c r="A508" s="99" t="s">
        <v>345</v>
      </c>
      <c r="B508" s="99" t="s">
        <v>299</v>
      </c>
      <c r="C508" s="99" t="s">
        <v>336</v>
      </c>
      <c r="D508" s="47" t="s">
        <v>294</v>
      </c>
      <c r="E508" s="47" t="s">
        <v>160</v>
      </c>
      <c r="F508" s="121">
        <f t="shared" ref="F508:Q508" si="364">SUM(F498:F503)-SUM(F504:F507)</f>
        <v>0</v>
      </c>
      <c r="G508" s="121">
        <f t="shared" si="364"/>
        <v>0</v>
      </c>
      <c r="H508" s="121">
        <f t="shared" si="364"/>
        <v>0</v>
      </c>
      <c r="I508" s="121">
        <f t="shared" si="364"/>
        <v>0.637032</v>
      </c>
      <c r="J508" s="121">
        <f t="shared" si="364"/>
        <v>0</v>
      </c>
      <c r="K508" s="121">
        <f t="shared" si="364"/>
        <v>0</v>
      </c>
      <c r="L508" s="121">
        <f t="shared" si="364"/>
        <v>0</v>
      </c>
      <c r="M508" s="121">
        <f t="shared" si="364"/>
        <v>0</v>
      </c>
      <c r="N508" s="121">
        <f t="shared" si="364"/>
        <v>0</v>
      </c>
      <c r="O508" s="121">
        <f t="shared" si="364"/>
        <v>0</v>
      </c>
      <c r="P508" s="121">
        <f t="shared" si="364"/>
        <v>0</v>
      </c>
      <c r="Q508" s="121">
        <f t="shared" si="364"/>
        <v>0</v>
      </c>
    </row>
    <row r="509" ht="24" customHeight="1" spans="1:17">
      <c r="A509" s="99" t="s">
        <v>345</v>
      </c>
      <c r="B509" s="99" t="s">
        <v>299</v>
      </c>
      <c r="C509" s="99" t="s">
        <v>333</v>
      </c>
      <c r="D509" s="114" t="s">
        <v>292</v>
      </c>
      <c r="E509" s="53" t="s">
        <v>337</v>
      </c>
      <c r="F509" s="123">
        <f>SUMIFS('2024数据'!$AT$3:$AT$152,'2024数据'!$H$3:$H$152,"&gt;="&amp;DATE(2024,1,1),'2024数据'!$H$3:$H$152,"&lt;="&amp;DATE(2024,1,31),'2024数据'!$AS$3:$AS$152,$E337)/10000</f>
        <v>0.415273</v>
      </c>
      <c r="G509" s="123">
        <f>SUMIFS('2024数据'!$AT$3:$AT$152,'2024数据'!$H$3:$H$152,"&gt;="&amp;DATE(2024,2,1),'2024数据'!$H$3:$H$152,"&lt;="&amp;DATE(2024,2,29),'2024数据'!$AS$3:$AS$152,$E337)/10000</f>
        <v>0</v>
      </c>
      <c r="H509" s="123">
        <f>SUMIFS('2024数据'!$AT$3:$AT$152,'2024数据'!$H$3:$H$152,"&gt;="&amp;DATE(2024,3,1),'2024数据'!$H$3:$H$152,"&lt;="&amp;DATE(2024,3,31),'2024数据'!$AS$3:$AS$152,$E337)/10000</f>
        <v>0</v>
      </c>
      <c r="I509" s="123">
        <f>SUMIFS('2024数据'!$AT$3:$AT$152,'2024数据'!$H$3:$H$152,"&gt;="&amp;DATE(2024,4,1),'2024数据'!$H$3:$H$152,"&lt;="&amp;DATE(2024,4,30),'2024数据'!$AS$3:$AS$152,$E337)/10000</f>
        <v>0.014471</v>
      </c>
      <c r="J509" s="123">
        <f>SUMIFS('2024数据'!$AT$3:$AT$152,'2024数据'!$H$3:$H$152,"&gt;="&amp;DATE(2024,5,1),'2024数据'!$H$3:$H$152,"&lt;="&amp;DATE(2024,5,31),'2024数据'!$AS$3:$AS$152,$E337)/10000</f>
        <v>0.00925800000000008</v>
      </c>
      <c r="K509" s="123">
        <f>SUMIFS('2024数据'!$AT$3:$AT$152,'2024数据'!$H$3:$H$152,"&gt;="&amp;DATE(2024,6,1),'2024数据'!$H$3:$H$152,"&lt;="&amp;DATE(2024,6,30),'2024数据'!$AS$3:$AS$152,$E337)/10000</f>
        <v>0</v>
      </c>
      <c r="L509" s="123">
        <f>SUMIFS('2024数据'!$AT$3:$AT$152,'2024数据'!$H$3:$H$152,"&gt;="&amp;DATE(2024,7,1),'2024数据'!$H$3:$H$152,"&lt;="&amp;DATE(2024,7,31),'2024数据'!$AS$3:$AS$152,$E337)/10000</f>
        <v>0.0972439999999999</v>
      </c>
      <c r="M509" s="123">
        <f>SUMIFS('2024数据'!$AT$3:$AT$152,'2024数据'!$H$3:$H$152,"&gt;="&amp;DATE(2024,8,1),'2024数据'!$H$3:$H$152,"&lt;="&amp;DATE(2024,8,31),'2024数据'!$AS$3:$AS$152,$E337)/10000</f>
        <v>0.00900200000000004</v>
      </c>
      <c r="N509" s="123">
        <f>SUMIFS('2024数据'!$AT$3:$AT$152,'2024数据'!$H$3:$H$152,"&gt;="&amp;DATE(2024,9,1),'2024数据'!$H$3:$H$152,"&lt;="&amp;DATE(2024,9,30),'2024数据'!$AS$3:$AS$152,$E337)/10000</f>
        <v>0</v>
      </c>
      <c r="O509" s="123">
        <f>SUMIFS('2024数据'!$AT$3:$AT$152,'2024数据'!$H$3:$H$152,"&gt;="&amp;DATE(2024,10,1),'2024数据'!$H$3:$H$152,"&lt;="&amp;DATE(2024,10,31),'2024数据'!$AS$3:$AS$152,$E337)/10000</f>
        <v>0</v>
      </c>
      <c r="P509" s="123">
        <f>SUMIFS('2024数据'!$AT$3:$AT$152,'2024数据'!$H$3:$H$152,"&gt;="&amp;DATE(2024,11,1),'2024数据'!$H$3:$H$152,"&lt;="&amp;DATE(2024,11,30),'2024数据'!$AS$3:$AS$152,$E337)/10000</f>
        <v>0</v>
      </c>
      <c r="Q509" s="123">
        <f>SUMIFS('2024数据'!$AT$3:$AT$152,'2024数据'!$H$3:$H$152,"&gt;="&amp;DATE(2024,12,1),'2024数据'!$H$3:$H$152,"&lt;="&amp;DATE(2024,12,31),'2024数据'!$AS$3:$AS$152,$E337)/10000</f>
        <v>0</v>
      </c>
    </row>
    <row r="510" ht="24" customHeight="1" spans="1:17">
      <c r="A510" s="99" t="s">
        <v>345</v>
      </c>
      <c r="B510" s="99" t="s">
        <v>299</v>
      </c>
      <c r="C510" s="99" t="s">
        <v>333</v>
      </c>
      <c r="D510" s="114" t="s">
        <v>292</v>
      </c>
      <c r="E510" s="53" t="s">
        <v>338</v>
      </c>
      <c r="F510" s="123">
        <f>SUMIFS('2024数据'!$AT$3:$AT$152,'2024数据'!$H$3:$H$152,"&gt;="&amp;DATE(2024,1,1),'2024数据'!$H$3:$H$152,"&lt;="&amp;DATE(2024,1,31),'2024数据'!$AS$3:$AS$152,$E338)/10000</f>
        <v>0</v>
      </c>
      <c r="G510" s="123">
        <f>SUMIFS('2024数据'!$AT$3:$AT$152,'2024数据'!$H$3:$H$152,"&gt;="&amp;DATE(2024,2,1),'2024数据'!$H$3:$H$152,"&lt;="&amp;DATE(2024,2,29),'2024数据'!$AS$3:$AS$152,$E338)/10000</f>
        <v>0.00659200000000001</v>
      </c>
      <c r="H510" s="123">
        <f>SUMIFS('2024数据'!$AT$3:$AT$152,'2024数据'!$H$3:$H$152,"&gt;="&amp;DATE(2024,3,1),'2024数据'!$H$3:$H$152,"&lt;="&amp;DATE(2024,3,31),'2024数据'!$AS$3:$AS$152,$E338)/10000</f>
        <v>0</v>
      </c>
      <c r="I510" s="123">
        <f>SUMIFS('2024数据'!$AT$3:$AT$152,'2024数据'!$H$3:$H$152,"&gt;="&amp;DATE(2024,4,1),'2024数据'!$H$3:$H$152,"&lt;="&amp;DATE(2024,4,30),'2024数据'!$AS$3:$AS$152,$E338)/10000</f>
        <v>0</v>
      </c>
      <c r="J510" s="123">
        <f>SUMIFS('2024数据'!$AT$3:$AT$152,'2024数据'!$H$3:$H$152,"&gt;="&amp;DATE(2024,5,1),'2024数据'!$H$3:$H$152,"&lt;="&amp;DATE(2024,5,31),'2024数据'!$AS$3:$AS$152,$E338)/10000</f>
        <v>0.00773999999999978</v>
      </c>
      <c r="K510" s="123">
        <f>SUMIFS('2024数据'!$AT$3:$AT$152,'2024数据'!$H$3:$H$152,"&gt;="&amp;DATE(2024,6,1),'2024数据'!$H$3:$H$152,"&lt;="&amp;DATE(2024,6,30),'2024数据'!$AS$3:$AS$152,$E338)/10000</f>
        <v>0</v>
      </c>
      <c r="L510" s="123">
        <f>SUMIFS('2024数据'!$AT$3:$AT$152,'2024数据'!$H$3:$H$152,"&gt;="&amp;DATE(2024,7,1),'2024数据'!$H$3:$H$152,"&lt;="&amp;DATE(2024,7,31),'2024数据'!$AS$3:$AS$152,$E338)/10000</f>
        <v>0</v>
      </c>
      <c r="M510" s="123">
        <f>SUMIFS('2024数据'!$AT$3:$AT$152,'2024数据'!$H$3:$H$152,"&gt;="&amp;DATE(2024,8,1),'2024数据'!$H$3:$H$152,"&lt;="&amp;DATE(2024,8,31),'2024数据'!$AS$3:$AS$152,$E338)/10000</f>
        <v>0</v>
      </c>
      <c r="N510" s="123">
        <f>SUMIFS('2024数据'!$AT$3:$AT$152,'2024数据'!$H$3:$H$152,"&gt;="&amp;DATE(2024,9,1),'2024数据'!$H$3:$H$152,"&lt;="&amp;DATE(2024,9,30),'2024数据'!$AS$3:$AS$152,$E338)/10000</f>
        <v>0</v>
      </c>
      <c r="O510" s="123">
        <f>SUMIFS('2024数据'!$AT$3:$AT$152,'2024数据'!$H$3:$H$152,"&gt;="&amp;DATE(2024,10,1),'2024数据'!$H$3:$H$152,"&lt;="&amp;DATE(2024,10,31),'2024数据'!$AS$3:$AS$152,$E338)/10000</f>
        <v>0.0983690000000002</v>
      </c>
      <c r="P510" s="123">
        <f>SUMIFS('2024数据'!$AT$3:$AT$152,'2024数据'!$H$3:$H$152,"&gt;="&amp;DATE(2024,11,1),'2024数据'!$H$3:$H$152,"&lt;="&amp;DATE(2024,11,30),'2024数据'!$AS$3:$AS$152,$E338)/10000</f>
        <v>0</v>
      </c>
      <c r="Q510" s="123">
        <f>SUMIFS('2024数据'!$AT$3:$AT$152,'2024数据'!$H$3:$H$152,"&gt;="&amp;DATE(2024,12,1),'2024数据'!$H$3:$H$152,"&lt;="&amp;DATE(2024,12,31),'2024数据'!$AS$3:$AS$152,$E338)/10000</f>
        <v>0.0240720000000001</v>
      </c>
    </row>
    <row r="511" ht="24" customHeight="1" spans="1:17">
      <c r="A511" s="99" t="s">
        <v>345</v>
      </c>
      <c r="B511" s="99" t="s">
        <v>299</v>
      </c>
      <c r="C511" s="99" t="s">
        <v>333</v>
      </c>
      <c r="D511" s="114" t="s">
        <v>292</v>
      </c>
      <c r="E511" s="53" t="s">
        <v>339</v>
      </c>
      <c r="F511" s="123">
        <f>SUMIFS('2024数据'!$AT$3:$AT$152,'2024数据'!$H$3:$H$152,"&gt;="&amp;DATE(2024,1,1),'2024数据'!$H$3:$H$152,"&lt;="&amp;DATE(2024,1,31),'2024数据'!$AS$3:$AS$152,$E339)/10000</f>
        <v>0</v>
      </c>
      <c r="G511" s="123">
        <f>SUMIFS('2024数据'!$AT$3:$AT$152,'2024数据'!$H$3:$H$152,"&gt;="&amp;DATE(2024,2,1),'2024数据'!$H$3:$H$152,"&lt;="&amp;DATE(2024,2,29),'2024数据'!$AS$3:$AS$152,$E339)/10000</f>
        <v>0</v>
      </c>
      <c r="H511" s="123">
        <f>SUMIFS('2024数据'!$AT$3:$AT$152,'2024数据'!$H$3:$H$152,"&gt;="&amp;DATE(2024,3,1),'2024数据'!$H$3:$H$152,"&lt;="&amp;DATE(2024,3,31),'2024数据'!$AS$3:$AS$152,$E339)/10000</f>
        <v>0</v>
      </c>
      <c r="I511" s="123">
        <f>SUMIFS('2024数据'!$AT$3:$AT$152,'2024数据'!$H$3:$H$152,"&gt;="&amp;DATE(2024,4,1),'2024数据'!$H$3:$H$152,"&lt;="&amp;DATE(2024,4,30),'2024数据'!$AS$3:$AS$152,$E339)/10000</f>
        <v>0</v>
      </c>
      <c r="J511" s="123">
        <f>SUMIFS('2024数据'!$AT$3:$AT$152,'2024数据'!$H$3:$H$152,"&gt;="&amp;DATE(2024,5,1),'2024数据'!$H$3:$H$152,"&lt;="&amp;DATE(2024,5,31),'2024数据'!$AS$3:$AS$152,$E339)/10000</f>
        <v>0</v>
      </c>
      <c r="K511" s="123">
        <f>SUMIFS('2024数据'!$AT$3:$AT$152,'2024数据'!$H$3:$H$152,"&gt;="&amp;DATE(2024,6,1),'2024数据'!$H$3:$H$152,"&lt;="&amp;DATE(2024,6,30),'2024数据'!$AS$3:$AS$152,$E339)/10000</f>
        <v>0</v>
      </c>
      <c r="L511" s="123">
        <f>SUMIFS('2024数据'!$AT$3:$AT$152,'2024数据'!$H$3:$H$152,"&gt;="&amp;DATE(2024,7,1),'2024数据'!$H$3:$H$152,"&lt;="&amp;DATE(2024,7,31),'2024数据'!$AS$3:$AS$152,$E339)/10000</f>
        <v>0</v>
      </c>
      <c r="M511" s="123">
        <f>SUMIFS('2024数据'!$AT$3:$AT$152,'2024数据'!$H$3:$H$152,"&gt;="&amp;DATE(2024,8,1),'2024数据'!$H$3:$H$152,"&lt;="&amp;DATE(2024,8,31),'2024数据'!$AS$3:$AS$152,$E339)/10000</f>
        <v>0</v>
      </c>
      <c r="N511" s="123">
        <f>SUMIFS('2024数据'!$AT$3:$AT$152,'2024数据'!$H$3:$H$152,"&gt;="&amp;DATE(2024,9,1),'2024数据'!$H$3:$H$152,"&lt;="&amp;DATE(2024,9,30),'2024数据'!$AS$3:$AS$152,$E339)/10000</f>
        <v>0</v>
      </c>
      <c r="O511" s="123">
        <f>SUMIFS('2024数据'!$AT$3:$AT$152,'2024数据'!$H$3:$H$152,"&gt;="&amp;DATE(2024,10,1),'2024数据'!$H$3:$H$152,"&lt;="&amp;DATE(2024,10,31),'2024数据'!$AS$3:$AS$152,$E339)/10000</f>
        <v>0</v>
      </c>
      <c r="P511" s="123">
        <f>SUMIFS('2024数据'!$AT$3:$AT$152,'2024数据'!$H$3:$H$152,"&gt;="&amp;DATE(2024,11,1),'2024数据'!$H$3:$H$152,"&lt;="&amp;DATE(2024,11,30),'2024数据'!$AS$3:$AS$152,$E339)/10000</f>
        <v>0</v>
      </c>
      <c r="Q511" s="123">
        <f>SUMIFS('2024数据'!$AT$3:$AT$152,'2024数据'!$H$3:$H$152,"&gt;="&amp;DATE(2024,12,1),'2024数据'!$H$3:$H$152,"&lt;="&amp;DATE(2024,12,31),'2024数据'!$AS$3:$AS$152,$E339)/10000</f>
        <v>0</v>
      </c>
    </row>
    <row r="512" ht="24" customHeight="1" spans="1:17">
      <c r="A512" s="99" t="s">
        <v>345</v>
      </c>
      <c r="B512" s="99" t="s">
        <v>299</v>
      </c>
      <c r="C512" s="99" t="s">
        <v>333</v>
      </c>
      <c r="D512" s="53" t="s">
        <v>303</v>
      </c>
      <c r="E512" s="53" t="s">
        <v>93</v>
      </c>
      <c r="F512" s="123">
        <f>SUMIFS('2024数据'!$AT$3:$AT$152,'2024数据'!$H$3:$H$152,"&gt;="&amp;DATE(2024,1,1),'2024数据'!$H$3:$H$152,"&lt;="&amp;DATE(2024,1,31),'2024数据'!$AS$3:$AS$152,$E337,'2024数据'!$B$3:$B$152,'2024整理'!$E492)/10000</f>
        <v>0.381135</v>
      </c>
      <c r="G512" s="123">
        <f>SUMIFS('2024数据'!$AT$3:$AT$152,'2024数据'!$H$3:$H$152,"&gt;="&amp;DATE(2024,2,1),'2024数据'!$H$3:$H$152,"&lt;="&amp;DATE(2024,2,29),'2024数据'!$AS$3:$AS$152,$E337,'2024数据'!$B$3:$B$152,'2024整理'!$E492)/10000</f>
        <v>0</v>
      </c>
      <c r="H512" s="123">
        <f>SUMIFS('2024数据'!$AT$3:$AT$152,'2024数据'!$H$3:$H$152,"&gt;="&amp;DATE(2024,3,1),'2024数据'!$H$3:$H$152,"&lt;="&amp;DATE(2024,3,31),'2024数据'!$AS$3:$AS$152,$E337,'2024数据'!$B$3:$B$152,'2024整理'!$E492)/10000</f>
        <v>0</v>
      </c>
      <c r="I512" s="123">
        <f>SUMIFS('2024数据'!$AT$3:$AT$152,'2024数据'!$H$3:$H$152,"&gt;="&amp;DATE(2024,4,1),'2024数据'!$H$3:$H$152,"&lt;="&amp;DATE(2024,4,30),'2024数据'!$AS$3:$AS$152,$E337,'2024数据'!$B$3:$B$152,'2024整理'!$E492)/10000</f>
        <v>0</v>
      </c>
      <c r="J512" s="123">
        <f>SUMIFS('2024数据'!$AT$3:$AT$152,'2024数据'!$H$3:$H$152,"&gt;="&amp;DATE(2024,5,1),'2024数据'!$H$3:$H$152,"&lt;="&amp;DATE(2024,5,31),'2024数据'!$AS$3:$AS$152,$E337,'2024数据'!$B$3:$B$152,'2024整理'!$E492)/10000</f>
        <v>0</v>
      </c>
      <c r="K512" s="123">
        <f>SUMIFS('2024数据'!$AT$3:$AT$152,'2024数据'!$H$3:$H$152,"&gt;="&amp;DATE(2024,6,1),'2024数据'!$H$3:$H$152,"&lt;="&amp;DATE(2024,6,30),'2024数据'!$AS$3:$AS$152,$E337,'2024数据'!$B$3:$B$152,'2024整理'!$E492)/10000</f>
        <v>0</v>
      </c>
      <c r="L512" s="123">
        <f>SUMIFS('2024数据'!$AT$3:$AT$152,'2024数据'!$H$3:$H$152,"&gt;="&amp;DATE(2024,7,1),'2024数据'!$H$3:$H$152,"&lt;="&amp;DATE(2024,7,31),'2024数据'!$AS$3:$AS$152,$E337,'2024数据'!$B$3:$B$152,'2024整理'!$E492)/10000</f>
        <v>0</v>
      </c>
      <c r="M512" s="123">
        <f>SUMIFS('2024数据'!$AT$3:$AT$152,'2024数据'!$H$3:$H$152,"&gt;="&amp;DATE(2024,8,1),'2024数据'!$H$3:$H$152,"&lt;="&amp;DATE(2024,8,31),'2024数据'!$AS$3:$AS$152,$E337,'2024数据'!$B$3:$B$152,'2024整理'!$E492)/10000</f>
        <v>0</v>
      </c>
      <c r="N512" s="123">
        <f>SUMIFS('2024数据'!$AT$3:$AT$152,'2024数据'!$H$3:$H$152,"&gt;="&amp;DATE(2024,9,1),'2024数据'!$H$3:$H$152,"&lt;="&amp;DATE(2024,9,30),'2024数据'!$AS$3:$AS$152,$E337,'2024数据'!$B$3:$B$152,'2024整理'!$E492)/10000</f>
        <v>0</v>
      </c>
      <c r="O512" s="123">
        <f>SUMIFS('2024数据'!$AT$3:$AT$152,'2024数据'!$H$3:$H$152,"&gt;="&amp;DATE(2024,10,1),'2024数据'!$H$3:$H$152,"&lt;="&amp;DATE(2024,10,31),'2024数据'!$AS$3:$AS$152,$E337,'2024数据'!$B$3:$B$152,'2024整理'!$E492)/10000</f>
        <v>0</v>
      </c>
      <c r="P512" s="123">
        <f>SUMIFS('2024数据'!$AT$3:$AT$152,'2024数据'!$H$3:$H$152,"&gt;="&amp;DATE(2024,11,1),'2024数据'!$H$3:$H$152,"&lt;="&amp;DATE(2024,11,30),'2024数据'!$AS$3:$AS$152,$E337,'2024数据'!$B$3:$B$152,'2024整理'!$E492)/10000</f>
        <v>0</v>
      </c>
      <c r="Q512" s="123">
        <f>SUMIFS('2024数据'!$AT$3:$AT$152,'2024数据'!$H$3:$H$152,"&gt;="&amp;DATE(2024,12,1),'2024数据'!$H$3:$H$152,"&lt;="&amp;DATE(2024,12,31),'2024数据'!$AS$3:$AS$152,$E337,'2024数据'!$B$3:$B$152,'2024整理'!$E492)/10000</f>
        <v>0</v>
      </c>
    </row>
    <row r="513" ht="24" customHeight="1" spans="1:17">
      <c r="A513" s="99" t="s">
        <v>345</v>
      </c>
      <c r="B513" s="99" t="s">
        <v>299</v>
      </c>
      <c r="C513" s="99" t="s">
        <v>333</v>
      </c>
      <c r="D513" s="53" t="s">
        <v>303</v>
      </c>
      <c r="E513" s="53" t="s">
        <v>85</v>
      </c>
      <c r="F513" s="123">
        <f>SUMIFS('2024数据'!$AT$3:$AT$152,'2024数据'!$H$3:$H$152,"&gt;="&amp;DATE(2024,1,1),'2024数据'!$H$3:$H$152,"&lt;="&amp;DATE(2024,1,31),'2024数据'!$AS$3:$AS$152,$E337,'2024数据'!$B$3:$B$152,'2024整理'!$E493)/10000</f>
        <v>0</v>
      </c>
      <c r="G513" s="123">
        <f>SUMIFS('2024数据'!$AT$3:$AT$152,'2024数据'!$H$3:$H$152,"&gt;="&amp;DATE(2024,2,1),'2024数据'!$H$3:$H$152,"&lt;="&amp;DATE(2024,2,29),'2024数据'!$AS$3:$AS$152,$E337,'2024数据'!$B$3:$B$152,'2024整理'!$E493)/10000</f>
        <v>0</v>
      </c>
      <c r="H513" s="123">
        <f>SUMIFS('2024数据'!$AT$3:$AT$152,'2024数据'!$H$3:$H$152,"&gt;="&amp;DATE(2024,3,1),'2024数据'!$H$3:$H$152,"&lt;="&amp;DATE(2024,3,31),'2024数据'!$AS$3:$AS$152,$E337,'2024数据'!$B$3:$B$152,'2024整理'!$E493)/10000</f>
        <v>0</v>
      </c>
      <c r="I513" s="123">
        <f>SUMIFS('2024数据'!$AT$3:$AT$152,'2024数据'!$H$3:$H$152,"&gt;="&amp;DATE(2024,4,1),'2024数据'!$H$3:$H$152,"&lt;="&amp;DATE(2024,4,30),'2024数据'!$AS$3:$AS$152,$E337,'2024数据'!$B$3:$B$152,'2024整理'!$E493)/10000</f>
        <v>0</v>
      </c>
      <c r="J513" s="123">
        <f>SUMIFS('2024数据'!$AT$3:$AT$152,'2024数据'!$H$3:$H$152,"&gt;="&amp;DATE(2024,5,1),'2024数据'!$H$3:$H$152,"&lt;="&amp;DATE(2024,5,31),'2024数据'!$AS$3:$AS$152,$E337,'2024数据'!$B$3:$B$152,'2024整理'!$E493)/10000</f>
        <v>0.00395200000000004</v>
      </c>
      <c r="K513" s="123">
        <f>SUMIFS('2024数据'!$AT$3:$AT$152,'2024数据'!$H$3:$H$152,"&gt;="&amp;DATE(2024,6,1),'2024数据'!$H$3:$H$152,"&lt;="&amp;DATE(2024,6,30),'2024数据'!$AS$3:$AS$152,$E337,'2024数据'!$B$3:$B$152,'2024整理'!$E493)/10000</f>
        <v>0</v>
      </c>
      <c r="L513" s="123">
        <f>SUMIFS('2024数据'!$AT$3:$AT$152,'2024数据'!$H$3:$H$152,"&gt;="&amp;DATE(2024,7,1),'2024数据'!$H$3:$H$152,"&lt;="&amp;DATE(2024,7,31),'2024数据'!$AS$3:$AS$152,$E337,'2024数据'!$B$3:$B$152,'2024整理'!$E493)/10000</f>
        <v>0</v>
      </c>
      <c r="M513" s="123">
        <f>SUMIFS('2024数据'!$AT$3:$AT$152,'2024数据'!$H$3:$H$152,"&gt;="&amp;DATE(2024,8,1),'2024数据'!$H$3:$H$152,"&lt;="&amp;DATE(2024,8,31),'2024数据'!$AS$3:$AS$152,$E337,'2024数据'!$B$3:$B$152,'2024整理'!$E493)/10000</f>
        <v>0</v>
      </c>
      <c r="N513" s="123">
        <f>SUMIFS('2024数据'!$AT$3:$AT$152,'2024数据'!$H$3:$H$152,"&gt;="&amp;DATE(2024,9,1),'2024数据'!$H$3:$H$152,"&lt;="&amp;DATE(2024,9,30),'2024数据'!$AS$3:$AS$152,$E337,'2024数据'!$B$3:$B$152,'2024整理'!$E493)/10000</f>
        <v>0</v>
      </c>
      <c r="O513" s="123">
        <f>SUMIFS('2024数据'!$AT$3:$AT$152,'2024数据'!$H$3:$H$152,"&gt;="&amp;DATE(2024,10,1),'2024数据'!$H$3:$H$152,"&lt;="&amp;DATE(2024,10,31),'2024数据'!$AS$3:$AS$152,$E337,'2024数据'!$B$3:$B$152,'2024整理'!$E493)/10000</f>
        <v>0</v>
      </c>
      <c r="P513" s="123">
        <f>SUMIFS('2024数据'!$AT$3:$AT$152,'2024数据'!$H$3:$H$152,"&gt;="&amp;DATE(2024,11,1),'2024数据'!$H$3:$H$152,"&lt;="&amp;DATE(2024,11,30),'2024数据'!$AS$3:$AS$152,$E337,'2024数据'!$B$3:$B$152,'2024整理'!$E493)/10000</f>
        <v>0</v>
      </c>
      <c r="Q513" s="123">
        <f>SUMIFS('2024数据'!$AT$3:$AT$152,'2024数据'!$H$3:$H$152,"&gt;="&amp;DATE(2024,12,1),'2024数据'!$H$3:$H$152,"&lt;="&amp;DATE(2024,12,31),'2024数据'!$AS$3:$AS$152,$E337,'2024数据'!$B$3:$B$152,'2024整理'!$E493)/10000</f>
        <v>0</v>
      </c>
    </row>
    <row r="514" ht="24" customHeight="1" spans="1:17">
      <c r="A514" s="99" t="s">
        <v>345</v>
      </c>
      <c r="B514" s="99" t="s">
        <v>299</v>
      </c>
      <c r="C514" s="99" t="s">
        <v>333</v>
      </c>
      <c r="D514" s="53" t="s">
        <v>303</v>
      </c>
      <c r="E514" s="53" t="s">
        <v>81</v>
      </c>
      <c r="F514" s="123">
        <f>SUMIFS('2024数据'!$AT$3:$AT$152,'2024数据'!$H$3:$H$152,"&gt;="&amp;DATE(2024,1,1),'2024数据'!$H$3:$H$152,"&lt;="&amp;DATE(2024,1,31),'2024数据'!$AS$3:$AS$152,$E337,'2024数据'!$B$3:$B$152,'2024整理'!$E494)/10000</f>
        <v>0.0341379999999999</v>
      </c>
      <c r="G514" s="123">
        <f>SUMIFS('2024数据'!$AT$3:$AT$152,'2024数据'!$H$3:$H$152,"&gt;="&amp;DATE(2024,2,1),'2024数据'!$H$3:$H$152,"&lt;="&amp;DATE(2024,2,29),'2024数据'!$AS$3:$AS$152,$E337,'2024数据'!$B$3:$B$152,'2024整理'!$E494)/10000</f>
        <v>0</v>
      </c>
      <c r="H514" s="123">
        <f>SUMIFS('2024数据'!$AT$3:$AT$152,'2024数据'!$H$3:$H$152,"&gt;="&amp;DATE(2024,3,1),'2024数据'!$H$3:$H$152,"&lt;="&amp;DATE(2024,3,31),'2024数据'!$AS$3:$AS$152,$E337,'2024数据'!$B$3:$B$152,'2024整理'!$E494)/10000</f>
        <v>0</v>
      </c>
      <c r="I514" s="123">
        <f>SUMIFS('2024数据'!$AT$3:$AT$152,'2024数据'!$H$3:$H$152,"&gt;="&amp;DATE(2024,4,1),'2024数据'!$H$3:$H$152,"&lt;="&amp;DATE(2024,4,30),'2024数据'!$AS$3:$AS$152,$E337,'2024数据'!$B$3:$B$152,'2024整理'!$E494)/10000</f>
        <v>0</v>
      </c>
      <c r="J514" s="123">
        <f>SUMIFS('2024数据'!$AT$3:$AT$152,'2024数据'!$H$3:$H$152,"&gt;="&amp;DATE(2024,5,1),'2024数据'!$H$3:$H$152,"&lt;="&amp;DATE(2024,5,31),'2024数据'!$AS$3:$AS$152,$E337,'2024数据'!$B$3:$B$152,'2024整理'!$E494)/10000</f>
        <v>0.00530600000000004</v>
      </c>
      <c r="K514" s="123">
        <f>SUMIFS('2024数据'!$AT$3:$AT$152,'2024数据'!$H$3:$H$152,"&gt;="&amp;DATE(2024,6,1),'2024数据'!$H$3:$H$152,"&lt;="&amp;DATE(2024,6,30),'2024数据'!$AS$3:$AS$152,$E337,'2024数据'!$B$3:$B$152,'2024整理'!$E494)/10000</f>
        <v>0</v>
      </c>
      <c r="L514" s="123">
        <f>SUMIFS('2024数据'!$AT$3:$AT$152,'2024数据'!$H$3:$H$152,"&gt;="&amp;DATE(2024,7,1),'2024数据'!$H$3:$H$152,"&lt;="&amp;DATE(2024,7,31),'2024数据'!$AS$3:$AS$152,$E337,'2024数据'!$B$3:$B$152,'2024整理'!$E494)/10000</f>
        <v>0</v>
      </c>
      <c r="M514" s="123">
        <f>SUMIFS('2024数据'!$AT$3:$AT$152,'2024数据'!$H$3:$H$152,"&gt;="&amp;DATE(2024,8,1),'2024数据'!$H$3:$H$152,"&lt;="&amp;DATE(2024,8,31),'2024数据'!$AS$3:$AS$152,$E337,'2024数据'!$B$3:$B$152,'2024整理'!$E494)/10000</f>
        <v>0.00900200000000004</v>
      </c>
      <c r="N514" s="123">
        <f>SUMIFS('2024数据'!$AT$3:$AT$152,'2024数据'!$H$3:$H$152,"&gt;="&amp;DATE(2024,9,1),'2024数据'!$H$3:$H$152,"&lt;="&amp;DATE(2024,9,30),'2024数据'!$AS$3:$AS$152,$E337,'2024数据'!$B$3:$B$152,'2024整理'!$E494)/10000</f>
        <v>0</v>
      </c>
      <c r="O514" s="123">
        <f>SUMIFS('2024数据'!$AT$3:$AT$152,'2024数据'!$H$3:$H$152,"&gt;="&amp;DATE(2024,10,1),'2024数据'!$H$3:$H$152,"&lt;="&amp;DATE(2024,10,31),'2024数据'!$AS$3:$AS$152,$E337,'2024数据'!$B$3:$B$152,'2024整理'!$E494)/10000</f>
        <v>0</v>
      </c>
      <c r="P514" s="123">
        <f>SUMIFS('2024数据'!$AT$3:$AT$152,'2024数据'!$H$3:$H$152,"&gt;="&amp;DATE(2024,11,1),'2024数据'!$H$3:$H$152,"&lt;="&amp;DATE(2024,11,30),'2024数据'!$AS$3:$AS$152,$E337,'2024数据'!$B$3:$B$152,'2024整理'!$E494)/10000</f>
        <v>0</v>
      </c>
      <c r="Q514" s="123">
        <f>SUMIFS('2024数据'!$AT$3:$AT$152,'2024数据'!$H$3:$H$152,"&gt;="&amp;DATE(2024,12,1),'2024数据'!$H$3:$H$152,"&lt;="&amp;DATE(2024,12,31),'2024数据'!$AS$3:$AS$152,$E337,'2024数据'!$B$3:$B$152,'2024整理'!$E494)/10000</f>
        <v>0</v>
      </c>
    </row>
    <row r="515" ht="24" customHeight="1" spans="1:17">
      <c r="A515" s="99" t="s">
        <v>345</v>
      </c>
      <c r="B515" s="99" t="s">
        <v>299</v>
      </c>
      <c r="C515" s="99" t="s">
        <v>333</v>
      </c>
      <c r="D515" s="53" t="s">
        <v>303</v>
      </c>
      <c r="E515" s="53" t="s">
        <v>96</v>
      </c>
      <c r="F515" s="123">
        <f>SUMIFS('2024数据'!$AT$3:$AT$152,'2024数据'!$H$3:$H$152,"&gt;="&amp;DATE(2024,1,1),'2024数据'!$H$3:$H$152,"&lt;="&amp;DATE(2024,1,31),'2024数据'!$AS$3:$AS$152,$E337,'2024数据'!$B$3:$B$152,'2024整理'!$E495)/10000</f>
        <v>0</v>
      </c>
      <c r="G515" s="123">
        <f>SUMIFS('2024数据'!$AT$3:$AT$152,'2024数据'!$H$3:$H$152,"&gt;="&amp;DATE(2024,2,1),'2024数据'!$H$3:$H$152,"&lt;="&amp;DATE(2024,2,29),'2024数据'!$AS$3:$AS$152,$E337,'2024数据'!$B$3:$B$152,'2024整理'!$E495)/10000</f>
        <v>0</v>
      </c>
      <c r="H515" s="123">
        <f>SUMIFS('2024数据'!$AT$3:$AT$152,'2024数据'!$H$3:$H$152,"&gt;="&amp;DATE(2024,3,1),'2024数据'!$H$3:$H$152,"&lt;="&amp;DATE(2024,3,31),'2024数据'!$AS$3:$AS$152,$E337,'2024数据'!$B$3:$B$152,'2024整理'!$E495)/10000</f>
        <v>0</v>
      </c>
      <c r="I515" s="123">
        <f>SUMIFS('2024数据'!$AT$3:$AT$152,'2024数据'!$H$3:$H$152,"&gt;="&amp;DATE(2024,4,1),'2024数据'!$H$3:$H$152,"&lt;="&amp;DATE(2024,4,30),'2024数据'!$AS$3:$AS$152,$E337,'2024数据'!$B$3:$B$152,'2024整理'!$E495)/10000</f>
        <v>0</v>
      </c>
      <c r="J515" s="123">
        <f>SUMIFS('2024数据'!$AT$3:$AT$152,'2024数据'!$H$3:$H$152,"&gt;="&amp;DATE(2024,5,1),'2024数据'!$H$3:$H$152,"&lt;="&amp;DATE(2024,5,31),'2024数据'!$AS$3:$AS$152,$E337,'2024数据'!$B$3:$B$152,'2024整理'!$E495)/10000</f>
        <v>0</v>
      </c>
      <c r="K515" s="123">
        <f>SUMIFS('2024数据'!$AT$3:$AT$152,'2024数据'!$H$3:$H$152,"&gt;="&amp;DATE(2024,6,1),'2024数据'!$H$3:$H$152,"&lt;="&amp;DATE(2024,6,30),'2024数据'!$AS$3:$AS$152,$E337,'2024数据'!$B$3:$B$152,'2024整理'!$E495)/10000</f>
        <v>0</v>
      </c>
      <c r="L515" s="123">
        <f>SUMIFS('2024数据'!$AT$3:$AT$152,'2024数据'!$H$3:$H$152,"&gt;="&amp;DATE(2024,7,1),'2024数据'!$H$3:$H$152,"&lt;="&amp;DATE(2024,7,31),'2024数据'!$AS$3:$AS$152,$E337,'2024数据'!$B$3:$B$152,'2024整理'!$E495)/10000</f>
        <v>0.0972439999999999</v>
      </c>
      <c r="M515" s="123">
        <f>SUMIFS('2024数据'!$AT$3:$AT$152,'2024数据'!$H$3:$H$152,"&gt;="&amp;DATE(2024,8,1),'2024数据'!$H$3:$H$152,"&lt;="&amp;DATE(2024,8,31),'2024数据'!$AS$3:$AS$152,$E337,'2024数据'!$B$3:$B$152,'2024整理'!$E495)/10000</f>
        <v>0</v>
      </c>
      <c r="N515" s="123">
        <f>SUMIFS('2024数据'!$AT$3:$AT$152,'2024数据'!$H$3:$H$152,"&gt;="&amp;DATE(2024,9,1),'2024数据'!$H$3:$H$152,"&lt;="&amp;DATE(2024,9,30),'2024数据'!$AS$3:$AS$152,$E337,'2024数据'!$B$3:$B$152,'2024整理'!$E495)/10000</f>
        <v>0</v>
      </c>
      <c r="O515" s="123">
        <f>SUMIFS('2024数据'!$AT$3:$AT$152,'2024数据'!$H$3:$H$152,"&gt;="&amp;DATE(2024,10,1),'2024数据'!$H$3:$H$152,"&lt;="&amp;DATE(2024,10,31),'2024数据'!$AS$3:$AS$152,$E337,'2024数据'!$B$3:$B$152,'2024整理'!$E495)/10000</f>
        <v>0</v>
      </c>
      <c r="P515" s="123">
        <f>SUMIFS('2024数据'!$AT$3:$AT$152,'2024数据'!$H$3:$H$152,"&gt;="&amp;DATE(2024,11,1),'2024数据'!$H$3:$H$152,"&lt;="&amp;DATE(2024,11,30),'2024数据'!$AS$3:$AS$152,$E337,'2024数据'!$B$3:$B$152,'2024整理'!$E495)/10000</f>
        <v>0</v>
      </c>
      <c r="Q515" s="123">
        <f>SUMIFS('2024数据'!$AT$3:$AT$152,'2024数据'!$H$3:$H$152,"&gt;="&amp;DATE(2024,12,1),'2024数据'!$H$3:$H$152,"&lt;="&amp;DATE(2024,12,31),'2024数据'!$AS$3:$AS$152,$E337,'2024数据'!$B$3:$B$152,'2024整理'!$E495)/10000</f>
        <v>0</v>
      </c>
    </row>
    <row r="516" ht="24" customHeight="1" spans="1:17">
      <c r="A516" s="99" t="s">
        <v>345</v>
      </c>
      <c r="B516" s="99" t="s">
        <v>299</v>
      </c>
      <c r="C516" s="99" t="s">
        <v>333</v>
      </c>
      <c r="D516" s="53" t="s">
        <v>303</v>
      </c>
      <c r="E516" s="53" t="s">
        <v>160</v>
      </c>
      <c r="F516" s="123">
        <f t="shared" ref="F516:Q516" si="365">F509-SUM(F512:F515)</f>
        <v>0</v>
      </c>
      <c r="G516" s="123">
        <f t="shared" si="365"/>
        <v>0</v>
      </c>
      <c r="H516" s="123">
        <f t="shared" si="365"/>
        <v>0</v>
      </c>
      <c r="I516" s="123">
        <f t="shared" si="365"/>
        <v>0.014471</v>
      </c>
      <c r="J516" s="123">
        <f t="shared" si="365"/>
        <v>0</v>
      </c>
      <c r="K516" s="123">
        <f t="shared" si="365"/>
        <v>0</v>
      </c>
      <c r="L516" s="123">
        <f t="shared" si="365"/>
        <v>0</v>
      </c>
      <c r="M516" s="123">
        <f t="shared" si="365"/>
        <v>0</v>
      </c>
      <c r="N516" s="123">
        <f t="shared" si="365"/>
        <v>0</v>
      </c>
      <c r="O516" s="123">
        <f t="shared" si="365"/>
        <v>0</v>
      </c>
      <c r="P516" s="123">
        <f t="shared" si="365"/>
        <v>0</v>
      </c>
      <c r="Q516" s="123">
        <f t="shared" si="365"/>
        <v>0</v>
      </c>
    </row>
    <row r="517" ht="24" customHeight="1" spans="1:17">
      <c r="A517" s="99" t="s">
        <v>345</v>
      </c>
      <c r="B517" s="99" t="s">
        <v>299</v>
      </c>
      <c r="C517" s="99" t="s">
        <v>333</v>
      </c>
      <c r="D517" s="53" t="s">
        <v>304</v>
      </c>
      <c r="E517" s="53" t="s">
        <v>93</v>
      </c>
      <c r="F517" s="123">
        <f>SUMIFS('2024数据'!$AT$3:$AT$152,'2024数据'!$H$3:$H$152,"&gt;="&amp;DATE(2024,1,1),'2024数据'!$H$3:$H$152,"&lt;="&amp;DATE(2024,1,31),'2024数据'!$AS$3:$AS$152,$E338,'2024数据'!$B$3:$B$152,'2024整理'!$E492)/10000</f>
        <v>0</v>
      </c>
      <c r="G517" s="123">
        <f>SUMIFS('2024数据'!$AT$3:$AT$152,'2024数据'!$H$3:$H$152,"&gt;="&amp;DATE(2024,2,1),'2024数据'!$H$3:$H$152,"&lt;="&amp;DATE(2024,2,29),'2024数据'!$AS$3:$AS$152,$E338,'2024数据'!$B$3:$B$152,'2024整理'!$E492)/10000</f>
        <v>0.00659200000000001</v>
      </c>
      <c r="H517" s="123">
        <f>SUMIFS('2024数据'!$AT$3:$AT$152,'2024数据'!$H$3:$H$152,"&gt;="&amp;DATE(2024,3,1),'2024数据'!$H$3:$H$152,"&lt;="&amp;DATE(2024,3,31),'2024数据'!$AS$3:$AS$152,$E338,'2024数据'!$B$3:$B$152,'2024整理'!$E492)/10000</f>
        <v>0</v>
      </c>
      <c r="I517" s="123">
        <f>SUMIFS('2024数据'!$AT$3:$AT$152,'2024数据'!$H$3:$H$152,"&gt;="&amp;DATE(2024,4,1),'2024数据'!$H$3:$H$152,"&lt;="&amp;DATE(2024,4,30),'2024数据'!$AS$3:$AS$152,$E338,'2024数据'!$B$3:$B$152,'2024整理'!$E492)/10000</f>
        <v>0</v>
      </c>
      <c r="J517" s="123">
        <f>SUMIFS('2024数据'!$AT$3:$AT$152,'2024数据'!$H$3:$H$152,"&gt;="&amp;DATE(2024,5,1),'2024数据'!$H$3:$H$152,"&lt;="&amp;DATE(2024,5,31),'2024数据'!$AS$3:$AS$152,$E338,'2024数据'!$B$3:$B$152,'2024整理'!$E492)/10000</f>
        <v>0</v>
      </c>
      <c r="K517" s="123">
        <f>SUMIFS('2024数据'!$AT$3:$AT$152,'2024数据'!$H$3:$H$152,"&gt;="&amp;DATE(2024,6,1),'2024数据'!$H$3:$H$152,"&lt;="&amp;DATE(2024,6,30),'2024数据'!$AS$3:$AS$152,$E338,'2024数据'!$B$3:$B$152,'2024整理'!$E492)/10000</f>
        <v>0</v>
      </c>
      <c r="L517" s="123">
        <f>SUMIFS('2024数据'!$AT$3:$AT$152,'2024数据'!$H$3:$H$152,"&gt;="&amp;DATE(2024,7,1),'2024数据'!$H$3:$H$152,"&lt;="&amp;DATE(2024,7,31),'2024数据'!$AS$3:$AS$152,$E338,'2024数据'!$B$3:$B$152,'2024整理'!$E492)/10000</f>
        <v>0</v>
      </c>
      <c r="M517" s="123">
        <f>SUMIFS('2024数据'!$AT$3:$AT$152,'2024数据'!$H$3:$H$152,"&gt;="&amp;DATE(2024,8,1),'2024数据'!$H$3:$H$152,"&lt;="&amp;DATE(2024,8,31),'2024数据'!$AS$3:$AS$152,$E338,'2024数据'!$B$3:$B$152,'2024整理'!$E492)/10000</f>
        <v>0</v>
      </c>
      <c r="N517" s="123">
        <f>SUMIFS('2024数据'!$AT$3:$AT$152,'2024数据'!$H$3:$H$152,"&gt;="&amp;DATE(2024,9,1),'2024数据'!$H$3:$H$152,"&lt;="&amp;DATE(2024,9,30),'2024数据'!$AS$3:$AS$152,$E338,'2024数据'!$B$3:$B$152,'2024整理'!$E492)/10000</f>
        <v>0</v>
      </c>
      <c r="O517" s="123">
        <f>SUMIFS('2024数据'!$AT$3:$AT$152,'2024数据'!$H$3:$H$152,"&gt;="&amp;DATE(2024,10,1),'2024数据'!$H$3:$H$152,"&lt;="&amp;DATE(2024,10,31),'2024数据'!$AS$3:$AS$152,$E338,'2024数据'!$B$3:$B$152,'2024整理'!$E492)/10000</f>
        <v>0.0983690000000002</v>
      </c>
      <c r="P517" s="123">
        <f>SUMIFS('2024数据'!$AT$3:$AT$152,'2024数据'!$H$3:$H$152,"&gt;="&amp;DATE(2024,11,1),'2024数据'!$H$3:$H$152,"&lt;="&amp;DATE(2024,11,30),'2024数据'!$AS$3:$AS$152,$E338,'2024数据'!$B$3:$B$152,'2024整理'!$E492)/10000</f>
        <v>0</v>
      </c>
      <c r="Q517" s="123">
        <f>SUMIFS('2024数据'!$AT$3:$AT$152,'2024数据'!$H$3:$H$152,"&gt;="&amp;DATE(2024,12,1),'2024数据'!$H$3:$H$152,"&lt;="&amp;DATE(2024,12,31),'2024数据'!$AS$3:$AS$152,$E338,'2024数据'!$B$3:$B$152,'2024整理'!$E492)/10000</f>
        <v>0.0240720000000001</v>
      </c>
    </row>
    <row r="518" ht="24" customHeight="1" spans="1:17">
      <c r="A518" s="99" t="s">
        <v>345</v>
      </c>
      <c r="B518" s="99" t="s">
        <v>299</v>
      </c>
      <c r="C518" s="99" t="s">
        <v>333</v>
      </c>
      <c r="D518" s="53" t="s">
        <v>304</v>
      </c>
      <c r="E518" s="53" t="s">
        <v>85</v>
      </c>
      <c r="F518" s="123">
        <f>SUMIFS('2024数据'!$AT$3:$AT$152,'2024数据'!$H$3:$H$152,"&gt;="&amp;DATE(2024,1,1),'2024数据'!$H$3:$H$152,"&lt;="&amp;DATE(2024,1,31),'2024数据'!$AS$3:$AS$152,$E338,'2024数据'!$B$3:$B$152,'2024整理'!$E493)/10000</f>
        <v>0</v>
      </c>
      <c r="G518" s="123">
        <f>SUMIFS('2024数据'!$AT$3:$AT$152,'2024数据'!$H$3:$H$152,"&gt;="&amp;DATE(2024,2,1),'2024数据'!$H$3:$H$152,"&lt;="&amp;DATE(2024,2,29),'2024数据'!$AS$3:$AS$152,$E338,'2024数据'!$B$3:$B$152,'2024整理'!$E493)/10000</f>
        <v>0</v>
      </c>
      <c r="H518" s="123">
        <f>SUMIFS('2024数据'!$AT$3:$AT$152,'2024数据'!$H$3:$H$152,"&gt;="&amp;DATE(2024,3,1),'2024数据'!$H$3:$H$152,"&lt;="&amp;DATE(2024,3,31),'2024数据'!$AS$3:$AS$152,$E338,'2024数据'!$B$3:$B$152,'2024整理'!$E493)/10000</f>
        <v>0</v>
      </c>
      <c r="I518" s="123">
        <f>SUMIFS('2024数据'!$AT$3:$AT$152,'2024数据'!$H$3:$H$152,"&gt;="&amp;DATE(2024,4,1),'2024数据'!$H$3:$H$152,"&lt;="&amp;DATE(2024,4,30),'2024数据'!$AS$3:$AS$152,$E338,'2024数据'!$B$3:$B$152,'2024整理'!$E493)/10000</f>
        <v>0</v>
      </c>
      <c r="J518" s="123">
        <f>SUMIFS('2024数据'!$AT$3:$AT$152,'2024数据'!$H$3:$H$152,"&gt;="&amp;DATE(2024,5,1),'2024数据'!$H$3:$H$152,"&lt;="&amp;DATE(2024,5,31),'2024数据'!$AS$3:$AS$152,$E338,'2024数据'!$B$3:$B$152,'2024整理'!$E493)/10000</f>
        <v>0</v>
      </c>
      <c r="K518" s="123">
        <f>SUMIFS('2024数据'!$AT$3:$AT$152,'2024数据'!$H$3:$H$152,"&gt;="&amp;DATE(2024,6,1),'2024数据'!$H$3:$H$152,"&lt;="&amp;DATE(2024,6,30),'2024数据'!$AS$3:$AS$152,$E338,'2024数据'!$B$3:$B$152,'2024整理'!$E493)/10000</f>
        <v>0</v>
      </c>
      <c r="L518" s="123">
        <f>SUMIFS('2024数据'!$AT$3:$AT$152,'2024数据'!$H$3:$H$152,"&gt;="&amp;DATE(2024,7,1),'2024数据'!$H$3:$H$152,"&lt;="&amp;DATE(2024,7,31),'2024数据'!$AS$3:$AS$152,$E338,'2024数据'!$B$3:$B$152,'2024整理'!$E493)/10000</f>
        <v>0</v>
      </c>
      <c r="M518" s="123">
        <f>SUMIFS('2024数据'!$AT$3:$AT$152,'2024数据'!$H$3:$H$152,"&gt;="&amp;DATE(2024,8,1),'2024数据'!$H$3:$H$152,"&lt;="&amp;DATE(2024,8,31),'2024数据'!$AS$3:$AS$152,$E338,'2024数据'!$B$3:$B$152,'2024整理'!$E493)/10000</f>
        <v>0</v>
      </c>
      <c r="N518" s="123">
        <f>SUMIFS('2024数据'!$AT$3:$AT$152,'2024数据'!$H$3:$H$152,"&gt;="&amp;DATE(2024,9,1),'2024数据'!$H$3:$H$152,"&lt;="&amp;DATE(2024,9,30),'2024数据'!$AS$3:$AS$152,$E338,'2024数据'!$B$3:$B$152,'2024整理'!$E493)/10000</f>
        <v>0</v>
      </c>
      <c r="O518" s="123">
        <f>SUMIFS('2024数据'!$AT$3:$AT$152,'2024数据'!$H$3:$H$152,"&gt;="&amp;DATE(2024,10,1),'2024数据'!$H$3:$H$152,"&lt;="&amp;DATE(2024,10,31),'2024数据'!$AS$3:$AS$152,$E338,'2024数据'!$B$3:$B$152,'2024整理'!$E493)/10000</f>
        <v>0</v>
      </c>
      <c r="P518" s="123">
        <f>SUMIFS('2024数据'!$AT$3:$AT$152,'2024数据'!$H$3:$H$152,"&gt;="&amp;DATE(2024,11,1),'2024数据'!$H$3:$H$152,"&lt;="&amp;DATE(2024,11,30),'2024数据'!$AS$3:$AS$152,$E338,'2024数据'!$B$3:$B$152,'2024整理'!$E493)/10000</f>
        <v>0</v>
      </c>
      <c r="Q518" s="123">
        <f>SUMIFS('2024数据'!$AT$3:$AT$152,'2024数据'!$H$3:$H$152,"&gt;="&amp;DATE(2024,12,1),'2024数据'!$H$3:$H$152,"&lt;="&amp;DATE(2024,12,31),'2024数据'!$AS$3:$AS$152,$E338,'2024数据'!$B$3:$B$152,'2024整理'!$E493)/10000</f>
        <v>0</v>
      </c>
    </row>
    <row r="519" ht="24" customHeight="1" spans="1:17">
      <c r="A519" s="99" t="s">
        <v>345</v>
      </c>
      <c r="B519" s="99" t="s">
        <v>299</v>
      </c>
      <c r="C519" s="99" t="s">
        <v>333</v>
      </c>
      <c r="D519" s="53" t="s">
        <v>304</v>
      </c>
      <c r="E519" s="53" t="s">
        <v>81</v>
      </c>
      <c r="F519" s="123">
        <f>SUMIFS('2024数据'!$AT$3:$AT$152,'2024数据'!$H$3:$H$152,"&gt;="&amp;DATE(2024,1,1),'2024数据'!$H$3:$H$152,"&lt;="&amp;DATE(2024,1,31),'2024数据'!$AS$3:$AS$152,$E338,'2024数据'!$B$3:$B$152,'2024整理'!$E494)/10000</f>
        <v>0</v>
      </c>
      <c r="G519" s="123">
        <f>SUMIFS('2024数据'!$AT$3:$AT$152,'2024数据'!$H$3:$H$152,"&gt;="&amp;DATE(2024,2,1),'2024数据'!$H$3:$H$152,"&lt;="&amp;DATE(2024,2,29),'2024数据'!$AS$3:$AS$152,$E338,'2024数据'!$B$3:$B$152,'2024整理'!$E494)/10000</f>
        <v>0</v>
      </c>
      <c r="H519" s="123">
        <f>SUMIFS('2024数据'!$AT$3:$AT$152,'2024数据'!$H$3:$H$152,"&gt;="&amp;DATE(2024,3,1),'2024数据'!$H$3:$H$152,"&lt;="&amp;DATE(2024,3,31),'2024数据'!$AS$3:$AS$152,$E338,'2024数据'!$B$3:$B$152,'2024整理'!$E494)/10000</f>
        <v>0</v>
      </c>
      <c r="I519" s="123">
        <f>SUMIFS('2024数据'!$AT$3:$AT$152,'2024数据'!$H$3:$H$152,"&gt;="&amp;DATE(2024,4,1),'2024数据'!$H$3:$H$152,"&lt;="&amp;DATE(2024,4,30),'2024数据'!$AS$3:$AS$152,$E338,'2024数据'!$B$3:$B$152,'2024整理'!$E494)/10000</f>
        <v>0</v>
      </c>
      <c r="J519" s="123">
        <f>SUMIFS('2024数据'!$AT$3:$AT$152,'2024数据'!$H$3:$H$152,"&gt;="&amp;DATE(2024,5,1),'2024数据'!$H$3:$H$152,"&lt;="&amp;DATE(2024,5,31),'2024数据'!$AS$3:$AS$152,$E338,'2024数据'!$B$3:$B$152,'2024整理'!$E494)/10000</f>
        <v>0</v>
      </c>
      <c r="K519" s="123">
        <f>SUMIFS('2024数据'!$AT$3:$AT$152,'2024数据'!$H$3:$H$152,"&gt;="&amp;DATE(2024,6,1),'2024数据'!$H$3:$H$152,"&lt;="&amp;DATE(2024,6,30),'2024数据'!$AS$3:$AS$152,$E338,'2024数据'!$B$3:$B$152,'2024整理'!$E494)/10000</f>
        <v>0</v>
      </c>
      <c r="L519" s="123">
        <f>SUMIFS('2024数据'!$AT$3:$AT$152,'2024数据'!$H$3:$H$152,"&gt;="&amp;DATE(2024,7,1),'2024数据'!$H$3:$H$152,"&lt;="&amp;DATE(2024,7,31),'2024数据'!$AS$3:$AS$152,$E338,'2024数据'!$B$3:$B$152,'2024整理'!$E494)/10000</f>
        <v>0</v>
      </c>
      <c r="M519" s="123">
        <f>SUMIFS('2024数据'!$AT$3:$AT$152,'2024数据'!$H$3:$H$152,"&gt;="&amp;DATE(2024,8,1),'2024数据'!$H$3:$H$152,"&lt;="&amp;DATE(2024,8,31),'2024数据'!$AS$3:$AS$152,$E338,'2024数据'!$B$3:$B$152,'2024整理'!$E494)/10000</f>
        <v>0</v>
      </c>
      <c r="N519" s="123">
        <f>SUMIFS('2024数据'!$AT$3:$AT$152,'2024数据'!$H$3:$H$152,"&gt;="&amp;DATE(2024,9,1),'2024数据'!$H$3:$H$152,"&lt;="&amp;DATE(2024,9,30),'2024数据'!$AS$3:$AS$152,$E338,'2024数据'!$B$3:$B$152,'2024整理'!$E494)/10000</f>
        <v>0</v>
      </c>
      <c r="O519" s="123">
        <f>SUMIFS('2024数据'!$AT$3:$AT$152,'2024数据'!$H$3:$H$152,"&gt;="&amp;DATE(2024,10,1),'2024数据'!$H$3:$H$152,"&lt;="&amp;DATE(2024,10,31),'2024数据'!$AS$3:$AS$152,$E338,'2024数据'!$B$3:$B$152,'2024整理'!$E494)/10000</f>
        <v>0</v>
      </c>
      <c r="P519" s="123">
        <f>SUMIFS('2024数据'!$AT$3:$AT$152,'2024数据'!$H$3:$H$152,"&gt;="&amp;DATE(2024,11,1),'2024数据'!$H$3:$H$152,"&lt;="&amp;DATE(2024,11,30),'2024数据'!$AS$3:$AS$152,$E338,'2024数据'!$B$3:$B$152,'2024整理'!$E494)/10000</f>
        <v>0</v>
      </c>
      <c r="Q519" s="123">
        <f>SUMIFS('2024数据'!$AT$3:$AT$152,'2024数据'!$H$3:$H$152,"&gt;="&amp;DATE(2024,12,1),'2024数据'!$H$3:$H$152,"&lt;="&amp;DATE(2024,12,31),'2024数据'!$AS$3:$AS$152,$E338,'2024数据'!$B$3:$B$152,'2024整理'!$E494)/10000</f>
        <v>0</v>
      </c>
    </row>
    <row r="520" ht="24" customHeight="1" spans="1:17">
      <c r="A520" s="99" t="s">
        <v>345</v>
      </c>
      <c r="B520" s="99" t="s">
        <v>299</v>
      </c>
      <c r="C520" s="99" t="s">
        <v>333</v>
      </c>
      <c r="D520" s="53" t="s">
        <v>304</v>
      </c>
      <c r="E520" s="53" t="s">
        <v>96</v>
      </c>
      <c r="F520" s="123">
        <f>SUMIFS('2024数据'!$AT$3:$AT$152,'2024数据'!$H$3:$H$152,"&gt;="&amp;DATE(2024,1,1),'2024数据'!$H$3:$H$152,"&lt;="&amp;DATE(2024,1,31),'2024数据'!$AS$3:$AS$152,$E338,'2024数据'!$B$3:$B$152,'2024整理'!$E495)/10000</f>
        <v>0</v>
      </c>
      <c r="G520" s="123">
        <f>SUMIFS('2024数据'!$AT$3:$AT$152,'2024数据'!$H$3:$H$152,"&gt;="&amp;DATE(2024,2,1),'2024数据'!$H$3:$H$152,"&lt;="&amp;DATE(2024,2,29),'2024数据'!$AS$3:$AS$152,$E338,'2024数据'!$B$3:$B$152,'2024整理'!$E495)/10000</f>
        <v>0</v>
      </c>
      <c r="H520" s="123">
        <f>SUMIFS('2024数据'!$AT$3:$AT$152,'2024数据'!$H$3:$H$152,"&gt;="&amp;DATE(2024,3,1),'2024数据'!$H$3:$H$152,"&lt;="&amp;DATE(2024,3,31),'2024数据'!$AS$3:$AS$152,$E338,'2024数据'!$B$3:$B$152,'2024整理'!$E495)/10000</f>
        <v>0</v>
      </c>
      <c r="I520" s="123">
        <f>SUMIFS('2024数据'!$AT$3:$AT$152,'2024数据'!$H$3:$H$152,"&gt;="&amp;DATE(2024,4,1),'2024数据'!$H$3:$H$152,"&lt;="&amp;DATE(2024,4,30),'2024数据'!$AS$3:$AS$152,$E338,'2024数据'!$B$3:$B$152,'2024整理'!$E495)/10000</f>
        <v>0</v>
      </c>
      <c r="J520" s="123">
        <f>SUMIFS('2024数据'!$AT$3:$AT$152,'2024数据'!$H$3:$H$152,"&gt;="&amp;DATE(2024,5,1),'2024数据'!$H$3:$H$152,"&lt;="&amp;DATE(2024,5,31),'2024数据'!$AS$3:$AS$152,$E338,'2024数据'!$B$3:$B$152,'2024整理'!$E495)/10000</f>
        <v>0.00773999999999978</v>
      </c>
      <c r="K520" s="123">
        <f>SUMIFS('2024数据'!$AT$3:$AT$152,'2024数据'!$H$3:$H$152,"&gt;="&amp;DATE(2024,6,1),'2024数据'!$H$3:$H$152,"&lt;="&amp;DATE(2024,6,30),'2024数据'!$AS$3:$AS$152,$E338,'2024数据'!$B$3:$B$152,'2024整理'!$E495)/10000</f>
        <v>0</v>
      </c>
      <c r="L520" s="123">
        <f>SUMIFS('2024数据'!$AT$3:$AT$152,'2024数据'!$H$3:$H$152,"&gt;="&amp;DATE(2024,7,1),'2024数据'!$H$3:$H$152,"&lt;="&amp;DATE(2024,7,31),'2024数据'!$AS$3:$AS$152,$E338,'2024数据'!$B$3:$B$152,'2024整理'!$E495)/10000</f>
        <v>0</v>
      </c>
      <c r="M520" s="123">
        <f>SUMIFS('2024数据'!$AT$3:$AT$152,'2024数据'!$H$3:$H$152,"&gt;="&amp;DATE(2024,8,1),'2024数据'!$H$3:$H$152,"&lt;="&amp;DATE(2024,8,31),'2024数据'!$AS$3:$AS$152,$E338,'2024数据'!$B$3:$B$152,'2024整理'!$E495)/10000</f>
        <v>0</v>
      </c>
      <c r="N520" s="123">
        <f>SUMIFS('2024数据'!$AT$3:$AT$152,'2024数据'!$H$3:$H$152,"&gt;="&amp;DATE(2024,9,1),'2024数据'!$H$3:$H$152,"&lt;="&amp;DATE(2024,9,30),'2024数据'!$AS$3:$AS$152,$E338,'2024数据'!$B$3:$B$152,'2024整理'!$E495)/10000</f>
        <v>0</v>
      </c>
      <c r="O520" s="123">
        <f>SUMIFS('2024数据'!$AT$3:$AT$152,'2024数据'!$H$3:$H$152,"&gt;="&amp;DATE(2024,10,1),'2024数据'!$H$3:$H$152,"&lt;="&amp;DATE(2024,10,31),'2024数据'!$AS$3:$AS$152,$E338,'2024数据'!$B$3:$B$152,'2024整理'!$E495)/10000</f>
        <v>0</v>
      </c>
      <c r="P520" s="123">
        <f>SUMIFS('2024数据'!$AT$3:$AT$152,'2024数据'!$H$3:$H$152,"&gt;="&amp;DATE(2024,11,1),'2024数据'!$H$3:$H$152,"&lt;="&amp;DATE(2024,11,30),'2024数据'!$AS$3:$AS$152,$E338,'2024数据'!$B$3:$B$152,'2024整理'!$E495)/10000</f>
        <v>0</v>
      </c>
      <c r="Q520" s="123">
        <f>SUMIFS('2024数据'!$AT$3:$AT$152,'2024数据'!$H$3:$H$152,"&gt;="&amp;DATE(2024,12,1),'2024数据'!$H$3:$H$152,"&lt;="&amp;DATE(2024,12,31),'2024数据'!$AS$3:$AS$152,$E338,'2024数据'!$B$3:$B$152,'2024整理'!$E495)/10000</f>
        <v>0</v>
      </c>
    </row>
    <row r="521" ht="24" customHeight="1" spans="1:17">
      <c r="A521" s="99" t="s">
        <v>345</v>
      </c>
      <c r="B521" s="99" t="s">
        <v>299</v>
      </c>
      <c r="C521" s="99" t="s">
        <v>333</v>
      </c>
      <c r="D521" s="53" t="s">
        <v>304</v>
      </c>
      <c r="E521" s="53" t="s">
        <v>160</v>
      </c>
      <c r="F521" s="123">
        <f t="shared" ref="F521:Q521" si="366">F510-SUM(F517:F520)</f>
        <v>0</v>
      </c>
      <c r="G521" s="123">
        <f t="shared" si="366"/>
        <v>0</v>
      </c>
      <c r="H521" s="123">
        <f t="shared" si="366"/>
        <v>0</v>
      </c>
      <c r="I521" s="123">
        <f t="shared" si="366"/>
        <v>0</v>
      </c>
      <c r="J521" s="123">
        <f t="shared" si="366"/>
        <v>0</v>
      </c>
      <c r="K521" s="123">
        <f t="shared" si="366"/>
        <v>0</v>
      </c>
      <c r="L521" s="123">
        <f t="shared" si="366"/>
        <v>0</v>
      </c>
      <c r="M521" s="123">
        <f t="shared" si="366"/>
        <v>0</v>
      </c>
      <c r="N521" s="123">
        <f t="shared" si="366"/>
        <v>0</v>
      </c>
      <c r="O521" s="123">
        <f t="shared" si="366"/>
        <v>0</v>
      </c>
      <c r="P521" s="123">
        <f t="shared" si="366"/>
        <v>0</v>
      </c>
      <c r="Q521" s="123">
        <f t="shared" si="366"/>
        <v>0</v>
      </c>
    </row>
    <row r="522" ht="24" customHeight="1" spans="1:17">
      <c r="A522" s="99" t="s">
        <v>345</v>
      </c>
      <c r="B522" s="99" t="s">
        <v>299</v>
      </c>
      <c r="C522" s="99" t="s">
        <v>336</v>
      </c>
      <c r="D522" s="114" t="s">
        <v>292</v>
      </c>
      <c r="E522" s="122" t="s">
        <v>337</v>
      </c>
      <c r="F522" s="124">
        <f>SUMIFS('2024数据'!$AT$3:$AT$152,'2024数据'!$H$3:$H$152,"&gt;="&amp;DATE(2024,1,1),'2024数据'!$H$3:$H$152,"&lt;="&amp;DATE(2024,1,31),'2024数据'!$AS$3:$AS$152,$E337)/10000</f>
        <v>0.415273</v>
      </c>
      <c r="G522" s="124">
        <f>SUMIFS('2024数据'!$AT$3:$AT$152,'2024数据'!$H$3:$H$152,"&gt;="&amp;DATE(2024,2,1),'2024数据'!$H$3:$H$152,"&lt;="&amp;DATE(2024,2,29),'2024数据'!$AS$3:$AS$152,$E337)/10000</f>
        <v>0</v>
      </c>
      <c r="H522" s="124">
        <f>SUMIFS('2024数据'!$AT$3:$AT$152,'2024数据'!$H$3:$H$152,"&gt;="&amp;DATE(2024,3,1),'2024数据'!$H$3:$H$152,"&lt;="&amp;DATE(2024,3,31),'2024数据'!$AS$3:$AS$152,$E337)/10000</f>
        <v>0</v>
      </c>
      <c r="I522" s="124">
        <f>SUMIFS('2024数据'!$AT$3:$AT$152,'2024数据'!$H$3:$H$152,"&gt;="&amp;DATE(2024,4,1),'2024数据'!$H$3:$H$152,"&lt;="&amp;DATE(2024,4,30),'2024数据'!$AS$3:$AS$152,$E337)/10000</f>
        <v>0.014471</v>
      </c>
      <c r="J522" s="124">
        <f>SUMIFS('2024数据'!$AT$3:$AT$152,'2024数据'!$H$3:$H$152,"&gt;="&amp;DATE(2024,5,1),'2024数据'!$H$3:$H$152,"&lt;="&amp;DATE(2024,5,31),'2024数据'!$AS$3:$AS$152,$E337)/10000</f>
        <v>0.00925800000000008</v>
      </c>
      <c r="K522" s="124">
        <f>SUMIFS('2024数据'!$AT$3:$AT$152,'2024数据'!$H$3:$H$152,"&gt;="&amp;DATE(2024,6,1),'2024数据'!$H$3:$H$152,"&lt;="&amp;DATE(2024,6,30),'2024数据'!$AS$3:$AS$152,$E337)/10000</f>
        <v>0</v>
      </c>
      <c r="L522" s="124">
        <f>SUMIFS('2024数据'!$AT$3:$AT$152,'2024数据'!$H$3:$H$152,"&gt;="&amp;DATE(2024,7,1),'2024数据'!$H$3:$H$152,"&lt;="&amp;DATE(2024,7,31),'2024数据'!$AS$3:$AS$152,$E337)/10000</f>
        <v>0.0972439999999999</v>
      </c>
      <c r="M522" s="124">
        <f>SUMIFS('2024数据'!$AT$3:$AT$152,'2024数据'!$H$3:$H$152,"&gt;="&amp;DATE(2024,8,1),'2024数据'!$H$3:$H$152,"&lt;="&amp;DATE(2024,8,31),'2024数据'!$AS$3:$AS$152,$E337)/10000</f>
        <v>0.00900200000000004</v>
      </c>
      <c r="N522" s="124">
        <f>SUMIFS('2024数据'!$AT$3:$AT$152,'2024数据'!$H$3:$H$152,"&gt;="&amp;DATE(2024,9,1),'2024数据'!$H$3:$H$152,"&lt;="&amp;DATE(2024,9,30),'2024数据'!$AS$3:$AS$152,$E337)/10000</f>
        <v>0</v>
      </c>
      <c r="O522" s="124">
        <f>SUMIFS('2024数据'!$AT$3:$AT$152,'2024数据'!$H$3:$H$152,"&gt;="&amp;DATE(2024,10,1),'2024数据'!$H$3:$H$152,"&lt;="&amp;DATE(2024,10,31),'2024数据'!$AS$3:$AS$152,$E337)/10000</f>
        <v>0</v>
      </c>
      <c r="P522" s="124">
        <f>SUMIFS('2024数据'!$AT$3:$AT$152,'2024数据'!$H$3:$H$152,"&gt;="&amp;DATE(2024,11,1),'2024数据'!$H$3:$H$152,"&lt;="&amp;DATE(2024,11,30),'2024数据'!$AS$3:$AS$152,$E337)/10000</f>
        <v>0</v>
      </c>
      <c r="Q522" s="124">
        <f>SUMIFS('2024数据'!$AT$3:$AT$152,'2024数据'!$H$3:$H$152,"&gt;="&amp;DATE(2024,12,1),'2024数据'!$H$3:$H$152,"&lt;="&amp;DATE(2024,12,31),'2024数据'!$AS$3:$AS$152,$E337)/10000</f>
        <v>0</v>
      </c>
    </row>
    <row r="523" ht="24" customHeight="1" spans="1:17">
      <c r="A523" s="99" t="s">
        <v>345</v>
      </c>
      <c r="B523" s="99" t="s">
        <v>299</v>
      </c>
      <c r="C523" s="99" t="s">
        <v>336</v>
      </c>
      <c r="D523" s="114" t="s">
        <v>292</v>
      </c>
      <c r="E523" s="122" t="s">
        <v>338</v>
      </c>
      <c r="F523" s="124">
        <f>SUMIFS('2024数据'!$AT$3:$AT$152,'2024数据'!$H$3:$H$152,"&gt;="&amp;DATE(2024,1,1),'2024数据'!$H$3:$H$152,"&lt;="&amp;DATE(2024,1,31),'2024数据'!$AS$3:$AS$152,$E338)/10000</f>
        <v>0</v>
      </c>
      <c r="G523" s="124">
        <f>SUMIFS('2024数据'!$AT$3:$AT$152,'2024数据'!$H$3:$H$152,"&gt;="&amp;DATE(2024,2,1),'2024数据'!$H$3:$H$152,"&lt;="&amp;DATE(2024,2,29),'2024数据'!$AS$3:$AS$152,$E338)/10000</f>
        <v>0.00659200000000001</v>
      </c>
      <c r="H523" s="124">
        <f>SUMIFS('2024数据'!$AT$3:$AT$152,'2024数据'!$H$3:$H$152,"&gt;="&amp;DATE(2024,3,1),'2024数据'!$H$3:$H$152,"&lt;="&amp;DATE(2024,3,31),'2024数据'!$AS$3:$AS$152,$E338)/10000</f>
        <v>0</v>
      </c>
      <c r="I523" s="124">
        <f>SUMIFS('2024数据'!$AT$3:$AT$152,'2024数据'!$H$3:$H$152,"&gt;="&amp;DATE(2024,4,1),'2024数据'!$H$3:$H$152,"&lt;="&amp;DATE(2024,4,30),'2024数据'!$AS$3:$AS$152,$E338)/10000</f>
        <v>0</v>
      </c>
      <c r="J523" s="124">
        <f>SUMIFS('2024数据'!$AT$3:$AT$152,'2024数据'!$H$3:$H$152,"&gt;="&amp;DATE(2024,5,1),'2024数据'!$H$3:$H$152,"&lt;="&amp;DATE(2024,5,31),'2024数据'!$AS$3:$AS$152,$E338)/10000</f>
        <v>0.00773999999999978</v>
      </c>
      <c r="K523" s="124">
        <f>SUMIFS('2024数据'!$AT$3:$AT$152,'2024数据'!$H$3:$H$152,"&gt;="&amp;DATE(2024,6,1),'2024数据'!$H$3:$H$152,"&lt;="&amp;DATE(2024,6,30),'2024数据'!$AS$3:$AS$152,$E338)/10000</f>
        <v>0</v>
      </c>
      <c r="L523" s="124">
        <f>SUMIFS('2024数据'!$AT$3:$AT$152,'2024数据'!$H$3:$H$152,"&gt;="&amp;DATE(2024,7,1),'2024数据'!$H$3:$H$152,"&lt;="&amp;DATE(2024,7,31),'2024数据'!$AS$3:$AS$152,$E338)/10000</f>
        <v>0</v>
      </c>
      <c r="M523" s="124">
        <f>SUMIFS('2024数据'!$AT$3:$AT$152,'2024数据'!$H$3:$H$152,"&gt;="&amp;DATE(2024,8,1),'2024数据'!$H$3:$H$152,"&lt;="&amp;DATE(2024,8,31),'2024数据'!$AS$3:$AS$152,$E338)/10000</f>
        <v>0</v>
      </c>
      <c r="N523" s="124">
        <f>SUMIFS('2024数据'!$AT$3:$AT$152,'2024数据'!$H$3:$H$152,"&gt;="&amp;DATE(2024,9,1),'2024数据'!$H$3:$H$152,"&lt;="&amp;DATE(2024,9,30),'2024数据'!$AS$3:$AS$152,$E338)/10000</f>
        <v>0</v>
      </c>
      <c r="O523" s="124">
        <f>SUMIFS('2024数据'!$AT$3:$AT$152,'2024数据'!$H$3:$H$152,"&gt;="&amp;DATE(2024,10,1),'2024数据'!$H$3:$H$152,"&lt;="&amp;DATE(2024,10,31),'2024数据'!$AS$3:$AS$152,$E338)/10000</f>
        <v>0.0983690000000002</v>
      </c>
      <c r="P523" s="124">
        <f>SUMIFS('2024数据'!$AT$3:$AT$152,'2024数据'!$H$3:$H$152,"&gt;="&amp;DATE(2024,11,1),'2024数据'!$H$3:$H$152,"&lt;="&amp;DATE(2024,11,30),'2024数据'!$AS$3:$AS$152,$E338)/10000</f>
        <v>0</v>
      </c>
      <c r="Q523" s="124">
        <f>SUMIFS('2024数据'!$AT$3:$AT$152,'2024数据'!$H$3:$H$152,"&gt;="&amp;DATE(2024,12,1),'2024数据'!$H$3:$H$152,"&lt;="&amp;DATE(2024,12,31),'2024数据'!$AS$3:$AS$152,$E338)/10000</f>
        <v>0.0240720000000001</v>
      </c>
    </row>
    <row r="524" ht="24" customHeight="1" spans="1:17">
      <c r="A524" s="99" t="s">
        <v>345</v>
      </c>
      <c r="B524" s="99" t="s">
        <v>299</v>
      </c>
      <c r="C524" s="99" t="s">
        <v>336</v>
      </c>
      <c r="D524" s="114" t="s">
        <v>292</v>
      </c>
      <c r="E524" s="122" t="s">
        <v>339</v>
      </c>
      <c r="F524" s="124">
        <f>SUMIFS('2024数据'!$AT$3:$AT$152,'2024数据'!$H$3:$H$152,"&gt;="&amp;DATE(2024,1,1),'2024数据'!$H$3:$H$152,"&lt;="&amp;DATE(2024,1,31),'2024数据'!$AS$3:$AS$152,$E339)/10000</f>
        <v>0</v>
      </c>
      <c r="G524" s="124">
        <f>SUMIFS('2024数据'!$AT$3:$AT$152,'2024数据'!$H$3:$H$152,"&gt;="&amp;DATE(2024,2,1),'2024数据'!$H$3:$H$152,"&lt;="&amp;DATE(2024,2,29),'2024数据'!$AS$3:$AS$152,$E339)/10000</f>
        <v>0</v>
      </c>
      <c r="H524" s="124">
        <f>SUMIFS('2024数据'!$AT$3:$AT$152,'2024数据'!$H$3:$H$152,"&gt;="&amp;DATE(2024,3,1),'2024数据'!$H$3:$H$152,"&lt;="&amp;DATE(2024,3,31),'2024数据'!$AS$3:$AS$152,$E339)/10000</f>
        <v>0</v>
      </c>
      <c r="I524" s="124">
        <f>SUMIFS('2024数据'!$AT$3:$AT$152,'2024数据'!$H$3:$H$152,"&gt;="&amp;DATE(2024,4,1),'2024数据'!$H$3:$H$152,"&lt;="&amp;DATE(2024,4,30),'2024数据'!$AS$3:$AS$152,$E339)/10000</f>
        <v>0</v>
      </c>
      <c r="J524" s="124">
        <f>SUMIFS('2024数据'!$AT$3:$AT$152,'2024数据'!$H$3:$H$152,"&gt;="&amp;DATE(2024,5,1),'2024数据'!$H$3:$H$152,"&lt;="&amp;DATE(2024,5,31),'2024数据'!$AS$3:$AS$152,$E339)/10000</f>
        <v>0</v>
      </c>
      <c r="K524" s="124">
        <f>SUMIFS('2024数据'!$AT$3:$AT$152,'2024数据'!$H$3:$H$152,"&gt;="&amp;DATE(2024,6,1),'2024数据'!$H$3:$H$152,"&lt;="&amp;DATE(2024,6,30),'2024数据'!$AS$3:$AS$152,$E339)/10000</f>
        <v>0</v>
      </c>
      <c r="L524" s="124">
        <f>SUMIFS('2024数据'!$AT$3:$AT$152,'2024数据'!$H$3:$H$152,"&gt;="&amp;DATE(2024,7,1),'2024数据'!$H$3:$H$152,"&lt;="&amp;DATE(2024,7,31),'2024数据'!$AS$3:$AS$152,$E339)/10000</f>
        <v>0</v>
      </c>
      <c r="M524" s="124">
        <f>SUMIFS('2024数据'!$AT$3:$AT$152,'2024数据'!$H$3:$H$152,"&gt;="&amp;DATE(2024,8,1),'2024数据'!$H$3:$H$152,"&lt;="&amp;DATE(2024,8,31),'2024数据'!$AS$3:$AS$152,$E339)/10000</f>
        <v>0</v>
      </c>
      <c r="N524" s="124">
        <f>SUMIFS('2024数据'!$AT$3:$AT$152,'2024数据'!$H$3:$H$152,"&gt;="&amp;DATE(2024,9,1),'2024数据'!$H$3:$H$152,"&lt;="&amp;DATE(2024,9,30),'2024数据'!$AS$3:$AS$152,$E339)/10000</f>
        <v>0</v>
      </c>
      <c r="O524" s="124">
        <f>SUMIFS('2024数据'!$AT$3:$AT$152,'2024数据'!$H$3:$H$152,"&gt;="&amp;DATE(2024,10,1),'2024数据'!$H$3:$H$152,"&lt;="&amp;DATE(2024,10,31),'2024数据'!$AS$3:$AS$152,$E339)/10000</f>
        <v>0</v>
      </c>
      <c r="P524" s="124">
        <f>SUMIFS('2024数据'!$AT$3:$AT$152,'2024数据'!$H$3:$H$152,"&gt;="&amp;DATE(2024,11,1),'2024数据'!$H$3:$H$152,"&lt;="&amp;DATE(2024,11,30),'2024数据'!$AS$3:$AS$152,$E339)/10000</f>
        <v>0</v>
      </c>
      <c r="Q524" s="124">
        <f>SUMIFS('2024数据'!$AT$3:$AT$152,'2024数据'!$H$3:$H$152,"&gt;="&amp;DATE(2024,12,1),'2024数据'!$H$3:$H$152,"&lt;="&amp;DATE(2024,12,31),'2024数据'!$AS$3:$AS$152,$E339)/10000</f>
        <v>0</v>
      </c>
    </row>
    <row r="525" ht="24" customHeight="1" spans="1:17">
      <c r="A525" s="99" t="s">
        <v>345</v>
      </c>
      <c r="B525" s="99" t="s">
        <v>299</v>
      </c>
      <c r="C525" s="99" t="s">
        <v>336</v>
      </c>
      <c r="D525" s="122" t="s">
        <v>303</v>
      </c>
      <c r="E525" s="122" t="s">
        <v>93</v>
      </c>
      <c r="F525" s="124">
        <f>SUMIFS('2024数据'!$AT$3:$AT$152,'2024数据'!$H$3:$H$152,"&gt;="&amp;DATE(2024,1,1),'2024数据'!$H$3:$H$152,"&lt;="&amp;DATE(2024,1,31),'2024数据'!$AS$3:$AS$152,$E337,'2024数据'!$B$3:$B$152,'2024整理'!$E504)/10000</f>
        <v>0.381135</v>
      </c>
      <c r="G525" s="124">
        <f>SUMIFS('2024数据'!$AT$3:$AT$152,'2024数据'!$H$3:$H$152,"&gt;="&amp;DATE(2024,2,1),'2024数据'!$H$3:$H$152,"&lt;="&amp;DATE(2024,2,29),'2024数据'!$AS$3:$AS$152,$E337,'2024数据'!$B$3:$B$152,'2024整理'!$E504)/10000</f>
        <v>0</v>
      </c>
      <c r="H525" s="124">
        <f>SUMIFS('2024数据'!$AT$3:$AT$152,'2024数据'!$H$3:$H$152,"&gt;="&amp;DATE(2024,3,1),'2024数据'!$H$3:$H$152,"&lt;="&amp;DATE(2024,3,31),'2024数据'!$AS$3:$AS$152,$E337,'2024数据'!$B$3:$B$152,'2024整理'!$E504)/10000</f>
        <v>0</v>
      </c>
      <c r="I525" s="124">
        <f>SUMIFS('2024数据'!$AT$3:$AT$152,'2024数据'!$H$3:$H$152,"&gt;="&amp;DATE(2024,4,1),'2024数据'!$H$3:$H$152,"&lt;="&amp;DATE(2024,4,30),'2024数据'!$AS$3:$AS$152,$E337,'2024数据'!$B$3:$B$152,'2024整理'!$E504)/10000</f>
        <v>0</v>
      </c>
      <c r="J525" s="124">
        <f>SUMIFS('2024数据'!$AT$3:$AT$152,'2024数据'!$H$3:$H$152,"&gt;="&amp;DATE(2024,5,1),'2024数据'!$H$3:$H$152,"&lt;="&amp;DATE(2024,5,31),'2024数据'!$AS$3:$AS$152,$E337,'2024数据'!$B$3:$B$152,'2024整理'!$E504)/10000</f>
        <v>0</v>
      </c>
      <c r="K525" s="124">
        <f>SUMIFS('2024数据'!$AT$3:$AT$152,'2024数据'!$H$3:$H$152,"&gt;="&amp;DATE(2024,6,1),'2024数据'!$H$3:$H$152,"&lt;="&amp;DATE(2024,6,30),'2024数据'!$AS$3:$AS$152,$E337,'2024数据'!$B$3:$B$152,'2024整理'!$E504)/10000</f>
        <v>0</v>
      </c>
      <c r="L525" s="124">
        <f>SUMIFS('2024数据'!$AT$3:$AT$152,'2024数据'!$H$3:$H$152,"&gt;="&amp;DATE(2024,7,1),'2024数据'!$H$3:$H$152,"&lt;="&amp;DATE(2024,7,31),'2024数据'!$AS$3:$AS$152,$E337,'2024数据'!$B$3:$B$152,'2024整理'!$E504)/10000</f>
        <v>0</v>
      </c>
      <c r="M525" s="124">
        <f>SUMIFS('2024数据'!$AT$3:$AT$152,'2024数据'!$H$3:$H$152,"&gt;="&amp;DATE(2024,8,1),'2024数据'!$H$3:$H$152,"&lt;="&amp;DATE(2024,8,31),'2024数据'!$AS$3:$AS$152,$E337,'2024数据'!$B$3:$B$152,'2024整理'!$E504)/10000</f>
        <v>0</v>
      </c>
      <c r="N525" s="124">
        <f>SUMIFS('2024数据'!$AT$3:$AT$152,'2024数据'!$H$3:$H$152,"&gt;="&amp;DATE(2024,9,1),'2024数据'!$H$3:$H$152,"&lt;="&amp;DATE(2024,9,30),'2024数据'!$AS$3:$AS$152,$E337,'2024数据'!$B$3:$B$152,'2024整理'!$E504)/10000</f>
        <v>0</v>
      </c>
      <c r="O525" s="124">
        <f>SUMIFS('2024数据'!$AT$3:$AT$152,'2024数据'!$H$3:$H$152,"&gt;="&amp;DATE(2024,10,1),'2024数据'!$H$3:$H$152,"&lt;="&amp;DATE(2024,10,31),'2024数据'!$AS$3:$AS$152,$E337,'2024数据'!$B$3:$B$152,'2024整理'!$E504)/10000</f>
        <v>0</v>
      </c>
      <c r="P525" s="124">
        <f>SUMIFS('2024数据'!$AT$3:$AT$152,'2024数据'!$H$3:$H$152,"&gt;="&amp;DATE(2024,11,1),'2024数据'!$H$3:$H$152,"&lt;="&amp;DATE(2024,11,30),'2024数据'!$AS$3:$AS$152,$E337,'2024数据'!$B$3:$B$152,'2024整理'!$E504)/10000</f>
        <v>0</v>
      </c>
      <c r="Q525" s="124">
        <f>SUMIFS('2024数据'!$AT$3:$AT$152,'2024数据'!$H$3:$H$152,"&gt;="&amp;DATE(2024,12,1),'2024数据'!$H$3:$H$152,"&lt;="&amp;DATE(2024,12,31),'2024数据'!$AS$3:$AS$152,$E337,'2024数据'!$B$3:$B$152,'2024整理'!$E504)/10000</f>
        <v>0</v>
      </c>
    </row>
    <row r="526" ht="24" customHeight="1" spans="1:17">
      <c r="A526" s="99" t="s">
        <v>345</v>
      </c>
      <c r="B526" s="99" t="s">
        <v>299</v>
      </c>
      <c r="C526" s="99" t="s">
        <v>336</v>
      </c>
      <c r="D526" s="122" t="s">
        <v>303</v>
      </c>
      <c r="E526" s="122" t="s">
        <v>85</v>
      </c>
      <c r="F526" s="124">
        <f>SUMIFS('2024数据'!$AT$3:$AT$152,'2024数据'!$H$3:$H$152,"&gt;="&amp;DATE(2024,1,1),'2024数据'!$H$3:$H$152,"&lt;="&amp;DATE(2024,1,31),'2024数据'!$AS$3:$AS$152,$E337,'2024数据'!$B$3:$B$152,'2024整理'!$E505)/10000</f>
        <v>0</v>
      </c>
      <c r="G526" s="124">
        <f>SUMIFS('2024数据'!$AT$3:$AT$152,'2024数据'!$H$3:$H$152,"&gt;="&amp;DATE(2024,2,1),'2024数据'!$H$3:$H$152,"&lt;="&amp;DATE(2024,2,29),'2024数据'!$AS$3:$AS$152,$E337,'2024数据'!$B$3:$B$152,'2024整理'!$E505)/10000</f>
        <v>0</v>
      </c>
      <c r="H526" s="124">
        <f>SUMIFS('2024数据'!$AT$3:$AT$152,'2024数据'!$H$3:$H$152,"&gt;="&amp;DATE(2024,3,1),'2024数据'!$H$3:$H$152,"&lt;="&amp;DATE(2024,3,31),'2024数据'!$AS$3:$AS$152,$E337,'2024数据'!$B$3:$B$152,'2024整理'!$E505)/10000</f>
        <v>0</v>
      </c>
      <c r="I526" s="124">
        <f>SUMIFS('2024数据'!$AT$3:$AT$152,'2024数据'!$H$3:$H$152,"&gt;="&amp;DATE(2024,4,1),'2024数据'!$H$3:$H$152,"&lt;="&amp;DATE(2024,4,30),'2024数据'!$AS$3:$AS$152,$E337,'2024数据'!$B$3:$B$152,'2024整理'!$E505)/10000</f>
        <v>0</v>
      </c>
      <c r="J526" s="124">
        <f>SUMIFS('2024数据'!$AT$3:$AT$152,'2024数据'!$H$3:$H$152,"&gt;="&amp;DATE(2024,5,1),'2024数据'!$H$3:$H$152,"&lt;="&amp;DATE(2024,5,31),'2024数据'!$AS$3:$AS$152,$E337,'2024数据'!$B$3:$B$152,'2024整理'!$E505)/10000</f>
        <v>0.00395200000000004</v>
      </c>
      <c r="K526" s="124">
        <f>SUMIFS('2024数据'!$AT$3:$AT$152,'2024数据'!$H$3:$H$152,"&gt;="&amp;DATE(2024,6,1),'2024数据'!$H$3:$H$152,"&lt;="&amp;DATE(2024,6,30),'2024数据'!$AS$3:$AS$152,$E337,'2024数据'!$B$3:$B$152,'2024整理'!$E505)/10000</f>
        <v>0</v>
      </c>
      <c r="L526" s="124">
        <f>SUMIFS('2024数据'!$AT$3:$AT$152,'2024数据'!$H$3:$H$152,"&gt;="&amp;DATE(2024,7,1),'2024数据'!$H$3:$H$152,"&lt;="&amp;DATE(2024,7,31),'2024数据'!$AS$3:$AS$152,$E337,'2024数据'!$B$3:$B$152,'2024整理'!$E505)/10000</f>
        <v>0</v>
      </c>
      <c r="M526" s="124">
        <f>SUMIFS('2024数据'!$AT$3:$AT$152,'2024数据'!$H$3:$H$152,"&gt;="&amp;DATE(2024,8,1),'2024数据'!$H$3:$H$152,"&lt;="&amp;DATE(2024,8,31),'2024数据'!$AS$3:$AS$152,$E337,'2024数据'!$B$3:$B$152,'2024整理'!$E505)/10000</f>
        <v>0</v>
      </c>
      <c r="N526" s="124">
        <f>SUMIFS('2024数据'!$AT$3:$AT$152,'2024数据'!$H$3:$H$152,"&gt;="&amp;DATE(2024,9,1),'2024数据'!$H$3:$H$152,"&lt;="&amp;DATE(2024,9,30),'2024数据'!$AS$3:$AS$152,$E337,'2024数据'!$B$3:$B$152,'2024整理'!$E505)/10000</f>
        <v>0</v>
      </c>
      <c r="O526" s="124">
        <f>SUMIFS('2024数据'!$AT$3:$AT$152,'2024数据'!$H$3:$H$152,"&gt;="&amp;DATE(2024,10,1),'2024数据'!$H$3:$H$152,"&lt;="&amp;DATE(2024,10,31),'2024数据'!$AS$3:$AS$152,$E337,'2024数据'!$B$3:$B$152,'2024整理'!$E505)/10000</f>
        <v>0</v>
      </c>
      <c r="P526" s="124">
        <f>SUMIFS('2024数据'!$AT$3:$AT$152,'2024数据'!$H$3:$H$152,"&gt;="&amp;DATE(2024,11,1),'2024数据'!$H$3:$H$152,"&lt;="&amp;DATE(2024,11,30),'2024数据'!$AS$3:$AS$152,$E337,'2024数据'!$B$3:$B$152,'2024整理'!$E505)/10000</f>
        <v>0</v>
      </c>
      <c r="Q526" s="124">
        <f>SUMIFS('2024数据'!$AT$3:$AT$152,'2024数据'!$H$3:$H$152,"&gt;="&amp;DATE(2024,12,1),'2024数据'!$H$3:$H$152,"&lt;="&amp;DATE(2024,12,31),'2024数据'!$AS$3:$AS$152,$E337,'2024数据'!$B$3:$B$152,'2024整理'!$E505)/10000</f>
        <v>0</v>
      </c>
    </row>
    <row r="527" ht="24" customHeight="1" spans="1:17">
      <c r="A527" s="99" t="s">
        <v>345</v>
      </c>
      <c r="B527" s="99" t="s">
        <v>299</v>
      </c>
      <c r="C527" s="99" t="s">
        <v>336</v>
      </c>
      <c r="D527" s="122" t="s">
        <v>303</v>
      </c>
      <c r="E527" s="122" t="s">
        <v>81</v>
      </c>
      <c r="F527" s="124">
        <f>SUMIFS('2024数据'!$AT$3:$AT$152,'2024数据'!$H$3:$H$152,"&gt;="&amp;DATE(2024,1,1),'2024数据'!$H$3:$H$152,"&lt;="&amp;DATE(2024,1,31),'2024数据'!$AS$3:$AS$152,$E337,'2024数据'!$B$3:$B$152,'2024整理'!$E506)/10000</f>
        <v>0.0341379999999999</v>
      </c>
      <c r="G527" s="124">
        <f>SUMIFS('2024数据'!$AT$3:$AT$152,'2024数据'!$H$3:$H$152,"&gt;="&amp;DATE(2024,2,1),'2024数据'!$H$3:$H$152,"&lt;="&amp;DATE(2024,2,29),'2024数据'!$AS$3:$AS$152,$E337,'2024数据'!$B$3:$B$152,'2024整理'!$E506)/10000</f>
        <v>0</v>
      </c>
      <c r="H527" s="124">
        <f>SUMIFS('2024数据'!$AT$3:$AT$152,'2024数据'!$H$3:$H$152,"&gt;="&amp;DATE(2024,3,1),'2024数据'!$H$3:$H$152,"&lt;="&amp;DATE(2024,3,31),'2024数据'!$AS$3:$AS$152,$E337,'2024数据'!$B$3:$B$152,'2024整理'!$E506)/10000</f>
        <v>0</v>
      </c>
      <c r="I527" s="124">
        <f>SUMIFS('2024数据'!$AT$3:$AT$152,'2024数据'!$H$3:$H$152,"&gt;="&amp;DATE(2024,4,1),'2024数据'!$H$3:$H$152,"&lt;="&amp;DATE(2024,4,30),'2024数据'!$AS$3:$AS$152,$E337,'2024数据'!$B$3:$B$152,'2024整理'!$E506)/10000</f>
        <v>0</v>
      </c>
      <c r="J527" s="124">
        <f>SUMIFS('2024数据'!$AT$3:$AT$152,'2024数据'!$H$3:$H$152,"&gt;="&amp;DATE(2024,5,1),'2024数据'!$H$3:$H$152,"&lt;="&amp;DATE(2024,5,31),'2024数据'!$AS$3:$AS$152,$E337,'2024数据'!$B$3:$B$152,'2024整理'!$E506)/10000</f>
        <v>0.00530600000000004</v>
      </c>
      <c r="K527" s="124">
        <f>SUMIFS('2024数据'!$AT$3:$AT$152,'2024数据'!$H$3:$H$152,"&gt;="&amp;DATE(2024,6,1),'2024数据'!$H$3:$H$152,"&lt;="&amp;DATE(2024,6,30),'2024数据'!$AS$3:$AS$152,$E337,'2024数据'!$B$3:$B$152,'2024整理'!$E506)/10000</f>
        <v>0</v>
      </c>
      <c r="L527" s="124">
        <f>SUMIFS('2024数据'!$AT$3:$AT$152,'2024数据'!$H$3:$H$152,"&gt;="&amp;DATE(2024,7,1),'2024数据'!$H$3:$H$152,"&lt;="&amp;DATE(2024,7,31),'2024数据'!$AS$3:$AS$152,$E337,'2024数据'!$B$3:$B$152,'2024整理'!$E506)/10000</f>
        <v>0</v>
      </c>
      <c r="M527" s="124">
        <f>SUMIFS('2024数据'!$AT$3:$AT$152,'2024数据'!$H$3:$H$152,"&gt;="&amp;DATE(2024,8,1),'2024数据'!$H$3:$H$152,"&lt;="&amp;DATE(2024,8,31),'2024数据'!$AS$3:$AS$152,$E337,'2024数据'!$B$3:$B$152,'2024整理'!$E506)/10000</f>
        <v>0.00900200000000004</v>
      </c>
      <c r="N527" s="124">
        <f>SUMIFS('2024数据'!$AT$3:$AT$152,'2024数据'!$H$3:$H$152,"&gt;="&amp;DATE(2024,9,1),'2024数据'!$H$3:$H$152,"&lt;="&amp;DATE(2024,9,30),'2024数据'!$AS$3:$AS$152,$E337,'2024数据'!$B$3:$B$152,'2024整理'!$E506)/10000</f>
        <v>0</v>
      </c>
      <c r="O527" s="124">
        <f>SUMIFS('2024数据'!$AT$3:$AT$152,'2024数据'!$H$3:$H$152,"&gt;="&amp;DATE(2024,10,1),'2024数据'!$H$3:$H$152,"&lt;="&amp;DATE(2024,10,31),'2024数据'!$AS$3:$AS$152,$E337,'2024数据'!$B$3:$B$152,'2024整理'!$E506)/10000</f>
        <v>0</v>
      </c>
      <c r="P527" s="124">
        <f>SUMIFS('2024数据'!$AT$3:$AT$152,'2024数据'!$H$3:$H$152,"&gt;="&amp;DATE(2024,11,1),'2024数据'!$H$3:$H$152,"&lt;="&amp;DATE(2024,11,30),'2024数据'!$AS$3:$AS$152,$E337,'2024数据'!$B$3:$B$152,'2024整理'!$E506)/10000</f>
        <v>0</v>
      </c>
      <c r="Q527" s="124">
        <f>SUMIFS('2024数据'!$AT$3:$AT$152,'2024数据'!$H$3:$H$152,"&gt;="&amp;DATE(2024,12,1),'2024数据'!$H$3:$H$152,"&lt;="&amp;DATE(2024,12,31),'2024数据'!$AS$3:$AS$152,$E337,'2024数据'!$B$3:$B$152,'2024整理'!$E506)/10000</f>
        <v>0</v>
      </c>
    </row>
    <row r="528" ht="24" customHeight="1" spans="1:17">
      <c r="A528" s="99" t="s">
        <v>345</v>
      </c>
      <c r="B528" s="99" t="s">
        <v>299</v>
      </c>
      <c r="C528" s="99" t="s">
        <v>336</v>
      </c>
      <c r="D528" s="122" t="s">
        <v>303</v>
      </c>
      <c r="E528" s="122" t="s">
        <v>96</v>
      </c>
      <c r="F528" s="124">
        <f>SUMIFS('2024数据'!$AT$3:$AT$152,'2024数据'!$H$3:$H$152,"&gt;="&amp;DATE(2024,1,1),'2024数据'!$H$3:$H$152,"&lt;="&amp;DATE(2024,1,31),'2024数据'!$AS$3:$AS$152,$E337,'2024数据'!$B$3:$B$152,'2024整理'!$E507)/10000</f>
        <v>0</v>
      </c>
      <c r="G528" s="124">
        <f>SUMIFS('2024数据'!$AT$3:$AT$152,'2024数据'!$H$3:$H$152,"&gt;="&amp;DATE(2024,2,1),'2024数据'!$H$3:$H$152,"&lt;="&amp;DATE(2024,2,29),'2024数据'!$AS$3:$AS$152,$E337,'2024数据'!$B$3:$B$152,'2024整理'!$E507)/10000</f>
        <v>0</v>
      </c>
      <c r="H528" s="124">
        <f>SUMIFS('2024数据'!$AT$3:$AT$152,'2024数据'!$H$3:$H$152,"&gt;="&amp;DATE(2024,3,1),'2024数据'!$H$3:$H$152,"&lt;="&amp;DATE(2024,3,31),'2024数据'!$AS$3:$AS$152,$E337,'2024数据'!$B$3:$B$152,'2024整理'!$E507)/10000</f>
        <v>0</v>
      </c>
      <c r="I528" s="124">
        <f>SUMIFS('2024数据'!$AT$3:$AT$152,'2024数据'!$H$3:$H$152,"&gt;="&amp;DATE(2024,4,1),'2024数据'!$H$3:$H$152,"&lt;="&amp;DATE(2024,4,30),'2024数据'!$AS$3:$AS$152,$E337,'2024数据'!$B$3:$B$152,'2024整理'!$E507)/10000</f>
        <v>0</v>
      </c>
      <c r="J528" s="124">
        <f>SUMIFS('2024数据'!$AT$3:$AT$152,'2024数据'!$H$3:$H$152,"&gt;="&amp;DATE(2024,5,1),'2024数据'!$H$3:$H$152,"&lt;="&amp;DATE(2024,5,31),'2024数据'!$AS$3:$AS$152,$E337,'2024数据'!$B$3:$B$152,'2024整理'!$E507)/10000</f>
        <v>0</v>
      </c>
      <c r="K528" s="124">
        <f>SUMIFS('2024数据'!$AT$3:$AT$152,'2024数据'!$H$3:$H$152,"&gt;="&amp;DATE(2024,6,1),'2024数据'!$H$3:$H$152,"&lt;="&amp;DATE(2024,6,30),'2024数据'!$AS$3:$AS$152,$E337,'2024数据'!$B$3:$B$152,'2024整理'!$E507)/10000</f>
        <v>0</v>
      </c>
      <c r="L528" s="124">
        <f>SUMIFS('2024数据'!$AT$3:$AT$152,'2024数据'!$H$3:$H$152,"&gt;="&amp;DATE(2024,7,1),'2024数据'!$H$3:$H$152,"&lt;="&amp;DATE(2024,7,31),'2024数据'!$AS$3:$AS$152,$E337,'2024数据'!$B$3:$B$152,'2024整理'!$E507)/10000</f>
        <v>0.0972439999999999</v>
      </c>
      <c r="M528" s="124">
        <f>SUMIFS('2024数据'!$AT$3:$AT$152,'2024数据'!$H$3:$H$152,"&gt;="&amp;DATE(2024,8,1),'2024数据'!$H$3:$H$152,"&lt;="&amp;DATE(2024,8,31),'2024数据'!$AS$3:$AS$152,$E337,'2024数据'!$B$3:$B$152,'2024整理'!$E507)/10000</f>
        <v>0</v>
      </c>
      <c r="N528" s="124">
        <f>SUMIFS('2024数据'!$AT$3:$AT$152,'2024数据'!$H$3:$H$152,"&gt;="&amp;DATE(2024,9,1),'2024数据'!$H$3:$H$152,"&lt;="&amp;DATE(2024,9,30),'2024数据'!$AS$3:$AS$152,$E337,'2024数据'!$B$3:$B$152,'2024整理'!$E507)/10000</f>
        <v>0</v>
      </c>
      <c r="O528" s="124">
        <f>SUMIFS('2024数据'!$AT$3:$AT$152,'2024数据'!$H$3:$H$152,"&gt;="&amp;DATE(2024,10,1),'2024数据'!$H$3:$H$152,"&lt;="&amp;DATE(2024,10,31),'2024数据'!$AS$3:$AS$152,$E337,'2024数据'!$B$3:$B$152,'2024整理'!$E507)/10000</f>
        <v>0</v>
      </c>
      <c r="P528" s="124">
        <f>SUMIFS('2024数据'!$AT$3:$AT$152,'2024数据'!$H$3:$H$152,"&gt;="&amp;DATE(2024,11,1),'2024数据'!$H$3:$H$152,"&lt;="&amp;DATE(2024,11,30),'2024数据'!$AS$3:$AS$152,$E337,'2024数据'!$B$3:$B$152,'2024整理'!$E507)/10000</f>
        <v>0</v>
      </c>
      <c r="Q528" s="124">
        <f>SUMIFS('2024数据'!$AT$3:$AT$152,'2024数据'!$H$3:$H$152,"&gt;="&amp;DATE(2024,12,1),'2024数据'!$H$3:$H$152,"&lt;="&amp;DATE(2024,12,31),'2024数据'!$AS$3:$AS$152,$E337,'2024数据'!$B$3:$B$152,'2024整理'!$E507)/10000</f>
        <v>0</v>
      </c>
    </row>
    <row r="529" ht="24" customHeight="1" spans="1:17">
      <c r="A529" s="99" t="s">
        <v>345</v>
      </c>
      <c r="B529" s="99" t="s">
        <v>299</v>
      </c>
      <c r="C529" s="99" t="s">
        <v>336</v>
      </c>
      <c r="D529" s="122" t="s">
        <v>303</v>
      </c>
      <c r="E529" s="122" t="s">
        <v>160</v>
      </c>
      <c r="F529" s="124">
        <f t="shared" ref="F529:Q529" si="367">F522-SUM(F525:F528)</f>
        <v>0</v>
      </c>
      <c r="G529" s="124">
        <f t="shared" si="367"/>
        <v>0</v>
      </c>
      <c r="H529" s="124">
        <f t="shared" si="367"/>
        <v>0</v>
      </c>
      <c r="I529" s="124">
        <f t="shared" si="367"/>
        <v>0.014471</v>
      </c>
      <c r="J529" s="124">
        <f t="shared" si="367"/>
        <v>0</v>
      </c>
      <c r="K529" s="124">
        <f t="shared" si="367"/>
        <v>0</v>
      </c>
      <c r="L529" s="124">
        <f t="shared" si="367"/>
        <v>0</v>
      </c>
      <c r="M529" s="124">
        <f t="shared" si="367"/>
        <v>0</v>
      </c>
      <c r="N529" s="124">
        <f t="shared" si="367"/>
        <v>0</v>
      </c>
      <c r="O529" s="124">
        <f t="shared" si="367"/>
        <v>0</v>
      </c>
      <c r="P529" s="124">
        <f t="shared" si="367"/>
        <v>0</v>
      </c>
      <c r="Q529" s="124">
        <f t="shared" si="367"/>
        <v>0</v>
      </c>
    </row>
    <row r="530" ht="24" customHeight="1" spans="1:17">
      <c r="A530" s="99" t="s">
        <v>345</v>
      </c>
      <c r="B530" s="99" t="s">
        <v>299</v>
      </c>
      <c r="C530" s="99" t="s">
        <v>336</v>
      </c>
      <c r="D530" s="122" t="s">
        <v>304</v>
      </c>
      <c r="E530" s="122" t="s">
        <v>93</v>
      </c>
      <c r="F530" s="124">
        <f>SUMIFS('2024数据'!$AT$3:$AT$152,'2024数据'!$H$3:$H$152,"&gt;="&amp;DATE(2024,1,1),'2024数据'!$H$3:$H$152,"&lt;="&amp;DATE(2024,1,31),'2024数据'!$AS$3:$AS$152,$E338,'2024数据'!$B$3:$B$152,'2024整理'!$E504)/10000</f>
        <v>0</v>
      </c>
      <c r="G530" s="124">
        <f>SUMIFS('2024数据'!$AT$3:$AT$152,'2024数据'!$H$3:$H$152,"&gt;="&amp;DATE(2024,2,1),'2024数据'!$H$3:$H$152,"&lt;="&amp;DATE(2024,2,29),'2024数据'!$AS$3:$AS$152,$E338,'2024数据'!$B$3:$B$152,'2024整理'!$E504)/10000</f>
        <v>0.00659200000000001</v>
      </c>
      <c r="H530" s="124">
        <f>SUMIFS('2024数据'!$AT$3:$AT$152,'2024数据'!$H$3:$H$152,"&gt;="&amp;DATE(2024,3,1),'2024数据'!$H$3:$H$152,"&lt;="&amp;DATE(2024,3,31),'2024数据'!$AS$3:$AS$152,$E338,'2024数据'!$B$3:$B$152,'2024整理'!$E504)/10000</f>
        <v>0</v>
      </c>
      <c r="I530" s="124">
        <f>SUMIFS('2024数据'!$AT$3:$AT$152,'2024数据'!$H$3:$H$152,"&gt;="&amp;DATE(2024,4,1),'2024数据'!$H$3:$H$152,"&lt;="&amp;DATE(2024,4,30),'2024数据'!$AS$3:$AS$152,$E338,'2024数据'!$B$3:$B$152,'2024整理'!$E504)/10000</f>
        <v>0</v>
      </c>
      <c r="J530" s="124">
        <f>SUMIFS('2024数据'!$AT$3:$AT$152,'2024数据'!$H$3:$H$152,"&gt;="&amp;DATE(2024,5,1),'2024数据'!$H$3:$H$152,"&lt;="&amp;DATE(2024,5,31),'2024数据'!$AS$3:$AS$152,$E338,'2024数据'!$B$3:$B$152,'2024整理'!$E504)/10000</f>
        <v>0</v>
      </c>
      <c r="K530" s="124">
        <f>SUMIFS('2024数据'!$AT$3:$AT$152,'2024数据'!$H$3:$H$152,"&gt;="&amp;DATE(2024,6,1),'2024数据'!$H$3:$H$152,"&lt;="&amp;DATE(2024,6,30),'2024数据'!$AS$3:$AS$152,$E338,'2024数据'!$B$3:$B$152,'2024整理'!$E504)/10000</f>
        <v>0</v>
      </c>
      <c r="L530" s="124">
        <f>SUMIFS('2024数据'!$AT$3:$AT$152,'2024数据'!$H$3:$H$152,"&gt;="&amp;DATE(2024,7,1),'2024数据'!$H$3:$H$152,"&lt;="&amp;DATE(2024,7,31),'2024数据'!$AS$3:$AS$152,$E338,'2024数据'!$B$3:$B$152,'2024整理'!$E504)/10000</f>
        <v>0</v>
      </c>
      <c r="M530" s="124">
        <f>SUMIFS('2024数据'!$AT$3:$AT$152,'2024数据'!$H$3:$H$152,"&gt;="&amp;DATE(2024,8,1),'2024数据'!$H$3:$H$152,"&lt;="&amp;DATE(2024,8,31),'2024数据'!$AS$3:$AS$152,$E338,'2024数据'!$B$3:$B$152,'2024整理'!$E504)/10000</f>
        <v>0</v>
      </c>
      <c r="N530" s="124">
        <f>SUMIFS('2024数据'!$AT$3:$AT$152,'2024数据'!$H$3:$H$152,"&gt;="&amp;DATE(2024,9,1),'2024数据'!$H$3:$H$152,"&lt;="&amp;DATE(2024,9,30),'2024数据'!$AS$3:$AS$152,$E338,'2024数据'!$B$3:$B$152,'2024整理'!$E504)/10000</f>
        <v>0</v>
      </c>
      <c r="O530" s="124">
        <f>SUMIFS('2024数据'!$AT$3:$AT$152,'2024数据'!$H$3:$H$152,"&gt;="&amp;DATE(2024,10,1),'2024数据'!$H$3:$H$152,"&lt;="&amp;DATE(2024,10,31),'2024数据'!$AS$3:$AS$152,$E338,'2024数据'!$B$3:$B$152,'2024整理'!$E504)/10000</f>
        <v>0.0983690000000002</v>
      </c>
      <c r="P530" s="124">
        <f>SUMIFS('2024数据'!$AT$3:$AT$152,'2024数据'!$H$3:$H$152,"&gt;="&amp;DATE(2024,11,1),'2024数据'!$H$3:$H$152,"&lt;="&amp;DATE(2024,11,30),'2024数据'!$AS$3:$AS$152,$E338,'2024数据'!$B$3:$B$152,'2024整理'!$E504)/10000</f>
        <v>0</v>
      </c>
      <c r="Q530" s="124">
        <f>SUMIFS('2024数据'!$AT$3:$AT$152,'2024数据'!$H$3:$H$152,"&gt;="&amp;DATE(2024,12,1),'2024数据'!$H$3:$H$152,"&lt;="&amp;DATE(2024,12,31),'2024数据'!$AS$3:$AS$152,$E338,'2024数据'!$B$3:$B$152,'2024整理'!$E504)/10000</f>
        <v>0.0240720000000001</v>
      </c>
    </row>
    <row r="531" ht="24" customHeight="1" spans="1:17">
      <c r="A531" s="99" t="s">
        <v>345</v>
      </c>
      <c r="B531" s="99" t="s">
        <v>299</v>
      </c>
      <c r="C531" s="99" t="s">
        <v>336</v>
      </c>
      <c r="D531" s="122" t="s">
        <v>304</v>
      </c>
      <c r="E531" s="122" t="s">
        <v>85</v>
      </c>
      <c r="F531" s="124">
        <f>SUMIFS('2024数据'!$AT$3:$AT$152,'2024数据'!$H$3:$H$152,"&gt;="&amp;DATE(2024,1,1),'2024数据'!$H$3:$H$152,"&lt;="&amp;DATE(2024,1,31),'2024数据'!$AS$3:$AS$152,$E338,'2024数据'!$B$3:$B$152,'2024整理'!$E505)/10000</f>
        <v>0</v>
      </c>
      <c r="G531" s="124">
        <f>SUMIFS('2024数据'!$AT$3:$AT$152,'2024数据'!$H$3:$H$152,"&gt;="&amp;DATE(2024,2,1),'2024数据'!$H$3:$H$152,"&lt;="&amp;DATE(2024,2,29),'2024数据'!$AS$3:$AS$152,$E338,'2024数据'!$B$3:$B$152,'2024整理'!$E505)/10000</f>
        <v>0</v>
      </c>
      <c r="H531" s="124">
        <f>SUMIFS('2024数据'!$AT$3:$AT$152,'2024数据'!$H$3:$H$152,"&gt;="&amp;DATE(2024,3,1),'2024数据'!$H$3:$H$152,"&lt;="&amp;DATE(2024,3,31),'2024数据'!$AS$3:$AS$152,$E338,'2024数据'!$B$3:$B$152,'2024整理'!$E505)/10000</f>
        <v>0</v>
      </c>
      <c r="I531" s="124">
        <f>SUMIFS('2024数据'!$AT$3:$AT$152,'2024数据'!$H$3:$H$152,"&gt;="&amp;DATE(2024,4,1),'2024数据'!$H$3:$H$152,"&lt;="&amp;DATE(2024,4,30),'2024数据'!$AS$3:$AS$152,$E338,'2024数据'!$B$3:$B$152,'2024整理'!$E505)/10000</f>
        <v>0</v>
      </c>
      <c r="J531" s="124">
        <f>SUMIFS('2024数据'!$AT$3:$AT$152,'2024数据'!$H$3:$H$152,"&gt;="&amp;DATE(2024,5,1),'2024数据'!$H$3:$H$152,"&lt;="&amp;DATE(2024,5,31),'2024数据'!$AS$3:$AS$152,$E338,'2024数据'!$B$3:$B$152,'2024整理'!$E505)/10000</f>
        <v>0</v>
      </c>
      <c r="K531" s="124">
        <f>SUMIFS('2024数据'!$AT$3:$AT$152,'2024数据'!$H$3:$H$152,"&gt;="&amp;DATE(2024,6,1),'2024数据'!$H$3:$H$152,"&lt;="&amp;DATE(2024,6,30),'2024数据'!$AS$3:$AS$152,$E338,'2024数据'!$B$3:$B$152,'2024整理'!$E505)/10000</f>
        <v>0</v>
      </c>
      <c r="L531" s="124">
        <f>SUMIFS('2024数据'!$AT$3:$AT$152,'2024数据'!$H$3:$H$152,"&gt;="&amp;DATE(2024,7,1),'2024数据'!$H$3:$H$152,"&lt;="&amp;DATE(2024,7,31),'2024数据'!$AS$3:$AS$152,$E338,'2024数据'!$B$3:$B$152,'2024整理'!$E505)/10000</f>
        <v>0</v>
      </c>
      <c r="M531" s="124">
        <f>SUMIFS('2024数据'!$AT$3:$AT$152,'2024数据'!$H$3:$H$152,"&gt;="&amp;DATE(2024,8,1),'2024数据'!$H$3:$H$152,"&lt;="&amp;DATE(2024,8,31),'2024数据'!$AS$3:$AS$152,$E338,'2024数据'!$B$3:$B$152,'2024整理'!$E505)/10000</f>
        <v>0</v>
      </c>
      <c r="N531" s="124">
        <f>SUMIFS('2024数据'!$AT$3:$AT$152,'2024数据'!$H$3:$H$152,"&gt;="&amp;DATE(2024,9,1),'2024数据'!$H$3:$H$152,"&lt;="&amp;DATE(2024,9,30),'2024数据'!$AS$3:$AS$152,$E338,'2024数据'!$B$3:$B$152,'2024整理'!$E505)/10000</f>
        <v>0</v>
      </c>
      <c r="O531" s="124">
        <f>SUMIFS('2024数据'!$AT$3:$AT$152,'2024数据'!$H$3:$H$152,"&gt;="&amp;DATE(2024,10,1),'2024数据'!$H$3:$H$152,"&lt;="&amp;DATE(2024,10,31),'2024数据'!$AS$3:$AS$152,$E338,'2024数据'!$B$3:$B$152,'2024整理'!$E505)/10000</f>
        <v>0</v>
      </c>
      <c r="P531" s="124">
        <f>SUMIFS('2024数据'!$AT$3:$AT$152,'2024数据'!$H$3:$H$152,"&gt;="&amp;DATE(2024,11,1),'2024数据'!$H$3:$H$152,"&lt;="&amp;DATE(2024,11,30),'2024数据'!$AS$3:$AS$152,$E338,'2024数据'!$B$3:$B$152,'2024整理'!$E505)/10000</f>
        <v>0</v>
      </c>
      <c r="Q531" s="124">
        <f>SUMIFS('2024数据'!$AT$3:$AT$152,'2024数据'!$H$3:$H$152,"&gt;="&amp;DATE(2024,12,1),'2024数据'!$H$3:$H$152,"&lt;="&amp;DATE(2024,12,31),'2024数据'!$AS$3:$AS$152,$E338,'2024数据'!$B$3:$B$152,'2024整理'!$E505)/10000</f>
        <v>0</v>
      </c>
    </row>
    <row r="532" ht="24" customHeight="1" spans="1:17">
      <c r="A532" s="99" t="s">
        <v>345</v>
      </c>
      <c r="B532" s="99" t="s">
        <v>299</v>
      </c>
      <c r="C532" s="99" t="s">
        <v>336</v>
      </c>
      <c r="D532" s="122" t="s">
        <v>304</v>
      </c>
      <c r="E532" s="122" t="s">
        <v>81</v>
      </c>
      <c r="F532" s="124">
        <f>SUMIFS('2024数据'!$AT$3:$AT$152,'2024数据'!$H$3:$H$152,"&gt;="&amp;DATE(2024,1,1),'2024数据'!$H$3:$H$152,"&lt;="&amp;DATE(2024,1,31),'2024数据'!$AS$3:$AS$152,$E338,'2024数据'!$B$3:$B$152,'2024整理'!$E506)/10000</f>
        <v>0</v>
      </c>
      <c r="G532" s="124">
        <f>SUMIFS('2024数据'!$AT$3:$AT$152,'2024数据'!$H$3:$H$152,"&gt;="&amp;DATE(2024,2,1),'2024数据'!$H$3:$H$152,"&lt;="&amp;DATE(2024,2,29),'2024数据'!$AS$3:$AS$152,$E338,'2024数据'!$B$3:$B$152,'2024整理'!$E506)/10000</f>
        <v>0</v>
      </c>
      <c r="H532" s="124">
        <f>SUMIFS('2024数据'!$AT$3:$AT$152,'2024数据'!$H$3:$H$152,"&gt;="&amp;DATE(2024,3,1),'2024数据'!$H$3:$H$152,"&lt;="&amp;DATE(2024,3,31),'2024数据'!$AS$3:$AS$152,$E338,'2024数据'!$B$3:$B$152,'2024整理'!$E506)/10000</f>
        <v>0</v>
      </c>
      <c r="I532" s="124">
        <f>SUMIFS('2024数据'!$AT$3:$AT$152,'2024数据'!$H$3:$H$152,"&gt;="&amp;DATE(2024,4,1),'2024数据'!$H$3:$H$152,"&lt;="&amp;DATE(2024,4,30),'2024数据'!$AS$3:$AS$152,$E338,'2024数据'!$B$3:$B$152,'2024整理'!$E506)/10000</f>
        <v>0</v>
      </c>
      <c r="J532" s="124">
        <f>SUMIFS('2024数据'!$AT$3:$AT$152,'2024数据'!$H$3:$H$152,"&gt;="&amp;DATE(2024,5,1),'2024数据'!$H$3:$H$152,"&lt;="&amp;DATE(2024,5,31),'2024数据'!$AS$3:$AS$152,$E338,'2024数据'!$B$3:$B$152,'2024整理'!$E506)/10000</f>
        <v>0</v>
      </c>
      <c r="K532" s="124">
        <f>SUMIFS('2024数据'!$AT$3:$AT$152,'2024数据'!$H$3:$H$152,"&gt;="&amp;DATE(2024,6,1),'2024数据'!$H$3:$H$152,"&lt;="&amp;DATE(2024,6,30),'2024数据'!$AS$3:$AS$152,$E338,'2024数据'!$B$3:$B$152,'2024整理'!$E506)/10000</f>
        <v>0</v>
      </c>
      <c r="L532" s="124">
        <f>SUMIFS('2024数据'!$AT$3:$AT$152,'2024数据'!$H$3:$H$152,"&gt;="&amp;DATE(2024,7,1),'2024数据'!$H$3:$H$152,"&lt;="&amp;DATE(2024,7,31),'2024数据'!$AS$3:$AS$152,$E338,'2024数据'!$B$3:$B$152,'2024整理'!$E506)/10000</f>
        <v>0</v>
      </c>
      <c r="M532" s="124">
        <f>SUMIFS('2024数据'!$AT$3:$AT$152,'2024数据'!$H$3:$H$152,"&gt;="&amp;DATE(2024,8,1),'2024数据'!$H$3:$H$152,"&lt;="&amp;DATE(2024,8,31),'2024数据'!$AS$3:$AS$152,$E338,'2024数据'!$B$3:$B$152,'2024整理'!$E506)/10000</f>
        <v>0</v>
      </c>
      <c r="N532" s="124">
        <f>SUMIFS('2024数据'!$AT$3:$AT$152,'2024数据'!$H$3:$H$152,"&gt;="&amp;DATE(2024,9,1),'2024数据'!$H$3:$H$152,"&lt;="&amp;DATE(2024,9,30),'2024数据'!$AS$3:$AS$152,$E338,'2024数据'!$B$3:$B$152,'2024整理'!$E506)/10000</f>
        <v>0</v>
      </c>
      <c r="O532" s="124">
        <f>SUMIFS('2024数据'!$AT$3:$AT$152,'2024数据'!$H$3:$H$152,"&gt;="&amp;DATE(2024,10,1),'2024数据'!$H$3:$H$152,"&lt;="&amp;DATE(2024,10,31),'2024数据'!$AS$3:$AS$152,$E338,'2024数据'!$B$3:$B$152,'2024整理'!$E506)/10000</f>
        <v>0</v>
      </c>
      <c r="P532" s="124">
        <f>SUMIFS('2024数据'!$AT$3:$AT$152,'2024数据'!$H$3:$H$152,"&gt;="&amp;DATE(2024,11,1),'2024数据'!$H$3:$H$152,"&lt;="&amp;DATE(2024,11,30),'2024数据'!$AS$3:$AS$152,$E338,'2024数据'!$B$3:$B$152,'2024整理'!$E506)/10000</f>
        <v>0</v>
      </c>
      <c r="Q532" s="124">
        <f>SUMIFS('2024数据'!$AT$3:$AT$152,'2024数据'!$H$3:$H$152,"&gt;="&amp;DATE(2024,12,1),'2024数据'!$H$3:$H$152,"&lt;="&amp;DATE(2024,12,31),'2024数据'!$AS$3:$AS$152,$E338,'2024数据'!$B$3:$B$152,'2024整理'!$E506)/10000</f>
        <v>0</v>
      </c>
    </row>
    <row r="533" ht="24" customHeight="1" spans="1:17">
      <c r="A533" s="99" t="s">
        <v>345</v>
      </c>
      <c r="B533" s="99" t="s">
        <v>299</v>
      </c>
      <c r="C533" s="99" t="s">
        <v>336</v>
      </c>
      <c r="D533" s="122" t="s">
        <v>304</v>
      </c>
      <c r="E533" s="122" t="s">
        <v>96</v>
      </c>
      <c r="F533" s="124">
        <f>SUMIFS('2024数据'!$AT$3:$AT$152,'2024数据'!$H$3:$H$152,"&gt;="&amp;DATE(2024,1,1),'2024数据'!$H$3:$H$152,"&lt;="&amp;DATE(2024,1,31),'2024数据'!$AS$3:$AS$152,$E338,'2024数据'!$B$3:$B$152,'2024整理'!$E507)/10000</f>
        <v>0</v>
      </c>
      <c r="G533" s="124">
        <f>SUMIFS('2024数据'!$AT$3:$AT$152,'2024数据'!$H$3:$H$152,"&gt;="&amp;DATE(2024,2,1),'2024数据'!$H$3:$H$152,"&lt;="&amp;DATE(2024,2,29),'2024数据'!$AS$3:$AS$152,$E338,'2024数据'!$B$3:$B$152,'2024整理'!$E507)/10000</f>
        <v>0</v>
      </c>
      <c r="H533" s="124">
        <f>SUMIFS('2024数据'!$AT$3:$AT$152,'2024数据'!$H$3:$H$152,"&gt;="&amp;DATE(2024,3,1),'2024数据'!$H$3:$H$152,"&lt;="&amp;DATE(2024,3,31),'2024数据'!$AS$3:$AS$152,$E338,'2024数据'!$B$3:$B$152,'2024整理'!$E507)/10000</f>
        <v>0</v>
      </c>
      <c r="I533" s="124">
        <f>SUMIFS('2024数据'!$AT$3:$AT$152,'2024数据'!$H$3:$H$152,"&gt;="&amp;DATE(2024,4,1),'2024数据'!$H$3:$H$152,"&lt;="&amp;DATE(2024,4,30),'2024数据'!$AS$3:$AS$152,$E338,'2024数据'!$B$3:$B$152,'2024整理'!$E507)/10000</f>
        <v>0</v>
      </c>
      <c r="J533" s="124">
        <f>SUMIFS('2024数据'!$AT$3:$AT$152,'2024数据'!$H$3:$H$152,"&gt;="&amp;DATE(2024,5,1),'2024数据'!$H$3:$H$152,"&lt;="&amp;DATE(2024,5,31),'2024数据'!$AS$3:$AS$152,$E338,'2024数据'!$B$3:$B$152,'2024整理'!$E507)/10000</f>
        <v>0.00773999999999978</v>
      </c>
      <c r="K533" s="124">
        <f>SUMIFS('2024数据'!$AT$3:$AT$152,'2024数据'!$H$3:$H$152,"&gt;="&amp;DATE(2024,6,1),'2024数据'!$H$3:$H$152,"&lt;="&amp;DATE(2024,6,30),'2024数据'!$AS$3:$AS$152,$E338,'2024数据'!$B$3:$B$152,'2024整理'!$E507)/10000</f>
        <v>0</v>
      </c>
      <c r="L533" s="124">
        <f>SUMIFS('2024数据'!$AT$3:$AT$152,'2024数据'!$H$3:$H$152,"&gt;="&amp;DATE(2024,7,1),'2024数据'!$H$3:$H$152,"&lt;="&amp;DATE(2024,7,31),'2024数据'!$AS$3:$AS$152,$E338,'2024数据'!$B$3:$B$152,'2024整理'!$E507)/10000</f>
        <v>0</v>
      </c>
      <c r="M533" s="124">
        <f>SUMIFS('2024数据'!$AT$3:$AT$152,'2024数据'!$H$3:$H$152,"&gt;="&amp;DATE(2024,8,1),'2024数据'!$H$3:$H$152,"&lt;="&amp;DATE(2024,8,31),'2024数据'!$AS$3:$AS$152,$E338,'2024数据'!$B$3:$B$152,'2024整理'!$E507)/10000</f>
        <v>0</v>
      </c>
      <c r="N533" s="124">
        <f>SUMIFS('2024数据'!$AT$3:$AT$152,'2024数据'!$H$3:$H$152,"&gt;="&amp;DATE(2024,9,1),'2024数据'!$H$3:$H$152,"&lt;="&amp;DATE(2024,9,30),'2024数据'!$AS$3:$AS$152,$E338,'2024数据'!$B$3:$B$152,'2024整理'!$E507)/10000</f>
        <v>0</v>
      </c>
      <c r="O533" s="124">
        <f>SUMIFS('2024数据'!$AT$3:$AT$152,'2024数据'!$H$3:$H$152,"&gt;="&amp;DATE(2024,10,1),'2024数据'!$H$3:$H$152,"&lt;="&amp;DATE(2024,10,31),'2024数据'!$AS$3:$AS$152,$E338,'2024数据'!$B$3:$B$152,'2024整理'!$E507)/10000</f>
        <v>0</v>
      </c>
      <c r="P533" s="124">
        <f>SUMIFS('2024数据'!$AT$3:$AT$152,'2024数据'!$H$3:$H$152,"&gt;="&amp;DATE(2024,11,1),'2024数据'!$H$3:$H$152,"&lt;="&amp;DATE(2024,11,30),'2024数据'!$AS$3:$AS$152,$E338,'2024数据'!$B$3:$B$152,'2024整理'!$E507)/10000</f>
        <v>0</v>
      </c>
      <c r="Q533" s="124">
        <f>SUMIFS('2024数据'!$AT$3:$AT$152,'2024数据'!$H$3:$H$152,"&gt;="&amp;DATE(2024,12,1),'2024数据'!$H$3:$H$152,"&lt;="&amp;DATE(2024,12,31),'2024数据'!$AS$3:$AS$152,$E338,'2024数据'!$B$3:$B$152,'2024整理'!$E507)/10000</f>
        <v>0</v>
      </c>
    </row>
    <row r="534" ht="24" customHeight="1" spans="1:17">
      <c r="A534" s="99" t="s">
        <v>345</v>
      </c>
      <c r="B534" s="99" t="s">
        <v>299</v>
      </c>
      <c r="C534" s="99" t="s">
        <v>336</v>
      </c>
      <c r="D534" s="122" t="s">
        <v>304</v>
      </c>
      <c r="E534" s="122" t="s">
        <v>160</v>
      </c>
      <c r="F534" s="124">
        <f t="shared" ref="F534:Q534" si="368">F523-SUM(F530:F533)</f>
        <v>0</v>
      </c>
      <c r="G534" s="124">
        <f t="shared" si="368"/>
        <v>0</v>
      </c>
      <c r="H534" s="124">
        <f t="shared" si="368"/>
        <v>0</v>
      </c>
      <c r="I534" s="124">
        <f t="shared" si="368"/>
        <v>0</v>
      </c>
      <c r="J534" s="124">
        <f t="shared" si="368"/>
        <v>0</v>
      </c>
      <c r="K534" s="124">
        <f t="shared" si="368"/>
        <v>0</v>
      </c>
      <c r="L534" s="124">
        <f t="shared" si="368"/>
        <v>0</v>
      </c>
      <c r="M534" s="124">
        <f t="shared" si="368"/>
        <v>0</v>
      </c>
      <c r="N534" s="124">
        <f t="shared" si="368"/>
        <v>0</v>
      </c>
      <c r="O534" s="124">
        <f t="shared" si="368"/>
        <v>0</v>
      </c>
      <c r="P534" s="124">
        <f t="shared" si="368"/>
        <v>0</v>
      </c>
      <c r="Q534" s="124">
        <f t="shared" si="368"/>
        <v>0</v>
      </c>
    </row>
    <row r="535" ht="24" customHeight="1" spans="1:17">
      <c r="A535" s="99" t="s">
        <v>345</v>
      </c>
      <c r="B535" s="99" t="s">
        <v>299</v>
      </c>
      <c r="C535" s="99" t="s">
        <v>343</v>
      </c>
      <c r="D535" s="114" t="s">
        <v>292</v>
      </c>
      <c r="E535" s="114" t="s">
        <v>320</v>
      </c>
      <c r="F535" s="120">
        <f t="shared" ref="F535:Q535" si="369">IF(SUM(F536:F541)&lt;&gt;SUM(F548:F552),"ERR",SUM(F536:F541))</f>
        <v>3.591092</v>
      </c>
      <c r="G535" s="120">
        <f t="shared" si="369"/>
        <v>4.371291</v>
      </c>
      <c r="H535" s="120">
        <f t="shared" si="369"/>
        <v>4.371291</v>
      </c>
      <c r="I535" s="120">
        <f t="shared" si="369"/>
        <v>4.995325</v>
      </c>
      <c r="J535" s="120">
        <f t="shared" si="369"/>
        <v>9.945236</v>
      </c>
      <c r="K535" s="120">
        <f t="shared" si="369"/>
        <v>9.945236</v>
      </c>
      <c r="L535" s="120">
        <f t="shared" si="369"/>
        <v>11.837492</v>
      </c>
      <c r="M535" s="120">
        <f t="shared" si="369"/>
        <v>13.781318</v>
      </c>
      <c r="N535" s="120">
        <f t="shared" si="369"/>
        <v>13.781318</v>
      </c>
      <c r="O535" s="120">
        <f t="shared" si="369"/>
        <v>21.651803</v>
      </c>
      <c r="P535" s="120">
        <f t="shared" si="369"/>
        <v>21.79813</v>
      </c>
      <c r="Q535" s="120">
        <f t="shared" si="369"/>
        <v>25.88843</v>
      </c>
    </row>
    <row r="536" ht="24" customHeight="1" spans="1:17">
      <c r="A536" s="99" t="s">
        <v>345</v>
      </c>
      <c r="B536" s="99" t="s">
        <v>299</v>
      </c>
      <c r="C536" s="99" t="s">
        <v>343</v>
      </c>
      <c r="D536" s="48" t="s">
        <v>31</v>
      </c>
      <c r="E536" s="48" t="s">
        <v>406</v>
      </c>
      <c r="F536" s="121">
        <f t="shared" ref="F536:F541" si="370">F486</f>
        <v>0.862777</v>
      </c>
      <c r="G536" s="121">
        <f t="shared" ref="G536:Q536" si="371">F536+G486</f>
        <v>0.862777</v>
      </c>
      <c r="H536" s="121">
        <f t="shared" si="371"/>
        <v>0.862777</v>
      </c>
      <c r="I536" s="121">
        <f t="shared" si="371"/>
        <v>0.862777</v>
      </c>
      <c r="J536" s="121">
        <f t="shared" si="371"/>
        <v>3.10601</v>
      </c>
      <c r="K536" s="121">
        <f t="shared" si="371"/>
        <v>3.10601</v>
      </c>
      <c r="L536" s="121">
        <f t="shared" si="371"/>
        <v>4.998266</v>
      </c>
      <c r="M536" s="121">
        <f t="shared" si="371"/>
        <v>6.942092</v>
      </c>
      <c r="N536" s="121">
        <f t="shared" si="371"/>
        <v>6.942092</v>
      </c>
      <c r="O536" s="121">
        <f t="shared" si="371"/>
        <v>6.942092</v>
      </c>
      <c r="P536" s="121">
        <f t="shared" si="371"/>
        <v>6.942092</v>
      </c>
      <c r="Q536" s="121">
        <f t="shared" si="371"/>
        <v>6.942092</v>
      </c>
    </row>
    <row r="537" ht="24" customHeight="1" spans="1:17">
      <c r="A537" s="99" t="s">
        <v>345</v>
      </c>
      <c r="B537" s="99" t="s">
        <v>299</v>
      </c>
      <c r="C537" s="99" t="s">
        <v>343</v>
      </c>
      <c r="D537" s="48" t="s">
        <v>31</v>
      </c>
      <c r="E537" s="48" t="s">
        <v>82</v>
      </c>
      <c r="F537" s="121">
        <f t="shared" si="370"/>
        <v>0</v>
      </c>
      <c r="G537" s="121">
        <f t="shared" ref="G537:Q537" si="372">F537+G487</f>
        <v>0</v>
      </c>
      <c r="H537" s="121">
        <f t="shared" si="372"/>
        <v>0</v>
      </c>
      <c r="I537" s="121">
        <f t="shared" si="372"/>
        <v>0</v>
      </c>
      <c r="J537" s="121">
        <f t="shared" si="372"/>
        <v>0</v>
      </c>
      <c r="K537" s="121">
        <f t="shared" si="372"/>
        <v>0</v>
      </c>
      <c r="L537" s="121">
        <f t="shared" si="372"/>
        <v>0</v>
      </c>
      <c r="M537" s="121">
        <f t="shared" si="372"/>
        <v>0</v>
      </c>
      <c r="N537" s="121">
        <f t="shared" si="372"/>
        <v>0</v>
      </c>
      <c r="O537" s="121">
        <f t="shared" si="372"/>
        <v>7.870485</v>
      </c>
      <c r="P537" s="121">
        <f t="shared" si="372"/>
        <v>7.870485</v>
      </c>
      <c r="Q537" s="121">
        <f t="shared" si="372"/>
        <v>7.870485</v>
      </c>
    </row>
    <row r="538" ht="24" customHeight="1" spans="1:17">
      <c r="A538" s="99" t="s">
        <v>345</v>
      </c>
      <c r="B538" s="99" t="s">
        <v>299</v>
      </c>
      <c r="C538" s="99" t="s">
        <v>343</v>
      </c>
      <c r="D538" s="48" t="s">
        <v>31</v>
      </c>
      <c r="E538" s="48" t="s">
        <v>86</v>
      </c>
      <c r="F538" s="121">
        <f t="shared" si="370"/>
        <v>0</v>
      </c>
      <c r="G538" s="121">
        <f t="shared" ref="G538:Q538" si="373">F538+G488</f>
        <v>0.780199</v>
      </c>
      <c r="H538" s="121">
        <f t="shared" si="373"/>
        <v>0.780199</v>
      </c>
      <c r="I538" s="121">
        <f t="shared" si="373"/>
        <v>0.780199</v>
      </c>
      <c r="J538" s="121">
        <f t="shared" si="373"/>
        <v>0.780199</v>
      </c>
      <c r="K538" s="121">
        <f t="shared" si="373"/>
        <v>0.780199</v>
      </c>
      <c r="L538" s="121">
        <f t="shared" si="373"/>
        <v>0.780199</v>
      </c>
      <c r="M538" s="121">
        <f t="shared" si="373"/>
        <v>0.780199</v>
      </c>
      <c r="N538" s="121">
        <f t="shared" si="373"/>
        <v>0.780199</v>
      </c>
      <c r="O538" s="121">
        <f t="shared" si="373"/>
        <v>0.780199</v>
      </c>
      <c r="P538" s="121">
        <f t="shared" si="373"/>
        <v>0.780199</v>
      </c>
      <c r="Q538" s="121">
        <f t="shared" si="373"/>
        <v>0.780199</v>
      </c>
    </row>
    <row r="539" ht="24" customHeight="1" spans="1:17">
      <c r="A539" s="99" t="s">
        <v>345</v>
      </c>
      <c r="B539" s="99" t="s">
        <v>299</v>
      </c>
      <c r="C539" s="99" t="s">
        <v>343</v>
      </c>
      <c r="D539" s="48" t="s">
        <v>31</v>
      </c>
      <c r="E539" s="48" t="s">
        <v>97</v>
      </c>
      <c r="F539" s="121">
        <f t="shared" si="370"/>
        <v>2.728315</v>
      </c>
      <c r="G539" s="121">
        <f t="shared" ref="G539:Q539" si="374">F539+G489</f>
        <v>2.728315</v>
      </c>
      <c r="H539" s="121">
        <f t="shared" si="374"/>
        <v>2.728315</v>
      </c>
      <c r="I539" s="121">
        <f t="shared" si="374"/>
        <v>2.728315</v>
      </c>
      <c r="J539" s="121">
        <f t="shared" si="374"/>
        <v>2.728315</v>
      </c>
      <c r="K539" s="121">
        <f t="shared" si="374"/>
        <v>2.728315</v>
      </c>
      <c r="L539" s="121">
        <f t="shared" si="374"/>
        <v>2.728315</v>
      </c>
      <c r="M539" s="121">
        <f t="shared" si="374"/>
        <v>2.728315</v>
      </c>
      <c r="N539" s="121">
        <f t="shared" si="374"/>
        <v>2.728315</v>
      </c>
      <c r="O539" s="121">
        <f t="shared" si="374"/>
        <v>2.728315</v>
      </c>
      <c r="P539" s="121">
        <f t="shared" si="374"/>
        <v>2.874642</v>
      </c>
      <c r="Q539" s="121">
        <f t="shared" si="374"/>
        <v>6.964942</v>
      </c>
    </row>
    <row r="540" ht="24" customHeight="1" spans="1:17">
      <c r="A540" s="99" t="s">
        <v>345</v>
      </c>
      <c r="B540" s="99" t="s">
        <v>299</v>
      </c>
      <c r="C540" s="99" t="s">
        <v>343</v>
      </c>
      <c r="D540" s="48" t="s">
        <v>31</v>
      </c>
      <c r="E540" s="48" t="s">
        <v>87</v>
      </c>
      <c r="F540" s="121">
        <f t="shared" si="370"/>
        <v>0</v>
      </c>
      <c r="G540" s="121">
        <f t="shared" ref="G540:Q540" si="375">F540+G490</f>
        <v>0</v>
      </c>
      <c r="H540" s="121">
        <f t="shared" si="375"/>
        <v>0</v>
      </c>
      <c r="I540" s="121">
        <f t="shared" si="375"/>
        <v>0</v>
      </c>
      <c r="J540" s="121">
        <f t="shared" si="375"/>
        <v>2.706678</v>
      </c>
      <c r="K540" s="121">
        <f t="shared" si="375"/>
        <v>2.706678</v>
      </c>
      <c r="L540" s="121">
        <f t="shared" si="375"/>
        <v>2.706678</v>
      </c>
      <c r="M540" s="121">
        <f t="shared" si="375"/>
        <v>2.706678</v>
      </c>
      <c r="N540" s="121">
        <f t="shared" si="375"/>
        <v>2.706678</v>
      </c>
      <c r="O540" s="121">
        <f t="shared" si="375"/>
        <v>2.706678</v>
      </c>
      <c r="P540" s="121">
        <f t="shared" si="375"/>
        <v>2.706678</v>
      </c>
      <c r="Q540" s="121">
        <f t="shared" si="375"/>
        <v>2.706678</v>
      </c>
    </row>
    <row r="541" ht="24" customHeight="1" spans="1:17">
      <c r="A541" s="99" t="s">
        <v>345</v>
      </c>
      <c r="B541" s="99" t="s">
        <v>299</v>
      </c>
      <c r="C541" s="99" t="s">
        <v>343</v>
      </c>
      <c r="D541" s="48" t="s">
        <v>31</v>
      </c>
      <c r="E541" s="48" t="s">
        <v>83</v>
      </c>
      <c r="F541" s="121">
        <f t="shared" si="370"/>
        <v>0</v>
      </c>
      <c r="G541" s="121">
        <f t="shared" ref="G541:Q541" si="376">F541+G491</f>
        <v>0</v>
      </c>
      <c r="H541" s="121">
        <f t="shared" si="376"/>
        <v>0</v>
      </c>
      <c r="I541" s="121">
        <f t="shared" si="376"/>
        <v>0.624034</v>
      </c>
      <c r="J541" s="121">
        <f t="shared" si="376"/>
        <v>0.624034</v>
      </c>
      <c r="K541" s="121">
        <f t="shared" si="376"/>
        <v>0.624034</v>
      </c>
      <c r="L541" s="121">
        <f t="shared" si="376"/>
        <v>0.624034</v>
      </c>
      <c r="M541" s="121">
        <f t="shared" si="376"/>
        <v>0.624034</v>
      </c>
      <c r="N541" s="121">
        <f t="shared" si="376"/>
        <v>0.624034</v>
      </c>
      <c r="O541" s="121">
        <f t="shared" si="376"/>
        <v>0.624034</v>
      </c>
      <c r="P541" s="121">
        <f t="shared" si="376"/>
        <v>0.624034</v>
      </c>
      <c r="Q541" s="121">
        <f t="shared" si="376"/>
        <v>0.624034</v>
      </c>
    </row>
    <row r="542" ht="24" customHeight="1" spans="1:17">
      <c r="A542" s="99" t="s">
        <v>345</v>
      </c>
      <c r="B542" s="99" t="s">
        <v>299</v>
      </c>
      <c r="C542" s="99" t="s">
        <v>343</v>
      </c>
      <c r="D542" s="48" t="s">
        <v>321</v>
      </c>
      <c r="E542" s="48" t="s">
        <v>406</v>
      </c>
      <c r="F542" s="112">
        <f t="shared" ref="F542:Q542" si="377">IFERROR(F536/F535,"-")</f>
        <v>0.240254774870708</v>
      </c>
      <c r="G542" s="112">
        <f t="shared" si="377"/>
        <v>0.197373499041816</v>
      </c>
      <c r="H542" s="112">
        <f t="shared" si="377"/>
        <v>0.197373499041816</v>
      </c>
      <c r="I542" s="112">
        <f t="shared" si="377"/>
        <v>0.172716890292423</v>
      </c>
      <c r="J542" s="112">
        <f t="shared" si="377"/>
        <v>0.312311341832411</v>
      </c>
      <c r="K542" s="112">
        <f t="shared" si="377"/>
        <v>0.312311341832411</v>
      </c>
      <c r="L542" s="112">
        <f t="shared" si="377"/>
        <v>0.422240285357743</v>
      </c>
      <c r="M542" s="112">
        <f t="shared" si="377"/>
        <v>0.503732081358256</v>
      </c>
      <c r="N542" s="112">
        <f t="shared" si="377"/>
        <v>0.503732081358256</v>
      </c>
      <c r="O542" s="112">
        <f t="shared" si="377"/>
        <v>0.320624199287237</v>
      </c>
      <c r="P542" s="112">
        <f t="shared" si="377"/>
        <v>0.318471905617592</v>
      </c>
      <c r="Q542" s="112">
        <f t="shared" si="377"/>
        <v>0.268154229514884</v>
      </c>
    </row>
    <row r="543" ht="24" customHeight="1" spans="1:17">
      <c r="A543" s="99" t="s">
        <v>345</v>
      </c>
      <c r="B543" s="99" t="s">
        <v>299</v>
      </c>
      <c r="C543" s="99" t="s">
        <v>343</v>
      </c>
      <c r="D543" s="48" t="s">
        <v>321</v>
      </c>
      <c r="E543" s="48" t="s">
        <v>82</v>
      </c>
      <c r="F543" s="112">
        <f t="shared" ref="F543:Q543" si="378">IFERROR(F537/F535,"-")</f>
        <v>0</v>
      </c>
      <c r="G543" s="112">
        <f t="shared" si="378"/>
        <v>0</v>
      </c>
      <c r="H543" s="112">
        <f t="shared" si="378"/>
        <v>0</v>
      </c>
      <c r="I543" s="112">
        <f t="shared" si="378"/>
        <v>0</v>
      </c>
      <c r="J543" s="112">
        <f t="shared" si="378"/>
        <v>0</v>
      </c>
      <c r="K543" s="112">
        <f t="shared" si="378"/>
        <v>0</v>
      </c>
      <c r="L543" s="112">
        <f t="shared" si="378"/>
        <v>0</v>
      </c>
      <c r="M543" s="112">
        <f t="shared" si="378"/>
        <v>0</v>
      </c>
      <c r="N543" s="112">
        <f t="shared" si="378"/>
        <v>0</v>
      </c>
      <c r="O543" s="112">
        <f t="shared" si="378"/>
        <v>0.363502522168708</v>
      </c>
      <c r="P543" s="112">
        <f t="shared" si="378"/>
        <v>0.361062393884246</v>
      </c>
      <c r="Q543" s="112">
        <f t="shared" si="378"/>
        <v>0.30401553898788</v>
      </c>
    </row>
    <row r="544" ht="24" customHeight="1" spans="1:17">
      <c r="A544" s="99" t="s">
        <v>345</v>
      </c>
      <c r="B544" s="99" t="s">
        <v>299</v>
      </c>
      <c r="C544" s="99" t="s">
        <v>343</v>
      </c>
      <c r="D544" s="48" t="s">
        <v>321</v>
      </c>
      <c r="E544" s="48" t="s">
        <v>86</v>
      </c>
      <c r="F544" s="112">
        <f t="shared" ref="F544:Q544" si="379">IFERROR(F538/F535,"-")</f>
        <v>0</v>
      </c>
      <c r="G544" s="112">
        <f t="shared" si="379"/>
        <v>0.178482512374491</v>
      </c>
      <c r="H544" s="112">
        <f t="shared" si="379"/>
        <v>0.178482512374491</v>
      </c>
      <c r="I544" s="112">
        <f t="shared" si="379"/>
        <v>0.15618583375456</v>
      </c>
      <c r="J544" s="112">
        <f t="shared" si="379"/>
        <v>0.0784495209565665</v>
      </c>
      <c r="K544" s="112">
        <f t="shared" si="379"/>
        <v>0.0784495209565665</v>
      </c>
      <c r="L544" s="112">
        <f t="shared" si="379"/>
        <v>0.0659091469713348</v>
      </c>
      <c r="M544" s="112">
        <f t="shared" si="379"/>
        <v>0.0566128000239164</v>
      </c>
      <c r="N544" s="112">
        <f t="shared" si="379"/>
        <v>0.0566128000239164</v>
      </c>
      <c r="O544" s="112">
        <f t="shared" si="379"/>
        <v>0.0360339044281901</v>
      </c>
      <c r="P544" s="112">
        <f t="shared" si="379"/>
        <v>0.0357920151866238</v>
      </c>
      <c r="Q544" s="112">
        <f t="shared" si="379"/>
        <v>0.0301369762476906</v>
      </c>
    </row>
    <row r="545" ht="24" customHeight="1" spans="1:17">
      <c r="A545" s="99" t="s">
        <v>345</v>
      </c>
      <c r="B545" s="99" t="s">
        <v>299</v>
      </c>
      <c r="C545" s="99" t="s">
        <v>343</v>
      </c>
      <c r="D545" s="48" t="s">
        <v>321</v>
      </c>
      <c r="E545" s="48" t="s">
        <v>97</v>
      </c>
      <c r="F545" s="112">
        <f t="shared" ref="F545:Q545" si="380">IFERROR(F539/F535,"-")</f>
        <v>0.759745225129292</v>
      </c>
      <c r="G545" s="112">
        <f t="shared" si="380"/>
        <v>0.624143988583693</v>
      </c>
      <c r="H545" s="112">
        <f t="shared" si="380"/>
        <v>0.624143988583693</v>
      </c>
      <c r="I545" s="112">
        <f t="shared" si="380"/>
        <v>0.546173672383679</v>
      </c>
      <c r="J545" s="112">
        <f t="shared" si="380"/>
        <v>0.274333861961647</v>
      </c>
      <c r="K545" s="112">
        <f t="shared" si="380"/>
        <v>0.274333861961647</v>
      </c>
      <c r="L545" s="112">
        <f t="shared" si="380"/>
        <v>0.230480831581555</v>
      </c>
      <c r="M545" s="112">
        <f t="shared" si="380"/>
        <v>0.19797199368014</v>
      </c>
      <c r="N545" s="112">
        <f t="shared" si="380"/>
        <v>0.19797199368014</v>
      </c>
      <c r="O545" s="112">
        <f t="shared" si="380"/>
        <v>0.126008674658642</v>
      </c>
      <c r="P545" s="112">
        <f t="shared" si="380"/>
        <v>0.131875624193451</v>
      </c>
      <c r="Q545" s="112">
        <f t="shared" si="380"/>
        <v>0.269036863185601</v>
      </c>
    </row>
    <row r="546" ht="24" customHeight="1" spans="1:17">
      <c r="A546" s="99" t="s">
        <v>345</v>
      </c>
      <c r="B546" s="99" t="s">
        <v>299</v>
      </c>
      <c r="C546" s="99" t="s">
        <v>343</v>
      </c>
      <c r="D546" s="48" t="s">
        <v>321</v>
      </c>
      <c r="E546" s="48" t="s">
        <v>87</v>
      </c>
      <c r="F546" s="112">
        <f t="shared" ref="F546:Q546" si="381">IFERROR(F540/F535,"-")</f>
        <v>0</v>
      </c>
      <c r="G546" s="112">
        <f t="shared" si="381"/>
        <v>0</v>
      </c>
      <c r="H546" s="112">
        <f t="shared" si="381"/>
        <v>0</v>
      </c>
      <c r="I546" s="112">
        <f t="shared" si="381"/>
        <v>0</v>
      </c>
      <c r="J546" s="112">
        <f t="shared" si="381"/>
        <v>0.272158247426205</v>
      </c>
      <c r="K546" s="112">
        <f t="shared" si="381"/>
        <v>0.272158247426205</v>
      </c>
      <c r="L546" s="112">
        <f t="shared" si="381"/>
        <v>0.228652995076998</v>
      </c>
      <c r="M546" s="112">
        <f t="shared" si="381"/>
        <v>0.196401969680984</v>
      </c>
      <c r="N546" s="112">
        <f t="shared" si="381"/>
        <v>0.196401969680984</v>
      </c>
      <c r="O546" s="112">
        <f t="shared" si="381"/>
        <v>0.125009358343044</v>
      </c>
      <c r="P546" s="112">
        <f t="shared" si="381"/>
        <v>0.12417019258074</v>
      </c>
      <c r="Q546" s="112">
        <f t="shared" si="381"/>
        <v>0.104551647203017</v>
      </c>
    </row>
    <row r="547" ht="24" customHeight="1" spans="1:17">
      <c r="A547" s="99" t="s">
        <v>345</v>
      </c>
      <c r="B547" s="99" t="s">
        <v>299</v>
      </c>
      <c r="C547" s="99" t="s">
        <v>343</v>
      </c>
      <c r="D547" s="48" t="s">
        <v>321</v>
      </c>
      <c r="E547" s="48" t="s">
        <v>83</v>
      </c>
      <c r="F547" s="112">
        <f t="shared" ref="F547:Q547" si="382">IFERROR(F541/F535,"-")</f>
        <v>0</v>
      </c>
      <c r="G547" s="112">
        <f t="shared" si="382"/>
        <v>0</v>
      </c>
      <c r="H547" s="112">
        <f t="shared" si="382"/>
        <v>0</v>
      </c>
      <c r="I547" s="112">
        <f t="shared" si="382"/>
        <v>0.124923603569337</v>
      </c>
      <c r="J547" s="112">
        <f t="shared" si="382"/>
        <v>0.0627470278231708</v>
      </c>
      <c r="K547" s="112">
        <f t="shared" si="382"/>
        <v>0.0627470278231708</v>
      </c>
      <c r="L547" s="112">
        <f t="shared" si="382"/>
        <v>0.0527167410123699</v>
      </c>
      <c r="M547" s="112">
        <f t="shared" si="382"/>
        <v>0.0452811552567033</v>
      </c>
      <c r="N547" s="112">
        <f t="shared" si="382"/>
        <v>0.0452811552567033</v>
      </c>
      <c r="O547" s="112">
        <f t="shared" si="382"/>
        <v>0.0288213411141788</v>
      </c>
      <c r="P547" s="112">
        <f t="shared" si="382"/>
        <v>0.028627868537347</v>
      </c>
      <c r="Q547" s="112">
        <f t="shared" si="382"/>
        <v>0.0241047448609282</v>
      </c>
    </row>
    <row r="548" ht="24" customHeight="1" spans="1:17">
      <c r="A548" s="99" t="s">
        <v>345</v>
      </c>
      <c r="B548" s="99" t="s">
        <v>299</v>
      </c>
      <c r="C548" s="99" t="s">
        <v>343</v>
      </c>
      <c r="D548" s="47" t="s">
        <v>294</v>
      </c>
      <c r="E548" s="47" t="s">
        <v>93</v>
      </c>
      <c r="F548" s="125">
        <f t="shared" ref="F548:F552" si="383">F492</f>
        <v>2.728315</v>
      </c>
      <c r="G548" s="125">
        <f t="shared" ref="G548:Q548" si="384">F548+G492</f>
        <v>3.508514</v>
      </c>
      <c r="H548" s="125">
        <f t="shared" si="384"/>
        <v>3.508514</v>
      </c>
      <c r="I548" s="125">
        <f t="shared" si="384"/>
        <v>3.508514</v>
      </c>
      <c r="J548" s="125">
        <f t="shared" si="384"/>
        <v>3.508514</v>
      </c>
      <c r="K548" s="125">
        <f t="shared" si="384"/>
        <v>3.508514</v>
      </c>
      <c r="L548" s="125">
        <f t="shared" si="384"/>
        <v>3.508514</v>
      </c>
      <c r="M548" s="125">
        <f t="shared" si="384"/>
        <v>3.508514</v>
      </c>
      <c r="N548" s="125">
        <f t="shared" si="384"/>
        <v>3.508514</v>
      </c>
      <c r="O548" s="125">
        <f t="shared" si="384"/>
        <v>11.378999</v>
      </c>
      <c r="P548" s="125">
        <f t="shared" si="384"/>
        <v>11.378999</v>
      </c>
      <c r="Q548" s="125">
        <f t="shared" si="384"/>
        <v>15.469299</v>
      </c>
    </row>
    <row r="549" ht="24" customHeight="1" spans="1:17">
      <c r="A549" s="99" t="s">
        <v>345</v>
      </c>
      <c r="B549" s="99" t="s">
        <v>299</v>
      </c>
      <c r="C549" s="99" t="s">
        <v>343</v>
      </c>
      <c r="D549" s="47" t="s">
        <v>294</v>
      </c>
      <c r="E549" s="47" t="s">
        <v>85</v>
      </c>
      <c r="F549" s="125">
        <f t="shared" si="383"/>
        <v>0</v>
      </c>
      <c r="G549" s="125">
        <f t="shared" ref="G549:Q549" si="385">F549+G493</f>
        <v>0</v>
      </c>
      <c r="H549" s="125">
        <f t="shared" si="385"/>
        <v>0</v>
      </c>
      <c r="I549" s="125">
        <f t="shared" si="385"/>
        <v>0</v>
      </c>
      <c r="J549" s="125">
        <f t="shared" si="385"/>
        <v>1.750338</v>
      </c>
      <c r="K549" s="125">
        <f t="shared" si="385"/>
        <v>1.750338</v>
      </c>
      <c r="L549" s="125">
        <f t="shared" si="385"/>
        <v>1.750338</v>
      </c>
      <c r="M549" s="125">
        <f t="shared" si="385"/>
        <v>1.750338</v>
      </c>
      <c r="N549" s="125">
        <f t="shared" si="385"/>
        <v>1.750338</v>
      </c>
      <c r="O549" s="125">
        <f t="shared" si="385"/>
        <v>1.750338</v>
      </c>
      <c r="P549" s="125">
        <f t="shared" si="385"/>
        <v>1.750338</v>
      </c>
      <c r="Q549" s="125">
        <f t="shared" si="385"/>
        <v>1.750338</v>
      </c>
    </row>
    <row r="550" ht="24" customHeight="1" spans="1:17">
      <c r="A550" s="99" t="s">
        <v>345</v>
      </c>
      <c r="B550" s="99" t="s">
        <v>299</v>
      </c>
      <c r="C550" s="99" t="s">
        <v>343</v>
      </c>
      <c r="D550" s="47" t="s">
        <v>294</v>
      </c>
      <c r="E550" s="47" t="s">
        <v>81</v>
      </c>
      <c r="F550" s="125">
        <f t="shared" si="383"/>
        <v>0.862777</v>
      </c>
      <c r="G550" s="125">
        <f t="shared" ref="G550:Q550" si="386">F550+G494</f>
        <v>0.862777</v>
      </c>
      <c r="H550" s="125">
        <f t="shared" si="386"/>
        <v>0.862777</v>
      </c>
      <c r="I550" s="125">
        <f t="shared" si="386"/>
        <v>0.862777</v>
      </c>
      <c r="J550" s="125">
        <f t="shared" si="386"/>
        <v>1.355672</v>
      </c>
      <c r="K550" s="125">
        <f t="shared" si="386"/>
        <v>1.355672</v>
      </c>
      <c r="L550" s="125">
        <f t="shared" si="386"/>
        <v>1.355672</v>
      </c>
      <c r="M550" s="125">
        <f t="shared" si="386"/>
        <v>3.299498</v>
      </c>
      <c r="N550" s="125">
        <f t="shared" si="386"/>
        <v>3.299498</v>
      </c>
      <c r="O550" s="125">
        <f t="shared" si="386"/>
        <v>3.299498</v>
      </c>
      <c r="P550" s="125">
        <f t="shared" si="386"/>
        <v>3.445825</v>
      </c>
      <c r="Q550" s="125">
        <f t="shared" si="386"/>
        <v>3.445825</v>
      </c>
    </row>
    <row r="551" ht="24" customHeight="1" spans="1:17">
      <c r="A551" s="99" t="s">
        <v>345</v>
      </c>
      <c r="B551" s="99" t="s">
        <v>299</v>
      </c>
      <c r="C551" s="99" t="s">
        <v>343</v>
      </c>
      <c r="D551" s="47" t="s">
        <v>294</v>
      </c>
      <c r="E551" s="47" t="s">
        <v>96</v>
      </c>
      <c r="F551" s="125">
        <f t="shared" si="383"/>
        <v>0</v>
      </c>
      <c r="G551" s="125">
        <f t="shared" ref="G551:Q551" si="387">F551+G495</f>
        <v>0</v>
      </c>
      <c r="H551" s="125">
        <f t="shared" si="387"/>
        <v>0</v>
      </c>
      <c r="I551" s="125">
        <f t="shared" si="387"/>
        <v>0</v>
      </c>
      <c r="J551" s="125">
        <f t="shared" si="387"/>
        <v>2.706678</v>
      </c>
      <c r="K551" s="125">
        <f t="shared" si="387"/>
        <v>2.706678</v>
      </c>
      <c r="L551" s="125">
        <f t="shared" si="387"/>
        <v>4.598934</v>
      </c>
      <c r="M551" s="125">
        <f t="shared" si="387"/>
        <v>4.598934</v>
      </c>
      <c r="N551" s="125">
        <f t="shared" si="387"/>
        <v>4.598934</v>
      </c>
      <c r="O551" s="125">
        <f t="shared" si="387"/>
        <v>4.598934</v>
      </c>
      <c r="P551" s="125">
        <f t="shared" si="387"/>
        <v>4.598934</v>
      </c>
      <c r="Q551" s="125">
        <f t="shared" si="387"/>
        <v>4.598934</v>
      </c>
    </row>
    <row r="552" ht="24" customHeight="1" spans="1:17">
      <c r="A552" s="99" t="s">
        <v>345</v>
      </c>
      <c r="B552" s="99" t="s">
        <v>299</v>
      </c>
      <c r="C552" s="99" t="s">
        <v>343</v>
      </c>
      <c r="D552" s="47" t="s">
        <v>294</v>
      </c>
      <c r="E552" s="47" t="s">
        <v>160</v>
      </c>
      <c r="F552" s="125">
        <f t="shared" si="383"/>
        <v>0</v>
      </c>
      <c r="G552" s="125">
        <f t="shared" ref="G552:Q552" si="388">F552+G496</f>
        <v>0</v>
      </c>
      <c r="H552" s="125">
        <f t="shared" si="388"/>
        <v>0</v>
      </c>
      <c r="I552" s="125">
        <f t="shared" si="388"/>
        <v>0.624034</v>
      </c>
      <c r="J552" s="125">
        <f t="shared" si="388"/>
        <v>0.624034</v>
      </c>
      <c r="K552" s="125">
        <f t="shared" si="388"/>
        <v>0.624034</v>
      </c>
      <c r="L552" s="125">
        <f t="shared" si="388"/>
        <v>0.624034</v>
      </c>
      <c r="M552" s="125">
        <f t="shared" si="388"/>
        <v>0.624034</v>
      </c>
      <c r="N552" s="125">
        <f t="shared" si="388"/>
        <v>0.624034</v>
      </c>
      <c r="O552" s="125">
        <f t="shared" si="388"/>
        <v>0.624034</v>
      </c>
      <c r="P552" s="125">
        <f t="shared" si="388"/>
        <v>0.624034</v>
      </c>
      <c r="Q552" s="125">
        <f t="shared" si="388"/>
        <v>0.624034</v>
      </c>
    </row>
    <row r="553" ht="24" customHeight="1" spans="1:17">
      <c r="A553" s="99" t="s">
        <v>345</v>
      </c>
      <c r="B553" s="99" t="s">
        <v>299</v>
      </c>
      <c r="C553" s="99" t="s">
        <v>343</v>
      </c>
      <c r="D553" s="47" t="s">
        <v>321</v>
      </c>
      <c r="E553" s="47" t="s">
        <v>93</v>
      </c>
      <c r="F553" s="126">
        <f t="shared" ref="F553:Q553" si="389">IFERROR(F548/F535,"-")</f>
        <v>0.759745225129292</v>
      </c>
      <c r="G553" s="126">
        <f t="shared" si="389"/>
        <v>0.802626500958184</v>
      </c>
      <c r="H553" s="126">
        <f t="shared" si="389"/>
        <v>0.802626500958184</v>
      </c>
      <c r="I553" s="126">
        <f t="shared" si="389"/>
        <v>0.702359506138239</v>
      </c>
      <c r="J553" s="126">
        <f t="shared" si="389"/>
        <v>0.352783382918213</v>
      </c>
      <c r="K553" s="126">
        <f t="shared" si="389"/>
        <v>0.352783382918213</v>
      </c>
      <c r="L553" s="126">
        <f t="shared" si="389"/>
        <v>0.296389978552889</v>
      </c>
      <c r="M553" s="126">
        <f t="shared" si="389"/>
        <v>0.254584793704056</v>
      </c>
      <c r="N553" s="126">
        <f t="shared" si="389"/>
        <v>0.254584793704056</v>
      </c>
      <c r="O553" s="126">
        <f t="shared" si="389"/>
        <v>0.52554510125554</v>
      </c>
      <c r="P553" s="126">
        <f t="shared" si="389"/>
        <v>0.522017209733128</v>
      </c>
      <c r="Q553" s="126">
        <f t="shared" si="389"/>
        <v>0.597537162353994</v>
      </c>
    </row>
    <row r="554" ht="24" customHeight="1" spans="1:17">
      <c r="A554" s="99" t="s">
        <v>345</v>
      </c>
      <c r="B554" s="99" t="s">
        <v>299</v>
      </c>
      <c r="C554" s="99" t="s">
        <v>343</v>
      </c>
      <c r="D554" s="47" t="s">
        <v>321</v>
      </c>
      <c r="E554" s="47" t="s">
        <v>85</v>
      </c>
      <c r="F554" s="126">
        <f t="shared" ref="F554:Q554" si="390">IFERROR(F549/F535,"-")</f>
        <v>0</v>
      </c>
      <c r="G554" s="126">
        <f t="shared" si="390"/>
        <v>0</v>
      </c>
      <c r="H554" s="126">
        <f t="shared" si="390"/>
        <v>0</v>
      </c>
      <c r="I554" s="126">
        <f t="shared" si="390"/>
        <v>0</v>
      </c>
      <c r="J554" s="126">
        <f t="shared" si="390"/>
        <v>0.17599763343977</v>
      </c>
      <c r="K554" s="126">
        <f t="shared" si="390"/>
        <v>0.17599763343977</v>
      </c>
      <c r="L554" s="126">
        <f t="shared" si="390"/>
        <v>0.147863922526833</v>
      </c>
      <c r="M554" s="126">
        <f t="shared" si="390"/>
        <v>0.127008026373094</v>
      </c>
      <c r="N554" s="126">
        <f t="shared" si="390"/>
        <v>0.127008026373094</v>
      </c>
      <c r="O554" s="126">
        <f t="shared" si="390"/>
        <v>0.0808402884508048</v>
      </c>
      <c r="P554" s="126">
        <f t="shared" si="390"/>
        <v>0.0802976218602238</v>
      </c>
      <c r="Q554" s="126">
        <f t="shared" si="390"/>
        <v>0.0676108207411573</v>
      </c>
    </row>
    <row r="555" ht="24" customHeight="1" spans="1:17">
      <c r="A555" s="99" t="s">
        <v>345</v>
      </c>
      <c r="B555" s="99" t="s">
        <v>299</v>
      </c>
      <c r="C555" s="99" t="s">
        <v>343</v>
      </c>
      <c r="D555" s="47" t="s">
        <v>321</v>
      </c>
      <c r="E555" s="47" t="s">
        <v>81</v>
      </c>
      <c r="F555" s="126">
        <f t="shared" ref="F555:Q555" si="391">IFERROR(F550/F535,"-")</f>
        <v>0.240254774870708</v>
      </c>
      <c r="G555" s="126">
        <f t="shared" si="391"/>
        <v>0.197373499041816</v>
      </c>
      <c r="H555" s="126">
        <f t="shared" si="391"/>
        <v>0.197373499041816</v>
      </c>
      <c r="I555" s="126">
        <f t="shared" si="391"/>
        <v>0.172716890292423</v>
      </c>
      <c r="J555" s="126">
        <f t="shared" si="391"/>
        <v>0.136313708392641</v>
      </c>
      <c r="K555" s="126">
        <f t="shared" si="391"/>
        <v>0.136313708392641</v>
      </c>
      <c r="L555" s="126">
        <f t="shared" si="391"/>
        <v>0.114523583204956</v>
      </c>
      <c r="M555" s="126">
        <f t="shared" si="391"/>
        <v>0.239418174662249</v>
      </c>
      <c r="N555" s="126">
        <f t="shared" si="391"/>
        <v>0.239418174662249</v>
      </c>
      <c r="O555" s="126">
        <f t="shared" si="391"/>
        <v>0.152389064319493</v>
      </c>
      <c r="P555" s="126">
        <f t="shared" si="391"/>
        <v>0.158078926953826</v>
      </c>
      <c r="Q555" s="126">
        <f t="shared" si="391"/>
        <v>0.133102895772359</v>
      </c>
    </row>
    <row r="556" ht="24" customHeight="1" spans="1:17">
      <c r="A556" s="99" t="s">
        <v>345</v>
      </c>
      <c r="B556" s="99" t="s">
        <v>299</v>
      </c>
      <c r="C556" s="99" t="s">
        <v>343</v>
      </c>
      <c r="D556" s="47" t="s">
        <v>321</v>
      </c>
      <c r="E556" s="47" t="s">
        <v>96</v>
      </c>
      <c r="F556" s="126">
        <f t="shared" ref="F556:Q556" si="392">IFERROR(F551/F535,"-")</f>
        <v>0</v>
      </c>
      <c r="G556" s="126">
        <f t="shared" si="392"/>
        <v>0</v>
      </c>
      <c r="H556" s="126">
        <f t="shared" si="392"/>
        <v>0</v>
      </c>
      <c r="I556" s="126">
        <f t="shared" si="392"/>
        <v>0</v>
      </c>
      <c r="J556" s="126">
        <f t="shared" si="392"/>
        <v>0.272158247426205</v>
      </c>
      <c r="K556" s="126">
        <f t="shared" si="392"/>
        <v>0.272158247426205</v>
      </c>
      <c r="L556" s="126">
        <f t="shared" si="392"/>
        <v>0.388505774702952</v>
      </c>
      <c r="M556" s="126">
        <f t="shared" si="392"/>
        <v>0.333707850003897</v>
      </c>
      <c r="N556" s="126">
        <f t="shared" si="392"/>
        <v>0.333707850003897</v>
      </c>
      <c r="O556" s="126">
        <f t="shared" si="392"/>
        <v>0.212404204859983</v>
      </c>
      <c r="P556" s="126">
        <f t="shared" si="392"/>
        <v>0.210978372915475</v>
      </c>
      <c r="Q556" s="126">
        <f t="shared" si="392"/>
        <v>0.177644376271562</v>
      </c>
    </row>
    <row r="557" ht="24" customHeight="1" spans="1:17">
      <c r="A557" s="99" t="s">
        <v>345</v>
      </c>
      <c r="B557" s="99" t="s">
        <v>299</v>
      </c>
      <c r="C557" s="99" t="s">
        <v>343</v>
      </c>
      <c r="D557" s="47" t="s">
        <v>321</v>
      </c>
      <c r="E557" s="47" t="s">
        <v>160</v>
      </c>
      <c r="F557" s="126">
        <f t="shared" ref="F557:Q557" si="393">IFERROR(F552/F535,"-")</f>
        <v>0</v>
      </c>
      <c r="G557" s="126">
        <f t="shared" si="393"/>
        <v>0</v>
      </c>
      <c r="H557" s="126">
        <f t="shared" si="393"/>
        <v>0</v>
      </c>
      <c r="I557" s="126">
        <f t="shared" si="393"/>
        <v>0.124923603569337</v>
      </c>
      <c r="J557" s="126">
        <f t="shared" si="393"/>
        <v>0.0627470278231708</v>
      </c>
      <c r="K557" s="126">
        <f t="shared" si="393"/>
        <v>0.0627470278231708</v>
      </c>
      <c r="L557" s="126">
        <f t="shared" si="393"/>
        <v>0.0527167410123699</v>
      </c>
      <c r="M557" s="126">
        <f t="shared" si="393"/>
        <v>0.0452811552567033</v>
      </c>
      <c r="N557" s="126">
        <f t="shared" si="393"/>
        <v>0.0452811552567033</v>
      </c>
      <c r="O557" s="126">
        <f t="shared" si="393"/>
        <v>0.0288213411141788</v>
      </c>
      <c r="P557" s="126">
        <f t="shared" si="393"/>
        <v>0.028627868537347</v>
      </c>
      <c r="Q557" s="126">
        <f t="shared" si="393"/>
        <v>0.0241047448609282</v>
      </c>
    </row>
    <row r="558" ht="24" customHeight="1" spans="1:17">
      <c r="A558" s="99" t="s">
        <v>345</v>
      </c>
      <c r="B558" s="99" t="s">
        <v>299</v>
      </c>
      <c r="C558" s="99" t="s">
        <v>344</v>
      </c>
      <c r="D558" s="114" t="s">
        <v>292</v>
      </c>
      <c r="E558" s="114" t="s">
        <v>320</v>
      </c>
      <c r="F558" s="120">
        <f t="shared" ref="F558:Q558" si="394">IF(SUM(F559:F564)&lt;&gt;SUM(F571:F575),"ERR",SUM(F559:F564))</f>
        <v>3.654331</v>
      </c>
      <c r="G558" s="120">
        <f t="shared" si="394"/>
        <v>4.448156</v>
      </c>
      <c r="H558" s="120">
        <f t="shared" si="394"/>
        <v>4.448156</v>
      </c>
      <c r="I558" s="120">
        <f t="shared" si="394"/>
        <v>5.085188</v>
      </c>
      <c r="J558" s="120">
        <f t="shared" si="394"/>
        <v>10.13237</v>
      </c>
      <c r="K558" s="120">
        <f t="shared" si="394"/>
        <v>10.13237</v>
      </c>
      <c r="L558" s="120">
        <f t="shared" si="394"/>
        <v>12.038284</v>
      </c>
      <c r="M558" s="120">
        <f t="shared" si="394"/>
        <v>14.015994</v>
      </c>
      <c r="N558" s="120">
        <f t="shared" si="394"/>
        <v>14.015994</v>
      </c>
      <c r="O558" s="120">
        <f t="shared" si="394"/>
        <v>22.025957</v>
      </c>
      <c r="P558" s="120">
        <f t="shared" si="394"/>
        <v>22.172651</v>
      </c>
      <c r="Q558" s="120">
        <f t="shared" si="394"/>
        <v>26.336237</v>
      </c>
    </row>
    <row r="559" ht="24" customHeight="1" spans="1:17">
      <c r="A559" s="99" t="s">
        <v>345</v>
      </c>
      <c r="B559" s="99" t="s">
        <v>299</v>
      </c>
      <c r="C559" s="99" t="s">
        <v>344</v>
      </c>
      <c r="D559" s="48" t="s">
        <v>31</v>
      </c>
      <c r="E559" s="48" t="s">
        <v>406</v>
      </c>
      <c r="F559" s="121">
        <f t="shared" ref="F559:F564" si="395">F498</f>
        <v>0.877846</v>
      </c>
      <c r="G559" s="121">
        <f t="shared" ref="G559:Q559" si="396">F559+G498</f>
        <v>0.877846</v>
      </c>
      <c r="H559" s="121">
        <f t="shared" si="396"/>
        <v>0.877846</v>
      </c>
      <c r="I559" s="121">
        <f t="shared" si="396"/>
        <v>0.877846</v>
      </c>
      <c r="J559" s="121">
        <f t="shared" si="396"/>
        <v>3.16772</v>
      </c>
      <c r="K559" s="121">
        <f t="shared" si="396"/>
        <v>3.16772</v>
      </c>
      <c r="L559" s="121">
        <f t="shared" si="396"/>
        <v>5.073634</v>
      </c>
      <c r="M559" s="121">
        <f t="shared" si="396"/>
        <v>7.051344</v>
      </c>
      <c r="N559" s="121">
        <f t="shared" si="396"/>
        <v>7.051344</v>
      </c>
      <c r="O559" s="121">
        <f t="shared" si="396"/>
        <v>7.051344</v>
      </c>
      <c r="P559" s="121">
        <f t="shared" si="396"/>
        <v>7.051344</v>
      </c>
      <c r="Q559" s="121">
        <f t="shared" si="396"/>
        <v>7.051344</v>
      </c>
    </row>
    <row r="560" ht="24" customHeight="1" spans="1:17">
      <c r="A560" s="99" t="s">
        <v>345</v>
      </c>
      <c r="B560" s="99" t="s">
        <v>299</v>
      </c>
      <c r="C560" s="99" t="s">
        <v>344</v>
      </c>
      <c r="D560" s="48" t="s">
        <v>31</v>
      </c>
      <c r="E560" s="48" t="s">
        <v>82</v>
      </c>
      <c r="F560" s="121">
        <f t="shared" si="395"/>
        <v>0</v>
      </c>
      <c r="G560" s="121">
        <f t="shared" ref="G560:Q560" si="397">F560+G499</f>
        <v>0</v>
      </c>
      <c r="H560" s="121">
        <f t="shared" si="397"/>
        <v>0</v>
      </c>
      <c r="I560" s="121">
        <f t="shared" si="397"/>
        <v>0</v>
      </c>
      <c r="J560" s="121">
        <f t="shared" si="397"/>
        <v>0</v>
      </c>
      <c r="K560" s="121">
        <f t="shared" si="397"/>
        <v>0</v>
      </c>
      <c r="L560" s="121">
        <f t="shared" si="397"/>
        <v>0</v>
      </c>
      <c r="M560" s="121">
        <f t="shared" si="397"/>
        <v>0</v>
      </c>
      <c r="N560" s="121">
        <f t="shared" si="397"/>
        <v>0</v>
      </c>
      <c r="O560" s="121">
        <f t="shared" si="397"/>
        <v>8.009963</v>
      </c>
      <c r="P560" s="121">
        <f t="shared" si="397"/>
        <v>8.009963</v>
      </c>
      <c r="Q560" s="121">
        <f t="shared" si="397"/>
        <v>8.009963</v>
      </c>
    </row>
    <row r="561" ht="24" customHeight="1" spans="1:17">
      <c r="A561" s="99" t="s">
        <v>345</v>
      </c>
      <c r="B561" s="99" t="s">
        <v>299</v>
      </c>
      <c r="C561" s="99" t="s">
        <v>344</v>
      </c>
      <c r="D561" s="48" t="s">
        <v>31</v>
      </c>
      <c r="E561" s="48" t="s">
        <v>86</v>
      </c>
      <c r="F561" s="121">
        <f t="shared" si="395"/>
        <v>0</v>
      </c>
      <c r="G561" s="121">
        <f t="shared" ref="G561:Q561" si="398">F561+G500</f>
        <v>0.793825</v>
      </c>
      <c r="H561" s="121">
        <f t="shared" si="398"/>
        <v>0.793825</v>
      </c>
      <c r="I561" s="121">
        <f t="shared" si="398"/>
        <v>0.793825</v>
      </c>
      <c r="J561" s="121">
        <f t="shared" si="398"/>
        <v>0.793825</v>
      </c>
      <c r="K561" s="121">
        <f t="shared" si="398"/>
        <v>0.793825</v>
      </c>
      <c r="L561" s="121">
        <f t="shared" si="398"/>
        <v>0.793825</v>
      </c>
      <c r="M561" s="121">
        <f t="shared" si="398"/>
        <v>0.793825</v>
      </c>
      <c r="N561" s="121">
        <f t="shared" si="398"/>
        <v>0.793825</v>
      </c>
      <c r="O561" s="121">
        <f t="shared" si="398"/>
        <v>0.793825</v>
      </c>
      <c r="P561" s="121">
        <f t="shared" si="398"/>
        <v>0.793825</v>
      </c>
      <c r="Q561" s="121">
        <f t="shared" si="398"/>
        <v>0.793825</v>
      </c>
    </row>
    <row r="562" ht="24" customHeight="1" spans="1:17">
      <c r="A562" s="99" t="s">
        <v>345</v>
      </c>
      <c r="B562" s="99" t="s">
        <v>299</v>
      </c>
      <c r="C562" s="99" t="s">
        <v>344</v>
      </c>
      <c r="D562" s="48" t="s">
        <v>31</v>
      </c>
      <c r="E562" s="48" t="s">
        <v>97</v>
      </c>
      <c r="F562" s="121">
        <f t="shared" si="395"/>
        <v>2.776485</v>
      </c>
      <c r="G562" s="121">
        <f t="shared" ref="G562:Q562" si="399">F562+G501</f>
        <v>2.776485</v>
      </c>
      <c r="H562" s="121">
        <f t="shared" si="399"/>
        <v>2.776485</v>
      </c>
      <c r="I562" s="121">
        <f t="shared" si="399"/>
        <v>2.776485</v>
      </c>
      <c r="J562" s="121">
        <f t="shared" si="399"/>
        <v>2.776485</v>
      </c>
      <c r="K562" s="121">
        <f t="shared" si="399"/>
        <v>2.776485</v>
      </c>
      <c r="L562" s="121">
        <f t="shared" si="399"/>
        <v>2.776485</v>
      </c>
      <c r="M562" s="121">
        <f t="shared" si="399"/>
        <v>2.776485</v>
      </c>
      <c r="N562" s="121">
        <f t="shared" si="399"/>
        <v>2.776485</v>
      </c>
      <c r="O562" s="121">
        <f t="shared" si="399"/>
        <v>2.776485</v>
      </c>
      <c r="P562" s="121">
        <f t="shared" si="399"/>
        <v>2.923179</v>
      </c>
      <c r="Q562" s="121">
        <f t="shared" si="399"/>
        <v>7.086765</v>
      </c>
    </row>
    <row r="563" ht="24" customHeight="1" spans="1:17">
      <c r="A563" s="99" t="s">
        <v>345</v>
      </c>
      <c r="B563" s="99" t="s">
        <v>299</v>
      </c>
      <c r="C563" s="99" t="s">
        <v>344</v>
      </c>
      <c r="D563" s="48" t="s">
        <v>31</v>
      </c>
      <c r="E563" s="48" t="s">
        <v>87</v>
      </c>
      <c r="F563" s="121">
        <f t="shared" si="395"/>
        <v>0</v>
      </c>
      <c r="G563" s="121">
        <f t="shared" ref="G563:Q563" si="400">F563+G502</f>
        <v>0</v>
      </c>
      <c r="H563" s="121">
        <f t="shared" si="400"/>
        <v>0</v>
      </c>
      <c r="I563" s="121">
        <f t="shared" si="400"/>
        <v>0</v>
      </c>
      <c r="J563" s="121">
        <f t="shared" si="400"/>
        <v>2.757308</v>
      </c>
      <c r="K563" s="121">
        <f t="shared" si="400"/>
        <v>2.757308</v>
      </c>
      <c r="L563" s="121">
        <f t="shared" si="400"/>
        <v>2.757308</v>
      </c>
      <c r="M563" s="121">
        <f t="shared" si="400"/>
        <v>2.757308</v>
      </c>
      <c r="N563" s="121">
        <f t="shared" si="400"/>
        <v>2.757308</v>
      </c>
      <c r="O563" s="121">
        <f t="shared" si="400"/>
        <v>2.757308</v>
      </c>
      <c r="P563" s="121">
        <f t="shared" si="400"/>
        <v>2.757308</v>
      </c>
      <c r="Q563" s="121">
        <f t="shared" si="400"/>
        <v>2.757308</v>
      </c>
    </row>
    <row r="564" ht="24" customHeight="1" spans="1:17">
      <c r="A564" s="99" t="s">
        <v>345</v>
      </c>
      <c r="B564" s="99" t="s">
        <v>299</v>
      </c>
      <c r="C564" s="99" t="s">
        <v>344</v>
      </c>
      <c r="D564" s="48" t="s">
        <v>31</v>
      </c>
      <c r="E564" s="48" t="s">
        <v>83</v>
      </c>
      <c r="F564" s="121">
        <f t="shared" si="395"/>
        <v>0</v>
      </c>
      <c r="G564" s="121">
        <f t="shared" ref="G564:Q564" si="401">F564+G503</f>
        <v>0</v>
      </c>
      <c r="H564" s="121">
        <f t="shared" si="401"/>
        <v>0</v>
      </c>
      <c r="I564" s="121">
        <f t="shared" si="401"/>
        <v>0.637032</v>
      </c>
      <c r="J564" s="121">
        <f t="shared" si="401"/>
        <v>0.637032</v>
      </c>
      <c r="K564" s="121">
        <f t="shared" si="401"/>
        <v>0.637032</v>
      </c>
      <c r="L564" s="121">
        <f t="shared" si="401"/>
        <v>0.637032</v>
      </c>
      <c r="M564" s="121">
        <f t="shared" si="401"/>
        <v>0.637032</v>
      </c>
      <c r="N564" s="121">
        <f t="shared" si="401"/>
        <v>0.637032</v>
      </c>
      <c r="O564" s="121">
        <f t="shared" si="401"/>
        <v>0.637032</v>
      </c>
      <c r="P564" s="121">
        <f t="shared" si="401"/>
        <v>0.637032</v>
      </c>
      <c r="Q564" s="121">
        <f t="shared" si="401"/>
        <v>0.637032</v>
      </c>
    </row>
    <row r="565" ht="24" customHeight="1" spans="1:17">
      <c r="A565" s="99" t="s">
        <v>345</v>
      </c>
      <c r="B565" s="99" t="s">
        <v>299</v>
      </c>
      <c r="C565" s="99" t="s">
        <v>344</v>
      </c>
      <c r="D565" s="48" t="s">
        <v>321</v>
      </c>
      <c r="E565" s="48" t="s">
        <v>406</v>
      </c>
      <c r="F565" s="112">
        <f t="shared" ref="F565:Q565" si="402">IFERROR(F559/F558,"-")</f>
        <v>0.240220713449329</v>
      </c>
      <c r="G565" s="112">
        <f t="shared" si="402"/>
        <v>0.197350542561907</v>
      </c>
      <c r="H565" s="112">
        <f t="shared" si="402"/>
        <v>0.197350542561907</v>
      </c>
      <c r="I565" s="112">
        <f t="shared" si="402"/>
        <v>0.172628032631242</v>
      </c>
      <c r="J565" s="112">
        <f t="shared" si="402"/>
        <v>0.312633668134898</v>
      </c>
      <c r="K565" s="112">
        <f t="shared" si="402"/>
        <v>0.312633668134898</v>
      </c>
      <c r="L565" s="112">
        <f t="shared" si="402"/>
        <v>0.421458241058277</v>
      </c>
      <c r="M565" s="112">
        <f t="shared" si="402"/>
        <v>0.503092681118442</v>
      </c>
      <c r="N565" s="112">
        <f t="shared" si="402"/>
        <v>0.503092681118442</v>
      </c>
      <c r="O565" s="112">
        <f t="shared" si="402"/>
        <v>0.320137917276421</v>
      </c>
      <c r="P565" s="112">
        <f t="shared" si="402"/>
        <v>0.3180198885555</v>
      </c>
      <c r="Q565" s="112">
        <f t="shared" si="402"/>
        <v>0.26774303405608</v>
      </c>
    </row>
    <row r="566" ht="24" customHeight="1" spans="1:17">
      <c r="A566" s="99" t="s">
        <v>345</v>
      </c>
      <c r="B566" s="99" t="s">
        <v>299</v>
      </c>
      <c r="C566" s="99" t="s">
        <v>344</v>
      </c>
      <c r="D566" s="48" t="s">
        <v>321</v>
      </c>
      <c r="E566" s="48" t="s">
        <v>82</v>
      </c>
      <c r="F566" s="112">
        <f t="shared" ref="F566:Q566" si="403">IFERROR(F560/F558,"-")</f>
        <v>0</v>
      </c>
      <c r="G566" s="112">
        <f t="shared" si="403"/>
        <v>0</v>
      </c>
      <c r="H566" s="112">
        <f t="shared" si="403"/>
        <v>0</v>
      </c>
      <c r="I566" s="112">
        <f t="shared" si="403"/>
        <v>0</v>
      </c>
      <c r="J566" s="112">
        <f t="shared" si="403"/>
        <v>0</v>
      </c>
      <c r="K566" s="112">
        <f t="shared" si="403"/>
        <v>0</v>
      </c>
      <c r="L566" s="112">
        <f t="shared" si="403"/>
        <v>0</v>
      </c>
      <c r="M566" s="112">
        <f t="shared" si="403"/>
        <v>0</v>
      </c>
      <c r="N566" s="112">
        <f t="shared" si="403"/>
        <v>0</v>
      </c>
      <c r="O566" s="112">
        <f t="shared" si="403"/>
        <v>0.363660157876455</v>
      </c>
      <c r="P566" s="112">
        <f t="shared" si="403"/>
        <v>0.361254186520141</v>
      </c>
      <c r="Q566" s="112">
        <f t="shared" si="403"/>
        <v>0.304142273628537</v>
      </c>
    </row>
    <row r="567" ht="24" customHeight="1" spans="1:17">
      <c r="A567" s="99" t="s">
        <v>345</v>
      </c>
      <c r="B567" s="99" t="s">
        <v>299</v>
      </c>
      <c r="C567" s="99" t="s">
        <v>344</v>
      </c>
      <c r="D567" s="48" t="s">
        <v>321</v>
      </c>
      <c r="E567" s="48" t="s">
        <v>86</v>
      </c>
      <c r="F567" s="112">
        <f t="shared" ref="F567:Q567" si="404">IFERROR(F561/F558,"-")</f>
        <v>0</v>
      </c>
      <c r="G567" s="112">
        <f t="shared" si="404"/>
        <v>0.178461591724751</v>
      </c>
      <c r="H567" s="112">
        <f t="shared" si="404"/>
        <v>0.178461591724751</v>
      </c>
      <c r="I567" s="112">
        <f t="shared" si="404"/>
        <v>0.156105339664925</v>
      </c>
      <c r="J567" s="112">
        <f t="shared" si="404"/>
        <v>0.0783454413922903</v>
      </c>
      <c r="K567" s="112">
        <f t="shared" si="404"/>
        <v>0.0783454413922903</v>
      </c>
      <c r="L567" s="112">
        <f t="shared" si="404"/>
        <v>0.0659417073064566</v>
      </c>
      <c r="M567" s="112">
        <f t="shared" si="404"/>
        <v>0.056637081893728</v>
      </c>
      <c r="N567" s="112">
        <f t="shared" si="404"/>
        <v>0.056637081893728</v>
      </c>
      <c r="O567" s="112">
        <f t="shared" si="404"/>
        <v>0.0360404317505932</v>
      </c>
      <c r="P567" s="112">
        <f t="shared" si="404"/>
        <v>0.0358019886751476</v>
      </c>
      <c r="Q567" s="112">
        <f t="shared" si="404"/>
        <v>0.0301419295398959</v>
      </c>
    </row>
    <row r="568" ht="24" customHeight="1" spans="1:17">
      <c r="A568" s="99" t="s">
        <v>345</v>
      </c>
      <c r="B568" s="99" t="s">
        <v>299</v>
      </c>
      <c r="C568" s="99" t="s">
        <v>344</v>
      </c>
      <c r="D568" s="48" t="s">
        <v>321</v>
      </c>
      <c r="E568" s="48" t="s">
        <v>97</v>
      </c>
      <c r="F568" s="112">
        <f t="shared" ref="F568:Q568" si="405">IFERROR(F562/F558,"-")</f>
        <v>0.759779286550671</v>
      </c>
      <c r="G568" s="112">
        <f t="shared" si="405"/>
        <v>0.624187865713343</v>
      </c>
      <c r="H568" s="112">
        <f t="shared" si="405"/>
        <v>0.624187865713343</v>
      </c>
      <c r="I568" s="112">
        <f t="shared" si="405"/>
        <v>0.545994563032871</v>
      </c>
      <c r="J568" s="112">
        <f t="shared" si="405"/>
        <v>0.274021280312503</v>
      </c>
      <c r="K568" s="112">
        <f t="shared" si="405"/>
        <v>0.274021280312503</v>
      </c>
      <c r="L568" s="112">
        <f t="shared" si="405"/>
        <v>0.230637938098154</v>
      </c>
      <c r="M568" s="112">
        <f t="shared" si="405"/>
        <v>0.19809404884163</v>
      </c>
      <c r="N568" s="112">
        <f t="shared" si="405"/>
        <v>0.19809404884163</v>
      </c>
      <c r="O568" s="112">
        <f t="shared" si="405"/>
        <v>0.126055135765497</v>
      </c>
      <c r="P568" s="112">
        <f t="shared" si="405"/>
        <v>0.131837144778042</v>
      </c>
      <c r="Q568" s="112">
        <f t="shared" si="405"/>
        <v>0.269087987019558</v>
      </c>
    </row>
    <row r="569" ht="24" customHeight="1" spans="1:17">
      <c r="A569" s="99" t="s">
        <v>345</v>
      </c>
      <c r="B569" s="99" t="s">
        <v>299</v>
      </c>
      <c r="C569" s="99" t="s">
        <v>344</v>
      </c>
      <c r="D569" s="48" t="s">
        <v>321</v>
      </c>
      <c r="E569" s="48" t="s">
        <v>87</v>
      </c>
      <c r="F569" s="112">
        <f t="shared" ref="F569:Q569" si="406">IFERROR(F563/F558,"-")</f>
        <v>0</v>
      </c>
      <c r="G569" s="112">
        <f t="shared" si="406"/>
        <v>0</v>
      </c>
      <c r="H569" s="112">
        <f t="shared" si="406"/>
        <v>0</v>
      </c>
      <c r="I569" s="112">
        <f t="shared" si="406"/>
        <v>0</v>
      </c>
      <c r="J569" s="112">
        <f t="shared" si="406"/>
        <v>0.272128633281256</v>
      </c>
      <c r="K569" s="112">
        <f t="shared" si="406"/>
        <v>0.272128633281256</v>
      </c>
      <c r="L569" s="112">
        <f t="shared" si="406"/>
        <v>0.229044936969422</v>
      </c>
      <c r="M569" s="112">
        <f t="shared" si="406"/>
        <v>0.196725826223955</v>
      </c>
      <c r="N569" s="112">
        <f t="shared" si="406"/>
        <v>0.196725826223955</v>
      </c>
      <c r="O569" s="112">
        <f t="shared" si="406"/>
        <v>0.125184481200976</v>
      </c>
      <c r="P569" s="112">
        <f t="shared" si="406"/>
        <v>0.124356262135727</v>
      </c>
      <c r="Q569" s="112">
        <f t="shared" si="406"/>
        <v>0.104696354304527</v>
      </c>
    </row>
    <row r="570" ht="24" customHeight="1" spans="1:17">
      <c r="A570" s="99" t="s">
        <v>345</v>
      </c>
      <c r="B570" s="99" t="s">
        <v>299</v>
      </c>
      <c r="C570" s="99" t="s">
        <v>344</v>
      </c>
      <c r="D570" s="48" t="s">
        <v>321</v>
      </c>
      <c r="E570" s="48" t="s">
        <v>83</v>
      </c>
      <c r="F570" s="112">
        <f t="shared" ref="F570:Q570" si="407">IFERROR(F564/F558,"-")</f>
        <v>0</v>
      </c>
      <c r="G570" s="112">
        <f t="shared" si="407"/>
        <v>0</v>
      </c>
      <c r="H570" s="112">
        <f t="shared" si="407"/>
        <v>0</v>
      </c>
      <c r="I570" s="112">
        <f t="shared" si="407"/>
        <v>0.125272064670962</v>
      </c>
      <c r="J570" s="112">
        <f t="shared" si="407"/>
        <v>0.062870976879052</v>
      </c>
      <c r="K570" s="112">
        <f t="shared" si="407"/>
        <v>0.062870976879052</v>
      </c>
      <c r="L570" s="112">
        <f t="shared" si="407"/>
        <v>0.0529171765676902</v>
      </c>
      <c r="M570" s="112">
        <f t="shared" si="407"/>
        <v>0.045450361922244</v>
      </c>
      <c r="N570" s="112">
        <f t="shared" si="407"/>
        <v>0.045450361922244</v>
      </c>
      <c r="O570" s="112">
        <f t="shared" si="407"/>
        <v>0.0289218761300587</v>
      </c>
      <c r="P570" s="112">
        <f t="shared" si="407"/>
        <v>0.0287305293354412</v>
      </c>
      <c r="Q570" s="112">
        <f t="shared" si="407"/>
        <v>0.0241884214514017</v>
      </c>
    </row>
    <row r="571" ht="24" customHeight="1" spans="1:17">
      <c r="A571" s="99" t="s">
        <v>345</v>
      </c>
      <c r="B571" s="99" t="s">
        <v>299</v>
      </c>
      <c r="C571" s="99" t="s">
        <v>344</v>
      </c>
      <c r="D571" s="47" t="s">
        <v>294</v>
      </c>
      <c r="E571" s="47" t="s">
        <v>93</v>
      </c>
      <c r="F571" s="125">
        <f t="shared" ref="F571:F575" si="408">F504</f>
        <v>2.776485</v>
      </c>
      <c r="G571" s="125">
        <f t="shared" ref="G571:Q571" si="409">F571+G504</f>
        <v>3.57031</v>
      </c>
      <c r="H571" s="125">
        <f t="shared" si="409"/>
        <v>3.57031</v>
      </c>
      <c r="I571" s="125">
        <f t="shared" si="409"/>
        <v>3.57031</v>
      </c>
      <c r="J571" s="125">
        <f t="shared" si="409"/>
        <v>3.57031</v>
      </c>
      <c r="K571" s="125">
        <f t="shared" si="409"/>
        <v>3.57031</v>
      </c>
      <c r="L571" s="125">
        <f t="shared" si="409"/>
        <v>3.57031</v>
      </c>
      <c r="M571" s="125">
        <f t="shared" si="409"/>
        <v>3.57031</v>
      </c>
      <c r="N571" s="125">
        <f t="shared" si="409"/>
        <v>3.57031</v>
      </c>
      <c r="O571" s="125">
        <f t="shared" si="409"/>
        <v>11.580273</v>
      </c>
      <c r="P571" s="125">
        <f t="shared" si="409"/>
        <v>11.580273</v>
      </c>
      <c r="Q571" s="125">
        <f t="shared" si="409"/>
        <v>15.743859</v>
      </c>
    </row>
    <row r="572" ht="24" customHeight="1" spans="1:17">
      <c r="A572" s="99" t="s">
        <v>345</v>
      </c>
      <c r="B572" s="99" t="s">
        <v>299</v>
      </c>
      <c r="C572" s="99" t="s">
        <v>344</v>
      </c>
      <c r="D572" s="47" t="s">
        <v>294</v>
      </c>
      <c r="E572" s="47" t="s">
        <v>85</v>
      </c>
      <c r="F572" s="125">
        <f t="shared" si="408"/>
        <v>0</v>
      </c>
      <c r="G572" s="125">
        <f t="shared" ref="G572:Q572" si="410">F572+G505</f>
        <v>0</v>
      </c>
      <c r="H572" s="125">
        <f t="shared" si="410"/>
        <v>0</v>
      </c>
      <c r="I572" s="125">
        <f t="shared" si="410"/>
        <v>0</v>
      </c>
      <c r="J572" s="125">
        <f t="shared" si="410"/>
        <v>1.788371</v>
      </c>
      <c r="K572" s="125">
        <f t="shared" si="410"/>
        <v>1.788371</v>
      </c>
      <c r="L572" s="125">
        <f t="shared" si="410"/>
        <v>1.788371</v>
      </c>
      <c r="M572" s="125">
        <f t="shared" si="410"/>
        <v>1.788371</v>
      </c>
      <c r="N572" s="125">
        <f t="shared" si="410"/>
        <v>1.788371</v>
      </c>
      <c r="O572" s="125">
        <f t="shared" si="410"/>
        <v>1.788371</v>
      </c>
      <c r="P572" s="125">
        <f t="shared" si="410"/>
        <v>1.788371</v>
      </c>
      <c r="Q572" s="125">
        <f t="shared" si="410"/>
        <v>1.788371</v>
      </c>
    </row>
    <row r="573" ht="24" customHeight="1" spans="1:17">
      <c r="A573" s="99" t="s">
        <v>345</v>
      </c>
      <c r="B573" s="99" t="s">
        <v>299</v>
      </c>
      <c r="C573" s="99" t="s">
        <v>344</v>
      </c>
      <c r="D573" s="47" t="s">
        <v>294</v>
      </c>
      <c r="E573" s="47" t="s">
        <v>81</v>
      </c>
      <c r="F573" s="125">
        <f t="shared" si="408"/>
        <v>0.877846</v>
      </c>
      <c r="G573" s="125">
        <f t="shared" ref="G573:Q573" si="411">F573+G506</f>
        <v>0.877846</v>
      </c>
      <c r="H573" s="125">
        <f t="shared" si="411"/>
        <v>0.877846</v>
      </c>
      <c r="I573" s="125">
        <f t="shared" si="411"/>
        <v>0.877846</v>
      </c>
      <c r="J573" s="125">
        <f t="shared" si="411"/>
        <v>1.379349</v>
      </c>
      <c r="K573" s="125">
        <f t="shared" si="411"/>
        <v>1.379349</v>
      </c>
      <c r="L573" s="125">
        <f t="shared" si="411"/>
        <v>1.379349</v>
      </c>
      <c r="M573" s="125">
        <f t="shared" si="411"/>
        <v>3.357059</v>
      </c>
      <c r="N573" s="125">
        <f t="shared" si="411"/>
        <v>3.357059</v>
      </c>
      <c r="O573" s="125">
        <f t="shared" si="411"/>
        <v>3.357059</v>
      </c>
      <c r="P573" s="125">
        <f t="shared" si="411"/>
        <v>3.503753</v>
      </c>
      <c r="Q573" s="125">
        <f t="shared" si="411"/>
        <v>3.503753</v>
      </c>
    </row>
    <row r="574" ht="24" customHeight="1" spans="1:17">
      <c r="A574" s="99" t="s">
        <v>345</v>
      </c>
      <c r="B574" s="99" t="s">
        <v>299</v>
      </c>
      <c r="C574" s="99" t="s">
        <v>344</v>
      </c>
      <c r="D574" s="47" t="s">
        <v>294</v>
      </c>
      <c r="E574" s="47" t="s">
        <v>96</v>
      </c>
      <c r="F574" s="125">
        <f t="shared" si="408"/>
        <v>0</v>
      </c>
      <c r="G574" s="125">
        <f t="shared" ref="G574:Q574" si="412">F574+G507</f>
        <v>0</v>
      </c>
      <c r="H574" s="125">
        <f t="shared" si="412"/>
        <v>0</v>
      </c>
      <c r="I574" s="125">
        <f t="shared" si="412"/>
        <v>0</v>
      </c>
      <c r="J574" s="125">
        <f t="shared" si="412"/>
        <v>2.757308</v>
      </c>
      <c r="K574" s="125">
        <f t="shared" si="412"/>
        <v>2.757308</v>
      </c>
      <c r="L574" s="125">
        <f t="shared" si="412"/>
        <v>4.663222</v>
      </c>
      <c r="M574" s="125">
        <f t="shared" si="412"/>
        <v>4.663222</v>
      </c>
      <c r="N574" s="125">
        <f t="shared" si="412"/>
        <v>4.663222</v>
      </c>
      <c r="O574" s="125">
        <f t="shared" si="412"/>
        <v>4.663222</v>
      </c>
      <c r="P574" s="125">
        <f t="shared" si="412"/>
        <v>4.663222</v>
      </c>
      <c r="Q574" s="125">
        <f t="shared" si="412"/>
        <v>4.663222</v>
      </c>
    </row>
    <row r="575" ht="24" customHeight="1" spans="1:17">
      <c r="A575" s="99" t="s">
        <v>345</v>
      </c>
      <c r="B575" s="99" t="s">
        <v>299</v>
      </c>
      <c r="C575" s="99" t="s">
        <v>344</v>
      </c>
      <c r="D575" s="47" t="s">
        <v>294</v>
      </c>
      <c r="E575" s="47" t="s">
        <v>160</v>
      </c>
      <c r="F575" s="125">
        <f t="shared" si="408"/>
        <v>0</v>
      </c>
      <c r="G575" s="125">
        <f t="shared" ref="G575:Q575" si="413">F575+G508</f>
        <v>0</v>
      </c>
      <c r="H575" s="125">
        <f t="shared" si="413"/>
        <v>0</v>
      </c>
      <c r="I575" s="125">
        <f t="shared" si="413"/>
        <v>0.637032</v>
      </c>
      <c r="J575" s="125">
        <f t="shared" si="413"/>
        <v>0.637032</v>
      </c>
      <c r="K575" s="125">
        <f t="shared" si="413"/>
        <v>0.637032</v>
      </c>
      <c r="L575" s="125">
        <f t="shared" si="413"/>
        <v>0.637032</v>
      </c>
      <c r="M575" s="125">
        <f t="shared" si="413"/>
        <v>0.637032</v>
      </c>
      <c r="N575" s="125">
        <f t="shared" si="413"/>
        <v>0.637032</v>
      </c>
      <c r="O575" s="125">
        <f t="shared" si="413"/>
        <v>0.637032</v>
      </c>
      <c r="P575" s="125">
        <f t="shared" si="413"/>
        <v>0.637032</v>
      </c>
      <c r="Q575" s="125">
        <f t="shared" si="413"/>
        <v>0.637032</v>
      </c>
    </row>
    <row r="576" ht="24" customHeight="1" spans="1:17">
      <c r="A576" s="99" t="s">
        <v>345</v>
      </c>
      <c r="B576" s="99" t="s">
        <v>299</v>
      </c>
      <c r="C576" s="99" t="s">
        <v>344</v>
      </c>
      <c r="D576" s="47" t="s">
        <v>321</v>
      </c>
      <c r="E576" s="47" t="s">
        <v>93</v>
      </c>
      <c r="F576" s="126">
        <f t="shared" ref="F576:Q576" si="414">IFERROR(F571/F558,"-")</f>
        <v>0.759779286550671</v>
      </c>
      <c r="G576" s="126">
        <f t="shared" si="414"/>
        <v>0.802649457438094</v>
      </c>
      <c r="H576" s="126">
        <f t="shared" si="414"/>
        <v>0.802649457438094</v>
      </c>
      <c r="I576" s="126">
        <f t="shared" si="414"/>
        <v>0.702099902697796</v>
      </c>
      <c r="J576" s="126">
        <f t="shared" si="414"/>
        <v>0.352366721704794</v>
      </c>
      <c r="K576" s="126">
        <f t="shared" si="414"/>
        <v>0.352366721704794</v>
      </c>
      <c r="L576" s="126">
        <f t="shared" si="414"/>
        <v>0.296579645404611</v>
      </c>
      <c r="M576" s="126">
        <f t="shared" si="414"/>
        <v>0.254731130735358</v>
      </c>
      <c r="N576" s="126">
        <f t="shared" si="414"/>
        <v>0.254731130735358</v>
      </c>
      <c r="O576" s="126">
        <f t="shared" si="414"/>
        <v>0.525755725392545</v>
      </c>
      <c r="P576" s="126">
        <f t="shared" si="414"/>
        <v>0.52227733165511</v>
      </c>
      <c r="Q576" s="126">
        <f t="shared" si="414"/>
        <v>0.597802146145632</v>
      </c>
    </row>
    <row r="577" ht="24" customHeight="1" spans="1:17">
      <c r="A577" s="99" t="s">
        <v>345</v>
      </c>
      <c r="B577" s="99" t="s">
        <v>299</v>
      </c>
      <c r="C577" s="99" t="s">
        <v>344</v>
      </c>
      <c r="D577" s="47" t="s">
        <v>321</v>
      </c>
      <c r="E577" s="47" t="s">
        <v>85</v>
      </c>
      <c r="F577" s="126">
        <f t="shared" ref="F577:Q577" si="415">IFERROR(F572/F558,"-")</f>
        <v>0</v>
      </c>
      <c r="G577" s="126">
        <f t="shared" si="415"/>
        <v>0</v>
      </c>
      <c r="H577" s="126">
        <f t="shared" si="415"/>
        <v>0</v>
      </c>
      <c r="I577" s="126">
        <f t="shared" si="415"/>
        <v>0</v>
      </c>
      <c r="J577" s="126">
        <f t="shared" si="415"/>
        <v>0.176500759447197</v>
      </c>
      <c r="K577" s="126">
        <f t="shared" si="415"/>
        <v>0.176500759447197</v>
      </c>
      <c r="L577" s="126">
        <f t="shared" si="415"/>
        <v>0.148556970412062</v>
      </c>
      <c r="M577" s="126">
        <f t="shared" si="415"/>
        <v>0.127595017520698</v>
      </c>
      <c r="N577" s="126">
        <f t="shared" si="415"/>
        <v>0.127595017520698</v>
      </c>
      <c r="O577" s="126">
        <f t="shared" si="415"/>
        <v>0.0811937933048721</v>
      </c>
      <c r="P577" s="126">
        <f t="shared" si="415"/>
        <v>0.080656616116855</v>
      </c>
      <c r="Q577" s="126">
        <f t="shared" si="415"/>
        <v>0.0679053351471586</v>
      </c>
    </row>
    <row r="578" ht="24" customHeight="1" spans="1:17">
      <c r="A578" s="99" t="s">
        <v>345</v>
      </c>
      <c r="B578" s="99" t="s">
        <v>299</v>
      </c>
      <c r="C578" s="99" t="s">
        <v>344</v>
      </c>
      <c r="D578" s="47" t="s">
        <v>321</v>
      </c>
      <c r="E578" s="47" t="s">
        <v>81</v>
      </c>
      <c r="F578" s="126">
        <f t="shared" ref="F578:Q578" si="416">IFERROR(F573/F558,"-")</f>
        <v>0.240220713449329</v>
      </c>
      <c r="G578" s="126">
        <f t="shared" si="416"/>
        <v>0.197350542561907</v>
      </c>
      <c r="H578" s="126">
        <f t="shared" si="416"/>
        <v>0.197350542561907</v>
      </c>
      <c r="I578" s="126">
        <f t="shared" si="416"/>
        <v>0.172628032631242</v>
      </c>
      <c r="J578" s="126">
        <f t="shared" si="416"/>
        <v>0.136132908687701</v>
      </c>
      <c r="K578" s="126">
        <f t="shared" si="416"/>
        <v>0.136132908687701</v>
      </c>
      <c r="L578" s="126">
        <f t="shared" si="416"/>
        <v>0.11458020096552</v>
      </c>
      <c r="M578" s="126">
        <f t="shared" si="416"/>
        <v>0.239516298308918</v>
      </c>
      <c r="N578" s="126">
        <f t="shared" si="416"/>
        <v>0.239516298308918</v>
      </c>
      <c r="O578" s="126">
        <f t="shared" si="416"/>
        <v>0.152413763451913</v>
      </c>
      <c r="P578" s="126">
        <f t="shared" si="416"/>
        <v>0.1580213840916</v>
      </c>
      <c r="Q578" s="126">
        <f t="shared" si="416"/>
        <v>0.133039241710955</v>
      </c>
    </row>
    <row r="579" ht="24" customHeight="1" spans="1:17">
      <c r="A579" s="99" t="s">
        <v>345</v>
      </c>
      <c r="B579" s="99" t="s">
        <v>299</v>
      </c>
      <c r="C579" s="99" t="s">
        <v>344</v>
      </c>
      <c r="D579" s="47" t="s">
        <v>321</v>
      </c>
      <c r="E579" s="47" t="s">
        <v>96</v>
      </c>
      <c r="F579" s="126">
        <f t="shared" ref="F579:Q579" si="417">IFERROR(F574/F558,"-")</f>
        <v>0</v>
      </c>
      <c r="G579" s="126">
        <f t="shared" si="417"/>
        <v>0</v>
      </c>
      <c r="H579" s="126">
        <f t="shared" si="417"/>
        <v>0</v>
      </c>
      <c r="I579" s="126">
        <f t="shared" si="417"/>
        <v>0</v>
      </c>
      <c r="J579" s="126">
        <f t="shared" si="417"/>
        <v>0.272128633281256</v>
      </c>
      <c r="K579" s="126">
        <f t="shared" si="417"/>
        <v>0.272128633281256</v>
      </c>
      <c r="L579" s="126">
        <f t="shared" si="417"/>
        <v>0.387366006650117</v>
      </c>
      <c r="M579" s="126">
        <f t="shared" si="417"/>
        <v>0.332707191512782</v>
      </c>
      <c r="N579" s="126">
        <f t="shared" si="417"/>
        <v>0.332707191512782</v>
      </c>
      <c r="O579" s="126">
        <f t="shared" si="417"/>
        <v>0.211714841720612</v>
      </c>
      <c r="P579" s="126">
        <f t="shared" si="417"/>
        <v>0.210314138800994</v>
      </c>
      <c r="Q579" s="126">
        <f t="shared" si="417"/>
        <v>0.177064855544853</v>
      </c>
    </row>
    <row r="580" ht="24" customHeight="1" spans="1:17">
      <c r="A580" s="99" t="s">
        <v>345</v>
      </c>
      <c r="B580" s="99" t="s">
        <v>299</v>
      </c>
      <c r="C580" s="99" t="s">
        <v>344</v>
      </c>
      <c r="D580" s="47" t="s">
        <v>321</v>
      </c>
      <c r="E580" s="47" t="s">
        <v>160</v>
      </c>
      <c r="F580" s="126">
        <f t="shared" ref="F580:Q580" si="418">IFERROR(F575/F558,"-")</f>
        <v>0</v>
      </c>
      <c r="G580" s="126">
        <f t="shared" si="418"/>
        <v>0</v>
      </c>
      <c r="H580" s="126">
        <f t="shared" si="418"/>
        <v>0</v>
      </c>
      <c r="I580" s="126">
        <f t="shared" si="418"/>
        <v>0.125272064670962</v>
      </c>
      <c r="J580" s="126">
        <f t="shared" si="418"/>
        <v>0.062870976879052</v>
      </c>
      <c r="K580" s="126">
        <f t="shared" si="418"/>
        <v>0.062870976879052</v>
      </c>
      <c r="L580" s="126">
        <f t="shared" si="418"/>
        <v>0.0529171765676902</v>
      </c>
      <c r="M580" s="126">
        <f t="shared" si="418"/>
        <v>0.045450361922244</v>
      </c>
      <c r="N580" s="126">
        <f t="shared" si="418"/>
        <v>0.045450361922244</v>
      </c>
      <c r="O580" s="126">
        <f t="shared" si="418"/>
        <v>0.0289218761300587</v>
      </c>
      <c r="P580" s="126">
        <f t="shared" si="418"/>
        <v>0.0287305293354412</v>
      </c>
      <c r="Q580" s="126">
        <f t="shared" si="418"/>
        <v>0.0241884214514017</v>
      </c>
    </row>
    <row r="581" ht="24" customHeight="1" spans="1:17">
      <c r="A581" s="99" t="s">
        <v>345</v>
      </c>
      <c r="B581" s="99" t="s">
        <v>299</v>
      </c>
      <c r="C581" s="99" t="s">
        <v>343</v>
      </c>
      <c r="D581" s="114" t="s">
        <v>292</v>
      </c>
      <c r="E581" s="53" t="s">
        <v>326</v>
      </c>
      <c r="F581" s="123">
        <f t="shared" ref="F581:F606" si="419">F509</f>
        <v>0.415273</v>
      </c>
      <c r="G581" s="123">
        <f t="shared" ref="G581:Q581" si="420">F581+G509</f>
        <v>0.415273</v>
      </c>
      <c r="H581" s="123">
        <f t="shared" si="420"/>
        <v>0.415273</v>
      </c>
      <c r="I581" s="123">
        <f t="shared" si="420"/>
        <v>0.429744</v>
      </c>
      <c r="J581" s="123">
        <f t="shared" si="420"/>
        <v>0.439002</v>
      </c>
      <c r="K581" s="123">
        <f t="shared" si="420"/>
        <v>0.439002</v>
      </c>
      <c r="L581" s="123">
        <f t="shared" si="420"/>
        <v>0.536246</v>
      </c>
      <c r="M581" s="123">
        <f t="shared" si="420"/>
        <v>0.545248</v>
      </c>
      <c r="N581" s="123">
        <f t="shared" si="420"/>
        <v>0.545248</v>
      </c>
      <c r="O581" s="123">
        <f t="shared" si="420"/>
        <v>0.545248</v>
      </c>
      <c r="P581" s="123">
        <f t="shared" si="420"/>
        <v>0.545248</v>
      </c>
      <c r="Q581" s="123">
        <f t="shared" si="420"/>
        <v>0.545248</v>
      </c>
    </row>
    <row r="582" ht="24" customHeight="1" spans="1:17">
      <c r="A582" s="99" t="s">
        <v>345</v>
      </c>
      <c r="B582" s="99" t="s">
        <v>299</v>
      </c>
      <c r="C582" s="99" t="s">
        <v>343</v>
      </c>
      <c r="D582" s="114" t="s">
        <v>292</v>
      </c>
      <c r="E582" s="53" t="s">
        <v>327</v>
      </c>
      <c r="F582" s="123">
        <f t="shared" si="419"/>
        <v>0</v>
      </c>
      <c r="G582" s="123">
        <f t="shared" ref="G582:Q582" si="421">F582+G510</f>
        <v>0.00659200000000001</v>
      </c>
      <c r="H582" s="123">
        <f t="shared" si="421"/>
        <v>0.00659200000000001</v>
      </c>
      <c r="I582" s="123">
        <f t="shared" si="421"/>
        <v>0.00659200000000001</v>
      </c>
      <c r="J582" s="123">
        <f t="shared" si="421"/>
        <v>0.0143319999999998</v>
      </c>
      <c r="K582" s="123">
        <f t="shared" si="421"/>
        <v>0.0143319999999998</v>
      </c>
      <c r="L582" s="123">
        <f t="shared" si="421"/>
        <v>0.0143319999999998</v>
      </c>
      <c r="M582" s="123">
        <f t="shared" si="421"/>
        <v>0.0143319999999998</v>
      </c>
      <c r="N582" s="123">
        <f t="shared" si="421"/>
        <v>0.0143319999999998</v>
      </c>
      <c r="O582" s="123">
        <f t="shared" si="421"/>
        <v>0.112701</v>
      </c>
      <c r="P582" s="123">
        <f t="shared" si="421"/>
        <v>0.112701</v>
      </c>
      <c r="Q582" s="123">
        <f t="shared" si="421"/>
        <v>0.136773</v>
      </c>
    </row>
    <row r="583" ht="24" customHeight="1" spans="1:17">
      <c r="A583" s="99" t="s">
        <v>345</v>
      </c>
      <c r="B583" s="99" t="s">
        <v>299</v>
      </c>
      <c r="C583" s="99" t="s">
        <v>343</v>
      </c>
      <c r="D583" s="114" t="s">
        <v>292</v>
      </c>
      <c r="E583" s="53" t="s">
        <v>328</v>
      </c>
      <c r="F583" s="123">
        <f t="shared" si="419"/>
        <v>0</v>
      </c>
      <c r="G583" s="123">
        <f t="shared" ref="G583:Q583" si="422">F583+G511</f>
        <v>0</v>
      </c>
      <c r="H583" s="123">
        <f t="shared" si="422"/>
        <v>0</v>
      </c>
      <c r="I583" s="123">
        <f t="shared" si="422"/>
        <v>0</v>
      </c>
      <c r="J583" s="123">
        <f t="shared" si="422"/>
        <v>0</v>
      </c>
      <c r="K583" s="123">
        <f t="shared" si="422"/>
        <v>0</v>
      </c>
      <c r="L583" s="123">
        <f t="shared" si="422"/>
        <v>0</v>
      </c>
      <c r="M583" s="123">
        <f t="shared" si="422"/>
        <v>0</v>
      </c>
      <c r="N583" s="123">
        <f t="shared" si="422"/>
        <v>0</v>
      </c>
      <c r="O583" s="123">
        <f t="shared" si="422"/>
        <v>0</v>
      </c>
      <c r="P583" s="123">
        <f t="shared" si="422"/>
        <v>0</v>
      </c>
      <c r="Q583" s="123">
        <f t="shared" si="422"/>
        <v>0</v>
      </c>
    </row>
    <row r="584" ht="24" customHeight="1" spans="1:17">
      <c r="A584" s="99" t="s">
        <v>345</v>
      </c>
      <c r="B584" s="99" t="s">
        <v>299</v>
      </c>
      <c r="C584" s="99" t="s">
        <v>343</v>
      </c>
      <c r="D584" s="53" t="s">
        <v>326</v>
      </c>
      <c r="E584" s="53" t="s">
        <v>93</v>
      </c>
      <c r="F584" s="123">
        <f t="shared" si="419"/>
        <v>0.381135</v>
      </c>
      <c r="G584" s="123">
        <f t="shared" ref="G584:Q584" si="423">F584+G512</f>
        <v>0.381135</v>
      </c>
      <c r="H584" s="123">
        <f t="shared" si="423"/>
        <v>0.381135</v>
      </c>
      <c r="I584" s="123">
        <f t="shared" si="423"/>
        <v>0.381135</v>
      </c>
      <c r="J584" s="123">
        <f t="shared" si="423"/>
        <v>0.381135</v>
      </c>
      <c r="K584" s="123">
        <f t="shared" si="423"/>
        <v>0.381135</v>
      </c>
      <c r="L584" s="123">
        <f t="shared" si="423"/>
        <v>0.381135</v>
      </c>
      <c r="M584" s="123">
        <f t="shared" si="423"/>
        <v>0.381135</v>
      </c>
      <c r="N584" s="123">
        <f t="shared" si="423"/>
        <v>0.381135</v>
      </c>
      <c r="O584" s="123">
        <f t="shared" si="423"/>
        <v>0.381135</v>
      </c>
      <c r="P584" s="123">
        <f t="shared" si="423"/>
        <v>0.381135</v>
      </c>
      <c r="Q584" s="123">
        <f t="shared" si="423"/>
        <v>0.381135</v>
      </c>
    </row>
    <row r="585" ht="24" customHeight="1" spans="1:17">
      <c r="A585" s="99" t="s">
        <v>345</v>
      </c>
      <c r="B585" s="99" t="s">
        <v>299</v>
      </c>
      <c r="C585" s="99" t="s">
        <v>343</v>
      </c>
      <c r="D585" s="53" t="s">
        <v>326</v>
      </c>
      <c r="E585" s="53" t="s">
        <v>85</v>
      </c>
      <c r="F585" s="123">
        <f t="shared" si="419"/>
        <v>0</v>
      </c>
      <c r="G585" s="123">
        <f t="shared" ref="G585:Q585" si="424">F585+G513</f>
        <v>0</v>
      </c>
      <c r="H585" s="123">
        <f t="shared" si="424"/>
        <v>0</v>
      </c>
      <c r="I585" s="123">
        <f t="shared" si="424"/>
        <v>0</v>
      </c>
      <c r="J585" s="123">
        <f t="shared" si="424"/>
        <v>0.00395200000000004</v>
      </c>
      <c r="K585" s="123">
        <f t="shared" si="424"/>
        <v>0.00395200000000004</v>
      </c>
      <c r="L585" s="123">
        <f t="shared" si="424"/>
        <v>0.00395200000000004</v>
      </c>
      <c r="M585" s="123">
        <f t="shared" si="424"/>
        <v>0.00395200000000004</v>
      </c>
      <c r="N585" s="123">
        <f t="shared" si="424"/>
        <v>0.00395200000000004</v>
      </c>
      <c r="O585" s="123">
        <f t="shared" si="424"/>
        <v>0.00395200000000004</v>
      </c>
      <c r="P585" s="123">
        <f t="shared" si="424"/>
        <v>0.00395200000000004</v>
      </c>
      <c r="Q585" s="123">
        <f t="shared" si="424"/>
        <v>0.00395200000000004</v>
      </c>
    </row>
    <row r="586" ht="24" customHeight="1" spans="1:17">
      <c r="A586" s="99" t="s">
        <v>345</v>
      </c>
      <c r="B586" s="99" t="s">
        <v>299</v>
      </c>
      <c r="C586" s="99" t="s">
        <v>343</v>
      </c>
      <c r="D586" s="53" t="s">
        <v>326</v>
      </c>
      <c r="E586" s="53" t="s">
        <v>81</v>
      </c>
      <c r="F586" s="123">
        <f t="shared" si="419"/>
        <v>0.0341379999999999</v>
      </c>
      <c r="G586" s="123">
        <f t="shared" ref="G586:Q586" si="425">F586+G514</f>
        <v>0.0341379999999999</v>
      </c>
      <c r="H586" s="123">
        <f t="shared" si="425"/>
        <v>0.0341379999999999</v>
      </c>
      <c r="I586" s="123">
        <f t="shared" si="425"/>
        <v>0.0341379999999999</v>
      </c>
      <c r="J586" s="123">
        <f t="shared" si="425"/>
        <v>0.039444</v>
      </c>
      <c r="K586" s="123">
        <f t="shared" si="425"/>
        <v>0.039444</v>
      </c>
      <c r="L586" s="123">
        <f t="shared" si="425"/>
        <v>0.039444</v>
      </c>
      <c r="M586" s="123">
        <f t="shared" si="425"/>
        <v>0.048446</v>
      </c>
      <c r="N586" s="123">
        <f t="shared" si="425"/>
        <v>0.048446</v>
      </c>
      <c r="O586" s="123">
        <f t="shared" si="425"/>
        <v>0.048446</v>
      </c>
      <c r="P586" s="123">
        <f t="shared" si="425"/>
        <v>0.048446</v>
      </c>
      <c r="Q586" s="123">
        <f t="shared" si="425"/>
        <v>0.048446</v>
      </c>
    </row>
    <row r="587" ht="24" customHeight="1" spans="1:17">
      <c r="A587" s="99" t="s">
        <v>345</v>
      </c>
      <c r="B587" s="99" t="s">
        <v>299</v>
      </c>
      <c r="C587" s="99" t="s">
        <v>343</v>
      </c>
      <c r="D587" s="53" t="s">
        <v>326</v>
      </c>
      <c r="E587" s="53" t="s">
        <v>96</v>
      </c>
      <c r="F587" s="123">
        <f t="shared" si="419"/>
        <v>0</v>
      </c>
      <c r="G587" s="123">
        <f t="shared" ref="G587:Q587" si="426">F587+G515</f>
        <v>0</v>
      </c>
      <c r="H587" s="123">
        <f t="shared" si="426"/>
        <v>0</v>
      </c>
      <c r="I587" s="123">
        <f t="shared" si="426"/>
        <v>0</v>
      </c>
      <c r="J587" s="123">
        <f t="shared" si="426"/>
        <v>0</v>
      </c>
      <c r="K587" s="123">
        <f t="shared" si="426"/>
        <v>0</v>
      </c>
      <c r="L587" s="123">
        <f t="shared" si="426"/>
        <v>0.0972439999999999</v>
      </c>
      <c r="M587" s="123">
        <f t="shared" si="426"/>
        <v>0.0972439999999999</v>
      </c>
      <c r="N587" s="123">
        <f t="shared" si="426"/>
        <v>0.0972439999999999</v>
      </c>
      <c r="O587" s="123">
        <f t="shared" si="426"/>
        <v>0.0972439999999999</v>
      </c>
      <c r="P587" s="123">
        <f t="shared" si="426"/>
        <v>0.0972439999999999</v>
      </c>
      <c r="Q587" s="123">
        <f t="shared" si="426"/>
        <v>0.0972439999999999</v>
      </c>
    </row>
    <row r="588" ht="24" customHeight="1" spans="1:17">
      <c r="A588" s="99" t="s">
        <v>345</v>
      </c>
      <c r="B588" s="99" t="s">
        <v>299</v>
      </c>
      <c r="C588" s="99" t="s">
        <v>343</v>
      </c>
      <c r="D588" s="53" t="s">
        <v>326</v>
      </c>
      <c r="E588" s="53" t="s">
        <v>160</v>
      </c>
      <c r="F588" s="123">
        <f t="shared" si="419"/>
        <v>0</v>
      </c>
      <c r="G588" s="123">
        <f t="shared" ref="G588:Q588" si="427">F588+G516</f>
        <v>0</v>
      </c>
      <c r="H588" s="123">
        <f t="shared" si="427"/>
        <v>0</v>
      </c>
      <c r="I588" s="123">
        <f t="shared" si="427"/>
        <v>0.014471</v>
      </c>
      <c r="J588" s="123">
        <f t="shared" si="427"/>
        <v>0.014471</v>
      </c>
      <c r="K588" s="123">
        <f t="shared" si="427"/>
        <v>0.014471</v>
      </c>
      <c r="L588" s="123">
        <f t="shared" si="427"/>
        <v>0.014471</v>
      </c>
      <c r="M588" s="123">
        <f t="shared" si="427"/>
        <v>0.014471</v>
      </c>
      <c r="N588" s="123">
        <f t="shared" si="427"/>
        <v>0.014471</v>
      </c>
      <c r="O588" s="123">
        <f t="shared" si="427"/>
        <v>0.014471</v>
      </c>
      <c r="P588" s="123">
        <f t="shared" si="427"/>
        <v>0.014471</v>
      </c>
      <c r="Q588" s="123">
        <f t="shared" si="427"/>
        <v>0.014471</v>
      </c>
    </row>
    <row r="589" ht="24" customHeight="1" spans="1:17">
      <c r="A589" s="99" t="s">
        <v>345</v>
      </c>
      <c r="B589" s="99" t="s">
        <v>299</v>
      </c>
      <c r="C589" s="99" t="s">
        <v>343</v>
      </c>
      <c r="D589" s="53" t="s">
        <v>327</v>
      </c>
      <c r="E589" s="53" t="s">
        <v>93</v>
      </c>
      <c r="F589" s="123">
        <f t="shared" si="419"/>
        <v>0</v>
      </c>
      <c r="G589" s="123">
        <f t="shared" ref="G589:Q589" si="428">F589+G517</f>
        <v>0.00659200000000001</v>
      </c>
      <c r="H589" s="123">
        <f t="shared" si="428"/>
        <v>0.00659200000000001</v>
      </c>
      <c r="I589" s="123">
        <f t="shared" si="428"/>
        <v>0.00659200000000001</v>
      </c>
      <c r="J589" s="123">
        <f t="shared" si="428"/>
        <v>0.00659200000000001</v>
      </c>
      <c r="K589" s="123">
        <f t="shared" si="428"/>
        <v>0.00659200000000001</v>
      </c>
      <c r="L589" s="123">
        <f t="shared" si="428"/>
        <v>0.00659200000000001</v>
      </c>
      <c r="M589" s="123">
        <f t="shared" si="428"/>
        <v>0.00659200000000001</v>
      </c>
      <c r="N589" s="123">
        <f t="shared" si="428"/>
        <v>0.00659200000000001</v>
      </c>
      <c r="O589" s="123">
        <f t="shared" si="428"/>
        <v>0.104961</v>
      </c>
      <c r="P589" s="123">
        <f t="shared" si="428"/>
        <v>0.104961</v>
      </c>
      <c r="Q589" s="123">
        <f t="shared" si="428"/>
        <v>0.129033</v>
      </c>
    </row>
    <row r="590" ht="24" customHeight="1" spans="1:17">
      <c r="A590" s="99" t="s">
        <v>345</v>
      </c>
      <c r="B590" s="99" t="s">
        <v>299</v>
      </c>
      <c r="C590" s="99" t="s">
        <v>343</v>
      </c>
      <c r="D590" s="53" t="s">
        <v>327</v>
      </c>
      <c r="E590" s="53" t="s">
        <v>85</v>
      </c>
      <c r="F590" s="123">
        <f t="shared" si="419"/>
        <v>0</v>
      </c>
      <c r="G590" s="123">
        <f t="shared" ref="G590:Q590" si="429">F590+G518</f>
        <v>0</v>
      </c>
      <c r="H590" s="123">
        <f t="shared" si="429"/>
        <v>0</v>
      </c>
      <c r="I590" s="123">
        <f t="shared" si="429"/>
        <v>0</v>
      </c>
      <c r="J590" s="123">
        <f t="shared" si="429"/>
        <v>0</v>
      </c>
      <c r="K590" s="123">
        <f t="shared" si="429"/>
        <v>0</v>
      </c>
      <c r="L590" s="123">
        <f t="shared" si="429"/>
        <v>0</v>
      </c>
      <c r="M590" s="123">
        <f t="shared" si="429"/>
        <v>0</v>
      </c>
      <c r="N590" s="123">
        <f t="shared" si="429"/>
        <v>0</v>
      </c>
      <c r="O590" s="123">
        <f t="shared" si="429"/>
        <v>0</v>
      </c>
      <c r="P590" s="123">
        <f t="shared" si="429"/>
        <v>0</v>
      </c>
      <c r="Q590" s="123">
        <f t="shared" si="429"/>
        <v>0</v>
      </c>
    </row>
    <row r="591" ht="24" customHeight="1" spans="1:17">
      <c r="A591" s="99" t="s">
        <v>345</v>
      </c>
      <c r="B591" s="99" t="s">
        <v>299</v>
      </c>
      <c r="C591" s="99" t="s">
        <v>343</v>
      </c>
      <c r="D591" s="53" t="s">
        <v>327</v>
      </c>
      <c r="E591" s="53" t="s">
        <v>81</v>
      </c>
      <c r="F591" s="123">
        <f t="shared" si="419"/>
        <v>0</v>
      </c>
      <c r="G591" s="123">
        <f t="shared" ref="G591:Q591" si="430">F591+G519</f>
        <v>0</v>
      </c>
      <c r="H591" s="123">
        <f t="shared" si="430"/>
        <v>0</v>
      </c>
      <c r="I591" s="123">
        <f t="shared" si="430"/>
        <v>0</v>
      </c>
      <c r="J591" s="123">
        <f t="shared" si="430"/>
        <v>0</v>
      </c>
      <c r="K591" s="123">
        <f t="shared" si="430"/>
        <v>0</v>
      </c>
      <c r="L591" s="123">
        <f t="shared" si="430"/>
        <v>0</v>
      </c>
      <c r="M591" s="123">
        <f t="shared" si="430"/>
        <v>0</v>
      </c>
      <c r="N591" s="123">
        <f t="shared" si="430"/>
        <v>0</v>
      </c>
      <c r="O591" s="123">
        <f t="shared" si="430"/>
        <v>0</v>
      </c>
      <c r="P591" s="123">
        <f t="shared" si="430"/>
        <v>0</v>
      </c>
      <c r="Q591" s="123">
        <f t="shared" si="430"/>
        <v>0</v>
      </c>
    </row>
    <row r="592" ht="24" customHeight="1" spans="1:17">
      <c r="A592" s="99" t="s">
        <v>345</v>
      </c>
      <c r="B592" s="99" t="s">
        <v>299</v>
      </c>
      <c r="C592" s="99" t="s">
        <v>343</v>
      </c>
      <c r="D592" s="53" t="s">
        <v>327</v>
      </c>
      <c r="E592" s="53" t="s">
        <v>96</v>
      </c>
      <c r="F592" s="123">
        <f t="shared" si="419"/>
        <v>0</v>
      </c>
      <c r="G592" s="123">
        <f t="shared" ref="G592:Q592" si="431">F592+G520</f>
        <v>0</v>
      </c>
      <c r="H592" s="123">
        <f t="shared" si="431"/>
        <v>0</v>
      </c>
      <c r="I592" s="123">
        <f t="shared" si="431"/>
        <v>0</v>
      </c>
      <c r="J592" s="123">
        <f t="shared" si="431"/>
        <v>0.00773999999999978</v>
      </c>
      <c r="K592" s="123">
        <f t="shared" si="431"/>
        <v>0.00773999999999978</v>
      </c>
      <c r="L592" s="123">
        <f t="shared" si="431"/>
        <v>0.00773999999999978</v>
      </c>
      <c r="M592" s="123">
        <f t="shared" si="431"/>
        <v>0.00773999999999978</v>
      </c>
      <c r="N592" s="123">
        <f t="shared" si="431"/>
        <v>0.00773999999999978</v>
      </c>
      <c r="O592" s="123">
        <f t="shared" si="431"/>
        <v>0.00773999999999978</v>
      </c>
      <c r="P592" s="123">
        <f t="shared" si="431"/>
        <v>0.00773999999999978</v>
      </c>
      <c r="Q592" s="123">
        <f t="shared" si="431"/>
        <v>0.00773999999999978</v>
      </c>
    </row>
    <row r="593" ht="24" customHeight="1" spans="1:17">
      <c r="A593" s="99" t="s">
        <v>345</v>
      </c>
      <c r="B593" s="99" t="s">
        <v>299</v>
      </c>
      <c r="C593" s="99" t="s">
        <v>343</v>
      </c>
      <c r="D593" s="53" t="s">
        <v>327</v>
      </c>
      <c r="E593" s="53" t="s">
        <v>160</v>
      </c>
      <c r="F593" s="123">
        <f t="shared" si="419"/>
        <v>0</v>
      </c>
      <c r="G593" s="123">
        <f t="shared" ref="G593:Q593" si="432">F593+G521</f>
        <v>0</v>
      </c>
      <c r="H593" s="123">
        <f t="shared" si="432"/>
        <v>0</v>
      </c>
      <c r="I593" s="123">
        <f t="shared" si="432"/>
        <v>0</v>
      </c>
      <c r="J593" s="123">
        <f t="shared" si="432"/>
        <v>0</v>
      </c>
      <c r="K593" s="123">
        <f t="shared" si="432"/>
        <v>0</v>
      </c>
      <c r="L593" s="123">
        <f t="shared" si="432"/>
        <v>0</v>
      </c>
      <c r="M593" s="123">
        <f t="shared" si="432"/>
        <v>0</v>
      </c>
      <c r="N593" s="123">
        <f t="shared" si="432"/>
        <v>0</v>
      </c>
      <c r="O593" s="123">
        <f t="shared" si="432"/>
        <v>0</v>
      </c>
      <c r="P593" s="123">
        <f t="shared" si="432"/>
        <v>0</v>
      </c>
      <c r="Q593" s="123">
        <f t="shared" si="432"/>
        <v>0</v>
      </c>
    </row>
    <row r="594" ht="24" customHeight="1" spans="1:17">
      <c r="A594" s="99" t="s">
        <v>345</v>
      </c>
      <c r="B594" s="99" t="s">
        <v>299</v>
      </c>
      <c r="C594" s="99" t="s">
        <v>344</v>
      </c>
      <c r="D594" s="114" t="s">
        <v>292</v>
      </c>
      <c r="E594" s="122" t="s">
        <v>326</v>
      </c>
      <c r="F594" s="124">
        <f t="shared" si="419"/>
        <v>0.415273</v>
      </c>
      <c r="G594" s="124">
        <f t="shared" ref="G594:Q594" si="433">F594+G522</f>
        <v>0.415273</v>
      </c>
      <c r="H594" s="124">
        <f t="shared" si="433"/>
        <v>0.415273</v>
      </c>
      <c r="I594" s="124">
        <f t="shared" si="433"/>
        <v>0.429744</v>
      </c>
      <c r="J594" s="124">
        <f t="shared" si="433"/>
        <v>0.439002</v>
      </c>
      <c r="K594" s="124">
        <f t="shared" si="433"/>
        <v>0.439002</v>
      </c>
      <c r="L594" s="124">
        <f t="shared" si="433"/>
        <v>0.536246</v>
      </c>
      <c r="M594" s="124">
        <f t="shared" si="433"/>
        <v>0.545248</v>
      </c>
      <c r="N594" s="124">
        <f t="shared" si="433"/>
        <v>0.545248</v>
      </c>
      <c r="O594" s="124">
        <f t="shared" si="433"/>
        <v>0.545248</v>
      </c>
      <c r="P594" s="124">
        <f t="shared" si="433"/>
        <v>0.545248</v>
      </c>
      <c r="Q594" s="124">
        <f t="shared" si="433"/>
        <v>0.545248</v>
      </c>
    </row>
    <row r="595" ht="24" customHeight="1" spans="1:17">
      <c r="A595" s="99" t="s">
        <v>345</v>
      </c>
      <c r="B595" s="99" t="s">
        <v>299</v>
      </c>
      <c r="C595" s="99" t="s">
        <v>344</v>
      </c>
      <c r="D595" s="114" t="s">
        <v>292</v>
      </c>
      <c r="E595" s="122" t="s">
        <v>327</v>
      </c>
      <c r="F595" s="124">
        <f t="shared" si="419"/>
        <v>0</v>
      </c>
      <c r="G595" s="124">
        <f t="shared" ref="G595:Q595" si="434">F595+G523</f>
        <v>0.00659200000000001</v>
      </c>
      <c r="H595" s="124">
        <f t="shared" si="434"/>
        <v>0.00659200000000001</v>
      </c>
      <c r="I595" s="124">
        <f t="shared" si="434"/>
        <v>0.00659200000000001</v>
      </c>
      <c r="J595" s="124">
        <f t="shared" si="434"/>
        <v>0.0143319999999998</v>
      </c>
      <c r="K595" s="124">
        <f t="shared" si="434"/>
        <v>0.0143319999999998</v>
      </c>
      <c r="L595" s="124">
        <f t="shared" si="434"/>
        <v>0.0143319999999998</v>
      </c>
      <c r="M595" s="124">
        <f t="shared" si="434"/>
        <v>0.0143319999999998</v>
      </c>
      <c r="N595" s="124">
        <f t="shared" si="434"/>
        <v>0.0143319999999998</v>
      </c>
      <c r="O595" s="124">
        <f t="shared" si="434"/>
        <v>0.112701</v>
      </c>
      <c r="P595" s="124">
        <f t="shared" si="434"/>
        <v>0.112701</v>
      </c>
      <c r="Q595" s="124">
        <f t="shared" si="434"/>
        <v>0.136773</v>
      </c>
    </row>
    <row r="596" ht="24" customHeight="1" spans="1:17">
      <c r="A596" s="99" t="s">
        <v>345</v>
      </c>
      <c r="B596" s="99" t="s">
        <v>299</v>
      </c>
      <c r="C596" s="99" t="s">
        <v>344</v>
      </c>
      <c r="D596" s="114" t="s">
        <v>292</v>
      </c>
      <c r="E596" s="122" t="s">
        <v>328</v>
      </c>
      <c r="F596" s="124">
        <f t="shared" si="419"/>
        <v>0</v>
      </c>
      <c r="G596" s="124">
        <f t="shared" ref="G596:Q596" si="435">F596+G524</f>
        <v>0</v>
      </c>
      <c r="H596" s="124">
        <f t="shared" si="435"/>
        <v>0</v>
      </c>
      <c r="I596" s="124">
        <f t="shared" si="435"/>
        <v>0</v>
      </c>
      <c r="J596" s="124">
        <f t="shared" si="435"/>
        <v>0</v>
      </c>
      <c r="K596" s="124">
        <f t="shared" si="435"/>
        <v>0</v>
      </c>
      <c r="L596" s="124">
        <f t="shared" si="435"/>
        <v>0</v>
      </c>
      <c r="M596" s="124">
        <f t="shared" si="435"/>
        <v>0</v>
      </c>
      <c r="N596" s="124">
        <f t="shared" si="435"/>
        <v>0</v>
      </c>
      <c r="O596" s="124">
        <f t="shared" si="435"/>
        <v>0</v>
      </c>
      <c r="P596" s="124">
        <f t="shared" si="435"/>
        <v>0</v>
      </c>
      <c r="Q596" s="124">
        <f t="shared" si="435"/>
        <v>0</v>
      </c>
    </row>
    <row r="597" ht="24" customHeight="1" spans="1:17">
      <c r="A597" s="99" t="s">
        <v>345</v>
      </c>
      <c r="B597" s="99" t="s">
        <v>299</v>
      </c>
      <c r="C597" s="99" t="s">
        <v>344</v>
      </c>
      <c r="D597" s="122" t="s">
        <v>326</v>
      </c>
      <c r="E597" s="122" t="s">
        <v>93</v>
      </c>
      <c r="F597" s="124">
        <f t="shared" si="419"/>
        <v>0.381135</v>
      </c>
      <c r="G597" s="124">
        <f t="shared" ref="G597:Q597" si="436">F597+G525</f>
        <v>0.381135</v>
      </c>
      <c r="H597" s="124">
        <f t="shared" si="436"/>
        <v>0.381135</v>
      </c>
      <c r="I597" s="124">
        <f t="shared" si="436"/>
        <v>0.381135</v>
      </c>
      <c r="J597" s="124">
        <f t="shared" si="436"/>
        <v>0.381135</v>
      </c>
      <c r="K597" s="124">
        <f t="shared" si="436"/>
        <v>0.381135</v>
      </c>
      <c r="L597" s="124">
        <f t="shared" si="436"/>
        <v>0.381135</v>
      </c>
      <c r="M597" s="124">
        <f t="shared" si="436"/>
        <v>0.381135</v>
      </c>
      <c r="N597" s="124">
        <f t="shared" si="436"/>
        <v>0.381135</v>
      </c>
      <c r="O597" s="124">
        <f t="shared" si="436"/>
        <v>0.381135</v>
      </c>
      <c r="P597" s="124">
        <f t="shared" si="436"/>
        <v>0.381135</v>
      </c>
      <c r="Q597" s="124">
        <f t="shared" si="436"/>
        <v>0.381135</v>
      </c>
    </row>
    <row r="598" ht="24" customHeight="1" spans="1:17">
      <c r="A598" s="99" t="s">
        <v>345</v>
      </c>
      <c r="B598" s="99" t="s">
        <v>299</v>
      </c>
      <c r="C598" s="99" t="s">
        <v>344</v>
      </c>
      <c r="D598" s="122" t="s">
        <v>326</v>
      </c>
      <c r="E598" s="122" t="s">
        <v>85</v>
      </c>
      <c r="F598" s="124">
        <f t="shared" si="419"/>
        <v>0</v>
      </c>
      <c r="G598" s="124">
        <f t="shared" ref="G598:Q598" si="437">F598+G526</f>
        <v>0</v>
      </c>
      <c r="H598" s="124">
        <f t="shared" si="437"/>
        <v>0</v>
      </c>
      <c r="I598" s="124">
        <f t="shared" si="437"/>
        <v>0</v>
      </c>
      <c r="J598" s="124">
        <f t="shared" si="437"/>
        <v>0.00395200000000004</v>
      </c>
      <c r="K598" s="124">
        <f t="shared" si="437"/>
        <v>0.00395200000000004</v>
      </c>
      <c r="L598" s="124">
        <f t="shared" si="437"/>
        <v>0.00395200000000004</v>
      </c>
      <c r="M598" s="124">
        <f t="shared" si="437"/>
        <v>0.00395200000000004</v>
      </c>
      <c r="N598" s="124">
        <f t="shared" si="437"/>
        <v>0.00395200000000004</v>
      </c>
      <c r="O598" s="124">
        <f t="shared" si="437"/>
        <v>0.00395200000000004</v>
      </c>
      <c r="P598" s="124">
        <f t="shared" si="437"/>
        <v>0.00395200000000004</v>
      </c>
      <c r="Q598" s="124">
        <f t="shared" si="437"/>
        <v>0.00395200000000004</v>
      </c>
    </row>
    <row r="599" ht="24" customHeight="1" spans="1:17">
      <c r="A599" s="99" t="s">
        <v>345</v>
      </c>
      <c r="B599" s="99" t="s">
        <v>299</v>
      </c>
      <c r="C599" s="99" t="s">
        <v>344</v>
      </c>
      <c r="D599" s="122" t="s">
        <v>326</v>
      </c>
      <c r="E599" s="122" t="s">
        <v>81</v>
      </c>
      <c r="F599" s="124">
        <f t="shared" si="419"/>
        <v>0.0341379999999999</v>
      </c>
      <c r="G599" s="124">
        <v>1</v>
      </c>
      <c r="H599" s="124">
        <f t="shared" ref="H599:Q599" si="438">G599+H527</f>
        <v>1</v>
      </c>
      <c r="I599" s="124">
        <f t="shared" si="438"/>
        <v>1</v>
      </c>
      <c r="J599" s="124">
        <f t="shared" si="438"/>
        <v>1.005306</v>
      </c>
      <c r="K599" s="124">
        <f t="shared" si="438"/>
        <v>1.005306</v>
      </c>
      <c r="L599" s="124">
        <f t="shared" si="438"/>
        <v>1.005306</v>
      </c>
      <c r="M599" s="124">
        <f t="shared" si="438"/>
        <v>1.014308</v>
      </c>
      <c r="N599" s="124">
        <f t="shared" si="438"/>
        <v>1.014308</v>
      </c>
      <c r="O599" s="124">
        <f t="shared" si="438"/>
        <v>1.014308</v>
      </c>
      <c r="P599" s="124">
        <f t="shared" si="438"/>
        <v>1.014308</v>
      </c>
      <c r="Q599" s="124">
        <f t="shared" si="438"/>
        <v>1.014308</v>
      </c>
    </row>
    <row r="600" ht="24" customHeight="1" spans="1:17">
      <c r="A600" s="99" t="s">
        <v>345</v>
      </c>
      <c r="B600" s="99" t="s">
        <v>299</v>
      </c>
      <c r="C600" s="99" t="s">
        <v>344</v>
      </c>
      <c r="D600" s="122" t="s">
        <v>326</v>
      </c>
      <c r="E600" s="122" t="s">
        <v>96</v>
      </c>
      <c r="F600" s="124">
        <f t="shared" si="419"/>
        <v>0</v>
      </c>
      <c r="G600" s="124">
        <f t="shared" ref="G600:Q600" si="439">F600+G528</f>
        <v>0</v>
      </c>
      <c r="H600" s="124">
        <f t="shared" si="439"/>
        <v>0</v>
      </c>
      <c r="I600" s="124">
        <f t="shared" si="439"/>
        <v>0</v>
      </c>
      <c r="J600" s="124">
        <f t="shared" si="439"/>
        <v>0</v>
      </c>
      <c r="K600" s="124">
        <f t="shared" si="439"/>
        <v>0</v>
      </c>
      <c r="L600" s="124">
        <f t="shared" si="439"/>
        <v>0.0972439999999999</v>
      </c>
      <c r="M600" s="124">
        <f t="shared" si="439"/>
        <v>0.0972439999999999</v>
      </c>
      <c r="N600" s="124">
        <f t="shared" si="439"/>
        <v>0.0972439999999999</v>
      </c>
      <c r="O600" s="124">
        <f t="shared" si="439"/>
        <v>0.0972439999999999</v>
      </c>
      <c r="P600" s="124">
        <f t="shared" si="439"/>
        <v>0.0972439999999999</v>
      </c>
      <c r="Q600" s="124">
        <f t="shared" si="439"/>
        <v>0.0972439999999999</v>
      </c>
    </row>
    <row r="601" ht="24" customHeight="1" spans="1:17">
      <c r="A601" s="99" t="s">
        <v>345</v>
      </c>
      <c r="B601" s="99" t="s">
        <v>299</v>
      </c>
      <c r="C601" s="99" t="s">
        <v>344</v>
      </c>
      <c r="D601" s="122" t="s">
        <v>326</v>
      </c>
      <c r="E601" s="122" t="s">
        <v>160</v>
      </c>
      <c r="F601" s="124">
        <f t="shared" si="419"/>
        <v>0</v>
      </c>
      <c r="G601" s="124">
        <f t="shared" ref="G601:Q601" si="440">F601+G529</f>
        <v>0</v>
      </c>
      <c r="H601" s="124">
        <f t="shared" si="440"/>
        <v>0</v>
      </c>
      <c r="I601" s="124">
        <f t="shared" si="440"/>
        <v>0.014471</v>
      </c>
      <c r="J601" s="124">
        <f t="shared" si="440"/>
        <v>0.014471</v>
      </c>
      <c r="K601" s="124">
        <f t="shared" si="440"/>
        <v>0.014471</v>
      </c>
      <c r="L601" s="124">
        <f t="shared" si="440"/>
        <v>0.014471</v>
      </c>
      <c r="M601" s="124">
        <f t="shared" si="440"/>
        <v>0.014471</v>
      </c>
      <c r="N601" s="124">
        <f t="shared" si="440"/>
        <v>0.014471</v>
      </c>
      <c r="O601" s="124">
        <f t="shared" si="440"/>
        <v>0.014471</v>
      </c>
      <c r="P601" s="124">
        <f t="shared" si="440"/>
        <v>0.014471</v>
      </c>
      <c r="Q601" s="124">
        <f t="shared" si="440"/>
        <v>0.014471</v>
      </c>
    </row>
    <row r="602" ht="24" customHeight="1" spans="1:17">
      <c r="A602" s="99" t="s">
        <v>345</v>
      </c>
      <c r="B602" s="99" t="s">
        <v>299</v>
      </c>
      <c r="C602" s="99" t="s">
        <v>344</v>
      </c>
      <c r="D602" s="122" t="s">
        <v>327</v>
      </c>
      <c r="E602" s="122" t="s">
        <v>93</v>
      </c>
      <c r="F602" s="124">
        <f t="shared" si="419"/>
        <v>0</v>
      </c>
      <c r="G602" s="124">
        <f t="shared" ref="G602:Q602" si="441">F602+G530</f>
        <v>0.00659200000000001</v>
      </c>
      <c r="H602" s="124">
        <f t="shared" si="441"/>
        <v>0.00659200000000001</v>
      </c>
      <c r="I602" s="124">
        <f t="shared" si="441"/>
        <v>0.00659200000000001</v>
      </c>
      <c r="J602" s="124">
        <f t="shared" si="441"/>
        <v>0.00659200000000001</v>
      </c>
      <c r="K602" s="124">
        <f t="shared" si="441"/>
        <v>0.00659200000000001</v>
      </c>
      <c r="L602" s="124">
        <f t="shared" si="441"/>
        <v>0.00659200000000001</v>
      </c>
      <c r="M602" s="124">
        <f t="shared" si="441"/>
        <v>0.00659200000000001</v>
      </c>
      <c r="N602" s="124">
        <f t="shared" si="441"/>
        <v>0.00659200000000001</v>
      </c>
      <c r="O602" s="124">
        <f t="shared" si="441"/>
        <v>0.104961</v>
      </c>
      <c r="P602" s="124">
        <f t="shared" si="441"/>
        <v>0.104961</v>
      </c>
      <c r="Q602" s="124">
        <f t="shared" si="441"/>
        <v>0.129033</v>
      </c>
    </row>
    <row r="603" ht="24" customHeight="1" spans="1:17">
      <c r="A603" s="99" t="s">
        <v>345</v>
      </c>
      <c r="B603" s="99" t="s">
        <v>299</v>
      </c>
      <c r="C603" s="99" t="s">
        <v>344</v>
      </c>
      <c r="D603" s="122" t="s">
        <v>327</v>
      </c>
      <c r="E603" s="122" t="s">
        <v>85</v>
      </c>
      <c r="F603" s="124">
        <f t="shared" si="419"/>
        <v>0</v>
      </c>
      <c r="G603" s="124">
        <f t="shared" ref="G603:Q603" si="442">F603+G531</f>
        <v>0</v>
      </c>
      <c r="H603" s="124">
        <f t="shared" si="442"/>
        <v>0</v>
      </c>
      <c r="I603" s="124">
        <f t="shared" si="442"/>
        <v>0</v>
      </c>
      <c r="J603" s="124">
        <f t="shared" si="442"/>
        <v>0</v>
      </c>
      <c r="K603" s="124">
        <f t="shared" si="442"/>
        <v>0</v>
      </c>
      <c r="L603" s="124">
        <f t="shared" si="442"/>
        <v>0</v>
      </c>
      <c r="M603" s="124">
        <f t="shared" si="442"/>
        <v>0</v>
      </c>
      <c r="N603" s="124">
        <f t="shared" si="442"/>
        <v>0</v>
      </c>
      <c r="O603" s="124">
        <f t="shared" si="442"/>
        <v>0</v>
      </c>
      <c r="P603" s="124">
        <f t="shared" si="442"/>
        <v>0</v>
      </c>
      <c r="Q603" s="124">
        <f t="shared" si="442"/>
        <v>0</v>
      </c>
    </row>
    <row r="604" ht="24" customHeight="1" spans="1:17">
      <c r="A604" s="99" t="s">
        <v>345</v>
      </c>
      <c r="B604" s="99" t="s">
        <v>299</v>
      </c>
      <c r="C604" s="99" t="s">
        <v>344</v>
      </c>
      <c r="D604" s="122" t="s">
        <v>327</v>
      </c>
      <c r="E604" s="122" t="s">
        <v>81</v>
      </c>
      <c r="F604" s="124">
        <f t="shared" si="419"/>
        <v>0</v>
      </c>
      <c r="G604" s="124">
        <f t="shared" ref="G604:Q604" si="443">F604+G532</f>
        <v>0</v>
      </c>
      <c r="H604" s="124">
        <f t="shared" si="443"/>
        <v>0</v>
      </c>
      <c r="I604" s="124">
        <f t="shared" si="443"/>
        <v>0</v>
      </c>
      <c r="J604" s="124">
        <f t="shared" si="443"/>
        <v>0</v>
      </c>
      <c r="K604" s="124">
        <f t="shared" si="443"/>
        <v>0</v>
      </c>
      <c r="L604" s="124">
        <f t="shared" si="443"/>
        <v>0</v>
      </c>
      <c r="M604" s="124">
        <f t="shared" si="443"/>
        <v>0</v>
      </c>
      <c r="N604" s="124">
        <f t="shared" si="443"/>
        <v>0</v>
      </c>
      <c r="O604" s="124">
        <f t="shared" si="443"/>
        <v>0</v>
      </c>
      <c r="P604" s="124">
        <f t="shared" si="443"/>
        <v>0</v>
      </c>
      <c r="Q604" s="124">
        <f t="shared" si="443"/>
        <v>0</v>
      </c>
    </row>
    <row r="605" ht="24" customHeight="1" spans="1:17">
      <c r="A605" s="99" t="s">
        <v>345</v>
      </c>
      <c r="B605" s="99" t="s">
        <v>299</v>
      </c>
      <c r="C605" s="99" t="s">
        <v>344</v>
      </c>
      <c r="D605" s="122" t="s">
        <v>327</v>
      </c>
      <c r="E605" s="122" t="s">
        <v>96</v>
      </c>
      <c r="F605" s="124">
        <f t="shared" si="419"/>
        <v>0</v>
      </c>
      <c r="G605" s="124">
        <f t="shared" ref="G605:Q605" si="444">F605+G533</f>
        <v>0</v>
      </c>
      <c r="H605" s="124">
        <f t="shared" si="444"/>
        <v>0</v>
      </c>
      <c r="I605" s="124">
        <f t="shared" si="444"/>
        <v>0</v>
      </c>
      <c r="J605" s="124">
        <f t="shared" si="444"/>
        <v>0.00773999999999978</v>
      </c>
      <c r="K605" s="124">
        <f t="shared" si="444"/>
        <v>0.00773999999999978</v>
      </c>
      <c r="L605" s="124">
        <f t="shared" si="444"/>
        <v>0.00773999999999978</v>
      </c>
      <c r="M605" s="124">
        <f t="shared" si="444"/>
        <v>0.00773999999999978</v>
      </c>
      <c r="N605" s="124">
        <f t="shared" si="444"/>
        <v>0.00773999999999978</v>
      </c>
      <c r="O605" s="124">
        <f t="shared" si="444"/>
        <v>0.00773999999999978</v>
      </c>
      <c r="P605" s="124">
        <f t="shared" si="444"/>
        <v>0.00773999999999978</v>
      </c>
      <c r="Q605" s="124">
        <f t="shared" si="444"/>
        <v>0.00773999999999978</v>
      </c>
    </row>
    <row r="606" ht="24" customHeight="1" spans="1:17">
      <c r="A606" s="99" t="s">
        <v>345</v>
      </c>
      <c r="B606" s="99" t="s">
        <v>299</v>
      </c>
      <c r="C606" s="99" t="s">
        <v>344</v>
      </c>
      <c r="D606" s="122" t="s">
        <v>327</v>
      </c>
      <c r="E606" s="122" t="s">
        <v>160</v>
      </c>
      <c r="F606" s="124">
        <f t="shared" si="419"/>
        <v>0</v>
      </c>
      <c r="G606" s="124">
        <f t="shared" ref="G606:Q606" si="445">F606+G534</f>
        <v>0</v>
      </c>
      <c r="H606" s="124">
        <f t="shared" si="445"/>
        <v>0</v>
      </c>
      <c r="I606" s="124">
        <f t="shared" si="445"/>
        <v>0</v>
      </c>
      <c r="J606" s="124">
        <f t="shared" si="445"/>
        <v>0</v>
      </c>
      <c r="K606" s="124">
        <f t="shared" si="445"/>
        <v>0</v>
      </c>
      <c r="L606" s="124">
        <f t="shared" si="445"/>
        <v>0</v>
      </c>
      <c r="M606" s="124">
        <f t="shared" si="445"/>
        <v>0</v>
      </c>
      <c r="N606" s="124">
        <f t="shared" si="445"/>
        <v>0</v>
      </c>
      <c r="O606" s="124">
        <f t="shared" si="445"/>
        <v>0</v>
      </c>
      <c r="P606" s="124">
        <f t="shared" si="445"/>
        <v>0</v>
      </c>
      <c r="Q606" s="124">
        <f t="shared" si="445"/>
        <v>0</v>
      </c>
    </row>
    <row r="607" ht="24" customHeight="1" spans="1:35">
      <c r="A607" s="99" t="s">
        <v>346</v>
      </c>
      <c r="B607" s="99" t="s">
        <v>290</v>
      </c>
      <c r="C607" s="99" t="s">
        <v>291</v>
      </c>
      <c r="D607" s="100" t="s">
        <v>292</v>
      </c>
      <c r="E607" s="100" t="s">
        <v>293</v>
      </c>
      <c r="F607" s="104">
        <f t="shared" ref="F607:Q607" si="446">IF((SUM(F608:F613)-MAX(F619,F623))&lt;0,"ERR",SUM(F608:F613))</f>
        <v>13</v>
      </c>
      <c r="G607" s="104">
        <f t="shared" si="446"/>
        <v>2</v>
      </c>
      <c r="H607" s="104">
        <f t="shared" si="446"/>
        <v>1</v>
      </c>
      <c r="I607" s="104">
        <f t="shared" si="446"/>
        <v>3</v>
      </c>
      <c r="J607" s="104">
        <f t="shared" si="446"/>
        <v>1</v>
      </c>
      <c r="K607" s="104">
        <f t="shared" si="446"/>
        <v>3</v>
      </c>
      <c r="L607" s="104">
        <f t="shared" si="446"/>
        <v>5</v>
      </c>
      <c r="M607" s="104">
        <f t="shared" si="446"/>
        <v>4</v>
      </c>
      <c r="N607" s="104">
        <f t="shared" si="446"/>
        <v>7</v>
      </c>
      <c r="O607" s="104">
        <f t="shared" si="446"/>
        <v>7</v>
      </c>
      <c r="P607" s="104">
        <f t="shared" si="446"/>
        <v>4</v>
      </c>
      <c r="Q607" s="104">
        <f t="shared" si="446"/>
        <v>3</v>
      </c>
      <c r="S607" s="108" t="s">
        <v>272</v>
      </c>
      <c r="T607" s="108" t="s">
        <v>273</v>
      </c>
      <c r="U607" s="108" t="s">
        <v>274</v>
      </c>
      <c r="V607" s="98" t="s">
        <v>275</v>
      </c>
      <c r="W607" s="98" t="s">
        <v>276</v>
      </c>
      <c r="X607" s="102" t="s">
        <v>277</v>
      </c>
      <c r="Y607" s="103" t="s">
        <v>278</v>
      </c>
      <c r="Z607" s="102" t="s">
        <v>279</v>
      </c>
      <c r="AA607" s="103" t="s">
        <v>280</v>
      </c>
      <c r="AB607" s="102" t="s">
        <v>281</v>
      </c>
      <c r="AC607" s="103" t="s">
        <v>282</v>
      </c>
      <c r="AD607" s="102" t="s">
        <v>283</v>
      </c>
      <c r="AE607" s="103" t="s">
        <v>284</v>
      </c>
      <c r="AF607" s="102" t="s">
        <v>285</v>
      </c>
      <c r="AG607" s="103" t="s">
        <v>286</v>
      </c>
      <c r="AH607" s="102" t="s">
        <v>287</v>
      </c>
      <c r="AI607" s="107" t="s">
        <v>288</v>
      </c>
    </row>
    <row r="608" ht="24" customHeight="1" spans="1:17">
      <c r="A608" s="99" t="s">
        <v>346</v>
      </c>
      <c r="B608" s="99" t="s">
        <v>290</v>
      </c>
      <c r="C608" s="99" t="s">
        <v>291</v>
      </c>
      <c r="D608" s="48" t="s">
        <v>31</v>
      </c>
      <c r="E608" s="48" t="s">
        <v>406</v>
      </c>
      <c r="F608" s="105">
        <f>COUNTIFS('2024数据'!$K$3:$K$152,"&gt;="&amp;DATE(2023,1,1),'2024数据'!$K$3:$K$152,"&lt;="&amp;DATE(2024,1,31),'2024数据'!$AE$3:$AE$152,$E608)</f>
        <v>4</v>
      </c>
      <c r="G608" s="105">
        <f>COUNTIFS('2024数据'!$K$3:$K$152,"&gt;="&amp;DATE(2024,2,1),'2024数据'!$K$3:$K$152,"&lt;="&amp;DATE(2024,2,29),'2024数据'!$AE$3:$AE$152,$E608)</f>
        <v>1</v>
      </c>
      <c r="H608" s="105">
        <f>COUNTIFS('2024数据'!$K$3:$K$152,"&gt;="&amp;DATE(2024,3,1),'2024数据'!$K$3:$K$152,"&lt;="&amp;DATE(2024,3,31),'2024数据'!$AE$3:$AE$152,$E608)</f>
        <v>0</v>
      </c>
      <c r="I608" s="105">
        <f>COUNTIFS('2024数据'!$K$3:$K$152,"&gt;="&amp;DATE(2024,4,1),'2024数据'!$K$3:$K$152,"&lt;="&amp;DATE(2024,4,30),'2024数据'!$AE$3:$AE$152,$E608)</f>
        <v>0</v>
      </c>
      <c r="J608" s="105">
        <f>COUNTIFS('2024数据'!$K$3:$K$152,"&gt;="&amp;DATE(2024,5,1),'2024数据'!$K$3:$K$152,"&lt;="&amp;DATE(2024,5,31),'2024数据'!$AE$3:$AE$152,$E608)</f>
        <v>0</v>
      </c>
      <c r="K608" s="105">
        <f>COUNTIFS('2024数据'!$K$3:$K$152,"&gt;="&amp;DATE(2024,6,1),'2024数据'!$K$3:$K$152,"&lt;="&amp;DATE(2024,6,30),'2024数据'!$AE$3:$AE$152,$E608)</f>
        <v>1</v>
      </c>
      <c r="L608" s="105">
        <f>COUNTIFS('2024数据'!$K$3:$K$152,"&gt;="&amp;DATE(2024,7,1),'2024数据'!$K$3:$K$152,"&lt;="&amp;DATE(2024,7,31),'2024数据'!$AE$3:$AE$152,$E608)</f>
        <v>1</v>
      </c>
      <c r="M608" s="105">
        <f>COUNTIFS('2024数据'!$K$3:$K$152,"&gt;="&amp;DATE(2024,8,1),'2024数据'!$K$3:$K$152,"&lt;="&amp;DATE(2024,8,31),'2024数据'!$AE$3:$AE$152,$E608)</f>
        <v>1</v>
      </c>
      <c r="N608" s="105">
        <f>COUNTIFS('2024数据'!$K$3:$K$152,"&gt;="&amp;DATE(2024,9,1),'2024数据'!$K$3:$K$152,"&lt;="&amp;DATE(2024,9,30),'2024数据'!$AE$3:$AE$152,$E608)</f>
        <v>1</v>
      </c>
      <c r="O608" s="105">
        <f>COUNTIFS('2024数据'!$K$3:$K$152,"&gt;="&amp;DATE(2024,10,1),'2024数据'!$K$3:$K$152,"&lt;="&amp;DATE(2024,10,31),'2024数据'!$AE$3:$AE$152,$E608)</f>
        <v>1</v>
      </c>
      <c r="P608" s="105">
        <f>COUNTIFS('2024数据'!$K$3:$K$152,"&gt;="&amp;DATE(2024,11,1),'2024数据'!$K$3:$K$152,"&lt;="&amp;DATE(2024,11,30),'2024数据'!$AE$3:$AE$152,$E608)</f>
        <v>2</v>
      </c>
      <c r="Q608" s="105">
        <f>COUNTIFS('2024数据'!$K$3:$K$152,"&gt;="&amp;DATE(2024,12,1),'2024数据'!$K$3:$K$152,"&lt;="&amp;DATE(2024,12,31),'2024数据'!$AE$3:$AE$152,$E608)</f>
        <v>0</v>
      </c>
    </row>
    <row r="609" ht="24" customHeight="1" spans="1:17">
      <c r="A609" s="99" t="s">
        <v>346</v>
      </c>
      <c r="B609" s="99" t="s">
        <v>290</v>
      </c>
      <c r="C609" s="99" t="s">
        <v>291</v>
      </c>
      <c r="D609" s="48" t="s">
        <v>31</v>
      </c>
      <c r="E609" s="48" t="s">
        <v>82</v>
      </c>
      <c r="F609" s="105">
        <f>COUNTIFS('2024数据'!$K$3:$K$152,"&gt;="&amp;DATE(2023,1,1),'2024数据'!$K$3:$K$152,"&lt;="&amp;DATE(2024,1,31),'2024数据'!$AE$3:$AE$152,$E609)</f>
        <v>6</v>
      </c>
      <c r="G609" s="105">
        <f>COUNTIFS('2024数据'!$K$3:$K$152,"&gt;="&amp;DATE(2024,2,1),'2024数据'!$K$3:$K$152,"&lt;="&amp;DATE(2024,2,29),'2024数据'!$AE$3:$AE$152,$E609)</f>
        <v>1</v>
      </c>
      <c r="H609" s="105">
        <f>COUNTIFS('2024数据'!$K$3:$K$152,"&gt;="&amp;DATE(2024,3,1),'2024数据'!$K$3:$K$152,"&lt;="&amp;DATE(2024,3,31),'2024数据'!$AE$3:$AE$152,$E609)</f>
        <v>0</v>
      </c>
      <c r="I609" s="105">
        <f>COUNTIFS('2024数据'!$K$3:$K$152,"&gt;="&amp;DATE(2024,4,1),'2024数据'!$K$3:$K$152,"&lt;="&amp;DATE(2024,4,30),'2024数据'!$AE$3:$AE$152,$E609)</f>
        <v>1</v>
      </c>
      <c r="J609" s="105">
        <f>COUNTIFS('2024数据'!$K$3:$K$152,"&gt;="&amp;DATE(2024,5,1),'2024数据'!$K$3:$K$152,"&lt;="&amp;DATE(2024,5,31),'2024数据'!$AE$3:$AE$152,$E609)</f>
        <v>0</v>
      </c>
      <c r="K609" s="105">
        <f>COUNTIFS('2024数据'!$K$3:$K$152,"&gt;="&amp;DATE(2024,6,1),'2024数据'!$K$3:$K$152,"&lt;="&amp;DATE(2024,6,30),'2024数据'!$AE$3:$AE$152,$E609)</f>
        <v>0</v>
      </c>
      <c r="L609" s="105">
        <f>COUNTIFS('2024数据'!$K$3:$K$152,"&gt;="&amp;DATE(2024,7,1),'2024数据'!$K$3:$K$152,"&lt;="&amp;DATE(2024,7,31),'2024数据'!$AE$3:$AE$152,$E609)</f>
        <v>2</v>
      </c>
      <c r="M609" s="105">
        <f>COUNTIFS('2024数据'!$K$3:$K$152,"&gt;="&amp;DATE(2024,8,1),'2024数据'!$K$3:$K$152,"&lt;="&amp;DATE(2024,8,31),'2024数据'!$AE$3:$AE$152,$E609)</f>
        <v>0</v>
      </c>
      <c r="N609" s="105">
        <f>COUNTIFS('2024数据'!$K$3:$K$152,"&gt;="&amp;DATE(2024,9,1),'2024数据'!$K$3:$K$152,"&lt;="&amp;DATE(2024,9,30),'2024数据'!$AE$3:$AE$152,$E609)</f>
        <v>1</v>
      </c>
      <c r="O609" s="105">
        <f>COUNTIFS('2024数据'!$K$3:$K$152,"&gt;="&amp;DATE(2024,10,1),'2024数据'!$K$3:$K$152,"&lt;="&amp;DATE(2024,10,31),'2024数据'!$AE$3:$AE$152,$E609)</f>
        <v>0</v>
      </c>
      <c r="P609" s="105">
        <f>COUNTIFS('2024数据'!$K$3:$K$152,"&gt;="&amp;DATE(2024,11,1),'2024数据'!$K$3:$K$152,"&lt;="&amp;DATE(2024,11,30),'2024数据'!$AE$3:$AE$152,$E609)</f>
        <v>0</v>
      </c>
      <c r="Q609" s="105">
        <f>COUNTIFS('2024数据'!$K$3:$K$152,"&gt;="&amp;DATE(2024,12,1),'2024数据'!$K$3:$K$152,"&lt;="&amp;DATE(2024,12,31),'2024数据'!$AE$3:$AE$152,$E609)</f>
        <v>1</v>
      </c>
    </row>
    <row r="610" ht="24" customHeight="1" spans="1:17">
      <c r="A610" s="99" t="s">
        <v>346</v>
      </c>
      <c r="B610" s="99" t="s">
        <v>290</v>
      </c>
      <c r="C610" s="99" t="s">
        <v>291</v>
      </c>
      <c r="D610" s="48" t="s">
        <v>31</v>
      </c>
      <c r="E610" s="48" t="s">
        <v>86</v>
      </c>
      <c r="F610" s="105">
        <f>COUNTIFS('2024数据'!$K$3:$K$152,"&gt;="&amp;DATE(2023,1,1),'2024数据'!$K$3:$K$152,"&lt;="&amp;DATE(2024,1,31),'2024数据'!$AE$3:$AE$152,$E610)</f>
        <v>2</v>
      </c>
      <c r="G610" s="105">
        <f>COUNTIFS('2024数据'!$K$3:$K$152,"&gt;="&amp;DATE(2024,2,1),'2024数据'!$K$3:$K$152,"&lt;="&amp;DATE(2024,2,29),'2024数据'!$AE$3:$AE$152,$E610)</f>
        <v>0</v>
      </c>
      <c r="H610" s="105">
        <f>COUNTIFS('2024数据'!$K$3:$K$152,"&gt;="&amp;DATE(2024,3,1),'2024数据'!$K$3:$K$152,"&lt;="&amp;DATE(2024,3,31),'2024数据'!$AE$3:$AE$152,$E610)</f>
        <v>0</v>
      </c>
      <c r="I610" s="105">
        <f>COUNTIFS('2024数据'!$K$3:$K$152,"&gt;="&amp;DATE(2024,4,1),'2024数据'!$K$3:$K$152,"&lt;="&amp;DATE(2024,4,30),'2024数据'!$AE$3:$AE$152,$E610)</f>
        <v>2</v>
      </c>
      <c r="J610" s="105">
        <f>COUNTIFS('2024数据'!$K$3:$K$152,"&gt;="&amp;DATE(2024,5,1),'2024数据'!$K$3:$K$152,"&lt;="&amp;DATE(2024,5,31),'2024数据'!$AE$3:$AE$152,$E610)</f>
        <v>1</v>
      </c>
      <c r="K610" s="105">
        <f>COUNTIFS('2024数据'!$K$3:$K$152,"&gt;="&amp;DATE(2024,6,1),'2024数据'!$K$3:$K$152,"&lt;="&amp;DATE(2024,6,30),'2024数据'!$AE$3:$AE$152,$E610)</f>
        <v>1</v>
      </c>
      <c r="L610" s="105">
        <f>COUNTIFS('2024数据'!$K$3:$K$152,"&gt;="&amp;DATE(2024,7,1),'2024数据'!$K$3:$K$152,"&lt;="&amp;DATE(2024,7,31),'2024数据'!$AE$3:$AE$152,$E610)</f>
        <v>1</v>
      </c>
      <c r="M610" s="105">
        <f>COUNTIFS('2024数据'!$K$3:$K$152,"&gt;="&amp;DATE(2024,8,1),'2024数据'!$K$3:$K$152,"&lt;="&amp;DATE(2024,8,31),'2024数据'!$AE$3:$AE$152,$E610)</f>
        <v>3</v>
      </c>
      <c r="N610" s="105">
        <f>COUNTIFS('2024数据'!$K$3:$K$152,"&gt;="&amp;DATE(2024,9,1),'2024数据'!$K$3:$K$152,"&lt;="&amp;DATE(2024,9,30),'2024数据'!$AE$3:$AE$152,$E610)</f>
        <v>5</v>
      </c>
      <c r="O610" s="105">
        <f>COUNTIFS('2024数据'!$K$3:$K$152,"&gt;="&amp;DATE(2024,10,1),'2024数据'!$K$3:$K$152,"&lt;="&amp;DATE(2024,10,31),'2024数据'!$AE$3:$AE$152,$E610)</f>
        <v>3</v>
      </c>
      <c r="P610" s="105">
        <f>COUNTIFS('2024数据'!$K$3:$K$152,"&gt;="&amp;DATE(2024,11,1),'2024数据'!$K$3:$K$152,"&lt;="&amp;DATE(2024,11,30),'2024数据'!$AE$3:$AE$152,$E610)</f>
        <v>1</v>
      </c>
      <c r="Q610" s="105">
        <f>COUNTIFS('2024数据'!$K$3:$K$152,"&gt;="&amp;DATE(2024,12,1),'2024数据'!$K$3:$K$152,"&lt;="&amp;DATE(2024,12,31),'2024数据'!$AE$3:$AE$152,$E610)</f>
        <v>1</v>
      </c>
    </row>
    <row r="611" ht="24" customHeight="1" spans="1:17">
      <c r="A611" s="99" t="s">
        <v>346</v>
      </c>
      <c r="B611" s="99" t="s">
        <v>290</v>
      </c>
      <c r="C611" s="99" t="s">
        <v>291</v>
      </c>
      <c r="D611" s="48" t="s">
        <v>31</v>
      </c>
      <c r="E611" s="48" t="s">
        <v>97</v>
      </c>
      <c r="F611" s="105">
        <f>COUNTIFS('2024数据'!$K$3:$K$152,"&gt;="&amp;DATE(2023,1,1),'2024数据'!$K$3:$K$152,"&lt;="&amp;DATE(2024,1,31),'2024数据'!$AE$3:$AE$152,$E611)</f>
        <v>0</v>
      </c>
      <c r="G611" s="105">
        <f>COUNTIFS('2024数据'!$K$3:$K$152,"&gt;="&amp;DATE(2024,2,1),'2024数据'!$K$3:$K$152,"&lt;="&amp;DATE(2024,2,29),'2024数据'!$AE$3:$AE$152,$E611)</f>
        <v>0</v>
      </c>
      <c r="H611" s="105">
        <f>COUNTIFS('2024数据'!$K$3:$K$152,"&gt;="&amp;DATE(2024,3,1),'2024数据'!$K$3:$K$152,"&lt;="&amp;DATE(2024,3,31),'2024数据'!$AE$3:$AE$152,$E611)</f>
        <v>1</v>
      </c>
      <c r="I611" s="105">
        <f>COUNTIFS('2024数据'!$K$3:$K$152,"&gt;="&amp;DATE(2024,4,1),'2024数据'!$K$3:$K$152,"&lt;="&amp;DATE(2024,4,30),'2024数据'!$AE$3:$AE$152,$E611)</f>
        <v>0</v>
      </c>
      <c r="J611" s="105">
        <f>COUNTIFS('2024数据'!$K$3:$K$152,"&gt;="&amp;DATE(2024,5,1),'2024数据'!$K$3:$K$152,"&lt;="&amp;DATE(2024,5,31),'2024数据'!$AE$3:$AE$152,$E611)</f>
        <v>0</v>
      </c>
      <c r="K611" s="105">
        <f>COUNTIFS('2024数据'!$K$3:$K$152,"&gt;="&amp;DATE(2024,6,1),'2024数据'!$K$3:$K$152,"&lt;="&amp;DATE(2024,6,30),'2024数据'!$AE$3:$AE$152,$E611)</f>
        <v>1</v>
      </c>
      <c r="L611" s="105">
        <f>COUNTIFS('2024数据'!$K$3:$K$152,"&gt;="&amp;DATE(2024,7,1),'2024数据'!$K$3:$K$152,"&lt;="&amp;DATE(2024,7,31),'2024数据'!$AE$3:$AE$152,$E611)</f>
        <v>0</v>
      </c>
      <c r="M611" s="105">
        <f>COUNTIFS('2024数据'!$K$3:$K$152,"&gt;="&amp;DATE(2024,8,1),'2024数据'!$K$3:$K$152,"&lt;="&amp;DATE(2024,8,31),'2024数据'!$AE$3:$AE$152,$E611)</f>
        <v>0</v>
      </c>
      <c r="N611" s="105">
        <f>COUNTIFS('2024数据'!$K$3:$K$152,"&gt;="&amp;DATE(2024,9,1),'2024数据'!$K$3:$K$152,"&lt;="&amp;DATE(2024,9,30),'2024数据'!$AE$3:$AE$152,$E611)</f>
        <v>0</v>
      </c>
      <c r="O611" s="105">
        <f>COUNTIFS('2024数据'!$K$3:$K$152,"&gt;="&amp;DATE(2024,10,1),'2024数据'!$K$3:$K$152,"&lt;="&amp;DATE(2024,10,31),'2024数据'!$AE$3:$AE$152,$E611)</f>
        <v>3</v>
      </c>
      <c r="P611" s="105">
        <f>COUNTIFS('2024数据'!$K$3:$K$152,"&gt;="&amp;DATE(2024,11,1),'2024数据'!$K$3:$K$152,"&lt;="&amp;DATE(2024,11,30),'2024数据'!$AE$3:$AE$152,$E611)</f>
        <v>0</v>
      </c>
      <c r="Q611" s="105">
        <f>COUNTIFS('2024数据'!$K$3:$K$152,"&gt;="&amp;DATE(2024,12,1),'2024数据'!$K$3:$K$152,"&lt;="&amp;DATE(2024,12,31),'2024数据'!$AE$3:$AE$152,$E611)</f>
        <v>0</v>
      </c>
    </row>
    <row r="612" ht="24" customHeight="1" spans="1:17">
      <c r="A612" s="99" t="s">
        <v>346</v>
      </c>
      <c r="B612" s="99" t="s">
        <v>290</v>
      </c>
      <c r="C612" s="99" t="s">
        <v>291</v>
      </c>
      <c r="D612" s="48" t="s">
        <v>31</v>
      </c>
      <c r="E612" s="48" t="s">
        <v>87</v>
      </c>
      <c r="F612" s="105">
        <f>COUNTIFS('2024数据'!$K$3:$K$152,"&gt;="&amp;DATE(2023,1,1),'2024数据'!$K$3:$K$152,"&lt;="&amp;DATE(2024,1,31),'2024数据'!$AE$3:$AE$152,$E612)</f>
        <v>1</v>
      </c>
      <c r="G612" s="105">
        <f>COUNTIFS('2024数据'!$K$3:$K$152,"&gt;="&amp;DATE(2024,2,1),'2024数据'!$K$3:$K$152,"&lt;="&amp;DATE(2024,2,29),'2024数据'!$AE$3:$AE$152,$E612)</f>
        <v>0</v>
      </c>
      <c r="H612" s="105">
        <f>COUNTIFS('2024数据'!$K$3:$K$152,"&gt;="&amp;DATE(2024,3,1),'2024数据'!$K$3:$K$152,"&lt;="&amp;DATE(2024,3,31),'2024数据'!$AE$3:$AE$152,$E612)</f>
        <v>0</v>
      </c>
      <c r="I612" s="105">
        <f>COUNTIFS('2024数据'!$K$3:$K$152,"&gt;="&amp;DATE(2024,4,1),'2024数据'!$K$3:$K$152,"&lt;="&amp;DATE(2024,4,30),'2024数据'!$AE$3:$AE$152,$E612)</f>
        <v>0</v>
      </c>
      <c r="J612" s="105">
        <f>COUNTIFS('2024数据'!$K$3:$K$152,"&gt;="&amp;DATE(2024,5,1),'2024数据'!$K$3:$K$152,"&lt;="&amp;DATE(2024,5,31),'2024数据'!$AE$3:$AE$152,$E612)</f>
        <v>0</v>
      </c>
      <c r="K612" s="105">
        <f>COUNTIFS('2024数据'!$K$3:$K$152,"&gt;="&amp;DATE(2024,6,1),'2024数据'!$K$3:$K$152,"&lt;="&amp;DATE(2024,6,30),'2024数据'!$AE$3:$AE$152,$E612)</f>
        <v>0</v>
      </c>
      <c r="L612" s="105">
        <f>COUNTIFS('2024数据'!$K$3:$K$152,"&gt;="&amp;DATE(2024,7,1),'2024数据'!$K$3:$K$152,"&lt;="&amp;DATE(2024,7,31),'2024数据'!$AE$3:$AE$152,$E612)</f>
        <v>1</v>
      </c>
      <c r="M612" s="105">
        <f>COUNTIFS('2024数据'!$K$3:$K$152,"&gt;="&amp;DATE(2024,8,1),'2024数据'!$K$3:$K$152,"&lt;="&amp;DATE(2024,8,31),'2024数据'!$AE$3:$AE$152,$E612)</f>
        <v>0</v>
      </c>
      <c r="N612" s="105">
        <f>COUNTIFS('2024数据'!$K$3:$K$152,"&gt;="&amp;DATE(2024,9,1),'2024数据'!$K$3:$K$152,"&lt;="&amp;DATE(2024,9,30),'2024数据'!$AE$3:$AE$152,$E612)</f>
        <v>0</v>
      </c>
      <c r="O612" s="105">
        <f>COUNTIFS('2024数据'!$K$3:$K$152,"&gt;="&amp;DATE(2024,10,1),'2024数据'!$K$3:$K$152,"&lt;="&amp;DATE(2024,10,31),'2024数据'!$AE$3:$AE$152,$E612)</f>
        <v>0</v>
      </c>
      <c r="P612" s="105">
        <f>COUNTIFS('2024数据'!$K$3:$K$152,"&gt;="&amp;DATE(2024,11,1),'2024数据'!$K$3:$K$152,"&lt;="&amp;DATE(2024,11,30),'2024数据'!$AE$3:$AE$152,$E612)</f>
        <v>1</v>
      </c>
      <c r="Q612" s="105">
        <f>COUNTIFS('2024数据'!$K$3:$K$152,"&gt;="&amp;DATE(2024,12,1),'2024数据'!$K$3:$K$152,"&lt;="&amp;DATE(2024,12,31),'2024数据'!$AE$3:$AE$152,$E612)</f>
        <v>1</v>
      </c>
    </row>
    <row r="613" ht="24" customHeight="1" spans="1:17">
      <c r="A613" s="99" t="s">
        <v>346</v>
      </c>
      <c r="B613" s="99" t="s">
        <v>290</v>
      </c>
      <c r="C613" s="99" t="s">
        <v>291</v>
      </c>
      <c r="D613" s="48" t="s">
        <v>31</v>
      </c>
      <c r="E613" s="48" t="s">
        <v>83</v>
      </c>
      <c r="F613" s="105">
        <f>COUNTIFS('2024数据'!$K$3:$K$152,"&gt;="&amp;DATE(2023,1,1),'2024数据'!$K$3:$K$152,"&lt;="&amp;DATE(2024,1,31),'2024数据'!$AE$3:$AE$152,$E613)</f>
        <v>0</v>
      </c>
      <c r="G613" s="105">
        <f>COUNTIFS('2024数据'!$K$3:$K$152,"&gt;="&amp;DATE(2024,2,1),'2024数据'!$K$3:$K$152,"&lt;="&amp;DATE(2024,2,29),'2024数据'!$AE$3:$AE$152,$E613)</f>
        <v>0</v>
      </c>
      <c r="H613" s="105">
        <f>COUNTIFS('2024数据'!$K$3:$K$152,"&gt;="&amp;DATE(2024,3,1),'2024数据'!$K$3:$K$152,"&lt;="&amp;DATE(2024,3,31),'2024数据'!$AE$3:$AE$152,$E613)</f>
        <v>0</v>
      </c>
      <c r="I613" s="105">
        <f>COUNTIFS('2024数据'!$K$3:$K$152,"&gt;="&amp;DATE(2024,4,1),'2024数据'!$K$3:$K$152,"&lt;="&amp;DATE(2024,4,30),'2024数据'!$AE$3:$AE$152,$E613)</f>
        <v>0</v>
      </c>
      <c r="J613" s="105">
        <f>COUNTIFS('2024数据'!$K$3:$K$152,"&gt;="&amp;DATE(2024,5,1),'2024数据'!$K$3:$K$152,"&lt;="&amp;DATE(2024,5,31),'2024数据'!$AE$3:$AE$152,$E613)</f>
        <v>0</v>
      </c>
      <c r="K613" s="105">
        <f>COUNTIFS('2024数据'!$K$3:$K$152,"&gt;="&amp;DATE(2024,6,1),'2024数据'!$K$3:$K$152,"&lt;="&amp;DATE(2024,6,30),'2024数据'!$AE$3:$AE$152,$E613)</f>
        <v>0</v>
      </c>
      <c r="L613" s="105">
        <f>COUNTIFS('2024数据'!$K$3:$K$152,"&gt;="&amp;DATE(2024,7,1),'2024数据'!$K$3:$K$152,"&lt;="&amp;DATE(2024,7,31),'2024数据'!$AE$3:$AE$152,$E613)</f>
        <v>0</v>
      </c>
      <c r="M613" s="105">
        <f>COUNTIFS('2024数据'!$K$3:$K$152,"&gt;="&amp;DATE(2024,8,1),'2024数据'!$K$3:$K$152,"&lt;="&amp;DATE(2024,8,31),'2024数据'!$AE$3:$AE$152,$E613)</f>
        <v>0</v>
      </c>
      <c r="N613" s="105">
        <f>COUNTIFS('2024数据'!$K$3:$K$152,"&gt;="&amp;DATE(2024,9,1),'2024数据'!$K$3:$K$152,"&lt;="&amp;DATE(2024,9,30),'2024数据'!$AE$3:$AE$152,$E613)</f>
        <v>0</v>
      </c>
      <c r="O613" s="105">
        <f>COUNTIFS('2024数据'!$K$3:$K$152,"&gt;="&amp;DATE(2024,10,1),'2024数据'!$K$3:$K$152,"&lt;="&amp;DATE(2024,10,31),'2024数据'!$AE$3:$AE$152,$E613)</f>
        <v>0</v>
      </c>
      <c r="P613" s="105">
        <f>COUNTIFS('2024数据'!$K$3:$K$152,"&gt;="&amp;DATE(2024,11,1),'2024数据'!$K$3:$K$152,"&lt;="&amp;DATE(2024,11,30),'2024数据'!$AE$3:$AE$152,$E613)</f>
        <v>0</v>
      </c>
      <c r="Q613" s="105">
        <f>COUNTIFS('2024数据'!$K$3:$K$152,"&gt;="&amp;DATE(2024,12,1),'2024数据'!$K$3:$K$152,"&lt;="&amp;DATE(2024,12,31),'2024数据'!$AE$3:$AE$152,$E613)</f>
        <v>0</v>
      </c>
    </row>
    <row r="614" ht="24" customHeight="1" spans="1:17">
      <c r="A614" s="99" t="s">
        <v>346</v>
      </c>
      <c r="B614" s="99" t="s">
        <v>290</v>
      </c>
      <c r="C614" s="99" t="s">
        <v>291</v>
      </c>
      <c r="D614" s="47" t="s">
        <v>294</v>
      </c>
      <c r="E614" s="47" t="s">
        <v>93</v>
      </c>
      <c r="F614" s="106">
        <f>COUNTIFS('2024数据'!$K$3:$K$152,"&gt;="&amp;DATE(2023,1,1),'2024数据'!$K$3:$K$152,"&lt;="&amp;DATE(2024,1,31),'2024数据'!$B$3:$B$152,$E614)</f>
        <v>7</v>
      </c>
      <c r="G614" s="106">
        <f>COUNTIFS('2024数据'!$K$3:$K$152,"&gt;="&amp;DATE(2024,2,1),'2024数据'!$K$3:$K$152,"&lt;="&amp;DATE(2024,2,29),'2024数据'!$B$3:$B$152,$E614)</f>
        <v>2</v>
      </c>
      <c r="H614" s="106">
        <f>COUNTIFS('2024数据'!$K$3:$K$152,"&gt;="&amp;DATE(2024,3,1),'2024数据'!$K$3:$K$152,"&lt;="&amp;DATE(2024,3,31),'2024数据'!$B$3:$B$152,$E614)</f>
        <v>0</v>
      </c>
      <c r="I614" s="106">
        <f>COUNTIFS('2024数据'!$K$3:$K$152,"&gt;="&amp;DATE(2024,4,1),'2024数据'!$K$3:$K$152,"&lt;="&amp;DATE(2024,4,30),'2024数据'!$B$3:$B$152,$E614)</f>
        <v>1</v>
      </c>
      <c r="J614" s="106">
        <f>COUNTIFS('2024数据'!$K$3:$K$152,"&gt;="&amp;DATE(2024,5,1),'2024数据'!$K$3:$K$152,"&lt;="&amp;DATE(2024,5,31),'2024数据'!$B$3:$B$152,$E614)</f>
        <v>1</v>
      </c>
      <c r="K614" s="106">
        <f>COUNTIFS('2024数据'!$K$3:$K$152,"&gt;="&amp;DATE(2024,6,1),'2024数据'!$K$3:$K$152,"&lt;="&amp;DATE(2024,6,30),'2024数据'!$B$3:$B$152,$E614)</f>
        <v>2</v>
      </c>
      <c r="L614" s="106">
        <f>COUNTIFS('2024数据'!$K$3:$K$152,"&gt;="&amp;DATE(2024,7,1),'2024数据'!$K$3:$K$152,"&lt;="&amp;DATE(2024,7,31),'2024数据'!$B$3:$B$152,$E614)</f>
        <v>3</v>
      </c>
      <c r="M614" s="106">
        <f>COUNTIFS('2024数据'!$K$3:$K$152,"&gt;="&amp;DATE(2024,8,1),'2024数据'!$K$3:$K$152,"&lt;="&amp;DATE(2024,8,31),'2024数据'!$B$3:$B$152,$E614)</f>
        <v>4</v>
      </c>
      <c r="N614" s="106">
        <f>COUNTIFS('2024数据'!$K$3:$K$152,"&gt;="&amp;DATE(2024,9,1),'2024数据'!$K$3:$K$152,"&lt;="&amp;DATE(2024,9,30),'2024数据'!$B$3:$B$152,$E614)</f>
        <v>0</v>
      </c>
      <c r="O614" s="106">
        <f>COUNTIFS('2024数据'!$K$3:$K$152,"&gt;="&amp;DATE(2024,10,1),'2024数据'!$K$3:$K$152,"&lt;="&amp;DATE(2024,10,31),'2024数据'!$B$3:$B$152,$E614)</f>
        <v>3</v>
      </c>
      <c r="P614" s="106">
        <f>COUNTIFS('2024数据'!$K$3:$K$152,"&gt;="&amp;DATE(2024,11,1),'2024数据'!$K$3:$K$152,"&lt;="&amp;DATE(2024,11,30),'2024数据'!$B$3:$B$152,$E614)</f>
        <v>3</v>
      </c>
      <c r="Q614" s="106">
        <f>COUNTIFS('2024数据'!$K$3:$K$152,"&gt;="&amp;DATE(2024,12,1),'2024数据'!$K$3:$K$152,"&lt;="&amp;DATE(2024,12,31),'2024数据'!$B$3:$B$152,$E614)</f>
        <v>0</v>
      </c>
    </row>
    <row r="615" ht="24" customHeight="1" spans="1:17">
      <c r="A615" s="99" t="s">
        <v>346</v>
      </c>
      <c r="B615" s="99" t="s">
        <v>290</v>
      </c>
      <c r="C615" s="99" t="s">
        <v>291</v>
      </c>
      <c r="D615" s="47" t="s">
        <v>294</v>
      </c>
      <c r="E615" s="47" t="s">
        <v>85</v>
      </c>
      <c r="F615" s="106">
        <f>COUNTIFS('2024数据'!$K$3:$K$152,"&gt;="&amp;DATE(2023,1,1),'2024数据'!$K$3:$K$152,"&lt;="&amp;DATE(2024,1,31),'2024数据'!$B$3:$B$152,$E615)</f>
        <v>6</v>
      </c>
      <c r="G615" s="106">
        <f>COUNTIFS('2024数据'!$K$3:$K$152,"&gt;="&amp;DATE(2024,2,1),'2024数据'!$K$3:$K$152,"&lt;="&amp;DATE(2024,2,29),'2024数据'!$B$3:$B$152,$E615)</f>
        <v>0</v>
      </c>
      <c r="H615" s="106">
        <f>COUNTIFS('2024数据'!$K$3:$K$152,"&gt;="&amp;DATE(2024,3,1),'2024数据'!$K$3:$K$152,"&lt;="&amp;DATE(2024,3,31),'2024数据'!$B$3:$B$152,$E615)</f>
        <v>1</v>
      </c>
      <c r="I615" s="106">
        <f>COUNTIFS('2024数据'!$K$3:$K$152,"&gt;="&amp;DATE(2024,4,1),'2024数据'!$K$3:$K$152,"&lt;="&amp;DATE(2024,4,30),'2024数据'!$B$3:$B$152,$E615)</f>
        <v>1</v>
      </c>
      <c r="J615" s="106">
        <f>COUNTIFS('2024数据'!$K$3:$K$152,"&gt;="&amp;DATE(2024,5,1),'2024数据'!$K$3:$K$152,"&lt;="&amp;DATE(2024,5,31),'2024数据'!$B$3:$B$152,$E615)</f>
        <v>0</v>
      </c>
      <c r="K615" s="106">
        <f>COUNTIFS('2024数据'!$K$3:$K$152,"&gt;="&amp;DATE(2024,6,1),'2024数据'!$K$3:$K$152,"&lt;="&amp;DATE(2024,6,30),'2024数据'!$B$3:$B$152,$E615)</f>
        <v>1</v>
      </c>
      <c r="L615" s="106">
        <f>COUNTIFS('2024数据'!$K$3:$K$152,"&gt;="&amp;DATE(2024,7,1),'2024数据'!$K$3:$K$152,"&lt;="&amp;DATE(2024,7,31),'2024数据'!$B$3:$B$152,$E615)</f>
        <v>1</v>
      </c>
      <c r="M615" s="106">
        <f>COUNTIFS('2024数据'!$K$3:$K$152,"&gt;="&amp;DATE(2024,8,1),'2024数据'!$K$3:$K$152,"&lt;="&amp;DATE(2024,8,31),'2024数据'!$B$3:$B$152,$E615)</f>
        <v>0</v>
      </c>
      <c r="N615" s="106">
        <f>COUNTIFS('2024数据'!$K$3:$K$152,"&gt;="&amp;DATE(2024,9,1),'2024数据'!$K$3:$K$152,"&lt;="&amp;DATE(2024,9,30),'2024数据'!$B$3:$B$152,$E615)</f>
        <v>2</v>
      </c>
      <c r="O615" s="106">
        <f>COUNTIFS('2024数据'!$K$3:$K$152,"&gt;="&amp;DATE(2024,10,1),'2024数据'!$K$3:$K$152,"&lt;="&amp;DATE(2024,10,31),'2024数据'!$B$3:$B$152,$E615)</f>
        <v>2</v>
      </c>
      <c r="P615" s="106">
        <f>COUNTIFS('2024数据'!$K$3:$K$152,"&gt;="&amp;DATE(2024,11,1),'2024数据'!$K$3:$K$152,"&lt;="&amp;DATE(2024,11,30),'2024数据'!$B$3:$B$152,$E615)</f>
        <v>1</v>
      </c>
      <c r="Q615" s="106">
        <f>COUNTIFS('2024数据'!$K$3:$K$152,"&gt;="&amp;DATE(2024,12,1),'2024数据'!$K$3:$K$152,"&lt;="&amp;DATE(2024,12,31),'2024数据'!$B$3:$B$152,$E615)</f>
        <v>1</v>
      </c>
    </row>
    <row r="616" ht="24" customHeight="1" spans="1:17">
      <c r="A616" s="99" t="s">
        <v>346</v>
      </c>
      <c r="B616" s="99" t="s">
        <v>290</v>
      </c>
      <c r="C616" s="99" t="s">
        <v>291</v>
      </c>
      <c r="D616" s="47" t="s">
        <v>294</v>
      </c>
      <c r="E616" s="47" t="s">
        <v>81</v>
      </c>
      <c r="F616" s="106">
        <f>COUNTIFS('2024数据'!$K$3:$K$152,"&gt;="&amp;DATE(2023,1,1),'2024数据'!$K$3:$K$152,"&lt;="&amp;DATE(2024,1,31),'2024数据'!$B$3:$B$152,$E616)</f>
        <v>0</v>
      </c>
      <c r="G616" s="106">
        <f>COUNTIFS('2024数据'!$K$3:$K$152,"&gt;="&amp;DATE(2024,2,1),'2024数据'!$K$3:$K$152,"&lt;="&amp;DATE(2024,2,29),'2024数据'!$B$3:$B$152,$E616)</f>
        <v>0</v>
      </c>
      <c r="H616" s="106">
        <f>COUNTIFS('2024数据'!$K$3:$K$152,"&gt;="&amp;DATE(2024,3,1),'2024数据'!$K$3:$K$152,"&lt;="&amp;DATE(2024,3,31),'2024数据'!$B$3:$B$152,$E616)</f>
        <v>0</v>
      </c>
      <c r="I616" s="106">
        <f>COUNTIFS('2024数据'!$K$3:$K$152,"&gt;="&amp;DATE(2024,4,1),'2024数据'!$K$3:$K$152,"&lt;="&amp;DATE(2024,4,30),'2024数据'!$B$3:$B$152,$E616)</f>
        <v>1</v>
      </c>
      <c r="J616" s="106">
        <f>COUNTIFS('2024数据'!$K$3:$K$152,"&gt;="&amp;DATE(2024,5,1),'2024数据'!$K$3:$K$152,"&lt;="&amp;DATE(2024,5,31),'2024数据'!$B$3:$B$152,$E616)</f>
        <v>0</v>
      </c>
      <c r="K616" s="106">
        <f>COUNTIFS('2024数据'!$K$3:$K$152,"&gt;="&amp;DATE(2024,6,1),'2024数据'!$K$3:$K$152,"&lt;="&amp;DATE(2024,6,30),'2024数据'!$B$3:$B$152,$E616)</f>
        <v>0</v>
      </c>
      <c r="L616" s="106">
        <f>COUNTIFS('2024数据'!$K$3:$K$152,"&gt;="&amp;DATE(2024,7,1),'2024数据'!$K$3:$K$152,"&lt;="&amp;DATE(2024,7,31),'2024数据'!$B$3:$B$152,$E616)</f>
        <v>1</v>
      </c>
      <c r="M616" s="106">
        <f>COUNTIFS('2024数据'!$K$3:$K$152,"&gt;="&amp;DATE(2024,8,1),'2024数据'!$K$3:$K$152,"&lt;="&amp;DATE(2024,8,31),'2024数据'!$B$3:$B$152,$E616)</f>
        <v>0</v>
      </c>
      <c r="N616" s="106">
        <f>COUNTIFS('2024数据'!$K$3:$K$152,"&gt;="&amp;DATE(2024,9,1),'2024数据'!$K$3:$K$152,"&lt;="&amp;DATE(2024,9,30),'2024数据'!$B$3:$B$152,$E616)</f>
        <v>4</v>
      </c>
      <c r="O616" s="106">
        <f>COUNTIFS('2024数据'!$K$3:$K$152,"&gt;="&amp;DATE(2024,10,1),'2024数据'!$K$3:$K$152,"&lt;="&amp;DATE(2024,10,31),'2024数据'!$B$3:$B$152,$E616)</f>
        <v>2</v>
      </c>
      <c r="P616" s="106">
        <f>COUNTIFS('2024数据'!$K$3:$K$152,"&gt;="&amp;DATE(2024,11,1),'2024数据'!$K$3:$K$152,"&lt;="&amp;DATE(2024,11,30),'2024数据'!$B$3:$B$152,$E616)</f>
        <v>0</v>
      </c>
      <c r="Q616" s="106">
        <f>COUNTIFS('2024数据'!$K$3:$K$152,"&gt;="&amp;DATE(2024,12,1),'2024数据'!$K$3:$K$152,"&lt;="&amp;DATE(2024,12,31),'2024数据'!$B$3:$B$152,$E616)</f>
        <v>2</v>
      </c>
    </row>
    <row r="617" ht="24" customHeight="1" spans="1:17">
      <c r="A617" s="99" t="s">
        <v>346</v>
      </c>
      <c r="B617" s="99" t="s">
        <v>290</v>
      </c>
      <c r="C617" s="99" t="s">
        <v>291</v>
      </c>
      <c r="D617" s="47" t="s">
        <v>294</v>
      </c>
      <c r="E617" s="47" t="s">
        <v>96</v>
      </c>
      <c r="F617" s="106">
        <f>COUNTIFS('2024数据'!$K$3:$K$152,"&gt;="&amp;DATE(2023,1,1),'2024数据'!$K$3:$K$152,"&lt;="&amp;DATE(2024,1,31),'2024数据'!$B$3:$B$152,$E617)</f>
        <v>0</v>
      </c>
      <c r="G617" s="106">
        <f>COUNTIFS('2024数据'!$K$3:$K$152,"&gt;="&amp;DATE(2024,2,1),'2024数据'!$K$3:$K$152,"&lt;="&amp;DATE(2024,2,29),'2024数据'!$B$3:$B$152,$E617)</f>
        <v>0</v>
      </c>
      <c r="H617" s="106">
        <f>COUNTIFS('2024数据'!$K$3:$K$152,"&gt;="&amp;DATE(2024,3,1),'2024数据'!$K$3:$K$152,"&lt;="&amp;DATE(2024,3,31),'2024数据'!$B$3:$B$152,$E617)</f>
        <v>0</v>
      </c>
      <c r="I617" s="106">
        <f>COUNTIFS('2024数据'!$K$3:$K$152,"&gt;="&amp;DATE(2024,4,1),'2024数据'!$K$3:$K$152,"&lt;="&amp;DATE(2024,4,30),'2024数据'!$B$3:$B$152,$E617)</f>
        <v>0</v>
      </c>
      <c r="J617" s="106">
        <f>COUNTIFS('2024数据'!$K$3:$K$152,"&gt;="&amp;DATE(2024,5,1),'2024数据'!$K$3:$K$152,"&lt;="&amp;DATE(2024,5,31),'2024数据'!$B$3:$B$152,$E617)</f>
        <v>0</v>
      </c>
      <c r="K617" s="106">
        <f>COUNTIFS('2024数据'!$K$3:$K$152,"&gt;="&amp;DATE(2024,6,1),'2024数据'!$K$3:$K$152,"&lt;="&amp;DATE(2024,6,30),'2024数据'!$B$3:$B$152,$E617)</f>
        <v>0</v>
      </c>
      <c r="L617" s="106">
        <f>COUNTIFS('2024数据'!$K$3:$K$152,"&gt;="&amp;DATE(2024,7,1),'2024数据'!$K$3:$K$152,"&lt;="&amp;DATE(2024,7,31),'2024数据'!$B$3:$B$152,$E617)</f>
        <v>0</v>
      </c>
      <c r="M617" s="106">
        <f>COUNTIFS('2024数据'!$K$3:$K$152,"&gt;="&amp;DATE(2024,8,1),'2024数据'!$K$3:$K$152,"&lt;="&amp;DATE(2024,8,31),'2024数据'!$B$3:$B$152,$E617)</f>
        <v>0</v>
      </c>
      <c r="N617" s="106">
        <f>COUNTIFS('2024数据'!$K$3:$K$152,"&gt;="&amp;DATE(2024,9,1),'2024数据'!$K$3:$K$152,"&lt;="&amp;DATE(2024,9,30),'2024数据'!$B$3:$B$152,$E617)</f>
        <v>1</v>
      </c>
      <c r="O617" s="106">
        <f>COUNTIFS('2024数据'!$K$3:$K$152,"&gt;="&amp;DATE(2024,10,1),'2024数据'!$K$3:$K$152,"&lt;="&amp;DATE(2024,10,31),'2024数据'!$B$3:$B$152,$E617)</f>
        <v>0</v>
      </c>
      <c r="P617" s="106">
        <f>COUNTIFS('2024数据'!$K$3:$K$152,"&gt;="&amp;DATE(2024,11,1),'2024数据'!$K$3:$K$152,"&lt;="&amp;DATE(2024,11,30),'2024数据'!$B$3:$B$152,$E617)</f>
        <v>0</v>
      </c>
      <c r="Q617" s="106">
        <f>COUNTIFS('2024数据'!$K$3:$K$152,"&gt;="&amp;DATE(2024,12,1),'2024数据'!$K$3:$K$152,"&lt;="&amp;DATE(2024,12,31),'2024数据'!$B$3:$B$152,$E617)</f>
        <v>0</v>
      </c>
    </row>
    <row r="618" ht="24" customHeight="1" spans="1:17">
      <c r="A618" s="99" t="s">
        <v>346</v>
      </c>
      <c r="B618" s="99" t="s">
        <v>290</v>
      </c>
      <c r="C618" s="99" t="s">
        <v>291</v>
      </c>
      <c r="D618" s="47" t="s">
        <v>294</v>
      </c>
      <c r="E618" s="47" t="s">
        <v>160</v>
      </c>
      <c r="F618" s="106">
        <f t="shared" ref="F618:Q618" si="447">SUM(F608:F613)-SUM(F614:F617)</f>
        <v>0</v>
      </c>
      <c r="G618" s="106">
        <f t="shared" si="447"/>
        <v>0</v>
      </c>
      <c r="H618" s="106">
        <f t="shared" si="447"/>
        <v>0</v>
      </c>
      <c r="I618" s="106">
        <f t="shared" si="447"/>
        <v>0</v>
      </c>
      <c r="J618" s="106">
        <f t="shared" si="447"/>
        <v>0</v>
      </c>
      <c r="K618" s="106">
        <f t="shared" si="447"/>
        <v>0</v>
      </c>
      <c r="L618" s="106">
        <f t="shared" si="447"/>
        <v>0</v>
      </c>
      <c r="M618" s="106">
        <f t="shared" si="447"/>
        <v>0</v>
      </c>
      <c r="N618" s="106">
        <f t="shared" si="447"/>
        <v>0</v>
      </c>
      <c r="O618" s="106">
        <f t="shared" si="447"/>
        <v>0</v>
      </c>
      <c r="P618" s="106">
        <f t="shared" si="447"/>
        <v>0</v>
      </c>
      <c r="Q618" s="106">
        <f t="shared" si="447"/>
        <v>0</v>
      </c>
    </row>
    <row r="619" ht="24" customHeight="1" spans="1:17">
      <c r="A619" s="99" t="s">
        <v>346</v>
      </c>
      <c r="B619" s="99" t="s">
        <v>290</v>
      </c>
      <c r="C619" s="99" t="s">
        <v>291</v>
      </c>
      <c r="D619" s="100" t="s">
        <v>292</v>
      </c>
      <c r="E619" s="100" t="s">
        <v>295</v>
      </c>
      <c r="F619" s="104">
        <f t="shared" ref="F619:Q619" si="448">SUM(F620:F622)</f>
        <v>12</v>
      </c>
      <c r="G619" s="104">
        <f t="shared" si="448"/>
        <v>2</v>
      </c>
      <c r="H619" s="104">
        <f t="shared" si="448"/>
        <v>0</v>
      </c>
      <c r="I619" s="104">
        <f t="shared" si="448"/>
        <v>3</v>
      </c>
      <c r="J619" s="104">
        <f t="shared" si="448"/>
        <v>1</v>
      </c>
      <c r="K619" s="104">
        <f t="shared" si="448"/>
        <v>3</v>
      </c>
      <c r="L619" s="104">
        <f t="shared" si="448"/>
        <v>5</v>
      </c>
      <c r="M619" s="104">
        <f t="shared" si="448"/>
        <v>4</v>
      </c>
      <c r="N619" s="104">
        <f t="shared" si="448"/>
        <v>7</v>
      </c>
      <c r="O619" s="104">
        <f t="shared" si="448"/>
        <v>6</v>
      </c>
      <c r="P619" s="104">
        <f t="shared" si="448"/>
        <v>4</v>
      </c>
      <c r="Q619" s="104">
        <f t="shared" si="448"/>
        <v>3</v>
      </c>
    </row>
    <row r="620" ht="24" customHeight="1" spans="1:17">
      <c r="A620" s="99" t="s">
        <v>346</v>
      </c>
      <c r="B620" s="99" t="s">
        <v>290</v>
      </c>
      <c r="C620" s="99" t="s">
        <v>291</v>
      </c>
      <c r="D620" s="48" t="s">
        <v>296</v>
      </c>
      <c r="E620" s="48" t="s">
        <v>406</v>
      </c>
      <c r="F620" s="105">
        <f>COUNTIFS('2024数据'!$K$3:$K$152,"&gt;="&amp;DATE(2023,1,1),'2024数据'!$K$3:$K$152,"&lt;="&amp;DATE(2024,1,31),'2024数据'!$AF$3:$AF$152,$E620)</f>
        <v>4</v>
      </c>
      <c r="G620" s="105">
        <f>COUNTIFS('2024数据'!$K$3:$K$152,"&gt;="&amp;DATE(2024,2,1),'2024数据'!$K$3:$K$152,"&lt;="&amp;DATE(2024,2,29),'2024数据'!$AF$3:$AF$152,$E620)</f>
        <v>1</v>
      </c>
      <c r="H620" s="105">
        <f>COUNTIFS('2024数据'!$K$3:$K$152,"&gt;="&amp;DATE(2024,3,1),'2024数据'!$K$3:$K$152,"&lt;="&amp;DATE(2024,3,31),'2024数据'!$AF$3:$AF$152,$E620)</f>
        <v>0</v>
      </c>
      <c r="I620" s="105">
        <f>COUNTIFS('2024数据'!$K$3:$K$152,"&gt;="&amp;DATE(2024,4,1),'2024数据'!$K$3:$K$152,"&lt;="&amp;DATE(2024,4,30),'2024数据'!$AF$3:$AF$152,$E620)</f>
        <v>0</v>
      </c>
      <c r="J620" s="105">
        <f>COUNTIFS('2024数据'!$K$3:$K$152,"&gt;="&amp;DATE(2024,5,1),'2024数据'!$K$3:$K$152,"&lt;="&amp;DATE(2024,5,31),'2024数据'!$AF$3:$AF$152,$E620)</f>
        <v>0</v>
      </c>
      <c r="K620" s="105">
        <f>COUNTIFS('2024数据'!$K$3:$K$152,"&gt;="&amp;DATE(2024,6,1),'2024数据'!$K$3:$K$152,"&lt;="&amp;DATE(2024,6,30),'2024数据'!$AF$3:$AF$152,$E620)</f>
        <v>1</v>
      </c>
      <c r="L620" s="105">
        <f>COUNTIFS('2024数据'!$K$3:$K$152,"&gt;="&amp;DATE(2024,7,1),'2024数据'!$K$3:$K$152,"&lt;="&amp;DATE(2024,7,31),'2024数据'!$AF$3:$AF$152,$E620)</f>
        <v>2</v>
      </c>
      <c r="M620" s="105">
        <f>COUNTIFS('2024数据'!$K$3:$K$152,"&gt;="&amp;DATE(2024,8,1),'2024数据'!$K$3:$K$152,"&lt;="&amp;DATE(2024,8,31),'2024数据'!$AF$3:$AF$152,$E620)</f>
        <v>1</v>
      </c>
      <c r="N620" s="105">
        <f>COUNTIFS('2024数据'!$K$3:$K$152,"&gt;="&amp;DATE(2024,9,1),'2024数据'!$K$3:$K$152,"&lt;="&amp;DATE(2024,9,30),'2024数据'!$AF$3:$AF$152,$E620)</f>
        <v>1</v>
      </c>
      <c r="O620" s="105">
        <f>COUNTIFS('2024数据'!$K$3:$K$152,"&gt;="&amp;DATE(2024,10,1),'2024数据'!$K$3:$K$152,"&lt;="&amp;DATE(2024,10,31),'2024数据'!$AF$3:$AF$152,$E620)</f>
        <v>2</v>
      </c>
      <c r="P620" s="105">
        <f>COUNTIFS('2024数据'!$K$3:$K$152,"&gt;="&amp;DATE(2024,11,1),'2024数据'!$K$3:$K$152,"&lt;="&amp;DATE(2024,11,30),'2024数据'!$AF$3:$AF$152,$E620)</f>
        <v>3</v>
      </c>
      <c r="Q620" s="105">
        <f>COUNTIFS('2024数据'!$K$3:$K$152,"&gt;="&amp;DATE(2024,12,1),'2024数据'!$K$3:$K$152,"&lt;="&amp;DATE(2024,12,31),'2024数据'!$AF$3:$AF$152,$E620)</f>
        <v>1</v>
      </c>
    </row>
    <row r="621" ht="24" customHeight="1" spans="1:17">
      <c r="A621" s="99" t="s">
        <v>346</v>
      </c>
      <c r="B621" s="99" t="s">
        <v>290</v>
      </c>
      <c r="C621" s="99" t="s">
        <v>291</v>
      </c>
      <c r="D621" s="48" t="s">
        <v>296</v>
      </c>
      <c r="E621" s="48" t="s">
        <v>82</v>
      </c>
      <c r="F621" s="105">
        <f>COUNTIFS('2024数据'!$K$3:$K$152,"&gt;="&amp;DATE(2023,1,1),'2024数据'!$K$3:$K$152,"&lt;="&amp;DATE(2024,1,31),'2024数据'!$AF$3:$AF$152,$E621)</f>
        <v>6</v>
      </c>
      <c r="G621" s="105">
        <f>COUNTIFS('2024数据'!$K$3:$K$152,"&gt;="&amp;DATE(2024,2,1),'2024数据'!$K$3:$K$152,"&lt;="&amp;DATE(2024,2,29),'2024数据'!$AF$3:$AF$152,$E621)</f>
        <v>1</v>
      </c>
      <c r="H621" s="105">
        <f>COUNTIFS('2024数据'!$K$3:$K$152,"&gt;="&amp;DATE(2024,3,1),'2024数据'!$K$3:$K$152,"&lt;="&amp;DATE(2024,3,31),'2024数据'!$AF$3:$AF$152,$E621)</f>
        <v>0</v>
      </c>
      <c r="I621" s="105">
        <f>COUNTIFS('2024数据'!$K$3:$K$152,"&gt;="&amp;DATE(2024,4,1),'2024数据'!$K$3:$K$152,"&lt;="&amp;DATE(2024,4,30),'2024数据'!$AF$3:$AF$152,$E621)</f>
        <v>1</v>
      </c>
      <c r="J621" s="105">
        <f>COUNTIFS('2024数据'!$K$3:$K$152,"&gt;="&amp;DATE(2024,5,1),'2024数据'!$K$3:$K$152,"&lt;="&amp;DATE(2024,5,31),'2024数据'!$AF$3:$AF$152,$E621)</f>
        <v>0</v>
      </c>
      <c r="K621" s="105">
        <f>COUNTIFS('2024数据'!$K$3:$K$152,"&gt;="&amp;DATE(2024,6,1),'2024数据'!$K$3:$K$152,"&lt;="&amp;DATE(2024,6,30),'2024数据'!$AF$3:$AF$152,$E621)</f>
        <v>1</v>
      </c>
      <c r="L621" s="105">
        <f>COUNTIFS('2024数据'!$K$3:$K$152,"&gt;="&amp;DATE(2024,7,1),'2024数据'!$K$3:$K$152,"&lt;="&amp;DATE(2024,7,31),'2024数据'!$AF$3:$AF$152,$E621)</f>
        <v>2</v>
      </c>
      <c r="M621" s="105">
        <f>COUNTIFS('2024数据'!$K$3:$K$152,"&gt;="&amp;DATE(2024,8,1),'2024数据'!$K$3:$K$152,"&lt;="&amp;DATE(2024,8,31),'2024数据'!$AF$3:$AF$152,$E621)</f>
        <v>0</v>
      </c>
      <c r="N621" s="105">
        <f>COUNTIFS('2024数据'!$K$3:$K$152,"&gt;="&amp;DATE(2024,9,1),'2024数据'!$K$3:$K$152,"&lt;="&amp;DATE(2024,9,30),'2024数据'!$AF$3:$AF$152,$E621)</f>
        <v>1</v>
      </c>
      <c r="O621" s="105">
        <f>COUNTIFS('2024数据'!$K$3:$K$152,"&gt;="&amp;DATE(2024,10,1),'2024数据'!$K$3:$K$152,"&lt;="&amp;DATE(2024,10,31),'2024数据'!$AF$3:$AF$152,$E621)</f>
        <v>1</v>
      </c>
      <c r="P621" s="105">
        <f>COUNTIFS('2024数据'!$K$3:$K$152,"&gt;="&amp;DATE(2024,11,1),'2024数据'!$K$3:$K$152,"&lt;="&amp;DATE(2024,11,30),'2024数据'!$AF$3:$AF$152,$E621)</f>
        <v>0</v>
      </c>
      <c r="Q621" s="105">
        <f>COUNTIFS('2024数据'!$K$3:$K$152,"&gt;="&amp;DATE(2024,12,1),'2024数据'!$K$3:$K$152,"&lt;="&amp;DATE(2024,12,31),'2024数据'!$AF$3:$AF$152,$E621)</f>
        <v>1</v>
      </c>
    </row>
    <row r="622" ht="24" customHeight="1" spans="1:17">
      <c r="A622" s="99" t="s">
        <v>346</v>
      </c>
      <c r="B622" s="99" t="s">
        <v>290</v>
      </c>
      <c r="C622" s="99" t="s">
        <v>291</v>
      </c>
      <c r="D622" s="48" t="s">
        <v>296</v>
      </c>
      <c r="E622" s="48" t="s">
        <v>86</v>
      </c>
      <c r="F622" s="105">
        <f>COUNTIFS('2024数据'!$K$3:$K$152,"&gt;="&amp;DATE(2023,1,1),'2024数据'!$K$3:$K$152,"&lt;="&amp;DATE(2024,1,31),'2024数据'!$AF$3:$AF$152,$E622)</f>
        <v>2</v>
      </c>
      <c r="G622" s="105">
        <f>COUNTIFS('2024数据'!$K$3:$K$152,"&gt;="&amp;DATE(2024,2,1),'2024数据'!$K$3:$K$152,"&lt;="&amp;DATE(2024,2,29),'2024数据'!$AF$3:$AF$152,$E622)</f>
        <v>0</v>
      </c>
      <c r="H622" s="105">
        <f>COUNTIFS('2024数据'!$K$3:$K$152,"&gt;="&amp;DATE(2024,3,1),'2024数据'!$K$3:$K$152,"&lt;="&amp;DATE(2024,3,31),'2024数据'!$AF$3:$AF$152,$E622)</f>
        <v>0</v>
      </c>
      <c r="I622" s="105">
        <f>COUNTIFS('2024数据'!$K$3:$K$152,"&gt;="&amp;DATE(2024,4,1),'2024数据'!$K$3:$K$152,"&lt;="&amp;DATE(2024,4,30),'2024数据'!$AF$3:$AF$152,$E622)</f>
        <v>2</v>
      </c>
      <c r="J622" s="105">
        <f>COUNTIFS('2024数据'!$K$3:$K$152,"&gt;="&amp;DATE(2024,5,1),'2024数据'!$K$3:$K$152,"&lt;="&amp;DATE(2024,5,31),'2024数据'!$AF$3:$AF$152,$E622)</f>
        <v>1</v>
      </c>
      <c r="K622" s="105">
        <f>COUNTIFS('2024数据'!$K$3:$K$152,"&gt;="&amp;DATE(2024,6,1),'2024数据'!$K$3:$K$152,"&lt;="&amp;DATE(2024,6,30),'2024数据'!$AF$3:$AF$152,$E622)</f>
        <v>1</v>
      </c>
      <c r="L622" s="105">
        <f>COUNTIFS('2024数据'!$K$3:$K$152,"&gt;="&amp;DATE(2024,7,1),'2024数据'!$K$3:$K$152,"&lt;="&amp;DATE(2024,7,31),'2024数据'!$AF$3:$AF$152,$E622)</f>
        <v>1</v>
      </c>
      <c r="M622" s="105">
        <f>COUNTIFS('2024数据'!$K$3:$K$152,"&gt;="&amp;DATE(2024,8,1),'2024数据'!$K$3:$K$152,"&lt;="&amp;DATE(2024,8,31),'2024数据'!$AF$3:$AF$152,$E622)</f>
        <v>3</v>
      </c>
      <c r="N622" s="105">
        <f>COUNTIFS('2024数据'!$K$3:$K$152,"&gt;="&amp;DATE(2024,9,1),'2024数据'!$K$3:$K$152,"&lt;="&amp;DATE(2024,9,30),'2024数据'!$AF$3:$AF$152,$E622)</f>
        <v>5</v>
      </c>
      <c r="O622" s="105">
        <f>COUNTIFS('2024数据'!$K$3:$K$152,"&gt;="&amp;DATE(2024,10,1),'2024数据'!$K$3:$K$152,"&lt;="&amp;DATE(2024,10,31),'2024数据'!$AF$3:$AF$152,$E622)</f>
        <v>3</v>
      </c>
      <c r="P622" s="105">
        <f>COUNTIFS('2024数据'!$K$3:$K$152,"&gt;="&amp;DATE(2024,11,1),'2024数据'!$K$3:$K$152,"&lt;="&amp;DATE(2024,11,30),'2024数据'!$AF$3:$AF$152,$E622)</f>
        <v>1</v>
      </c>
      <c r="Q622" s="105">
        <f>COUNTIFS('2024数据'!$K$3:$K$152,"&gt;="&amp;DATE(2024,12,1),'2024数据'!$K$3:$K$152,"&lt;="&amp;DATE(2024,12,31),'2024数据'!$AF$3:$AF$152,$E622)</f>
        <v>1</v>
      </c>
    </row>
    <row r="623" ht="24" customHeight="1" spans="1:17">
      <c r="A623" s="99" t="s">
        <v>346</v>
      </c>
      <c r="B623" s="99" t="s">
        <v>290</v>
      </c>
      <c r="C623" s="99" t="s">
        <v>291</v>
      </c>
      <c r="D623" s="100" t="s">
        <v>292</v>
      </c>
      <c r="E623" s="100" t="s">
        <v>297</v>
      </c>
      <c r="F623" s="104">
        <f t="shared" ref="F623:Q623" si="449">SUM(F624:F626)</f>
        <v>3</v>
      </c>
      <c r="G623" s="104">
        <f t="shared" si="449"/>
        <v>2</v>
      </c>
      <c r="H623" s="104">
        <f t="shared" si="449"/>
        <v>1</v>
      </c>
      <c r="I623" s="104">
        <f t="shared" si="449"/>
        <v>2</v>
      </c>
      <c r="J623" s="104">
        <f t="shared" si="449"/>
        <v>0</v>
      </c>
      <c r="K623" s="104">
        <f t="shared" si="449"/>
        <v>2</v>
      </c>
      <c r="L623" s="104">
        <f t="shared" si="449"/>
        <v>3</v>
      </c>
      <c r="M623" s="104">
        <f t="shared" si="449"/>
        <v>4</v>
      </c>
      <c r="N623" s="104">
        <f t="shared" si="449"/>
        <v>2</v>
      </c>
      <c r="O623" s="104">
        <f t="shared" si="449"/>
        <v>6</v>
      </c>
      <c r="P623" s="104">
        <f t="shared" si="449"/>
        <v>3</v>
      </c>
      <c r="Q623" s="104">
        <f t="shared" si="449"/>
        <v>3</v>
      </c>
    </row>
    <row r="624" ht="24" customHeight="1" spans="1:17">
      <c r="A624" s="99" t="s">
        <v>346</v>
      </c>
      <c r="B624" s="99" t="s">
        <v>290</v>
      </c>
      <c r="C624" s="99" t="s">
        <v>291</v>
      </c>
      <c r="D624" s="48" t="s">
        <v>298</v>
      </c>
      <c r="E624" s="48" t="s">
        <v>97</v>
      </c>
      <c r="F624" s="105">
        <f>COUNTIFS('2024数据'!$K$3:$K$152,"&gt;="&amp;DATE(2023,1,1),'2024数据'!$K$3:$K$152,"&lt;="&amp;DATE(2024,1,31),'2024数据'!$AG$3:$AG$152,$E624)</f>
        <v>2</v>
      </c>
      <c r="G624" s="105">
        <f>COUNTIFS('2024数据'!$K$3:$K$152,"&gt;="&amp;DATE(2024,2,1),'2024数据'!$K$3:$K$152,"&lt;="&amp;DATE(2024,2,29),'2024数据'!$AG$3:$AG$152,$E624)</f>
        <v>2</v>
      </c>
      <c r="H624" s="105">
        <f>COUNTIFS('2024数据'!$K$3:$K$152,"&gt;="&amp;DATE(2024,3,1),'2024数据'!$K$3:$K$152,"&lt;="&amp;DATE(2024,3,31),'2024数据'!$AG$3:$AG$152,$E624)</f>
        <v>1</v>
      </c>
      <c r="I624" s="105">
        <f>COUNTIFS('2024数据'!$K$3:$K$152,"&gt;="&amp;DATE(2024,4,1),'2024数据'!$K$3:$K$152,"&lt;="&amp;DATE(2024,4,30),'2024数据'!$AG$3:$AG$152,$E624)</f>
        <v>1</v>
      </c>
      <c r="J624" s="105">
        <f>COUNTIFS('2024数据'!$K$3:$K$152,"&gt;="&amp;DATE(2024,5,1),'2024数据'!$K$3:$K$152,"&lt;="&amp;DATE(2024,5,31),'2024数据'!$AG$3:$AG$152,$E624)</f>
        <v>0</v>
      </c>
      <c r="K624" s="105">
        <f>COUNTIFS('2024数据'!$K$3:$K$152,"&gt;="&amp;DATE(2024,6,1),'2024数据'!$K$3:$K$152,"&lt;="&amp;DATE(2024,6,30),'2024数据'!$AG$3:$AG$152,$E624)</f>
        <v>1</v>
      </c>
      <c r="L624" s="105">
        <f>COUNTIFS('2024数据'!$K$3:$K$152,"&gt;="&amp;DATE(2024,7,1),'2024数据'!$K$3:$K$152,"&lt;="&amp;DATE(2024,7,31),'2024数据'!$AG$3:$AG$152,$E624)</f>
        <v>1</v>
      </c>
      <c r="M624" s="105">
        <f>COUNTIFS('2024数据'!$K$3:$K$152,"&gt;="&amp;DATE(2024,8,1),'2024数据'!$K$3:$K$152,"&lt;="&amp;DATE(2024,8,31),'2024数据'!$AG$3:$AG$152,$E624)</f>
        <v>3</v>
      </c>
      <c r="N624" s="105">
        <f>COUNTIFS('2024数据'!$K$3:$K$152,"&gt;="&amp;DATE(2024,9,1),'2024数据'!$K$3:$K$152,"&lt;="&amp;DATE(2024,9,30),'2024数据'!$AG$3:$AG$152,$E624)</f>
        <v>0</v>
      </c>
      <c r="O624" s="105">
        <f>COUNTIFS('2024数据'!$K$3:$K$152,"&gt;="&amp;DATE(2024,10,1),'2024数据'!$K$3:$K$152,"&lt;="&amp;DATE(2024,10,31),'2024数据'!$AG$3:$AG$152,$E624)</f>
        <v>5</v>
      </c>
      <c r="P624" s="105">
        <f>COUNTIFS('2024数据'!$K$3:$K$152,"&gt;="&amp;DATE(2024,11,1),'2024数据'!$K$3:$K$152,"&lt;="&amp;DATE(2024,11,30),'2024数据'!$AG$3:$AG$152,$E624)</f>
        <v>1</v>
      </c>
      <c r="Q624" s="105">
        <f>COUNTIFS('2024数据'!$K$3:$K$152,"&gt;="&amp;DATE(2024,12,1),'2024数据'!$K$3:$K$152,"&lt;="&amp;DATE(2024,12,31),'2024数据'!$AG$3:$AG$152,$E624)</f>
        <v>1</v>
      </c>
    </row>
    <row r="625" ht="24" customHeight="1" spans="1:17">
      <c r="A625" s="99" t="s">
        <v>346</v>
      </c>
      <c r="B625" s="99" t="s">
        <v>290</v>
      </c>
      <c r="C625" s="99" t="s">
        <v>291</v>
      </c>
      <c r="D625" s="48" t="s">
        <v>298</v>
      </c>
      <c r="E625" s="48" t="s">
        <v>87</v>
      </c>
      <c r="F625" s="105">
        <f>COUNTIFS('2024数据'!$K$3:$K$152,"&gt;="&amp;DATE(2023,1,1),'2024数据'!$K$3:$K$152,"&lt;="&amp;DATE(2024,1,31),'2024数据'!$AG$3:$AG$152,$E625)</f>
        <v>1</v>
      </c>
      <c r="G625" s="105">
        <f>COUNTIFS('2024数据'!$K$3:$K$152,"&gt;="&amp;DATE(2024,2,1),'2024数据'!$K$3:$K$152,"&lt;="&amp;DATE(2024,2,29),'2024数据'!$AG$3:$AG$152,$E625)</f>
        <v>0</v>
      </c>
      <c r="H625" s="105">
        <f>COUNTIFS('2024数据'!$K$3:$K$152,"&gt;="&amp;DATE(2024,3,1),'2024数据'!$K$3:$K$152,"&lt;="&amp;DATE(2024,3,31),'2024数据'!$AG$3:$AG$152,$E625)</f>
        <v>0</v>
      </c>
      <c r="I625" s="105">
        <f>COUNTIFS('2024数据'!$K$3:$K$152,"&gt;="&amp;DATE(2024,4,1),'2024数据'!$K$3:$K$152,"&lt;="&amp;DATE(2024,4,30),'2024数据'!$AG$3:$AG$152,$E625)</f>
        <v>1</v>
      </c>
      <c r="J625" s="105">
        <f>COUNTIFS('2024数据'!$K$3:$K$152,"&gt;="&amp;DATE(2024,5,1),'2024数据'!$K$3:$K$152,"&lt;="&amp;DATE(2024,5,31),'2024数据'!$AG$3:$AG$152,$E625)</f>
        <v>0</v>
      </c>
      <c r="K625" s="105">
        <f>COUNTIFS('2024数据'!$K$3:$K$152,"&gt;="&amp;DATE(2024,6,1),'2024数据'!$K$3:$K$152,"&lt;="&amp;DATE(2024,6,30),'2024数据'!$AG$3:$AG$152,$E625)</f>
        <v>0</v>
      </c>
      <c r="L625" s="105">
        <f>COUNTIFS('2024数据'!$K$3:$K$152,"&gt;="&amp;DATE(2024,7,1),'2024数据'!$K$3:$K$152,"&lt;="&amp;DATE(2024,7,31),'2024数据'!$AG$3:$AG$152,$E625)</f>
        <v>2</v>
      </c>
      <c r="M625" s="105">
        <f>COUNTIFS('2024数据'!$K$3:$K$152,"&gt;="&amp;DATE(2024,8,1),'2024数据'!$K$3:$K$152,"&lt;="&amp;DATE(2024,8,31),'2024数据'!$AG$3:$AG$152,$E625)</f>
        <v>1</v>
      </c>
      <c r="N625" s="105">
        <f>COUNTIFS('2024数据'!$K$3:$K$152,"&gt;="&amp;DATE(2024,9,1),'2024数据'!$K$3:$K$152,"&lt;="&amp;DATE(2024,9,30),'2024数据'!$AG$3:$AG$152,$E625)</f>
        <v>1</v>
      </c>
      <c r="O625" s="105">
        <f>COUNTIFS('2024数据'!$K$3:$K$152,"&gt;="&amp;DATE(2024,10,1),'2024数据'!$K$3:$K$152,"&lt;="&amp;DATE(2024,10,31),'2024数据'!$AG$3:$AG$152,$E625)</f>
        <v>0</v>
      </c>
      <c r="P625" s="105">
        <f>COUNTIFS('2024数据'!$K$3:$K$152,"&gt;="&amp;DATE(2024,11,1),'2024数据'!$K$3:$K$152,"&lt;="&amp;DATE(2024,11,30),'2024数据'!$AG$3:$AG$152,$E625)</f>
        <v>2</v>
      </c>
      <c r="Q625" s="105">
        <f>COUNTIFS('2024数据'!$K$3:$K$152,"&gt;="&amp;DATE(2024,12,1),'2024数据'!$K$3:$K$152,"&lt;="&amp;DATE(2024,12,31),'2024数据'!$AG$3:$AG$152,$E625)</f>
        <v>1</v>
      </c>
    </row>
    <row r="626" ht="24" customHeight="1" spans="1:17">
      <c r="A626" s="99" t="s">
        <v>346</v>
      </c>
      <c r="B626" s="99" t="s">
        <v>290</v>
      </c>
      <c r="C626" s="99" t="s">
        <v>291</v>
      </c>
      <c r="D626" s="48" t="s">
        <v>298</v>
      </c>
      <c r="E626" s="48" t="s">
        <v>83</v>
      </c>
      <c r="F626" s="105">
        <f>COUNTIFS('2024数据'!$K$3:$K$152,"&gt;="&amp;DATE(2023,1,1),'2024数据'!$K$3:$K$152,"&lt;="&amp;DATE(2024,1,31),'2024数据'!$AG$3:$AG$152,$E626)</f>
        <v>0</v>
      </c>
      <c r="G626" s="105">
        <f>COUNTIFS('2024数据'!$K$3:$K$152,"&gt;="&amp;DATE(2024,2,1),'2024数据'!$K$3:$K$152,"&lt;="&amp;DATE(2024,2,29),'2024数据'!$AG$3:$AG$152,$E626)</f>
        <v>0</v>
      </c>
      <c r="H626" s="105">
        <f>COUNTIFS('2024数据'!$K$3:$K$152,"&gt;="&amp;DATE(2024,3,1),'2024数据'!$K$3:$K$152,"&lt;="&amp;DATE(2024,3,31),'2024数据'!$AG$3:$AG$152,$E626)</f>
        <v>0</v>
      </c>
      <c r="I626" s="105">
        <f>COUNTIFS('2024数据'!$K$3:$K$152,"&gt;="&amp;DATE(2024,4,1),'2024数据'!$K$3:$K$152,"&lt;="&amp;DATE(2024,4,30),'2024数据'!$AG$3:$AG$152,$E626)</f>
        <v>0</v>
      </c>
      <c r="J626" s="105">
        <f>COUNTIFS('2024数据'!$K$3:$K$152,"&gt;="&amp;DATE(2024,5,1),'2024数据'!$K$3:$K$152,"&lt;="&amp;DATE(2024,5,31),'2024数据'!$AG$3:$AG$152,$E626)</f>
        <v>0</v>
      </c>
      <c r="K626" s="105">
        <f>COUNTIFS('2024数据'!$K$3:$K$152,"&gt;="&amp;DATE(2024,6,1),'2024数据'!$K$3:$K$152,"&lt;="&amp;DATE(2024,6,30),'2024数据'!$AG$3:$AG$152,$E626)</f>
        <v>1</v>
      </c>
      <c r="L626" s="105">
        <f>COUNTIFS('2024数据'!$K$3:$K$152,"&gt;="&amp;DATE(2024,7,1),'2024数据'!$K$3:$K$152,"&lt;="&amp;DATE(2024,7,31),'2024数据'!$AG$3:$AG$152,$E626)</f>
        <v>0</v>
      </c>
      <c r="M626" s="105">
        <f>COUNTIFS('2024数据'!$K$3:$K$152,"&gt;="&amp;DATE(2024,8,1),'2024数据'!$K$3:$K$152,"&lt;="&amp;DATE(2024,8,31),'2024数据'!$AG$3:$AG$152,$E626)</f>
        <v>0</v>
      </c>
      <c r="N626" s="105">
        <f>COUNTIFS('2024数据'!$K$3:$K$152,"&gt;="&amp;DATE(2024,9,1),'2024数据'!$K$3:$K$152,"&lt;="&amp;DATE(2024,9,30),'2024数据'!$AG$3:$AG$152,$E626)</f>
        <v>1</v>
      </c>
      <c r="O626" s="105">
        <f>COUNTIFS('2024数据'!$K$3:$K$152,"&gt;="&amp;DATE(2024,10,1),'2024数据'!$K$3:$K$152,"&lt;="&amp;DATE(2024,10,31),'2024数据'!$AG$3:$AG$152,$E626)</f>
        <v>1</v>
      </c>
      <c r="P626" s="105">
        <f>COUNTIFS('2024数据'!$K$3:$K$152,"&gt;="&amp;DATE(2024,11,1),'2024数据'!$K$3:$K$152,"&lt;="&amp;DATE(2024,11,30),'2024数据'!$AG$3:$AG$152,$E626)</f>
        <v>0</v>
      </c>
      <c r="Q626" s="105">
        <f>COUNTIFS('2024数据'!$K$3:$K$152,"&gt;="&amp;DATE(2024,12,1),'2024数据'!$K$3:$K$152,"&lt;="&amp;DATE(2024,12,31),'2024数据'!$AG$3:$AG$152,$E626)</f>
        <v>1</v>
      </c>
    </row>
    <row r="627" ht="24" customHeight="1" spans="1:17">
      <c r="A627" s="99" t="s">
        <v>346</v>
      </c>
      <c r="B627" s="99" t="s">
        <v>299</v>
      </c>
      <c r="C627" s="99" t="s">
        <v>291</v>
      </c>
      <c r="D627" s="100" t="s">
        <v>292</v>
      </c>
      <c r="E627" s="100" t="s">
        <v>300</v>
      </c>
      <c r="F627" s="104">
        <f t="shared" ref="F627:Q627" si="450">IF((SUM(F628:F633)-MAX(F657,F661))&lt;0,"ERR",SUM(F628:F633))</f>
        <v>8</v>
      </c>
      <c r="G627" s="104">
        <f t="shared" si="450"/>
        <v>3</v>
      </c>
      <c r="H627" s="104">
        <f t="shared" si="450"/>
        <v>5</v>
      </c>
      <c r="I627" s="104">
        <f t="shared" si="450"/>
        <v>1</v>
      </c>
      <c r="J627" s="104">
        <f t="shared" si="450"/>
        <v>3</v>
      </c>
      <c r="K627" s="104">
        <f t="shared" si="450"/>
        <v>2</v>
      </c>
      <c r="L627" s="104">
        <f t="shared" si="450"/>
        <v>2</v>
      </c>
      <c r="M627" s="104">
        <f t="shared" si="450"/>
        <v>5</v>
      </c>
      <c r="N627" s="104">
        <f t="shared" si="450"/>
        <v>7</v>
      </c>
      <c r="O627" s="104">
        <f t="shared" si="450"/>
        <v>7</v>
      </c>
      <c r="P627" s="104">
        <f t="shared" si="450"/>
        <v>5</v>
      </c>
      <c r="Q627" s="104">
        <f t="shared" si="450"/>
        <v>5</v>
      </c>
    </row>
    <row r="628" ht="24" customHeight="1" spans="1:17">
      <c r="A628" s="99" t="s">
        <v>346</v>
      </c>
      <c r="B628" s="99" t="s">
        <v>299</v>
      </c>
      <c r="C628" s="99" t="s">
        <v>291</v>
      </c>
      <c r="D628" s="48" t="s">
        <v>31</v>
      </c>
      <c r="E628" s="48" t="s">
        <v>406</v>
      </c>
      <c r="F628" s="105">
        <f>COUNTIFS('2024数据'!$L$3:$L$152,"&gt;="&amp;DATE(2024,1,1),'2024数据'!$L$3:$L$152,"&lt;="&amp;DATE(2024,1,31),'2024数据'!$AE$3:$AE$152,$E628)</f>
        <v>2</v>
      </c>
      <c r="G628" s="105">
        <f>COUNTIFS('2024数据'!$L$3:$L$152,"&gt;="&amp;DATE(2024,2,1),'2024数据'!$L$3:$L$152,"&lt;="&amp;DATE(2024,2,29),'2024数据'!$AE$3:$AE$152,$E628)</f>
        <v>1</v>
      </c>
      <c r="H628" s="105">
        <f>COUNTIFS('2024数据'!$L$3:$L$152,"&gt;="&amp;DATE(2024,3,1),'2024数据'!$L$3:$L$152,"&lt;="&amp;DATE(2024,3,31),'2024数据'!$AE$3:$AE$152,$E628)</f>
        <v>2</v>
      </c>
      <c r="I628" s="105">
        <f>COUNTIFS('2024数据'!$L$3:$L$152,"&gt;="&amp;DATE(2024,4,1),'2024数据'!$L$3:$L$152,"&lt;="&amp;DATE(2024,4,30),'2024数据'!$AE$3:$AE$152,$E628)</f>
        <v>0</v>
      </c>
      <c r="J628" s="105">
        <f>COUNTIFS('2024数据'!$L$3:$L$152,"&gt;="&amp;DATE(2024,5,1),'2024数据'!$L$3:$L$152,"&lt;="&amp;DATE(2024,5,31),'2024数据'!$AE$3:$AE$152,$E628)</f>
        <v>0</v>
      </c>
      <c r="K628" s="105">
        <f>COUNTIFS('2024数据'!$L$3:$L$152,"&gt;="&amp;DATE(2024,6,1),'2024数据'!$L$3:$L$152,"&lt;="&amp;DATE(2024,6,30),'2024数据'!$AE$3:$AE$152,$E628)</f>
        <v>1</v>
      </c>
      <c r="L628" s="105">
        <f>COUNTIFS('2024数据'!$L$3:$L$152,"&gt;="&amp;DATE(2024,7,1),'2024数据'!$L$3:$L$152,"&lt;="&amp;DATE(2024,7,31),'2024数据'!$AE$3:$AE$152,$E628)</f>
        <v>1</v>
      </c>
      <c r="M628" s="105">
        <f>COUNTIFS('2024数据'!$L$3:$L$152,"&gt;="&amp;DATE(2024,8,1),'2024数据'!$L$3:$L$152,"&lt;="&amp;DATE(2024,8,31),'2024数据'!$AE$3:$AE$152,$E628)</f>
        <v>0</v>
      </c>
      <c r="N628" s="105">
        <f>COUNTIFS('2024数据'!$L$3:$L$152,"&gt;="&amp;DATE(2024,9,1),'2024数据'!$L$3:$L$152,"&lt;="&amp;DATE(2024,9,30),'2024数据'!$AE$3:$AE$152,$E628)</f>
        <v>2</v>
      </c>
      <c r="O628" s="105">
        <f>COUNTIFS('2024数据'!$L$3:$L$152,"&gt;="&amp;DATE(2024,10,1),'2024数据'!$L$3:$L$152,"&lt;="&amp;DATE(2024,10,31),'2024数据'!$AE$3:$AE$152,$E628)</f>
        <v>1</v>
      </c>
      <c r="P628" s="105">
        <f>COUNTIFS('2024数据'!$L$3:$L$152,"&gt;="&amp;DATE(2024,11,1),'2024数据'!$L$3:$L$152,"&lt;="&amp;DATE(2024,11,30),'2024数据'!$AE$3:$AE$152,$E628)</f>
        <v>1</v>
      </c>
      <c r="Q628" s="105">
        <f>COUNTIFS('2024数据'!$L$3:$L$152,"&gt;="&amp;DATE(2024,12,1),'2024数据'!$L$3:$L$152,"&lt;="&amp;DATE(2024,12,31),'2024数据'!$AE$3:$AE$152,$E628)</f>
        <v>1</v>
      </c>
    </row>
    <row r="629" ht="24" customHeight="1" spans="1:17">
      <c r="A629" s="99" t="s">
        <v>346</v>
      </c>
      <c r="B629" s="99" t="s">
        <v>299</v>
      </c>
      <c r="C629" s="99" t="s">
        <v>291</v>
      </c>
      <c r="D629" s="48" t="s">
        <v>31</v>
      </c>
      <c r="E629" s="48" t="s">
        <v>82</v>
      </c>
      <c r="F629" s="105">
        <f>COUNTIFS('2024数据'!$L$3:$L$152,"&gt;="&amp;DATE(2024,1,1),'2024数据'!$L$3:$L$152,"&lt;="&amp;DATE(2024,1,31),'2024数据'!$AE$3:$AE$152,$E629)</f>
        <v>5</v>
      </c>
      <c r="G629" s="105">
        <f>COUNTIFS('2024数据'!$L$3:$L$152,"&gt;="&amp;DATE(2024,2,1),'2024数据'!$L$3:$L$152,"&lt;="&amp;DATE(2024,2,29),'2024数据'!$AE$3:$AE$152,$E629)</f>
        <v>1</v>
      </c>
      <c r="H629" s="105">
        <f>COUNTIFS('2024数据'!$L$3:$L$152,"&gt;="&amp;DATE(2024,3,1),'2024数据'!$L$3:$L$152,"&lt;="&amp;DATE(2024,3,31),'2024数据'!$AE$3:$AE$152,$E629)</f>
        <v>1</v>
      </c>
      <c r="I629" s="105">
        <f>COUNTIFS('2024数据'!$L$3:$L$152,"&gt;="&amp;DATE(2024,4,1),'2024数据'!$L$3:$L$152,"&lt;="&amp;DATE(2024,4,30),'2024数据'!$AE$3:$AE$152,$E629)</f>
        <v>0</v>
      </c>
      <c r="J629" s="105">
        <f>COUNTIFS('2024数据'!$L$3:$L$152,"&gt;="&amp;DATE(2024,5,1),'2024数据'!$L$3:$L$152,"&lt;="&amp;DATE(2024,5,31),'2024数据'!$AE$3:$AE$152,$E629)</f>
        <v>1</v>
      </c>
      <c r="K629" s="105">
        <f>COUNTIFS('2024数据'!$L$3:$L$152,"&gt;="&amp;DATE(2024,6,1),'2024数据'!$L$3:$L$152,"&lt;="&amp;DATE(2024,6,30),'2024数据'!$AE$3:$AE$152,$E629)</f>
        <v>0</v>
      </c>
      <c r="L629" s="105">
        <f>COUNTIFS('2024数据'!$L$3:$L$152,"&gt;="&amp;DATE(2024,7,1),'2024数据'!$L$3:$L$152,"&lt;="&amp;DATE(2024,7,31),'2024数据'!$AE$3:$AE$152,$E629)</f>
        <v>1</v>
      </c>
      <c r="M629" s="105">
        <f>COUNTIFS('2024数据'!$L$3:$L$152,"&gt;="&amp;DATE(2024,8,1),'2024数据'!$L$3:$L$152,"&lt;="&amp;DATE(2024,8,31),'2024数据'!$AE$3:$AE$152,$E629)</f>
        <v>1</v>
      </c>
      <c r="N629" s="105">
        <f>COUNTIFS('2024数据'!$L$3:$L$152,"&gt;="&amp;DATE(2024,9,1),'2024数据'!$L$3:$L$152,"&lt;="&amp;DATE(2024,9,30),'2024数据'!$AE$3:$AE$152,$E629)</f>
        <v>1</v>
      </c>
      <c r="O629" s="105">
        <f>COUNTIFS('2024数据'!$L$3:$L$152,"&gt;="&amp;DATE(2024,10,1),'2024数据'!$L$3:$L$152,"&lt;="&amp;DATE(2024,10,31),'2024数据'!$AE$3:$AE$152,$E629)</f>
        <v>0</v>
      </c>
      <c r="P629" s="105">
        <f>COUNTIFS('2024数据'!$L$3:$L$152,"&gt;="&amp;DATE(2024,11,1),'2024数据'!$L$3:$L$152,"&lt;="&amp;DATE(2024,11,30),'2024数据'!$AE$3:$AE$152,$E629)</f>
        <v>0</v>
      </c>
      <c r="Q629" s="105">
        <f>COUNTIFS('2024数据'!$L$3:$L$152,"&gt;="&amp;DATE(2024,12,1),'2024数据'!$L$3:$L$152,"&lt;="&amp;DATE(2024,12,31),'2024数据'!$AE$3:$AE$152,$E629)</f>
        <v>1</v>
      </c>
    </row>
    <row r="630" ht="24" customHeight="1" spans="1:17">
      <c r="A630" s="99" t="s">
        <v>346</v>
      </c>
      <c r="B630" s="99" t="s">
        <v>299</v>
      </c>
      <c r="C630" s="99" t="s">
        <v>291</v>
      </c>
      <c r="D630" s="48" t="s">
        <v>31</v>
      </c>
      <c r="E630" s="48" t="s">
        <v>86</v>
      </c>
      <c r="F630" s="105">
        <f>COUNTIFS('2024数据'!$L$3:$L$152,"&gt;="&amp;DATE(2024,1,1),'2024数据'!$L$3:$L$152,"&lt;="&amp;DATE(2024,1,31),'2024数据'!$AE$3:$AE$152,$E630)</f>
        <v>1</v>
      </c>
      <c r="G630" s="105">
        <f>COUNTIFS('2024数据'!$L$3:$L$152,"&gt;="&amp;DATE(2024,2,1),'2024数据'!$L$3:$L$152,"&lt;="&amp;DATE(2024,2,29),'2024数据'!$AE$3:$AE$152,$E630)</f>
        <v>0</v>
      </c>
      <c r="H630" s="105">
        <f>COUNTIFS('2024数据'!$L$3:$L$152,"&gt;="&amp;DATE(2024,3,1),'2024数据'!$L$3:$L$152,"&lt;="&amp;DATE(2024,3,31),'2024数据'!$AE$3:$AE$152,$E630)</f>
        <v>1</v>
      </c>
      <c r="I630" s="105">
        <f>COUNTIFS('2024数据'!$L$3:$L$152,"&gt;="&amp;DATE(2024,4,1),'2024数据'!$L$3:$L$152,"&lt;="&amp;DATE(2024,4,30),'2024数据'!$AE$3:$AE$152,$E630)</f>
        <v>1</v>
      </c>
      <c r="J630" s="105">
        <f>COUNTIFS('2024数据'!$L$3:$L$152,"&gt;="&amp;DATE(2024,5,1),'2024数据'!$L$3:$L$152,"&lt;="&amp;DATE(2024,5,31),'2024数据'!$AE$3:$AE$152,$E630)</f>
        <v>2</v>
      </c>
      <c r="K630" s="105">
        <f>COUNTIFS('2024数据'!$L$3:$L$152,"&gt;="&amp;DATE(2024,6,1),'2024数据'!$L$3:$L$152,"&lt;="&amp;DATE(2024,6,30),'2024数据'!$AE$3:$AE$152,$E630)</f>
        <v>1</v>
      </c>
      <c r="L630" s="105">
        <f>COUNTIFS('2024数据'!$L$3:$L$152,"&gt;="&amp;DATE(2024,7,1),'2024数据'!$L$3:$L$152,"&lt;="&amp;DATE(2024,7,31),'2024数据'!$AE$3:$AE$152,$E630)</f>
        <v>0</v>
      </c>
      <c r="M630" s="105">
        <f>COUNTIFS('2024数据'!$L$3:$L$152,"&gt;="&amp;DATE(2024,8,1),'2024数据'!$L$3:$L$152,"&lt;="&amp;DATE(2024,8,31),'2024数据'!$AE$3:$AE$152,$E630)</f>
        <v>2</v>
      </c>
      <c r="N630" s="105">
        <f>COUNTIFS('2024数据'!$L$3:$L$152,"&gt;="&amp;DATE(2024,9,1),'2024数据'!$L$3:$L$152,"&lt;="&amp;DATE(2024,9,30),'2024数据'!$AE$3:$AE$152,$E630)</f>
        <v>4</v>
      </c>
      <c r="O630" s="105">
        <f>COUNTIFS('2024数据'!$L$3:$L$152,"&gt;="&amp;DATE(2024,10,1),'2024数据'!$L$3:$L$152,"&lt;="&amp;DATE(2024,10,31),'2024数据'!$AE$3:$AE$152,$E630)</f>
        <v>4</v>
      </c>
      <c r="P630" s="105">
        <f>COUNTIFS('2024数据'!$L$3:$L$152,"&gt;="&amp;DATE(2024,11,1),'2024数据'!$L$3:$L$152,"&lt;="&amp;DATE(2024,11,30),'2024数据'!$AE$3:$AE$152,$E630)</f>
        <v>2</v>
      </c>
      <c r="Q630" s="105">
        <f>COUNTIFS('2024数据'!$L$3:$L$152,"&gt;="&amp;DATE(2024,12,1),'2024数据'!$L$3:$L$152,"&lt;="&amp;DATE(2024,12,31),'2024数据'!$AE$3:$AE$152,$E630)</f>
        <v>2</v>
      </c>
    </row>
    <row r="631" ht="24" customHeight="1" spans="1:17">
      <c r="A631" s="99" t="s">
        <v>346</v>
      </c>
      <c r="B631" s="99" t="s">
        <v>299</v>
      </c>
      <c r="C631" s="99" t="s">
        <v>291</v>
      </c>
      <c r="D631" s="48" t="s">
        <v>31</v>
      </c>
      <c r="E631" s="48" t="s">
        <v>97</v>
      </c>
      <c r="F631" s="105">
        <f>COUNTIFS('2024数据'!$L$3:$L$152,"&gt;="&amp;DATE(2024,1,1),'2024数据'!$L$3:$L$152,"&lt;="&amp;DATE(2024,1,31),'2024数据'!$AE$3:$AE$152,$E631)</f>
        <v>0</v>
      </c>
      <c r="G631" s="105">
        <f>COUNTIFS('2024数据'!$L$3:$L$152,"&gt;="&amp;DATE(2024,2,1),'2024数据'!$L$3:$L$152,"&lt;="&amp;DATE(2024,2,29),'2024数据'!$AE$3:$AE$152,$E631)</f>
        <v>0</v>
      </c>
      <c r="H631" s="105">
        <f>COUNTIFS('2024数据'!$L$3:$L$152,"&gt;="&amp;DATE(2024,3,1),'2024数据'!$L$3:$L$152,"&lt;="&amp;DATE(2024,3,31),'2024数据'!$AE$3:$AE$152,$E631)</f>
        <v>1</v>
      </c>
      <c r="I631" s="105">
        <f>COUNTIFS('2024数据'!$L$3:$L$152,"&gt;="&amp;DATE(2024,4,1),'2024数据'!$L$3:$L$152,"&lt;="&amp;DATE(2024,4,30),'2024数据'!$AE$3:$AE$152,$E631)</f>
        <v>0</v>
      </c>
      <c r="J631" s="105">
        <f>COUNTIFS('2024数据'!$L$3:$L$152,"&gt;="&amp;DATE(2024,5,1),'2024数据'!$L$3:$L$152,"&lt;="&amp;DATE(2024,5,31),'2024数据'!$AE$3:$AE$152,$E631)</f>
        <v>0</v>
      </c>
      <c r="K631" s="105">
        <f>COUNTIFS('2024数据'!$L$3:$L$152,"&gt;="&amp;DATE(2024,6,1),'2024数据'!$L$3:$L$152,"&lt;="&amp;DATE(2024,6,30),'2024数据'!$AE$3:$AE$152,$E631)</f>
        <v>0</v>
      </c>
      <c r="L631" s="105">
        <f>COUNTIFS('2024数据'!$L$3:$L$152,"&gt;="&amp;DATE(2024,7,1),'2024数据'!$L$3:$L$152,"&lt;="&amp;DATE(2024,7,31),'2024数据'!$AE$3:$AE$152,$E631)</f>
        <v>0</v>
      </c>
      <c r="M631" s="105">
        <f>COUNTIFS('2024数据'!$L$3:$L$152,"&gt;="&amp;DATE(2024,8,1),'2024数据'!$L$3:$L$152,"&lt;="&amp;DATE(2024,8,31),'2024数据'!$AE$3:$AE$152,$E631)</f>
        <v>1</v>
      </c>
      <c r="N631" s="105">
        <f>COUNTIFS('2024数据'!$L$3:$L$152,"&gt;="&amp;DATE(2024,9,1),'2024数据'!$L$3:$L$152,"&lt;="&amp;DATE(2024,9,30),'2024数据'!$AE$3:$AE$152,$E631)</f>
        <v>0</v>
      </c>
      <c r="O631" s="105">
        <f>COUNTIFS('2024数据'!$L$3:$L$152,"&gt;="&amp;DATE(2024,10,1),'2024数据'!$L$3:$L$152,"&lt;="&amp;DATE(2024,10,31),'2024数据'!$AE$3:$AE$152,$E631)</f>
        <v>2</v>
      </c>
      <c r="P631" s="105">
        <f>COUNTIFS('2024数据'!$L$3:$L$152,"&gt;="&amp;DATE(2024,11,1),'2024数据'!$L$3:$L$152,"&lt;="&amp;DATE(2024,11,30),'2024数据'!$AE$3:$AE$152,$E631)</f>
        <v>1</v>
      </c>
      <c r="Q631" s="105">
        <f>COUNTIFS('2024数据'!$L$3:$L$152,"&gt;="&amp;DATE(2024,12,1),'2024数据'!$L$3:$L$152,"&lt;="&amp;DATE(2024,12,31),'2024数据'!$AE$3:$AE$152,$E631)</f>
        <v>0</v>
      </c>
    </row>
    <row r="632" ht="24" customHeight="1" spans="1:17">
      <c r="A632" s="99" t="s">
        <v>346</v>
      </c>
      <c r="B632" s="99" t="s">
        <v>299</v>
      </c>
      <c r="C632" s="99" t="s">
        <v>291</v>
      </c>
      <c r="D632" s="48" t="s">
        <v>31</v>
      </c>
      <c r="E632" s="48" t="s">
        <v>87</v>
      </c>
      <c r="F632" s="105">
        <f>COUNTIFS('2024数据'!$L$3:$L$152,"&gt;="&amp;DATE(2024,1,1),'2024数据'!$L$3:$L$152,"&lt;="&amp;DATE(2024,1,31),'2024数据'!$AE$3:$AE$152,$E632)</f>
        <v>0</v>
      </c>
      <c r="G632" s="105">
        <f>COUNTIFS('2024数据'!$L$3:$L$152,"&gt;="&amp;DATE(2024,2,1),'2024数据'!$L$3:$L$152,"&lt;="&amp;DATE(2024,2,29),'2024数据'!$AE$3:$AE$152,$E632)</f>
        <v>1</v>
      </c>
      <c r="H632" s="105">
        <f>COUNTIFS('2024数据'!$L$3:$L$152,"&gt;="&amp;DATE(2024,3,1),'2024数据'!$L$3:$L$152,"&lt;="&amp;DATE(2024,3,31),'2024数据'!$AE$3:$AE$152,$E632)</f>
        <v>0</v>
      </c>
      <c r="I632" s="105">
        <f>COUNTIFS('2024数据'!$L$3:$L$152,"&gt;="&amp;DATE(2024,4,1),'2024数据'!$L$3:$L$152,"&lt;="&amp;DATE(2024,4,30),'2024数据'!$AE$3:$AE$152,$E632)</f>
        <v>0</v>
      </c>
      <c r="J632" s="105">
        <f>COUNTIFS('2024数据'!$L$3:$L$152,"&gt;="&amp;DATE(2024,5,1),'2024数据'!$L$3:$L$152,"&lt;="&amp;DATE(2024,5,31),'2024数据'!$AE$3:$AE$152,$E632)</f>
        <v>0</v>
      </c>
      <c r="K632" s="105">
        <f>COUNTIFS('2024数据'!$L$3:$L$152,"&gt;="&amp;DATE(2024,6,1),'2024数据'!$L$3:$L$152,"&lt;="&amp;DATE(2024,6,30),'2024数据'!$AE$3:$AE$152,$E632)</f>
        <v>0</v>
      </c>
      <c r="L632" s="105">
        <f>COUNTIFS('2024数据'!$L$3:$L$152,"&gt;="&amp;DATE(2024,7,1),'2024数据'!$L$3:$L$152,"&lt;="&amp;DATE(2024,7,31),'2024数据'!$AE$3:$AE$152,$E632)</f>
        <v>0</v>
      </c>
      <c r="M632" s="105">
        <f>COUNTIFS('2024数据'!$L$3:$L$152,"&gt;="&amp;DATE(2024,8,1),'2024数据'!$L$3:$L$152,"&lt;="&amp;DATE(2024,8,31),'2024数据'!$AE$3:$AE$152,$E632)</f>
        <v>1</v>
      </c>
      <c r="N632" s="105">
        <f>COUNTIFS('2024数据'!$L$3:$L$152,"&gt;="&amp;DATE(2024,9,1),'2024数据'!$L$3:$L$152,"&lt;="&amp;DATE(2024,9,30),'2024数据'!$AE$3:$AE$152,$E632)</f>
        <v>0</v>
      </c>
      <c r="O632" s="105">
        <f>COUNTIFS('2024数据'!$L$3:$L$152,"&gt;="&amp;DATE(2024,10,1),'2024数据'!$L$3:$L$152,"&lt;="&amp;DATE(2024,10,31),'2024数据'!$AE$3:$AE$152,$E632)</f>
        <v>0</v>
      </c>
      <c r="P632" s="105">
        <f>COUNTIFS('2024数据'!$L$3:$L$152,"&gt;="&amp;DATE(2024,11,1),'2024数据'!$L$3:$L$152,"&lt;="&amp;DATE(2024,11,30),'2024数据'!$AE$3:$AE$152,$E632)</f>
        <v>1</v>
      </c>
      <c r="Q632" s="105">
        <f>COUNTIFS('2024数据'!$L$3:$L$152,"&gt;="&amp;DATE(2024,12,1),'2024数据'!$L$3:$L$152,"&lt;="&amp;DATE(2024,12,31),'2024数据'!$AE$3:$AE$152,$E632)</f>
        <v>1</v>
      </c>
    </row>
    <row r="633" ht="24" customHeight="1" spans="1:17">
      <c r="A633" s="99" t="s">
        <v>346</v>
      </c>
      <c r="B633" s="99" t="s">
        <v>299</v>
      </c>
      <c r="C633" s="99" t="s">
        <v>291</v>
      </c>
      <c r="D633" s="48" t="s">
        <v>31</v>
      </c>
      <c r="E633" s="48" t="s">
        <v>83</v>
      </c>
      <c r="F633" s="105">
        <f>COUNTIFS('2024数据'!$L$3:$L$152,"&gt;="&amp;DATE(2024,1,1),'2024数据'!$L$3:$L$152,"&lt;="&amp;DATE(2024,1,31),'2024数据'!$AE$3:$AE$152,$E633)</f>
        <v>0</v>
      </c>
      <c r="G633" s="105">
        <f>COUNTIFS('2024数据'!$L$3:$L$152,"&gt;="&amp;DATE(2024,2,1),'2024数据'!$L$3:$L$152,"&lt;="&amp;DATE(2024,2,29),'2024数据'!$AE$3:$AE$152,$E633)</f>
        <v>0</v>
      </c>
      <c r="H633" s="105">
        <f>COUNTIFS('2024数据'!$L$3:$L$152,"&gt;="&amp;DATE(2024,3,1),'2024数据'!$L$3:$L$152,"&lt;="&amp;DATE(2024,3,31),'2024数据'!$AE$3:$AE$152,$E633)</f>
        <v>0</v>
      </c>
      <c r="I633" s="105">
        <f>COUNTIFS('2024数据'!$L$3:$L$152,"&gt;="&amp;DATE(2024,4,1),'2024数据'!$L$3:$L$152,"&lt;="&amp;DATE(2024,4,30),'2024数据'!$AE$3:$AE$152,$E633)</f>
        <v>0</v>
      </c>
      <c r="J633" s="105">
        <f>COUNTIFS('2024数据'!$L$3:$L$152,"&gt;="&amp;DATE(2024,5,1),'2024数据'!$L$3:$L$152,"&lt;="&amp;DATE(2024,5,31),'2024数据'!$AE$3:$AE$152,$E633)</f>
        <v>0</v>
      </c>
      <c r="K633" s="105">
        <f>COUNTIFS('2024数据'!$L$3:$L$152,"&gt;="&amp;DATE(2024,6,1),'2024数据'!$L$3:$L$152,"&lt;="&amp;DATE(2024,6,30),'2024数据'!$AE$3:$AE$152,$E633)</f>
        <v>0</v>
      </c>
      <c r="L633" s="105">
        <f>COUNTIFS('2024数据'!$L$3:$L$152,"&gt;="&amp;DATE(2024,7,1),'2024数据'!$L$3:$L$152,"&lt;="&amp;DATE(2024,7,31),'2024数据'!$AE$3:$AE$152,$E633)</f>
        <v>0</v>
      </c>
      <c r="M633" s="105">
        <f>COUNTIFS('2024数据'!$L$3:$L$152,"&gt;="&amp;DATE(2024,8,1),'2024数据'!$L$3:$L$152,"&lt;="&amp;DATE(2024,8,31),'2024数据'!$AE$3:$AE$152,$E633)</f>
        <v>0</v>
      </c>
      <c r="N633" s="105">
        <f>COUNTIFS('2024数据'!$L$3:$L$152,"&gt;="&amp;DATE(2024,9,1),'2024数据'!$L$3:$L$152,"&lt;="&amp;DATE(2024,9,30),'2024数据'!$AE$3:$AE$152,$E633)</f>
        <v>0</v>
      </c>
      <c r="O633" s="105">
        <f>COUNTIFS('2024数据'!$L$3:$L$152,"&gt;="&amp;DATE(2024,10,1),'2024数据'!$L$3:$L$152,"&lt;="&amp;DATE(2024,10,31),'2024数据'!$AE$3:$AE$152,$E633)</f>
        <v>0</v>
      </c>
      <c r="P633" s="105">
        <f>COUNTIFS('2024数据'!$L$3:$L$152,"&gt;="&amp;DATE(2024,11,1),'2024数据'!$L$3:$L$152,"&lt;="&amp;DATE(2024,11,30),'2024数据'!$AE$3:$AE$152,$E633)</f>
        <v>0</v>
      </c>
      <c r="Q633" s="105">
        <f>COUNTIFS('2024数据'!$L$3:$L$152,"&gt;="&amp;DATE(2024,12,1),'2024数据'!$L$3:$L$152,"&lt;="&amp;DATE(2024,12,31),'2024数据'!$AE$3:$AE$152,$E633)</f>
        <v>0</v>
      </c>
    </row>
    <row r="634" ht="24" customHeight="1" spans="1:17">
      <c r="A634" s="99" t="s">
        <v>346</v>
      </c>
      <c r="B634" s="99" t="s">
        <v>299</v>
      </c>
      <c r="C634" s="99" t="s">
        <v>291</v>
      </c>
      <c r="D634" s="47" t="s">
        <v>294</v>
      </c>
      <c r="E634" s="47" t="s">
        <v>93</v>
      </c>
      <c r="F634" s="106">
        <f>COUNTIFS('2024数据'!$L$3:$L$152,"&gt;="&amp;DATE(2024,1,1),'2024数据'!$L$3:$L$152,"&lt;="&amp;DATE(2024,1,31),'2024数据'!$B$3:$B$152,$E634)</f>
        <v>5</v>
      </c>
      <c r="G634" s="106">
        <f>COUNTIFS('2024数据'!$L$3:$L$152,"&gt;="&amp;DATE(2024,2,1),'2024数据'!$L$3:$L$152,"&lt;="&amp;DATE(2024,2,29),'2024数据'!$B$3:$B$152,$E634)</f>
        <v>2</v>
      </c>
      <c r="H634" s="106">
        <f>COUNTIFS('2024数据'!$L$3:$L$152,"&gt;="&amp;DATE(2024,3,1),'2024数据'!$L$3:$L$152,"&lt;="&amp;DATE(2024,3,31),'2024数据'!$B$3:$B$152,$E634)</f>
        <v>2</v>
      </c>
      <c r="I634" s="106">
        <f>COUNTIFS('2024数据'!$L$3:$L$152,"&gt;="&amp;DATE(2024,4,1),'2024数据'!$L$3:$L$152,"&lt;="&amp;DATE(2024,4,30),'2024数据'!$B$3:$B$152,$E634)</f>
        <v>0</v>
      </c>
      <c r="J634" s="106">
        <f>COUNTIFS('2024数据'!$L$3:$L$152,"&gt;="&amp;DATE(2024,5,1),'2024数据'!$L$3:$L$152,"&lt;="&amp;DATE(2024,5,31),'2024数据'!$B$3:$B$152,$E634)</f>
        <v>2</v>
      </c>
      <c r="K634" s="106">
        <f>COUNTIFS('2024数据'!$L$3:$L$152,"&gt;="&amp;DATE(2024,6,1),'2024数据'!$L$3:$L$152,"&lt;="&amp;DATE(2024,6,30),'2024数据'!$B$3:$B$152,$E634)</f>
        <v>1</v>
      </c>
      <c r="L634" s="106">
        <f>COUNTIFS('2024数据'!$L$3:$L$152,"&gt;="&amp;DATE(2024,7,1),'2024数据'!$L$3:$L$152,"&lt;="&amp;DATE(2024,7,31),'2024数据'!$B$3:$B$152,$E634)</f>
        <v>1</v>
      </c>
      <c r="M634" s="106">
        <f>COUNTIFS('2024数据'!$L$3:$L$152,"&gt;="&amp;DATE(2024,8,1),'2024数据'!$L$3:$L$152,"&lt;="&amp;DATE(2024,8,31),'2024数据'!$B$3:$B$152,$E634)</f>
        <v>4</v>
      </c>
      <c r="N634" s="106">
        <f>COUNTIFS('2024数据'!$L$3:$L$152,"&gt;="&amp;DATE(2024,9,1),'2024数据'!$L$3:$L$152,"&lt;="&amp;DATE(2024,9,30),'2024数据'!$B$3:$B$152,$E634)</f>
        <v>3</v>
      </c>
      <c r="O634" s="106">
        <f>COUNTIFS('2024数据'!$L$3:$L$152,"&gt;="&amp;DATE(2024,10,1),'2024数据'!$L$3:$L$152,"&lt;="&amp;DATE(2024,10,31),'2024数据'!$B$3:$B$152,$E634)</f>
        <v>1</v>
      </c>
      <c r="P634" s="106">
        <f>COUNTIFS('2024数据'!$L$3:$L$152,"&gt;="&amp;DATE(2024,11,1),'2024数据'!$L$3:$L$152,"&lt;="&amp;DATE(2024,11,30),'2024数据'!$B$3:$B$152,$E634)</f>
        <v>3</v>
      </c>
      <c r="Q634" s="106">
        <f>COUNTIFS('2024数据'!$L$3:$L$152,"&gt;="&amp;DATE(2024,12,1),'2024数据'!$L$3:$L$152,"&lt;="&amp;DATE(2024,12,31),'2024数据'!$B$3:$B$152,$E634)</f>
        <v>2</v>
      </c>
    </row>
    <row r="635" ht="24" customHeight="1" spans="1:17">
      <c r="A635" s="99" t="s">
        <v>346</v>
      </c>
      <c r="B635" s="99" t="s">
        <v>299</v>
      </c>
      <c r="C635" s="99" t="s">
        <v>291</v>
      </c>
      <c r="D635" s="47" t="s">
        <v>294</v>
      </c>
      <c r="E635" s="47" t="s">
        <v>85</v>
      </c>
      <c r="F635" s="106">
        <f>COUNTIFS('2024数据'!$L$3:$L$152,"&gt;="&amp;DATE(2024,1,1),'2024数据'!$L$3:$L$152,"&lt;="&amp;DATE(2024,1,31),'2024数据'!$B$3:$B$152,$E635)</f>
        <v>3</v>
      </c>
      <c r="G635" s="106">
        <f>COUNTIFS('2024数据'!$L$3:$L$152,"&gt;="&amp;DATE(2024,2,1),'2024数据'!$L$3:$L$152,"&lt;="&amp;DATE(2024,2,29),'2024数据'!$B$3:$B$152,$E635)</f>
        <v>1</v>
      </c>
      <c r="H635" s="106">
        <f>COUNTIFS('2024数据'!$L$3:$L$152,"&gt;="&amp;DATE(2024,3,1),'2024数据'!$L$3:$L$152,"&lt;="&amp;DATE(2024,3,31),'2024数据'!$B$3:$B$152,$E635)</f>
        <v>3</v>
      </c>
      <c r="I635" s="106">
        <f>COUNTIFS('2024数据'!$L$3:$L$152,"&gt;="&amp;DATE(2024,4,1),'2024数据'!$L$3:$L$152,"&lt;="&amp;DATE(2024,4,30),'2024数据'!$B$3:$B$152,$E635)</f>
        <v>0</v>
      </c>
      <c r="J635" s="106">
        <f>COUNTIFS('2024数据'!$L$3:$L$152,"&gt;="&amp;DATE(2024,5,1),'2024数据'!$L$3:$L$152,"&lt;="&amp;DATE(2024,5,31),'2024数据'!$B$3:$B$152,$E635)</f>
        <v>1</v>
      </c>
      <c r="K635" s="106">
        <f>COUNTIFS('2024数据'!$L$3:$L$152,"&gt;="&amp;DATE(2024,6,1),'2024数据'!$L$3:$L$152,"&lt;="&amp;DATE(2024,6,30),'2024数据'!$B$3:$B$152,$E635)</f>
        <v>1</v>
      </c>
      <c r="L635" s="106">
        <f>COUNTIFS('2024数据'!$L$3:$L$152,"&gt;="&amp;DATE(2024,7,1),'2024数据'!$L$3:$L$152,"&lt;="&amp;DATE(2024,7,31),'2024数据'!$B$3:$B$152,$E635)</f>
        <v>0</v>
      </c>
      <c r="M635" s="106">
        <f>COUNTIFS('2024数据'!$L$3:$L$152,"&gt;="&amp;DATE(2024,8,1),'2024数据'!$L$3:$L$152,"&lt;="&amp;DATE(2024,8,31),'2024数据'!$B$3:$B$152,$E635)</f>
        <v>1</v>
      </c>
      <c r="N635" s="106">
        <f>COUNTIFS('2024数据'!$L$3:$L$152,"&gt;="&amp;DATE(2024,9,1),'2024数据'!$L$3:$L$152,"&lt;="&amp;DATE(2024,9,30),'2024数据'!$B$3:$B$152,$E635)</f>
        <v>1</v>
      </c>
      <c r="O635" s="106">
        <f>COUNTIFS('2024数据'!$L$3:$L$152,"&gt;="&amp;DATE(2024,10,1),'2024数据'!$L$3:$L$152,"&lt;="&amp;DATE(2024,10,31),'2024数据'!$B$3:$B$152,$E635)</f>
        <v>2</v>
      </c>
      <c r="P635" s="106">
        <f>COUNTIFS('2024数据'!$L$3:$L$152,"&gt;="&amp;DATE(2024,11,1),'2024数据'!$L$3:$L$152,"&lt;="&amp;DATE(2024,11,30),'2024数据'!$B$3:$B$152,$E635)</f>
        <v>2</v>
      </c>
      <c r="Q635" s="106">
        <f>COUNTIFS('2024数据'!$L$3:$L$152,"&gt;="&amp;DATE(2024,12,1),'2024数据'!$L$3:$L$152,"&lt;="&amp;DATE(2024,12,31),'2024数据'!$B$3:$B$152,$E635)</f>
        <v>1</v>
      </c>
    </row>
    <row r="636" ht="24" customHeight="1" spans="1:17">
      <c r="A636" s="99" t="s">
        <v>346</v>
      </c>
      <c r="B636" s="99" t="s">
        <v>299</v>
      </c>
      <c r="C636" s="99" t="s">
        <v>291</v>
      </c>
      <c r="D636" s="47" t="s">
        <v>294</v>
      </c>
      <c r="E636" s="47" t="s">
        <v>81</v>
      </c>
      <c r="F636" s="106">
        <f>COUNTIFS('2024数据'!$L$3:$L$152,"&gt;="&amp;DATE(2024,1,1),'2024数据'!$L$3:$L$152,"&lt;="&amp;DATE(2024,1,31),'2024数据'!$B$3:$B$152,$E636)</f>
        <v>0</v>
      </c>
      <c r="G636" s="106">
        <f>COUNTIFS('2024数据'!$L$3:$L$152,"&gt;="&amp;DATE(2024,2,1),'2024数据'!$L$3:$L$152,"&lt;="&amp;DATE(2024,2,29),'2024数据'!$B$3:$B$152,$E636)</f>
        <v>0</v>
      </c>
      <c r="H636" s="106">
        <f>COUNTIFS('2024数据'!$L$3:$L$152,"&gt;="&amp;DATE(2024,3,1),'2024数据'!$L$3:$L$152,"&lt;="&amp;DATE(2024,3,31),'2024数据'!$B$3:$B$152,$E636)</f>
        <v>0</v>
      </c>
      <c r="I636" s="106">
        <f>COUNTIFS('2024数据'!$L$3:$L$152,"&gt;="&amp;DATE(2024,4,1),'2024数据'!$L$3:$L$152,"&lt;="&amp;DATE(2024,4,30),'2024数据'!$B$3:$B$152,$E636)</f>
        <v>1</v>
      </c>
      <c r="J636" s="106">
        <f>COUNTIFS('2024数据'!$L$3:$L$152,"&gt;="&amp;DATE(2024,5,1),'2024数据'!$L$3:$L$152,"&lt;="&amp;DATE(2024,5,31),'2024数据'!$B$3:$B$152,$E636)</f>
        <v>0</v>
      </c>
      <c r="K636" s="106">
        <f>COUNTIFS('2024数据'!$L$3:$L$152,"&gt;="&amp;DATE(2024,6,1),'2024数据'!$L$3:$L$152,"&lt;="&amp;DATE(2024,6,30),'2024数据'!$B$3:$B$152,$E636)</f>
        <v>0</v>
      </c>
      <c r="L636" s="106">
        <f>COUNTIFS('2024数据'!$L$3:$L$152,"&gt;="&amp;DATE(2024,7,1),'2024数据'!$L$3:$L$152,"&lt;="&amp;DATE(2024,7,31),'2024数据'!$B$3:$B$152,$E636)</f>
        <v>1</v>
      </c>
      <c r="M636" s="106">
        <f>COUNTIFS('2024数据'!$L$3:$L$152,"&gt;="&amp;DATE(2024,8,1),'2024数据'!$L$3:$L$152,"&lt;="&amp;DATE(2024,8,31),'2024数据'!$B$3:$B$152,$E636)</f>
        <v>0</v>
      </c>
      <c r="N636" s="106">
        <f>COUNTIFS('2024数据'!$L$3:$L$152,"&gt;="&amp;DATE(2024,9,1),'2024数据'!$L$3:$L$152,"&lt;="&amp;DATE(2024,9,30),'2024数据'!$B$3:$B$152,$E636)</f>
        <v>2</v>
      </c>
      <c r="O636" s="106">
        <f>COUNTIFS('2024数据'!$L$3:$L$152,"&gt;="&amp;DATE(2024,10,1),'2024数据'!$L$3:$L$152,"&lt;="&amp;DATE(2024,10,31),'2024数据'!$B$3:$B$152,$E636)</f>
        <v>4</v>
      </c>
      <c r="P636" s="106">
        <f>COUNTIFS('2024数据'!$L$3:$L$152,"&gt;="&amp;DATE(2024,11,1),'2024数据'!$L$3:$L$152,"&lt;="&amp;DATE(2024,11,30),'2024数据'!$B$3:$B$152,$E636)</f>
        <v>0</v>
      </c>
      <c r="Q636" s="106">
        <f>COUNTIFS('2024数据'!$L$3:$L$152,"&gt;="&amp;DATE(2024,12,1),'2024数据'!$L$3:$L$152,"&lt;="&amp;DATE(2024,12,31),'2024数据'!$B$3:$B$152,$E636)</f>
        <v>2</v>
      </c>
    </row>
    <row r="637" ht="24" customHeight="1" spans="1:17">
      <c r="A637" s="99" t="s">
        <v>346</v>
      </c>
      <c r="B637" s="99" t="s">
        <v>299</v>
      </c>
      <c r="C637" s="99" t="s">
        <v>291</v>
      </c>
      <c r="D637" s="47" t="s">
        <v>294</v>
      </c>
      <c r="E637" s="47" t="s">
        <v>96</v>
      </c>
      <c r="F637" s="106">
        <f>COUNTIFS('2024数据'!$L$3:$L$152,"&gt;="&amp;DATE(2024,1,1),'2024数据'!$L$3:$L$152,"&lt;="&amp;DATE(2024,1,31),'2024数据'!$B$3:$B$152,$E637)</f>
        <v>0</v>
      </c>
      <c r="G637" s="106">
        <f>COUNTIFS('2024数据'!$L$3:$L$152,"&gt;="&amp;DATE(2024,2,1),'2024数据'!$L$3:$L$152,"&lt;="&amp;DATE(2024,2,29),'2024数据'!$B$3:$B$152,$E637)</f>
        <v>0</v>
      </c>
      <c r="H637" s="106">
        <f>COUNTIFS('2024数据'!$L$3:$L$152,"&gt;="&amp;DATE(2024,3,1),'2024数据'!$L$3:$L$152,"&lt;="&amp;DATE(2024,3,31),'2024数据'!$B$3:$B$152,$E637)</f>
        <v>0</v>
      </c>
      <c r="I637" s="106">
        <f>COUNTIFS('2024数据'!$L$3:$L$152,"&gt;="&amp;DATE(2024,4,1),'2024数据'!$L$3:$L$152,"&lt;="&amp;DATE(2024,4,30),'2024数据'!$B$3:$B$152,$E637)</f>
        <v>0</v>
      </c>
      <c r="J637" s="106">
        <f>COUNTIFS('2024数据'!$L$3:$L$152,"&gt;="&amp;DATE(2024,5,1),'2024数据'!$L$3:$L$152,"&lt;="&amp;DATE(2024,5,31),'2024数据'!$B$3:$B$152,$E637)</f>
        <v>0</v>
      </c>
      <c r="K637" s="106">
        <f>COUNTIFS('2024数据'!$L$3:$L$152,"&gt;="&amp;DATE(2024,6,1),'2024数据'!$L$3:$L$152,"&lt;="&amp;DATE(2024,6,30),'2024数据'!$B$3:$B$152,$E637)</f>
        <v>0</v>
      </c>
      <c r="L637" s="106">
        <f>COUNTIFS('2024数据'!$L$3:$L$152,"&gt;="&amp;DATE(2024,7,1),'2024数据'!$L$3:$L$152,"&lt;="&amp;DATE(2024,7,31),'2024数据'!$B$3:$B$152,$E637)</f>
        <v>0</v>
      </c>
      <c r="M637" s="106">
        <f>COUNTIFS('2024数据'!$L$3:$L$152,"&gt;="&amp;DATE(2024,8,1),'2024数据'!$L$3:$L$152,"&lt;="&amp;DATE(2024,8,31),'2024数据'!$B$3:$B$152,$E637)</f>
        <v>0</v>
      </c>
      <c r="N637" s="106">
        <f>COUNTIFS('2024数据'!$L$3:$L$152,"&gt;="&amp;DATE(2024,9,1),'2024数据'!$L$3:$L$152,"&lt;="&amp;DATE(2024,9,30),'2024数据'!$B$3:$B$152,$E637)</f>
        <v>1</v>
      </c>
      <c r="O637" s="106">
        <f>COUNTIFS('2024数据'!$L$3:$L$152,"&gt;="&amp;DATE(2024,10,1),'2024数据'!$L$3:$L$152,"&lt;="&amp;DATE(2024,10,31),'2024数据'!$B$3:$B$152,$E637)</f>
        <v>0</v>
      </c>
      <c r="P637" s="106">
        <f>COUNTIFS('2024数据'!$L$3:$L$152,"&gt;="&amp;DATE(2024,11,1),'2024数据'!$L$3:$L$152,"&lt;="&amp;DATE(2024,11,30),'2024数据'!$B$3:$B$152,$E637)</f>
        <v>0</v>
      </c>
      <c r="Q637" s="106">
        <f>COUNTIFS('2024数据'!$L$3:$L$152,"&gt;="&amp;DATE(2024,12,1),'2024数据'!$L$3:$L$152,"&lt;="&amp;DATE(2024,12,31),'2024数据'!$B$3:$B$152,$E637)</f>
        <v>0</v>
      </c>
    </row>
    <row r="638" ht="24" customHeight="1" spans="1:17">
      <c r="A638" s="99" t="s">
        <v>346</v>
      </c>
      <c r="B638" s="99" t="s">
        <v>299</v>
      </c>
      <c r="C638" s="99" t="s">
        <v>291</v>
      </c>
      <c r="D638" s="47" t="s">
        <v>294</v>
      </c>
      <c r="E638" s="47" t="s">
        <v>160</v>
      </c>
      <c r="F638" s="106">
        <f t="shared" ref="F638:Q638" si="451">SUM(F628:F633)-SUM(F634:F637)</f>
        <v>0</v>
      </c>
      <c r="G638" s="106">
        <f t="shared" si="451"/>
        <v>0</v>
      </c>
      <c r="H638" s="106">
        <f t="shared" si="451"/>
        <v>0</v>
      </c>
      <c r="I638" s="106">
        <f t="shared" si="451"/>
        <v>0</v>
      </c>
      <c r="J638" s="106">
        <f t="shared" si="451"/>
        <v>0</v>
      </c>
      <c r="K638" s="106">
        <f t="shared" si="451"/>
        <v>0</v>
      </c>
      <c r="L638" s="106">
        <f t="shared" si="451"/>
        <v>0</v>
      </c>
      <c r="M638" s="106">
        <f t="shared" si="451"/>
        <v>0</v>
      </c>
      <c r="N638" s="106">
        <f t="shared" si="451"/>
        <v>0</v>
      </c>
      <c r="O638" s="106">
        <f t="shared" si="451"/>
        <v>0</v>
      </c>
      <c r="P638" s="106">
        <f t="shared" si="451"/>
        <v>0</v>
      </c>
      <c r="Q638" s="106">
        <f t="shared" si="451"/>
        <v>0</v>
      </c>
    </row>
    <row r="639" ht="24" customHeight="1" spans="1:17">
      <c r="A639" s="99" t="s">
        <v>346</v>
      </c>
      <c r="B639" s="99" t="s">
        <v>299</v>
      </c>
      <c r="C639" s="99" t="s">
        <v>291</v>
      </c>
      <c r="D639" s="100" t="s">
        <v>292</v>
      </c>
      <c r="E639" s="110" t="s">
        <v>301</v>
      </c>
      <c r="F639" s="111">
        <f>COUNTIFS('2024数据'!$L$3:$L$152,"&gt;="&amp;DATE(2024,1,1),'2024数据'!$L$3:$L$152,"&lt;="&amp;DATE(2024,1,31),'2024数据'!$AY$3:$AY$152,$E639)</f>
        <v>5</v>
      </c>
      <c r="G639" s="111">
        <f>COUNTIFS('2024数据'!$L$3:$L$152,"&gt;="&amp;DATE(2024,2,1),'2024数据'!$L$3:$L$152,"&lt;="&amp;DATE(2024,2,29),'2024数据'!$AY$3:$AY$152,$E639)</f>
        <v>3</v>
      </c>
      <c r="H639" s="111">
        <f>COUNTIFS('2024数据'!$L$3:$L$152,"&gt;="&amp;DATE(2024,3,1),'2024数据'!$L$3:$L$152,"&lt;="&amp;DATE(2024,3,31),'2024数据'!$AY$3:$AY$152,$E639)</f>
        <v>5</v>
      </c>
      <c r="I639" s="111">
        <f>COUNTIFS('2024数据'!$L$3:$L$152,"&gt;="&amp;DATE(2024,4,1),'2024数据'!$L$3:$L$152,"&lt;="&amp;DATE(2024,4,30),'2024数据'!$AY$3:$AY$152,$E639)</f>
        <v>1</v>
      </c>
      <c r="J639" s="111">
        <f>COUNTIFS('2024数据'!$L$3:$L$152,"&gt;="&amp;DATE(2024,5,1),'2024数据'!$L$3:$L$152,"&lt;="&amp;DATE(2024,5,31),'2024数据'!$AY$3:$AY$152,$E639)</f>
        <v>0</v>
      </c>
      <c r="K639" s="111">
        <f>COUNTIFS('2024数据'!$L$3:$L$152,"&gt;="&amp;DATE(2024,6,1),'2024数据'!$L$3:$L$152,"&lt;="&amp;DATE(2024,6,30),'2024数据'!$AY$3:$AY$152,$E639)</f>
        <v>2</v>
      </c>
      <c r="L639" s="111">
        <f>COUNTIFS('2024数据'!$L$3:$L$152,"&gt;="&amp;DATE(2024,7,1),'2024数据'!$L$3:$L$152,"&lt;="&amp;DATE(2024,7,31),'2024数据'!$AY$3:$AY$152,$E639)</f>
        <v>1</v>
      </c>
      <c r="M639" s="111">
        <f>COUNTIFS('2024数据'!$L$3:$L$152,"&gt;="&amp;DATE(2024,8,1),'2024数据'!$L$3:$L$152,"&lt;="&amp;DATE(2024,8,31),'2024数据'!$AY$3:$AY$152,$E639)</f>
        <v>2</v>
      </c>
      <c r="N639" s="111">
        <f>COUNTIFS('2024数据'!$L$3:$L$152,"&gt;="&amp;DATE(2024,9,1),'2024数据'!$L$3:$L$152,"&lt;="&amp;DATE(2024,9,30),'2024数据'!$AY$3:$AY$152,$E639)</f>
        <v>5</v>
      </c>
      <c r="O639" s="111">
        <f>COUNTIFS('2024数据'!$L$3:$L$152,"&gt;="&amp;DATE(2024,10,1),'2024数据'!$L$3:$L$152,"&lt;="&amp;DATE(2024,10,31),'2024数据'!$AY$3:$AY$152,$E639)</f>
        <v>5</v>
      </c>
      <c r="P639" s="111">
        <f>COUNTIFS('2024数据'!$L$3:$L$152,"&gt;="&amp;DATE(2024,11,1),'2024数据'!$L$3:$L$152,"&lt;="&amp;DATE(2024,11,30),'2024数据'!$AY$3:$AY$152,$E639)</f>
        <v>4</v>
      </c>
      <c r="Q639" s="111">
        <f>COUNTIFS('2024数据'!$L$3:$L$152,"&gt;="&amp;DATE(2024,12,1),'2024数据'!$L$3:$L$152,"&lt;="&amp;DATE(2024,12,31),'2024数据'!$AY$3:$AY$152,$E639)</f>
        <v>5</v>
      </c>
    </row>
    <row r="640" ht="24" customHeight="1" spans="1:17">
      <c r="A640" s="99" t="s">
        <v>346</v>
      </c>
      <c r="B640" s="99" t="s">
        <v>299</v>
      </c>
      <c r="C640" s="99" t="s">
        <v>291</v>
      </c>
      <c r="D640" s="100" t="s">
        <v>292</v>
      </c>
      <c r="E640" s="110" t="s">
        <v>302</v>
      </c>
      <c r="F640" s="111">
        <f>COUNTIFS('2024数据'!$L$3:$L$152,"&gt;="&amp;DATE(2024,1,1),'2024数据'!$L$3:$L$152,"&lt;="&amp;DATE(2024,1,31),'2024数据'!$AY$3:$AY$152,$E640)</f>
        <v>3</v>
      </c>
      <c r="G640" s="111">
        <f>COUNTIFS('2024数据'!$L$3:$L$152,"&gt;="&amp;DATE(2024,2,1),'2024数据'!$L$3:$L$152,"&lt;="&amp;DATE(2024,2,29),'2024数据'!$AY$3:$AY$152,$E640)</f>
        <v>0</v>
      </c>
      <c r="H640" s="111">
        <f>COUNTIFS('2024数据'!$L$3:$L$152,"&gt;="&amp;DATE(2024,3,1),'2024数据'!$L$3:$L$152,"&lt;="&amp;DATE(2024,3,31),'2024数据'!$AY$3:$AY$152,$E640)</f>
        <v>0</v>
      </c>
      <c r="I640" s="111">
        <f>COUNTIFS('2024数据'!$L$3:$L$152,"&gt;="&amp;DATE(2024,4,1),'2024数据'!$L$3:$L$152,"&lt;="&amp;DATE(2024,4,30),'2024数据'!$AY$3:$AY$152,$E640)</f>
        <v>0</v>
      </c>
      <c r="J640" s="111">
        <f>COUNTIFS('2024数据'!$L$3:$L$152,"&gt;="&amp;DATE(2024,5,1),'2024数据'!$L$3:$L$152,"&lt;="&amp;DATE(2024,5,31),'2024数据'!$AY$3:$AY$152,$E640)</f>
        <v>3</v>
      </c>
      <c r="K640" s="111">
        <f>COUNTIFS('2024数据'!$L$3:$L$152,"&gt;="&amp;DATE(2024,6,1),'2024数据'!$L$3:$L$152,"&lt;="&amp;DATE(2024,6,30),'2024数据'!$AY$3:$AY$152,$E640)</f>
        <v>0</v>
      </c>
      <c r="L640" s="111">
        <f>COUNTIFS('2024数据'!$L$3:$L$152,"&gt;="&amp;DATE(2024,7,1),'2024数据'!$L$3:$L$152,"&lt;="&amp;DATE(2024,7,31),'2024数据'!$AY$3:$AY$152,$E640)</f>
        <v>1</v>
      </c>
      <c r="M640" s="111">
        <f>COUNTIFS('2024数据'!$L$3:$L$152,"&gt;="&amp;DATE(2024,8,1),'2024数据'!$L$3:$L$152,"&lt;="&amp;DATE(2024,8,31),'2024数据'!$AY$3:$AY$152,$E640)</f>
        <v>3</v>
      </c>
      <c r="N640" s="111">
        <f>COUNTIFS('2024数据'!$L$3:$L$152,"&gt;="&amp;DATE(2024,9,1),'2024数据'!$L$3:$L$152,"&lt;="&amp;DATE(2024,9,30),'2024数据'!$AY$3:$AY$152,$E640)</f>
        <v>1</v>
      </c>
      <c r="O640" s="111">
        <f>COUNTIFS('2024数据'!$L$3:$L$152,"&gt;="&amp;DATE(2024,10,1),'2024数据'!$L$3:$L$152,"&lt;="&amp;DATE(2024,10,31),'2024数据'!$AY$3:$AY$152,$E640)</f>
        <v>2</v>
      </c>
      <c r="P640" s="111">
        <f>COUNTIFS('2024数据'!$L$3:$L$152,"&gt;="&amp;DATE(2024,11,1),'2024数据'!$L$3:$L$152,"&lt;="&amp;DATE(2024,11,30),'2024数据'!$AY$3:$AY$152,$E640)</f>
        <v>1</v>
      </c>
      <c r="Q640" s="111">
        <f>COUNTIFS('2024数据'!$L$3:$L$152,"&gt;="&amp;DATE(2024,12,1),'2024数据'!$L$3:$L$152,"&lt;="&amp;DATE(2024,12,31),'2024数据'!$AY$3:$AY$152,$E640)</f>
        <v>0</v>
      </c>
    </row>
    <row r="641" ht="24" customHeight="1" spans="1:17">
      <c r="A641" s="99" t="s">
        <v>346</v>
      </c>
      <c r="B641" s="99" t="s">
        <v>299</v>
      </c>
      <c r="C641" s="99" t="s">
        <v>291</v>
      </c>
      <c r="D641" s="100" t="s">
        <v>292</v>
      </c>
      <c r="E641" s="110" t="s">
        <v>150</v>
      </c>
      <c r="F641" s="111">
        <f>COUNTIFS('2024数据'!$L$3:$L$152,"&gt;="&amp;DATE(2024,1,1),'2024数据'!$L$3:$L$152,"&lt;="&amp;DATE(2024,1,31),'2024数据'!$AY$3:$AY$152,$E641)</f>
        <v>0</v>
      </c>
      <c r="G641" s="111">
        <f>COUNTIFS('2024数据'!$L$3:$L$152,"&gt;="&amp;DATE(2024,2,1),'2024数据'!$L$3:$L$152,"&lt;="&amp;DATE(2024,2,29),'2024数据'!$AY$3:$AY$152,$E641)</f>
        <v>0</v>
      </c>
      <c r="H641" s="111">
        <f>COUNTIFS('2024数据'!$L$3:$L$152,"&gt;="&amp;DATE(2024,3,1),'2024数据'!$L$3:$L$152,"&lt;="&amp;DATE(2024,3,31),'2024数据'!$AY$3:$AY$152,$E641)</f>
        <v>0</v>
      </c>
      <c r="I641" s="111">
        <f>COUNTIFS('2024数据'!$L$3:$L$152,"&gt;="&amp;DATE(2024,4,1),'2024数据'!$L$3:$L$152,"&lt;="&amp;DATE(2024,4,30),'2024数据'!$AY$3:$AY$152,$E641)</f>
        <v>0</v>
      </c>
      <c r="J641" s="111">
        <f>COUNTIFS('2024数据'!$L$3:$L$152,"&gt;="&amp;DATE(2024,5,1),'2024数据'!$L$3:$L$152,"&lt;="&amp;DATE(2024,5,31),'2024数据'!$AY$3:$AY$152,$E641)</f>
        <v>0</v>
      </c>
      <c r="K641" s="111">
        <f>COUNTIFS('2024数据'!$L$3:$L$152,"&gt;="&amp;DATE(2024,6,1),'2024数据'!$L$3:$L$152,"&lt;="&amp;DATE(2024,6,30),'2024数据'!$AY$3:$AY$152,$E641)</f>
        <v>0</v>
      </c>
      <c r="L641" s="111">
        <f>COUNTIFS('2024数据'!$L$3:$L$152,"&gt;="&amp;DATE(2024,7,1),'2024数据'!$L$3:$L$152,"&lt;="&amp;DATE(2024,7,31),'2024数据'!$AY$3:$AY$152,$E641)</f>
        <v>0</v>
      </c>
      <c r="M641" s="111">
        <f>COUNTIFS('2024数据'!$L$3:$L$152,"&gt;="&amp;DATE(2024,8,1),'2024数据'!$L$3:$L$152,"&lt;="&amp;DATE(2024,8,31),'2024数据'!$AY$3:$AY$152,$E641)</f>
        <v>0</v>
      </c>
      <c r="N641" s="111">
        <f>COUNTIFS('2024数据'!$L$3:$L$152,"&gt;="&amp;DATE(2024,9,1),'2024数据'!$L$3:$L$152,"&lt;="&amp;DATE(2024,9,30),'2024数据'!$AY$3:$AY$152,$E641)</f>
        <v>1</v>
      </c>
      <c r="O641" s="111">
        <f>COUNTIFS('2024数据'!$L$3:$L$152,"&gt;="&amp;DATE(2024,10,1),'2024数据'!$L$3:$L$152,"&lt;="&amp;DATE(2024,10,31),'2024数据'!$AY$3:$AY$152,$E641)</f>
        <v>0</v>
      </c>
      <c r="P641" s="111">
        <f>COUNTIFS('2024数据'!$L$3:$L$152,"&gt;="&amp;DATE(2024,11,1),'2024数据'!$L$3:$L$152,"&lt;="&amp;DATE(2024,11,30),'2024数据'!$AY$3:$AY$152,$E641)</f>
        <v>0</v>
      </c>
      <c r="Q641" s="111">
        <f>COUNTIFS('2024数据'!$L$3:$L$152,"&gt;="&amp;DATE(2024,12,1),'2024数据'!$L$3:$L$152,"&lt;="&amp;DATE(2024,12,31),'2024数据'!$AY$3:$AY$152,$E641)</f>
        <v>0</v>
      </c>
    </row>
    <row r="642" ht="24" customHeight="1" spans="1:17">
      <c r="A642" s="99" t="s">
        <v>346</v>
      </c>
      <c r="B642" s="99" t="s">
        <v>299</v>
      </c>
      <c r="C642" s="99" t="s">
        <v>291</v>
      </c>
      <c r="D642" s="53" t="s">
        <v>303</v>
      </c>
      <c r="E642" s="53" t="s">
        <v>93</v>
      </c>
      <c r="F642" s="111">
        <f>COUNTIFS('2024数据'!$L$3:$L$152,"&gt;="&amp;DATE(2024,1,1),'2024数据'!$L$3:$L$152,"&lt;="&amp;DATE(2024,1,31),'2024数据'!$AY$3:$AY$152,$E$35,'2024数据'!$B$3:$B$152,'2024整理'!$E634)</f>
        <v>3</v>
      </c>
      <c r="G642" s="111">
        <f>COUNTIFS('2024数据'!$L$3:$L$152,"&gt;="&amp;DATE(2024,2,1),'2024数据'!$L$3:$L$152,"&lt;="&amp;DATE(2024,2,29),'2024数据'!$AY$3:$AY$152,$E$35,'2024数据'!$B$3:$B$152,'2024整理'!$E634)</f>
        <v>2</v>
      </c>
      <c r="H642" s="111">
        <f>COUNTIFS('2024数据'!$L$3:$L$152,"&gt;="&amp;DATE(2024,3,1),'2024数据'!$L$3:$L$152,"&lt;="&amp;DATE(2024,3,31),'2024数据'!$AY$3:$AY$152,$E$35,'2024数据'!$B$3:$B$152,'2024整理'!$E634)</f>
        <v>2</v>
      </c>
      <c r="I642" s="111">
        <f>COUNTIFS('2024数据'!$L$3:$L$152,"&gt;="&amp;DATE(2024,4,1),'2024数据'!$L$3:$L$152,"&lt;="&amp;DATE(2024,4,30),'2024数据'!$AY$3:$AY$152,$E$35,'2024数据'!$B$3:$B$152,'2024整理'!$E634)</f>
        <v>0</v>
      </c>
      <c r="J642" s="111">
        <f>COUNTIFS('2024数据'!$L$3:$L$152,"&gt;="&amp;DATE(2024,5,1),'2024数据'!$L$3:$L$152,"&lt;="&amp;DATE(2024,5,31),'2024数据'!$AY$3:$AY$152,$E$35,'2024数据'!$B$3:$B$152,'2024整理'!$E634)</f>
        <v>0</v>
      </c>
      <c r="K642" s="111">
        <f>COUNTIFS('2024数据'!$L$3:$L$152,"&gt;="&amp;DATE(2024,6,1),'2024数据'!$L$3:$L$152,"&lt;="&amp;DATE(2024,6,30),'2024数据'!$AY$3:$AY$152,$E$35,'2024数据'!$B$3:$B$152,'2024整理'!$E634)</f>
        <v>1</v>
      </c>
      <c r="L642" s="111">
        <f>COUNTIFS('2024数据'!$L$3:$L$152,"&gt;="&amp;DATE(2024,7,1),'2024数据'!$L$3:$L$152,"&lt;="&amp;DATE(2024,7,31),'2024数据'!$AY$3:$AY$152,$E$35,'2024数据'!$B$3:$B$152,'2024整理'!$E634)</f>
        <v>0</v>
      </c>
      <c r="M642" s="111">
        <f>COUNTIFS('2024数据'!$L$3:$L$152,"&gt;="&amp;DATE(2024,8,1),'2024数据'!$L$3:$L$152,"&lt;="&amp;DATE(2024,8,31),'2024数据'!$AY$3:$AY$152,$E$35,'2024数据'!$B$3:$B$152,'2024整理'!$E634)</f>
        <v>1</v>
      </c>
      <c r="N642" s="111">
        <f>COUNTIFS('2024数据'!$L$3:$L$152,"&gt;="&amp;DATE(2024,9,1),'2024数据'!$L$3:$L$152,"&lt;="&amp;DATE(2024,9,30),'2024数据'!$AY$3:$AY$152,$E$35,'2024数据'!$B$3:$B$152,'2024整理'!$E634)</f>
        <v>2</v>
      </c>
      <c r="O642" s="111">
        <f>COUNTIFS('2024数据'!$L$3:$L$152,"&gt;="&amp;DATE(2024,10,1),'2024数据'!$L$3:$L$152,"&lt;="&amp;DATE(2024,10,31),'2024数据'!$AY$3:$AY$152,$E$35,'2024数据'!$B$3:$B$152,'2024整理'!$E634)</f>
        <v>1</v>
      </c>
      <c r="P642" s="111">
        <f>COUNTIFS('2024数据'!$L$3:$L$152,"&gt;="&amp;DATE(2024,11,1),'2024数据'!$L$3:$L$152,"&lt;="&amp;DATE(2024,11,30),'2024数据'!$AY$3:$AY$152,$E$35,'2024数据'!$B$3:$B$152,'2024整理'!$E634)</f>
        <v>2</v>
      </c>
      <c r="Q642" s="111">
        <f>COUNTIFS('2024数据'!$L$3:$L$152,"&gt;="&amp;DATE(2024,12,1),'2024数据'!$L$3:$L$152,"&lt;="&amp;DATE(2024,12,31),'2024数据'!$AY$3:$AY$152,$E$35,'2024数据'!$B$3:$B$152,'2024整理'!$E634)</f>
        <v>2</v>
      </c>
    </row>
    <row r="643" ht="24" customHeight="1" spans="1:17">
      <c r="A643" s="99" t="s">
        <v>346</v>
      </c>
      <c r="B643" s="99" t="s">
        <v>299</v>
      </c>
      <c r="C643" s="99" t="s">
        <v>291</v>
      </c>
      <c r="D643" s="53" t="s">
        <v>303</v>
      </c>
      <c r="E643" s="53" t="s">
        <v>85</v>
      </c>
      <c r="F643" s="111">
        <f>COUNTIFS('2024数据'!$L$3:$L$152,"&gt;="&amp;DATE(2024,1,1),'2024数据'!$L$3:$L$152,"&lt;="&amp;DATE(2024,1,31),'2024数据'!$AY$3:$AY$152,$E$35,'2024数据'!$B$3:$B$152,'2024整理'!$E635)</f>
        <v>2</v>
      </c>
      <c r="G643" s="111">
        <f>COUNTIFS('2024数据'!$L$3:$L$152,"&gt;="&amp;DATE(2024,2,1),'2024数据'!$L$3:$L$152,"&lt;="&amp;DATE(2024,2,29),'2024数据'!$AY$3:$AY$152,$E$35,'2024数据'!$B$3:$B$152,'2024整理'!$E635)</f>
        <v>1</v>
      </c>
      <c r="H643" s="111">
        <f>COUNTIFS('2024数据'!$L$3:$L$152,"&gt;="&amp;DATE(2024,3,1),'2024数据'!$L$3:$L$152,"&lt;="&amp;DATE(2024,3,31),'2024数据'!$AY$3:$AY$152,$E$35,'2024数据'!$B$3:$B$152,'2024整理'!$E635)</f>
        <v>3</v>
      </c>
      <c r="I643" s="111">
        <f>COUNTIFS('2024数据'!$L$3:$L$152,"&gt;="&amp;DATE(2024,4,1),'2024数据'!$L$3:$L$152,"&lt;="&amp;DATE(2024,4,30),'2024数据'!$AY$3:$AY$152,$E$35,'2024数据'!$B$3:$B$152,'2024整理'!$E635)</f>
        <v>0</v>
      </c>
      <c r="J643" s="111">
        <f>COUNTIFS('2024数据'!$L$3:$L$152,"&gt;="&amp;DATE(2024,5,1),'2024数据'!$L$3:$L$152,"&lt;="&amp;DATE(2024,5,31),'2024数据'!$AY$3:$AY$152,$E$35,'2024数据'!$B$3:$B$152,'2024整理'!$E635)</f>
        <v>0</v>
      </c>
      <c r="K643" s="111">
        <f>COUNTIFS('2024数据'!$L$3:$L$152,"&gt;="&amp;DATE(2024,6,1),'2024数据'!$L$3:$L$152,"&lt;="&amp;DATE(2024,6,30),'2024数据'!$AY$3:$AY$152,$E$35,'2024数据'!$B$3:$B$152,'2024整理'!$E635)</f>
        <v>1</v>
      </c>
      <c r="L643" s="111">
        <f>COUNTIFS('2024数据'!$L$3:$L$152,"&gt;="&amp;DATE(2024,7,1),'2024数据'!$L$3:$L$152,"&lt;="&amp;DATE(2024,7,31),'2024数据'!$AY$3:$AY$152,$E$35,'2024数据'!$B$3:$B$152,'2024整理'!$E635)</f>
        <v>0</v>
      </c>
      <c r="M643" s="111">
        <f>COUNTIFS('2024数据'!$L$3:$L$152,"&gt;="&amp;DATE(2024,8,1),'2024数据'!$L$3:$L$152,"&lt;="&amp;DATE(2024,8,31),'2024数据'!$AY$3:$AY$152,$E$35,'2024数据'!$B$3:$B$152,'2024整理'!$E635)</f>
        <v>1</v>
      </c>
      <c r="N643" s="111">
        <f>COUNTIFS('2024数据'!$L$3:$L$152,"&gt;="&amp;DATE(2024,9,1),'2024数据'!$L$3:$L$152,"&lt;="&amp;DATE(2024,9,30),'2024数据'!$AY$3:$AY$152,$E$35,'2024数据'!$B$3:$B$152,'2024整理'!$E635)</f>
        <v>1</v>
      </c>
      <c r="O643" s="111">
        <f>COUNTIFS('2024数据'!$L$3:$L$152,"&gt;="&amp;DATE(2024,10,1),'2024数据'!$L$3:$L$152,"&lt;="&amp;DATE(2024,10,31),'2024数据'!$AY$3:$AY$152,$E$35,'2024数据'!$B$3:$B$152,'2024整理'!$E635)</f>
        <v>1</v>
      </c>
      <c r="P643" s="111">
        <f>COUNTIFS('2024数据'!$L$3:$L$152,"&gt;="&amp;DATE(2024,11,1),'2024数据'!$L$3:$L$152,"&lt;="&amp;DATE(2024,11,30),'2024数据'!$AY$3:$AY$152,$E$35,'2024数据'!$B$3:$B$152,'2024整理'!$E635)</f>
        <v>2</v>
      </c>
      <c r="Q643" s="111">
        <f>COUNTIFS('2024数据'!$L$3:$L$152,"&gt;="&amp;DATE(2024,12,1),'2024数据'!$L$3:$L$152,"&lt;="&amp;DATE(2024,12,31),'2024数据'!$AY$3:$AY$152,$E$35,'2024数据'!$B$3:$B$152,'2024整理'!$E635)</f>
        <v>1</v>
      </c>
    </row>
    <row r="644" ht="24" customHeight="1" spans="1:17">
      <c r="A644" s="99" t="s">
        <v>346</v>
      </c>
      <c r="B644" s="99" t="s">
        <v>299</v>
      </c>
      <c r="C644" s="99" t="s">
        <v>291</v>
      </c>
      <c r="D644" s="53" t="s">
        <v>303</v>
      </c>
      <c r="E644" s="53" t="s">
        <v>81</v>
      </c>
      <c r="F644" s="111">
        <f>COUNTIFS('2024数据'!$L$3:$L$152,"&gt;="&amp;DATE(2024,1,1),'2024数据'!$L$3:$L$152,"&lt;="&amp;DATE(2024,1,31),'2024数据'!$AY$3:$AY$152,$E$35,'2024数据'!$B$3:$B$152,'2024整理'!$E636)</f>
        <v>0</v>
      </c>
      <c r="G644" s="111">
        <f>COUNTIFS('2024数据'!$L$3:$L$152,"&gt;="&amp;DATE(2024,2,1),'2024数据'!$L$3:$L$152,"&lt;="&amp;DATE(2024,2,29),'2024数据'!$AY$3:$AY$152,$E$35,'2024数据'!$B$3:$B$152,'2024整理'!$E636)</f>
        <v>0</v>
      </c>
      <c r="H644" s="111">
        <f>COUNTIFS('2024数据'!$L$3:$L$152,"&gt;="&amp;DATE(2024,3,1),'2024数据'!$L$3:$L$152,"&lt;="&amp;DATE(2024,3,31),'2024数据'!$AY$3:$AY$152,$E$35,'2024数据'!$B$3:$B$152,'2024整理'!$E636)</f>
        <v>0</v>
      </c>
      <c r="I644" s="111">
        <f>COUNTIFS('2024数据'!$L$3:$L$152,"&gt;="&amp;DATE(2024,4,1),'2024数据'!$L$3:$L$152,"&lt;="&amp;DATE(2024,4,30),'2024数据'!$AY$3:$AY$152,$E$35,'2024数据'!$B$3:$B$152,'2024整理'!$E636)</f>
        <v>1</v>
      </c>
      <c r="J644" s="111">
        <f>COUNTIFS('2024数据'!$L$3:$L$152,"&gt;="&amp;DATE(2024,5,1),'2024数据'!$L$3:$L$152,"&lt;="&amp;DATE(2024,5,31),'2024数据'!$AY$3:$AY$152,$E$35,'2024数据'!$B$3:$B$152,'2024整理'!$E636)</f>
        <v>0</v>
      </c>
      <c r="K644" s="111">
        <f>COUNTIFS('2024数据'!$L$3:$L$152,"&gt;="&amp;DATE(2024,6,1),'2024数据'!$L$3:$L$152,"&lt;="&amp;DATE(2024,6,30),'2024数据'!$AY$3:$AY$152,$E$35,'2024数据'!$B$3:$B$152,'2024整理'!$E636)</f>
        <v>0</v>
      </c>
      <c r="L644" s="111">
        <f>COUNTIFS('2024数据'!$L$3:$L$152,"&gt;="&amp;DATE(2024,7,1),'2024数据'!$L$3:$L$152,"&lt;="&amp;DATE(2024,7,31),'2024数据'!$AY$3:$AY$152,$E$35,'2024数据'!$B$3:$B$152,'2024整理'!$E636)</f>
        <v>1</v>
      </c>
      <c r="M644" s="111">
        <f>COUNTIFS('2024数据'!$L$3:$L$152,"&gt;="&amp;DATE(2024,8,1),'2024数据'!$L$3:$L$152,"&lt;="&amp;DATE(2024,8,31),'2024数据'!$AY$3:$AY$152,$E$35,'2024数据'!$B$3:$B$152,'2024整理'!$E636)</f>
        <v>0</v>
      </c>
      <c r="N644" s="111">
        <f>COUNTIFS('2024数据'!$L$3:$L$152,"&gt;="&amp;DATE(2024,9,1),'2024数据'!$L$3:$L$152,"&lt;="&amp;DATE(2024,9,30),'2024数据'!$AY$3:$AY$152,$E$35,'2024数据'!$B$3:$B$152,'2024整理'!$E636)</f>
        <v>2</v>
      </c>
      <c r="O644" s="111">
        <f>COUNTIFS('2024数据'!$L$3:$L$152,"&gt;="&amp;DATE(2024,10,1),'2024数据'!$L$3:$L$152,"&lt;="&amp;DATE(2024,10,31),'2024数据'!$AY$3:$AY$152,$E$35,'2024数据'!$B$3:$B$152,'2024整理'!$E636)</f>
        <v>3</v>
      </c>
      <c r="P644" s="111">
        <f>COUNTIFS('2024数据'!$L$3:$L$152,"&gt;="&amp;DATE(2024,11,1),'2024数据'!$L$3:$L$152,"&lt;="&amp;DATE(2024,11,30),'2024数据'!$AY$3:$AY$152,$E$35,'2024数据'!$B$3:$B$152,'2024整理'!$E636)</f>
        <v>0</v>
      </c>
      <c r="Q644" s="111">
        <f>COUNTIFS('2024数据'!$L$3:$L$152,"&gt;="&amp;DATE(2024,12,1),'2024数据'!$L$3:$L$152,"&lt;="&amp;DATE(2024,12,31),'2024数据'!$AY$3:$AY$152,$E$35,'2024数据'!$B$3:$B$152,'2024整理'!$E636)</f>
        <v>2</v>
      </c>
    </row>
    <row r="645" ht="24" customHeight="1" spans="1:17">
      <c r="A645" s="99" t="s">
        <v>346</v>
      </c>
      <c r="B645" s="99" t="s">
        <v>299</v>
      </c>
      <c r="C645" s="99" t="s">
        <v>291</v>
      </c>
      <c r="D645" s="53" t="s">
        <v>303</v>
      </c>
      <c r="E645" s="53" t="s">
        <v>96</v>
      </c>
      <c r="F645" s="111">
        <f>COUNTIFS('2024数据'!$L$3:$L$152,"&gt;="&amp;DATE(2024,1,1),'2024数据'!$L$3:$L$152,"&lt;="&amp;DATE(2024,1,31),'2024数据'!$AY$3:$AY$152,$E$35,'2024数据'!$B$3:$B$152,'2024整理'!$E637)</f>
        <v>0</v>
      </c>
      <c r="G645" s="111">
        <f>COUNTIFS('2024数据'!$L$3:$L$152,"&gt;="&amp;DATE(2024,2,1),'2024数据'!$L$3:$L$152,"&lt;="&amp;DATE(2024,2,29),'2024数据'!$AY$3:$AY$152,$E$35,'2024数据'!$B$3:$B$152,'2024整理'!$E637)</f>
        <v>0</v>
      </c>
      <c r="H645" s="111">
        <f>COUNTIFS('2024数据'!$L$3:$L$152,"&gt;="&amp;DATE(2024,3,1),'2024数据'!$L$3:$L$152,"&lt;="&amp;DATE(2024,3,31),'2024数据'!$AY$3:$AY$152,$E$35,'2024数据'!$B$3:$B$152,'2024整理'!$E637)</f>
        <v>0</v>
      </c>
      <c r="I645" s="111">
        <f>COUNTIFS('2024数据'!$L$3:$L$152,"&gt;="&amp;DATE(2024,4,1),'2024数据'!$L$3:$L$152,"&lt;="&amp;DATE(2024,4,30),'2024数据'!$AY$3:$AY$152,$E$35,'2024数据'!$B$3:$B$152,'2024整理'!$E637)</f>
        <v>0</v>
      </c>
      <c r="J645" s="111">
        <f>COUNTIFS('2024数据'!$L$3:$L$152,"&gt;="&amp;DATE(2024,5,1),'2024数据'!$L$3:$L$152,"&lt;="&amp;DATE(2024,5,31),'2024数据'!$AY$3:$AY$152,$E$35,'2024数据'!$B$3:$B$152,'2024整理'!$E637)</f>
        <v>0</v>
      </c>
      <c r="K645" s="111">
        <f>COUNTIFS('2024数据'!$L$3:$L$152,"&gt;="&amp;DATE(2024,6,1),'2024数据'!$L$3:$L$152,"&lt;="&amp;DATE(2024,6,30),'2024数据'!$AY$3:$AY$152,$E$35,'2024数据'!$B$3:$B$152,'2024整理'!$E637)</f>
        <v>0</v>
      </c>
      <c r="L645" s="111">
        <f>COUNTIFS('2024数据'!$L$3:$L$152,"&gt;="&amp;DATE(2024,7,1),'2024数据'!$L$3:$L$152,"&lt;="&amp;DATE(2024,7,31),'2024数据'!$AY$3:$AY$152,$E$35,'2024数据'!$B$3:$B$152,'2024整理'!$E637)</f>
        <v>0</v>
      </c>
      <c r="M645" s="111">
        <f>COUNTIFS('2024数据'!$L$3:$L$152,"&gt;="&amp;DATE(2024,8,1),'2024数据'!$L$3:$L$152,"&lt;="&amp;DATE(2024,8,31),'2024数据'!$AY$3:$AY$152,$E$35,'2024数据'!$B$3:$B$152,'2024整理'!$E637)</f>
        <v>0</v>
      </c>
      <c r="N645" s="111">
        <f>COUNTIFS('2024数据'!$L$3:$L$152,"&gt;="&amp;DATE(2024,9,1),'2024数据'!$L$3:$L$152,"&lt;="&amp;DATE(2024,9,30),'2024数据'!$AY$3:$AY$152,$E$35,'2024数据'!$B$3:$B$152,'2024整理'!$E637)</f>
        <v>0</v>
      </c>
      <c r="O645" s="111">
        <f>COUNTIFS('2024数据'!$L$3:$L$152,"&gt;="&amp;DATE(2024,10,1),'2024数据'!$L$3:$L$152,"&lt;="&amp;DATE(2024,10,31),'2024数据'!$AY$3:$AY$152,$E$35,'2024数据'!$B$3:$B$152,'2024整理'!$E637)</f>
        <v>0</v>
      </c>
      <c r="P645" s="111">
        <f>COUNTIFS('2024数据'!$L$3:$L$152,"&gt;="&amp;DATE(2024,11,1),'2024数据'!$L$3:$L$152,"&lt;="&amp;DATE(2024,11,30),'2024数据'!$AY$3:$AY$152,$E$35,'2024数据'!$B$3:$B$152,'2024整理'!$E637)</f>
        <v>0</v>
      </c>
      <c r="Q645" s="111">
        <f>COUNTIFS('2024数据'!$L$3:$L$152,"&gt;="&amp;DATE(2024,12,1),'2024数据'!$L$3:$L$152,"&lt;="&amp;DATE(2024,12,31),'2024数据'!$AY$3:$AY$152,$E$35,'2024数据'!$B$3:$B$152,'2024整理'!$E637)</f>
        <v>0</v>
      </c>
    </row>
    <row r="646" ht="24" customHeight="1" spans="1:17">
      <c r="A646" s="99" t="s">
        <v>346</v>
      </c>
      <c r="B646" s="99" t="s">
        <v>299</v>
      </c>
      <c r="C646" s="99" t="s">
        <v>291</v>
      </c>
      <c r="D646" s="53" t="s">
        <v>303</v>
      </c>
      <c r="E646" s="53" t="s">
        <v>160</v>
      </c>
      <c r="F646" s="111">
        <f>COUNTIFS('2024数据'!$L$3:$L$152,"&gt;="&amp;DATE(2024,1,1),'2024数据'!$L$3:$L$152,"&lt;="&amp;DATE(2024,1,31),'2024数据'!$AY$3:$AY$152,$E$35,'2024数据'!$B$3:$B$152,'2024整理'!$E638)</f>
        <v>0</v>
      </c>
      <c r="G646" s="111">
        <f>COUNTIFS('2024数据'!$L$3:$L$152,"&gt;="&amp;DATE(2024,2,1),'2024数据'!$L$3:$L$152,"&lt;="&amp;DATE(2024,2,29),'2024数据'!$AY$3:$AY$152,$E$35,'2024数据'!$B$3:$B$152,'2024整理'!$E638)</f>
        <v>0</v>
      </c>
      <c r="H646" s="111">
        <f>COUNTIFS('2024数据'!$L$3:$L$152,"&gt;="&amp;DATE(2024,3,1),'2024数据'!$L$3:$L$152,"&lt;="&amp;DATE(2024,3,31),'2024数据'!$AY$3:$AY$152,$E$35,'2024数据'!$B$3:$B$152,'2024整理'!$E638)</f>
        <v>0</v>
      </c>
      <c r="I646" s="111">
        <f>COUNTIFS('2024数据'!$L$3:$L$152,"&gt;="&amp;DATE(2024,4,1),'2024数据'!$L$3:$L$152,"&lt;="&amp;DATE(2024,4,30),'2024数据'!$AY$3:$AY$152,$E$35,'2024数据'!$B$3:$B$152,'2024整理'!$E638)</f>
        <v>0</v>
      </c>
      <c r="J646" s="111">
        <f>COUNTIFS('2024数据'!$L$3:$L$152,"&gt;="&amp;DATE(2024,5,1),'2024数据'!$L$3:$L$152,"&lt;="&amp;DATE(2024,5,31),'2024数据'!$AY$3:$AY$152,$E$35,'2024数据'!$B$3:$B$152,'2024整理'!$E638)</f>
        <v>0</v>
      </c>
      <c r="K646" s="111">
        <f>COUNTIFS('2024数据'!$L$3:$L$152,"&gt;="&amp;DATE(2024,6,1),'2024数据'!$L$3:$L$152,"&lt;="&amp;DATE(2024,6,30),'2024数据'!$AY$3:$AY$152,$E$35,'2024数据'!$B$3:$B$152,'2024整理'!$E638)</f>
        <v>0</v>
      </c>
      <c r="L646" s="111">
        <f>COUNTIFS('2024数据'!$L$3:$L$152,"&gt;="&amp;DATE(2024,7,1),'2024数据'!$L$3:$L$152,"&lt;="&amp;DATE(2024,7,31),'2024数据'!$AY$3:$AY$152,$E$35,'2024数据'!$B$3:$B$152,'2024整理'!$E638)</f>
        <v>0</v>
      </c>
      <c r="M646" s="111">
        <f>COUNTIFS('2024数据'!$L$3:$L$152,"&gt;="&amp;DATE(2024,8,1),'2024数据'!$L$3:$L$152,"&lt;="&amp;DATE(2024,8,31),'2024数据'!$AY$3:$AY$152,$E$35,'2024数据'!$B$3:$B$152,'2024整理'!$E638)</f>
        <v>0</v>
      </c>
      <c r="N646" s="111">
        <f>COUNTIFS('2024数据'!$L$3:$L$152,"&gt;="&amp;DATE(2024,9,1),'2024数据'!$L$3:$L$152,"&lt;="&amp;DATE(2024,9,30),'2024数据'!$AY$3:$AY$152,$E$35,'2024数据'!$B$3:$B$152,'2024整理'!$E638)</f>
        <v>0</v>
      </c>
      <c r="O646" s="111">
        <f>COUNTIFS('2024数据'!$L$3:$L$152,"&gt;="&amp;DATE(2024,10,1),'2024数据'!$L$3:$L$152,"&lt;="&amp;DATE(2024,10,31),'2024数据'!$AY$3:$AY$152,$E$35,'2024数据'!$B$3:$B$152,'2024整理'!$E638)</f>
        <v>0</v>
      </c>
      <c r="P646" s="111">
        <f>COUNTIFS('2024数据'!$L$3:$L$152,"&gt;="&amp;DATE(2024,11,1),'2024数据'!$L$3:$L$152,"&lt;="&amp;DATE(2024,11,30),'2024数据'!$AY$3:$AY$152,$E$35,'2024数据'!$B$3:$B$152,'2024整理'!$E638)</f>
        <v>0</v>
      </c>
      <c r="Q646" s="111">
        <f>COUNTIFS('2024数据'!$L$3:$L$152,"&gt;="&amp;DATE(2024,12,1),'2024数据'!$L$3:$L$152,"&lt;="&amp;DATE(2024,12,31),'2024数据'!$AY$3:$AY$152,$E$35,'2024数据'!$B$3:$B$152,'2024整理'!$E638)</f>
        <v>0</v>
      </c>
    </row>
    <row r="647" ht="24" customHeight="1" spans="1:17">
      <c r="A647" s="99" t="s">
        <v>346</v>
      </c>
      <c r="B647" s="99" t="s">
        <v>299</v>
      </c>
      <c r="C647" s="99" t="s">
        <v>291</v>
      </c>
      <c r="D647" s="53" t="s">
        <v>304</v>
      </c>
      <c r="E647" s="53" t="s">
        <v>93</v>
      </c>
      <c r="F647" s="111">
        <f>COUNTIFS('2024数据'!$L$3:$L$152,"&gt;="&amp;DATE(2024,1,1),'2024数据'!$L$3:$L$152,"&lt;="&amp;DATE(2024,1,31),'2024数据'!$AY$3:$AY$152,$E$36,'2024数据'!$B$3:$B$152,'2024整理'!$E634)</f>
        <v>2</v>
      </c>
      <c r="G647" s="111">
        <f>COUNTIFS('2024数据'!$L$3:$L$152,"&gt;="&amp;DATE(2024,2,1),'2024数据'!$L$3:$L$152,"&lt;="&amp;DATE(2024,2,29),'2024数据'!$AY$3:$AY$152,$E$36,'2024数据'!$B$3:$B$152,'2024整理'!$E634)</f>
        <v>0</v>
      </c>
      <c r="H647" s="111">
        <f>COUNTIFS('2024数据'!$L$3:$L$152,"&gt;="&amp;DATE(2024,3,1),'2024数据'!$L$3:$L$152,"&lt;="&amp;DATE(2024,3,31),'2024数据'!$AY$3:$AY$152,$E$36,'2024数据'!$B$3:$B$152,'2024整理'!$E634)</f>
        <v>0</v>
      </c>
      <c r="I647" s="111">
        <f>COUNTIFS('2024数据'!$L$3:$L$152,"&gt;="&amp;DATE(2024,4,1),'2024数据'!$L$3:$L$152,"&lt;="&amp;DATE(2024,4,30),'2024数据'!$AY$3:$AY$152,$E$36,'2024数据'!$B$3:$B$152,'2024整理'!$E634)</f>
        <v>0</v>
      </c>
      <c r="J647" s="111">
        <f>COUNTIFS('2024数据'!$L$3:$L$152,"&gt;="&amp;DATE(2024,5,1),'2024数据'!$L$3:$L$152,"&lt;="&amp;DATE(2024,5,31),'2024数据'!$AY$3:$AY$152,$E$36,'2024数据'!$B$3:$B$152,'2024整理'!$E634)</f>
        <v>2</v>
      </c>
      <c r="K647" s="111">
        <f>COUNTIFS('2024数据'!$L$3:$L$152,"&gt;="&amp;DATE(2024,6,1),'2024数据'!$L$3:$L$152,"&lt;="&amp;DATE(2024,6,30),'2024数据'!$AY$3:$AY$152,$E$36,'2024数据'!$B$3:$B$152,'2024整理'!$E634)</f>
        <v>0</v>
      </c>
      <c r="L647" s="111">
        <f>COUNTIFS('2024数据'!$L$3:$L$152,"&gt;="&amp;DATE(2024,7,1),'2024数据'!$L$3:$L$152,"&lt;="&amp;DATE(2024,7,31),'2024数据'!$AY$3:$AY$152,$E$36,'2024数据'!$B$3:$B$152,'2024整理'!$E634)</f>
        <v>1</v>
      </c>
      <c r="M647" s="111">
        <f>COUNTIFS('2024数据'!$L$3:$L$152,"&gt;="&amp;DATE(2024,8,1),'2024数据'!$L$3:$L$152,"&lt;="&amp;DATE(2024,8,31),'2024数据'!$AY$3:$AY$152,$E$36,'2024数据'!$B$3:$B$152,'2024整理'!$E634)</f>
        <v>3</v>
      </c>
      <c r="N647" s="111">
        <f>COUNTIFS('2024数据'!$L$3:$L$152,"&gt;="&amp;DATE(2024,9,1),'2024数据'!$L$3:$L$152,"&lt;="&amp;DATE(2024,9,30),'2024数据'!$AY$3:$AY$152,$E$36,'2024数据'!$B$3:$B$152,'2024整理'!$E634)</f>
        <v>1</v>
      </c>
      <c r="O647" s="111">
        <f>COUNTIFS('2024数据'!$L$3:$L$152,"&gt;="&amp;DATE(2024,10,1),'2024数据'!$L$3:$L$152,"&lt;="&amp;DATE(2024,10,31),'2024数据'!$AY$3:$AY$152,$E$36,'2024数据'!$B$3:$B$152,'2024整理'!$E634)</f>
        <v>0</v>
      </c>
      <c r="P647" s="111">
        <f>COUNTIFS('2024数据'!$L$3:$L$152,"&gt;="&amp;DATE(2024,11,1),'2024数据'!$L$3:$L$152,"&lt;="&amp;DATE(2024,11,30),'2024数据'!$AY$3:$AY$152,$E$36,'2024数据'!$B$3:$B$152,'2024整理'!$E634)</f>
        <v>1</v>
      </c>
      <c r="Q647" s="111">
        <f>COUNTIFS('2024数据'!$L$3:$L$152,"&gt;="&amp;DATE(2024,12,1),'2024数据'!$L$3:$L$152,"&lt;="&amp;DATE(2024,12,31),'2024数据'!$AY$3:$AY$152,$E$36,'2024数据'!$B$3:$B$152,'2024整理'!$E634)</f>
        <v>0</v>
      </c>
    </row>
    <row r="648" ht="24" customHeight="1" spans="1:17">
      <c r="A648" s="99" t="s">
        <v>346</v>
      </c>
      <c r="B648" s="99" t="s">
        <v>299</v>
      </c>
      <c r="C648" s="99" t="s">
        <v>291</v>
      </c>
      <c r="D648" s="53" t="s">
        <v>304</v>
      </c>
      <c r="E648" s="53" t="s">
        <v>85</v>
      </c>
      <c r="F648" s="111">
        <f>COUNTIFS('2024数据'!$L$3:$L$152,"&gt;="&amp;DATE(2024,1,1),'2024数据'!$L$3:$L$152,"&lt;="&amp;DATE(2024,1,31),'2024数据'!$AY$3:$AY$152,$E$36,'2024数据'!$B$3:$B$152,'2024整理'!$E635)</f>
        <v>1</v>
      </c>
      <c r="G648" s="111">
        <f>COUNTIFS('2024数据'!$L$3:$L$152,"&gt;="&amp;DATE(2024,2,1),'2024数据'!$L$3:$L$152,"&lt;="&amp;DATE(2024,2,29),'2024数据'!$AY$3:$AY$152,$E$36,'2024数据'!$B$3:$B$152,'2024整理'!$E635)</f>
        <v>0</v>
      </c>
      <c r="H648" s="111">
        <f>COUNTIFS('2024数据'!$L$3:$L$152,"&gt;="&amp;DATE(2024,3,1),'2024数据'!$L$3:$L$152,"&lt;="&amp;DATE(2024,3,31),'2024数据'!$AY$3:$AY$152,$E$36,'2024数据'!$B$3:$B$152,'2024整理'!$E635)</f>
        <v>0</v>
      </c>
      <c r="I648" s="111">
        <f>COUNTIFS('2024数据'!$L$3:$L$152,"&gt;="&amp;DATE(2024,4,1),'2024数据'!$L$3:$L$152,"&lt;="&amp;DATE(2024,4,30),'2024数据'!$AY$3:$AY$152,$E$36,'2024数据'!$B$3:$B$152,'2024整理'!$E635)</f>
        <v>0</v>
      </c>
      <c r="J648" s="111">
        <f>COUNTIFS('2024数据'!$L$3:$L$152,"&gt;="&amp;DATE(2024,5,1),'2024数据'!$L$3:$L$152,"&lt;="&amp;DATE(2024,5,31),'2024数据'!$AY$3:$AY$152,$E$36,'2024数据'!$B$3:$B$152,'2024整理'!$E635)</f>
        <v>1</v>
      </c>
      <c r="K648" s="111">
        <f>COUNTIFS('2024数据'!$L$3:$L$152,"&gt;="&amp;DATE(2024,6,1),'2024数据'!$L$3:$L$152,"&lt;="&amp;DATE(2024,6,30),'2024数据'!$AY$3:$AY$152,$E$36,'2024数据'!$B$3:$B$152,'2024整理'!$E635)</f>
        <v>0</v>
      </c>
      <c r="L648" s="111">
        <f>COUNTIFS('2024数据'!$L$3:$L$152,"&gt;="&amp;DATE(2024,7,1),'2024数据'!$L$3:$L$152,"&lt;="&amp;DATE(2024,7,31),'2024数据'!$AY$3:$AY$152,$E$36,'2024数据'!$B$3:$B$152,'2024整理'!$E635)</f>
        <v>0</v>
      </c>
      <c r="M648" s="111">
        <f>COUNTIFS('2024数据'!$L$3:$L$152,"&gt;="&amp;DATE(2024,8,1),'2024数据'!$L$3:$L$152,"&lt;="&amp;DATE(2024,8,31),'2024数据'!$AY$3:$AY$152,$E$36,'2024数据'!$B$3:$B$152,'2024整理'!$E635)</f>
        <v>0</v>
      </c>
      <c r="N648" s="111">
        <f>COUNTIFS('2024数据'!$L$3:$L$152,"&gt;="&amp;DATE(2024,9,1),'2024数据'!$L$3:$L$152,"&lt;="&amp;DATE(2024,9,30),'2024数据'!$AY$3:$AY$152,$E$36,'2024数据'!$B$3:$B$152,'2024整理'!$E635)</f>
        <v>0</v>
      </c>
      <c r="O648" s="111">
        <f>COUNTIFS('2024数据'!$L$3:$L$152,"&gt;="&amp;DATE(2024,10,1),'2024数据'!$L$3:$L$152,"&lt;="&amp;DATE(2024,10,31),'2024数据'!$AY$3:$AY$152,$E$36,'2024数据'!$B$3:$B$152,'2024整理'!$E635)</f>
        <v>1</v>
      </c>
      <c r="P648" s="111">
        <f>COUNTIFS('2024数据'!$L$3:$L$152,"&gt;="&amp;DATE(2024,11,1),'2024数据'!$L$3:$L$152,"&lt;="&amp;DATE(2024,11,30),'2024数据'!$AY$3:$AY$152,$E$36,'2024数据'!$B$3:$B$152,'2024整理'!$E635)</f>
        <v>0</v>
      </c>
      <c r="Q648" s="111">
        <f>COUNTIFS('2024数据'!$L$3:$L$152,"&gt;="&amp;DATE(2024,12,1),'2024数据'!$L$3:$L$152,"&lt;="&amp;DATE(2024,12,31),'2024数据'!$AY$3:$AY$152,$E$36,'2024数据'!$B$3:$B$152,'2024整理'!$E635)</f>
        <v>0</v>
      </c>
    </row>
    <row r="649" ht="24" customHeight="1" spans="1:17">
      <c r="A649" s="99" t="s">
        <v>346</v>
      </c>
      <c r="B649" s="99" t="s">
        <v>299</v>
      </c>
      <c r="C649" s="99" t="s">
        <v>291</v>
      </c>
      <c r="D649" s="53" t="s">
        <v>304</v>
      </c>
      <c r="E649" s="53" t="s">
        <v>81</v>
      </c>
      <c r="F649" s="111">
        <f>COUNTIFS('2024数据'!$L$3:$L$152,"&gt;="&amp;DATE(2024,1,1),'2024数据'!$L$3:$L$152,"&lt;="&amp;DATE(2024,1,31),'2024数据'!$AY$3:$AY$152,$E$36,'2024数据'!$B$3:$B$152,'2024整理'!$E636)</f>
        <v>0</v>
      </c>
      <c r="G649" s="111">
        <f>COUNTIFS('2024数据'!$L$3:$L$152,"&gt;="&amp;DATE(2024,2,1),'2024数据'!$L$3:$L$152,"&lt;="&amp;DATE(2024,2,29),'2024数据'!$AY$3:$AY$152,$E$36,'2024数据'!$B$3:$B$152,'2024整理'!$E636)</f>
        <v>0</v>
      </c>
      <c r="H649" s="111">
        <f>COUNTIFS('2024数据'!$L$3:$L$152,"&gt;="&amp;DATE(2024,3,1),'2024数据'!$L$3:$L$152,"&lt;="&amp;DATE(2024,3,31),'2024数据'!$AY$3:$AY$152,$E$36,'2024数据'!$B$3:$B$152,'2024整理'!$E636)</f>
        <v>0</v>
      </c>
      <c r="I649" s="111">
        <f>COUNTIFS('2024数据'!$L$3:$L$152,"&gt;="&amp;DATE(2024,4,1),'2024数据'!$L$3:$L$152,"&lt;="&amp;DATE(2024,4,30),'2024数据'!$AY$3:$AY$152,$E$36,'2024数据'!$B$3:$B$152,'2024整理'!$E636)</f>
        <v>0</v>
      </c>
      <c r="J649" s="111">
        <f>COUNTIFS('2024数据'!$L$3:$L$152,"&gt;="&amp;DATE(2024,5,1),'2024数据'!$L$3:$L$152,"&lt;="&amp;DATE(2024,5,31),'2024数据'!$AY$3:$AY$152,$E$36,'2024数据'!$B$3:$B$152,'2024整理'!$E636)</f>
        <v>0</v>
      </c>
      <c r="K649" s="111">
        <f>COUNTIFS('2024数据'!$L$3:$L$152,"&gt;="&amp;DATE(2024,6,1),'2024数据'!$L$3:$L$152,"&lt;="&amp;DATE(2024,6,30),'2024数据'!$AY$3:$AY$152,$E$36,'2024数据'!$B$3:$B$152,'2024整理'!$E636)</f>
        <v>0</v>
      </c>
      <c r="L649" s="111">
        <f>COUNTIFS('2024数据'!$L$3:$L$152,"&gt;="&amp;DATE(2024,7,1),'2024数据'!$L$3:$L$152,"&lt;="&amp;DATE(2024,7,31),'2024数据'!$AY$3:$AY$152,$E$36,'2024数据'!$B$3:$B$152,'2024整理'!$E636)</f>
        <v>0</v>
      </c>
      <c r="M649" s="111">
        <f>COUNTIFS('2024数据'!$L$3:$L$152,"&gt;="&amp;DATE(2024,8,1),'2024数据'!$L$3:$L$152,"&lt;="&amp;DATE(2024,8,31),'2024数据'!$AY$3:$AY$152,$E$36,'2024数据'!$B$3:$B$152,'2024整理'!$E636)</f>
        <v>0</v>
      </c>
      <c r="N649" s="111">
        <f>COUNTIFS('2024数据'!$L$3:$L$152,"&gt;="&amp;DATE(2024,9,1),'2024数据'!$L$3:$L$152,"&lt;="&amp;DATE(2024,9,30),'2024数据'!$AY$3:$AY$152,$E$36,'2024数据'!$B$3:$B$152,'2024整理'!$E636)</f>
        <v>0</v>
      </c>
      <c r="O649" s="111">
        <f>COUNTIFS('2024数据'!$L$3:$L$152,"&gt;="&amp;DATE(2024,10,1),'2024数据'!$L$3:$L$152,"&lt;="&amp;DATE(2024,10,31),'2024数据'!$AY$3:$AY$152,$E$36,'2024数据'!$B$3:$B$152,'2024整理'!$E636)</f>
        <v>1</v>
      </c>
      <c r="P649" s="111">
        <f>COUNTIFS('2024数据'!$L$3:$L$152,"&gt;="&amp;DATE(2024,11,1),'2024数据'!$L$3:$L$152,"&lt;="&amp;DATE(2024,11,30),'2024数据'!$AY$3:$AY$152,$E$36,'2024数据'!$B$3:$B$152,'2024整理'!$E636)</f>
        <v>0</v>
      </c>
      <c r="Q649" s="111">
        <f>COUNTIFS('2024数据'!$L$3:$L$152,"&gt;="&amp;DATE(2024,12,1),'2024数据'!$L$3:$L$152,"&lt;="&amp;DATE(2024,12,31),'2024数据'!$AY$3:$AY$152,$E$36,'2024数据'!$B$3:$B$152,'2024整理'!$E636)</f>
        <v>0</v>
      </c>
    </row>
    <row r="650" ht="24" customHeight="1" spans="1:17">
      <c r="A650" s="99" t="s">
        <v>346</v>
      </c>
      <c r="B650" s="99" t="s">
        <v>299</v>
      </c>
      <c r="C650" s="99" t="s">
        <v>291</v>
      </c>
      <c r="D650" s="53" t="s">
        <v>304</v>
      </c>
      <c r="E650" s="53" t="s">
        <v>96</v>
      </c>
      <c r="F650" s="111">
        <f>COUNTIFS('2024数据'!$L$3:$L$152,"&gt;="&amp;DATE(2024,1,1),'2024数据'!$L$3:$L$152,"&lt;="&amp;DATE(2024,1,31),'2024数据'!$AY$3:$AY$152,$E$36,'2024数据'!$B$3:$B$152,'2024整理'!$E637)</f>
        <v>0</v>
      </c>
      <c r="G650" s="111">
        <f>COUNTIFS('2024数据'!$L$3:$L$152,"&gt;="&amp;DATE(2024,2,1),'2024数据'!$L$3:$L$152,"&lt;="&amp;DATE(2024,2,29),'2024数据'!$AY$3:$AY$152,$E$36,'2024数据'!$B$3:$B$152,'2024整理'!$E637)</f>
        <v>0</v>
      </c>
      <c r="H650" s="111">
        <f>COUNTIFS('2024数据'!$L$3:$L$152,"&gt;="&amp;DATE(2024,3,1),'2024数据'!$L$3:$L$152,"&lt;="&amp;DATE(2024,3,31),'2024数据'!$AY$3:$AY$152,$E$36,'2024数据'!$B$3:$B$152,'2024整理'!$E637)</f>
        <v>0</v>
      </c>
      <c r="I650" s="111">
        <f>COUNTIFS('2024数据'!$L$3:$L$152,"&gt;="&amp;DATE(2024,4,1),'2024数据'!$L$3:$L$152,"&lt;="&amp;DATE(2024,4,30),'2024数据'!$AY$3:$AY$152,$E$36,'2024数据'!$B$3:$B$152,'2024整理'!$E637)</f>
        <v>0</v>
      </c>
      <c r="J650" s="111">
        <f>COUNTIFS('2024数据'!$L$3:$L$152,"&gt;="&amp;DATE(2024,5,1),'2024数据'!$L$3:$L$152,"&lt;="&amp;DATE(2024,5,31),'2024数据'!$AY$3:$AY$152,$E$36,'2024数据'!$B$3:$B$152,'2024整理'!$E637)</f>
        <v>0</v>
      </c>
      <c r="K650" s="111">
        <f>COUNTIFS('2024数据'!$L$3:$L$152,"&gt;="&amp;DATE(2024,6,1),'2024数据'!$L$3:$L$152,"&lt;="&amp;DATE(2024,6,30),'2024数据'!$AY$3:$AY$152,$E$36,'2024数据'!$B$3:$B$152,'2024整理'!$E637)</f>
        <v>0</v>
      </c>
      <c r="L650" s="111">
        <f>COUNTIFS('2024数据'!$L$3:$L$152,"&gt;="&amp;DATE(2024,7,1),'2024数据'!$L$3:$L$152,"&lt;="&amp;DATE(2024,7,31),'2024数据'!$AY$3:$AY$152,$E$36,'2024数据'!$B$3:$B$152,'2024整理'!$E637)</f>
        <v>0</v>
      </c>
      <c r="M650" s="111">
        <f>COUNTIFS('2024数据'!$L$3:$L$152,"&gt;="&amp;DATE(2024,8,1),'2024数据'!$L$3:$L$152,"&lt;="&amp;DATE(2024,8,31),'2024数据'!$AY$3:$AY$152,$E$36,'2024数据'!$B$3:$B$152,'2024整理'!$E637)</f>
        <v>0</v>
      </c>
      <c r="N650" s="111">
        <f>COUNTIFS('2024数据'!$L$3:$L$152,"&gt;="&amp;DATE(2024,9,1),'2024数据'!$L$3:$L$152,"&lt;="&amp;DATE(2024,9,30),'2024数据'!$AY$3:$AY$152,$E$36,'2024数据'!$B$3:$B$152,'2024整理'!$E637)</f>
        <v>0</v>
      </c>
      <c r="O650" s="111">
        <f>COUNTIFS('2024数据'!$L$3:$L$152,"&gt;="&amp;DATE(2024,10,1),'2024数据'!$L$3:$L$152,"&lt;="&amp;DATE(2024,10,31),'2024数据'!$AY$3:$AY$152,$E$36,'2024数据'!$B$3:$B$152,'2024整理'!$E637)</f>
        <v>0</v>
      </c>
      <c r="P650" s="111">
        <f>COUNTIFS('2024数据'!$L$3:$L$152,"&gt;="&amp;DATE(2024,11,1),'2024数据'!$L$3:$L$152,"&lt;="&amp;DATE(2024,11,30),'2024数据'!$AY$3:$AY$152,$E$36,'2024数据'!$B$3:$B$152,'2024整理'!$E637)</f>
        <v>0</v>
      </c>
      <c r="Q650" s="111">
        <f>COUNTIFS('2024数据'!$L$3:$L$152,"&gt;="&amp;DATE(2024,12,1),'2024数据'!$L$3:$L$152,"&lt;="&amp;DATE(2024,12,31),'2024数据'!$AY$3:$AY$152,$E$36,'2024数据'!$B$3:$B$152,'2024整理'!$E637)</f>
        <v>0</v>
      </c>
    </row>
    <row r="651" ht="24" customHeight="1" spans="1:17">
      <c r="A651" s="99" t="s">
        <v>346</v>
      </c>
      <c r="B651" s="99" t="s">
        <v>299</v>
      </c>
      <c r="C651" s="99" t="s">
        <v>291</v>
      </c>
      <c r="D651" s="53" t="s">
        <v>304</v>
      </c>
      <c r="E651" s="53" t="s">
        <v>160</v>
      </c>
      <c r="F651" s="111">
        <f>COUNTIFS('2024数据'!$L$3:$L$152,"&gt;="&amp;DATE(2024,1,1),'2024数据'!$L$3:$L$152,"&lt;="&amp;DATE(2024,1,31),'2024数据'!$AY$3:$AY$152,$E$36,'2024数据'!$B$3:$B$152,'2024整理'!$E638)</f>
        <v>0</v>
      </c>
      <c r="G651" s="111">
        <f>COUNTIFS('2024数据'!$L$3:$L$152,"&gt;="&amp;DATE(2024,2,1),'2024数据'!$L$3:$L$152,"&lt;="&amp;DATE(2024,2,29),'2024数据'!$AY$3:$AY$152,$E$36,'2024数据'!$B$3:$B$152,'2024整理'!$E638)</f>
        <v>0</v>
      </c>
      <c r="H651" s="111">
        <f>COUNTIFS('2024数据'!$L$3:$L$152,"&gt;="&amp;DATE(2024,3,1),'2024数据'!$L$3:$L$152,"&lt;="&amp;DATE(2024,3,31),'2024数据'!$AY$3:$AY$152,$E$36,'2024数据'!$B$3:$B$152,'2024整理'!$E638)</f>
        <v>0</v>
      </c>
      <c r="I651" s="111">
        <f>COUNTIFS('2024数据'!$L$3:$L$152,"&gt;="&amp;DATE(2024,4,1),'2024数据'!$L$3:$L$152,"&lt;="&amp;DATE(2024,4,30),'2024数据'!$AY$3:$AY$152,$E$36,'2024数据'!$B$3:$B$152,'2024整理'!$E638)</f>
        <v>0</v>
      </c>
      <c r="J651" s="111">
        <f>COUNTIFS('2024数据'!$L$3:$L$152,"&gt;="&amp;DATE(2024,5,1),'2024数据'!$L$3:$L$152,"&lt;="&amp;DATE(2024,5,31),'2024数据'!$AY$3:$AY$152,$E$36,'2024数据'!$B$3:$B$152,'2024整理'!$E638)</f>
        <v>0</v>
      </c>
      <c r="K651" s="111">
        <f>COUNTIFS('2024数据'!$L$3:$L$152,"&gt;="&amp;DATE(2024,6,1),'2024数据'!$L$3:$L$152,"&lt;="&amp;DATE(2024,6,30),'2024数据'!$AY$3:$AY$152,$E$36,'2024数据'!$B$3:$B$152,'2024整理'!$E638)</f>
        <v>0</v>
      </c>
      <c r="L651" s="111">
        <f>COUNTIFS('2024数据'!$L$3:$L$152,"&gt;="&amp;DATE(2024,7,1),'2024数据'!$L$3:$L$152,"&lt;="&amp;DATE(2024,7,31),'2024数据'!$AY$3:$AY$152,$E$36,'2024数据'!$B$3:$B$152,'2024整理'!$E638)</f>
        <v>0</v>
      </c>
      <c r="M651" s="111">
        <f>COUNTIFS('2024数据'!$L$3:$L$152,"&gt;="&amp;DATE(2024,8,1),'2024数据'!$L$3:$L$152,"&lt;="&amp;DATE(2024,8,31),'2024数据'!$AY$3:$AY$152,$E$36,'2024数据'!$B$3:$B$152,'2024整理'!$E638)</f>
        <v>0</v>
      </c>
      <c r="N651" s="111">
        <f>COUNTIFS('2024数据'!$L$3:$L$152,"&gt;="&amp;DATE(2024,9,1),'2024数据'!$L$3:$L$152,"&lt;="&amp;DATE(2024,9,30),'2024数据'!$AY$3:$AY$152,$E$36,'2024数据'!$B$3:$B$152,'2024整理'!$E638)</f>
        <v>0</v>
      </c>
      <c r="O651" s="111">
        <f>COUNTIFS('2024数据'!$L$3:$L$152,"&gt;="&amp;DATE(2024,10,1),'2024数据'!$L$3:$L$152,"&lt;="&amp;DATE(2024,10,31),'2024数据'!$AY$3:$AY$152,$E$36,'2024数据'!$B$3:$B$152,'2024整理'!$E638)</f>
        <v>0</v>
      </c>
      <c r="P651" s="111">
        <f>COUNTIFS('2024数据'!$L$3:$L$152,"&gt;="&amp;DATE(2024,11,1),'2024数据'!$L$3:$L$152,"&lt;="&amp;DATE(2024,11,30),'2024数据'!$AY$3:$AY$152,$E$36,'2024数据'!$B$3:$B$152,'2024整理'!$E638)</f>
        <v>0</v>
      </c>
      <c r="Q651" s="111">
        <f>COUNTIFS('2024数据'!$L$3:$L$152,"&gt;="&amp;DATE(2024,12,1),'2024数据'!$L$3:$L$152,"&lt;="&amp;DATE(2024,12,31),'2024数据'!$AY$3:$AY$152,$E$36,'2024数据'!$B$3:$B$152,'2024整理'!$E638)</f>
        <v>0</v>
      </c>
    </row>
    <row r="652" ht="24" customHeight="1" spans="1:17">
      <c r="A652" s="99" t="s">
        <v>346</v>
      </c>
      <c r="B652" s="99" t="s">
        <v>299</v>
      </c>
      <c r="C652" s="99" t="s">
        <v>291</v>
      </c>
      <c r="D652" s="53" t="s">
        <v>305</v>
      </c>
      <c r="E652" s="53" t="s">
        <v>93</v>
      </c>
      <c r="F652" s="111">
        <f>COUNTIFS('2024数据'!$L$3:$L$152,"&gt;="&amp;DATE(2024,1,1),'2024数据'!$L$3:$L$152,"&lt;="&amp;DATE(2024,1,31),'2024数据'!$AY$3:$AY$152,$E$37,'2024数据'!$B$3:$B$152,'2024整理'!$E634)</f>
        <v>0</v>
      </c>
      <c r="G652" s="111">
        <f>COUNTIFS('2024数据'!$L$3:$L$152,"&gt;="&amp;DATE(2024,2,1),'2024数据'!$L$3:$L$152,"&lt;="&amp;DATE(2024,2,29),'2024数据'!$AY$3:$AY$152,$E$37,'2024数据'!$B$3:$B$152,'2024整理'!$E634)</f>
        <v>0</v>
      </c>
      <c r="H652" s="111">
        <f>COUNTIFS('2024数据'!$L$3:$L$152,"&gt;="&amp;DATE(2024,3,1),'2024数据'!$L$3:$L$152,"&lt;="&amp;DATE(2024,3,31),'2024数据'!$AY$3:$AY$152,$E$37,'2024数据'!$B$3:$B$152,'2024整理'!$E634)</f>
        <v>0</v>
      </c>
      <c r="I652" s="111">
        <f>COUNTIFS('2024数据'!$L$3:$L$152,"&gt;="&amp;DATE(2024,4,1),'2024数据'!$L$3:$L$152,"&lt;="&amp;DATE(2024,4,30),'2024数据'!$AY$3:$AY$152,$E$37,'2024数据'!$B$3:$B$152,'2024整理'!$E634)</f>
        <v>0</v>
      </c>
      <c r="J652" s="111">
        <f>COUNTIFS('2024数据'!$L$3:$L$152,"&gt;="&amp;DATE(2024,5,1),'2024数据'!$L$3:$L$152,"&lt;="&amp;DATE(2024,5,31),'2024数据'!$AY$3:$AY$152,$E$37,'2024数据'!$B$3:$B$152,'2024整理'!$E634)</f>
        <v>0</v>
      </c>
      <c r="K652" s="111">
        <f>COUNTIFS('2024数据'!$L$3:$L$152,"&gt;="&amp;DATE(2024,6,1),'2024数据'!$L$3:$L$152,"&lt;="&amp;DATE(2024,6,30),'2024数据'!$AY$3:$AY$152,$E$37,'2024数据'!$B$3:$B$152,'2024整理'!$E634)</f>
        <v>0</v>
      </c>
      <c r="L652" s="111">
        <f>COUNTIFS('2024数据'!$L$3:$L$152,"&gt;="&amp;DATE(2024,7,1),'2024数据'!$L$3:$L$152,"&lt;="&amp;DATE(2024,7,31),'2024数据'!$AY$3:$AY$152,$E$37,'2024数据'!$B$3:$B$152,'2024整理'!$E634)</f>
        <v>0</v>
      </c>
      <c r="M652" s="111">
        <f>COUNTIFS('2024数据'!$L$3:$L$152,"&gt;="&amp;DATE(2024,8,1),'2024数据'!$L$3:$L$152,"&lt;="&amp;DATE(2024,8,31),'2024数据'!$AY$3:$AY$152,$E$37,'2024数据'!$B$3:$B$152,'2024整理'!$E634)</f>
        <v>0</v>
      </c>
      <c r="N652" s="111">
        <f>COUNTIFS('2024数据'!$L$3:$L$152,"&gt;="&amp;DATE(2024,9,1),'2024数据'!$L$3:$L$152,"&lt;="&amp;DATE(2024,9,30),'2024数据'!$AY$3:$AY$152,$E$37,'2024数据'!$B$3:$B$152,'2024整理'!$E634)</f>
        <v>0</v>
      </c>
      <c r="O652" s="111">
        <f>COUNTIFS('2024数据'!$L$3:$L$152,"&gt;="&amp;DATE(2024,10,1),'2024数据'!$L$3:$L$152,"&lt;="&amp;DATE(2024,10,31),'2024数据'!$AY$3:$AY$152,$E$37,'2024数据'!$B$3:$B$152,'2024整理'!$E634)</f>
        <v>0</v>
      </c>
      <c r="P652" s="111">
        <f>COUNTIFS('2024数据'!$L$3:$L$152,"&gt;="&amp;DATE(2024,11,1),'2024数据'!$L$3:$L$152,"&lt;="&amp;DATE(2024,11,30),'2024数据'!$AY$3:$AY$152,$E$37,'2024数据'!$B$3:$B$152,'2024整理'!$E634)</f>
        <v>0</v>
      </c>
      <c r="Q652" s="111">
        <f>COUNTIFS('2024数据'!$L$3:$L$152,"&gt;="&amp;DATE(2024,12,1),'2024数据'!$L$3:$L$152,"&lt;="&amp;DATE(2024,12,31),'2024数据'!$AY$3:$AY$152,$E$37,'2024数据'!$B$3:$B$152,'2024整理'!$E634)</f>
        <v>0</v>
      </c>
    </row>
    <row r="653" ht="24" customHeight="1" spans="1:17">
      <c r="A653" s="99" t="s">
        <v>346</v>
      </c>
      <c r="B653" s="99" t="s">
        <v>299</v>
      </c>
      <c r="C653" s="99" t="s">
        <v>291</v>
      </c>
      <c r="D653" s="53" t="s">
        <v>305</v>
      </c>
      <c r="E653" s="53" t="s">
        <v>85</v>
      </c>
      <c r="F653" s="111">
        <f>COUNTIFS('2024数据'!$L$3:$L$152,"&gt;="&amp;DATE(2024,1,1),'2024数据'!$L$3:$L$152,"&lt;="&amp;DATE(2024,1,31),'2024数据'!$AY$3:$AY$152,$E$37,'2024数据'!$B$3:$B$152,'2024整理'!$E635)</f>
        <v>0</v>
      </c>
      <c r="G653" s="111">
        <f>COUNTIFS('2024数据'!$L$3:$L$152,"&gt;="&amp;DATE(2024,2,1),'2024数据'!$L$3:$L$152,"&lt;="&amp;DATE(2024,2,29),'2024数据'!$AY$3:$AY$152,$E$37,'2024数据'!$B$3:$B$152,'2024整理'!$E635)</f>
        <v>0</v>
      </c>
      <c r="H653" s="111">
        <f>COUNTIFS('2024数据'!$L$3:$L$152,"&gt;="&amp;DATE(2024,3,1),'2024数据'!$L$3:$L$152,"&lt;="&amp;DATE(2024,3,31),'2024数据'!$AY$3:$AY$152,$E$37,'2024数据'!$B$3:$B$152,'2024整理'!$E635)</f>
        <v>0</v>
      </c>
      <c r="I653" s="111">
        <f>COUNTIFS('2024数据'!$L$3:$L$152,"&gt;="&amp;DATE(2024,4,1),'2024数据'!$L$3:$L$152,"&lt;="&amp;DATE(2024,4,30),'2024数据'!$AY$3:$AY$152,$E$37,'2024数据'!$B$3:$B$152,'2024整理'!$E635)</f>
        <v>0</v>
      </c>
      <c r="J653" s="111">
        <f>COUNTIFS('2024数据'!$L$3:$L$152,"&gt;="&amp;DATE(2024,5,1),'2024数据'!$L$3:$L$152,"&lt;="&amp;DATE(2024,5,31),'2024数据'!$AY$3:$AY$152,$E$37,'2024数据'!$B$3:$B$152,'2024整理'!$E635)</f>
        <v>0</v>
      </c>
      <c r="K653" s="111">
        <f>COUNTIFS('2024数据'!$L$3:$L$152,"&gt;="&amp;DATE(2024,6,1),'2024数据'!$L$3:$L$152,"&lt;="&amp;DATE(2024,6,30),'2024数据'!$AY$3:$AY$152,$E$37,'2024数据'!$B$3:$B$152,'2024整理'!$E635)</f>
        <v>0</v>
      </c>
      <c r="L653" s="111">
        <f>COUNTIFS('2024数据'!$L$3:$L$152,"&gt;="&amp;DATE(2024,7,1),'2024数据'!$L$3:$L$152,"&lt;="&amp;DATE(2024,7,31),'2024数据'!$AY$3:$AY$152,$E$37,'2024数据'!$B$3:$B$152,'2024整理'!$E635)</f>
        <v>0</v>
      </c>
      <c r="M653" s="111">
        <f>COUNTIFS('2024数据'!$L$3:$L$152,"&gt;="&amp;DATE(2024,8,1),'2024数据'!$L$3:$L$152,"&lt;="&amp;DATE(2024,8,31),'2024数据'!$AY$3:$AY$152,$E$37,'2024数据'!$B$3:$B$152,'2024整理'!$E635)</f>
        <v>0</v>
      </c>
      <c r="N653" s="111">
        <f>COUNTIFS('2024数据'!$L$3:$L$152,"&gt;="&amp;DATE(2024,9,1),'2024数据'!$L$3:$L$152,"&lt;="&amp;DATE(2024,9,30),'2024数据'!$AY$3:$AY$152,$E$37,'2024数据'!$B$3:$B$152,'2024整理'!$E635)</f>
        <v>0</v>
      </c>
      <c r="O653" s="111">
        <f>COUNTIFS('2024数据'!$L$3:$L$152,"&gt;="&amp;DATE(2024,10,1),'2024数据'!$L$3:$L$152,"&lt;="&amp;DATE(2024,10,31),'2024数据'!$AY$3:$AY$152,$E$37,'2024数据'!$B$3:$B$152,'2024整理'!$E635)</f>
        <v>0</v>
      </c>
      <c r="P653" s="111">
        <f>COUNTIFS('2024数据'!$L$3:$L$152,"&gt;="&amp;DATE(2024,11,1),'2024数据'!$L$3:$L$152,"&lt;="&amp;DATE(2024,11,30),'2024数据'!$AY$3:$AY$152,$E$37,'2024数据'!$B$3:$B$152,'2024整理'!$E635)</f>
        <v>0</v>
      </c>
      <c r="Q653" s="111">
        <f>COUNTIFS('2024数据'!$L$3:$L$152,"&gt;="&amp;DATE(2024,12,1),'2024数据'!$L$3:$L$152,"&lt;="&amp;DATE(2024,12,31),'2024数据'!$AY$3:$AY$152,$E$37,'2024数据'!$B$3:$B$152,'2024整理'!$E635)</f>
        <v>0</v>
      </c>
    </row>
    <row r="654" ht="24" customHeight="1" spans="1:17">
      <c r="A654" s="99" t="s">
        <v>346</v>
      </c>
      <c r="B654" s="99" t="s">
        <v>299</v>
      </c>
      <c r="C654" s="99" t="s">
        <v>291</v>
      </c>
      <c r="D654" s="53" t="s">
        <v>305</v>
      </c>
      <c r="E654" s="53" t="s">
        <v>81</v>
      </c>
      <c r="F654" s="111">
        <f>COUNTIFS('2024数据'!$L$3:$L$152,"&gt;="&amp;DATE(2024,1,1),'2024数据'!$L$3:$L$152,"&lt;="&amp;DATE(2024,1,31),'2024数据'!$AY$3:$AY$152,$E$37,'2024数据'!$B$3:$B$152,'2024整理'!$E636)</f>
        <v>0</v>
      </c>
      <c r="G654" s="111">
        <f>COUNTIFS('2024数据'!$L$3:$L$152,"&gt;="&amp;DATE(2024,2,1),'2024数据'!$L$3:$L$152,"&lt;="&amp;DATE(2024,2,29),'2024数据'!$AY$3:$AY$152,$E$37,'2024数据'!$B$3:$B$152,'2024整理'!$E636)</f>
        <v>0</v>
      </c>
      <c r="H654" s="111">
        <f>COUNTIFS('2024数据'!$L$3:$L$152,"&gt;="&amp;DATE(2024,3,1),'2024数据'!$L$3:$L$152,"&lt;="&amp;DATE(2024,3,31),'2024数据'!$AY$3:$AY$152,$E$37,'2024数据'!$B$3:$B$152,'2024整理'!$E636)</f>
        <v>0</v>
      </c>
      <c r="I654" s="111">
        <f>COUNTIFS('2024数据'!$L$3:$L$152,"&gt;="&amp;DATE(2024,4,1),'2024数据'!$L$3:$L$152,"&lt;="&amp;DATE(2024,4,30),'2024数据'!$AY$3:$AY$152,$E$37,'2024数据'!$B$3:$B$152,'2024整理'!$E636)</f>
        <v>0</v>
      </c>
      <c r="J654" s="111">
        <f>COUNTIFS('2024数据'!$L$3:$L$152,"&gt;="&amp;DATE(2024,5,1),'2024数据'!$L$3:$L$152,"&lt;="&amp;DATE(2024,5,31),'2024数据'!$AY$3:$AY$152,$E$37,'2024数据'!$B$3:$B$152,'2024整理'!$E636)</f>
        <v>0</v>
      </c>
      <c r="K654" s="111">
        <f>COUNTIFS('2024数据'!$L$3:$L$152,"&gt;="&amp;DATE(2024,6,1),'2024数据'!$L$3:$L$152,"&lt;="&amp;DATE(2024,6,30),'2024数据'!$AY$3:$AY$152,$E$37,'2024数据'!$B$3:$B$152,'2024整理'!$E636)</f>
        <v>0</v>
      </c>
      <c r="L654" s="111">
        <f>COUNTIFS('2024数据'!$L$3:$L$152,"&gt;="&amp;DATE(2024,7,1),'2024数据'!$L$3:$L$152,"&lt;="&amp;DATE(2024,7,31),'2024数据'!$AY$3:$AY$152,$E$37,'2024数据'!$B$3:$B$152,'2024整理'!$E636)</f>
        <v>0</v>
      </c>
      <c r="M654" s="111">
        <f>COUNTIFS('2024数据'!$L$3:$L$152,"&gt;="&amp;DATE(2024,8,1),'2024数据'!$L$3:$L$152,"&lt;="&amp;DATE(2024,8,31),'2024数据'!$AY$3:$AY$152,$E$37,'2024数据'!$B$3:$B$152,'2024整理'!$E636)</f>
        <v>0</v>
      </c>
      <c r="N654" s="111">
        <f>COUNTIFS('2024数据'!$L$3:$L$152,"&gt;="&amp;DATE(2024,9,1),'2024数据'!$L$3:$L$152,"&lt;="&amp;DATE(2024,9,30),'2024数据'!$AY$3:$AY$152,$E$37,'2024数据'!$B$3:$B$152,'2024整理'!$E636)</f>
        <v>0</v>
      </c>
      <c r="O654" s="111">
        <f>COUNTIFS('2024数据'!$L$3:$L$152,"&gt;="&amp;DATE(2024,10,1),'2024数据'!$L$3:$L$152,"&lt;="&amp;DATE(2024,10,31),'2024数据'!$AY$3:$AY$152,$E$37,'2024数据'!$B$3:$B$152,'2024整理'!$E636)</f>
        <v>0</v>
      </c>
      <c r="P654" s="111">
        <f>COUNTIFS('2024数据'!$L$3:$L$152,"&gt;="&amp;DATE(2024,11,1),'2024数据'!$L$3:$L$152,"&lt;="&amp;DATE(2024,11,30),'2024数据'!$AY$3:$AY$152,$E$37,'2024数据'!$B$3:$B$152,'2024整理'!$E636)</f>
        <v>0</v>
      </c>
      <c r="Q654" s="111">
        <f>COUNTIFS('2024数据'!$L$3:$L$152,"&gt;="&amp;DATE(2024,12,1),'2024数据'!$L$3:$L$152,"&lt;="&amp;DATE(2024,12,31),'2024数据'!$AY$3:$AY$152,$E$37,'2024数据'!$B$3:$B$152,'2024整理'!$E636)</f>
        <v>0</v>
      </c>
    </row>
    <row r="655" ht="24" customHeight="1" spans="1:17">
      <c r="A655" s="99" t="s">
        <v>346</v>
      </c>
      <c r="B655" s="99" t="s">
        <v>299</v>
      </c>
      <c r="C655" s="99" t="s">
        <v>291</v>
      </c>
      <c r="D655" s="53" t="s">
        <v>305</v>
      </c>
      <c r="E655" s="53" t="s">
        <v>96</v>
      </c>
      <c r="F655" s="111">
        <f>COUNTIFS('2024数据'!$L$3:$L$152,"&gt;="&amp;DATE(2024,1,1),'2024数据'!$L$3:$L$152,"&lt;="&amp;DATE(2024,1,31),'2024数据'!$AY$3:$AY$152,$E$37,'2024数据'!$B$3:$B$152,'2024整理'!$E637)</f>
        <v>0</v>
      </c>
      <c r="G655" s="111">
        <f>COUNTIFS('2024数据'!$L$3:$L$152,"&gt;="&amp;DATE(2024,2,1),'2024数据'!$L$3:$L$152,"&lt;="&amp;DATE(2024,2,29),'2024数据'!$AY$3:$AY$152,$E$37,'2024数据'!$B$3:$B$152,'2024整理'!$E637)</f>
        <v>0</v>
      </c>
      <c r="H655" s="111">
        <f>COUNTIFS('2024数据'!$L$3:$L$152,"&gt;="&amp;DATE(2024,3,1),'2024数据'!$L$3:$L$152,"&lt;="&amp;DATE(2024,3,31),'2024数据'!$AY$3:$AY$152,$E$37,'2024数据'!$B$3:$B$152,'2024整理'!$E637)</f>
        <v>0</v>
      </c>
      <c r="I655" s="111">
        <f>COUNTIFS('2024数据'!$L$3:$L$152,"&gt;="&amp;DATE(2024,4,1),'2024数据'!$L$3:$L$152,"&lt;="&amp;DATE(2024,4,30),'2024数据'!$AY$3:$AY$152,$E$37,'2024数据'!$B$3:$B$152,'2024整理'!$E637)</f>
        <v>0</v>
      </c>
      <c r="J655" s="111">
        <f>COUNTIFS('2024数据'!$L$3:$L$152,"&gt;="&amp;DATE(2024,5,1),'2024数据'!$L$3:$L$152,"&lt;="&amp;DATE(2024,5,31),'2024数据'!$AY$3:$AY$152,$E$37,'2024数据'!$B$3:$B$152,'2024整理'!$E637)</f>
        <v>0</v>
      </c>
      <c r="K655" s="111">
        <f>COUNTIFS('2024数据'!$L$3:$L$152,"&gt;="&amp;DATE(2024,6,1),'2024数据'!$L$3:$L$152,"&lt;="&amp;DATE(2024,6,30),'2024数据'!$AY$3:$AY$152,$E$37,'2024数据'!$B$3:$B$152,'2024整理'!$E637)</f>
        <v>0</v>
      </c>
      <c r="L655" s="111">
        <f>COUNTIFS('2024数据'!$L$3:$L$152,"&gt;="&amp;DATE(2024,7,1),'2024数据'!$L$3:$L$152,"&lt;="&amp;DATE(2024,7,31),'2024数据'!$AY$3:$AY$152,$E$37,'2024数据'!$B$3:$B$152,'2024整理'!$E637)</f>
        <v>0</v>
      </c>
      <c r="M655" s="111">
        <f>COUNTIFS('2024数据'!$L$3:$L$152,"&gt;="&amp;DATE(2024,8,1),'2024数据'!$L$3:$L$152,"&lt;="&amp;DATE(2024,8,31),'2024数据'!$AY$3:$AY$152,$E$37,'2024数据'!$B$3:$B$152,'2024整理'!$E637)</f>
        <v>0</v>
      </c>
      <c r="N655" s="111">
        <f>COUNTIFS('2024数据'!$L$3:$L$152,"&gt;="&amp;DATE(2024,9,1),'2024数据'!$L$3:$L$152,"&lt;="&amp;DATE(2024,9,30),'2024数据'!$AY$3:$AY$152,$E$37,'2024数据'!$B$3:$B$152,'2024整理'!$E637)</f>
        <v>1</v>
      </c>
      <c r="O655" s="111">
        <f>COUNTIFS('2024数据'!$L$3:$L$152,"&gt;="&amp;DATE(2024,10,1),'2024数据'!$L$3:$L$152,"&lt;="&amp;DATE(2024,10,31),'2024数据'!$AY$3:$AY$152,$E$37,'2024数据'!$B$3:$B$152,'2024整理'!$E637)</f>
        <v>0</v>
      </c>
      <c r="P655" s="111">
        <f>COUNTIFS('2024数据'!$L$3:$L$152,"&gt;="&amp;DATE(2024,11,1),'2024数据'!$L$3:$L$152,"&lt;="&amp;DATE(2024,11,30),'2024数据'!$AY$3:$AY$152,$E$37,'2024数据'!$B$3:$B$152,'2024整理'!$E637)</f>
        <v>0</v>
      </c>
      <c r="Q655" s="111">
        <f>COUNTIFS('2024数据'!$L$3:$L$152,"&gt;="&amp;DATE(2024,12,1),'2024数据'!$L$3:$L$152,"&lt;="&amp;DATE(2024,12,31),'2024数据'!$AY$3:$AY$152,$E$37,'2024数据'!$B$3:$B$152,'2024整理'!$E637)</f>
        <v>0</v>
      </c>
    </row>
    <row r="656" ht="24" customHeight="1" spans="1:17">
      <c r="A656" s="99" t="s">
        <v>346</v>
      </c>
      <c r="B656" s="99" t="s">
        <v>299</v>
      </c>
      <c r="C656" s="99" t="s">
        <v>291</v>
      </c>
      <c r="D656" s="53" t="s">
        <v>305</v>
      </c>
      <c r="E656" s="53" t="s">
        <v>160</v>
      </c>
      <c r="F656" s="111">
        <f>COUNTIFS('2024数据'!$L$3:$L$152,"&gt;="&amp;DATE(2024,1,1),'2024数据'!$L$3:$L$152,"&lt;="&amp;DATE(2024,1,31),'2024数据'!$AY$3:$AY$152,$E$37,'2024数据'!$B$3:$B$152,'2024整理'!$E638)</f>
        <v>0</v>
      </c>
      <c r="G656" s="111">
        <f>COUNTIFS('2024数据'!$L$3:$L$152,"&gt;="&amp;DATE(2024,2,1),'2024数据'!$L$3:$L$152,"&lt;="&amp;DATE(2024,2,29),'2024数据'!$AY$3:$AY$152,$E$37,'2024数据'!$B$3:$B$152,'2024整理'!$E638)</f>
        <v>0</v>
      </c>
      <c r="H656" s="111">
        <f>COUNTIFS('2024数据'!$L$3:$L$152,"&gt;="&amp;DATE(2024,3,1),'2024数据'!$L$3:$L$152,"&lt;="&amp;DATE(2024,3,31),'2024数据'!$AY$3:$AY$152,$E$37,'2024数据'!$B$3:$B$152,'2024整理'!$E638)</f>
        <v>0</v>
      </c>
      <c r="I656" s="111">
        <f>COUNTIFS('2024数据'!$L$3:$L$152,"&gt;="&amp;DATE(2024,4,1),'2024数据'!$L$3:$L$152,"&lt;="&amp;DATE(2024,4,30),'2024数据'!$AY$3:$AY$152,$E$37,'2024数据'!$B$3:$B$152,'2024整理'!$E638)</f>
        <v>0</v>
      </c>
      <c r="J656" s="111">
        <f>COUNTIFS('2024数据'!$L$3:$L$152,"&gt;="&amp;DATE(2024,5,1),'2024数据'!$L$3:$L$152,"&lt;="&amp;DATE(2024,5,31),'2024数据'!$AY$3:$AY$152,$E$37,'2024数据'!$B$3:$B$152,'2024整理'!$E638)</f>
        <v>0</v>
      </c>
      <c r="K656" s="111">
        <f>COUNTIFS('2024数据'!$L$3:$L$152,"&gt;="&amp;DATE(2024,6,1),'2024数据'!$L$3:$L$152,"&lt;="&amp;DATE(2024,6,30),'2024数据'!$AY$3:$AY$152,$E$37,'2024数据'!$B$3:$B$152,'2024整理'!$E638)</f>
        <v>0</v>
      </c>
      <c r="L656" s="111">
        <f>COUNTIFS('2024数据'!$L$3:$L$152,"&gt;="&amp;DATE(2024,7,1),'2024数据'!$L$3:$L$152,"&lt;="&amp;DATE(2024,7,31),'2024数据'!$AY$3:$AY$152,$E$37,'2024数据'!$B$3:$B$152,'2024整理'!$E638)</f>
        <v>0</v>
      </c>
      <c r="M656" s="111">
        <f>COUNTIFS('2024数据'!$L$3:$L$152,"&gt;="&amp;DATE(2024,8,1),'2024数据'!$L$3:$L$152,"&lt;="&amp;DATE(2024,8,31),'2024数据'!$AY$3:$AY$152,$E$37,'2024数据'!$B$3:$B$152,'2024整理'!$E638)</f>
        <v>0</v>
      </c>
      <c r="N656" s="111">
        <f>COUNTIFS('2024数据'!$L$3:$L$152,"&gt;="&amp;DATE(2024,9,1),'2024数据'!$L$3:$L$152,"&lt;="&amp;DATE(2024,9,30),'2024数据'!$AY$3:$AY$152,$E$37,'2024数据'!$B$3:$B$152,'2024整理'!$E638)</f>
        <v>0</v>
      </c>
      <c r="O656" s="111">
        <f>COUNTIFS('2024数据'!$L$3:$L$152,"&gt;="&amp;DATE(2024,10,1),'2024数据'!$L$3:$L$152,"&lt;="&amp;DATE(2024,10,31),'2024数据'!$AY$3:$AY$152,$E$37,'2024数据'!$B$3:$B$152,'2024整理'!$E638)</f>
        <v>0</v>
      </c>
      <c r="P656" s="111">
        <f>COUNTIFS('2024数据'!$L$3:$L$152,"&gt;="&amp;DATE(2024,11,1),'2024数据'!$L$3:$L$152,"&lt;="&amp;DATE(2024,11,30),'2024数据'!$AY$3:$AY$152,$E$37,'2024数据'!$B$3:$B$152,'2024整理'!$E638)</f>
        <v>0</v>
      </c>
      <c r="Q656" s="111">
        <f>COUNTIFS('2024数据'!$L$3:$L$152,"&gt;="&amp;DATE(2024,12,1),'2024数据'!$L$3:$L$152,"&lt;="&amp;DATE(2024,12,31),'2024数据'!$AY$3:$AY$152,$E$37,'2024数据'!$B$3:$B$152,'2024整理'!$E638)</f>
        <v>0</v>
      </c>
    </row>
    <row r="657" ht="24" customHeight="1" spans="1:17">
      <c r="A657" s="99" t="s">
        <v>346</v>
      </c>
      <c r="B657" s="99" t="s">
        <v>299</v>
      </c>
      <c r="C657" s="99" t="s">
        <v>291</v>
      </c>
      <c r="D657" s="100" t="s">
        <v>292</v>
      </c>
      <c r="E657" s="100" t="s">
        <v>306</v>
      </c>
      <c r="F657" s="104">
        <f t="shared" ref="F657:Q657" si="452">SUM(F658:F660)</f>
        <v>8</v>
      </c>
      <c r="G657" s="104">
        <f t="shared" si="452"/>
        <v>2</v>
      </c>
      <c r="H657" s="104">
        <f t="shared" si="452"/>
        <v>4</v>
      </c>
      <c r="I657" s="104">
        <f t="shared" si="452"/>
        <v>1</v>
      </c>
      <c r="J657" s="104">
        <f t="shared" si="452"/>
        <v>3</v>
      </c>
      <c r="K657" s="104">
        <f t="shared" si="452"/>
        <v>2</v>
      </c>
      <c r="L657" s="104">
        <f t="shared" si="452"/>
        <v>2</v>
      </c>
      <c r="M657" s="104">
        <f t="shared" si="452"/>
        <v>5</v>
      </c>
      <c r="N657" s="104">
        <f t="shared" si="452"/>
        <v>7</v>
      </c>
      <c r="O657" s="104">
        <f t="shared" si="452"/>
        <v>6</v>
      </c>
      <c r="P657" s="104">
        <f t="shared" si="452"/>
        <v>5</v>
      </c>
      <c r="Q657" s="104">
        <f t="shared" si="452"/>
        <v>5</v>
      </c>
    </row>
    <row r="658" ht="24" customHeight="1" spans="1:17">
      <c r="A658" s="99" t="s">
        <v>346</v>
      </c>
      <c r="B658" s="99" t="s">
        <v>299</v>
      </c>
      <c r="C658" s="99" t="s">
        <v>291</v>
      </c>
      <c r="D658" s="48" t="s">
        <v>296</v>
      </c>
      <c r="E658" s="48" t="s">
        <v>406</v>
      </c>
      <c r="F658" s="105">
        <f>COUNTIFS('2024数据'!$L$3:$L$152,"&gt;="&amp;DATE(2024,1,1),'2024数据'!$L$3:$L$152,"&lt;="&amp;DATE(2024,1,31),'2024数据'!$AF$3:$AF$152,$E658)</f>
        <v>2</v>
      </c>
      <c r="G658" s="105">
        <f>COUNTIFS('2024数据'!$L$3:$L$152,"&gt;="&amp;DATE(2024,2,1),'2024数据'!$L$3:$L$152,"&lt;="&amp;DATE(2024,2,29),'2024数据'!$AF$3:$AF$152,$E658)</f>
        <v>1</v>
      </c>
      <c r="H658" s="105">
        <f>COUNTIFS('2024数据'!$L$3:$L$152,"&gt;="&amp;DATE(2024,3,1),'2024数据'!$L$3:$L$152,"&lt;="&amp;DATE(2024,3,31),'2024数据'!$AF$3:$AF$152,$E658)</f>
        <v>2</v>
      </c>
      <c r="I658" s="105">
        <f>COUNTIFS('2024数据'!$L$3:$L$152,"&gt;="&amp;DATE(2024,4,1),'2024数据'!$L$3:$L$152,"&lt;="&amp;DATE(2024,4,30),'2024数据'!$AF$3:$AF$152,$E658)</f>
        <v>0</v>
      </c>
      <c r="J658" s="105">
        <f>COUNTIFS('2024数据'!$L$3:$L$152,"&gt;="&amp;DATE(2024,5,1),'2024数据'!$L$3:$L$152,"&lt;="&amp;DATE(2024,5,31),'2024数据'!$AF$3:$AF$152,$E658)</f>
        <v>0</v>
      </c>
      <c r="K658" s="105">
        <f>COUNTIFS('2024数据'!$L$3:$L$152,"&gt;="&amp;DATE(2024,6,1),'2024数据'!$L$3:$L$152,"&lt;="&amp;DATE(2024,6,30),'2024数据'!$AF$3:$AF$152,$E658)</f>
        <v>1</v>
      </c>
      <c r="L658" s="105">
        <f>COUNTIFS('2024数据'!$L$3:$L$152,"&gt;="&amp;DATE(2024,7,1),'2024数据'!$L$3:$L$152,"&lt;="&amp;DATE(2024,7,31),'2024数据'!$AF$3:$AF$152,$E658)</f>
        <v>1</v>
      </c>
      <c r="M658" s="105">
        <f>COUNTIFS('2024数据'!$L$3:$L$152,"&gt;="&amp;DATE(2024,8,1),'2024数据'!$L$3:$L$152,"&lt;="&amp;DATE(2024,8,31),'2024数据'!$AF$3:$AF$152,$E658)</f>
        <v>1</v>
      </c>
      <c r="N658" s="105">
        <f>COUNTIFS('2024数据'!$L$3:$L$152,"&gt;="&amp;DATE(2024,9,1),'2024数据'!$L$3:$L$152,"&lt;="&amp;DATE(2024,9,30),'2024数据'!$AF$3:$AF$152,$E658)</f>
        <v>2</v>
      </c>
      <c r="O658" s="105">
        <f>COUNTIFS('2024数据'!$L$3:$L$152,"&gt;="&amp;DATE(2024,10,1),'2024数据'!$L$3:$L$152,"&lt;="&amp;DATE(2024,10,31),'2024数据'!$AF$3:$AF$152,$E658)</f>
        <v>1</v>
      </c>
      <c r="P658" s="105">
        <f>COUNTIFS('2024数据'!$L$3:$L$152,"&gt;="&amp;DATE(2024,11,1),'2024数据'!$L$3:$L$152,"&lt;="&amp;DATE(2024,11,30),'2024数据'!$AF$3:$AF$152,$E658)</f>
        <v>3</v>
      </c>
      <c r="Q658" s="105">
        <f>COUNTIFS('2024数据'!$L$3:$L$152,"&gt;="&amp;DATE(2024,12,1),'2024数据'!$L$3:$L$152,"&lt;="&amp;DATE(2024,12,31),'2024数据'!$AF$3:$AF$152,$E658)</f>
        <v>2</v>
      </c>
    </row>
    <row r="659" ht="24" customHeight="1" spans="1:17">
      <c r="A659" s="99" t="s">
        <v>346</v>
      </c>
      <c r="B659" s="99" t="s">
        <v>299</v>
      </c>
      <c r="C659" s="99" t="s">
        <v>291</v>
      </c>
      <c r="D659" s="48" t="s">
        <v>296</v>
      </c>
      <c r="E659" s="48" t="s">
        <v>82</v>
      </c>
      <c r="F659" s="105">
        <f>COUNTIFS('2024数据'!$L$3:$L$152,"&gt;="&amp;DATE(2024,1,1),'2024数据'!$L$3:$L$152,"&lt;="&amp;DATE(2024,1,31),'2024数据'!$AF$3:$AF$152,$E659)</f>
        <v>5</v>
      </c>
      <c r="G659" s="105">
        <f>COUNTIFS('2024数据'!$L$3:$L$152,"&gt;="&amp;DATE(2024,2,1),'2024数据'!$L$3:$L$152,"&lt;="&amp;DATE(2024,2,29),'2024数据'!$AF$3:$AF$152,$E659)</f>
        <v>1</v>
      </c>
      <c r="H659" s="105">
        <f>COUNTIFS('2024数据'!$L$3:$L$152,"&gt;="&amp;DATE(2024,3,1),'2024数据'!$L$3:$L$152,"&lt;="&amp;DATE(2024,3,31),'2024数据'!$AF$3:$AF$152,$E659)</f>
        <v>1</v>
      </c>
      <c r="I659" s="105">
        <f>COUNTIFS('2024数据'!$L$3:$L$152,"&gt;="&amp;DATE(2024,4,1),'2024数据'!$L$3:$L$152,"&lt;="&amp;DATE(2024,4,30),'2024数据'!$AF$3:$AF$152,$E659)</f>
        <v>0</v>
      </c>
      <c r="J659" s="105">
        <f>COUNTIFS('2024数据'!$L$3:$L$152,"&gt;="&amp;DATE(2024,5,1),'2024数据'!$L$3:$L$152,"&lt;="&amp;DATE(2024,5,31),'2024数据'!$AF$3:$AF$152,$E659)</f>
        <v>1</v>
      </c>
      <c r="K659" s="105">
        <f>COUNTIFS('2024数据'!$L$3:$L$152,"&gt;="&amp;DATE(2024,6,1),'2024数据'!$L$3:$L$152,"&lt;="&amp;DATE(2024,6,30),'2024数据'!$AF$3:$AF$152,$E659)</f>
        <v>0</v>
      </c>
      <c r="L659" s="105">
        <f>COUNTIFS('2024数据'!$L$3:$L$152,"&gt;="&amp;DATE(2024,7,1),'2024数据'!$L$3:$L$152,"&lt;="&amp;DATE(2024,7,31),'2024数据'!$AF$3:$AF$152,$E659)</f>
        <v>1</v>
      </c>
      <c r="M659" s="105">
        <f>COUNTIFS('2024数据'!$L$3:$L$152,"&gt;="&amp;DATE(2024,8,1),'2024数据'!$L$3:$L$152,"&lt;="&amp;DATE(2024,8,31),'2024数据'!$AF$3:$AF$152,$E659)</f>
        <v>2</v>
      </c>
      <c r="N659" s="105">
        <f>COUNTIFS('2024数据'!$L$3:$L$152,"&gt;="&amp;DATE(2024,9,1),'2024数据'!$L$3:$L$152,"&lt;="&amp;DATE(2024,9,30),'2024数据'!$AF$3:$AF$152,$E659)</f>
        <v>1</v>
      </c>
      <c r="O659" s="105">
        <f>COUNTIFS('2024数据'!$L$3:$L$152,"&gt;="&amp;DATE(2024,10,1),'2024数据'!$L$3:$L$152,"&lt;="&amp;DATE(2024,10,31),'2024数据'!$AF$3:$AF$152,$E659)</f>
        <v>1</v>
      </c>
      <c r="P659" s="105">
        <f>COUNTIFS('2024数据'!$L$3:$L$152,"&gt;="&amp;DATE(2024,11,1),'2024数据'!$L$3:$L$152,"&lt;="&amp;DATE(2024,11,30),'2024数据'!$AF$3:$AF$152,$E659)</f>
        <v>0</v>
      </c>
      <c r="Q659" s="105">
        <f>COUNTIFS('2024数据'!$L$3:$L$152,"&gt;="&amp;DATE(2024,12,1),'2024数据'!$L$3:$L$152,"&lt;="&amp;DATE(2024,12,31),'2024数据'!$AF$3:$AF$152,$E659)</f>
        <v>1</v>
      </c>
    </row>
    <row r="660" ht="24" customHeight="1" spans="1:17">
      <c r="A660" s="99" t="s">
        <v>346</v>
      </c>
      <c r="B660" s="99" t="s">
        <v>299</v>
      </c>
      <c r="C660" s="99" t="s">
        <v>291</v>
      </c>
      <c r="D660" s="48" t="s">
        <v>296</v>
      </c>
      <c r="E660" s="48" t="s">
        <v>86</v>
      </c>
      <c r="F660" s="105">
        <f>COUNTIFS('2024数据'!$L$3:$L$152,"&gt;="&amp;DATE(2024,1,1),'2024数据'!$L$3:$L$152,"&lt;="&amp;DATE(2024,1,31),'2024数据'!$AF$3:$AF$152,$E660)</f>
        <v>1</v>
      </c>
      <c r="G660" s="105">
        <f>COUNTIFS('2024数据'!$L$3:$L$152,"&gt;="&amp;DATE(2024,2,1),'2024数据'!$L$3:$L$152,"&lt;="&amp;DATE(2024,2,29),'2024数据'!$AF$3:$AF$152,$E660)</f>
        <v>0</v>
      </c>
      <c r="H660" s="105">
        <f>COUNTIFS('2024数据'!$L$3:$L$152,"&gt;="&amp;DATE(2024,3,1),'2024数据'!$L$3:$L$152,"&lt;="&amp;DATE(2024,3,31),'2024数据'!$AF$3:$AF$152,$E660)</f>
        <v>1</v>
      </c>
      <c r="I660" s="105">
        <f>COUNTIFS('2024数据'!$L$3:$L$152,"&gt;="&amp;DATE(2024,4,1),'2024数据'!$L$3:$L$152,"&lt;="&amp;DATE(2024,4,30),'2024数据'!$AF$3:$AF$152,$E660)</f>
        <v>1</v>
      </c>
      <c r="J660" s="105">
        <f>COUNTIFS('2024数据'!$L$3:$L$152,"&gt;="&amp;DATE(2024,5,1),'2024数据'!$L$3:$L$152,"&lt;="&amp;DATE(2024,5,31),'2024数据'!$AF$3:$AF$152,$E660)</f>
        <v>2</v>
      </c>
      <c r="K660" s="105">
        <f>COUNTIFS('2024数据'!$L$3:$L$152,"&gt;="&amp;DATE(2024,6,1),'2024数据'!$L$3:$L$152,"&lt;="&amp;DATE(2024,6,30),'2024数据'!$AF$3:$AF$152,$E660)</f>
        <v>1</v>
      </c>
      <c r="L660" s="105">
        <f>COUNTIFS('2024数据'!$L$3:$L$152,"&gt;="&amp;DATE(2024,7,1),'2024数据'!$L$3:$L$152,"&lt;="&amp;DATE(2024,7,31),'2024数据'!$AF$3:$AF$152,$E660)</f>
        <v>0</v>
      </c>
      <c r="M660" s="105">
        <f>COUNTIFS('2024数据'!$L$3:$L$152,"&gt;="&amp;DATE(2024,8,1),'2024数据'!$L$3:$L$152,"&lt;="&amp;DATE(2024,8,31),'2024数据'!$AF$3:$AF$152,$E660)</f>
        <v>2</v>
      </c>
      <c r="N660" s="105">
        <f>COUNTIFS('2024数据'!$L$3:$L$152,"&gt;="&amp;DATE(2024,9,1),'2024数据'!$L$3:$L$152,"&lt;="&amp;DATE(2024,9,30),'2024数据'!$AF$3:$AF$152,$E660)</f>
        <v>4</v>
      </c>
      <c r="O660" s="105">
        <f>COUNTIFS('2024数据'!$L$3:$L$152,"&gt;="&amp;DATE(2024,10,1),'2024数据'!$L$3:$L$152,"&lt;="&amp;DATE(2024,10,31),'2024数据'!$AF$3:$AF$152,$E660)</f>
        <v>4</v>
      </c>
      <c r="P660" s="105">
        <f>COUNTIFS('2024数据'!$L$3:$L$152,"&gt;="&amp;DATE(2024,11,1),'2024数据'!$L$3:$L$152,"&lt;="&amp;DATE(2024,11,30),'2024数据'!$AF$3:$AF$152,$E660)</f>
        <v>2</v>
      </c>
      <c r="Q660" s="105">
        <f>COUNTIFS('2024数据'!$L$3:$L$152,"&gt;="&amp;DATE(2024,12,1),'2024数据'!$L$3:$L$152,"&lt;="&amp;DATE(2024,12,31),'2024数据'!$AF$3:$AF$152,$E660)</f>
        <v>2</v>
      </c>
    </row>
    <row r="661" ht="24" customHeight="1" spans="1:17">
      <c r="A661" s="99" t="s">
        <v>346</v>
      </c>
      <c r="B661" s="99" t="s">
        <v>299</v>
      </c>
      <c r="C661" s="99" t="s">
        <v>291</v>
      </c>
      <c r="D661" s="100" t="s">
        <v>292</v>
      </c>
      <c r="E661" s="100" t="s">
        <v>307</v>
      </c>
      <c r="F661" s="104">
        <f t="shared" ref="F661:Q661" si="453">SUM(F662:F664)</f>
        <v>2</v>
      </c>
      <c r="G661" s="104">
        <f t="shared" si="453"/>
        <v>1</v>
      </c>
      <c r="H661" s="104">
        <f t="shared" si="453"/>
        <v>3</v>
      </c>
      <c r="I661" s="104">
        <f t="shared" si="453"/>
        <v>0</v>
      </c>
      <c r="J661" s="104">
        <f t="shared" si="453"/>
        <v>2</v>
      </c>
      <c r="K661" s="104">
        <f t="shared" si="453"/>
        <v>1</v>
      </c>
      <c r="L661" s="104">
        <f t="shared" si="453"/>
        <v>1</v>
      </c>
      <c r="M661" s="104">
        <f t="shared" si="453"/>
        <v>4</v>
      </c>
      <c r="N661" s="104">
        <f t="shared" si="453"/>
        <v>4</v>
      </c>
      <c r="O661" s="104">
        <f t="shared" si="453"/>
        <v>5</v>
      </c>
      <c r="P661" s="104">
        <f t="shared" si="453"/>
        <v>4</v>
      </c>
      <c r="Q661" s="104">
        <f t="shared" si="453"/>
        <v>4</v>
      </c>
    </row>
    <row r="662" ht="24" customHeight="1" spans="1:17">
      <c r="A662" s="99" t="s">
        <v>346</v>
      </c>
      <c r="B662" s="99" t="s">
        <v>299</v>
      </c>
      <c r="C662" s="99" t="s">
        <v>291</v>
      </c>
      <c r="D662" s="48" t="s">
        <v>298</v>
      </c>
      <c r="E662" s="48" t="s">
        <v>97</v>
      </c>
      <c r="F662" s="105">
        <f>COUNTIFS('2024数据'!$L$3:$L$152,"&gt;="&amp;DATE(2024,1,1),'2024数据'!$L$3:$L$152,"&lt;="&amp;DATE(2024,1,31),'2024数据'!$AG$3:$AG$152,$E662)</f>
        <v>2</v>
      </c>
      <c r="G662" s="105">
        <f>COUNTIFS('2024数据'!$L$3:$L$152,"&gt;="&amp;DATE(2024,2,1),'2024数据'!$L$3:$L$152,"&lt;="&amp;DATE(2024,2,29),'2024数据'!$AG$3:$AG$152,$E662)</f>
        <v>0</v>
      </c>
      <c r="H662" s="105">
        <f>COUNTIFS('2024数据'!$L$3:$L$152,"&gt;="&amp;DATE(2024,3,1),'2024数据'!$L$3:$L$152,"&lt;="&amp;DATE(2024,3,31),'2024数据'!$AG$3:$AG$152,$E662)</f>
        <v>3</v>
      </c>
      <c r="I662" s="105">
        <f>COUNTIFS('2024数据'!$L$3:$L$152,"&gt;="&amp;DATE(2024,4,1),'2024数据'!$L$3:$L$152,"&lt;="&amp;DATE(2024,4,30),'2024数据'!$AG$3:$AG$152,$E662)</f>
        <v>0</v>
      </c>
      <c r="J662" s="105">
        <f>COUNTIFS('2024数据'!$L$3:$L$152,"&gt;="&amp;DATE(2024,5,1),'2024数据'!$L$3:$L$152,"&lt;="&amp;DATE(2024,5,31),'2024数据'!$AG$3:$AG$152,$E662)</f>
        <v>1</v>
      </c>
      <c r="K662" s="105">
        <f>COUNTIFS('2024数据'!$L$3:$L$152,"&gt;="&amp;DATE(2024,6,1),'2024数据'!$L$3:$L$152,"&lt;="&amp;DATE(2024,6,30),'2024数据'!$AG$3:$AG$152,$E662)</f>
        <v>0</v>
      </c>
      <c r="L662" s="105">
        <f>COUNTIFS('2024数据'!$L$3:$L$152,"&gt;="&amp;DATE(2024,7,1),'2024数据'!$L$3:$L$152,"&lt;="&amp;DATE(2024,7,31),'2024数据'!$AG$3:$AG$152,$E662)</f>
        <v>1</v>
      </c>
      <c r="M662" s="105">
        <f>COUNTIFS('2024数据'!$L$3:$L$152,"&gt;="&amp;DATE(2024,8,1),'2024数据'!$L$3:$L$152,"&lt;="&amp;DATE(2024,8,31),'2024数据'!$AG$3:$AG$152,$E662)</f>
        <v>2</v>
      </c>
      <c r="N662" s="105">
        <f>COUNTIFS('2024数据'!$L$3:$L$152,"&gt;="&amp;DATE(2024,9,1),'2024数据'!$L$3:$L$152,"&lt;="&amp;DATE(2024,9,30),'2024数据'!$AG$3:$AG$152,$E662)</f>
        <v>2</v>
      </c>
      <c r="O662" s="105">
        <f>COUNTIFS('2024数据'!$L$3:$L$152,"&gt;="&amp;DATE(2024,10,1),'2024数据'!$L$3:$L$152,"&lt;="&amp;DATE(2024,10,31),'2024数据'!$AG$3:$AG$152,$E662)</f>
        <v>3</v>
      </c>
      <c r="P662" s="105">
        <f>COUNTIFS('2024数据'!$L$3:$L$152,"&gt;="&amp;DATE(2024,11,1),'2024数据'!$L$3:$L$152,"&lt;="&amp;DATE(2024,11,30),'2024数据'!$AG$3:$AG$152,$E662)</f>
        <v>3</v>
      </c>
      <c r="Q662" s="105">
        <f>COUNTIFS('2024数据'!$L$3:$L$152,"&gt;="&amp;DATE(2024,12,1),'2024数据'!$L$3:$L$152,"&lt;="&amp;DATE(2024,12,31),'2024数据'!$AG$3:$AG$152,$E662)</f>
        <v>1</v>
      </c>
    </row>
    <row r="663" ht="24" customHeight="1" spans="1:17">
      <c r="A663" s="99" t="s">
        <v>346</v>
      </c>
      <c r="B663" s="99" t="s">
        <v>299</v>
      </c>
      <c r="C663" s="99" t="s">
        <v>291</v>
      </c>
      <c r="D663" s="48" t="s">
        <v>298</v>
      </c>
      <c r="E663" s="48" t="s">
        <v>87</v>
      </c>
      <c r="F663" s="105">
        <f>COUNTIFS('2024数据'!$L$3:$L$152,"&gt;="&amp;DATE(2024,1,1),'2024数据'!$L$3:$L$152,"&lt;="&amp;DATE(2024,1,31),'2024数据'!$AG$3:$AG$152,$E663)</f>
        <v>0</v>
      </c>
      <c r="G663" s="105">
        <f>COUNTIFS('2024数据'!$L$3:$L$152,"&gt;="&amp;DATE(2024,2,1),'2024数据'!$L$3:$L$152,"&lt;="&amp;DATE(2024,2,29),'2024数据'!$AG$3:$AG$152,$E663)</f>
        <v>1</v>
      </c>
      <c r="H663" s="105">
        <f>COUNTIFS('2024数据'!$L$3:$L$152,"&gt;="&amp;DATE(2024,3,1),'2024数据'!$L$3:$L$152,"&lt;="&amp;DATE(2024,3,31),'2024数据'!$AG$3:$AG$152,$E663)</f>
        <v>0</v>
      </c>
      <c r="I663" s="105">
        <f>COUNTIFS('2024数据'!$L$3:$L$152,"&gt;="&amp;DATE(2024,4,1),'2024数据'!$L$3:$L$152,"&lt;="&amp;DATE(2024,4,30),'2024数据'!$AG$3:$AG$152,$E663)</f>
        <v>0</v>
      </c>
      <c r="J663" s="105">
        <f>COUNTIFS('2024数据'!$L$3:$L$152,"&gt;="&amp;DATE(2024,5,1),'2024数据'!$L$3:$L$152,"&lt;="&amp;DATE(2024,5,31),'2024数据'!$AG$3:$AG$152,$E663)</f>
        <v>1</v>
      </c>
      <c r="K663" s="105">
        <f>COUNTIFS('2024数据'!$L$3:$L$152,"&gt;="&amp;DATE(2024,6,1),'2024数据'!$L$3:$L$152,"&lt;="&amp;DATE(2024,6,30),'2024数据'!$AG$3:$AG$152,$E663)</f>
        <v>0</v>
      </c>
      <c r="L663" s="105">
        <f>COUNTIFS('2024数据'!$L$3:$L$152,"&gt;="&amp;DATE(2024,7,1),'2024数据'!$L$3:$L$152,"&lt;="&amp;DATE(2024,7,31),'2024数据'!$AG$3:$AG$152,$E663)</f>
        <v>0</v>
      </c>
      <c r="M663" s="105">
        <f>COUNTIFS('2024数据'!$L$3:$L$152,"&gt;="&amp;DATE(2024,8,1),'2024数据'!$L$3:$L$152,"&lt;="&amp;DATE(2024,8,31),'2024数据'!$AG$3:$AG$152,$E663)</f>
        <v>2</v>
      </c>
      <c r="N663" s="105">
        <f>COUNTIFS('2024数据'!$L$3:$L$152,"&gt;="&amp;DATE(2024,9,1),'2024数据'!$L$3:$L$152,"&lt;="&amp;DATE(2024,9,30),'2024数据'!$AG$3:$AG$152,$E663)</f>
        <v>2</v>
      </c>
      <c r="O663" s="105">
        <f>COUNTIFS('2024数据'!$L$3:$L$152,"&gt;="&amp;DATE(2024,10,1),'2024数据'!$L$3:$L$152,"&lt;="&amp;DATE(2024,10,31),'2024数据'!$AG$3:$AG$152,$E663)</f>
        <v>0</v>
      </c>
      <c r="P663" s="105">
        <f>COUNTIFS('2024数据'!$L$3:$L$152,"&gt;="&amp;DATE(2024,11,1),'2024数据'!$L$3:$L$152,"&lt;="&amp;DATE(2024,11,30),'2024数据'!$AG$3:$AG$152,$E663)</f>
        <v>1</v>
      </c>
      <c r="Q663" s="105">
        <f>COUNTIFS('2024数据'!$L$3:$L$152,"&gt;="&amp;DATE(2024,12,1),'2024数据'!$L$3:$L$152,"&lt;="&amp;DATE(2024,12,31),'2024数据'!$AG$3:$AG$152,$E663)</f>
        <v>2</v>
      </c>
    </row>
    <row r="664" ht="24" customHeight="1" spans="1:17">
      <c r="A664" s="99" t="s">
        <v>346</v>
      </c>
      <c r="B664" s="99" t="s">
        <v>299</v>
      </c>
      <c r="C664" s="99" t="s">
        <v>291</v>
      </c>
      <c r="D664" s="48" t="s">
        <v>298</v>
      </c>
      <c r="E664" s="48" t="s">
        <v>83</v>
      </c>
      <c r="F664" s="105">
        <f>COUNTIFS('2024数据'!$L$3:$L$152,"&gt;="&amp;DATE(2024,1,1),'2024数据'!$L$3:$L$152,"&lt;="&amp;DATE(2024,1,31),'2024数据'!$AG$3:$AG$152,$E664)</f>
        <v>0</v>
      </c>
      <c r="G664" s="105">
        <f>COUNTIFS('2024数据'!$L$3:$L$152,"&gt;="&amp;DATE(2024,2,1),'2024数据'!$L$3:$L$152,"&lt;="&amp;DATE(2024,2,29),'2024数据'!$AG$3:$AG$152,$E664)</f>
        <v>0</v>
      </c>
      <c r="H664" s="105">
        <f>COUNTIFS('2024数据'!$L$3:$L$152,"&gt;="&amp;DATE(2024,3,1),'2024数据'!$L$3:$L$152,"&lt;="&amp;DATE(2024,3,31),'2024数据'!$AG$3:$AG$152,$E664)</f>
        <v>0</v>
      </c>
      <c r="I664" s="105">
        <f>COUNTIFS('2024数据'!$L$3:$L$152,"&gt;="&amp;DATE(2024,4,1),'2024数据'!$L$3:$L$152,"&lt;="&amp;DATE(2024,4,30),'2024数据'!$AG$3:$AG$152,$E664)</f>
        <v>0</v>
      </c>
      <c r="J664" s="105">
        <f>COUNTIFS('2024数据'!$L$3:$L$152,"&gt;="&amp;DATE(2024,5,1),'2024数据'!$L$3:$L$152,"&lt;="&amp;DATE(2024,5,31),'2024数据'!$AG$3:$AG$152,$E664)</f>
        <v>0</v>
      </c>
      <c r="K664" s="105">
        <f>COUNTIFS('2024数据'!$L$3:$L$152,"&gt;="&amp;DATE(2024,6,1),'2024数据'!$L$3:$L$152,"&lt;="&amp;DATE(2024,6,30),'2024数据'!$AG$3:$AG$152,$E664)</f>
        <v>1</v>
      </c>
      <c r="L664" s="105">
        <f>COUNTIFS('2024数据'!$L$3:$L$152,"&gt;="&amp;DATE(2024,7,1),'2024数据'!$L$3:$L$152,"&lt;="&amp;DATE(2024,7,31),'2024数据'!$AG$3:$AG$152,$E664)</f>
        <v>0</v>
      </c>
      <c r="M664" s="105">
        <f>COUNTIFS('2024数据'!$L$3:$L$152,"&gt;="&amp;DATE(2024,8,1),'2024数据'!$L$3:$L$152,"&lt;="&amp;DATE(2024,8,31),'2024数据'!$AG$3:$AG$152,$E664)</f>
        <v>0</v>
      </c>
      <c r="N664" s="105">
        <f>COUNTIFS('2024数据'!$L$3:$L$152,"&gt;="&amp;DATE(2024,9,1),'2024数据'!$L$3:$L$152,"&lt;="&amp;DATE(2024,9,30),'2024数据'!$AG$3:$AG$152,$E664)</f>
        <v>0</v>
      </c>
      <c r="O664" s="105">
        <f>COUNTIFS('2024数据'!$L$3:$L$152,"&gt;="&amp;DATE(2024,10,1),'2024数据'!$L$3:$L$152,"&lt;="&amp;DATE(2024,10,31),'2024数据'!$AG$3:$AG$152,$E664)</f>
        <v>2</v>
      </c>
      <c r="P664" s="105">
        <f>COUNTIFS('2024数据'!$L$3:$L$152,"&gt;="&amp;DATE(2024,11,1),'2024数据'!$L$3:$L$152,"&lt;="&amp;DATE(2024,11,30),'2024数据'!$AG$3:$AG$152,$E664)</f>
        <v>0</v>
      </c>
      <c r="Q664" s="105">
        <f>COUNTIFS('2024数据'!$L$3:$L$152,"&gt;="&amp;DATE(2024,12,1),'2024数据'!$L$3:$L$152,"&lt;="&amp;DATE(2024,12,31),'2024数据'!$AG$3:$AG$152,$E664)</f>
        <v>1</v>
      </c>
    </row>
    <row r="665" ht="24" customHeight="1" spans="1:17">
      <c r="A665" s="99" t="s">
        <v>346</v>
      </c>
      <c r="B665" s="99" t="s">
        <v>308</v>
      </c>
      <c r="C665" s="99" t="s">
        <v>309</v>
      </c>
      <c r="D665" s="100" t="s">
        <v>292</v>
      </c>
      <c r="E665" s="100" t="s">
        <v>310</v>
      </c>
      <c r="F665" s="104">
        <f t="shared" ref="F665:Q665" si="454">IF((SUM(F666:F671)-MAX(F683,F690))&lt;0,"ERR",SUM(F666:F671))</f>
        <v>5</v>
      </c>
      <c r="G665" s="104">
        <f t="shared" si="454"/>
        <v>4</v>
      </c>
      <c r="H665" s="104">
        <f t="shared" si="454"/>
        <v>0</v>
      </c>
      <c r="I665" s="104">
        <f t="shared" si="454"/>
        <v>2</v>
      </c>
      <c r="J665" s="104">
        <f t="shared" si="454"/>
        <v>0</v>
      </c>
      <c r="K665" s="104">
        <f t="shared" si="454"/>
        <v>1</v>
      </c>
      <c r="L665" s="104">
        <f t="shared" si="454"/>
        <v>4</v>
      </c>
      <c r="M665" s="104">
        <f t="shared" si="454"/>
        <v>3</v>
      </c>
      <c r="N665" s="104">
        <f t="shared" si="454"/>
        <v>3</v>
      </c>
      <c r="O665" s="104">
        <f t="shared" si="454"/>
        <v>3</v>
      </c>
      <c r="P665" s="104">
        <f t="shared" si="454"/>
        <v>2</v>
      </c>
      <c r="Q665" s="104">
        <f t="shared" si="454"/>
        <v>0</v>
      </c>
    </row>
    <row r="666" ht="24" customHeight="1" spans="1:17">
      <c r="A666" s="99" t="s">
        <v>346</v>
      </c>
      <c r="B666" s="99" t="s">
        <v>308</v>
      </c>
      <c r="C666" s="99" t="s">
        <v>309</v>
      </c>
      <c r="D666" s="48" t="s">
        <v>31</v>
      </c>
      <c r="E666" s="48" t="s">
        <v>406</v>
      </c>
      <c r="F666" s="105">
        <f t="shared" ref="F666:Q666" si="455">F698-F718</f>
        <v>2</v>
      </c>
      <c r="G666" s="105">
        <f t="shared" si="455"/>
        <v>2</v>
      </c>
      <c r="H666" s="105">
        <f t="shared" si="455"/>
        <v>0</v>
      </c>
      <c r="I666" s="105">
        <f t="shared" si="455"/>
        <v>0</v>
      </c>
      <c r="J666" s="105">
        <f t="shared" si="455"/>
        <v>0</v>
      </c>
      <c r="K666" s="105">
        <f t="shared" si="455"/>
        <v>0</v>
      </c>
      <c r="L666" s="105">
        <f t="shared" si="455"/>
        <v>0</v>
      </c>
      <c r="M666" s="105">
        <f t="shared" si="455"/>
        <v>1</v>
      </c>
      <c r="N666" s="105">
        <f t="shared" si="455"/>
        <v>0</v>
      </c>
      <c r="O666" s="105">
        <f t="shared" si="455"/>
        <v>0</v>
      </c>
      <c r="P666" s="105">
        <f t="shared" si="455"/>
        <v>1</v>
      </c>
      <c r="Q666" s="105">
        <f t="shared" si="455"/>
        <v>0</v>
      </c>
    </row>
    <row r="667" ht="24" customHeight="1" spans="1:17">
      <c r="A667" s="99" t="s">
        <v>346</v>
      </c>
      <c r="B667" s="99" t="s">
        <v>308</v>
      </c>
      <c r="C667" s="99" t="s">
        <v>309</v>
      </c>
      <c r="D667" s="48" t="s">
        <v>31</v>
      </c>
      <c r="E667" s="48" t="s">
        <v>82</v>
      </c>
      <c r="F667" s="105">
        <f t="shared" ref="F667:Q667" si="456">F699-F719</f>
        <v>1</v>
      </c>
      <c r="G667" s="105">
        <f t="shared" si="456"/>
        <v>1</v>
      </c>
      <c r="H667" s="105">
        <f t="shared" si="456"/>
        <v>0</v>
      </c>
      <c r="I667" s="105">
        <f t="shared" si="456"/>
        <v>1</v>
      </c>
      <c r="J667" s="105">
        <f t="shared" si="456"/>
        <v>0</v>
      </c>
      <c r="K667" s="105">
        <f t="shared" si="456"/>
        <v>0</v>
      </c>
      <c r="L667" s="105">
        <f t="shared" si="456"/>
        <v>1</v>
      </c>
      <c r="M667" s="105">
        <f t="shared" si="456"/>
        <v>0</v>
      </c>
      <c r="N667" s="105">
        <f t="shared" si="456"/>
        <v>0</v>
      </c>
      <c r="O667" s="105">
        <f t="shared" si="456"/>
        <v>0</v>
      </c>
      <c r="P667" s="105">
        <f t="shared" si="456"/>
        <v>0</v>
      </c>
      <c r="Q667" s="105">
        <f t="shared" si="456"/>
        <v>0</v>
      </c>
    </row>
    <row r="668" ht="24" customHeight="1" spans="1:17">
      <c r="A668" s="99" t="s">
        <v>346</v>
      </c>
      <c r="B668" s="99" t="s">
        <v>308</v>
      </c>
      <c r="C668" s="99" t="s">
        <v>309</v>
      </c>
      <c r="D668" s="48" t="s">
        <v>31</v>
      </c>
      <c r="E668" s="48" t="s">
        <v>86</v>
      </c>
      <c r="F668" s="105">
        <f t="shared" ref="F668:Q668" si="457">F700-F720</f>
        <v>1</v>
      </c>
      <c r="G668" s="105">
        <f t="shared" si="457"/>
        <v>1</v>
      </c>
      <c r="H668" s="105">
        <f t="shared" si="457"/>
        <v>0</v>
      </c>
      <c r="I668" s="105">
        <f t="shared" si="457"/>
        <v>1</v>
      </c>
      <c r="J668" s="105">
        <f t="shared" si="457"/>
        <v>0</v>
      </c>
      <c r="K668" s="105">
        <f t="shared" si="457"/>
        <v>0</v>
      </c>
      <c r="L668" s="105">
        <f t="shared" si="457"/>
        <v>1</v>
      </c>
      <c r="M668" s="105">
        <f t="shared" si="457"/>
        <v>2</v>
      </c>
      <c r="N668" s="105">
        <f t="shared" si="457"/>
        <v>3</v>
      </c>
      <c r="O668" s="105">
        <f t="shared" si="457"/>
        <v>2</v>
      </c>
      <c r="P668" s="105">
        <f t="shared" si="457"/>
        <v>1</v>
      </c>
      <c r="Q668" s="105">
        <f t="shared" si="457"/>
        <v>0</v>
      </c>
    </row>
    <row r="669" ht="24" customHeight="1" spans="1:17">
      <c r="A669" s="99" t="s">
        <v>346</v>
      </c>
      <c r="B669" s="99" t="s">
        <v>308</v>
      </c>
      <c r="C669" s="99" t="s">
        <v>309</v>
      </c>
      <c r="D669" s="48" t="s">
        <v>31</v>
      </c>
      <c r="E669" s="48" t="s">
        <v>97</v>
      </c>
      <c r="F669" s="105">
        <f t="shared" ref="F669:Q669" si="458">F701-F721</f>
        <v>0</v>
      </c>
      <c r="G669" s="105">
        <f t="shared" si="458"/>
        <v>0</v>
      </c>
      <c r="H669" s="105">
        <f t="shared" si="458"/>
        <v>0</v>
      </c>
      <c r="I669" s="105">
        <f t="shared" si="458"/>
        <v>0</v>
      </c>
      <c r="J669" s="105">
        <f t="shared" si="458"/>
        <v>0</v>
      </c>
      <c r="K669" s="105">
        <f t="shared" si="458"/>
        <v>1</v>
      </c>
      <c r="L669" s="105">
        <f t="shared" si="458"/>
        <v>1</v>
      </c>
      <c r="M669" s="105">
        <f t="shared" si="458"/>
        <v>0</v>
      </c>
      <c r="N669" s="105">
        <f t="shared" si="458"/>
        <v>0</v>
      </c>
      <c r="O669" s="105">
        <f t="shared" si="458"/>
        <v>1</v>
      </c>
      <c r="P669" s="105">
        <f t="shared" si="458"/>
        <v>0</v>
      </c>
      <c r="Q669" s="105">
        <f t="shared" si="458"/>
        <v>0</v>
      </c>
    </row>
    <row r="670" ht="24" customHeight="1" spans="1:17">
      <c r="A670" s="99" t="s">
        <v>346</v>
      </c>
      <c r="B670" s="99" t="s">
        <v>308</v>
      </c>
      <c r="C670" s="99" t="s">
        <v>309</v>
      </c>
      <c r="D670" s="48" t="s">
        <v>31</v>
      </c>
      <c r="E670" s="48" t="s">
        <v>87</v>
      </c>
      <c r="F670" s="105">
        <f t="shared" ref="F670:Q670" si="459">F702-F722</f>
        <v>1</v>
      </c>
      <c r="G670" s="105">
        <f t="shared" si="459"/>
        <v>0</v>
      </c>
      <c r="H670" s="105">
        <f t="shared" si="459"/>
        <v>0</v>
      </c>
      <c r="I670" s="105">
        <f t="shared" si="459"/>
        <v>0</v>
      </c>
      <c r="J670" s="105">
        <f t="shared" si="459"/>
        <v>0</v>
      </c>
      <c r="K670" s="105">
        <f t="shared" si="459"/>
        <v>0</v>
      </c>
      <c r="L670" s="105">
        <f t="shared" si="459"/>
        <v>1</v>
      </c>
      <c r="M670" s="105">
        <f t="shared" si="459"/>
        <v>0</v>
      </c>
      <c r="N670" s="105">
        <f t="shared" si="459"/>
        <v>0</v>
      </c>
      <c r="O670" s="105">
        <f t="shared" si="459"/>
        <v>0</v>
      </c>
      <c r="P670" s="105">
        <f t="shared" si="459"/>
        <v>0</v>
      </c>
      <c r="Q670" s="105">
        <f t="shared" si="459"/>
        <v>0</v>
      </c>
    </row>
    <row r="671" ht="24" customHeight="1" spans="1:17">
      <c r="A671" s="99" t="s">
        <v>346</v>
      </c>
      <c r="B671" s="99" t="s">
        <v>308</v>
      </c>
      <c r="C671" s="99" t="s">
        <v>309</v>
      </c>
      <c r="D671" s="48" t="s">
        <v>31</v>
      </c>
      <c r="E671" s="48" t="s">
        <v>83</v>
      </c>
      <c r="F671" s="105">
        <f t="shared" ref="F671:Q671" si="460">F703-F723</f>
        <v>0</v>
      </c>
      <c r="G671" s="105">
        <f t="shared" si="460"/>
        <v>0</v>
      </c>
      <c r="H671" s="105">
        <f t="shared" si="460"/>
        <v>0</v>
      </c>
      <c r="I671" s="105">
        <f t="shared" si="460"/>
        <v>0</v>
      </c>
      <c r="J671" s="105">
        <f t="shared" si="460"/>
        <v>0</v>
      </c>
      <c r="K671" s="105">
        <f t="shared" si="460"/>
        <v>0</v>
      </c>
      <c r="L671" s="105">
        <f t="shared" si="460"/>
        <v>0</v>
      </c>
      <c r="M671" s="105">
        <f t="shared" si="460"/>
        <v>0</v>
      </c>
      <c r="N671" s="105">
        <f t="shared" si="460"/>
        <v>0</v>
      </c>
      <c r="O671" s="105">
        <f t="shared" si="460"/>
        <v>0</v>
      </c>
      <c r="P671" s="105">
        <f t="shared" si="460"/>
        <v>0</v>
      </c>
      <c r="Q671" s="105">
        <f t="shared" si="460"/>
        <v>0</v>
      </c>
    </row>
    <row r="672" ht="24" customHeight="1" spans="1:17">
      <c r="A672" s="99" t="s">
        <v>346</v>
      </c>
      <c r="B672" s="99" t="s">
        <v>308</v>
      </c>
      <c r="C672" s="99" t="s">
        <v>309</v>
      </c>
      <c r="D672" s="48" t="s">
        <v>311</v>
      </c>
      <c r="E672" s="48" t="s">
        <v>406</v>
      </c>
      <c r="F672" s="112">
        <f t="shared" ref="F672:Q672" si="461">IFERROR(F666/F665,"-")</f>
        <v>0.4</v>
      </c>
      <c r="G672" s="112">
        <f t="shared" si="461"/>
        <v>0.5</v>
      </c>
      <c r="H672" s="112" t="str">
        <f t="shared" si="461"/>
        <v>-</v>
      </c>
      <c r="I672" s="112">
        <f t="shared" si="461"/>
        <v>0</v>
      </c>
      <c r="J672" s="112" t="str">
        <f t="shared" si="461"/>
        <v>-</v>
      </c>
      <c r="K672" s="112">
        <f t="shared" si="461"/>
        <v>0</v>
      </c>
      <c r="L672" s="112">
        <f t="shared" si="461"/>
        <v>0</v>
      </c>
      <c r="M672" s="112">
        <f t="shared" si="461"/>
        <v>0.333333333333333</v>
      </c>
      <c r="N672" s="112">
        <f t="shared" si="461"/>
        <v>0</v>
      </c>
      <c r="O672" s="112">
        <f t="shared" si="461"/>
        <v>0</v>
      </c>
      <c r="P672" s="112">
        <f t="shared" si="461"/>
        <v>0.5</v>
      </c>
      <c r="Q672" s="112" t="str">
        <f t="shared" si="461"/>
        <v>-</v>
      </c>
    </row>
    <row r="673" ht="24" customHeight="1" spans="1:17">
      <c r="A673" s="99" t="s">
        <v>346</v>
      </c>
      <c r="B673" s="99" t="s">
        <v>308</v>
      </c>
      <c r="C673" s="99" t="s">
        <v>309</v>
      </c>
      <c r="D673" s="48" t="s">
        <v>311</v>
      </c>
      <c r="E673" s="48" t="s">
        <v>82</v>
      </c>
      <c r="F673" s="112">
        <f t="shared" ref="F673:Q673" si="462">IFERROR(F667/F665,"-")</f>
        <v>0.2</v>
      </c>
      <c r="G673" s="112">
        <f t="shared" si="462"/>
        <v>0.25</v>
      </c>
      <c r="H673" s="112" t="str">
        <f t="shared" si="462"/>
        <v>-</v>
      </c>
      <c r="I673" s="112">
        <f t="shared" si="462"/>
        <v>0.5</v>
      </c>
      <c r="J673" s="112" t="str">
        <f t="shared" si="462"/>
        <v>-</v>
      </c>
      <c r="K673" s="112">
        <f t="shared" si="462"/>
        <v>0</v>
      </c>
      <c r="L673" s="112">
        <f t="shared" si="462"/>
        <v>0.25</v>
      </c>
      <c r="M673" s="112">
        <f t="shared" si="462"/>
        <v>0</v>
      </c>
      <c r="N673" s="112">
        <f t="shared" si="462"/>
        <v>0</v>
      </c>
      <c r="O673" s="112">
        <f t="shared" si="462"/>
        <v>0</v>
      </c>
      <c r="P673" s="112">
        <f t="shared" si="462"/>
        <v>0</v>
      </c>
      <c r="Q673" s="112" t="str">
        <f t="shared" si="462"/>
        <v>-</v>
      </c>
    </row>
    <row r="674" ht="24" customHeight="1" spans="1:17">
      <c r="A674" s="99" t="s">
        <v>346</v>
      </c>
      <c r="B674" s="99" t="s">
        <v>308</v>
      </c>
      <c r="C674" s="99" t="s">
        <v>309</v>
      </c>
      <c r="D674" s="48" t="s">
        <v>311</v>
      </c>
      <c r="E674" s="48" t="s">
        <v>86</v>
      </c>
      <c r="F674" s="112">
        <f t="shared" ref="F674:Q674" si="463">IFERROR(F668/F665,"-")</f>
        <v>0.2</v>
      </c>
      <c r="G674" s="112">
        <f t="shared" si="463"/>
        <v>0.25</v>
      </c>
      <c r="H674" s="112" t="str">
        <f t="shared" si="463"/>
        <v>-</v>
      </c>
      <c r="I674" s="112">
        <f t="shared" si="463"/>
        <v>0.5</v>
      </c>
      <c r="J674" s="112" t="str">
        <f t="shared" si="463"/>
        <v>-</v>
      </c>
      <c r="K674" s="112">
        <f t="shared" si="463"/>
        <v>0</v>
      </c>
      <c r="L674" s="112">
        <f t="shared" si="463"/>
        <v>0.25</v>
      </c>
      <c r="M674" s="112">
        <f t="shared" si="463"/>
        <v>0.666666666666667</v>
      </c>
      <c r="N674" s="112">
        <f t="shared" si="463"/>
        <v>1</v>
      </c>
      <c r="O674" s="112">
        <f t="shared" si="463"/>
        <v>0.666666666666667</v>
      </c>
      <c r="P674" s="112">
        <f t="shared" si="463"/>
        <v>0.5</v>
      </c>
      <c r="Q674" s="112" t="str">
        <f t="shared" si="463"/>
        <v>-</v>
      </c>
    </row>
    <row r="675" ht="24" customHeight="1" spans="1:17">
      <c r="A675" s="99" t="s">
        <v>346</v>
      </c>
      <c r="B675" s="99" t="s">
        <v>308</v>
      </c>
      <c r="C675" s="99" t="s">
        <v>309</v>
      </c>
      <c r="D675" s="48" t="s">
        <v>311</v>
      </c>
      <c r="E675" s="48" t="s">
        <v>97</v>
      </c>
      <c r="F675" s="112">
        <f t="shared" ref="F675:Q675" si="464">IFERROR(F669/F665,"-")</f>
        <v>0</v>
      </c>
      <c r="G675" s="112">
        <f t="shared" si="464"/>
        <v>0</v>
      </c>
      <c r="H675" s="112" t="str">
        <f t="shared" si="464"/>
        <v>-</v>
      </c>
      <c r="I675" s="112">
        <f t="shared" si="464"/>
        <v>0</v>
      </c>
      <c r="J675" s="112" t="str">
        <f t="shared" si="464"/>
        <v>-</v>
      </c>
      <c r="K675" s="112">
        <f t="shared" si="464"/>
        <v>1</v>
      </c>
      <c r="L675" s="112">
        <f t="shared" si="464"/>
        <v>0.25</v>
      </c>
      <c r="M675" s="112">
        <f t="shared" si="464"/>
        <v>0</v>
      </c>
      <c r="N675" s="112">
        <f t="shared" si="464"/>
        <v>0</v>
      </c>
      <c r="O675" s="112">
        <f t="shared" si="464"/>
        <v>0.333333333333333</v>
      </c>
      <c r="P675" s="112">
        <f t="shared" si="464"/>
        <v>0</v>
      </c>
      <c r="Q675" s="112" t="str">
        <f t="shared" si="464"/>
        <v>-</v>
      </c>
    </row>
    <row r="676" ht="24" customHeight="1" spans="1:17">
      <c r="A676" s="99" t="s">
        <v>346</v>
      </c>
      <c r="B676" s="99" t="s">
        <v>308</v>
      </c>
      <c r="C676" s="99" t="s">
        <v>309</v>
      </c>
      <c r="D676" s="48" t="s">
        <v>311</v>
      </c>
      <c r="E676" s="48" t="s">
        <v>87</v>
      </c>
      <c r="F676" s="112">
        <f t="shared" ref="F676:Q676" si="465">IFERROR(F670/F665,"-")</f>
        <v>0.2</v>
      </c>
      <c r="G676" s="112">
        <f t="shared" si="465"/>
        <v>0</v>
      </c>
      <c r="H676" s="112" t="str">
        <f t="shared" si="465"/>
        <v>-</v>
      </c>
      <c r="I676" s="112">
        <f t="shared" si="465"/>
        <v>0</v>
      </c>
      <c r="J676" s="112" t="str">
        <f t="shared" si="465"/>
        <v>-</v>
      </c>
      <c r="K676" s="112">
        <f t="shared" si="465"/>
        <v>0</v>
      </c>
      <c r="L676" s="112">
        <f t="shared" si="465"/>
        <v>0.25</v>
      </c>
      <c r="M676" s="112">
        <f t="shared" si="465"/>
        <v>0</v>
      </c>
      <c r="N676" s="112">
        <f t="shared" si="465"/>
        <v>0</v>
      </c>
      <c r="O676" s="112">
        <f t="shared" si="465"/>
        <v>0</v>
      </c>
      <c r="P676" s="112">
        <f t="shared" si="465"/>
        <v>0</v>
      </c>
      <c r="Q676" s="112" t="str">
        <f t="shared" si="465"/>
        <v>-</v>
      </c>
    </row>
    <row r="677" ht="24" customHeight="1" spans="1:17">
      <c r="A677" s="99" t="s">
        <v>346</v>
      </c>
      <c r="B677" s="99" t="s">
        <v>308</v>
      </c>
      <c r="C677" s="99" t="s">
        <v>309</v>
      </c>
      <c r="D677" s="48" t="s">
        <v>311</v>
      </c>
      <c r="E677" s="48" t="s">
        <v>83</v>
      </c>
      <c r="F677" s="112">
        <f t="shared" ref="F677:Q677" si="466">IFERROR(F671/F665,"-")</f>
        <v>0</v>
      </c>
      <c r="G677" s="112">
        <f t="shared" si="466"/>
        <v>0</v>
      </c>
      <c r="H677" s="112" t="str">
        <f t="shared" si="466"/>
        <v>-</v>
      </c>
      <c r="I677" s="112">
        <f t="shared" si="466"/>
        <v>0</v>
      </c>
      <c r="J677" s="112" t="str">
        <f t="shared" si="466"/>
        <v>-</v>
      </c>
      <c r="K677" s="112">
        <f t="shared" si="466"/>
        <v>0</v>
      </c>
      <c r="L677" s="112">
        <f t="shared" si="466"/>
        <v>0</v>
      </c>
      <c r="M677" s="112">
        <f t="shared" si="466"/>
        <v>0</v>
      </c>
      <c r="N677" s="112">
        <f t="shared" si="466"/>
        <v>0</v>
      </c>
      <c r="O677" s="112">
        <f t="shared" si="466"/>
        <v>0</v>
      </c>
      <c r="P677" s="112">
        <f t="shared" si="466"/>
        <v>0</v>
      </c>
      <c r="Q677" s="112" t="str">
        <f t="shared" si="466"/>
        <v>-</v>
      </c>
    </row>
    <row r="678" ht="24" customHeight="1" spans="1:17">
      <c r="A678" s="99" t="s">
        <v>346</v>
      </c>
      <c r="B678" s="99" t="s">
        <v>308</v>
      </c>
      <c r="C678" s="99" t="s">
        <v>309</v>
      </c>
      <c r="D678" s="47" t="s">
        <v>294</v>
      </c>
      <c r="E678" s="47" t="s">
        <v>93</v>
      </c>
      <c r="F678" s="106">
        <f t="shared" ref="F678:Q678" si="467">F704-F730</f>
        <v>2</v>
      </c>
      <c r="G678" s="106">
        <f t="shared" si="467"/>
        <v>2</v>
      </c>
      <c r="H678" s="106">
        <f t="shared" si="467"/>
        <v>0</v>
      </c>
      <c r="I678" s="106">
        <f t="shared" si="467"/>
        <v>1</v>
      </c>
      <c r="J678" s="106">
        <f t="shared" si="467"/>
        <v>0</v>
      </c>
      <c r="K678" s="106">
        <f t="shared" si="467"/>
        <v>1</v>
      </c>
      <c r="L678" s="106">
        <f t="shared" si="467"/>
        <v>3</v>
      </c>
      <c r="M678" s="106">
        <f t="shared" si="467"/>
        <v>3</v>
      </c>
      <c r="N678" s="106">
        <f t="shared" si="467"/>
        <v>0</v>
      </c>
      <c r="O678" s="106">
        <f t="shared" si="467"/>
        <v>2</v>
      </c>
      <c r="P678" s="106">
        <f t="shared" si="467"/>
        <v>2</v>
      </c>
      <c r="Q678" s="106">
        <f t="shared" si="467"/>
        <v>0</v>
      </c>
    </row>
    <row r="679" ht="24" customHeight="1" spans="1:17">
      <c r="A679" s="99" t="s">
        <v>346</v>
      </c>
      <c r="B679" s="99" t="s">
        <v>308</v>
      </c>
      <c r="C679" s="99" t="s">
        <v>309</v>
      </c>
      <c r="D679" s="47" t="s">
        <v>294</v>
      </c>
      <c r="E679" s="47" t="s">
        <v>85</v>
      </c>
      <c r="F679" s="106">
        <f t="shared" ref="F679:Q679" si="468">F705-F731</f>
        <v>3</v>
      </c>
      <c r="G679" s="106">
        <f t="shared" si="468"/>
        <v>2</v>
      </c>
      <c r="H679" s="106">
        <f t="shared" si="468"/>
        <v>0</v>
      </c>
      <c r="I679" s="106">
        <f t="shared" si="468"/>
        <v>1</v>
      </c>
      <c r="J679" s="106">
        <f t="shared" si="468"/>
        <v>0</v>
      </c>
      <c r="K679" s="106">
        <f t="shared" si="468"/>
        <v>0</v>
      </c>
      <c r="L679" s="106">
        <f t="shared" si="468"/>
        <v>1</v>
      </c>
      <c r="M679" s="106">
        <f t="shared" si="468"/>
        <v>0</v>
      </c>
      <c r="N679" s="106">
        <f t="shared" si="468"/>
        <v>1</v>
      </c>
      <c r="O679" s="106">
        <f t="shared" si="468"/>
        <v>1</v>
      </c>
      <c r="P679" s="106">
        <f t="shared" si="468"/>
        <v>0</v>
      </c>
      <c r="Q679" s="106">
        <f t="shared" si="468"/>
        <v>0</v>
      </c>
    </row>
    <row r="680" ht="24" customHeight="1" spans="1:17">
      <c r="A680" s="99" t="s">
        <v>346</v>
      </c>
      <c r="B680" s="99" t="s">
        <v>308</v>
      </c>
      <c r="C680" s="99" t="s">
        <v>309</v>
      </c>
      <c r="D680" s="47" t="s">
        <v>294</v>
      </c>
      <c r="E680" s="47" t="s">
        <v>81</v>
      </c>
      <c r="F680" s="106">
        <f t="shared" ref="F680:Q680" si="469">F706-F732</f>
        <v>0</v>
      </c>
      <c r="G680" s="106">
        <f t="shared" si="469"/>
        <v>0</v>
      </c>
      <c r="H680" s="106">
        <f t="shared" si="469"/>
        <v>0</v>
      </c>
      <c r="I680" s="106">
        <f t="shared" si="469"/>
        <v>0</v>
      </c>
      <c r="J680" s="106">
        <f t="shared" si="469"/>
        <v>0</v>
      </c>
      <c r="K680" s="106">
        <f t="shared" si="469"/>
        <v>0</v>
      </c>
      <c r="L680" s="106">
        <f t="shared" si="469"/>
        <v>0</v>
      </c>
      <c r="M680" s="106">
        <f t="shared" si="469"/>
        <v>0</v>
      </c>
      <c r="N680" s="106">
        <f t="shared" si="469"/>
        <v>2</v>
      </c>
      <c r="O680" s="106">
        <f t="shared" si="469"/>
        <v>0</v>
      </c>
      <c r="P680" s="106">
        <f t="shared" si="469"/>
        <v>0</v>
      </c>
      <c r="Q680" s="106">
        <f t="shared" si="469"/>
        <v>0</v>
      </c>
    </row>
    <row r="681" ht="24" customHeight="1" spans="1:17">
      <c r="A681" s="99" t="s">
        <v>346</v>
      </c>
      <c r="B681" s="99" t="s">
        <v>308</v>
      </c>
      <c r="C681" s="99" t="s">
        <v>309</v>
      </c>
      <c r="D681" s="47" t="s">
        <v>294</v>
      </c>
      <c r="E681" s="47" t="s">
        <v>96</v>
      </c>
      <c r="F681" s="106">
        <f t="shared" ref="F681:Q681" si="470">F707-F733</f>
        <v>0</v>
      </c>
      <c r="G681" s="106">
        <f t="shared" si="470"/>
        <v>0</v>
      </c>
      <c r="H681" s="106">
        <f t="shared" si="470"/>
        <v>0</v>
      </c>
      <c r="I681" s="106">
        <f t="shared" si="470"/>
        <v>0</v>
      </c>
      <c r="J681" s="106">
        <f t="shared" si="470"/>
        <v>0</v>
      </c>
      <c r="K681" s="106">
        <f t="shared" si="470"/>
        <v>0</v>
      </c>
      <c r="L681" s="106">
        <f t="shared" si="470"/>
        <v>0</v>
      </c>
      <c r="M681" s="106">
        <f t="shared" si="470"/>
        <v>0</v>
      </c>
      <c r="N681" s="106">
        <f t="shared" si="470"/>
        <v>0</v>
      </c>
      <c r="O681" s="106">
        <f t="shared" si="470"/>
        <v>0</v>
      </c>
      <c r="P681" s="106">
        <f t="shared" si="470"/>
        <v>0</v>
      </c>
      <c r="Q681" s="106">
        <f t="shared" si="470"/>
        <v>0</v>
      </c>
    </row>
    <row r="682" ht="24" customHeight="1" spans="1:17">
      <c r="A682" s="99" t="s">
        <v>346</v>
      </c>
      <c r="B682" s="99" t="s">
        <v>308</v>
      </c>
      <c r="C682" s="99" t="s">
        <v>309</v>
      </c>
      <c r="D682" s="47" t="s">
        <v>294</v>
      </c>
      <c r="E682" s="47" t="s">
        <v>160</v>
      </c>
      <c r="F682" s="106">
        <f t="shared" ref="F682:Q682" si="471">F708-F734</f>
        <v>0</v>
      </c>
      <c r="G682" s="106">
        <f t="shared" si="471"/>
        <v>0</v>
      </c>
      <c r="H682" s="106">
        <f t="shared" si="471"/>
        <v>0</v>
      </c>
      <c r="I682" s="106">
        <f t="shared" si="471"/>
        <v>0</v>
      </c>
      <c r="J682" s="106">
        <f t="shared" si="471"/>
        <v>0</v>
      </c>
      <c r="K682" s="106">
        <f t="shared" si="471"/>
        <v>0</v>
      </c>
      <c r="L682" s="106">
        <f t="shared" si="471"/>
        <v>0</v>
      </c>
      <c r="M682" s="106">
        <f t="shared" si="471"/>
        <v>0</v>
      </c>
      <c r="N682" s="106">
        <f t="shared" si="471"/>
        <v>0</v>
      </c>
      <c r="O682" s="106">
        <f t="shared" si="471"/>
        <v>0</v>
      </c>
      <c r="P682" s="106">
        <f t="shared" si="471"/>
        <v>0</v>
      </c>
      <c r="Q682" s="106">
        <f t="shared" si="471"/>
        <v>0</v>
      </c>
    </row>
    <row r="683" ht="24" customHeight="1" spans="1:17">
      <c r="A683" s="99" t="s">
        <v>346</v>
      </c>
      <c r="B683" s="99" t="s">
        <v>308</v>
      </c>
      <c r="C683" s="99" t="s">
        <v>309</v>
      </c>
      <c r="D683" s="100" t="s">
        <v>292</v>
      </c>
      <c r="E683" s="100" t="s">
        <v>312</v>
      </c>
      <c r="F683" s="104">
        <f t="shared" ref="F683:Q683" si="472">SUM(F684:F686)</f>
        <v>4</v>
      </c>
      <c r="G683" s="104">
        <f t="shared" si="472"/>
        <v>4</v>
      </c>
      <c r="H683" s="104">
        <f t="shared" si="472"/>
        <v>0</v>
      </c>
      <c r="I683" s="104">
        <f t="shared" si="472"/>
        <v>2</v>
      </c>
      <c r="J683" s="104">
        <f t="shared" si="472"/>
        <v>0</v>
      </c>
      <c r="K683" s="104">
        <f t="shared" si="472"/>
        <v>1</v>
      </c>
      <c r="L683" s="104">
        <f t="shared" si="472"/>
        <v>4</v>
      </c>
      <c r="M683" s="104">
        <f t="shared" si="472"/>
        <v>3</v>
      </c>
      <c r="N683" s="104">
        <f t="shared" si="472"/>
        <v>3</v>
      </c>
      <c r="O683" s="104">
        <f t="shared" si="472"/>
        <v>3</v>
      </c>
      <c r="P683" s="104">
        <f t="shared" si="472"/>
        <v>2</v>
      </c>
      <c r="Q683" s="104">
        <f t="shared" si="472"/>
        <v>0</v>
      </c>
    </row>
    <row r="684" ht="24" customHeight="1" spans="1:17">
      <c r="A684" s="99" t="s">
        <v>346</v>
      </c>
      <c r="B684" s="99" t="s">
        <v>308</v>
      </c>
      <c r="C684" s="99" t="s">
        <v>309</v>
      </c>
      <c r="D684" s="48" t="s">
        <v>296</v>
      </c>
      <c r="E684" s="48" t="s">
        <v>406</v>
      </c>
      <c r="F684" s="105">
        <f t="shared" ref="F684:Q684" si="473">F710-F736</f>
        <v>2</v>
      </c>
      <c r="G684" s="105">
        <f t="shared" si="473"/>
        <v>2</v>
      </c>
      <c r="H684" s="105">
        <f t="shared" si="473"/>
        <v>0</v>
      </c>
      <c r="I684" s="105">
        <f t="shared" si="473"/>
        <v>0</v>
      </c>
      <c r="J684" s="105">
        <f t="shared" si="473"/>
        <v>0</v>
      </c>
      <c r="K684" s="105">
        <f t="shared" si="473"/>
        <v>0</v>
      </c>
      <c r="L684" s="105">
        <f t="shared" si="473"/>
        <v>1</v>
      </c>
      <c r="M684" s="105">
        <f t="shared" si="473"/>
        <v>1</v>
      </c>
      <c r="N684" s="105">
        <f t="shared" si="473"/>
        <v>0</v>
      </c>
      <c r="O684" s="105">
        <f t="shared" si="473"/>
        <v>1</v>
      </c>
      <c r="P684" s="105">
        <f t="shared" si="473"/>
        <v>1</v>
      </c>
      <c r="Q684" s="105">
        <f t="shared" si="473"/>
        <v>0</v>
      </c>
    </row>
    <row r="685" ht="24" customHeight="1" spans="1:17">
      <c r="A685" s="99" t="s">
        <v>346</v>
      </c>
      <c r="B685" s="99" t="s">
        <v>308</v>
      </c>
      <c r="C685" s="99" t="s">
        <v>309</v>
      </c>
      <c r="D685" s="48" t="s">
        <v>296</v>
      </c>
      <c r="E685" s="48" t="s">
        <v>82</v>
      </c>
      <c r="F685" s="105">
        <f t="shared" ref="F685:Q685" si="474">F711-F737</f>
        <v>1</v>
      </c>
      <c r="G685" s="105">
        <f t="shared" si="474"/>
        <v>1</v>
      </c>
      <c r="H685" s="105">
        <f t="shared" si="474"/>
        <v>0</v>
      </c>
      <c r="I685" s="105">
        <f t="shared" si="474"/>
        <v>1</v>
      </c>
      <c r="J685" s="105">
        <f t="shared" si="474"/>
        <v>0</v>
      </c>
      <c r="K685" s="105">
        <f t="shared" si="474"/>
        <v>1</v>
      </c>
      <c r="L685" s="105">
        <f t="shared" si="474"/>
        <v>2</v>
      </c>
      <c r="M685" s="105">
        <f t="shared" si="474"/>
        <v>0</v>
      </c>
      <c r="N685" s="105">
        <f t="shared" si="474"/>
        <v>0</v>
      </c>
      <c r="O685" s="105">
        <f t="shared" si="474"/>
        <v>0</v>
      </c>
      <c r="P685" s="105">
        <f t="shared" si="474"/>
        <v>0</v>
      </c>
      <c r="Q685" s="105">
        <f t="shared" si="474"/>
        <v>0</v>
      </c>
    </row>
    <row r="686" ht="24" customHeight="1" spans="1:17">
      <c r="A686" s="99" t="s">
        <v>346</v>
      </c>
      <c r="B686" s="99" t="s">
        <v>308</v>
      </c>
      <c r="C686" s="99" t="s">
        <v>309</v>
      </c>
      <c r="D686" s="48" t="s">
        <v>296</v>
      </c>
      <c r="E686" s="48" t="s">
        <v>86</v>
      </c>
      <c r="F686" s="105">
        <f t="shared" ref="F686:Q686" si="475">F712-F738</f>
        <v>1</v>
      </c>
      <c r="G686" s="105">
        <f t="shared" si="475"/>
        <v>1</v>
      </c>
      <c r="H686" s="105">
        <f t="shared" si="475"/>
        <v>0</v>
      </c>
      <c r="I686" s="105">
        <f t="shared" si="475"/>
        <v>1</v>
      </c>
      <c r="J686" s="105">
        <f t="shared" si="475"/>
        <v>0</v>
      </c>
      <c r="K686" s="105">
        <f t="shared" si="475"/>
        <v>0</v>
      </c>
      <c r="L686" s="105">
        <f t="shared" si="475"/>
        <v>1</v>
      </c>
      <c r="M686" s="105">
        <f t="shared" si="475"/>
        <v>2</v>
      </c>
      <c r="N686" s="105">
        <f t="shared" si="475"/>
        <v>3</v>
      </c>
      <c r="O686" s="105">
        <f t="shared" si="475"/>
        <v>2</v>
      </c>
      <c r="P686" s="105">
        <f t="shared" si="475"/>
        <v>1</v>
      </c>
      <c r="Q686" s="105">
        <f t="shared" si="475"/>
        <v>0</v>
      </c>
    </row>
    <row r="687" ht="24" customHeight="1" spans="1:17">
      <c r="A687" s="99" t="s">
        <v>346</v>
      </c>
      <c r="B687" s="99" t="s">
        <v>308</v>
      </c>
      <c r="C687" s="99" t="s">
        <v>309</v>
      </c>
      <c r="D687" s="48" t="s">
        <v>313</v>
      </c>
      <c r="E687" s="48" t="s">
        <v>406</v>
      </c>
      <c r="F687" s="112">
        <f t="shared" ref="F687:Q687" si="476">F684/F$79</f>
        <v>0.285714285714286</v>
      </c>
      <c r="G687" s="112">
        <f t="shared" si="476"/>
        <v>0.25</v>
      </c>
      <c r="H687" s="112">
        <f t="shared" si="476"/>
        <v>0</v>
      </c>
      <c r="I687" s="112">
        <f t="shared" si="476"/>
        <v>0</v>
      </c>
      <c r="J687" s="112">
        <f t="shared" si="476"/>
        <v>0</v>
      </c>
      <c r="K687" s="112">
        <f t="shared" si="476"/>
        <v>0</v>
      </c>
      <c r="L687" s="112">
        <f t="shared" si="476"/>
        <v>0.333333333333333</v>
      </c>
      <c r="M687" s="112">
        <f t="shared" si="476"/>
        <v>0.5</v>
      </c>
      <c r="N687" s="112">
        <f t="shared" si="476"/>
        <v>0</v>
      </c>
      <c r="O687" s="112">
        <f t="shared" si="476"/>
        <v>1</v>
      </c>
      <c r="P687" s="112">
        <f t="shared" si="476"/>
        <v>0.5</v>
      </c>
      <c r="Q687" s="112" t="e">
        <f t="shared" si="476"/>
        <v>#DIV/0!</v>
      </c>
    </row>
    <row r="688" ht="24" customHeight="1" spans="1:17">
      <c r="A688" s="99" t="s">
        <v>346</v>
      </c>
      <c r="B688" s="99" t="s">
        <v>308</v>
      </c>
      <c r="C688" s="99" t="s">
        <v>309</v>
      </c>
      <c r="D688" s="48" t="s">
        <v>313</v>
      </c>
      <c r="E688" s="48" t="s">
        <v>82</v>
      </c>
      <c r="F688" s="112">
        <f t="shared" ref="F688:Q688" si="477">F685/F$79</f>
        <v>0.142857142857143</v>
      </c>
      <c r="G688" s="112">
        <f t="shared" si="477"/>
        <v>0.125</v>
      </c>
      <c r="H688" s="112">
        <f t="shared" si="477"/>
        <v>0</v>
      </c>
      <c r="I688" s="112">
        <f t="shared" si="477"/>
        <v>0.142857142857143</v>
      </c>
      <c r="J688" s="112">
        <f t="shared" si="477"/>
        <v>0</v>
      </c>
      <c r="K688" s="112">
        <f t="shared" si="477"/>
        <v>0.333333333333333</v>
      </c>
      <c r="L688" s="112">
        <f t="shared" si="477"/>
        <v>0.666666666666667</v>
      </c>
      <c r="M688" s="112">
        <f t="shared" si="477"/>
        <v>0</v>
      </c>
      <c r="N688" s="112">
        <f t="shared" si="477"/>
        <v>0</v>
      </c>
      <c r="O688" s="112">
        <f t="shared" si="477"/>
        <v>0</v>
      </c>
      <c r="P688" s="112">
        <f t="shared" si="477"/>
        <v>0</v>
      </c>
      <c r="Q688" s="112" t="e">
        <f t="shared" si="477"/>
        <v>#DIV/0!</v>
      </c>
    </row>
    <row r="689" ht="24" customHeight="1" spans="1:17">
      <c r="A689" s="99" t="s">
        <v>346</v>
      </c>
      <c r="B689" s="99" t="s">
        <v>308</v>
      </c>
      <c r="C689" s="99" t="s">
        <v>309</v>
      </c>
      <c r="D689" s="48" t="s">
        <v>313</v>
      </c>
      <c r="E689" s="48" t="s">
        <v>86</v>
      </c>
      <c r="F689" s="112">
        <f t="shared" ref="F689:Q689" si="478">F686/F$79</f>
        <v>0.142857142857143</v>
      </c>
      <c r="G689" s="112">
        <f t="shared" si="478"/>
        <v>0.125</v>
      </c>
      <c r="H689" s="112">
        <f t="shared" si="478"/>
        <v>0</v>
      </c>
      <c r="I689" s="112">
        <f t="shared" si="478"/>
        <v>0.142857142857143</v>
      </c>
      <c r="J689" s="112">
        <f t="shared" si="478"/>
        <v>0</v>
      </c>
      <c r="K689" s="112">
        <f t="shared" si="478"/>
        <v>0</v>
      </c>
      <c r="L689" s="112">
        <f t="shared" si="478"/>
        <v>0.333333333333333</v>
      </c>
      <c r="M689" s="112">
        <f t="shared" si="478"/>
        <v>1</v>
      </c>
      <c r="N689" s="112">
        <f t="shared" si="478"/>
        <v>3</v>
      </c>
      <c r="O689" s="112">
        <f t="shared" si="478"/>
        <v>2</v>
      </c>
      <c r="P689" s="112">
        <f t="shared" si="478"/>
        <v>0.5</v>
      </c>
      <c r="Q689" s="112" t="e">
        <f t="shared" si="478"/>
        <v>#DIV/0!</v>
      </c>
    </row>
    <row r="690" ht="24" customHeight="1" spans="1:17">
      <c r="A690" s="99" t="s">
        <v>346</v>
      </c>
      <c r="B690" s="99" t="s">
        <v>308</v>
      </c>
      <c r="C690" s="99" t="s">
        <v>309</v>
      </c>
      <c r="D690" s="100" t="s">
        <v>292</v>
      </c>
      <c r="E690" s="100" t="s">
        <v>314</v>
      </c>
      <c r="F690" s="104">
        <f t="shared" ref="F690:Q690" si="479">SUM(F691:F693)</f>
        <v>1</v>
      </c>
      <c r="G690" s="104">
        <f t="shared" si="479"/>
        <v>2</v>
      </c>
      <c r="H690" s="104">
        <f t="shared" si="479"/>
        <v>0</v>
      </c>
      <c r="I690" s="104">
        <f t="shared" si="479"/>
        <v>2</v>
      </c>
      <c r="J690" s="104">
        <f t="shared" si="479"/>
        <v>0</v>
      </c>
      <c r="K690" s="104">
        <f t="shared" si="479"/>
        <v>1</v>
      </c>
      <c r="L690" s="104">
        <f t="shared" si="479"/>
        <v>3</v>
      </c>
      <c r="M690" s="104">
        <f t="shared" si="479"/>
        <v>3</v>
      </c>
      <c r="N690" s="104">
        <f t="shared" si="479"/>
        <v>1</v>
      </c>
      <c r="O690" s="104">
        <f t="shared" si="479"/>
        <v>2</v>
      </c>
      <c r="P690" s="104">
        <f t="shared" si="479"/>
        <v>1</v>
      </c>
      <c r="Q690" s="104">
        <f t="shared" si="479"/>
        <v>0</v>
      </c>
    </row>
    <row r="691" ht="24" customHeight="1" spans="1:17">
      <c r="A691" s="99" t="s">
        <v>346</v>
      </c>
      <c r="B691" s="99" t="s">
        <v>308</v>
      </c>
      <c r="C691" s="99" t="s">
        <v>309</v>
      </c>
      <c r="D691" s="48" t="s">
        <v>298</v>
      </c>
      <c r="E691" s="48" t="s">
        <v>97</v>
      </c>
      <c r="F691" s="105">
        <f t="shared" ref="F691:Q691" si="480">F714-F743</f>
        <v>0</v>
      </c>
      <c r="G691" s="105">
        <f t="shared" si="480"/>
        <v>2</v>
      </c>
      <c r="H691" s="105">
        <f t="shared" si="480"/>
        <v>0</v>
      </c>
      <c r="I691" s="105">
        <f t="shared" si="480"/>
        <v>1</v>
      </c>
      <c r="J691" s="105">
        <f t="shared" si="480"/>
        <v>0</v>
      </c>
      <c r="K691" s="105">
        <f t="shared" si="480"/>
        <v>1</v>
      </c>
      <c r="L691" s="105">
        <f t="shared" si="480"/>
        <v>1</v>
      </c>
      <c r="M691" s="105">
        <f t="shared" si="480"/>
        <v>2</v>
      </c>
      <c r="N691" s="105">
        <f t="shared" si="480"/>
        <v>0</v>
      </c>
      <c r="O691" s="105">
        <f t="shared" si="480"/>
        <v>2</v>
      </c>
      <c r="P691" s="105">
        <f t="shared" si="480"/>
        <v>0</v>
      </c>
      <c r="Q691" s="105">
        <f t="shared" si="480"/>
        <v>0</v>
      </c>
    </row>
    <row r="692" ht="24" customHeight="1" spans="1:17">
      <c r="A692" s="99" t="s">
        <v>346</v>
      </c>
      <c r="B692" s="99" t="s">
        <v>308</v>
      </c>
      <c r="C692" s="99" t="s">
        <v>309</v>
      </c>
      <c r="D692" s="48" t="s">
        <v>298</v>
      </c>
      <c r="E692" s="48" t="s">
        <v>87</v>
      </c>
      <c r="F692" s="105">
        <f t="shared" ref="F692:Q692" si="481">F715-F744</f>
        <v>1</v>
      </c>
      <c r="G692" s="105">
        <f t="shared" si="481"/>
        <v>0</v>
      </c>
      <c r="H692" s="105">
        <f t="shared" si="481"/>
        <v>0</v>
      </c>
      <c r="I692" s="105">
        <f t="shared" si="481"/>
        <v>1</v>
      </c>
      <c r="J692" s="105">
        <f t="shared" si="481"/>
        <v>0</v>
      </c>
      <c r="K692" s="105">
        <f t="shared" si="481"/>
        <v>0</v>
      </c>
      <c r="L692" s="105">
        <f t="shared" si="481"/>
        <v>2</v>
      </c>
      <c r="M692" s="105">
        <f t="shared" si="481"/>
        <v>1</v>
      </c>
      <c r="N692" s="105">
        <f t="shared" si="481"/>
        <v>0</v>
      </c>
      <c r="O692" s="105">
        <f t="shared" si="481"/>
        <v>0</v>
      </c>
      <c r="P692" s="105">
        <f t="shared" si="481"/>
        <v>1</v>
      </c>
      <c r="Q692" s="105">
        <f t="shared" si="481"/>
        <v>0</v>
      </c>
    </row>
    <row r="693" ht="24" customHeight="1" spans="1:17">
      <c r="A693" s="99" t="s">
        <v>346</v>
      </c>
      <c r="B693" s="99" t="s">
        <v>308</v>
      </c>
      <c r="C693" s="99" t="s">
        <v>309</v>
      </c>
      <c r="D693" s="48" t="s">
        <v>298</v>
      </c>
      <c r="E693" s="48" t="s">
        <v>83</v>
      </c>
      <c r="F693" s="105">
        <f t="shared" ref="F693:Q693" si="482">F716-F745</f>
        <v>0</v>
      </c>
      <c r="G693" s="105">
        <f t="shared" si="482"/>
        <v>0</v>
      </c>
      <c r="H693" s="105">
        <f t="shared" si="482"/>
        <v>0</v>
      </c>
      <c r="I693" s="105">
        <f t="shared" si="482"/>
        <v>0</v>
      </c>
      <c r="J693" s="105">
        <f t="shared" si="482"/>
        <v>0</v>
      </c>
      <c r="K693" s="105">
        <f t="shared" si="482"/>
        <v>0</v>
      </c>
      <c r="L693" s="105">
        <f t="shared" si="482"/>
        <v>0</v>
      </c>
      <c r="M693" s="105">
        <f t="shared" si="482"/>
        <v>0</v>
      </c>
      <c r="N693" s="105">
        <f t="shared" si="482"/>
        <v>1</v>
      </c>
      <c r="O693" s="105">
        <f t="shared" si="482"/>
        <v>0</v>
      </c>
      <c r="P693" s="105">
        <f t="shared" si="482"/>
        <v>0</v>
      </c>
      <c r="Q693" s="105">
        <f t="shared" si="482"/>
        <v>0</v>
      </c>
    </row>
    <row r="694" ht="24" customHeight="1" spans="1:17">
      <c r="A694" s="99" t="s">
        <v>346</v>
      </c>
      <c r="B694" s="99" t="s">
        <v>308</v>
      </c>
      <c r="C694" s="99" t="s">
        <v>309</v>
      </c>
      <c r="D694" s="48" t="s">
        <v>315</v>
      </c>
      <c r="E694" s="48" t="s">
        <v>97</v>
      </c>
      <c r="F694" s="112">
        <f t="shared" ref="F694:Q694" si="483">F691/F$86</f>
        <v>0</v>
      </c>
      <c r="G694" s="112">
        <f t="shared" si="483"/>
        <v>0.25</v>
      </c>
      <c r="H694" s="112">
        <f t="shared" si="483"/>
        <v>0</v>
      </c>
      <c r="I694" s="112">
        <f t="shared" si="483"/>
        <v>0.125</v>
      </c>
      <c r="J694" s="112">
        <f t="shared" si="483"/>
        <v>0</v>
      </c>
      <c r="K694" s="112">
        <f t="shared" si="483"/>
        <v>0.5</v>
      </c>
      <c r="L694" s="112">
        <f t="shared" si="483"/>
        <v>0.5</v>
      </c>
      <c r="M694" s="112">
        <f t="shared" si="483"/>
        <v>1</v>
      </c>
      <c r="N694" s="112">
        <f t="shared" si="483"/>
        <v>0</v>
      </c>
      <c r="O694" s="112">
        <f t="shared" si="483"/>
        <v>1</v>
      </c>
      <c r="P694" s="112">
        <f t="shared" si="483"/>
        <v>0</v>
      </c>
      <c r="Q694" s="112">
        <f t="shared" si="483"/>
        <v>0</v>
      </c>
    </row>
    <row r="695" ht="24" customHeight="1" spans="1:17">
      <c r="A695" s="99" t="s">
        <v>346</v>
      </c>
      <c r="B695" s="99" t="s">
        <v>308</v>
      </c>
      <c r="C695" s="99" t="s">
        <v>309</v>
      </c>
      <c r="D695" s="48" t="s">
        <v>315</v>
      </c>
      <c r="E695" s="48" t="s">
        <v>87</v>
      </c>
      <c r="F695" s="112">
        <f t="shared" ref="F695:Q695" si="484">F692/F$86</f>
        <v>0.142857142857143</v>
      </c>
      <c r="G695" s="112">
        <f t="shared" si="484"/>
        <v>0</v>
      </c>
      <c r="H695" s="112">
        <f t="shared" si="484"/>
        <v>0</v>
      </c>
      <c r="I695" s="112">
        <f t="shared" si="484"/>
        <v>0.125</v>
      </c>
      <c r="J695" s="112">
        <f t="shared" si="484"/>
        <v>0</v>
      </c>
      <c r="K695" s="112">
        <f t="shared" si="484"/>
        <v>0</v>
      </c>
      <c r="L695" s="112">
        <f t="shared" si="484"/>
        <v>1</v>
      </c>
      <c r="M695" s="112">
        <f t="shared" si="484"/>
        <v>0.5</v>
      </c>
      <c r="N695" s="112">
        <f t="shared" si="484"/>
        <v>0</v>
      </c>
      <c r="O695" s="112">
        <f t="shared" si="484"/>
        <v>0</v>
      </c>
      <c r="P695" s="112">
        <f t="shared" si="484"/>
        <v>0.333333333333333</v>
      </c>
      <c r="Q695" s="112">
        <f t="shared" si="484"/>
        <v>0</v>
      </c>
    </row>
    <row r="696" ht="24" customHeight="1" spans="1:17">
      <c r="A696" s="99" t="s">
        <v>346</v>
      </c>
      <c r="B696" s="99" t="s">
        <v>308</v>
      </c>
      <c r="C696" s="99" t="s">
        <v>309</v>
      </c>
      <c r="D696" s="48" t="s">
        <v>315</v>
      </c>
      <c r="E696" s="48" t="s">
        <v>83</v>
      </c>
      <c r="F696" s="112">
        <f t="shared" ref="F696:Q696" si="485">F693/F$86</f>
        <v>0</v>
      </c>
      <c r="G696" s="112">
        <f t="shared" si="485"/>
        <v>0</v>
      </c>
      <c r="H696" s="112">
        <f t="shared" si="485"/>
        <v>0</v>
      </c>
      <c r="I696" s="112">
        <f t="shared" si="485"/>
        <v>0</v>
      </c>
      <c r="J696" s="112">
        <f t="shared" si="485"/>
        <v>0</v>
      </c>
      <c r="K696" s="112">
        <f t="shared" si="485"/>
        <v>0</v>
      </c>
      <c r="L696" s="112">
        <f t="shared" si="485"/>
        <v>0</v>
      </c>
      <c r="M696" s="112">
        <f t="shared" si="485"/>
        <v>0</v>
      </c>
      <c r="N696" s="112">
        <f t="shared" si="485"/>
        <v>0.333333333333333</v>
      </c>
      <c r="O696" s="112">
        <f t="shared" si="485"/>
        <v>0</v>
      </c>
      <c r="P696" s="112">
        <f t="shared" si="485"/>
        <v>0</v>
      </c>
      <c r="Q696" s="112">
        <f t="shared" si="485"/>
        <v>0</v>
      </c>
    </row>
    <row r="697" ht="24" customHeight="1" spans="1:17">
      <c r="A697" s="99" t="s">
        <v>346</v>
      </c>
      <c r="B697" s="99" t="s">
        <v>290</v>
      </c>
      <c r="C697" s="99" t="s">
        <v>316</v>
      </c>
      <c r="D697" s="100" t="s">
        <v>292</v>
      </c>
      <c r="E697" s="100" t="s">
        <v>317</v>
      </c>
      <c r="F697" s="104">
        <f t="shared" ref="F697:Q697" si="486">IF((SUM(F698:F703)-MAX(F709,F713))&lt;0,"ERR",SUM(F698:F703))</f>
        <v>13</v>
      </c>
      <c r="G697" s="104">
        <f t="shared" si="486"/>
        <v>15</v>
      </c>
      <c r="H697" s="104">
        <f t="shared" si="486"/>
        <v>16</v>
      </c>
      <c r="I697" s="104">
        <f t="shared" si="486"/>
        <v>19</v>
      </c>
      <c r="J697" s="104">
        <f t="shared" si="486"/>
        <v>20</v>
      </c>
      <c r="K697" s="104">
        <f t="shared" si="486"/>
        <v>23</v>
      </c>
      <c r="L697" s="104">
        <f t="shared" si="486"/>
        <v>28</v>
      </c>
      <c r="M697" s="104">
        <f t="shared" si="486"/>
        <v>32</v>
      </c>
      <c r="N697" s="104">
        <f t="shared" si="486"/>
        <v>39</v>
      </c>
      <c r="O697" s="104">
        <f t="shared" si="486"/>
        <v>46</v>
      </c>
      <c r="P697" s="104">
        <f t="shared" si="486"/>
        <v>50</v>
      </c>
      <c r="Q697" s="104">
        <f t="shared" si="486"/>
        <v>53</v>
      </c>
    </row>
    <row r="698" ht="24" customHeight="1" spans="1:17">
      <c r="A698" s="99" t="s">
        <v>346</v>
      </c>
      <c r="B698" s="99" t="s">
        <v>290</v>
      </c>
      <c r="C698" s="99" t="s">
        <v>316</v>
      </c>
      <c r="D698" s="48" t="s">
        <v>31</v>
      </c>
      <c r="E698" s="48" t="s">
        <v>406</v>
      </c>
      <c r="F698" s="105">
        <f t="shared" ref="F698:F708" si="487">F608</f>
        <v>4</v>
      </c>
      <c r="G698" s="105">
        <f t="shared" ref="G698:Q698" si="488">G608+F698</f>
        <v>5</v>
      </c>
      <c r="H698" s="105">
        <f t="shared" si="488"/>
        <v>5</v>
      </c>
      <c r="I698" s="105">
        <f t="shared" si="488"/>
        <v>5</v>
      </c>
      <c r="J698" s="105">
        <f t="shared" si="488"/>
        <v>5</v>
      </c>
      <c r="K698" s="105">
        <f t="shared" si="488"/>
        <v>6</v>
      </c>
      <c r="L698" s="105">
        <f t="shared" si="488"/>
        <v>7</v>
      </c>
      <c r="M698" s="105">
        <f t="shared" si="488"/>
        <v>8</v>
      </c>
      <c r="N698" s="105">
        <f t="shared" si="488"/>
        <v>9</v>
      </c>
      <c r="O698" s="105">
        <f t="shared" si="488"/>
        <v>10</v>
      </c>
      <c r="P698" s="105">
        <f t="shared" si="488"/>
        <v>12</v>
      </c>
      <c r="Q698" s="105">
        <f t="shared" si="488"/>
        <v>12</v>
      </c>
    </row>
    <row r="699" ht="24" customHeight="1" spans="1:17">
      <c r="A699" s="99" t="s">
        <v>346</v>
      </c>
      <c r="B699" s="99" t="s">
        <v>290</v>
      </c>
      <c r="C699" s="99" t="s">
        <v>316</v>
      </c>
      <c r="D699" s="48" t="s">
        <v>31</v>
      </c>
      <c r="E699" s="48" t="s">
        <v>82</v>
      </c>
      <c r="F699" s="105">
        <f t="shared" si="487"/>
        <v>6</v>
      </c>
      <c r="G699" s="105">
        <f t="shared" ref="G699:Q699" si="489">G609+F699</f>
        <v>7</v>
      </c>
      <c r="H699" s="105">
        <f t="shared" si="489"/>
        <v>7</v>
      </c>
      <c r="I699" s="105">
        <f t="shared" si="489"/>
        <v>8</v>
      </c>
      <c r="J699" s="105">
        <f t="shared" si="489"/>
        <v>8</v>
      </c>
      <c r="K699" s="105">
        <f t="shared" si="489"/>
        <v>8</v>
      </c>
      <c r="L699" s="105">
        <f t="shared" si="489"/>
        <v>10</v>
      </c>
      <c r="M699" s="105">
        <f t="shared" si="489"/>
        <v>10</v>
      </c>
      <c r="N699" s="105">
        <f t="shared" si="489"/>
        <v>11</v>
      </c>
      <c r="O699" s="105">
        <f t="shared" si="489"/>
        <v>11</v>
      </c>
      <c r="P699" s="105">
        <f t="shared" si="489"/>
        <v>11</v>
      </c>
      <c r="Q699" s="105">
        <f t="shared" si="489"/>
        <v>12</v>
      </c>
    </row>
    <row r="700" ht="24" customHeight="1" spans="1:17">
      <c r="A700" s="99" t="s">
        <v>346</v>
      </c>
      <c r="B700" s="99" t="s">
        <v>290</v>
      </c>
      <c r="C700" s="99" t="s">
        <v>316</v>
      </c>
      <c r="D700" s="48" t="s">
        <v>31</v>
      </c>
      <c r="E700" s="48" t="s">
        <v>86</v>
      </c>
      <c r="F700" s="105">
        <f t="shared" si="487"/>
        <v>2</v>
      </c>
      <c r="G700" s="105">
        <f t="shared" ref="G700:Q700" si="490">G610+F700</f>
        <v>2</v>
      </c>
      <c r="H700" s="105">
        <f t="shared" si="490"/>
        <v>2</v>
      </c>
      <c r="I700" s="105">
        <f t="shared" si="490"/>
        <v>4</v>
      </c>
      <c r="J700" s="105">
        <f t="shared" si="490"/>
        <v>5</v>
      </c>
      <c r="K700" s="105">
        <f t="shared" si="490"/>
        <v>6</v>
      </c>
      <c r="L700" s="105">
        <f t="shared" si="490"/>
        <v>7</v>
      </c>
      <c r="M700" s="105">
        <f t="shared" si="490"/>
        <v>10</v>
      </c>
      <c r="N700" s="105">
        <f t="shared" si="490"/>
        <v>15</v>
      </c>
      <c r="O700" s="105">
        <f t="shared" si="490"/>
        <v>18</v>
      </c>
      <c r="P700" s="105">
        <f t="shared" si="490"/>
        <v>19</v>
      </c>
      <c r="Q700" s="105">
        <f t="shared" si="490"/>
        <v>20</v>
      </c>
    </row>
    <row r="701" ht="24" customHeight="1" spans="1:17">
      <c r="A701" s="99" t="s">
        <v>346</v>
      </c>
      <c r="B701" s="99" t="s">
        <v>290</v>
      </c>
      <c r="C701" s="99" t="s">
        <v>316</v>
      </c>
      <c r="D701" s="48" t="s">
        <v>31</v>
      </c>
      <c r="E701" s="48" t="s">
        <v>97</v>
      </c>
      <c r="F701" s="105">
        <f t="shared" si="487"/>
        <v>0</v>
      </c>
      <c r="G701" s="105">
        <f t="shared" ref="G701:Q701" si="491">G611+F701</f>
        <v>0</v>
      </c>
      <c r="H701" s="105">
        <f t="shared" si="491"/>
        <v>1</v>
      </c>
      <c r="I701" s="105">
        <f t="shared" si="491"/>
        <v>1</v>
      </c>
      <c r="J701" s="105">
        <f t="shared" si="491"/>
        <v>1</v>
      </c>
      <c r="K701" s="105">
        <f t="shared" si="491"/>
        <v>2</v>
      </c>
      <c r="L701" s="105">
        <f t="shared" si="491"/>
        <v>2</v>
      </c>
      <c r="M701" s="105">
        <f t="shared" si="491"/>
        <v>2</v>
      </c>
      <c r="N701" s="105">
        <f t="shared" si="491"/>
        <v>2</v>
      </c>
      <c r="O701" s="105">
        <f t="shared" si="491"/>
        <v>5</v>
      </c>
      <c r="P701" s="105">
        <f t="shared" si="491"/>
        <v>5</v>
      </c>
      <c r="Q701" s="105">
        <f t="shared" si="491"/>
        <v>5</v>
      </c>
    </row>
    <row r="702" ht="24" customHeight="1" spans="1:17">
      <c r="A702" s="99" t="s">
        <v>346</v>
      </c>
      <c r="B702" s="99" t="s">
        <v>290</v>
      </c>
      <c r="C702" s="99" t="s">
        <v>316</v>
      </c>
      <c r="D702" s="48" t="s">
        <v>31</v>
      </c>
      <c r="E702" s="48" t="s">
        <v>87</v>
      </c>
      <c r="F702" s="105">
        <f t="shared" si="487"/>
        <v>1</v>
      </c>
      <c r="G702" s="105">
        <f t="shared" ref="G702:Q702" si="492">G612+F702</f>
        <v>1</v>
      </c>
      <c r="H702" s="105">
        <f t="shared" si="492"/>
        <v>1</v>
      </c>
      <c r="I702" s="105">
        <f t="shared" si="492"/>
        <v>1</v>
      </c>
      <c r="J702" s="105">
        <f t="shared" si="492"/>
        <v>1</v>
      </c>
      <c r="K702" s="105">
        <f t="shared" si="492"/>
        <v>1</v>
      </c>
      <c r="L702" s="105">
        <f t="shared" si="492"/>
        <v>2</v>
      </c>
      <c r="M702" s="105">
        <f t="shared" si="492"/>
        <v>2</v>
      </c>
      <c r="N702" s="105">
        <f t="shared" si="492"/>
        <v>2</v>
      </c>
      <c r="O702" s="105">
        <f t="shared" si="492"/>
        <v>2</v>
      </c>
      <c r="P702" s="105">
        <f t="shared" si="492"/>
        <v>3</v>
      </c>
      <c r="Q702" s="105">
        <f t="shared" si="492"/>
        <v>4</v>
      </c>
    </row>
    <row r="703" ht="24" customHeight="1" spans="1:17">
      <c r="A703" s="99" t="s">
        <v>346</v>
      </c>
      <c r="B703" s="99" t="s">
        <v>290</v>
      </c>
      <c r="C703" s="99" t="s">
        <v>316</v>
      </c>
      <c r="D703" s="48" t="s">
        <v>31</v>
      </c>
      <c r="E703" s="48" t="s">
        <v>83</v>
      </c>
      <c r="F703" s="105">
        <f t="shared" si="487"/>
        <v>0</v>
      </c>
      <c r="G703" s="105">
        <f t="shared" ref="G703:Q703" si="493">G613+F703</f>
        <v>0</v>
      </c>
      <c r="H703" s="105">
        <f t="shared" si="493"/>
        <v>0</v>
      </c>
      <c r="I703" s="105">
        <f t="shared" si="493"/>
        <v>0</v>
      </c>
      <c r="J703" s="105">
        <f t="shared" si="493"/>
        <v>0</v>
      </c>
      <c r="K703" s="105">
        <f t="shared" si="493"/>
        <v>0</v>
      </c>
      <c r="L703" s="105">
        <f t="shared" si="493"/>
        <v>0</v>
      </c>
      <c r="M703" s="105">
        <f t="shared" si="493"/>
        <v>0</v>
      </c>
      <c r="N703" s="105">
        <f t="shared" si="493"/>
        <v>0</v>
      </c>
      <c r="O703" s="105">
        <f t="shared" si="493"/>
        <v>0</v>
      </c>
      <c r="P703" s="105">
        <f t="shared" si="493"/>
        <v>0</v>
      </c>
      <c r="Q703" s="105">
        <f t="shared" si="493"/>
        <v>0</v>
      </c>
    </row>
    <row r="704" ht="24" customHeight="1" spans="1:17">
      <c r="A704" s="99" t="s">
        <v>346</v>
      </c>
      <c r="B704" s="99" t="s">
        <v>290</v>
      </c>
      <c r="C704" s="99" t="s">
        <v>316</v>
      </c>
      <c r="D704" s="47" t="s">
        <v>294</v>
      </c>
      <c r="E704" s="47" t="s">
        <v>93</v>
      </c>
      <c r="F704" s="106">
        <f t="shared" si="487"/>
        <v>7</v>
      </c>
      <c r="G704" s="106">
        <f t="shared" ref="G704:Q704" si="494">G614+F704</f>
        <v>9</v>
      </c>
      <c r="H704" s="106">
        <f t="shared" si="494"/>
        <v>9</v>
      </c>
      <c r="I704" s="106">
        <f t="shared" si="494"/>
        <v>10</v>
      </c>
      <c r="J704" s="106">
        <f t="shared" si="494"/>
        <v>11</v>
      </c>
      <c r="K704" s="106">
        <f t="shared" si="494"/>
        <v>13</v>
      </c>
      <c r="L704" s="106">
        <f t="shared" si="494"/>
        <v>16</v>
      </c>
      <c r="M704" s="106">
        <f t="shared" si="494"/>
        <v>20</v>
      </c>
      <c r="N704" s="106">
        <f t="shared" si="494"/>
        <v>20</v>
      </c>
      <c r="O704" s="106">
        <f t="shared" si="494"/>
        <v>23</v>
      </c>
      <c r="P704" s="106">
        <f t="shared" si="494"/>
        <v>26</v>
      </c>
      <c r="Q704" s="106">
        <f t="shared" si="494"/>
        <v>26</v>
      </c>
    </row>
    <row r="705" ht="24" customHeight="1" spans="1:17">
      <c r="A705" s="99" t="s">
        <v>346</v>
      </c>
      <c r="B705" s="99" t="s">
        <v>290</v>
      </c>
      <c r="C705" s="99" t="s">
        <v>316</v>
      </c>
      <c r="D705" s="47" t="s">
        <v>294</v>
      </c>
      <c r="E705" s="47" t="s">
        <v>85</v>
      </c>
      <c r="F705" s="106">
        <f t="shared" si="487"/>
        <v>6</v>
      </c>
      <c r="G705" s="106">
        <f t="shared" ref="G705:Q705" si="495">G615+F705</f>
        <v>6</v>
      </c>
      <c r="H705" s="106">
        <f t="shared" si="495"/>
        <v>7</v>
      </c>
      <c r="I705" s="106">
        <f t="shared" si="495"/>
        <v>8</v>
      </c>
      <c r="J705" s="106">
        <f t="shared" si="495"/>
        <v>8</v>
      </c>
      <c r="K705" s="106">
        <f t="shared" si="495"/>
        <v>9</v>
      </c>
      <c r="L705" s="106">
        <f t="shared" si="495"/>
        <v>10</v>
      </c>
      <c r="M705" s="106">
        <f t="shared" si="495"/>
        <v>10</v>
      </c>
      <c r="N705" s="106">
        <f t="shared" si="495"/>
        <v>12</v>
      </c>
      <c r="O705" s="106">
        <f t="shared" si="495"/>
        <v>14</v>
      </c>
      <c r="P705" s="106">
        <f t="shared" si="495"/>
        <v>15</v>
      </c>
      <c r="Q705" s="106">
        <f t="shared" si="495"/>
        <v>16</v>
      </c>
    </row>
    <row r="706" ht="24" customHeight="1" spans="1:17">
      <c r="A706" s="99" t="s">
        <v>346</v>
      </c>
      <c r="B706" s="99" t="s">
        <v>290</v>
      </c>
      <c r="C706" s="99" t="s">
        <v>316</v>
      </c>
      <c r="D706" s="47" t="s">
        <v>294</v>
      </c>
      <c r="E706" s="47" t="s">
        <v>81</v>
      </c>
      <c r="F706" s="106">
        <f t="shared" si="487"/>
        <v>0</v>
      </c>
      <c r="G706" s="106">
        <f t="shared" ref="G706:Q706" si="496">G616+F706</f>
        <v>0</v>
      </c>
      <c r="H706" s="106">
        <f t="shared" si="496"/>
        <v>0</v>
      </c>
      <c r="I706" s="106">
        <f t="shared" si="496"/>
        <v>1</v>
      </c>
      <c r="J706" s="106">
        <f t="shared" si="496"/>
        <v>1</v>
      </c>
      <c r="K706" s="106">
        <f t="shared" si="496"/>
        <v>1</v>
      </c>
      <c r="L706" s="106">
        <f t="shared" si="496"/>
        <v>2</v>
      </c>
      <c r="M706" s="106">
        <f t="shared" si="496"/>
        <v>2</v>
      </c>
      <c r="N706" s="106">
        <f t="shared" si="496"/>
        <v>6</v>
      </c>
      <c r="O706" s="106">
        <f t="shared" si="496"/>
        <v>8</v>
      </c>
      <c r="P706" s="106">
        <f t="shared" si="496"/>
        <v>8</v>
      </c>
      <c r="Q706" s="106">
        <f t="shared" si="496"/>
        <v>10</v>
      </c>
    </row>
    <row r="707" ht="24" customHeight="1" spans="1:17">
      <c r="A707" s="99" t="s">
        <v>346</v>
      </c>
      <c r="B707" s="99" t="s">
        <v>290</v>
      </c>
      <c r="C707" s="99" t="s">
        <v>316</v>
      </c>
      <c r="D707" s="47" t="s">
        <v>294</v>
      </c>
      <c r="E707" s="47" t="s">
        <v>96</v>
      </c>
      <c r="F707" s="106">
        <f t="shared" si="487"/>
        <v>0</v>
      </c>
      <c r="G707" s="106">
        <f t="shared" ref="G707:Q707" si="497">G617+F707</f>
        <v>0</v>
      </c>
      <c r="H707" s="106">
        <f t="shared" si="497"/>
        <v>0</v>
      </c>
      <c r="I707" s="106">
        <f t="shared" si="497"/>
        <v>0</v>
      </c>
      <c r="J707" s="106">
        <f t="shared" si="497"/>
        <v>0</v>
      </c>
      <c r="K707" s="106">
        <f t="shared" si="497"/>
        <v>0</v>
      </c>
      <c r="L707" s="106">
        <f t="shared" si="497"/>
        <v>0</v>
      </c>
      <c r="M707" s="106">
        <f t="shared" si="497"/>
        <v>0</v>
      </c>
      <c r="N707" s="106">
        <f t="shared" si="497"/>
        <v>1</v>
      </c>
      <c r="O707" s="106">
        <f t="shared" si="497"/>
        <v>1</v>
      </c>
      <c r="P707" s="106">
        <f t="shared" si="497"/>
        <v>1</v>
      </c>
      <c r="Q707" s="106">
        <f t="shared" si="497"/>
        <v>1</v>
      </c>
    </row>
    <row r="708" ht="24" customHeight="1" spans="1:17">
      <c r="A708" s="99" t="s">
        <v>346</v>
      </c>
      <c r="B708" s="99" t="s">
        <v>290</v>
      </c>
      <c r="C708" s="99" t="s">
        <v>316</v>
      </c>
      <c r="D708" s="47" t="s">
        <v>294</v>
      </c>
      <c r="E708" s="47" t="s">
        <v>160</v>
      </c>
      <c r="F708" s="106">
        <f t="shared" si="487"/>
        <v>0</v>
      </c>
      <c r="G708" s="106">
        <f t="shared" ref="G708:Q708" si="498">G618+F708</f>
        <v>0</v>
      </c>
      <c r="H708" s="106">
        <f t="shared" si="498"/>
        <v>0</v>
      </c>
      <c r="I708" s="106">
        <f t="shared" si="498"/>
        <v>0</v>
      </c>
      <c r="J708" s="106">
        <f t="shared" si="498"/>
        <v>0</v>
      </c>
      <c r="K708" s="106">
        <f t="shared" si="498"/>
        <v>0</v>
      </c>
      <c r="L708" s="106">
        <f t="shared" si="498"/>
        <v>0</v>
      </c>
      <c r="M708" s="106">
        <f t="shared" si="498"/>
        <v>0</v>
      </c>
      <c r="N708" s="106">
        <f t="shared" si="498"/>
        <v>0</v>
      </c>
      <c r="O708" s="106">
        <f t="shared" si="498"/>
        <v>0</v>
      </c>
      <c r="P708" s="106">
        <f t="shared" si="498"/>
        <v>0</v>
      </c>
      <c r="Q708" s="106">
        <f t="shared" si="498"/>
        <v>0</v>
      </c>
    </row>
    <row r="709" ht="24" customHeight="1" spans="1:17">
      <c r="A709" s="99" t="s">
        <v>346</v>
      </c>
      <c r="B709" s="99" t="s">
        <v>290</v>
      </c>
      <c r="C709" s="99" t="s">
        <v>316</v>
      </c>
      <c r="D709" s="100" t="s">
        <v>292</v>
      </c>
      <c r="E709" s="100" t="s">
        <v>318</v>
      </c>
      <c r="F709" s="104">
        <f t="shared" ref="F709:Q709" si="499">SUM(F710:F712)</f>
        <v>12</v>
      </c>
      <c r="G709" s="104">
        <f t="shared" si="499"/>
        <v>14</v>
      </c>
      <c r="H709" s="104">
        <f t="shared" si="499"/>
        <v>14</v>
      </c>
      <c r="I709" s="104">
        <f t="shared" si="499"/>
        <v>17</v>
      </c>
      <c r="J709" s="104">
        <f t="shared" si="499"/>
        <v>18</v>
      </c>
      <c r="K709" s="104">
        <f t="shared" si="499"/>
        <v>21</v>
      </c>
      <c r="L709" s="104">
        <f t="shared" si="499"/>
        <v>26</v>
      </c>
      <c r="M709" s="104">
        <f t="shared" si="499"/>
        <v>30</v>
      </c>
      <c r="N709" s="104">
        <f t="shared" si="499"/>
        <v>37</v>
      </c>
      <c r="O709" s="104">
        <f t="shared" si="499"/>
        <v>43</v>
      </c>
      <c r="P709" s="104">
        <f t="shared" si="499"/>
        <v>47</v>
      </c>
      <c r="Q709" s="104">
        <f t="shared" si="499"/>
        <v>50</v>
      </c>
    </row>
    <row r="710" ht="24" customHeight="1" spans="1:17">
      <c r="A710" s="99" t="s">
        <v>346</v>
      </c>
      <c r="B710" s="99" t="s">
        <v>290</v>
      </c>
      <c r="C710" s="99" t="s">
        <v>316</v>
      </c>
      <c r="D710" s="48" t="s">
        <v>296</v>
      </c>
      <c r="E710" s="48" t="s">
        <v>406</v>
      </c>
      <c r="F710" s="105">
        <f t="shared" ref="F710:F712" si="500">F620</f>
        <v>4</v>
      </c>
      <c r="G710" s="105">
        <f t="shared" ref="G710:Q710" si="501">G620+F710</f>
        <v>5</v>
      </c>
      <c r="H710" s="105">
        <f t="shared" si="501"/>
        <v>5</v>
      </c>
      <c r="I710" s="105">
        <f t="shared" si="501"/>
        <v>5</v>
      </c>
      <c r="J710" s="105">
        <f t="shared" si="501"/>
        <v>5</v>
      </c>
      <c r="K710" s="105">
        <f t="shared" si="501"/>
        <v>6</v>
      </c>
      <c r="L710" s="105">
        <f t="shared" si="501"/>
        <v>8</v>
      </c>
      <c r="M710" s="105">
        <f t="shared" si="501"/>
        <v>9</v>
      </c>
      <c r="N710" s="105">
        <f t="shared" si="501"/>
        <v>10</v>
      </c>
      <c r="O710" s="105">
        <f t="shared" si="501"/>
        <v>12</v>
      </c>
      <c r="P710" s="105">
        <f t="shared" si="501"/>
        <v>15</v>
      </c>
      <c r="Q710" s="105">
        <f t="shared" si="501"/>
        <v>16</v>
      </c>
    </row>
    <row r="711" ht="24" customHeight="1" spans="1:17">
      <c r="A711" s="99" t="s">
        <v>346</v>
      </c>
      <c r="B711" s="99" t="s">
        <v>290</v>
      </c>
      <c r="C711" s="99" t="s">
        <v>316</v>
      </c>
      <c r="D711" s="48" t="s">
        <v>296</v>
      </c>
      <c r="E711" s="48" t="s">
        <v>82</v>
      </c>
      <c r="F711" s="105">
        <f t="shared" si="500"/>
        <v>6</v>
      </c>
      <c r="G711" s="105">
        <f t="shared" ref="G711:Q711" si="502">G621+F711</f>
        <v>7</v>
      </c>
      <c r="H711" s="105">
        <f t="shared" si="502"/>
        <v>7</v>
      </c>
      <c r="I711" s="105">
        <f t="shared" si="502"/>
        <v>8</v>
      </c>
      <c r="J711" s="105">
        <f t="shared" si="502"/>
        <v>8</v>
      </c>
      <c r="K711" s="105">
        <f t="shared" si="502"/>
        <v>9</v>
      </c>
      <c r="L711" s="105">
        <f t="shared" si="502"/>
        <v>11</v>
      </c>
      <c r="M711" s="105">
        <f t="shared" si="502"/>
        <v>11</v>
      </c>
      <c r="N711" s="105">
        <f t="shared" si="502"/>
        <v>12</v>
      </c>
      <c r="O711" s="105">
        <f t="shared" si="502"/>
        <v>13</v>
      </c>
      <c r="P711" s="105">
        <f t="shared" si="502"/>
        <v>13</v>
      </c>
      <c r="Q711" s="105">
        <f t="shared" si="502"/>
        <v>14</v>
      </c>
    </row>
    <row r="712" ht="24" customHeight="1" spans="1:17">
      <c r="A712" s="99" t="s">
        <v>346</v>
      </c>
      <c r="B712" s="99" t="s">
        <v>290</v>
      </c>
      <c r="C712" s="99" t="s">
        <v>316</v>
      </c>
      <c r="D712" s="48" t="s">
        <v>296</v>
      </c>
      <c r="E712" s="48" t="s">
        <v>86</v>
      </c>
      <c r="F712" s="105">
        <f t="shared" si="500"/>
        <v>2</v>
      </c>
      <c r="G712" s="105">
        <f t="shared" ref="G712:Q712" si="503">G622+F712</f>
        <v>2</v>
      </c>
      <c r="H712" s="105">
        <f t="shared" si="503"/>
        <v>2</v>
      </c>
      <c r="I712" s="105">
        <f t="shared" si="503"/>
        <v>4</v>
      </c>
      <c r="J712" s="105">
        <f t="shared" si="503"/>
        <v>5</v>
      </c>
      <c r="K712" s="105">
        <f t="shared" si="503"/>
        <v>6</v>
      </c>
      <c r="L712" s="105">
        <f t="shared" si="503"/>
        <v>7</v>
      </c>
      <c r="M712" s="105">
        <f t="shared" si="503"/>
        <v>10</v>
      </c>
      <c r="N712" s="105">
        <f t="shared" si="503"/>
        <v>15</v>
      </c>
      <c r="O712" s="105">
        <f t="shared" si="503"/>
        <v>18</v>
      </c>
      <c r="P712" s="105">
        <f t="shared" si="503"/>
        <v>19</v>
      </c>
      <c r="Q712" s="105">
        <f t="shared" si="503"/>
        <v>20</v>
      </c>
    </row>
    <row r="713" ht="24" customHeight="1" spans="1:17">
      <c r="A713" s="99" t="s">
        <v>346</v>
      </c>
      <c r="B713" s="99" t="s">
        <v>290</v>
      </c>
      <c r="C713" s="99" t="s">
        <v>316</v>
      </c>
      <c r="D713" s="100" t="s">
        <v>292</v>
      </c>
      <c r="E713" s="100" t="s">
        <v>319</v>
      </c>
      <c r="F713" s="104">
        <f t="shared" ref="F713:Q713" si="504">SUM(F714:F716)</f>
        <v>3</v>
      </c>
      <c r="G713" s="104">
        <f t="shared" si="504"/>
        <v>5</v>
      </c>
      <c r="H713" s="104">
        <f t="shared" si="504"/>
        <v>6</v>
      </c>
      <c r="I713" s="104">
        <f t="shared" si="504"/>
        <v>8</v>
      </c>
      <c r="J713" s="104">
        <f t="shared" si="504"/>
        <v>8</v>
      </c>
      <c r="K713" s="104">
        <f t="shared" si="504"/>
        <v>10</v>
      </c>
      <c r="L713" s="104">
        <f t="shared" si="504"/>
        <v>13</v>
      </c>
      <c r="M713" s="104">
        <f t="shared" si="504"/>
        <v>17</v>
      </c>
      <c r="N713" s="104">
        <f t="shared" si="504"/>
        <v>19</v>
      </c>
      <c r="O713" s="104">
        <f t="shared" si="504"/>
        <v>25</v>
      </c>
      <c r="P713" s="104">
        <f t="shared" si="504"/>
        <v>28</v>
      </c>
      <c r="Q713" s="104">
        <f t="shared" si="504"/>
        <v>31</v>
      </c>
    </row>
    <row r="714" ht="24" customHeight="1" spans="1:17">
      <c r="A714" s="99" t="s">
        <v>346</v>
      </c>
      <c r="B714" s="99" t="s">
        <v>290</v>
      </c>
      <c r="C714" s="99" t="s">
        <v>316</v>
      </c>
      <c r="D714" s="48" t="s">
        <v>298</v>
      </c>
      <c r="E714" s="48" t="s">
        <v>97</v>
      </c>
      <c r="F714" s="105">
        <f t="shared" ref="F714:F716" si="505">F624</f>
        <v>2</v>
      </c>
      <c r="G714" s="105">
        <f t="shared" ref="G714:Q714" si="506">G624+F714</f>
        <v>4</v>
      </c>
      <c r="H714" s="105">
        <f t="shared" si="506"/>
        <v>5</v>
      </c>
      <c r="I714" s="105">
        <f t="shared" si="506"/>
        <v>6</v>
      </c>
      <c r="J714" s="105">
        <f t="shared" si="506"/>
        <v>6</v>
      </c>
      <c r="K714" s="105">
        <f t="shared" si="506"/>
        <v>7</v>
      </c>
      <c r="L714" s="105">
        <f t="shared" si="506"/>
        <v>8</v>
      </c>
      <c r="M714" s="105">
        <f t="shared" si="506"/>
        <v>11</v>
      </c>
      <c r="N714" s="105">
        <f t="shared" si="506"/>
        <v>11</v>
      </c>
      <c r="O714" s="105">
        <f t="shared" si="506"/>
        <v>16</v>
      </c>
      <c r="P714" s="105">
        <f t="shared" si="506"/>
        <v>17</v>
      </c>
      <c r="Q714" s="105">
        <f t="shared" si="506"/>
        <v>18</v>
      </c>
    </row>
    <row r="715" ht="24" customHeight="1" spans="1:17">
      <c r="A715" s="99" t="s">
        <v>346</v>
      </c>
      <c r="B715" s="99" t="s">
        <v>290</v>
      </c>
      <c r="C715" s="99" t="s">
        <v>316</v>
      </c>
      <c r="D715" s="48" t="s">
        <v>298</v>
      </c>
      <c r="E715" s="48" t="s">
        <v>87</v>
      </c>
      <c r="F715" s="105">
        <f t="shared" si="505"/>
        <v>1</v>
      </c>
      <c r="G715" s="105">
        <f t="shared" ref="G715:Q715" si="507">G625+F715</f>
        <v>1</v>
      </c>
      <c r="H715" s="105">
        <f t="shared" si="507"/>
        <v>1</v>
      </c>
      <c r="I715" s="105">
        <f t="shared" si="507"/>
        <v>2</v>
      </c>
      <c r="J715" s="105">
        <f t="shared" si="507"/>
        <v>2</v>
      </c>
      <c r="K715" s="105">
        <f t="shared" si="507"/>
        <v>2</v>
      </c>
      <c r="L715" s="105">
        <f t="shared" si="507"/>
        <v>4</v>
      </c>
      <c r="M715" s="105">
        <f t="shared" si="507"/>
        <v>5</v>
      </c>
      <c r="N715" s="105">
        <f t="shared" si="507"/>
        <v>6</v>
      </c>
      <c r="O715" s="105">
        <f t="shared" si="507"/>
        <v>6</v>
      </c>
      <c r="P715" s="105">
        <f t="shared" si="507"/>
        <v>8</v>
      </c>
      <c r="Q715" s="105">
        <f t="shared" si="507"/>
        <v>9</v>
      </c>
    </row>
    <row r="716" ht="24" customHeight="1" spans="1:17">
      <c r="A716" s="99" t="s">
        <v>346</v>
      </c>
      <c r="B716" s="99" t="s">
        <v>290</v>
      </c>
      <c r="C716" s="99" t="s">
        <v>316</v>
      </c>
      <c r="D716" s="48" t="s">
        <v>298</v>
      </c>
      <c r="E716" s="48" t="s">
        <v>83</v>
      </c>
      <c r="F716" s="105">
        <f t="shared" si="505"/>
        <v>0</v>
      </c>
      <c r="G716" s="105">
        <f t="shared" ref="G716:Q716" si="508">G626+F716</f>
        <v>0</v>
      </c>
      <c r="H716" s="105">
        <f t="shared" si="508"/>
        <v>0</v>
      </c>
      <c r="I716" s="105">
        <f t="shared" si="508"/>
        <v>0</v>
      </c>
      <c r="J716" s="105">
        <f t="shared" si="508"/>
        <v>0</v>
      </c>
      <c r="K716" s="105">
        <f t="shared" si="508"/>
        <v>1</v>
      </c>
      <c r="L716" s="105">
        <f t="shared" si="508"/>
        <v>1</v>
      </c>
      <c r="M716" s="105">
        <f t="shared" si="508"/>
        <v>1</v>
      </c>
      <c r="N716" s="105">
        <f t="shared" si="508"/>
        <v>2</v>
      </c>
      <c r="O716" s="105">
        <f t="shared" si="508"/>
        <v>3</v>
      </c>
      <c r="P716" s="105">
        <f t="shared" si="508"/>
        <v>3</v>
      </c>
      <c r="Q716" s="105">
        <f t="shared" si="508"/>
        <v>4</v>
      </c>
    </row>
    <row r="717" ht="24" customHeight="1" spans="1:17">
      <c r="A717" s="99" t="s">
        <v>346</v>
      </c>
      <c r="B717" s="99" t="s">
        <v>299</v>
      </c>
      <c r="C717" s="99" t="s">
        <v>316</v>
      </c>
      <c r="D717" s="100" t="s">
        <v>292</v>
      </c>
      <c r="E717" s="100" t="s">
        <v>320</v>
      </c>
      <c r="F717" s="104">
        <f t="shared" ref="F717:Q717" si="509">IF((SUM(F718:F723)-MAX(F735,F742))&lt;0,"ERR",SUM(F718:F723))</f>
        <v>8</v>
      </c>
      <c r="G717" s="104">
        <f t="shared" si="509"/>
        <v>11</v>
      </c>
      <c r="H717" s="104">
        <f t="shared" si="509"/>
        <v>16</v>
      </c>
      <c r="I717" s="104">
        <f t="shared" si="509"/>
        <v>17</v>
      </c>
      <c r="J717" s="104">
        <f t="shared" si="509"/>
        <v>20</v>
      </c>
      <c r="K717" s="104">
        <f t="shared" si="509"/>
        <v>22</v>
      </c>
      <c r="L717" s="104">
        <f t="shared" si="509"/>
        <v>24</v>
      </c>
      <c r="M717" s="104">
        <f t="shared" si="509"/>
        <v>29</v>
      </c>
      <c r="N717" s="104">
        <f t="shared" si="509"/>
        <v>36</v>
      </c>
      <c r="O717" s="104">
        <f t="shared" si="509"/>
        <v>43</v>
      </c>
      <c r="P717" s="104">
        <f t="shared" si="509"/>
        <v>48</v>
      </c>
      <c r="Q717" s="104">
        <f t="shared" si="509"/>
        <v>53</v>
      </c>
    </row>
    <row r="718" ht="24" customHeight="1" spans="1:17">
      <c r="A718" s="99" t="s">
        <v>346</v>
      </c>
      <c r="B718" s="99" t="s">
        <v>299</v>
      </c>
      <c r="C718" s="99" t="s">
        <v>316</v>
      </c>
      <c r="D718" s="48" t="s">
        <v>31</v>
      </c>
      <c r="E718" s="48" t="s">
        <v>406</v>
      </c>
      <c r="F718" s="105">
        <f t="shared" ref="F718:F723" si="510">F628</f>
        <v>2</v>
      </c>
      <c r="G718" s="105">
        <f t="shared" ref="G718:Q718" si="511">G628+F718</f>
        <v>3</v>
      </c>
      <c r="H718" s="105">
        <f t="shared" si="511"/>
        <v>5</v>
      </c>
      <c r="I718" s="105">
        <f t="shared" si="511"/>
        <v>5</v>
      </c>
      <c r="J718" s="105">
        <f t="shared" si="511"/>
        <v>5</v>
      </c>
      <c r="K718" s="105">
        <f t="shared" si="511"/>
        <v>6</v>
      </c>
      <c r="L718" s="105">
        <f t="shared" si="511"/>
        <v>7</v>
      </c>
      <c r="M718" s="105">
        <f t="shared" si="511"/>
        <v>7</v>
      </c>
      <c r="N718" s="105">
        <f t="shared" si="511"/>
        <v>9</v>
      </c>
      <c r="O718" s="105">
        <f t="shared" si="511"/>
        <v>10</v>
      </c>
      <c r="P718" s="105">
        <f t="shared" si="511"/>
        <v>11</v>
      </c>
      <c r="Q718" s="105">
        <f t="shared" si="511"/>
        <v>12</v>
      </c>
    </row>
    <row r="719" ht="24" customHeight="1" spans="1:17">
      <c r="A719" s="99" t="s">
        <v>346</v>
      </c>
      <c r="B719" s="99" t="s">
        <v>299</v>
      </c>
      <c r="C719" s="99" t="s">
        <v>316</v>
      </c>
      <c r="D719" s="48" t="s">
        <v>31</v>
      </c>
      <c r="E719" s="48" t="s">
        <v>82</v>
      </c>
      <c r="F719" s="105">
        <f t="shared" si="510"/>
        <v>5</v>
      </c>
      <c r="G719" s="105">
        <f t="shared" ref="G719:Q719" si="512">G629+F719</f>
        <v>6</v>
      </c>
      <c r="H719" s="105">
        <f t="shared" si="512"/>
        <v>7</v>
      </c>
      <c r="I719" s="105">
        <f t="shared" si="512"/>
        <v>7</v>
      </c>
      <c r="J719" s="105">
        <f t="shared" si="512"/>
        <v>8</v>
      </c>
      <c r="K719" s="105">
        <f t="shared" si="512"/>
        <v>8</v>
      </c>
      <c r="L719" s="105">
        <f t="shared" si="512"/>
        <v>9</v>
      </c>
      <c r="M719" s="105">
        <f t="shared" si="512"/>
        <v>10</v>
      </c>
      <c r="N719" s="105">
        <f t="shared" si="512"/>
        <v>11</v>
      </c>
      <c r="O719" s="105">
        <f t="shared" si="512"/>
        <v>11</v>
      </c>
      <c r="P719" s="105">
        <f t="shared" si="512"/>
        <v>11</v>
      </c>
      <c r="Q719" s="105">
        <f t="shared" si="512"/>
        <v>12</v>
      </c>
    </row>
    <row r="720" ht="24" customHeight="1" spans="1:17">
      <c r="A720" s="99" t="s">
        <v>346</v>
      </c>
      <c r="B720" s="99" t="s">
        <v>299</v>
      </c>
      <c r="C720" s="99" t="s">
        <v>316</v>
      </c>
      <c r="D720" s="48" t="s">
        <v>31</v>
      </c>
      <c r="E720" s="48" t="s">
        <v>86</v>
      </c>
      <c r="F720" s="105">
        <f t="shared" si="510"/>
        <v>1</v>
      </c>
      <c r="G720" s="105">
        <f t="shared" ref="G720:Q720" si="513">G630+F720</f>
        <v>1</v>
      </c>
      <c r="H720" s="105">
        <f t="shared" si="513"/>
        <v>2</v>
      </c>
      <c r="I720" s="105">
        <f t="shared" si="513"/>
        <v>3</v>
      </c>
      <c r="J720" s="105">
        <f t="shared" si="513"/>
        <v>5</v>
      </c>
      <c r="K720" s="105">
        <f t="shared" si="513"/>
        <v>6</v>
      </c>
      <c r="L720" s="105">
        <f t="shared" si="513"/>
        <v>6</v>
      </c>
      <c r="M720" s="105">
        <f t="shared" si="513"/>
        <v>8</v>
      </c>
      <c r="N720" s="105">
        <f t="shared" si="513"/>
        <v>12</v>
      </c>
      <c r="O720" s="105">
        <f t="shared" si="513"/>
        <v>16</v>
      </c>
      <c r="P720" s="105">
        <f t="shared" si="513"/>
        <v>18</v>
      </c>
      <c r="Q720" s="105">
        <f t="shared" si="513"/>
        <v>20</v>
      </c>
    </row>
    <row r="721" ht="24" customHeight="1" spans="1:17">
      <c r="A721" s="99" t="s">
        <v>346</v>
      </c>
      <c r="B721" s="99" t="s">
        <v>299</v>
      </c>
      <c r="C721" s="99" t="s">
        <v>316</v>
      </c>
      <c r="D721" s="48" t="s">
        <v>31</v>
      </c>
      <c r="E721" s="48" t="s">
        <v>97</v>
      </c>
      <c r="F721" s="105">
        <f t="shared" si="510"/>
        <v>0</v>
      </c>
      <c r="G721" s="105">
        <f t="shared" ref="G721:Q721" si="514">G631+F721</f>
        <v>0</v>
      </c>
      <c r="H721" s="105">
        <f t="shared" si="514"/>
        <v>1</v>
      </c>
      <c r="I721" s="105">
        <f t="shared" si="514"/>
        <v>1</v>
      </c>
      <c r="J721" s="105">
        <f t="shared" si="514"/>
        <v>1</v>
      </c>
      <c r="K721" s="105">
        <f t="shared" si="514"/>
        <v>1</v>
      </c>
      <c r="L721" s="105">
        <f t="shared" si="514"/>
        <v>1</v>
      </c>
      <c r="M721" s="105">
        <f t="shared" si="514"/>
        <v>2</v>
      </c>
      <c r="N721" s="105">
        <f t="shared" si="514"/>
        <v>2</v>
      </c>
      <c r="O721" s="105">
        <f t="shared" si="514"/>
        <v>4</v>
      </c>
      <c r="P721" s="105">
        <f t="shared" si="514"/>
        <v>5</v>
      </c>
      <c r="Q721" s="105">
        <f t="shared" si="514"/>
        <v>5</v>
      </c>
    </row>
    <row r="722" ht="24" customHeight="1" spans="1:17">
      <c r="A722" s="99" t="s">
        <v>346</v>
      </c>
      <c r="B722" s="99" t="s">
        <v>299</v>
      </c>
      <c r="C722" s="99" t="s">
        <v>316</v>
      </c>
      <c r="D722" s="48" t="s">
        <v>31</v>
      </c>
      <c r="E722" s="48" t="s">
        <v>87</v>
      </c>
      <c r="F722" s="105">
        <f t="shared" si="510"/>
        <v>0</v>
      </c>
      <c r="G722" s="105">
        <f t="shared" ref="G722:Q722" si="515">G632+F722</f>
        <v>1</v>
      </c>
      <c r="H722" s="105">
        <f t="shared" si="515"/>
        <v>1</v>
      </c>
      <c r="I722" s="105">
        <f t="shared" si="515"/>
        <v>1</v>
      </c>
      <c r="J722" s="105">
        <f t="shared" si="515"/>
        <v>1</v>
      </c>
      <c r="K722" s="105">
        <f t="shared" si="515"/>
        <v>1</v>
      </c>
      <c r="L722" s="105">
        <f t="shared" si="515"/>
        <v>1</v>
      </c>
      <c r="M722" s="105">
        <f t="shared" si="515"/>
        <v>2</v>
      </c>
      <c r="N722" s="105">
        <f t="shared" si="515"/>
        <v>2</v>
      </c>
      <c r="O722" s="105">
        <f t="shared" si="515"/>
        <v>2</v>
      </c>
      <c r="P722" s="105">
        <f t="shared" si="515"/>
        <v>3</v>
      </c>
      <c r="Q722" s="105">
        <f t="shared" si="515"/>
        <v>4</v>
      </c>
    </row>
    <row r="723" ht="24" customHeight="1" spans="1:17">
      <c r="A723" s="99" t="s">
        <v>346</v>
      </c>
      <c r="B723" s="99" t="s">
        <v>299</v>
      </c>
      <c r="C723" s="99" t="s">
        <v>316</v>
      </c>
      <c r="D723" s="48" t="s">
        <v>31</v>
      </c>
      <c r="E723" s="48" t="s">
        <v>83</v>
      </c>
      <c r="F723" s="105">
        <f t="shared" si="510"/>
        <v>0</v>
      </c>
      <c r="G723" s="105">
        <f t="shared" ref="G723:Q723" si="516">G633+F723</f>
        <v>0</v>
      </c>
      <c r="H723" s="105">
        <f t="shared" si="516"/>
        <v>0</v>
      </c>
      <c r="I723" s="105">
        <f t="shared" si="516"/>
        <v>0</v>
      </c>
      <c r="J723" s="105">
        <f t="shared" si="516"/>
        <v>0</v>
      </c>
      <c r="K723" s="105">
        <f t="shared" si="516"/>
        <v>0</v>
      </c>
      <c r="L723" s="105">
        <f t="shared" si="516"/>
        <v>0</v>
      </c>
      <c r="M723" s="105">
        <f t="shared" si="516"/>
        <v>0</v>
      </c>
      <c r="N723" s="105">
        <f t="shared" si="516"/>
        <v>0</v>
      </c>
      <c r="O723" s="105">
        <f t="shared" si="516"/>
        <v>0</v>
      </c>
      <c r="P723" s="105">
        <f t="shared" si="516"/>
        <v>0</v>
      </c>
      <c r="Q723" s="105">
        <f t="shared" si="516"/>
        <v>0</v>
      </c>
    </row>
    <row r="724" ht="24" customHeight="1" spans="1:17">
      <c r="A724" s="99" t="s">
        <v>346</v>
      </c>
      <c r="B724" s="99" t="s">
        <v>299</v>
      </c>
      <c r="C724" s="99" t="s">
        <v>316</v>
      </c>
      <c r="D724" s="48" t="s">
        <v>321</v>
      </c>
      <c r="E724" s="48" t="s">
        <v>406</v>
      </c>
      <c r="F724" s="112">
        <f t="shared" ref="F724:Q724" si="517">IFERROR(F718/F717,"-")</f>
        <v>0.25</v>
      </c>
      <c r="G724" s="112">
        <f t="shared" si="517"/>
        <v>0.272727272727273</v>
      </c>
      <c r="H724" s="112">
        <f t="shared" si="517"/>
        <v>0.3125</v>
      </c>
      <c r="I724" s="112">
        <f t="shared" si="517"/>
        <v>0.294117647058824</v>
      </c>
      <c r="J724" s="112">
        <f t="shared" si="517"/>
        <v>0.25</v>
      </c>
      <c r="K724" s="112">
        <f t="shared" si="517"/>
        <v>0.272727272727273</v>
      </c>
      <c r="L724" s="112">
        <f t="shared" si="517"/>
        <v>0.291666666666667</v>
      </c>
      <c r="M724" s="112">
        <f t="shared" si="517"/>
        <v>0.241379310344828</v>
      </c>
      <c r="N724" s="112">
        <f t="shared" si="517"/>
        <v>0.25</v>
      </c>
      <c r="O724" s="112">
        <f t="shared" si="517"/>
        <v>0.232558139534884</v>
      </c>
      <c r="P724" s="112">
        <f t="shared" si="517"/>
        <v>0.229166666666667</v>
      </c>
      <c r="Q724" s="112">
        <f t="shared" si="517"/>
        <v>0.226415094339623</v>
      </c>
    </row>
    <row r="725" ht="24" customHeight="1" spans="1:17">
      <c r="A725" s="99" t="s">
        <v>346</v>
      </c>
      <c r="B725" s="99" t="s">
        <v>299</v>
      </c>
      <c r="C725" s="99" t="s">
        <v>316</v>
      </c>
      <c r="D725" s="48" t="s">
        <v>321</v>
      </c>
      <c r="E725" s="48" t="s">
        <v>82</v>
      </c>
      <c r="F725" s="112">
        <f t="shared" ref="F725:Q725" si="518">IFERROR(F719/F717,"-")</f>
        <v>0.625</v>
      </c>
      <c r="G725" s="112">
        <f t="shared" si="518"/>
        <v>0.545454545454545</v>
      </c>
      <c r="H725" s="112">
        <f t="shared" si="518"/>
        <v>0.4375</v>
      </c>
      <c r="I725" s="112">
        <f t="shared" si="518"/>
        <v>0.411764705882353</v>
      </c>
      <c r="J725" s="112">
        <f t="shared" si="518"/>
        <v>0.4</v>
      </c>
      <c r="K725" s="112">
        <f t="shared" si="518"/>
        <v>0.363636363636364</v>
      </c>
      <c r="L725" s="112">
        <f t="shared" si="518"/>
        <v>0.375</v>
      </c>
      <c r="M725" s="112">
        <f t="shared" si="518"/>
        <v>0.344827586206897</v>
      </c>
      <c r="N725" s="112">
        <f t="shared" si="518"/>
        <v>0.305555555555556</v>
      </c>
      <c r="O725" s="112">
        <f t="shared" si="518"/>
        <v>0.255813953488372</v>
      </c>
      <c r="P725" s="112">
        <f t="shared" si="518"/>
        <v>0.229166666666667</v>
      </c>
      <c r="Q725" s="112">
        <f t="shared" si="518"/>
        <v>0.226415094339623</v>
      </c>
    </row>
    <row r="726" ht="24" customHeight="1" spans="1:17">
      <c r="A726" s="99" t="s">
        <v>346</v>
      </c>
      <c r="B726" s="99" t="s">
        <v>299</v>
      </c>
      <c r="C726" s="99" t="s">
        <v>316</v>
      </c>
      <c r="D726" s="48" t="s">
        <v>321</v>
      </c>
      <c r="E726" s="48" t="s">
        <v>86</v>
      </c>
      <c r="F726" s="112">
        <f t="shared" ref="F726:Q726" si="519">IFERROR(F720/F717,"-")</f>
        <v>0.125</v>
      </c>
      <c r="G726" s="112">
        <f t="shared" si="519"/>
        <v>0.0909090909090909</v>
      </c>
      <c r="H726" s="112">
        <f t="shared" si="519"/>
        <v>0.125</v>
      </c>
      <c r="I726" s="112">
        <f t="shared" si="519"/>
        <v>0.176470588235294</v>
      </c>
      <c r="J726" s="112">
        <f t="shared" si="519"/>
        <v>0.25</v>
      </c>
      <c r="K726" s="112">
        <f t="shared" si="519"/>
        <v>0.272727272727273</v>
      </c>
      <c r="L726" s="112">
        <f t="shared" si="519"/>
        <v>0.25</v>
      </c>
      <c r="M726" s="112">
        <f t="shared" si="519"/>
        <v>0.275862068965517</v>
      </c>
      <c r="N726" s="112">
        <f t="shared" si="519"/>
        <v>0.333333333333333</v>
      </c>
      <c r="O726" s="112">
        <f t="shared" si="519"/>
        <v>0.372093023255814</v>
      </c>
      <c r="P726" s="112">
        <f t="shared" si="519"/>
        <v>0.375</v>
      </c>
      <c r="Q726" s="112">
        <f t="shared" si="519"/>
        <v>0.377358490566038</v>
      </c>
    </row>
    <row r="727" ht="24" customHeight="1" spans="1:17">
      <c r="A727" s="99" t="s">
        <v>346</v>
      </c>
      <c r="B727" s="99" t="s">
        <v>299</v>
      </c>
      <c r="C727" s="99" t="s">
        <v>316</v>
      </c>
      <c r="D727" s="48" t="s">
        <v>321</v>
      </c>
      <c r="E727" s="48" t="s">
        <v>97</v>
      </c>
      <c r="F727" s="112">
        <f t="shared" ref="F727:Q727" si="520">IFERROR(F721/F717,"-")</f>
        <v>0</v>
      </c>
      <c r="G727" s="112">
        <f t="shared" si="520"/>
        <v>0</v>
      </c>
      <c r="H727" s="112">
        <f t="shared" si="520"/>
        <v>0.0625</v>
      </c>
      <c r="I727" s="112">
        <f t="shared" si="520"/>
        <v>0.0588235294117647</v>
      </c>
      <c r="J727" s="112">
        <f t="shared" si="520"/>
        <v>0.05</v>
      </c>
      <c r="K727" s="112">
        <f t="shared" si="520"/>
        <v>0.0454545454545455</v>
      </c>
      <c r="L727" s="112">
        <f t="shared" si="520"/>
        <v>0.0416666666666667</v>
      </c>
      <c r="M727" s="112">
        <f t="shared" si="520"/>
        <v>0.0689655172413793</v>
      </c>
      <c r="N727" s="112">
        <f t="shared" si="520"/>
        <v>0.0555555555555556</v>
      </c>
      <c r="O727" s="112">
        <f t="shared" si="520"/>
        <v>0.0930232558139535</v>
      </c>
      <c r="P727" s="112">
        <f t="shared" si="520"/>
        <v>0.104166666666667</v>
      </c>
      <c r="Q727" s="112">
        <f t="shared" si="520"/>
        <v>0.0943396226415094</v>
      </c>
    </row>
    <row r="728" ht="24" customHeight="1" spans="1:17">
      <c r="A728" s="99" t="s">
        <v>346</v>
      </c>
      <c r="B728" s="99" t="s">
        <v>299</v>
      </c>
      <c r="C728" s="99" t="s">
        <v>316</v>
      </c>
      <c r="D728" s="48" t="s">
        <v>321</v>
      </c>
      <c r="E728" s="48" t="s">
        <v>87</v>
      </c>
      <c r="F728" s="112">
        <f t="shared" ref="F728:Q728" si="521">IFERROR(F722/F717,"-")</f>
        <v>0</v>
      </c>
      <c r="G728" s="112">
        <f t="shared" si="521"/>
        <v>0.0909090909090909</v>
      </c>
      <c r="H728" s="112">
        <f t="shared" si="521"/>
        <v>0.0625</v>
      </c>
      <c r="I728" s="112">
        <f t="shared" si="521"/>
        <v>0.0588235294117647</v>
      </c>
      <c r="J728" s="112">
        <f t="shared" si="521"/>
        <v>0.05</v>
      </c>
      <c r="K728" s="112">
        <f t="shared" si="521"/>
        <v>0.0454545454545455</v>
      </c>
      <c r="L728" s="112">
        <f t="shared" si="521"/>
        <v>0.0416666666666667</v>
      </c>
      <c r="M728" s="112">
        <f t="shared" si="521"/>
        <v>0.0689655172413793</v>
      </c>
      <c r="N728" s="112">
        <f t="shared" si="521"/>
        <v>0.0555555555555556</v>
      </c>
      <c r="O728" s="112">
        <f t="shared" si="521"/>
        <v>0.0465116279069767</v>
      </c>
      <c r="P728" s="112">
        <f t="shared" si="521"/>
        <v>0.0625</v>
      </c>
      <c r="Q728" s="112">
        <f t="shared" si="521"/>
        <v>0.0754716981132075</v>
      </c>
    </row>
    <row r="729" ht="24" customHeight="1" spans="1:17">
      <c r="A729" s="99" t="s">
        <v>346</v>
      </c>
      <c r="B729" s="99" t="s">
        <v>299</v>
      </c>
      <c r="C729" s="99" t="s">
        <v>316</v>
      </c>
      <c r="D729" s="48" t="s">
        <v>321</v>
      </c>
      <c r="E729" s="48" t="s">
        <v>83</v>
      </c>
      <c r="F729" s="112">
        <f t="shared" ref="F729:Q729" si="522">IFERROR(F723/F717,"-")</f>
        <v>0</v>
      </c>
      <c r="G729" s="112">
        <f t="shared" si="522"/>
        <v>0</v>
      </c>
      <c r="H729" s="112">
        <f t="shared" si="522"/>
        <v>0</v>
      </c>
      <c r="I729" s="112">
        <f t="shared" si="522"/>
        <v>0</v>
      </c>
      <c r="J729" s="112">
        <f t="shared" si="522"/>
        <v>0</v>
      </c>
      <c r="K729" s="112">
        <f t="shared" si="522"/>
        <v>0</v>
      </c>
      <c r="L729" s="112">
        <f t="shared" si="522"/>
        <v>0</v>
      </c>
      <c r="M729" s="112">
        <f t="shared" si="522"/>
        <v>0</v>
      </c>
      <c r="N729" s="112">
        <f t="shared" si="522"/>
        <v>0</v>
      </c>
      <c r="O729" s="112">
        <f t="shared" si="522"/>
        <v>0</v>
      </c>
      <c r="P729" s="112">
        <f t="shared" si="522"/>
        <v>0</v>
      </c>
      <c r="Q729" s="112">
        <f t="shared" si="522"/>
        <v>0</v>
      </c>
    </row>
    <row r="730" ht="24" customHeight="1" spans="1:17">
      <c r="A730" s="99" t="s">
        <v>346</v>
      </c>
      <c r="B730" s="99" t="s">
        <v>299</v>
      </c>
      <c r="C730" s="99" t="s">
        <v>316</v>
      </c>
      <c r="D730" s="47" t="s">
        <v>294</v>
      </c>
      <c r="E730" s="47" t="s">
        <v>93</v>
      </c>
      <c r="F730" s="106">
        <f t="shared" ref="F730:F734" si="523">F634</f>
        <v>5</v>
      </c>
      <c r="G730" s="106">
        <f t="shared" ref="G730:Q730" si="524">G634+F730</f>
        <v>7</v>
      </c>
      <c r="H730" s="106">
        <f t="shared" si="524"/>
        <v>9</v>
      </c>
      <c r="I730" s="106">
        <f t="shared" si="524"/>
        <v>9</v>
      </c>
      <c r="J730" s="106">
        <f t="shared" si="524"/>
        <v>11</v>
      </c>
      <c r="K730" s="106">
        <f t="shared" si="524"/>
        <v>12</v>
      </c>
      <c r="L730" s="106">
        <f t="shared" si="524"/>
        <v>13</v>
      </c>
      <c r="M730" s="106">
        <f t="shared" si="524"/>
        <v>17</v>
      </c>
      <c r="N730" s="106">
        <f t="shared" si="524"/>
        <v>20</v>
      </c>
      <c r="O730" s="106">
        <f t="shared" si="524"/>
        <v>21</v>
      </c>
      <c r="P730" s="106">
        <f t="shared" si="524"/>
        <v>24</v>
      </c>
      <c r="Q730" s="106">
        <f t="shared" si="524"/>
        <v>26</v>
      </c>
    </row>
    <row r="731" ht="24" customHeight="1" spans="1:17">
      <c r="A731" s="99" t="s">
        <v>346</v>
      </c>
      <c r="B731" s="99" t="s">
        <v>299</v>
      </c>
      <c r="C731" s="99" t="s">
        <v>316</v>
      </c>
      <c r="D731" s="47" t="s">
        <v>294</v>
      </c>
      <c r="E731" s="47" t="s">
        <v>85</v>
      </c>
      <c r="F731" s="106">
        <f t="shared" si="523"/>
        <v>3</v>
      </c>
      <c r="G731" s="106">
        <f t="shared" ref="G731:Q731" si="525">G635+F731</f>
        <v>4</v>
      </c>
      <c r="H731" s="106">
        <f t="shared" si="525"/>
        <v>7</v>
      </c>
      <c r="I731" s="106">
        <f t="shared" si="525"/>
        <v>7</v>
      </c>
      <c r="J731" s="106">
        <f t="shared" si="525"/>
        <v>8</v>
      </c>
      <c r="K731" s="106">
        <f t="shared" si="525"/>
        <v>9</v>
      </c>
      <c r="L731" s="106">
        <f t="shared" si="525"/>
        <v>9</v>
      </c>
      <c r="M731" s="106">
        <f t="shared" si="525"/>
        <v>10</v>
      </c>
      <c r="N731" s="106">
        <f t="shared" si="525"/>
        <v>11</v>
      </c>
      <c r="O731" s="106">
        <f t="shared" si="525"/>
        <v>13</v>
      </c>
      <c r="P731" s="106">
        <f t="shared" si="525"/>
        <v>15</v>
      </c>
      <c r="Q731" s="106">
        <f t="shared" si="525"/>
        <v>16</v>
      </c>
    </row>
    <row r="732" ht="24" customHeight="1" spans="1:17">
      <c r="A732" s="99" t="s">
        <v>346</v>
      </c>
      <c r="B732" s="99" t="s">
        <v>299</v>
      </c>
      <c r="C732" s="99" t="s">
        <v>316</v>
      </c>
      <c r="D732" s="47" t="s">
        <v>294</v>
      </c>
      <c r="E732" s="47" t="s">
        <v>81</v>
      </c>
      <c r="F732" s="106">
        <f t="shared" si="523"/>
        <v>0</v>
      </c>
      <c r="G732" s="106">
        <f t="shared" ref="G732:Q732" si="526">G636+F732</f>
        <v>0</v>
      </c>
      <c r="H732" s="106">
        <f t="shared" si="526"/>
        <v>0</v>
      </c>
      <c r="I732" s="106">
        <f t="shared" si="526"/>
        <v>1</v>
      </c>
      <c r="J732" s="106">
        <f t="shared" si="526"/>
        <v>1</v>
      </c>
      <c r="K732" s="106">
        <f t="shared" si="526"/>
        <v>1</v>
      </c>
      <c r="L732" s="106">
        <f t="shared" si="526"/>
        <v>2</v>
      </c>
      <c r="M732" s="106">
        <f t="shared" si="526"/>
        <v>2</v>
      </c>
      <c r="N732" s="106">
        <f t="shared" si="526"/>
        <v>4</v>
      </c>
      <c r="O732" s="106">
        <f t="shared" si="526"/>
        <v>8</v>
      </c>
      <c r="P732" s="106">
        <f t="shared" si="526"/>
        <v>8</v>
      </c>
      <c r="Q732" s="106">
        <f t="shared" si="526"/>
        <v>10</v>
      </c>
    </row>
    <row r="733" ht="24" customHeight="1" spans="1:17">
      <c r="A733" s="99" t="s">
        <v>346</v>
      </c>
      <c r="B733" s="99" t="s">
        <v>299</v>
      </c>
      <c r="C733" s="99" t="s">
        <v>316</v>
      </c>
      <c r="D733" s="47" t="s">
        <v>294</v>
      </c>
      <c r="E733" s="47" t="s">
        <v>96</v>
      </c>
      <c r="F733" s="106">
        <f t="shared" si="523"/>
        <v>0</v>
      </c>
      <c r="G733" s="106">
        <f t="shared" ref="G733:Q733" si="527">G637+F733</f>
        <v>0</v>
      </c>
      <c r="H733" s="106">
        <f t="shared" si="527"/>
        <v>0</v>
      </c>
      <c r="I733" s="106">
        <f t="shared" si="527"/>
        <v>0</v>
      </c>
      <c r="J733" s="106">
        <f t="shared" si="527"/>
        <v>0</v>
      </c>
      <c r="K733" s="106">
        <f t="shared" si="527"/>
        <v>0</v>
      </c>
      <c r="L733" s="106">
        <f t="shared" si="527"/>
        <v>0</v>
      </c>
      <c r="M733" s="106">
        <f t="shared" si="527"/>
        <v>0</v>
      </c>
      <c r="N733" s="106">
        <f t="shared" si="527"/>
        <v>1</v>
      </c>
      <c r="O733" s="106">
        <f t="shared" si="527"/>
        <v>1</v>
      </c>
      <c r="P733" s="106">
        <f t="shared" si="527"/>
        <v>1</v>
      </c>
      <c r="Q733" s="106">
        <f t="shared" si="527"/>
        <v>1</v>
      </c>
    </row>
    <row r="734" ht="24" customHeight="1" spans="1:17">
      <c r="A734" s="99" t="s">
        <v>346</v>
      </c>
      <c r="B734" s="99" t="s">
        <v>299</v>
      </c>
      <c r="C734" s="99" t="s">
        <v>316</v>
      </c>
      <c r="D734" s="47" t="s">
        <v>294</v>
      </c>
      <c r="E734" s="47" t="s">
        <v>160</v>
      </c>
      <c r="F734" s="106">
        <f t="shared" si="523"/>
        <v>0</v>
      </c>
      <c r="G734" s="106">
        <f t="shared" ref="G734:Q734" si="528">G638+F734</f>
        <v>0</v>
      </c>
      <c r="H734" s="106">
        <f t="shared" si="528"/>
        <v>0</v>
      </c>
      <c r="I734" s="106">
        <f t="shared" si="528"/>
        <v>0</v>
      </c>
      <c r="J734" s="106">
        <f t="shared" si="528"/>
        <v>0</v>
      </c>
      <c r="K734" s="106">
        <f t="shared" si="528"/>
        <v>0</v>
      </c>
      <c r="L734" s="106">
        <f t="shared" si="528"/>
        <v>0</v>
      </c>
      <c r="M734" s="106">
        <f t="shared" si="528"/>
        <v>0</v>
      </c>
      <c r="N734" s="106">
        <f t="shared" si="528"/>
        <v>0</v>
      </c>
      <c r="O734" s="106">
        <f t="shared" si="528"/>
        <v>0</v>
      </c>
      <c r="P734" s="106">
        <f t="shared" si="528"/>
        <v>0</v>
      </c>
      <c r="Q734" s="106">
        <f t="shared" si="528"/>
        <v>0</v>
      </c>
    </row>
    <row r="735" ht="24" customHeight="1" spans="1:17">
      <c r="A735" s="99" t="s">
        <v>346</v>
      </c>
      <c r="B735" s="99" t="s">
        <v>299</v>
      </c>
      <c r="C735" s="99" t="s">
        <v>316</v>
      </c>
      <c r="D735" s="100" t="s">
        <v>292</v>
      </c>
      <c r="E735" s="100" t="s">
        <v>322</v>
      </c>
      <c r="F735" s="104">
        <f t="shared" ref="F735:Q735" si="529">SUM(F736:F738)</f>
        <v>8</v>
      </c>
      <c r="G735" s="104">
        <f t="shared" si="529"/>
        <v>10</v>
      </c>
      <c r="H735" s="104">
        <f t="shared" si="529"/>
        <v>14</v>
      </c>
      <c r="I735" s="104">
        <f t="shared" si="529"/>
        <v>15</v>
      </c>
      <c r="J735" s="104">
        <f t="shared" si="529"/>
        <v>18</v>
      </c>
      <c r="K735" s="104">
        <f t="shared" si="529"/>
        <v>20</v>
      </c>
      <c r="L735" s="104">
        <f t="shared" si="529"/>
        <v>22</v>
      </c>
      <c r="M735" s="104">
        <f t="shared" si="529"/>
        <v>27</v>
      </c>
      <c r="N735" s="104">
        <f t="shared" si="529"/>
        <v>34</v>
      </c>
      <c r="O735" s="104">
        <f t="shared" si="529"/>
        <v>40</v>
      </c>
      <c r="P735" s="104">
        <f t="shared" si="529"/>
        <v>45</v>
      </c>
      <c r="Q735" s="104">
        <f t="shared" si="529"/>
        <v>50</v>
      </c>
    </row>
    <row r="736" ht="24" customHeight="1" spans="1:17">
      <c r="A736" s="99" t="s">
        <v>346</v>
      </c>
      <c r="B736" s="99" t="s">
        <v>299</v>
      </c>
      <c r="C736" s="99" t="s">
        <v>316</v>
      </c>
      <c r="D736" s="48" t="s">
        <v>296</v>
      </c>
      <c r="E736" s="48" t="s">
        <v>406</v>
      </c>
      <c r="F736" s="105">
        <f t="shared" ref="F736:F738" si="530">F658</f>
        <v>2</v>
      </c>
      <c r="G736" s="105">
        <f t="shared" ref="G736:Q736" si="531">G658+F736</f>
        <v>3</v>
      </c>
      <c r="H736" s="105">
        <f t="shared" si="531"/>
        <v>5</v>
      </c>
      <c r="I736" s="105">
        <f t="shared" si="531"/>
        <v>5</v>
      </c>
      <c r="J736" s="105">
        <f t="shared" si="531"/>
        <v>5</v>
      </c>
      <c r="K736" s="105">
        <f t="shared" si="531"/>
        <v>6</v>
      </c>
      <c r="L736" s="105">
        <f t="shared" si="531"/>
        <v>7</v>
      </c>
      <c r="M736" s="105">
        <f t="shared" si="531"/>
        <v>8</v>
      </c>
      <c r="N736" s="105">
        <f t="shared" si="531"/>
        <v>10</v>
      </c>
      <c r="O736" s="105">
        <f t="shared" si="531"/>
        <v>11</v>
      </c>
      <c r="P736" s="105">
        <f t="shared" si="531"/>
        <v>14</v>
      </c>
      <c r="Q736" s="105">
        <f t="shared" si="531"/>
        <v>16</v>
      </c>
    </row>
    <row r="737" ht="24" customHeight="1" spans="1:17">
      <c r="A737" s="99" t="s">
        <v>346</v>
      </c>
      <c r="B737" s="99" t="s">
        <v>299</v>
      </c>
      <c r="C737" s="99" t="s">
        <v>316</v>
      </c>
      <c r="D737" s="48" t="s">
        <v>296</v>
      </c>
      <c r="E737" s="48" t="s">
        <v>82</v>
      </c>
      <c r="F737" s="105">
        <f t="shared" si="530"/>
        <v>5</v>
      </c>
      <c r="G737" s="105">
        <f t="shared" ref="G737:Q737" si="532">G659+F737</f>
        <v>6</v>
      </c>
      <c r="H737" s="105">
        <f t="shared" si="532"/>
        <v>7</v>
      </c>
      <c r="I737" s="105">
        <f t="shared" si="532"/>
        <v>7</v>
      </c>
      <c r="J737" s="105">
        <f t="shared" si="532"/>
        <v>8</v>
      </c>
      <c r="K737" s="105">
        <f t="shared" si="532"/>
        <v>8</v>
      </c>
      <c r="L737" s="105">
        <f t="shared" si="532"/>
        <v>9</v>
      </c>
      <c r="M737" s="105">
        <f t="shared" si="532"/>
        <v>11</v>
      </c>
      <c r="N737" s="105">
        <f t="shared" si="532"/>
        <v>12</v>
      </c>
      <c r="O737" s="105">
        <f t="shared" si="532"/>
        <v>13</v>
      </c>
      <c r="P737" s="105">
        <f t="shared" si="532"/>
        <v>13</v>
      </c>
      <c r="Q737" s="105">
        <f t="shared" si="532"/>
        <v>14</v>
      </c>
    </row>
    <row r="738" ht="24" customHeight="1" spans="1:17">
      <c r="A738" s="99" t="s">
        <v>346</v>
      </c>
      <c r="B738" s="99" t="s">
        <v>299</v>
      </c>
      <c r="C738" s="99" t="s">
        <v>316</v>
      </c>
      <c r="D738" s="48" t="s">
        <v>296</v>
      </c>
      <c r="E738" s="48" t="s">
        <v>86</v>
      </c>
      <c r="F738" s="105">
        <f t="shared" si="530"/>
        <v>1</v>
      </c>
      <c r="G738" s="105">
        <f t="shared" ref="G738:Q738" si="533">G660+F738</f>
        <v>1</v>
      </c>
      <c r="H738" s="105">
        <f t="shared" si="533"/>
        <v>2</v>
      </c>
      <c r="I738" s="105">
        <f t="shared" si="533"/>
        <v>3</v>
      </c>
      <c r="J738" s="105">
        <f t="shared" si="533"/>
        <v>5</v>
      </c>
      <c r="K738" s="105">
        <f t="shared" si="533"/>
        <v>6</v>
      </c>
      <c r="L738" s="105">
        <f t="shared" si="533"/>
        <v>6</v>
      </c>
      <c r="M738" s="105">
        <f t="shared" si="533"/>
        <v>8</v>
      </c>
      <c r="N738" s="105">
        <f t="shared" si="533"/>
        <v>12</v>
      </c>
      <c r="O738" s="105">
        <f t="shared" si="533"/>
        <v>16</v>
      </c>
      <c r="P738" s="105">
        <f t="shared" si="533"/>
        <v>18</v>
      </c>
      <c r="Q738" s="105">
        <f t="shared" si="533"/>
        <v>20</v>
      </c>
    </row>
    <row r="739" ht="24" customHeight="1" spans="1:17">
      <c r="A739" s="99" t="s">
        <v>346</v>
      </c>
      <c r="B739" s="99" t="s">
        <v>299</v>
      </c>
      <c r="C739" s="99" t="s">
        <v>316</v>
      </c>
      <c r="D739" s="48" t="s">
        <v>323</v>
      </c>
      <c r="E739" s="48" t="s">
        <v>406</v>
      </c>
      <c r="F739" s="112">
        <f t="shared" ref="F739:Q739" si="534">F736/F735</f>
        <v>0.25</v>
      </c>
      <c r="G739" s="112">
        <f t="shared" si="534"/>
        <v>0.3</v>
      </c>
      <c r="H739" s="112">
        <f t="shared" si="534"/>
        <v>0.357142857142857</v>
      </c>
      <c r="I739" s="112">
        <f t="shared" si="534"/>
        <v>0.333333333333333</v>
      </c>
      <c r="J739" s="112">
        <f t="shared" si="534"/>
        <v>0.277777777777778</v>
      </c>
      <c r="K739" s="112">
        <f t="shared" si="534"/>
        <v>0.3</v>
      </c>
      <c r="L739" s="112">
        <f t="shared" si="534"/>
        <v>0.318181818181818</v>
      </c>
      <c r="M739" s="112">
        <f t="shared" si="534"/>
        <v>0.296296296296296</v>
      </c>
      <c r="N739" s="112">
        <f t="shared" si="534"/>
        <v>0.294117647058824</v>
      </c>
      <c r="O739" s="112">
        <f t="shared" si="534"/>
        <v>0.275</v>
      </c>
      <c r="P739" s="112">
        <f t="shared" si="534"/>
        <v>0.311111111111111</v>
      </c>
      <c r="Q739" s="112">
        <f t="shared" si="534"/>
        <v>0.32</v>
      </c>
    </row>
    <row r="740" ht="24" customHeight="1" spans="1:17">
      <c r="A740" s="99" t="s">
        <v>346</v>
      </c>
      <c r="B740" s="99" t="s">
        <v>299</v>
      </c>
      <c r="C740" s="99" t="s">
        <v>316</v>
      </c>
      <c r="D740" s="48" t="s">
        <v>323</v>
      </c>
      <c r="E740" s="48" t="s">
        <v>82</v>
      </c>
      <c r="F740" s="112">
        <f t="shared" ref="F740:Q740" si="535">F737/F735</f>
        <v>0.625</v>
      </c>
      <c r="G740" s="112">
        <f t="shared" si="535"/>
        <v>0.6</v>
      </c>
      <c r="H740" s="112">
        <f t="shared" si="535"/>
        <v>0.5</v>
      </c>
      <c r="I740" s="112">
        <f t="shared" si="535"/>
        <v>0.466666666666667</v>
      </c>
      <c r="J740" s="112">
        <f t="shared" si="535"/>
        <v>0.444444444444444</v>
      </c>
      <c r="K740" s="112">
        <f t="shared" si="535"/>
        <v>0.4</v>
      </c>
      <c r="L740" s="112">
        <f t="shared" si="535"/>
        <v>0.409090909090909</v>
      </c>
      <c r="M740" s="112">
        <f t="shared" si="535"/>
        <v>0.407407407407407</v>
      </c>
      <c r="N740" s="112">
        <f t="shared" si="535"/>
        <v>0.352941176470588</v>
      </c>
      <c r="O740" s="112">
        <f t="shared" si="535"/>
        <v>0.325</v>
      </c>
      <c r="P740" s="112">
        <f t="shared" si="535"/>
        <v>0.288888888888889</v>
      </c>
      <c r="Q740" s="112">
        <f t="shared" si="535"/>
        <v>0.28</v>
      </c>
    </row>
    <row r="741" ht="24" customHeight="1" spans="1:17">
      <c r="A741" s="99" t="s">
        <v>346</v>
      </c>
      <c r="B741" s="99" t="s">
        <v>299</v>
      </c>
      <c r="C741" s="99" t="s">
        <v>316</v>
      </c>
      <c r="D741" s="48" t="s">
        <v>323</v>
      </c>
      <c r="E741" s="48" t="s">
        <v>86</v>
      </c>
      <c r="F741" s="112">
        <f t="shared" ref="F741:Q741" si="536">F738/F735</f>
        <v>0.125</v>
      </c>
      <c r="G741" s="112">
        <f t="shared" si="536"/>
        <v>0.1</v>
      </c>
      <c r="H741" s="112">
        <f t="shared" si="536"/>
        <v>0.142857142857143</v>
      </c>
      <c r="I741" s="112">
        <f t="shared" si="536"/>
        <v>0.2</v>
      </c>
      <c r="J741" s="112">
        <f t="shared" si="536"/>
        <v>0.277777777777778</v>
      </c>
      <c r="K741" s="112">
        <f t="shared" si="536"/>
        <v>0.3</v>
      </c>
      <c r="L741" s="112">
        <f t="shared" si="536"/>
        <v>0.272727272727273</v>
      </c>
      <c r="M741" s="112">
        <f t="shared" si="536"/>
        <v>0.296296296296296</v>
      </c>
      <c r="N741" s="112">
        <f t="shared" si="536"/>
        <v>0.352941176470588</v>
      </c>
      <c r="O741" s="112">
        <f t="shared" si="536"/>
        <v>0.4</v>
      </c>
      <c r="P741" s="112">
        <f t="shared" si="536"/>
        <v>0.4</v>
      </c>
      <c r="Q741" s="112">
        <f t="shared" si="536"/>
        <v>0.4</v>
      </c>
    </row>
    <row r="742" ht="24" customHeight="1" spans="1:17">
      <c r="A742" s="99" t="s">
        <v>346</v>
      </c>
      <c r="B742" s="99" t="s">
        <v>299</v>
      </c>
      <c r="C742" s="99" t="s">
        <v>316</v>
      </c>
      <c r="D742" s="100" t="s">
        <v>292</v>
      </c>
      <c r="E742" s="100" t="s">
        <v>324</v>
      </c>
      <c r="F742" s="104">
        <f t="shared" ref="F742:Q742" si="537">SUM(F743:F745)</f>
        <v>2</v>
      </c>
      <c r="G742" s="104">
        <f t="shared" si="537"/>
        <v>3</v>
      </c>
      <c r="H742" s="104">
        <f t="shared" si="537"/>
        <v>6</v>
      </c>
      <c r="I742" s="104">
        <f t="shared" si="537"/>
        <v>6</v>
      </c>
      <c r="J742" s="104">
        <f t="shared" si="537"/>
        <v>8</v>
      </c>
      <c r="K742" s="104">
        <f t="shared" si="537"/>
        <v>9</v>
      </c>
      <c r="L742" s="104">
        <f t="shared" si="537"/>
        <v>10</v>
      </c>
      <c r="M742" s="104">
        <f t="shared" si="537"/>
        <v>14</v>
      </c>
      <c r="N742" s="104">
        <f t="shared" si="537"/>
        <v>18</v>
      </c>
      <c r="O742" s="104">
        <f t="shared" si="537"/>
        <v>23</v>
      </c>
      <c r="P742" s="104">
        <f t="shared" si="537"/>
        <v>27</v>
      </c>
      <c r="Q742" s="104">
        <f t="shared" si="537"/>
        <v>31</v>
      </c>
    </row>
    <row r="743" ht="24" customHeight="1" spans="1:17">
      <c r="A743" s="99" t="s">
        <v>346</v>
      </c>
      <c r="B743" s="99" t="s">
        <v>299</v>
      </c>
      <c r="C743" s="99" t="s">
        <v>316</v>
      </c>
      <c r="D743" s="48" t="s">
        <v>298</v>
      </c>
      <c r="E743" s="48" t="s">
        <v>97</v>
      </c>
      <c r="F743" s="105">
        <f t="shared" ref="F743:F745" si="538">F662</f>
        <v>2</v>
      </c>
      <c r="G743" s="105">
        <f t="shared" ref="G743:Q743" si="539">G662+F743</f>
        <v>2</v>
      </c>
      <c r="H743" s="105">
        <f t="shared" si="539"/>
        <v>5</v>
      </c>
      <c r="I743" s="105">
        <f t="shared" si="539"/>
        <v>5</v>
      </c>
      <c r="J743" s="105">
        <f t="shared" si="539"/>
        <v>6</v>
      </c>
      <c r="K743" s="105">
        <f t="shared" si="539"/>
        <v>6</v>
      </c>
      <c r="L743" s="105">
        <f t="shared" si="539"/>
        <v>7</v>
      </c>
      <c r="M743" s="105">
        <f t="shared" si="539"/>
        <v>9</v>
      </c>
      <c r="N743" s="105">
        <f t="shared" si="539"/>
        <v>11</v>
      </c>
      <c r="O743" s="105">
        <f t="shared" si="539"/>
        <v>14</v>
      </c>
      <c r="P743" s="105">
        <f t="shared" si="539"/>
        <v>17</v>
      </c>
      <c r="Q743" s="105">
        <f t="shared" si="539"/>
        <v>18</v>
      </c>
    </row>
    <row r="744" ht="24" customHeight="1" spans="1:17">
      <c r="A744" s="99" t="s">
        <v>346</v>
      </c>
      <c r="B744" s="99" t="s">
        <v>299</v>
      </c>
      <c r="C744" s="99" t="s">
        <v>316</v>
      </c>
      <c r="D744" s="48" t="s">
        <v>298</v>
      </c>
      <c r="E744" s="48" t="s">
        <v>87</v>
      </c>
      <c r="F744" s="105">
        <f t="shared" si="538"/>
        <v>0</v>
      </c>
      <c r="G744" s="105">
        <f t="shared" ref="G744:Q744" si="540">G663+F744</f>
        <v>1</v>
      </c>
      <c r="H744" s="105">
        <f t="shared" si="540"/>
        <v>1</v>
      </c>
      <c r="I744" s="105">
        <f t="shared" si="540"/>
        <v>1</v>
      </c>
      <c r="J744" s="105">
        <f t="shared" si="540"/>
        <v>2</v>
      </c>
      <c r="K744" s="105">
        <f t="shared" si="540"/>
        <v>2</v>
      </c>
      <c r="L744" s="105">
        <f t="shared" si="540"/>
        <v>2</v>
      </c>
      <c r="M744" s="105">
        <f t="shared" si="540"/>
        <v>4</v>
      </c>
      <c r="N744" s="105">
        <f t="shared" si="540"/>
        <v>6</v>
      </c>
      <c r="O744" s="105">
        <f t="shared" si="540"/>
        <v>6</v>
      </c>
      <c r="P744" s="105">
        <f t="shared" si="540"/>
        <v>7</v>
      </c>
      <c r="Q744" s="105">
        <f t="shared" si="540"/>
        <v>9</v>
      </c>
    </row>
    <row r="745" ht="24" customHeight="1" spans="1:17">
      <c r="A745" s="99" t="s">
        <v>346</v>
      </c>
      <c r="B745" s="99" t="s">
        <v>299</v>
      </c>
      <c r="C745" s="99" t="s">
        <v>316</v>
      </c>
      <c r="D745" s="48" t="s">
        <v>298</v>
      </c>
      <c r="E745" s="48" t="s">
        <v>83</v>
      </c>
      <c r="F745" s="105">
        <f t="shared" si="538"/>
        <v>0</v>
      </c>
      <c r="G745" s="105">
        <f t="shared" ref="G745:Q745" si="541">G664+F745</f>
        <v>0</v>
      </c>
      <c r="H745" s="105">
        <f t="shared" si="541"/>
        <v>0</v>
      </c>
      <c r="I745" s="105">
        <f t="shared" si="541"/>
        <v>0</v>
      </c>
      <c r="J745" s="105">
        <f t="shared" si="541"/>
        <v>0</v>
      </c>
      <c r="K745" s="105">
        <f t="shared" si="541"/>
        <v>1</v>
      </c>
      <c r="L745" s="105">
        <f t="shared" si="541"/>
        <v>1</v>
      </c>
      <c r="M745" s="105">
        <f t="shared" si="541"/>
        <v>1</v>
      </c>
      <c r="N745" s="105">
        <f t="shared" si="541"/>
        <v>1</v>
      </c>
      <c r="O745" s="105">
        <f t="shared" si="541"/>
        <v>3</v>
      </c>
      <c r="P745" s="105">
        <f t="shared" si="541"/>
        <v>3</v>
      </c>
      <c r="Q745" s="105">
        <f t="shared" si="541"/>
        <v>4</v>
      </c>
    </row>
    <row r="746" ht="24" customHeight="1" spans="1:17">
      <c r="A746" s="99" t="s">
        <v>346</v>
      </c>
      <c r="B746" s="99" t="s">
        <v>299</v>
      </c>
      <c r="C746" s="99" t="s">
        <v>316</v>
      </c>
      <c r="D746" s="48" t="s">
        <v>325</v>
      </c>
      <c r="E746" s="48" t="s">
        <v>97</v>
      </c>
      <c r="F746" s="112">
        <f t="shared" ref="F746:Q746" si="542">F743/F742</f>
        <v>1</v>
      </c>
      <c r="G746" s="112">
        <f t="shared" si="542"/>
        <v>0.666666666666667</v>
      </c>
      <c r="H746" s="112">
        <f t="shared" si="542"/>
        <v>0.833333333333333</v>
      </c>
      <c r="I746" s="112">
        <f t="shared" si="542"/>
        <v>0.833333333333333</v>
      </c>
      <c r="J746" s="112">
        <f t="shared" si="542"/>
        <v>0.75</v>
      </c>
      <c r="K746" s="112">
        <f t="shared" si="542"/>
        <v>0.666666666666667</v>
      </c>
      <c r="L746" s="112">
        <f t="shared" si="542"/>
        <v>0.7</v>
      </c>
      <c r="M746" s="112">
        <f t="shared" si="542"/>
        <v>0.642857142857143</v>
      </c>
      <c r="N746" s="112">
        <f t="shared" si="542"/>
        <v>0.611111111111111</v>
      </c>
      <c r="O746" s="112">
        <f t="shared" si="542"/>
        <v>0.608695652173913</v>
      </c>
      <c r="P746" s="112">
        <f t="shared" si="542"/>
        <v>0.62962962962963</v>
      </c>
      <c r="Q746" s="112">
        <f t="shared" si="542"/>
        <v>0.580645161290323</v>
      </c>
    </row>
    <row r="747" ht="24" customHeight="1" spans="1:17">
      <c r="A747" s="99" t="s">
        <v>346</v>
      </c>
      <c r="B747" s="99" t="s">
        <v>299</v>
      </c>
      <c r="C747" s="99" t="s">
        <v>316</v>
      </c>
      <c r="D747" s="48" t="s">
        <v>325</v>
      </c>
      <c r="E747" s="48" t="s">
        <v>87</v>
      </c>
      <c r="F747" s="112">
        <f t="shared" ref="F747:Q747" si="543">F744/F742</f>
        <v>0</v>
      </c>
      <c r="G747" s="112">
        <f t="shared" si="543"/>
        <v>0.333333333333333</v>
      </c>
      <c r="H747" s="112">
        <f t="shared" si="543"/>
        <v>0.166666666666667</v>
      </c>
      <c r="I747" s="112">
        <f t="shared" si="543"/>
        <v>0.166666666666667</v>
      </c>
      <c r="J747" s="112">
        <f t="shared" si="543"/>
        <v>0.25</v>
      </c>
      <c r="K747" s="112">
        <f t="shared" si="543"/>
        <v>0.222222222222222</v>
      </c>
      <c r="L747" s="112">
        <f t="shared" si="543"/>
        <v>0.2</v>
      </c>
      <c r="M747" s="112">
        <f t="shared" si="543"/>
        <v>0.285714285714286</v>
      </c>
      <c r="N747" s="112">
        <f t="shared" si="543"/>
        <v>0.333333333333333</v>
      </c>
      <c r="O747" s="112">
        <f t="shared" si="543"/>
        <v>0.260869565217391</v>
      </c>
      <c r="P747" s="112">
        <f t="shared" si="543"/>
        <v>0.259259259259259</v>
      </c>
      <c r="Q747" s="112">
        <f t="shared" si="543"/>
        <v>0.290322580645161</v>
      </c>
    </row>
    <row r="748" ht="24" customHeight="1" spans="1:17">
      <c r="A748" s="99" t="s">
        <v>346</v>
      </c>
      <c r="B748" s="99" t="s">
        <v>299</v>
      </c>
      <c r="C748" s="99" t="s">
        <v>316</v>
      </c>
      <c r="D748" s="48" t="s">
        <v>325</v>
      </c>
      <c r="E748" s="48" t="s">
        <v>83</v>
      </c>
      <c r="F748" s="112">
        <f t="shared" ref="F748:Q748" si="544">F745/F742</f>
        <v>0</v>
      </c>
      <c r="G748" s="112">
        <f t="shared" si="544"/>
        <v>0</v>
      </c>
      <c r="H748" s="112">
        <f t="shared" si="544"/>
        <v>0</v>
      </c>
      <c r="I748" s="112">
        <f t="shared" si="544"/>
        <v>0</v>
      </c>
      <c r="J748" s="112">
        <f t="shared" si="544"/>
        <v>0</v>
      </c>
      <c r="K748" s="112">
        <f t="shared" si="544"/>
        <v>0.111111111111111</v>
      </c>
      <c r="L748" s="112">
        <f t="shared" si="544"/>
        <v>0.1</v>
      </c>
      <c r="M748" s="112">
        <f t="shared" si="544"/>
        <v>0.0714285714285714</v>
      </c>
      <c r="N748" s="112">
        <f t="shared" si="544"/>
        <v>0.0555555555555556</v>
      </c>
      <c r="O748" s="112">
        <f t="shared" si="544"/>
        <v>0.130434782608696</v>
      </c>
      <c r="P748" s="112">
        <f t="shared" si="544"/>
        <v>0.111111111111111</v>
      </c>
      <c r="Q748" s="112">
        <f t="shared" si="544"/>
        <v>0.129032258064516</v>
      </c>
    </row>
    <row r="749" ht="24" customHeight="1" spans="1:17">
      <c r="A749" s="99" t="s">
        <v>346</v>
      </c>
      <c r="B749" s="99" t="s">
        <v>299</v>
      </c>
      <c r="C749" s="99" t="s">
        <v>316</v>
      </c>
      <c r="D749" s="100" t="s">
        <v>292</v>
      </c>
      <c r="E749" s="53" t="s">
        <v>326</v>
      </c>
      <c r="F749" s="111">
        <f>IF((F639-F752-F753-F754-F755-F756)&lt;&gt;0,"ERR",F639)</f>
        <v>5</v>
      </c>
      <c r="G749" s="111">
        <f t="shared" ref="G749:Q749" si="545">IF((G639+F749-G752-G753-G754-G755-G756)&lt;&gt;0,"ERR",G639+F749)</f>
        <v>8</v>
      </c>
      <c r="H749" s="111">
        <f t="shared" si="545"/>
        <v>13</v>
      </c>
      <c r="I749" s="111">
        <f t="shared" si="545"/>
        <v>14</v>
      </c>
      <c r="J749" s="111">
        <f t="shared" si="545"/>
        <v>14</v>
      </c>
      <c r="K749" s="111">
        <f t="shared" si="545"/>
        <v>16</v>
      </c>
      <c r="L749" s="111">
        <f t="shared" si="545"/>
        <v>17</v>
      </c>
      <c r="M749" s="111">
        <f t="shared" si="545"/>
        <v>19</v>
      </c>
      <c r="N749" s="111">
        <f t="shared" si="545"/>
        <v>24</v>
      </c>
      <c r="O749" s="111">
        <f t="shared" si="545"/>
        <v>29</v>
      </c>
      <c r="P749" s="111">
        <f t="shared" si="545"/>
        <v>33</v>
      </c>
      <c r="Q749" s="111">
        <f t="shared" si="545"/>
        <v>38</v>
      </c>
    </row>
    <row r="750" ht="24" customHeight="1" spans="1:17">
      <c r="A750" s="99" t="s">
        <v>346</v>
      </c>
      <c r="B750" s="99" t="s">
        <v>299</v>
      </c>
      <c r="C750" s="99" t="s">
        <v>316</v>
      </c>
      <c r="D750" s="100" t="s">
        <v>292</v>
      </c>
      <c r="E750" s="53" t="s">
        <v>327</v>
      </c>
      <c r="F750" s="111">
        <f>IF((F640-F757-F758-F759-F760-F761)&lt;&gt;0,"ERR",F640)</f>
        <v>3</v>
      </c>
      <c r="G750" s="111">
        <f t="shared" ref="G750:Q750" si="546">IF((G640+F750-G757-G758-G759-G760-G761)&lt;&gt;0,"ERR",G640+F750)</f>
        <v>3</v>
      </c>
      <c r="H750" s="111">
        <f t="shared" si="546"/>
        <v>3</v>
      </c>
      <c r="I750" s="111">
        <f t="shared" si="546"/>
        <v>3</v>
      </c>
      <c r="J750" s="111">
        <f t="shared" si="546"/>
        <v>6</v>
      </c>
      <c r="K750" s="111">
        <f t="shared" si="546"/>
        <v>6</v>
      </c>
      <c r="L750" s="111">
        <f t="shared" si="546"/>
        <v>7</v>
      </c>
      <c r="M750" s="111">
        <f t="shared" si="546"/>
        <v>10</v>
      </c>
      <c r="N750" s="111">
        <f t="shared" si="546"/>
        <v>11</v>
      </c>
      <c r="O750" s="111">
        <f t="shared" si="546"/>
        <v>13</v>
      </c>
      <c r="P750" s="111">
        <f t="shared" si="546"/>
        <v>14</v>
      </c>
      <c r="Q750" s="111">
        <f t="shared" si="546"/>
        <v>14</v>
      </c>
    </row>
    <row r="751" ht="24" customHeight="1" spans="1:17">
      <c r="A751" s="99" t="s">
        <v>346</v>
      </c>
      <c r="B751" s="99" t="s">
        <v>299</v>
      </c>
      <c r="C751" s="99" t="s">
        <v>316</v>
      </c>
      <c r="D751" s="100" t="s">
        <v>292</v>
      </c>
      <c r="E751" s="53" t="s">
        <v>328</v>
      </c>
      <c r="F751" s="111">
        <f>IF((F641-F762-F763-F764-F765-F766)&lt;&gt;0,"ERR",F641)</f>
        <v>0</v>
      </c>
      <c r="G751" s="111">
        <f t="shared" ref="G751:Q751" si="547">IF((G641+F751-G762-G763-G764-G765-G766)&lt;&gt;0,"ERR",G641+F751)</f>
        <v>0</v>
      </c>
      <c r="H751" s="111">
        <f t="shared" si="547"/>
        <v>0</v>
      </c>
      <c r="I751" s="111">
        <f t="shared" si="547"/>
        <v>0</v>
      </c>
      <c r="J751" s="111">
        <f t="shared" si="547"/>
        <v>0</v>
      </c>
      <c r="K751" s="111">
        <f t="shared" si="547"/>
        <v>0</v>
      </c>
      <c r="L751" s="111">
        <f t="shared" si="547"/>
        <v>0</v>
      </c>
      <c r="M751" s="111">
        <f t="shared" si="547"/>
        <v>0</v>
      </c>
      <c r="N751" s="111">
        <f t="shared" si="547"/>
        <v>1</v>
      </c>
      <c r="O751" s="111">
        <f t="shared" si="547"/>
        <v>1</v>
      </c>
      <c r="P751" s="111">
        <f t="shared" si="547"/>
        <v>1</v>
      </c>
      <c r="Q751" s="111">
        <f t="shared" si="547"/>
        <v>1</v>
      </c>
    </row>
    <row r="752" ht="24" customHeight="1" spans="1:17">
      <c r="A752" s="99" t="s">
        <v>346</v>
      </c>
      <c r="B752" s="99" t="s">
        <v>299</v>
      </c>
      <c r="C752" s="99" t="s">
        <v>316</v>
      </c>
      <c r="D752" s="53" t="s">
        <v>326</v>
      </c>
      <c r="E752" s="53" t="s">
        <v>93</v>
      </c>
      <c r="F752" s="111">
        <f t="shared" ref="F752:F766" si="548">F642</f>
        <v>3</v>
      </c>
      <c r="G752" s="111">
        <f t="shared" ref="G752:Q752" si="549">G642+F752</f>
        <v>5</v>
      </c>
      <c r="H752" s="111">
        <f t="shared" si="549"/>
        <v>7</v>
      </c>
      <c r="I752" s="111">
        <f t="shared" si="549"/>
        <v>7</v>
      </c>
      <c r="J752" s="111">
        <f t="shared" si="549"/>
        <v>7</v>
      </c>
      <c r="K752" s="111">
        <f t="shared" si="549"/>
        <v>8</v>
      </c>
      <c r="L752" s="111">
        <f t="shared" si="549"/>
        <v>8</v>
      </c>
      <c r="M752" s="111">
        <f t="shared" si="549"/>
        <v>9</v>
      </c>
      <c r="N752" s="111">
        <f t="shared" si="549"/>
        <v>11</v>
      </c>
      <c r="O752" s="111">
        <f t="shared" si="549"/>
        <v>12</v>
      </c>
      <c r="P752" s="111">
        <f t="shared" si="549"/>
        <v>14</v>
      </c>
      <c r="Q752" s="111">
        <f t="shared" si="549"/>
        <v>16</v>
      </c>
    </row>
    <row r="753" ht="24" customHeight="1" spans="1:17">
      <c r="A753" s="99" t="s">
        <v>346</v>
      </c>
      <c r="B753" s="99" t="s">
        <v>299</v>
      </c>
      <c r="C753" s="99" t="s">
        <v>316</v>
      </c>
      <c r="D753" s="53" t="s">
        <v>326</v>
      </c>
      <c r="E753" s="53" t="s">
        <v>85</v>
      </c>
      <c r="F753" s="111">
        <f t="shared" si="548"/>
        <v>2</v>
      </c>
      <c r="G753" s="111">
        <f t="shared" ref="G753:Q753" si="550">G643+F753</f>
        <v>3</v>
      </c>
      <c r="H753" s="111">
        <f t="shared" si="550"/>
        <v>6</v>
      </c>
      <c r="I753" s="111">
        <f t="shared" si="550"/>
        <v>6</v>
      </c>
      <c r="J753" s="111">
        <f t="shared" si="550"/>
        <v>6</v>
      </c>
      <c r="K753" s="111">
        <f t="shared" si="550"/>
        <v>7</v>
      </c>
      <c r="L753" s="111">
        <f t="shared" si="550"/>
        <v>7</v>
      </c>
      <c r="M753" s="111">
        <f t="shared" si="550"/>
        <v>8</v>
      </c>
      <c r="N753" s="111">
        <f t="shared" si="550"/>
        <v>9</v>
      </c>
      <c r="O753" s="111">
        <f t="shared" si="550"/>
        <v>10</v>
      </c>
      <c r="P753" s="111">
        <f t="shared" si="550"/>
        <v>12</v>
      </c>
      <c r="Q753" s="111">
        <f t="shared" si="550"/>
        <v>13</v>
      </c>
    </row>
    <row r="754" ht="24" customHeight="1" spans="1:17">
      <c r="A754" s="99" t="s">
        <v>346</v>
      </c>
      <c r="B754" s="99" t="s">
        <v>299</v>
      </c>
      <c r="C754" s="99" t="s">
        <v>316</v>
      </c>
      <c r="D754" s="53" t="s">
        <v>326</v>
      </c>
      <c r="E754" s="53" t="s">
        <v>81</v>
      </c>
      <c r="F754" s="111">
        <f t="shared" si="548"/>
        <v>0</v>
      </c>
      <c r="G754" s="111">
        <f t="shared" ref="G754:Q754" si="551">G644+F754</f>
        <v>0</v>
      </c>
      <c r="H754" s="111">
        <f t="shared" si="551"/>
        <v>0</v>
      </c>
      <c r="I754" s="111">
        <f t="shared" si="551"/>
        <v>1</v>
      </c>
      <c r="J754" s="111">
        <f t="shared" si="551"/>
        <v>1</v>
      </c>
      <c r="K754" s="111">
        <f t="shared" si="551"/>
        <v>1</v>
      </c>
      <c r="L754" s="111">
        <f t="shared" si="551"/>
        <v>2</v>
      </c>
      <c r="M754" s="111">
        <f t="shared" si="551"/>
        <v>2</v>
      </c>
      <c r="N754" s="111">
        <f t="shared" si="551"/>
        <v>4</v>
      </c>
      <c r="O754" s="111">
        <f t="shared" si="551"/>
        <v>7</v>
      </c>
      <c r="P754" s="111">
        <f t="shared" si="551"/>
        <v>7</v>
      </c>
      <c r="Q754" s="111">
        <f t="shared" si="551"/>
        <v>9</v>
      </c>
    </row>
    <row r="755" ht="24" customHeight="1" spans="1:17">
      <c r="A755" s="99" t="s">
        <v>346</v>
      </c>
      <c r="B755" s="99" t="s">
        <v>299</v>
      </c>
      <c r="C755" s="99" t="s">
        <v>316</v>
      </c>
      <c r="D755" s="53" t="s">
        <v>326</v>
      </c>
      <c r="E755" s="53" t="s">
        <v>96</v>
      </c>
      <c r="F755" s="111">
        <f t="shared" si="548"/>
        <v>0</v>
      </c>
      <c r="G755" s="111">
        <f t="shared" ref="G755:Q755" si="552">G645+F755</f>
        <v>0</v>
      </c>
      <c r="H755" s="111">
        <f t="shared" si="552"/>
        <v>0</v>
      </c>
      <c r="I755" s="111">
        <f t="shared" si="552"/>
        <v>0</v>
      </c>
      <c r="J755" s="111">
        <f t="shared" si="552"/>
        <v>0</v>
      </c>
      <c r="K755" s="111">
        <f t="shared" si="552"/>
        <v>0</v>
      </c>
      <c r="L755" s="111">
        <f t="shared" si="552"/>
        <v>0</v>
      </c>
      <c r="M755" s="111">
        <f t="shared" si="552"/>
        <v>0</v>
      </c>
      <c r="N755" s="111">
        <f t="shared" si="552"/>
        <v>0</v>
      </c>
      <c r="O755" s="111">
        <f t="shared" si="552"/>
        <v>0</v>
      </c>
      <c r="P755" s="111">
        <f t="shared" si="552"/>
        <v>0</v>
      </c>
      <c r="Q755" s="111">
        <f t="shared" si="552"/>
        <v>0</v>
      </c>
    </row>
    <row r="756" ht="24" customHeight="1" spans="1:17">
      <c r="A756" s="99" t="s">
        <v>346</v>
      </c>
      <c r="B756" s="99" t="s">
        <v>299</v>
      </c>
      <c r="C756" s="99" t="s">
        <v>316</v>
      </c>
      <c r="D756" s="53" t="s">
        <v>326</v>
      </c>
      <c r="E756" s="53" t="s">
        <v>160</v>
      </c>
      <c r="F756" s="111">
        <f t="shared" si="548"/>
        <v>0</v>
      </c>
      <c r="G756" s="111">
        <f t="shared" ref="G756:Q756" si="553">G646+F756</f>
        <v>0</v>
      </c>
      <c r="H756" s="111">
        <f t="shared" si="553"/>
        <v>0</v>
      </c>
      <c r="I756" s="111">
        <f t="shared" si="553"/>
        <v>0</v>
      </c>
      <c r="J756" s="111">
        <f t="shared" si="553"/>
        <v>0</v>
      </c>
      <c r="K756" s="111">
        <f t="shared" si="553"/>
        <v>0</v>
      </c>
      <c r="L756" s="111">
        <f t="shared" si="553"/>
        <v>0</v>
      </c>
      <c r="M756" s="111">
        <f t="shared" si="553"/>
        <v>0</v>
      </c>
      <c r="N756" s="111">
        <f t="shared" si="553"/>
        <v>0</v>
      </c>
      <c r="O756" s="111">
        <f t="shared" si="553"/>
        <v>0</v>
      </c>
      <c r="P756" s="111">
        <f t="shared" si="553"/>
        <v>0</v>
      </c>
      <c r="Q756" s="111">
        <f t="shared" si="553"/>
        <v>0</v>
      </c>
    </row>
    <row r="757" ht="24" customHeight="1" spans="1:17">
      <c r="A757" s="99" t="s">
        <v>346</v>
      </c>
      <c r="B757" s="99" t="s">
        <v>299</v>
      </c>
      <c r="C757" s="99" t="s">
        <v>316</v>
      </c>
      <c r="D757" s="53" t="s">
        <v>327</v>
      </c>
      <c r="E757" s="53" t="s">
        <v>93</v>
      </c>
      <c r="F757" s="111">
        <f t="shared" si="548"/>
        <v>2</v>
      </c>
      <c r="G757" s="111">
        <f t="shared" ref="G757:Q757" si="554">G647+F757</f>
        <v>2</v>
      </c>
      <c r="H757" s="111">
        <f t="shared" si="554"/>
        <v>2</v>
      </c>
      <c r="I757" s="111">
        <f t="shared" si="554"/>
        <v>2</v>
      </c>
      <c r="J757" s="111">
        <f t="shared" si="554"/>
        <v>4</v>
      </c>
      <c r="K757" s="111">
        <f t="shared" si="554"/>
        <v>4</v>
      </c>
      <c r="L757" s="111">
        <f t="shared" si="554"/>
        <v>5</v>
      </c>
      <c r="M757" s="111">
        <f t="shared" si="554"/>
        <v>8</v>
      </c>
      <c r="N757" s="111">
        <f t="shared" si="554"/>
        <v>9</v>
      </c>
      <c r="O757" s="111">
        <f t="shared" si="554"/>
        <v>9</v>
      </c>
      <c r="P757" s="111">
        <f t="shared" si="554"/>
        <v>10</v>
      </c>
      <c r="Q757" s="111">
        <f t="shared" si="554"/>
        <v>10</v>
      </c>
    </row>
    <row r="758" ht="24" customHeight="1" spans="1:17">
      <c r="A758" s="99" t="s">
        <v>346</v>
      </c>
      <c r="B758" s="99" t="s">
        <v>299</v>
      </c>
      <c r="C758" s="99" t="s">
        <v>316</v>
      </c>
      <c r="D758" s="53" t="s">
        <v>327</v>
      </c>
      <c r="E758" s="53" t="s">
        <v>85</v>
      </c>
      <c r="F758" s="111">
        <f t="shared" si="548"/>
        <v>1</v>
      </c>
      <c r="G758" s="111">
        <f t="shared" ref="G758:Q758" si="555">G648+F758</f>
        <v>1</v>
      </c>
      <c r="H758" s="111">
        <f t="shared" si="555"/>
        <v>1</v>
      </c>
      <c r="I758" s="111">
        <f t="shared" si="555"/>
        <v>1</v>
      </c>
      <c r="J758" s="111">
        <f t="shared" si="555"/>
        <v>2</v>
      </c>
      <c r="K758" s="111">
        <f t="shared" si="555"/>
        <v>2</v>
      </c>
      <c r="L758" s="111">
        <f t="shared" si="555"/>
        <v>2</v>
      </c>
      <c r="M758" s="111">
        <f t="shared" si="555"/>
        <v>2</v>
      </c>
      <c r="N758" s="111">
        <f t="shared" si="555"/>
        <v>2</v>
      </c>
      <c r="O758" s="111">
        <f t="shared" si="555"/>
        <v>3</v>
      </c>
      <c r="P758" s="111">
        <f t="shared" si="555"/>
        <v>3</v>
      </c>
      <c r="Q758" s="111">
        <f t="shared" si="555"/>
        <v>3</v>
      </c>
    </row>
    <row r="759" ht="24" customHeight="1" spans="1:17">
      <c r="A759" s="99" t="s">
        <v>346</v>
      </c>
      <c r="B759" s="99" t="s">
        <v>299</v>
      </c>
      <c r="C759" s="99" t="s">
        <v>316</v>
      </c>
      <c r="D759" s="53" t="s">
        <v>327</v>
      </c>
      <c r="E759" s="53" t="s">
        <v>81</v>
      </c>
      <c r="F759" s="111">
        <f t="shared" si="548"/>
        <v>0</v>
      </c>
      <c r="G759" s="111">
        <f t="shared" ref="G759:Q759" si="556">G649+F759</f>
        <v>0</v>
      </c>
      <c r="H759" s="111">
        <f t="shared" si="556"/>
        <v>0</v>
      </c>
      <c r="I759" s="111">
        <f t="shared" si="556"/>
        <v>0</v>
      </c>
      <c r="J759" s="111">
        <f t="shared" si="556"/>
        <v>0</v>
      </c>
      <c r="K759" s="111">
        <f t="shared" si="556"/>
        <v>0</v>
      </c>
      <c r="L759" s="111">
        <f t="shared" si="556"/>
        <v>0</v>
      </c>
      <c r="M759" s="111">
        <f t="shared" si="556"/>
        <v>0</v>
      </c>
      <c r="N759" s="111">
        <f t="shared" si="556"/>
        <v>0</v>
      </c>
      <c r="O759" s="111">
        <f t="shared" si="556"/>
        <v>1</v>
      </c>
      <c r="P759" s="111">
        <f t="shared" si="556"/>
        <v>1</v>
      </c>
      <c r="Q759" s="111">
        <f t="shared" si="556"/>
        <v>1</v>
      </c>
    </row>
    <row r="760" ht="24" customHeight="1" spans="1:17">
      <c r="A760" s="99" t="s">
        <v>346</v>
      </c>
      <c r="B760" s="99" t="s">
        <v>299</v>
      </c>
      <c r="C760" s="99" t="s">
        <v>316</v>
      </c>
      <c r="D760" s="53" t="s">
        <v>327</v>
      </c>
      <c r="E760" s="53" t="s">
        <v>96</v>
      </c>
      <c r="F760" s="111">
        <f t="shared" si="548"/>
        <v>0</v>
      </c>
      <c r="G760" s="111">
        <f t="shared" ref="G760:Q760" si="557">G650+F760</f>
        <v>0</v>
      </c>
      <c r="H760" s="111">
        <f t="shared" si="557"/>
        <v>0</v>
      </c>
      <c r="I760" s="111">
        <f t="shared" si="557"/>
        <v>0</v>
      </c>
      <c r="J760" s="111">
        <f t="shared" si="557"/>
        <v>0</v>
      </c>
      <c r="K760" s="111">
        <f t="shared" si="557"/>
        <v>0</v>
      </c>
      <c r="L760" s="111">
        <f t="shared" si="557"/>
        <v>0</v>
      </c>
      <c r="M760" s="111">
        <f t="shared" si="557"/>
        <v>0</v>
      </c>
      <c r="N760" s="111">
        <f t="shared" si="557"/>
        <v>0</v>
      </c>
      <c r="O760" s="111">
        <f t="shared" si="557"/>
        <v>0</v>
      </c>
      <c r="P760" s="111">
        <f t="shared" si="557"/>
        <v>0</v>
      </c>
      <c r="Q760" s="111">
        <f t="shared" si="557"/>
        <v>0</v>
      </c>
    </row>
    <row r="761" ht="24" customHeight="1" spans="1:17">
      <c r="A761" s="99" t="s">
        <v>346</v>
      </c>
      <c r="B761" s="99" t="s">
        <v>299</v>
      </c>
      <c r="C761" s="99" t="s">
        <v>316</v>
      </c>
      <c r="D761" s="53" t="s">
        <v>327</v>
      </c>
      <c r="E761" s="53" t="s">
        <v>160</v>
      </c>
      <c r="F761" s="111">
        <f t="shared" si="548"/>
        <v>0</v>
      </c>
      <c r="G761" s="111">
        <f t="shared" ref="G761:Q761" si="558">G651+F761</f>
        <v>0</v>
      </c>
      <c r="H761" s="111">
        <f t="shared" si="558"/>
        <v>0</v>
      </c>
      <c r="I761" s="111">
        <f t="shared" si="558"/>
        <v>0</v>
      </c>
      <c r="J761" s="111">
        <f t="shared" si="558"/>
        <v>0</v>
      </c>
      <c r="K761" s="111">
        <f t="shared" si="558"/>
        <v>0</v>
      </c>
      <c r="L761" s="111">
        <f t="shared" si="558"/>
        <v>0</v>
      </c>
      <c r="M761" s="111">
        <f t="shared" si="558"/>
        <v>0</v>
      </c>
      <c r="N761" s="111">
        <f t="shared" si="558"/>
        <v>0</v>
      </c>
      <c r="O761" s="111">
        <f t="shared" si="558"/>
        <v>0</v>
      </c>
      <c r="P761" s="111">
        <f t="shared" si="558"/>
        <v>0</v>
      </c>
      <c r="Q761" s="111">
        <f t="shared" si="558"/>
        <v>0</v>
      </c>
    </row>
    <row r="762" ht="24" customHeight="1" spans="1:17">
      <c r="A762" s="99" t="s">
        <v>346</v>
      </c>
      <c r="B762" s="99" t="s">
        <v>299</v>
      </c>
      <c r="C762" s="99" t="s">
        <v>316</v>
      </c>
      <c r="D762" s="53" t="s">
        <v>328</v>
      </c>
      <c r="E762" s="53" t="s">
        <v>93</v>
      </c>
      <c r="F762" s="111">
        <f t="shared" si="548"/>
        <v>0</v>
      </c>
      <c r="G762" s="111">
        <f t="shared" ref="G762:Q762" si="559">G652+F762</f>
        <v>0</v>
      </c>
      <c r="H762" s="111">
        <f t="shared" si="559"/>
        <v>0</v>
      </c>
      <c r="I762" s="111">
        <f t="shared" si="559"/>
        <v>0</v>
      </c>
      <c r="J762" s="111">
        <f t="shared" si="559"/>
        <v>0</v>
      </c>
      <c r="K762" s="111">
        <f t="shared" si="559"/>
        <v>0</v>
      </c>
      <c r="L762" s="111">
        <f t="shared" si="559"/>
        <v>0</v>
      </c>
      <c r="M762" s="111">
        <f t="shared" si="559"/>
        <v>0</v>
      </c>
      <c r="N762" s="111">
        <f t="shared" si="559"/>
        <v>0</v>
      </c>
      <c r="O762" s="111">
        <f t="shared" si="559"/>
        <v>0</v>
      </c>
      <c r="P762" s="111">
        <f t="shared" si="559"/>
        <v>0</v>
      </c>
      <c r="Q762" s="111">
        <f t="shared" si="559"/>
        <v>0</v>
      </c>
    </row>
    <row r="763" ht="24" customHeight="1" spans="1:17">
      <c r="A763" s="99" t="s">
        <v>346</v>
      </c>
      <c r="B763" s="99" t="s">
        <v>299</v>
      </c>
      <c r="C763" s="99" t="s">
        <v>316</v>
      </c>
      <c r="D763" s="53" t="s">
        <v>328</v>
      </c>
      <c r="E763" s="53" t="s">
        <v>85</v>
      </c>
      <c r="F763" s="111">
        <f t="shared" si="548"/>
        <v>0</v>
      </c>
      <c r="G763" s="111">
        <f t="shared" ref="G763:Q763" si="560">G653+F763</f>
        <v>0</v>
      </c>
      <c r="H763" s="111">
        <f t="shared" si="560"/>
        <v>0</v>
      </c>
      <c r="I763" s="111">
        <f t="shared" si="560"/>
        <v>0</v>
      </c>
      <c r="J763" s="111">
        <f t="shared" si="560"/>
        <v>0</v>
      </c>
      <c r="K763" s="111">
        <f t="shared" si="560"/>
        <v>0</v>
      </c>
      <c r="L763" s="111">
        <f t="shared" si="560"/>
        <v>0</v>
      </c>
      <c r="M763" s="111">
        <f t="shared" si="560"/>
        <v>0</v>
      </c>
      <c r="N763" s="111">
        <f t="shared" si="560"/>
        <v>0</v>
      </c>
      <c r="O763" s="111">
        <f t="shared" si="560"/>
        <v>0</v>
      </c>
      <c r="P763" s="111">
        <f t="shared" si="560"/>
        <v>0</v>
      </c>
      <c r="Q763" s="111">
        <f t="shared" si="560"/>
        <v>0</v>
      </c>
    </row>
    <row r="764" ht="24" customHeight="1" spans="1:17">
      <c r="A764" s="99" t="s">
        <v>346</v>
      </c>
      <c r="B764" s="99" t="s">
        <v>299</v>
      </c>
      <c r="C764" s="99" t="s">
        <v>316</v>
      </c>
      <c r="D764" s="53" t="s">
        <v>328</v>
      </c>
      <c r="E764" s="53" t="s">
        <v>81</v>
      </c>
      <c r="F764" s="111">
        <f t="shared" si="548"/>
        <v>0</v>
      </c>
      <c r="G764" s="111">
        <f t="shared" ref="G764:Q764" si="561">G654+F764</f>
        <v>0</v>
      </c>
      <c r="H764" s="111">
        <f t="shared" si="561"/>
        <v>0</v>
      </c>
      <c r="I764" s="111">
        <f t="shared" si="561"/>
        <v>0</v>
      </c>
      <c r="J764" s="111">
        <f t="shared" si="561"/>
        <v>0</v>
      </c>
      <c r="K764" s="111">
        <f t="shared" si="561"/>
        <v>0</v>
      </c>
      <c r="L764" s="111">
        <f t="shared" si="561"/>
        <v>0</v>
      </c>
      <c r="M764" s="111">
        <f t="shared" si="561"/>
        <v>0</v>
      </c>
      <c r="N764" s="111">
        <f t="shared" si="561"/>
        <v>0</v>
      </c>
      <c r="O764" s="111">
        <f t="shared" si="561"/>
        <v>0</v>
      </c>
      <c r="P764" s="111">
        <f t="shared" si="561"/>
        <v>0</v>
      </c>
      <c r="Q764" s="111">
        <f t="shared" si="561"/>
        <v>0</v>
      </c>
    </row>
    <row r="765" ht="24" customHeight="1" spans="1:17">
      <c r="A765" s="99" t="s">
        <v>346</v>
      </c>
      <c r="B765" s="99" t="s">
        <v>299</v>
      </c>
      <c r="C765" s="99" t="s">
        <v>316</v>
      </c>
      <c r="D765" s="53" t="s">
        <v>328</v>
      </c>
      <c r="E765" s="53" t="s">
        <v>96</v>
      </c>
      <c r="F765" s="111">
        <f t="shared" si="548"/>
        <v>0</v>
      </c>
      <c r="G765" s="111">
        <f t="shared" ref="G765:Q765" si="562">G655+F765</f>
        <v>0</v>
      </c>
      <c r="H765" s="111">
        <f t="shared" si="562"/>
        <v>0</v>
      </c>
      <c r="I765" s="111">
        <f t="shared" si="562"/>
        <v>0</v>
      </c>
      <c r="J765" s="111">
        <f t="shared" si="562"/>
        <v>0</v>
      </c>
      <c r="K765" s="111">
        <f t="shared" si="562"/>
        <v>0</v>
      </c>
      <c r="L765" s="111">
        <f t="shared" si="562"/>
        <v>0</v>
      </c>
      <c r="M765" s="111">
        <f t="shared" si="562"/>
        <v>0</v>
      </c>
      <c r="N765" s="111">
        <f t="shared" si="562"/>
        <v>1</v>
      </c>
      <c r="O765" s="111">
        <f t="shared" si="562"/>
        <v>1</v>
      </c>
      <c r="P765" s="111">
        <f t="shared" si="562"/>
        <v>1</v>
      </c>
      <c r="Q765" s="111">
        <f t="shared" si="562"/>
        <v>1</v>
      </c>
    </row>
    <row r="766" ht="24" customHeight="1" spans="1:17">
      <c r="A766" s="99" t="s">
        <v>346</v>
      </c>
      <c r="B766" s="99" t="s">
        <v>299</v>
      </c>
      <c r="C766" s="99" t="s">
        <v>316</v>
      </c>
      <c r="D766" s="53" t="s">
        <v>328</v>
      </c>
      <c r="E766" s="53" t="s">
        <v>160</v>
      </c>
      <c r="F766" s="111">
        <f t="shared" si="548"/>
        <v>0</v>
      </c>
      <c r="G766" s="111">
        <f t="shared" ref="G766:Q766" si="563">G656+F766</f>
        <v>0</v>
      </c>
      <c r="H766" s="111">
        <f t="shared" si="563"/>
        <v>0</v>
      </c>
      <c r="I766" s="111">
        <f t="shared" si="563"/>
        <v>0</v>
      </c>
      <c r="J766" s="111">
        <f t="shared" si="563"/>
        <v>0</v>
      </c>
      <c r="K766" s="111">
        <f t="shared" si="563"/>
        <v>0</v>
      </c>
      <c r="L766" s="111">
        <f t="shared" si="563"/>
        <v>0</v>
      </c>
      <c r="M766" s="111">
        <f t="shared" si="563"/>
        <v>0</v>
      </c>
      <c r="N766" s="111">
        <f t="shared" si="563"/>
        <v>0</v>
      </c>
      <c r="O766" s="111">
        <f t="shared" si="563"/>
        <v>0</v>
      </c>
      <c r="P766" s="111">
        <f t="shared" si="563"/>
        <v>0</v>
      </c>
      <c r="Q766" s="111">
        <f t="shared" si="563"/>
        <v>0</v>
      </c>
    </row>
    <row r="767" ht="24" customHeight="1" spans="1:17">
      <c r="A767" s="99" t="s">
        <v>346</v>
      </c>
      <c r="B767" s="99" t="s">
        <v>299</v>
      </c>
      <c r="C767" s="99" t="s">
        <v>329</v>
      </c>
      <c r="D767" s="113" t="s">
        <v>292</v>
      </c>
      <c r="E767" s="113" t="s">
        <v>330</v>
      </c>
      <c r="F767" s="115">
        <f t="shared" ref="F767:Q767" si="564">IF(F697=0,"",F717/F697)</f>
        <v>0.615384615384615</v>
      </c>
      <c r="G767" s="115">
        <f t="shared" si="564"/>
        <v>0.733333333333333</v>
      </c>
      <c r="H767" s="115">
        <f t="shared" si="564"/>
        <v>1</v>
      </c>
      <c r="I767" s="115">
        <f t="shared" si="564"/>
        <v>0.894736842105263</v>
      </c>
      <c r="J767" s="115">
        <f t="shared" si="564"/>
        <v>1</v>
      </c>
      <c r="K767" s="115">
        <f t="shared" si="564"/>
        <v>0.956521739130435</v>
      </c>
      <c r="L767" s="115">
        <f t="shared" si="564"/>
        <v>0.857142857142857</v>
      </c>
      <c r="M767" s="115">
        <f t="shared" si="564"/>
        <v>0.90625</v>
      </c>
      <c r="N767" s="115">
        <f t="shared" si="564"/>
        <v>0.923076923076923</v>
      </c>
      <c r="O767" s="115">
        <f t="shared" si="564"/>
        <v>0.934782608695652</v>
      </c>
      <c r="P767" s="115">
        <f t="shared" si="564"/>
        <v>0.96</v>
      </c>
      <c r="Q767" s="115">
        <f t="shared" si="564"/>
        <v>1</v>
      </c>
    </row>
    <row r="768" ht="24" customHeight="1" spans="1:17">
      <c r="A768" s="99" t="s">
        <v>346</v>
      </c>
      <c r="B768" s="99" t="s">
        <v>299</v>
      </c>
      <c r="C768" s="99" t="s">
        <v>329</v>
      </c>
      <c r="D768" s="48" t="s">
        <v>296</v>
      </c>
      <c r="E768" s="116" t="s">
        <v>406</v>
      </c>
      <c r="F768" s="117">
        <f t="shared" ref="F768:Q768" si="565">IF(F698=0,"",F718/F698)</f>
        <v>0.5</v>
      </c>
      <c r="G768" s="117">
        <f t="shared" si="565"/>
        <v>0.6</v>
      </c>
      <c r="H768" s="117">
        <f t="shared" si="565"/>
        <v>1</v>
      </c>
      <c r="I768" s="117">
        <f t="shared" si="565"/>
        <v>1</v>
      </c>
      <c r="J768" s="117">
        <f t="shared" si="565"/>
        <v>1</v>
      </c>
      <c r="K768" s="117">
        <f t="shared" si="565"/>
        <v>1</v>
      </c>
      <c r="L768" s="117">
        <f t="shared" si="565"/>
        <v>1</v>
      </c>
      <c r="M768" s="117">
        <f t="shared" si="565"/>
        <v>0.875</v>
      </c>
      <c r="N768" s="117">
        <f t="shared" si="565"/>
        <v>1</v>
      </c>
      <c r="O768" s="117">
        <f t="shared" si="565"/>
        <v>1</v>
      </c>
      <c r="P768" s="117">
        <f t="shared" si="565"/>
        <v>0.916666666666667</v>
      </c>
      <c r="Q768" s="117">
        <f t="shared" si="565"/>
        <v>1</v>
      </c>
    </row>
    <row r="769" ht="24" customHeight="1" spans="1:17">
      <c r="A769" s="99" t="s">
        <v>346</v>
      </c>
      <c r="B769" s="99" t="s">
        <v>299</v>
      </c>
      <c r="C769" s="99" t="s">
        <v>329</v>
      </c>
      <c r="D769" s="48" t="s">
        <v>296</v>
      </c>
      <c r="E769" s="116" t="s">
        <v>82</v>
      </c>
      <c r="F769" s="117">
        <f t="shared" ref="F769:Q769" si="566">IF(F699=0,"",F719/F699)</f>
        <v>0.833333333333333</v>
      </c>
      <c r="G769" s="117">
        <f t="shared" si="566"/>
        <v>0.857142857142857</v>
      </c>
      <c r="H769" s="117">
        <f t="shared" si="566"/>
        <v>1</v>
      </c>
      <c r="I769" s="117">
        <f t="shared" si="566"/>
        <v>0.875</v>
      </c>
      <c r="J769" s="117">
        <f t="shared" si="566"/>
        <v>1</v>
      </c>
      <c r="K769" s="117">
        <f t="shared" si="566"/>
        <v>1</v>
      </c>
      <c r="L769" s="117">
        <f t="shared" si="566"/>
        <v>0.9</v>
      </c>
      <c r="M769" s="117">
        <f t="shared" si="566"/>
        <v>1</v>
      </c>
      <c r="N769" s="117">
        <f t="shared" si="566"/>
        <v>1</v>
      </c>
      <c r="O769" s="117">
        <f t="shared" si="566"/>
        <v>1</v>
      </c>
      <c r="P769" s="117">
        <f t="shared" si="566"/>
        <v>1</v>
      </c>
      <c r="Q769" s="117">
        <f t="shared" si="566"/>
        <v>1</v>
      </c>
    </row>
    <row r="770" ht="24" customHeight="1" spans="1:17">
      <c r="A770" s="99" t="s">
        <v>346</v>
      </c>
      <c r="B770" s="99" t="s">
        <v>299</v>
      </c>
      <c r="C770" s="99" t="s">
        <v>329</v>
      </c>
      <c r="D770" s="48" t="s">
        <v>296</v>
      </c>
      <c r="E770" s="116" t="s">
        <v>86</v>
      </c>
      <c r="F770" s="117">
        <f t="shared" ref="F770:Q770" si="567">IF(F700=0,"",F720/F700)</f>
        <v>0.5</v>
      </c>
      <c r="G770" s="117">
        <f t="shared" si="567"/>
        <v>0.5</v>
      </c>
      <c r="H770" s="117">
        <f t="shared" si="567"/>
        <v>1</v>
      </c>
      <c r="I770" s="117">
        <f t="shared" si="567"/>
        <v>0.75</v>
      </c>
      <c r="J770" s="117">
        <f t="shared" si="567"/>
        <v>1</v>
      </c>
      <c r="K770" s="117">
        <f t="shared" si="567"/>
        <v>1</v>
      </c>
      <c r="L770" s="117">
        <f t="shared" si="567"/>
        <v>0.857142857142857</v>
      </c>
      <c r="M770" s="117">
        <f t="shared" si="567"/>
        <v>0.8</v>
      </c>
      <c r="N770" s="117">
        <f t="shared" si="567"/>
        <v>0.8</v>
      </c>
      <c r="O770" s="117">
        <f t="shared" si="567"/>
        <v>0.888888888888889</v>
      </c>
      <c r="P770" s="117">
        <f t="shared" si="567"/>
        <v>0.947368421052632</v>
      </c>
      <c r="Q770" s="117">
        <f t="shared" si="567"/>
        <v>1</v>
      </c>
    </row>
    <row r="771" ht="24" customHeight="1" spans="1:17">
      <c r="A771" s="99" t="s">
        <v>346</v>
      </c>
      <c r="B771" s="99" t="s">
        <v>299</v>
      </c>
      <c r="C771" s="99" t="s">
        <v>329</v>
      </c>
      <c r="D771" s="48" t="s">
        <v>298</v>
      </c>
      <c r="E771" s="116" t="s">
        <v>97</v>
      </c>
      <c r="F771" s="117" t="str">
        <f t="shared" ref="F771:Q771" si="568">IF(F701=0,"",F721/F701)</f>
        <v/>
      </c>
      <c r="G771" s="117" t="str">
        <f t="shared" si="568"/>
        <v/>
      </c>
      <c r="H771" s="117">
        <f t="shared" si="568"/>
        <v>1</v>
      </c>
      <c r="I771" s="117">
        <f t="shared" si="568"/>
        <v>1</v>
      </c>
      <c r="J771" s="117">
        <f t="shared" si="568"/>
        <v>1</v>
      </c>
      <c r="K771" s="117">
        <f t="shared" si="568"/>
        <v>0.5</v>
      </c>
      <c r="L771" s="117">
        <f t="shared" si="568"/>
        <v>0.5</v>
      </c>
      <c r="M771" s="117">
        <f t="shared" si="568"/>
        <v>1</v>
      </c>
      <c r="N771" s="117">
        <f t="shared" si="568"/>
        <v>1</v>
      </c>
      <c r="O771" s="117">
        <f t="shared" si="568"/>
        <v>0.8</v>
      </c>
      <c r="P771" s="117">
        <f t="shared" si="568"/>
        <v>1</v>
      </c>
      <c r="Q771" s="117">
        <f t="shared" si="568"/>
        <v>1</v>
      </c>
    </row>
    <row r="772" ht="24" customHeight="1" spans="1:17">
      <c r="A772" s="99" t="s">
        <v>346</v>
      </c>
      <c r="B772" s="99" t="s">
        <v>299</v>
      </c>
      <c r="C772" s="99" t="s">
        <v>329</v>
      </c>
      <c r="D772" s="48" t="s">
        <v>298</v>
      </c>
      <c r="E772" s="116" t="s">
        <v>87</v>
      </c>
      <c r="F772" s="117">
        <f t="shared" ref="F772:Q772" si="569">IF(F702=0,"",F722/F702)</f>
        <v>0</v>
      </c>
      <c r="G772" s="117">
        <f t="shared" si="569"/>
        <v>1</v>
      </c>
      <c r="H772" s="117">
        <f t="shared" si="569"/>
        <v>1</v>
      </c>
      <c r="I772" s="117">
        <f t="shared" si="569"/>
        <v>1</v>
      </c>
      <c r="J772" s="117">
        <f t="shared" si="569"/>
        <v>1</v>
      </c>
      <c r="K772" s="117">
        <f t="shared" si="569"/>
        <v>1</v>
      </c>
      <c r="L772" s="117">
        <f t="shared" si="569"/>
        <v>0.5</v>
      </c>
      <c r="M772" s="117">
        <f t="shared" si="569"/>
        <v>1</v>
      </c>
      <c r="N772" s="117">
        <f t="shared" si="569"/>
        <v>1</v>
      </c>
      <c r="O772" s="117">
        <f t="shared" si="569"/>
        <v>1</v>
      </c>
      <c r="P772" s="117">
        <f t="shared" si="569"/>
        <v>1</v>
      </c>
      <c r="Q772" s="117">
        <f t="shared" si="569"/>
        <v>1</v>
      </c>
    </row>
    <row r="773" ht="24" customHeight="1" spans="1:17">
      <c r="A773" s="99" t="s">
        <v>346</v>
      </c>
      <c r="B773" s="99" t="s">
        <v>299</v>
      </c>
      <c r="C773" s="99" t="s">
        <v>329</v>
      </c>
      <c r="D773" s="48" t="s">
        <v>298</v>
      </c>
      <c r="E773" s="116" t="s">
        <v>83</v>
      </c>
      <c r="F773" s="117" t="str">
        <f t="shared" ref="F773:Q773" si="570">IF(F703=0,"",F723/F703)</f>
        <v/>
      </c>
      <c r="G773" s="117" t="str">
        <f t="shared" si="570"/>
        <v/>
      </c>
      <c r="H773" s="117" t="str">
        <f t="shared" si="570"/>
        <v/>
      </c>
      <c r="I773" s="117" t="str">
        <f t="shared" si="570"/>
        <v/>
      </c>
      <c r="J773" s="117" t="str">
        <f t="shared" si="570"/>
        <v/>
      </c>
      <c r="K773" s="117" t="str">
        <f t="shared" si="570"/>
        <v/>
      </c>
      <c r="L773" s="117" t="str">
        <f t="shared" si="570"/>
        <v/>
      </c>
      <c r="M773" s="117" t="str">
        <f t="shared" si="570"/>
        <v/>
      </c>
      <c r="N773" s="117" t="str">
        <f t="shared" si="570"/>
        <v/>
      </c>
      <c r="O773" s="117" t="str">
        <f t="shared" si="570"/>
        <v/>
      </c>
      <c r="P773" s="117" t="str">
        <f t="shared" si="570"/>
        <v/>
      </c>
      <c r="Q773" s="117" t="str">
        <f t="shared" si="570"/>
        <v/>
      </c>
    </row>
    <row r="774" ht="24" customHeight="1" spans="1:17">
      <c r="A774" s="99" t="s">
        <v>346</v>
      </c>
      <c r="B774" s="99" t="s">
        <v>299</v>
      </c>
      <c r="C774" s="99" t="s">
        <v>329</v>
      </c>
      <c r="D774" s="47" t="s">
        <v>294</v>
      </c>
      <c r="E774" s="118" t="s">
        <v>93</v>
      </c>
      <c r="F774" s="119">
        <f t="shared" ref="F774:Q774" si="571">IF(F704=0,"",F730/F704)</f>
        <v>0.714285714285714</v>
      </c>
      <c r="G774" s="119">
        <f t="shared" si="571"/>
        <v>0.777777777777778</v>
      </c>
      <c r="H774" s="119">
        <f t="shared" si="571"/>
        <v>1</v>
      </c>
      <c r="I774" s="119">
        <f t="shared" si="571"/>
        <v>0.9</v>
      </c>
      <c r="J774" s="119">
        <f t="shared" si="571"/>
        <v>1</v>
      </c>
      <c r="K774" s="119">
        <f t="shared" si="571"/>
        <v>0.923076923076923</v>
      </c>
      <c r="L774" s="119">
        <f t="shared" si="571"/>
        <v>0.8125</v>
      </c>
      <c r="M774" s="119">
        <f t="shared" si="571"/>
        <v>0.85</v>
      </c>
      <c r="N774" s="119">
        <f t="shared" si="571"/>
        <v>1</v>
      </c>
      <c r="O774" s="119">
        <f t="shared" si="571"/>
        <v>0.91304347826087</v>
      </c>
      <c r="P774" s="119">
        <f t="shared" si="571"/>
        <v>0.923076923076923</v>
      </c>
      <c r="Q774" s="119">
        <f t="shared" si="571"/>
        <v>1</v>
      </c>
    </row>
    <row r="775" ht="24" customHeight="1" spans="1:17">
      <c r="A775" s="99" t="s">
        <v>346</v>
      </c>
      <c r="B775" s="99" t="s">
        <v>299</v>
      </c>
      <c r="C775" s="99" t="s">
        <v>329</v>
      </c>
      <c r="D775" s="47" t="s">
        <v>294</v>
      </c>
      <c r="E775" s="118" t="s">
        <v>85</v>
      </c>
      <c r="F775" s="119">
        <f t="shared" ref="F775:Q775" si="572">IF(F705=0,"",F731/F705)</f>
        <v>0.5</v>
      </c>
      <c r="G775" s="119">
        <f t="shared" si="572"/>
        <v>0.666666666666667</v>
      </c>
      <c r="H775" s="119">
        <f t="shared" si="572"/>
        <v>1</v>
      </c>
      <c r="I775" s="119">
        <f t="shared" si="572"/>
        <v>0.875</v>
      </c>
      <c r="J775" s="119">
        <f t="shared" si="572"/>
        <v>1</v>
      </c>
      <c r="K775" s="119">
        <f t="shared" si="572"/>
        <v>1</v>
      </c>
      <c r="L775" s="119">
        <f t="shared" si="572"/>
        <v>0.9</v>
      </c>
      <c r="M775" s="119">
        <f t="shared" si="572"/>
        <v>1</v>
      </c>
      <c r="N775" s="119">
        <f t="shared" si="572"/>
        <v>0.916666666666667</v>
      </c>
      <c r="O775" s="119">
        <f t="shared" si="572"/>
        <v>0.928571428571429</v>
      </c>
      <c r="P775" s="119">
        <f t="shared" si="572"/>
        <v>1</v>
      </c>
      <c r="Q775" s="119">
        <f t="shared" si="572"/>
        <v>1</v>
      </c>
    </row>
    <row r="776" ht="24" customHeight="1" spans="1:17">
      <c r="A776" s="99" t="s">
        <v>346</v>
      </c>
      <c r="B776" s="99" t="s">
        <v>299</v>
      </c>
      <c r="C776" s="99" t="s">
        <v>329</v>
      </c>
      <c r="D776" s="47" t="s">
        <v>294</v>
      </c>
      <c r="E776" s="118" t="s">
        <v>81</v>
      </c>
      <c r="F776" s="119" t="str">
        <f t="shared" ref="F776:Q776" si="573">IF(F706=0,"",F732/F706)</f>
        <v/>
      </c>
      <c r="G776" s="119" t="str">
        <f t="shared" si="573"/>
        <v/>
      </c>
      <c r="H776" s="119" t="str">
        <f t="shared" si="573"/>
        <v/>
      </c>
      <c r="I776" s="119">
        <f t="shared" si="573"/>
        <v>1</v>
      </c>
      <c r="J776" s="119">
        <f t="shared" si="573"/>
        <v>1</v>
      </c>
      <c r="K776" s="119">
        <f t="shared" si="573"/>
        <v>1</v>
      </c>
      <c r="L776" s="119">
        <f t="shared" si="573"/>
        <v>1</v>
      </c>
      <c r="M776" s="119">
        <f t="shared" si="573"/>
        <v>1</v>
      </c>
      <c r="N776" s="119">
        <f t="shared" si="573"/>
        <v>0.666666666666667</v>
      </c>
      <c r="O776" s="119">
        <f t="shared" si="573"/>
        <v>1</v>
      </c>
      <c r="P776" s="119">
        <f t="shared" si="573"/>
        <v>1</v>
      </c>
      <c r="Q776" s="119">
        <f t="shared" si="573"/>
        <v>1</v>
      </c>
    </row>
    <row r="777" ht="24" customHeight="1" spans="1:17">
      <c r="A777" s="99" t="s">
        <v>346</v>
      </c>
      <c r="B777" s="99" t="s">
        <v>299</v>
      </c>
      <c r="C777" s="99" t="s">
        <v>329</v>
      </c>
      <c r="D777" s="47" t="s">
        <v>294</v>
      </c>
      <c r="E777" s="118" t="s">
        <v>96</v>
      </c>
      <c r="F777" s="119" t="str">
        <f t="shared" ref="F777:Q777" si="574">IF(F707=0,"",F733/F707)</f>
        <v/>
      </c>
      <c r="G777" s="119" t="str">
        <f t="shared" si="574"/>
        <v/>
      </c>
      <c r="H777" s="119" t="str">
        <f t="shared" si="574"/>
        <v/>
      </c>
      <c r="I777" s="119" t="str">
        <f t="shared" si="574"/>
        <v/>
      </c>
      <c r="J777" s="119" t="str">
        <f t="shared" si="574"/>
        <v/>
      </c>
      <c r="K777" s="119" t="str">
        <f t="shared" si="574"/>
        <v/>
      </c>
      <c r="L777" s="119" t="str">
        <f t="shared" si="574"/>
        <v/>
      </c>
      <c r="M777" s="119" t="str">
        <f t="shared" si="574"/>
        <v/>
      </c>
      <c r="N777" s="119">
        <f t="shared" si="574"/>
        <v>1</v>
      </c>
      <c r="O777" s="119">
        <f t="shared" si="574"/>
        <v>1</v>
      </c>
      <c r="P777" s="119">
        <f t="shared" si="574"/>
        <v>1</v>
      </c>
      <c r="Q777" s="119">
        <f t="shared" si="574"/>
        <v>1</v>
      </c>
    </row>
    <row r="778" ht="24" customHeight="1" spans="1:17">
      <c r="A778" s="99" t="s">
        <v>346</v>
      </c>
      <c r="B778" s="99" t="s">
        <v>299</v>
      </c>
      <c r="C778" s="99" t="s">
        <v>329</v>
      </c>
      <c r="D778" s="47" t="s">
        <v>294</v>
      </c>
      <c r="E778" s="118" t="s">
        <v>160</v>
      </c>
      <c r="F778" s="119" t="str">
        <f t="shared" ref="F778:Q778" si="575">IF(F708=0,"",F734/F708)</f>
        <v/>
      </c>
      <c r="G778" s="119" t="str">
        <f t="shared" si="575"/>
        <v/>
      </c>
      <c r="H778" s="119" t="str">
        <f t="shared" si="575"/>
        <v/>
      </c>
      <c r="I778" s="119" t="str">
        <f t="shared" si="575"/>
        <v/>
      </c>
      <c r="J778" s="119" t="str">
        <f t="shared" si="575"/>
        <v/>
      </c>
      <c r="K778" s="119" t="str">
        <f t="shared" si="575"/>
        <v/>
      </c>
      <c r="L778" s="119" t="str">
        <f t="shared" si="575"/>
        <v/>
      </c>
      <c r="M778" s="119" t="str">
        <f t="shared" si="575"/>
        <v/>
      </c>
      <c r="N778" s="119" t="str">
        <f t="shared" si="575"/>
        <v/>
      </c>
      <c r="O778" s="119" t="str">
        <f t="shared" si="575"/>
        <v/>
      </c>
      <c r="P778" s="119" t="str">
        <f t="shared" si="575"/>
        <v/>
      </c>
      <c r="Q778" s="119" t="str">
        <f t="shared" si="575"/>
        <v/>
      </c>
    </row>
    <row r="779" ht="24" customHeight="1" spans="1:17">
      <c r="A779" s="99" t="s">
        <v>346</v>
      </c>
      <c r="B779" s="99" t="s">
        <v>299</v>
      </c>
      <c r="C779" s="99" t="s">
        <v>329</v>
      </c>
      <c r="D779" s="113" t="s">
        <v>292</v>
      </c>
      <c r="E779" s="113" t="s">
        <v>331</v>
      </c>
      <c r="F779" s="115">
        <f t="shared" ref="F779:Q779" si="576">IF(F709=0,"",F735/F709)</f>
        <v>0.666666666666667</v>
      </c>
      <c r="G779" s="115">
        <f t="shared" si="576"/>
        <v>0.714285714285714</v>
      </c>
      <c r="H779" s="115">
        <f t="shared" si="576"/>
        <v>1</v>
      </c>
      <c r="I779" s="115">
        <f t="shared" si="576"/>
        <v>0.882352941176471</v>
      </c>
      <c r="J779" s="115">
        <f t="shared" si="576"/>
        <v>1</v>
      </c>
      <c r="K779" s="115">
        <f t="shared" si="576"/>
        <v>0.952380952380952</v>
      </c>
      <c r="L779" s="115">
        <f t="shared" si="576"/>
        <v>0.846153846153846</v>
      </c>
      <c r="M779" s="115">
        <f t="shared" si="576"/>
        <v>0.9</v>
      </c>
      <c r="N779" s="115">
        <f t="shared" si="576"/>
        <v>0.918918918918919</v>
      </c>
      <c r="O779" s="115">
        <f t="shared" si="576"/>
        <v>0.930232558139535</v>
      </c>
      <c r="P779" s="115">
        <f t="shared" si="576"/>
        <v>0.957446808510638</v>
      </c>
      <c r="Q779" s="115">
        <f t="shared" si="576"/>
        <v>1</v>
      </c>
    </row>
    <row r="780" ht="24" customHeight="1" spans="1:17">
      <c r="A780" s="99" t="s">
        <v>346</v>
      </c>
      <c r="B780" s="99" t="s">
        <v>299</v>
      </c>
      <c r="C780" s="99" t="s">
        <v>329</v>
      </c>
      <c r="D780" s="48" t="s">
        <v>296</v>
      </c>
      <c r="E780" s="116" t="s">
        <v>406</v>
      </c>
      <c r="F780" s="117">
        <f t="shared" ref="F780:Q780" si="577">IF(F710=0,"",F736/F710)</f>
        <v>0.5</v>
      </c>
      <c r="G780" s="117">
        <f t="shared" si="577"/>
        <v>0.6</v>
      </c>
      <c r="H780" s="117">
        <f t="shared" si="577"/>
        <v>1</v>
      </c>
      <c r="I780" s="117">
        <f t="shared" si="577"/>
        <v>1</v>
      </c>
      <c r="J780" s="117">
        <f t="shared" si="577"/>
        <v>1</v>
      </c>
      <c r="K780" s="117">
        <f t="shared" si="577"/>
        <v>1</v>
      </c>
      <c r="L780" s="117">
        <f t="shared" si="577"/>
        <v>0.875</v>
      </c>
      <c r="M780" s="117">
        <f t="shared" si="577"/>
        <v>0.888888888888889</v>
      </c>
      <c r="N780" s="117">
        <f t="shared" si="577"/>
        <v>1</v>
      </c>
      <c r="O780" s="117">
        <f t="shared" si="577"/>
        <v>0.916666666666667</v>
      </c>
      <c r="P780" s="117">
        <f t="shared" si="577"/>
        <v>0.933333333333333</v>
      </c>
      <c r="Q780" s="117">
        <f t="shared" si="577"/>
        <v>1</v>
      </c>
    </row>
    <row r="781" ht="24" customHeight="1" spans="1:17">
      <c r="A781" s="99" t="s">
        <v>346</v>
      </c>
      <c r="B781" s="99" t="s">
        <v>299</v>
      </c>
      <c r="C781" s="99" t="s">
        <v>329</v>
      </c>
      <c r="D781" s="48" t="s">
        <v>296</v>
      </c>
      <c r="E781" s="116" t="s">
        <v>82</v>
      </c>
      <c r="F781" s="117">
        <f t="shared" ref="F781:Q781" si="578">IF(F711=0,"",F737/F711)</f>
        <v>0.833333333333333</v>
      </c>
      <c r="G781" s="117">
        <f t="shared" si="578"/>
        <v>0.857142857142857</v>
      </c>
      <c r="H781" s="117">
        <f t="shared" si="578"/>
        <v>1</v>
      </c>
      <c r="I781" s="117">
        <f t="shared" si="578"/>
        <v>0.875</v>
      </c>
      <c r="J781" s="117">
        <f t="shared" si="578"/>
        <v>1</v>
      </c>
      <c r="K781" s="117">
        <f t="shared" si="578"/>
        <v>0.888888888888889</v>
      </c>
      <c r="L781" s="117">
        <f t="shared" si="578"/>
        <v>0.818181818181818</v>
      </c>
      <c r="M781" s="117">
        <f t="shared" si="578"/>
        <v>1</v>
      </c>
      <c r="N781" s="117">
        <f t="shared" si="578"/>
        <v>1</v>
      </c>
      <c r="O781" s="117">
        <f t="shared" si="578"/>
        <v>1</v>
      </c>
      <c r="P781" s="117">
        <f t="shared" si="578"/>
        <v>1</v>
      </c>
      <c r="Q781" s="117">
        <f t="shared" si="578"/>
        <v>1</v>
      </c>
    </row>
    <row r="782" ht="24" customHeight="1" spans="1:17">
      <c r="A782" s="99" t="s">
        <v>346</v>
      </c>
      <c r="B782" s="99" t="s">
        <v>299</v>
      </c>
      <c r="C782" s="99" t="s">
        <v>329</v>
      </c>
      <c r="D782" s="48" t="s">
        <v>296</v>
      </c>
      <c r="E782" s="116" t="s">
        <v>86</v>
      </c>
      <c r="F782" s="117">
        <f t="shared" ref="F782:Q782" si="579">IF(F712=0,"",F738/F712)</f>
        <v>0.5</v>
      </c>
      <c r="G782" s="117">
        <f t="shared" si="579"/>
        <v>0.5</v>
      </c>
      <c r="H782" s="117">
        <f t="shared" si="579"/>
        <v>1</v>
      </c>
      <c r="I782" s="117">
        <f t="shared" si="579"/>
        <v>0.75</v>
      </c>
      <c r="J782" s="117">
        <f t="shared" si="579"/>
        <v>1</v>
      </c>
      <c r="K782" s="117">
        <f t="shared" si="579"/>
        <v>1</v>
      </c>
      <c r="L782" s="117">
        <f t="shared" si="579"/>
        <v>0.857142857142857</v>
      </c>
      <c r="M782" s="117">
        <f t="shared" si="579"/>
        <v>0.8</v>
      </c>
      <c r="N782" s="117">
        <f t="shared" si="579"/>
        <v>0.8</v>
      </c>
      <c r="O782" s="117">
        <f t="shared" si="579"/>
        <v>0.888888888888889</v>
      </c>
      <c r="P782" s="117">
        <f t="shared" si="579"/>
        <v>0.947368421052632</v>
      </c>
      <c r="Q782" s="117">
        <f t="shared" si="579"/>
        <v>1</v>
      </c>
    </row>
    <row r="783" ht="24" customHeight="1" spans="1:17">
      <c r="A783" s="99" t="s">
        <v>346</v>
      </c>
      <c r="B783" s="99" t="s">
        <v>299</v>
      </c>
      <c r="C783" s="99" t="s">
        <v>329</v>
      </c>
      <c r="D783" s="113" t="s">
        <v>292</v>
      </c>
      <c r="E783" s="113" t="s">
        <v>332</v>
      </c>
      <c r="F783" s="115">
        <f t="shared" ref="F783:Q783" si="580">IF(F713=0,"",F742/F713)</f>
        <v>0.666666666666667</v>
      </c>
      <c r="G783" s="115">
        <f t="shared" si="580"/>
        <v>0.6</v>
      </c>
      <c r="H783" s="115">
        <f t="shared" si="580"/>
        <v>1</v>
      </c>
      <c r="I783" s="115">
        <f t="shared" si="580"/>
        <v>0.75</v>
      </c>
      <c r="J783" s="115">
        <f t="shared" si="580"/>
        <v>1</v>
      </c>
      <c r="K783" s="115">
        <f t="shared" si="580"/>
        <v>0.9</v>
      </c>
      <c r="L783" s="115">
        <f t="shared" si="580"/>
        <v>0.769230769230769</v>
      </c>
      <c r="M783" s="115">
        <f t="shared" si="580"/>
        <v>0.823529411764706</v>
      </c>
      <c r="N783" s="115">
        <f t="shared" si="580"/>
        <v>0.947368421052632</v>
      </c>
      <c r="O783" s="115">
        <f t="shared" si="580"/>
        <v>0.92</v>
      </c>
      <c r="P783" s="115">
        <f t="shared" si="580"/>
        <v>0.964285714285714</v>
      </c>
      <c r="Q783" s="115">
        <f t="shared" si="580"/>
        <v>1</v>
      </c>
    </row>
    <row r="784" ht="24" customHeight="1" spans="1:17">
      <c r="A784" s="99" t="s">
        <v>346</v>
      </c>
      <c r="B784" s="99" t="s">
        <v>299</v>
      </c>
      <c r="C784" s="99" t="s">
        <v>329</v>
      </c>
      <c r="D784" s="48" t="s">
        <v>298</v>
      </c>
      <c r="E784" s="116" t="s">
        <v>97</v>
      </c>
      <c r="F784" s="117">
        <f t="shared" ref="F784:Q784" si="581">IF(F714=0,"",F743/F714)</f>
        <v>1</v>
      </c>
      <c r="G784" s="117">
        <f t="shared" si="581"/>
        <v>0.5</v>
      </c>
      <c r="H784" s="117">
        <f t="shared" si="581"/>
        <v>1</v>
      </c>
      <c r="I784" s="117">
        <f t="shared" si="581"/>
        <v>0.833333333333333</v>
      </c>
      <c r="J784" s="117">
        <f t="shared" si="581"/>
        <v>1</v>
      </c>
      <c r="K784" s="117">
        <f t="shared" si="581"/>
        <v>0.857142857142857</v>
      </c>
      <c r="L784" s="117">
        <f t="shared" si="581"/>
        <v>0.875</v>
      </c>
      <c r="M784" s="117">
        <f t="shared" si="581"/>
        <v>0.818181818181818</v>
      </c>
      <c r="N784" s="117">
        <f t="shared" si="581"/>
        <v>1</v>
      </c>
      <c r="O784" s="117">
        <f t="shared" si="581"/>
        <v>0.875</v>
      </c>
      <c r="P784" s="117">
        <f t="shared" si="581"/>
        <v>1</v>
      </c>
      <c r="Q784" s="117">
        <f t="shared" si="581"/>
        <v>1</v>
      </c>
    </row>
    <row r="785" ht="24" customHeight="1" spans="1:17">
      <c r="A785" s="99" t="s">
        <v>346</v>
      </c>
      <c r="B785" s="99" t="s">
        <v>299</v>
      </c>
      <c r="C785" s="99" t="s">
        <v>329</v>
      </c>
      <c r="D785" s="48" t="s">
        <v>298</v>
      </c>
      <c r="E785" s="116" t="s">
        <v>87</v>
      </c>
      <c r="F785" s="117">
        <f t="shared" ref="F785:Q785" si="582">IF(F715=0,"",F744/F715)</f>
        <v>0</v>
      </c>
      <c r="G785" s="117">
        <f t="shared" si="582"/>
        <v>1</v>
      </c>
      <c r="H785" s="117">
        <f t="shared" si="582"/>
        <v>1</v>
      </c>
      <c r="I785" s="117">
        <f t="shared" si="582"/>
        <v>0.5</v>
      </c>
      <c r="J785" s="117">
        <f t="shared" si="582"/>
        <v>1</v>
      </c>
      <c r="K785" s="117">
        <f t="shared" si="582"/>
        <v>1</v>
      </c>
      <c r="L785" s="117">
        <f t="shared" si="582"/>
        <v>0.5</v>
      </c>
      <c r="M785" s="117">
        <f t="shared" si="582"/>
        <v>0.8</v>
      </c>
      <c r="N785" s="117">
        <f t="shared" si="582"/>
        <v>1</v>
      </c>
      <c r="O785" s="117">
        <f t="shared" si="582"/>
        <v>1</v>
      </c>
      <c r="P785" s="117">
        <f t="shared" si="582"/>
        <v>0.875</v>
      </c>
      <c r="Q785" s="117">
        <f t="shared" si="582"/>
        <v>1</v>
      </c>
    </row>
    <row r="786" ht="24" customHeight="1" spans="1:17">
      <c r="A786" s="99" t="s">
        <v>346</v>
      </c>
      <c r="B786" s="99" t="s">
        <v>299</v>
      </c>
      <c r="C786" s="99" t="s">
        <v>329</v>
      </c>
      <c r="D786" s="48" t="s">
        <v>298</v>
      </c>
      <c r="E786" s="116" t="s">
        <v>83</v>
      </c>
      <c r="F786" s="117" t="str">
        <f t="shared" ref="F786:Q786" si="583">IF(F716=0,"",F745/F716)</f>
        <v/>
      </c>
      <c r="G786" s="117" t="str">
        <f t="shared" si="583"/>
        <v/>
      </c>
      <c r="H786" s="117" t="str">
        <f t="shared" si="583"/>
        <v/>
      </c>
      <c r="I786" s="117" t="str">
        <f t="shared" si="583"/>
        <v/>
      </c>
      <c r="J786" s="117" t="str">
        <f t="shared" si="583"/>
        <v/>
      </c>
      <c r="K786" s="117">
        <f t="shared" si="583"/>
        <v>1</v>
      </c>
      <c r="L786" s="117">
        <f t="shared" si="583"/>
        <v>1</v>
      </c>
      <c r="M786" s="117">
        <f t="shared" si="583"/>
        <v>1</v>
      </c>
      <c r="N786" s="117">
        <f t="shared" si="583"/>
        <v>0.5</v>
      </c>
      <c r="O786" s="117">
        <f t="shared" si="583"/>
        <v>1</v>
      </c>
      <c r="P786" s="117">
        <f t="shared" si="583"/>
        <v>1</v>
      </c>
      <c r="Q786" s="117">
        <f t="shared" si="583"/>
        <v>1</v>
      </c>
    </row>
    <row r="787" ht="24" customHeight="1" spans="1:17">
      <c r="A787" s="99" t="s">
        <v>346</v>
      </c>
      <c r="B787" s="99" t="s">
        <v>299</v>
      </c>
      <c r="C787" s="99" t="s">
        <v>333</v>
      </c>
      <c r="D787" s="114" t="s">
        <v>292</v>
      </c>
      <c r="E787" s="114" t="s">
        <v>300</v>
      </c>
      <c r="F787" s="120">
        <f t="shared" ref="F787:Q787" si="584">SUM(F788:F793)</f>
        <v>4.321344</v>
      </c>
      <c r="G787" s="120">
        <f t="shared" si="584"/>
        <v>0.870319</v>
      </c>
      <c r="H787" s="120">
        <f t="shared" si="584"/>
        <v>3.681989</v>
      </c>
      <c r="I787" s="120">
        <f t="shared" si="584"/>
        <v>0.140844</v>
      </c>
      <c r="J787" s="120">
        <f t="shared" si="584"/>
        <v>1.304362</v>
      </c>
      <c r="K787" s="120">
        <f t="shared" si="584"/>
        <v>0.749534</v>
      </c>
      <c r="L787" s="120">
        <f t="shared" si="584"/>
        <v>0.627985</v>
      </c>
      <c r="M787" s="120">
        <f t="shared" si="584"/>
        <v>3.797604</v>
      </c>
      <c r="N787" s="120">
        <f t="shared" si="584"/>
        <v>7.48723</v>
      </c>
      <c r="O787" s="120">
        <f t="shared" si="584"/>
        <v>6.579426</v>
      </c>
      <c r="P787" s="120">
        <f t="shared" si="584"/>
        <v>8.208181</v>
      </c>
      <c r="Q787" s="120">
        <f t="shared" si="584"/>
        <v>2.925687</v>
      </c>
    </row>
    <row r="788" ht="24" customHeight="1" spans="1:17">
      <c r="A788" s="99" t="s">
        <v>346</v>
      </c>
      <c r="B788" s="99" t="s">
        <v>299</v>
      </c>
      <c r="C788" s="99" t="s">
        <v>333</v>
      </c>
      <c r="D788" s="48" t="s">
        <v>31</v>
      </c>
      <c r="E788" s="48" t="s">
        <v>406</v>
      </c>
      <c r="F788" s="121">
        <f>SUMIFS('2024数据'!$AX$3:$AX$152,'2024数据'!$L$3:$L$152,"&gt;="&amp;DATE(2024,1,1),'2024数据'!$L$3:$L$152,"&lt;="&amp;DATE(2024,1,31),'2024数据'!$AE$3:$AE$152,$E788)/10000</f>
        <v>1.285732</v>
      </c>
      <c r="G788" s="121">
        <f>SUMIFS('2024数据'!$AX$3:$AX$152,'2024数据'!$L$3:$L$152,"&gt;="&amp;DATE(2024,2,1),'2024数据'!$L$3:$L$152,"&lt;="&amp;DATE(2024,2,29),'2024数据'!$AE$3:$AE$152,$E788)/10000</f>
        <v>0.078178</v>
      </c>
      <c r="H788" s="121">
        <f>SUMIFS('2024数据'!$AX$3:$AX$152,'2024数据'!$L$3:$L$152,"&gt;="&amp;DATE(2024,3,1),'2024数据'!$L$3:$L$152,"&lt;="&amp;DATE(2024,3,31),'2024数据'!$AE$3:$AE$152,$E788)/10000</f>
        <v>2.000642</v>
      </c>
      <c r="I788" s="121">
        <f>SUMIFS('2024数据'!$AX$3:$AX$152,'2024数据'!$L$3:$L$152,"&gt;="&amp;DATE(2024,4,1),'2024数据'!$L$3:$L$152,"&lt;="&amp;DATE(2024,4,30),'2024数据'!$AE$3:$AE$152,$E788)/10000</f>
        <v>0</v>
      </c>
      <c r="J788" s="121">
        <f>SUMIFS('2024数据'!$AX$3:$AX$152,'2024数据'!$L$3:$L$152,"&gt;="&amp;DATE(2024,5,1),'2024数据'!$L$3:$L$152,"&lt;="&amp;DATE(2024,5,31),'2024数据'!$AE$3:$AE$152,$E788)/10000</f>
        <v>0</v>
      </c>
      <c r="K788" s="121">
        <f>SUMIFS('2024数据'!$AX$3:$AX$152,'2024数据'!$L$3:$L$152,"&gt;="&amp;DATE(2024,6,1),'2024数据'!$L$3:$L$152,"&lt;="&amp;DATE(2024,6,30),'2024数据'!$AE$3:$AE$152,$E788)/10000</f>
        <v>0.325615</v>
      </c>
      <c r="L788" s="121">
        <f>SUMIFS('2024数据'!$AX$3:$AX$152,'2024数据'!$L$3:$L$152,"&gt;="&amp;DATE(2024,7,1),'2024数据'!$L$3:$L$152,"&lt;="&amp;DATE(2024,7,31),'2024数据'!$AE$3:$AE$152,$E788)/10000</f>
        <v>0.469967</v>
      </c>
      <c r="M788" s="121">
        <f>SUMIFS('2024数据'!$AX$3:$AX$152,'2024数据'!$L$3:$L$152,"&gt;="&amp;DATE(2024,8,1),'2024数据'!$L$3:$L$152,"&lt;="&amp;DATE(2024,8,31),'2024数据'!$AE$3:$AE$152,$E788)/10000</f>
        <v>0</v>
      </c>
      <c r="N788" s="121">
        <f>SUMIFS('2024数据'!$AX$3:$AX$152,'2024数据'!$L$3:$L$152,"&gt;="&amp;DATE(2024,9,1),'2024数据'!$L$3:$L$152,"&lt;="&amp;DATE(2024,9,30),'2024数据'!$AE$3:$AE$152,$E788)/10000</f>
        <v>3.591835</v>
      </c>
      <c r="O788" s="121">
        <f>SUMIFS('2024数据'!$AX$3:$AX$152,'2024数据'!$L$3:$L$152,"&gt;="&amp;DATE(2024,10,1),'2024数据'!$L$3:$L$152,"&lt;="&amp;DATE(2024,10,31),'2024数据'!$AE$3:$AE$152,$E788)/10000</f>
        <v>1.923285</v>
      </c>
      <c r="P788" s="121">
        <f>SUMIFS('2024数据'!$AX$3:$AX$152,'2024数据'!$L$3:$L$152,"&gt;="&amp;DATE(2024,11,1),'2024数据'!$L$3:$L$152,"&lt;="&amp;DATE(2024,11,30),'2024数据'!$AE$3:$AE$152,$E788)/10000</f>
        <v>2.852749</v>
      </c>
      <c r="Q788" s="121">
        <f>SUMIFS('2024数据'!$AX$3:$AX$152,'2024数据'!$L$3:$L$152,"&gt;="&amp;DATE(2024,12,1),'2024数据'!$L$3:$L$152,"&lt;="&amp;DATE(2024,12,31),'2024数据'!$AE$3:$AE$152,$E788)/10000</f>
        <v>0.287845</v>
      </c>
    </row>
    <row r="789" ht="24" customHeight="1" spans="1:17">
      <c r="A789" s="99" t="s">
        <v>346</v>
      </c>
      <c r="B789" s="99" t="s">
        <v>299</v>
      </c>
      <c r="C789" s="99" t="s">
        <v>333</v>
      </c>
      <c r="D789" s="48" t="s">
        <v>31</v>
      </c>
      <c r="E789" s="48" t="s">
        <v>82</v>
      </c>
      <c r="F789" s="121">
        <f>SUMIFS('2024数据'!$AX$3:$AX$152,'2024数据'!$L$3:$L$152,"&gt;="&amp;DATE(2024,1,1),'2024数据'!$L$3:$L$152,"&lt;="&amp;DATE(2024,1,31),'2024数据'!$AE$3:$AE$152,$E789)/10000</f>
        <v>2.906085</v>
      </c>
      <c r="G789" s="121">
        <f>SUMIFS('2024数据'!$AX$3:$AX$152,'2024数据'!$L$3:$L$152,"&gt;="&amp;DATE(2024,2,1),'2024数据'!$L$3:$L$152,"&lt;="&amp;DATE(2024,2,29),'2024数据'!$AE$3:$AE$152,$E789)/10000</f>
        <v>0.450308</v>
      </c>
      <c r="H789" s="121">
        <f>SUMIFS('2024数据'!$AX$3:$AX$152,'2024数据'!$L$3:$L$152,"&gt;="&amp;DATE(2024,3,1),'2024数据'!$L$3:$L$152,"&lt;="&amp;DATE(2024,3,31),'2024数据'!$AE$3:$AE$152,$E789)/10000</f>
        <v>0.850945</v>
      </c>
      <c r="I789" s="121">
        <f>SUMIFS('2024数据'!$AX$3:$AX$152,'2024数据'!$L$3:$L$152,"&gt;="&amp;DATE(2024,4,1),'2024数据'!$L$3:$L$152,"&lt;="&amp;DATE(2024,4,30),'2024数据'!$AE$3:$AE$152,$E789)/10000</f>
        <v>0</v>
      </c>
      <c r="J789" s="121">
        <f>SUMIFS('2024数据'!$AX$3:$AX$152,'2024数据'!$L$3:$L$152,"&gt;="&amp;DATE(2024,5,1),'2024数据'!$L$3:$L$152,"&lt;="&amp;DATE(2024,5,31),'2024数据'!$AE$3:$AE$152,$E789)/10000</f>
        <v>0.163262</v>
      </c>
      <c r="K789" s="121">
        <f>SUMIFS('2024数据'!$AX$3:$AX$152,'2024数据'!$L$3:$L$152,"&gt;="&amp;DATE(2024,6,1),'2024数据'!$L$3:$L$152,"&lt;="&amp;DATE(2024,6,30),'2024数据'!$AE$3:$AE$152,$E789)/10000</f>
        <v>0</v>
      </c>
      <c r="L789" s="121">
        <f>SUMIFS('2024数据'!$AX$3:$AX$152,'2024数据'!$L$3:$L$152,"&gt;="&amp;DATE(2024,7,1),'2024数据'!$L$3:$L$152,"&lt;="&amp;DATE(2024,7,31),'2024数据'!$AE$3:$AE$152,$E789)/10000</f>
        <v>0.158018</v>
      </c>
      <c r="M789" s="121">
        <f>SUMIFS('2024数据'!$AX$3:$AX$152,'2024数据'!$L$3:$L$152,"&gt;="&amp;DATE(2024,8,1),'2024数据'!$L$3:$L$152,"&lt;="&amp;DATE(2024,8,31),'2024数据'!$AE$3:$AE$152,$E789)/10000</f>
        <v>0.32769</v>
      </c>
      <c r="N789" s="121">
        <f>SUMIFS('2024数据'!$AX$3:$AX$152,'2024数据'!$L$3:$L$152,"&gt;="&amp;DATE(2024,9,1),'2024数据'!$L$3:$L$152,"&lt;="&amp;DATE(2024,9,30),'2024数据'!$AE$3:$AE$152,$E789)/10000</f>
        <v>0.543562</v>
      </c>
      <c r="O789" s="121">
        <f>SUMIFS('2024数据'!$AX$3:$AX$152,'2024数据'!$L$3:$L$152,"&gt;="&amp;DATE(2024,10,1),'2024数据'!$L$3:$L$152,"&lt;="&amp;DATE(2024,10,31),'2024数据'!$AE$3:$AE$152,$E789)/10000</f>
        <v>0</v>
      </c>
      <c r="P789" s="121">
        <f>SUMIFS('2024数据'!$AX$3:$AX$152,'2024数据'!$L$3:$L$152,"&gt;="&amp;DATE(2024,11,1),'2024数据'!$L$3:$L$152,"&lt;="&amp;DATE(2024,11,30),'2024数据'!$AE$3:$AE$152,$E789)/10000</f>
        <v>0</v>
      </c>
      <c r="Q789" s="121">
        <f>SUMIFS('2024数据'!$AX$3:$AX$152,'2024数据'!$L$3:$L$152,"&gt;="&amp;DATE(2024,12,1),'2024数据'!$L$3:$L$152,"&lt;="&amp;DATE(2024,12,31),'2024数据'!$AE$3:$AE$152,$E789)/10000</f>
        <v>1.046857</v>
      </c>
    </row>
    <row r="790" ht="24" customHeight="1" spans="1:17">
      <c r="A790" s="99" t="s">
        <v>346</v>
      </c>
      <c r="B790" s="99" t="s">
        <v>299</v>
      </c>
      <c r="C790" s="99" t="s">
        <v>333</v>
      </c>
      <c r="D790" s="48" t="s">
        <v>31</v>
      </c>
      <c r="E790" s="48" t="s">
        <v>86</v>
      </c>
      <c r="F790" s="121">
        <f>SUMIFS('2024数据'!$AX$3:$AX$152,'2024数据'!$L$3:$L$152,"&gt;="&amp;DATE(2024,1,1),'2024数据'!$L$3:$L$152,"&lt;="&amp;DATE(2024,1,31),'2024数据'!$AE$3:$AE$152,$E790)/10000</f>
        <v>0.129527</v>
      </c>
      <c r="G790" s="121">
        <f>SUMIFS('2024数据'!$AX$3:$AX$152,'2024数据'!$L$3:$L$152,"&gt;="&amp;DATE(2024,2,1),'2024数据'!$L$3:$L$152,"&lt;="&amp;DATE(2024,2,29),'2024数据'!$AE$3:$AE$152,$E790)/10000</f>
        <v>0</v>
      </c>
      <c r="H790" s="121">
        <f>SUMIFS('2024数据'!$AX$3:$AX$152,'2024数据'!$L$3:$L$152,"&gt;="&amp;DATE(2024,3,1),'2024数据'!$L$3:$L$152,"&lt;="&amp;DATE(2024,3,31),'2024数据'!$AE$3:$AE$152,$E790)/10000</f>
        <v>0.391863</v>
      </c>
      <c r="I790" s="121">
        <f>SUMIFS('2024数据'!$AX$3:$AX$152,'2024数据'!$L$3:$L$152,"&gt;="&amp;DATE(2024,4,1),'2024数据'!$L$3:$L$152,"&lt;="&amp;DATE(2024,4,30),'2024数据'!$AE$3:$AE$152,$E790)/10000</f>
        <v>0.140844</v>
      </c>
      <c r="J790" s="121">
        <f>SUMIFS('2024数据'!$AX$3:$AX$152,'2024数据'!$L$3:$L$152,"&gt;="&amp;DATE(2024,5,1),'2024数据'!$L$3:$L$152,"&lt;="&amp;DATE(2024,5,31),'2024数据'!$AE$3:$AE$152,$E790)/10000</f>
        <v>1.1411</v>
      </c>
      <c r="K790" s="121">
        <f>SUMIFS('2024数据'!$AX$3:$AX$152,'2024数据'!$L$3:$L$152,"&gt;="&amp;DATE(2024,6,1),'2024数据'!$L$3:$L$152,"&lt;="&amp;DATE(2024,6,30),'2024数据'!$AE$3:$AE$152,$E790)/10000</f>
        <v>0.423919</v>
      </c>
      <c r="L790" s="121">
        <f>SUMIFS('2024数据'!$AX$3:$AX$152,'2024数据'!$L$3:$L$152,"&gt;="&amp;DATE(2024,7,1),'2024数据'!$L$3:$L$152,"&lt;="&amp;DATE(2024,7,31),'2024数据'!$AE$3:$AE$152,$E790)/10000</f>
        <v>0</v>
      </c>
      <c r="M790" s="121">
        <f>SUMIFS('2024数据'!$AX$3:$AX$152,'2024数据'!$L$3:$L$152,"&gt;="&amp;DATE(2024,8,1),'2024数据'!$L$3:$L$152,"&lt;="&amp;DATE(2024,8,31),'2024数据'!$AE$3:$AE$152,$E790)/10000</f>
        <v>1.131669</v>
      </c>
      <c r="N790" s="121">
        <f>SUMIFS('2024数据'!$AX$3:$AX$152,'2024数据'!$L$3:$L$152,"&gt;="&amp;DATE(2024,9,1),'2024数据'!$L$3:$L$152,"&lt;="&amp;DATE(2024,9,30),'2024数据'!$AE$3:$AE$152,$E790)/10000</f>
        <v>3.351833</v>
      </c>
      <c r="O790" s="121">
        <f>SUMIFS('2024数据'!$AX$3:$AX$152,'2024数据'!$L$3:$L$152,"&gt;="&amp;DATE(2024,10,1),'2024数据'!$L$3:$L$152,"&lt;="&amp;DATE(2024,10,31),'2024数据'!$AE$3:$AE$152,$E790)/10000</f>
        <v>2.066342</v>
      </c>
      <c r="P790" s="121">
        <f>SUMIFS('2024数据'!$AX$3:$AX$152,'2024数据'!$L$3:$L$152,"&gt;="&amp;DATE(2024,11,1),'2024数据'!$L$3:$L$152,"&lt;="&amp;DATE(2024,11,30),'2024数据'!$AE$3:$AE$152,$E790)/10000</f>
        <v>1.169307</v>
      </c>
      <c r="Q790" s="121">
        <f>SUMIFS('2024数据'!$AX$3:$AX$152,'2024数据'!$L$3:$L$152,"&gt;="&amp;DATE(2024,12,1),'2024数据'!$L$3:$L$152,"&lt;="&amp;DATE(2024,12,31),'2024数据'!$AE$3:$AE$152,$E790)/10000</f>
        <v>1.469378</v>
      </c>
    </row>
    <row r="791" ht="24" customHeight="1" spans="1:17">
      <c r="A791" s="99" t="s">
        <v>346</v>
      </c>
      <c r="B791" s="99" t="s">
        <v>299</v>
      </c>
      <c r="C791" s="99" t="s">
        <v>333</v>
      </c>
      <c r="D791" s="48" t="s">
        <v>31</v>
      </c>
      <c r="E791" s="48" t="s">
        <v>97</v>
      </c>
      <c r="F791" s="121">
        <f>SUMIFS('2024数据'!$AX$3:$AX$152,'2024数据'!$L$3:$L$152,"&gt;="&amp;DATE(2024,1,1),'2024数据'!$L$3:$L$152,"&lt;="&amp;DATE(2024,1,31),'2024数据'!$AE$3:$AE$152,$E791)/10000</f>
        <v>0</v>
      </c>
      <c r="G791" s="121">
        <f>SUMIFS('2024数据'!$AX$3:$AX$152,'2024数据'!$L$3:$L$152,"&gt;="&amp;DATE(2024,2,1),'2024数据'!$L$3:$L$152,"&lt;="&amp;DATE(2024,2,29),'2024数据'!$AE$3:$AE$152,$E791)/10000</f>
        <v>0</v>
      </c>
      <c r="H791" s="121">
        <f>SUMIFS('2024数据'!$AX$3:$AX$152,'2024数据'!$L$3:$L$152,"&gt;="&amp;DATE(2024,3,1),'2024数据'!$L$3:$L$152,"&lt;="&amp;DATE(2024,3,31),'2024数据'!$AE$3:$AE$152,$E791)/10000</f>
        <v>0.438539</v>
      </c>
      <c r="I791" s="121">
        <f>SUMIFS('2024数据'!$AX$3:$AX$152,'2024数据'!$L$3:$L$152,"&gt;="&amp;DATE(2024,4,1),'2024数据'!$L$3:$L$152,"&lt;="&amp;DATE(2024,4,30),'2024数据'!$AE$3:$AE$152,$E791)/10000</f>
        <v>0</v>
      </c>
      <c r="J791" s="121">
        <f>SUMIFS('2024数据'!$AX$3:$AX$152,'2024数据'!$L$3:$L$152,"&gt;="&amp;DATE(2024,5,1),'2024数据'!$L$3:$L$152,"&lt;="&amp;DATE(2024,5,31),'2024数据'!$AE$3:$AE$152,$E791)/10000</f>
        <v>0</v>
      </c>
      <c r="K791" s="121">
        <f>SUMIFS('2024数据'!$AX$3:$AX$152,'2024数据'!$L$3:$L$152,"&gt;="&amp;DATE(2024,6,1),'2024数据'!$L$3:$L$152,"&lt;="&amp;DATE(2024,6,30),'2024数据'!$AE$3:$AE$152,$E791)/10000</f>
        <v>0</v>
      </c>
      <c r="L791" s="121">
        <f>SUMIFS('2024数据'!$AX$3:$AX$152,'2024数据'!$L$3:$L$152,"&gt;="&amp;DATE(2024,7,1),'2024数据'!$L$3:$L$152,"&lt;="&amp;DATE(2024,7,31),'2024数据'!$AE$3:$AE$152,$E791)/10000</f>
        <v>0</v>
      </c>
      <c r="M791" s="121">
        <f>SUMIFS('2024数据'!$AX$3:$AX$152,'2024数据'!$L$3:$L$152,"&gt;="&amp;DATE(2024,8,1),'2024数据'!$L$3:$L$152,"&lt;="&amp;DATE(2024,8,31),'2024数据'!$AE$3:$AE$152,$E791)/10000</f>
        <v>1.899067</v>
      </c>
      <c r="N791" s="121">
        <f>SUMIFS('2024数据'!$AX$3:$AX$152,'2024数据'!$L$3:$L$152,"&gt;="&amp;DATE(2024,9,1),'2024数据'!$L$3:$L$152,"&lt;="&amp;DATE(2024,9,30),'2024数据'!$AE$3:$AE$152,$E791)/10000</f>
        <v>0</v>
      </c>
      <c r="O791" s="121">
        <f>SUMIFS('2024数据'!$AX$3:$AX$152,'2024数据'!$L$3:$L$152,"&gt;="&amp;DATE(2024,10,1),'2024数据'!$L$3:$L$152,"&lt;="&amp;DATE(2024,10,31),'2024数据'!$AE$3:$AE$152,$E791)/10000</f>
        <v>2.589799</v>
      </c>
      <c r="P791" s="121">
        <f>SUMIFS('2024数据'!$AX$3:$AX$152,'2024数据'!$L$3:$L$152,"&gt;="&amp;DATE(2024,11,1),'2024数据'!$L$3:$L$152,"&lt;="&amp;DATE(2024,11,30),'2024数据'!$AE$3:$AE$152,$E791)/10000</f>
        <v>4.17065</v>
      </c>
      <c r="Q791" s="121">
        <f>SUMIFS('2024数据'!$AX$3:$AX$152,'2024数据'!$L$3:$L$152,"&gt;="&amp;DATE(2024,12,1),'2024数据'!$L$3:$L$152,"&lt;="&amp;DATE(2024,12,31),'2024数据'!$AE$3:$AE$152,$E791)/10000</f>
        <v>0</v>
      </c>
    </row>
    <row r="792" ht="24" customHeight="1" spans="1:17">
      <c r="A792" s="99" t="s">
        <v>346</v>
      </c>
      <c r="B792" s="99" t="s">
        <v>299</v>
      </c>
      <c r="C792" s="99" t="s">
        <v>333</v>
      </c>
      <c r="D792" s="48" t="s">
        <v>31</v>
      </c>
      <c r="E792" s="48" t="s">
        <v>87</v>
      </c>
      <c r="F792" s="121">
        <f>SUMIFS('2024数据'!$AX$3:$AX$152,'2024数据'!$L$3:$L$152,"&gt;="&amp;DATE(2024,1,1),'2024数据'!$L$3:$L$152,"&lt;="&amp;DATE(2024,1,31),'2024数据'!$AE$3:$AE$152,$E792)/10000</f>
        <v>0</v>
      </c>
      <c r="G792" s="121">
        <f>SUMIFS('2024数据'!$AX$3:$AX$152,'2024数据'!$L$3:$L$152,"&gt;="&amp;DATE(2024,2,1),'2024数据'!$L$3:$L$152,"&lt;="&amp;DATE(2024,2,29),'2024数据'!$AE$3:$AE$152,$E792)/10000</f>
        <v>0.341833</v>
      </c>
      <c r="H792" s="121">
        <f>SUMIFS('2024数据'!$AX$3:$AX$152,'2024数据'!$L$3:$L$152,"&gt;="&amp;DATE(2024,3,1),'2024数据'!$L$3:$L$152,"&lt;="&amp;DATE(2024,3,31),'2024数据'!$AE$3:$AE$152,$E792)/10000</f>
        <v>0</v>
      </c>
      <c r="I792" s="121">
        <f>SUMIFS('2024数据'!$AX$3:$AX$152,'2024数据'!$L$3:$L$152,"&gt;="&amp;DATE(2024,4,1),'2024数据'!$L$3:$L$152,"&lt;="&amp;DATE(2024,4,30),'2024数据'!$AE$3:$AE$152,$E792)/10000</f>
        <v>0</v>
      </c>
      <c r="J792" s="121">
        <f>SUMIFS('2024数据'!$AX$3:$AX$152,'2024数据'!$L$3:$L$152,"&gt;="&amp;DATE(2024,5,1),'2024数据'!$L$3:$L$152,"&lt;="&amp;DATE(2024,5,31),'2024数据'!$AE$3:$AE$152,$E792)/10000</f>
        <v>0</v>
      </c>
      <c r="K792" s="121">
        <f>SUMIFS('2024数据'!$AX$3:$AX$152,'2024数据'!$L$3:$L$152,"&gt;="&amp;DATE(2024,6,1),'2024数据'!$L$3:$L$152,"&lt;="&amp;DATE(2024,6,30),'2024数据'!$AE$3:$AE$152,$E792)/10000</f>
        <v>0</v>
      </c>
      <c r="L792" s="121">
        <f>SUMIFS('2024数据'!$AX$3:$AX$152,'2024数据'!$L$3:$L$152,"&gt;="&amp;DATE(2024,7,1),'2024数据'!$L$3:$L$152,"&lt;="&amp;DATE(2024,7,31),'2024数据'!$AE$3:$AE$152,$E792)/10000</f>
        <v>0</v>
      </c>
      <c r="M792" s="121">
        <f>SUMIFS('2024数据'!$AX$3:$AX$152,'2024数据'!$L$3:$L$152,"&gt;="&amp;DATE(2024,8,1),'2024数据'!$L$3:$L$152,"&lt;="&amp;DATE(2024,8,31),'2024数据'!$AE$3:$AE$152,$E792)/10000</f>
        <v>0.439178</v>
      </c>
      <c r="N792" s="121">
        <f>SUMIFS('2024数据'!$AX$3:$AX$152,'2024数据'!$L$3:$L$152,"&gt;="&amp;DATE(2024,9,1),'2024数据'!$L$3:$L$152,"&lt;="&amp;DATE(2024,9,30),'2024数据'!$AE$3:$AE$152,$E792)/10000</f>
        <v>0</v>
      </c>
      <c r="O792" s="121">
        <f>SUMIFS('2024数据'!$AX$3:$AX$152,'2024数据'!$L$3:$L$152,"&gt;="&amp;DATE(2024,10,1),'2024数据'!$L$3:$L$152,"&lt;="&amp;DATE(2024,10,31),'2024数据'!$AE$3:$AE$152,$E792)/10000</f>
        <v>0</v>
      </c>
      <c r="P792" s="121">
        <f>SUMIFS('2024数据'!$AX$3:$AX$152,'2024数据'!$L$3:$L$152,"&gt;="&amp;DATE(2024,11,1),'2024数据'!$L$3:$L$152,"&lt;="&amp;DATE(2024,11,30),'2024数据'!$AE$3:$AE$152,$E792)/10000</f>
        <v>0.015475</v>
      </c>
      <c r="Q792" s="121">
        <f>SUMIFS('2024数据'!$AX$3:$AX$152,'2024数据'!$L$3:$L$152,"&gt;="&amp;DATE(2024,12,1),'2024数据'!$L$3:$L$152,"&lt;="&amp;DATE(2024,12,31),'2024数据'!$AE$3:$AE$152,$E792)/10000</f>
        <v>0.121607</v>
      </c>
    </row>
    <row r="793" ht="24" customHeight="1" spans="1:17">
      <c r="A793" s="99" t="s">
        <v>346</v>
      </c>
      <c r="B793" s="99" t="s">
        <v>299</v>
      </c>
      <c r="C793" s="99" t="s">
        <v>333</v>
      </c>
      <c r="D793" s="48" t="s">
        <v>31</v>
      </c>
      <c r="E793" s="48" t="s">
        <v>83</v>
      </c>
      <c r="F793" s="121">
        <f>SUMIFS('2024数据'!$AX$3:$AX$152,'2024数据'!$L$3:$L$152,"&gt;="&amp;DATE(2024,1,1),'2024数据'!$L$3:$L$152,"&lt;="&amp;DATE(2024,1,31),'2024数据'!$AE$3:$AE$152,$E793)/10000</f>
        <v>0</v>
      </c>
      <c r="G793" s="121">
        <f>SUMIFS('2024数据'!$AX$3:$AX$152,'2024数据'!$L$3:$L$152,"&gt;="&amp;DATE(2024,2,1),'2024数据'!$L$3:$L$152,"&lt;="&amp;DATE(2024,2,29),'2024数据'!$AE$3:$AE$152,$E793)/10000</f>
        <v>0</v>
      </c>
      <c r="H793" s="121">
        <f>SUMIFS('2024数据'!$AX$3:$AX$152,'2024数据'!$L$3:$L$152,"&gt;="&amp;DATE(2024,3,1),'2024数据'!$L$3:$L$152,"&lt;="&amp;DATE(2024,3,31),'2024数据'!$AE$3:$AE$152,$E793)/10000</f>
        <v>0</v>
      </c>
      <c r="I793" s="121">
        <f>SUMIFS('2024数据'!$AX$3:$AX$152,'2024数据'!$L$3:$L$152,"&gt;="&amp;DATE(2024,4,1),'2024数据'!$L$3:$L$152,"&lt;="&amp;DATE(2024,4,30),'2024数据'!$AE$3:$AE$152,$E793)/10000</f>
        <v>0</v>
      </c>
      <c r="J793" s="121">
        <f>SUMIFS('2024数据'!$AX$3:$AX$152,'2024数据'!$L$3:$L$152,"&gt;="&amp;DATE(2024,5,1),'2024数据'!$L$3:$L$152,"&lt;="&amp;DATE(2024,5,31),'2024数据'!$AE$3:$AE$152,$E793)/10000</f>
        <v>0</v>
      </c>
      <c r="K793" s="121">
        <f>SUMIFS('2024数据'!$AX$3:$AX$152,'2024数据'!$L$3:$L$152,"&gt;="&amp;DATE(2024,6,1),'2024数据'!$L$3:$L$152,"&lt;="&amp;DATE(2024,6,30),'2024数据'!$AE$3:$AE$152,$E793)/10000</f>
        <v>0</v>
      </c>
      <c r="L793" s="121">
        <f>SUMIFS('2024数据'!$AX$3:$AX$152,'2024数据'!$L$3:$L$152,"&gt;="&amp;DATE(2024,7,1),'2024数据'!$L$3:$L$152,"&lt;="&amp;DATE(2024,7,31),'2024数据'!$AE$3:$AE$152,$E793)/10000</f>
        <v>0</v>
      </c>
      <c r="M793" s="121">
        <f>SUMIFS('2024数据'!$AX$3:$AX$152,'2024数据'!$L$3:$L$152,"&gt;="&amp;DATE(2024,8,1),'2024数据'!$L$3:$L$152,"&lt;="&amp;DATE(2024,8,31),'2024数据'!$AE$3:$AE$152,$E793)/10000</f>
        <v>0</v>
      </c>
      <c r="N793" s="121">
        <f>SUMIFS('2024数据'!$AX$3:$AX$152,'2024数据'!$L$3:$L$152,"&gt;="&amp;DATE(2024,9,1),'2024数据'!$L$3:$L$152,"&lt;="&amp;DATE(2024,9,30),'2024数据'!$AE$3:$AE$152,$E793)/10000</f>
        <v>0</v>
      </c>
      <c r="O793" s="121">
        <f>SUMIFS('2024数据'!$AX$3:$AX$152,'2024数据'!$L$3:$L$152,"&gt;="&amp;DATE(2024,10,1),'2024数据'!$L$3:$L$152,"&lt;="&amp;DATE(2024,10,31),'2024数据'!$AE$3:$AE$152,$E793)/10000</f>
        <v>0</v>
      </c>
      <c r="P793" s="121">
        <f>SUMIFS('2024数据'!$AX$3:$AX$152,'2024数据'!$L$3:$L$152,"&gt;="&amp;DATE(2024,11,1),'2024数据'!$L$3:$L$152,"&lt;="&amp;DATE(2024,11,30),'2024数据'!$AE$3:$AE$152,$E793)/10000</f>
        <v>0</v>
      </c>
      <c r="Q793" s="121">
        <f>SUMIFS('2024数据'!$AX$3:$AX$152,'2024数据'!$L$3:$L$152,"&gt;="&amp;DATE(2024,12,1),'2024数据'!$L$3:$L$152,"&lt;="&amp;DATE(2024,12,31),'2024数据'!$AE$3:$AE$152,$E793)/10000</f>
        <v>0</v>
      </c>
    </row>
    <row r="794" ht="24" customHeight="1" spans="1:17">
      <c r="A794" s="99" t="s">
        <v>346</v>
      </c>
      <c r="B794" s="99" t="s">
        <v>299</v>
      </c>
      <c r="C794" s="99" t="s">
        <v>333</v>
      </c>
      <c r="D794" s="47" t="s">
        <v>294</v>
      </c>
      <c r="E794" s="47" t="s">
        <v>93</v>
      </c>
      <c r="F794" s="121">
        <f>SUMIFS('2024数据'!$AX$3:$AX$152,'2024数据'!$L$3:$L$152,"&gt;="&amp;DATE(2024,1,1),'2024数据'!$L$3:$L$152,"&lt;="&amp;DATE(2024,1,31),'2024数据'!$B$3:$B$152,$E794)/10000</f>
        <v>1.732044</v>
      </c>
      <c r="G794" s="121">
        <f>SUMIFS('2024数据'!$AX$3:$AX$152,'2024数据'!$L$3:$L$152,"&gt;="&amp;DATE(2024,2,1),'2024数据'!$L$3:$L$152,"&lt;="&amp;DATE(2024,2,29),'2024数据'!$B$3:$B$152,$E794)/10000</f>
        <v>0.792141</v>
      </c>
      <c r="H794" s="121">
        <f>SUMIFS('2024数据'!$AX$3:$AX$152,'2024数据'!$L$3:$L$152,"&gt;="&amp;DATE(2024,3,1),'2024数据'!$L$3:$L$152,"&lt;="&amp;DATE(2024,3,31),'2024数据'!$B$3:$B$152,$E794)/10000</f>
        <v>2.443535</v>
      </c>
      <c r="I794" s="121">
        <f>SUMIFS('2024数据'!$AX$3:$AX$152,'2024数据'!$L$3:$L$152,"&gt;="&amp;DATE(2024,4,1),'2024数据'!$L$3:$L$152,"&lt;="&amp;DATE(2024,4,30),'2024数据'!$B$3:$B$152,$E794)/10000</f>
        <v>0</v>
      </c>
      <c r="J794" s="121">
        <f>SUMIFS('2024数据'!$AX$3:$AX$152,'2024数据'!$L$3:$L$152,"&gt;="&amp;DATE(2024,5,1),'2024数据'!$L$3:$L$152,"&lt;="&amp;DATE(2024,5,31),'2024数据'!$B$3:$B$152,$E794)/10000</f>
        <v>1.1411</v>
      </c>
      <c r="K794" s="121">
        <f>SUMIFS('2024数据'!$AX$3:$AX$152,'2024数据'!$L$3:$L$152,"&gt;="&amp;DATE(2024,6,1),'2024数据'!$L$3:$L$152,"&lt;="&amp;DATE(2024,6,30),'2024数据'!$B$3:$B$152,$E794)/10000</f>
        <v>0.423919</v>
      </c>
      <c r="L794" s="121">
        <f>SUMIFS('2024数据'!$AX$3:$AX$152,'2024数据'!$L$3:$L$152,"&gt;="&amp;DATE(2024,7,1),'2024数据'!$L$3:$L$152,"&lt;="&amp;DATE(2024,7,31),'2024数据'!$B$3:$B$152,$E794)/10000</f>
        <v>0.158018</v>
      </c>
      <c r="M794" s="121">
        <f>SUMIFS('2024数据'!$AX$3:$AX$152,'2024数据'!$L$3:$L$152,"&gt;="&amp;DATE(2024,8,1),'2024数据'!$L$3:$L$152,"&lt;="&amp;DATE(2024,8,31),'2024数据'!$B$3:$B$152,$E794)/10000</f>
        <v>3.111649</v>
      </c>
      <c r="N794" s="121">
        <f>SUMIFS('2024数据'!$AX$3:$AX$152,'2024数据'!$L$3:$L$152,"&gt;="&amp;DATE(2024,9,1),'2024数据'!$L$3:$L$152,"&lt;="&amp;DATE(2024,9,30),'2024数据'!$B$3:$B$152,$E794)/10000</f>
        <v>4.20483</v>
      </c>
      <c r="O794" s="121">
        <f>SUMIFS('2024数据'!$AX$3:$AX$152,'2024数据'!$L$3:$L$152,"&gt;="&amp;DATE(2024,10,1),'2024数据'!$L$3:$L$152,"&lt;="&amp;DATE(2024,10,31),'2024数据'!$B$3:$B$152,$E794)/10000</f>
        <v>2.500038</v>
      </c>
      <c r="P794" s="121">
        <f>SUMIFS('2024数据'!$AX$3:$AX$152,'2024数据'!$L$3:$L$152,"&gt;="&amp;DATE(2024,11,1),'2024数据'!$L$3:$L$152,"&lt;="&amp;DATE(2024,11,30),'2024数据'!$B$3:$B$152,$E794)/10000</f>
        <v>7.825651</v>
      </c>
      <c r="Q794" s="121">
        <f>SUMIFS('2024数据'!$AX$3:$AX$152,'2024数据'!$L$3:$L$152,"&gt;="&amp;DATE(2024,12,1),'2024数据'!$L$3:$L$152,"&lt;="&amp;DATE(2024,12,31),'2024数据'!$B$3:$B$152,$E794)/10000</f>
        <v>0.687711</v>
      </c>
    </row>
    <row r="795" ht="24" customHeight="1" spans="1:17">
      <c r="A795" s="99" t="s">
        <v>346</v>
      </c>
      <c r="B795" s="99" t="s">
        <v>299</v>
      </c>
      <c r="C795" s="99" t="s">
        <v>333</v>
      </c>
      <c r="D795" s="47" t="s">
        <v>294</v>
      </c>
      <c r="E795" s="47" t="s">
        <v>85</v>
      </c>
      <c r="F795" s="121">
        <f>SUMIFS('2024数据'!$AX$3:$AX$152,'2024数据'!$L$3:$L$152,"&gt;="&amp;DATE(2024,1,1),'2024数据'!$L$3:$L$152,"&lt;="&amp;DATE(2024,1,31),'2024数据'!$B$3:$B$152,$E795)/10000</f>
        <v>2.5893</v>
      </c>
      <c r="G795" s="121">
        <f>SUMIFS('2024数据'!$AX$3:$AX$152,'2024数据'!$L$3:$L$152,"&gt;="&amp;DATE(2024,2,1),'2024数据'!$L$3:$L$152,"&lt;="&amp;DATE(2024,2,29),'2024数据'!$B$3:$B$152,$E795)/10000</f>
        <v>0.078178</v>
      </c>
      <c r="H795" s="121">
        <f>SUMIFS('2024数据'!$AX$3:$AX$152,'2024数据'!$L$3:$L$152,"&gt;="&amp;DATE(2024,3,1),'2024数据'!$L$3:$L$152,"&lt;="&amp;DATE(2024,3,31),'2024数据'!$B$3:$B$152,$E795)/10000</f>
        <v>1.238454</v>
      </c>
      <c r="I795" s="121">
        <f>SUMIFS('2024数据'!$AX$3:$AX$152,'2024数据'!$L$3:$L$152,"&gt;="&amp;DATE(2024,4,1),'2024数据'!$L$3:$L$152,"&lt;="&amp;DATE(2024,4,30),'2024数据'!$B$3:$B$152,$E795)/10000</f>
        <v>0</v>
      </c>
      <c r="J795" s="121">
        <f>SUMIFS('2024数据'!$AX$3:$AX$152,'2024数据'!$L$3:$L$152,"&gt;="&amp;DATE(2024,5,1),'2024数据'!$L$3:$L$152,"&lt;="&amp;DATE(2024,5,31),'2024数据'!$B$3:$B$152,$E795)/10000</f>
        <v>0.163262</v>
      </c>
      <c r="K795" s="121">
        <f>SUMIFS('2024数据'!$AX$3:$AX$152,'2024数据'!$L$3:$L$152,"&gt;="&amp;DATE(2024,6,1),'2024数据'!$L$3:$L$152,"&lt;="&amp;DATE(2024,6,30),'2024数据'!$B$3:$B$152,$E795)/10000</f>
        <v>0.325615</v>
      </c>
      <c r="L795" s="121">
        <f>SUMIFS('2024数据'!$AX$3:$AX$152,'2024数据'!$L$3:$L$152,"&gt;="&amp;DATE(2024,7,1),'2024数据'!$L$3:$L$152,"&lt;="&amp;DATE(2024,7,31),'2024数据'!$B$3:$B$152,$E795)/10000</f>
        <v>0</v>
      </c>
      <c r="M795" s="121">
        <f>SUMIFS('2024数据'!$AX$3:$AX$152,'2024数据'!$L$3:$L$152,"&gt;="&amp;DATE(2024,8,1),'2024数据'!$L$3:$L$152,"&lt;="&amp;DATE(2024,8,31),'2024数据'!$B$3:$B$152,$E795)/10000</f>
        <v>0.685955</v>
      </c>
      <c r="N795" s="121">
        <f>SUMIFS('2024数据'!$AX$3:$AX$152,'2024数据'!$L$3:$L$152,"&gt;="&amp;DATE(2024,9,1),'2024数据'!$L$3:$L$152,"&lt;="&amp;DATE(2024,9,30),'2024数据'!$B$3:$B$152,$E795)/10000</f>
        <v>0.413492</v>
      </c>
      <c r="O795" s="121">
        <f>SUMIFS('2024数据'!$AX$3:$AX$152,'2024数据'!$L$3:$L$152,"&gt;="&amp;DATE(2024,10,1),'2024数据'!$L$3:$L$152,"&lt;="&amp;DATE(2024,10,31),'2024数据'!$B$3:$B$152,$E795)/10000</f>
        <v>0.842383</v>
      </c>
      <c r="P795" s="121">
        <f>SUMIFS('2024数据'!$AX$3:$AX$152,'2024数据'!$L$3:$L$152,"&gt;="&amp;DATE(2024,11,1),'2024数据'!$L$3:$L$152,"&lt;="&amp;DATE(2024,11,30),'2024数据'!$B$3:$B$152,$E795)/10000</f>
        <v>0.38253</v>
      </c>
      <c r="Q795" s="121">
        <f>SUMIFS('2024数据'!$AX$3:$AX$152,'2024数据'!$L$3:$L$152,"&gt;="&amp;DATE(2024,12,1),'2024数据'!$L$3:$L$152,"&lt;="&amp;DATE(2024,12,31),'2024数据'!$B$3:$B$152,$E795)/10000</f>
        <v>0.121607</v>
      </c>
    </row>
    <row r="796" ht="24" customHeight="1" spans="1:17">
      <c r="A796" s="99" t="s">
        <v>346</v>
      </c>
      <c r="B796" s="99" t="s">
        <v>299</v>
      </c>
      <c r="C796" s="99" t="s">
        <v>333</v>
      </c>
      <c r="D796" s="47" t="s">
        <v>294</v>
      </c>
      <c r="E796" s="47" t="s">
        <v>81</v>
      </c>
      <c r="F796" s="121">
        <f>SUMIFS('2024数据'!$AX$3:$AX$152,'2024数据'!$L$3:$L$152,"&gt;="&amp;DATE(2024,1,1),'2024数据'!$L$3:$L$152,"&lt;="&amp;DATE(2024,1,31),'2024数据'!$B$3:$B$152,$E796)/10000</f>
        <v>0</v>
      </c>
      <c r="G796" s="121">
        <f>SUMIFS('2024数据'!$AX$3:$AX$152,'2024数据'!$L$3:$L$152,"&gt;="&amp;DATE(2024,2,1),'2024数据'!$L$3:$L$152,"&lt;="&amp;DATE(2024,2,29),'2024数据'!$B$3:$B$152,$E796)/10000</f>
        <v>0</v>
      </c>
      <c r="H796" s="121">
        <f>SUMIFS('2024数据'!$AX$3:$AX$152,'2024数据'!$L$3:$L$152,"&gt;="&amp;DATE(2024,3,1),'2024数据'!$L$3:$L$152,"&lt;="&amp;DATE(2024,3,31),'2024数据'!$B$3:$B$152,$E796)/10000</f>
        <v>0</v>
      </c>
      <c r="I796" s="121">
        <f>SUMIFS('2024数据'!$AX$3:$AX$152,'2024数据'!$L$3:$L$152,"&gt;="&amp;DATE(2024,4,1),'2024数据'!$L$3:$L$152,"&lt;="&amp;DATE(2024,4,30),'2024数据'!$B$3:$B$152,$E796)/10000</f>
        <v>0.140844</v>
      </c>
      <c r="J796" s="121">
        <f>SUMIFS('2024数据'!$AX$3:$AX$152,'2024数据'!$L$3:$L$152,"&gt;="&amp;DATE(2024,5,1),'2024数据'!$L$3:$L$152,"&lt;="&amp;DATE(2024,5,31),'2024数据'!$B$3:$B$152,$E796)/10000</f>
        <v>0</v>
      </c>
      <c r="K796" s="121">
        <f>SUMIFS('2024数据'!$AX$3:$AX$152,'2024数据'!$L$3:$L$152,"&gt;="&amp;DATE(2024,6,1),'2024数据'!$L$3:$L$152,"&lt;="&amp;DATE(2024,6,30),'2024数据'!$B$3:$B$152,$E796)/10000</f>
        <v>0</v>
      </c>
      <c r="L796" s="121">
        <f>SUMIFS('2024数据'!$AX$3:$AX$152,'2024数据'!$L$3:$L$152,"&gt;="&amp;DATE(2024,7,1),'2024数据'!$L$3:$L$152,"&lt;="&amp;DATE(2024,7,31),'2024数据'!$B$3:$B$152,$E796)/10000</f>
        <v>0.469967</v>
      </c>
      <c r="M796" s="121">
        <f>SUMIFS('2024数据'!$AX$3:$AX$152,'2024数据'!$L$3:$L$152,"&gt;="&amp;DATE(2024,8,1),'2024数据'!$L$3:$L$152,"&lt;="&amp;DATE(2024,8,31),'2024数据'!$B$3:$B$152,$E796)/10000</f>
        <v>0</v>
      </c>
      <c r="N796" s="121">
        <f>SUMIFS('2024数据'!$AX$3:$AX$152,'2024数据'!$L$3:$L$152,"&gt;="&amp;DATE(2024,9,1),'2024数据'!$L$3:$L$152,"&lt;="&amp;DATE(2024,9,30),'2024数据'!$B$3:$B$152,$E796)/10000</f>
        <v>1.010231</v>
      </c>
      <c r="O796" s="121">
        <f>SUMIFS('2024数据'!$AX$3:$AX$152,'2024数据'!$L$3:$L$152,"&gt;="&amp;DATE(2024,10,1),'2024数据'!$L$3:$L$152,"&lt;="&amp;DATE(2024,10,31),'2024数据'!$B$3:$B$152,$E796)/10000</f>
        <v>3.237005</v>
      </c>
      <c r="P796" s="121">
        <f>SUMIFS('2024数据'!$AX$3:$AX$152,'2024数据'!$L$3:$L$152,"&gt;="&amp;DATE(2024,11,1),'2024数据'!$L$3:$L$152,"&lt;="&amp;DATE(2024,11,30),'2024数据'!$B$3:$B$152,$E796)/10000</f>
        <v>0</v>
      </c>
      <c r="Q796" s="121">
        <f>SUMIFS('2024数据'!$AX$3:$AX$152,'2024数据'!$L$3:$L$152,"&gt;="&amp;DATE(2024,12,1),'2024数据'!$L$3:$L$152,"&lt;="&amp;DATE(2024,12,31),'2024数据'!$B$3:$B$152,$E796)/10000</f>
        <v>2.116369</v>
      </c>
    </row>
    <row r="797" ht="24" customHeight="1" spans="1:17">
      <c r="A797" s="99" t="s">
        <v>346</v>
      </c>
      <c r="B797" s="99" t="s">
        <v>299</v>
      </c>
      <c r="C797" s="99" t="s">
        <v>333</v>
      </c>
      <c r="D797" s="47" t="s">
        <v>294</v>
      </c>
      <c r="E797" s="47" t="s">
        <v>96</v>
      </c>
      <c r="F797" s="121">
        <f>SUMIFS('2024数据'!$AX$3:$AX$152,'2024数据'!$L$3:$L$152,"&gt;="&amp;DATE(2024,1,1),'2024数据'!$L$3:$L$152,"&lt;="&amp;DATE(2024,1,31),'2024数据'!$B$3:$B$152,$E797)/10000</f>
        <v>0</v>
      </c>
      <c r="G797" s="121">
        <f>SUMIFS('2024数据'!$AX$3:$AX$152,'2024数据'!$L$3:$L$152,"&gt;="&amp;DATE(2024,2,1),'2024数据'!$L$3:$L$152,"&lt;="&amp;DATE(2024,2,29),'2024数据'!$B$3:$B$152,$E797)/10000</f>
        <v>0</v>
      </c>
      <c r="H797" s="121">
        <f>SUMIFS('2024数据'!$AX$3:$AX$152,'2024数据'!$L$3:$L$152,"&gt;="&amp;DATE(2024,3,1),'2024数据'!$L$3:$L$152,"&lt;="&amp;DATE(2024,3,31),'2024数据'!$B$3:$B$152,$E797)/10000</f>
        <v>0</v>
      </c>
      <c r="I797" s="121">
        <f>SUMIFS('2024数据'!$AX$3:$AX$152,'2024数据'!$L$3:$L$152,"&gt;="&amp;DATE(2024,4,1),'2024数据'!$L$3:$L$152,"&lt;="&amp;DATE(2024,4,30),'2024数据'!$B$3:$B$152,$E797)/10000</f>
        <v>0</v>
      </c>
      <c r="J797" s="121">
        <f>SUMIFS('2024数据'!$AX$3:$AX$152,'2024数据'!$L$3:$L$152,"&gt;="&amp;DATE(2024,5,1),'2024数据'!$L$3:$L$152,"&lt;="&amp;DATE(2024,5,31),'2024数据'!$B$3:$B$152,$E797)/10000</f>
        <v>0</v>
      </c>
      <c r="K797" s="121">
        <f>SUMIFS('2024数据'!$AX$3:$AX$152,'2024数据'!$L$3:$L$152,"&gt;="&amp;DATE(2024,6,1),'2024数据'!$L$3:$L$152,"&lt;="&amp;DATE(2024,6,30),'2024数据'!$B$3:$B$152,$E797)/10000</f>
        <v>0</v>
      </c>
      <c r="L797" s="121">
        <f>SUMIFS('2024数据'!$AX$3:$AX$152,'2024数据'!$L$3:$L$152,"&gt;="&amp;DATE(2024,7,1),'2024数据'!$L$3:$L$152,"&lt;="&amp;DATE(2024,7,31),'2024数据'!$B$3:$B$152,$E797)/10000</f>
        <v>0</v>
      </c>
      <c r="M797" s="121">
        <f>SUMIFS('2024数据'!$AX$3:$AX$152,'2024数据'!$L$3:$L$152,"&gt;="&amp;DATE(2024,8,1),'2024数据'!$L$3:$L$152,"&lt;="&amp;DATE(2024,8,31),'2024数据'!$B$3:$B$152,$E797)/10000</f>
        <v>0</v>
      </c>
      <c r="N797" s="121">
        <f>SUMIFS('2024数据'!$AX$3:$AX$152,'2024数据'!$L$3:$L$152,"&gt;="&amp;DATE(2024,9,1),'2024数据'!$L$3:$L$152,"&lt;="&amp;DATE(2024,9,30),'2024数据'!$B$3:$B$152,$E797)/10000</f>
        <v>1.858677</v>
      </c>
      <c r="O797" s="121">
        <f>SUMIFS('2024数据'!$AX$3:$AX$152,'2024数据'!$L$3:$L$152,"&gt;="&amp;DATE(2024,10,1),'2024数据'!$L$3:$L$152,"&lt;="&amp;DATE(2024,10,31),'2024数据'!$B$3:$B$152,$E797)/10000</f>
        <v>0</v>
      </c>
      <c r="P797" s="121">
        <f>SUMIFS('2024数据'!$AX$3:$AX$152,'2024数据'!$L$3:$L$152,"&gt;="&amp;DATE(2024,11,1),'2024数据'!$L$3:$L$152,"&lt;="&amp;DATE(2024,11,30),'2024数据'!$B$3:$B$152,$E797)/10000</f>
        <v>0</v>
      </c>
      <c r="Q797" s="121">
        <f>SUMIFS('2024数据'!$AX$3:$AX$152,'2024数据'!$L$3:$L$152,"&gt;="&amp;DATE(2024,12,1),'2024数据'!$L$3:$L$152,"&lt;="&amp;DATE(2024,12,31),'2024数据'!$B$3:$B$152,$E797)/10000</f>
        <v>0</v>
      </c>
    </row>
    <row r="798" ht="24" customHeight="1" spans="1:17">
      <c r="A798" s="99" t="s">
        <v>346</v>
      </c>
      <c r="B798" s="99" t="s">
        <v>299</v>
      </c>
      <c r="C798" s="99" t="s">
        <v>333</v>
      </c>
      <c r="D798" s="47" t="s">
        <v>294</v>
      </c>
      <c r="E798" s="47" t="s">
        <v>160</v>
      </c>
      <c r="F798" s="121">
        <f t="shared" ref="F798:Q798" si="585">SUM(F788:F793)-SUM(F794:F797)</f>
        <v>0</v>
      </c>
      <c r="G798" s="121">
        <f t="shared" si="585"/>
        <v>0</v>
      </c>
      <c r="H798" s="121">
        <f t="shared" si="585"/>
        <v>0</v>
      </c>
      <c r="I798" s="121">
        <f t="shared" si="585"/>
        <v>0</v>
      </c>
      <c r="J798" s="121">
        <f t="shared" si="585"/>
        <v>0</v>
      </c>
      <c r="K798" s="121">
        <f t="shared" si="585"/>
        <v>0</v>
      </c>
      <c r="L798" s="121">
        <f t="shared" si="585"/>
        <v>0</v>
      </c>
      <c r="M798" s="121">
        <f t="shared" si="585"/>
        <v>0</v>
      </c>
      <c r="N798" s="121">
        <f t="shared" si="585"/>
        <v>0</v>
      </c>
      <c r="O798" s="121">
        <f t="shared" si="585"/>
        <v>0</v>
      </c>
      <c r="P798" s="121">
        <f t="shared" si="585"/>
        <v>0</v>
      </c>
      <c r="Q798" s="121">
        <f t="shared" si="585"/>
        <v>0</v>
      </c>
    </row>
    <row r="799" ht="24" customHeight="1" spans="1:17">
      <c r="A799" s="99" t="s">
        <v>346</v>
      </c>
      <c r="B799" s="99" t="s">
        <v>299</v>
      </c>
      <c r="C799" s="99" t="s">
        <v>336</v>
      </c>
      <c r="D799" s="114" t="s">
        <v>292</v>
      </c>
      <c r="E799" s="114" t="s">
        <v>300</v>
      </c>
      <c r="F799" s="120">
        <f t="shared" ref="F799:Q799" si="586">SUM(F800:F805)</f>
        <v>4.384582</v>
      </c>
      <c r="G799" s="120">
        <f t="shared" si="586"/>
        <v>0.877399</v>
      </c>
      <c r="H799" s="120">
        <f t="shared" si="586"/>
        <v>3.73774</v>
      </c>
      <c r="I799" s="120">
        <f t="shared" si="586"/>
        <v>0.141951</v>
      </c>
      <c r="J799" s="120">
        <f t="shared" si="586"/>
        <v>1.324726</v>
      </c>
      <c r="K799" s="120">
        <f t="shared" si="586"/>
        <v>0.758214</v>
      </c>
      <c r="L799" s="120">
        <f t="shared" si="586"/>
        <v>0.637791</v>
      </c>
      <c r="M799" s="120">
        <f t="shared" si="586"/>
        <v>3.826229</v>
      </c>
      <c r="N799" s="120">
        <f t="shared" si="586"/>
        <v>7.581466</v>
      </c>
      <c r="O799" s="120">
        <f t="shared" si="586"/>
        <v>6.68413</v>
      </c>
      <c r="P799" s="120">
        <f t="shared" si="586"/>
        <v>8.35129</v>
      </c>
      <c r="Q799" s="120">
        <f t="shared" si="586"/>
        <v>2.96778</v>
      </c>
    </row>
    <row r="800" ht="24" customHeight="1" spans="1:17">
      <c r="A800" s="99" t="s">
        <v>346</v>
      </c>
      <c r="B800" s="99" t="s">
        <v>299</v>
      </c>
      <c r="C800" s="99" t="s">
        <v>336</v>
      </c>
      <c r="D800" s="48" t="s">
        <v>31</v>
      </c>
      <c r="E800" s="48" t="s">
        <v>406</v>
      </c>
      <c r="F800" s="121">
        <f>SUMIFS('2024数据'!$AV$3:$AV$152,'2024数据'!$L$3:$L$152,"&gt;="&amp;DATE(2024,1,1),'2024数据'!$L$3:$L$152,"&lt;="&amp;DATE(2024,1,31),'2024数据'!$AE$3:$AE$152,$E800)/10000</f>
        <v>1.303895</v>
      </c>
      <c r="G800" s="121">
        <f>SUMIFS('2024数据'!$AV$3:$AV$152,'2024数据'!$L$3:$L$152,"&gt;="&amp;DATE(2024,2,1),'2024数据'!$L$3:$L$152,"&lt;="&amp;DATE(2024,2,29),'2024数据'!$AE$3:$AE$152,$E800)/10000</f>
        <v>0.078178</v>
      </c>
      <c r="H800" s="121">
        <f>SUMIFS('2024数据'!$AV$3:$AV$152,'2024数据'!$L$3:$L$152,"&gt;="&amp;DATE(2024,3,1),'2024数据'!$L$3:$L$152,"&lt;="&amp;DATE(2024,3,31),'2024数据'!$AE$3:$AE$152,$E800)/10000</f>
        <v>2.036858</v>
      </c>
      <c r="I800" s="121">
        <f>SUMIFS('2024数据'!$AV$3:$AV$152,'2024数据'!$L$3:$L$152,"&gt;="&amp;DATE(2024,4,1),'2024数据'!$L$3:$L$152,"&lt;="&amp;DATE(2024,4,30),'2024数据'!$AE$3:$AE$152,$E800)/10000</f>
        <v>0</v>
      </c>
      <c r="J800" s="121">
        <f>SUMIFS('2024数据'!$AV$3:$AV$152,'2024数据'!$L$3:$L$152,"&gt;="&amp;DATE(2024,5,1),'2024数据'!$L$3:$L$152,"&lt;="&amp;DATE(2024,5,31),'2024数据'!$AE$3:$AE$152,$E800)/10000</f>
        <v>0</v>
      </c>
      <c r="K800" s="121">
        <f>SUMIFS('2024数据'!$AV$3:$AV$152,'2024数据'!$L$3:$L$152,"&gt;="&amp;DATE(2024,6,1),'2024数据'!$L$3:$L$152,"&lt;="&amp;DATE(2024,6,30),'2024数据'!$AE$3:$AE$152,$E800)/10000</f>
        <v>0.330733</v>
      </c>
      <c r="L800" s="121">
        <f>SUMIFS('2024数据'!$AV$3:$AV$152,'2024数据'!$L$3:$L$152,"&gt;="&amp;DATE(2024,7,1),'2024数据'!$L$3:$L$152,"&lt;="&amp;DATE(2024,7,31),'2024数据'!$AE$3:$AE$152,$E800)/10000</f>
        <v>0.478175</v>
      </c>
      <c r="M800" s="121">
        <f>SUMIFS('2024数据'!$AV$3:$AV$152,'2024数据'!$L$3:$L$152,"&gt;="&amp;DATE(2024,8,1),'2024数据'!$L$3:$L$152,"&lt;="&amp;DATE(2024,8,31),'2024数据'!$AE$3:$AE$152,$E800)/10000</f>
        <v>0</v>
      </c>
      <c r="N800" s="121">
        <f>SUMIFS('2024数据'!$AV$3:$AV$152,'2024数据'!$L$3:$L$152,"&gt;="&amp;DATE(2024,9,1),'2024数据'!$L$3:$L$152,"&lt;="&amp;DATE(2024,9,30),'2024数据'!$AE$3:$AE$152,$E800)/10000</f>
        <v>3.625106</v>
      </c>
      <c r="O800" s="121">
        <f>SUMIFS('2024数据'!$AV$3:$AV$152,'2024数据'!$L$3:$L$152,"&gt;="&amp;DATE(2024,10,1),'2024数据'!$L$3:$L$152,"&lt;="&amp;DATE(2024,10,31),'2024数据'!$AE$3:$AE$152,$E800)/10000</f>
        <v>1.953461</v>
      </c>
      <c r="P800" s="121">
        <f>SUMIFS('2024数据'!$AV$3:$AV$152,'2024数据'!$L$3:$L$152,"&gt;="&amp;DATE(2024,11,1),'2024数据'!$L$3:$L$152,"&lt;="&amp;DATE(2024,11,30),'2024数据'!$AE$3:$AE$152,$E800)/10000</f>
        <v>2.90608</v>
      </c>
      <c r="Q800" s="121">
        <f>SUMIFS('2024数据'!$AV$3:$AV$152,'2024数据'!$L$3:$L$152,"&gt;="&amp;DATE(2024,12,1),'2024数据'!$L$3:$L$152,"&lt;="&amp;DATE(2024,12,31),'2024数据'!$AE$3:$AE$152,$E800)/10000</f>
        <v>0.291646</v>
      </c>
    </row>
    <row r="801" ht="24" customHeight="1" spans="1:17">
      <c r="A801" s="99" t="s">
        <v>346</v>
      </c>
      <c r="B801" s="99" t="s">
        <v>299</v>
      </c>
      <c r="C801" s="99" t="s">
        <v>336</v>
      </c>
      <c r="D801" s="48" t="s">
        <v>31</v>
      </c>
      <c r="E801" s="48" t="s">
        <v>82</v>
      </c>
      <c r="F801" s="121">
        <f>SUMIFS('2024数据'!$AV$3:$AV$152,'2024数据'!$L$3:$L$152,"&gt;="&amp;DATE(2024,1,1),'2024数据'!$L$3:$L$152,"&lt;="&amp;DATE(2024,1,31),'2024数据'!$AE$3:$AE$152,$E801)/10000</f>
        <v>2.950142</v>
      </c>
      <c r="G801" s="121">
        <f>SUMIFS('2024数据'!$AV$3:$AV$152,'2024数据'!$L$3:$L$152,"&gt;="&amp;DATE(2024,2,1),'2024数据'!$L$3:$L$152,"&lt;="&amp;DATE(2024,2,29),'2024数据'!$AE$3:$AE$152,$E801)/10000</f>
        <v>0.457388</v>
      </c>
      <c r="H801" s="121">
        <f>SUMIFS('2024数据'!$AV$3:$AV$152,'2024数据'!$L$3:$L$152,"&gt;="&amp;DATE(2024,3,1),'2024数据'!$L$3:$L$152,"&lt;="&amp;DATE(2024,3,31),'2024数据'!$AE$3:$AE$152,$E801)/10000</f>
        <v>0.864321</v>
      </c>
      <c r="I801" s="121">
        <f>SUMIFS('2024数据'!$AV$3:$AV$152,'2024数据'!$L$3:$L$152,"&gt;="&amp;DATE(2024,4,1),'2024数据'!$L$3:$L$152,"&lt;="&amp;DATE(2024,4,30),'2024数据'!$AE$3:$AE$152,$E801)/10000</f>
        <v>0</v>
      </c>
      <c r="J801" s="121">
        <f>SUMIFS('2024数据'!$AV$3:$AV$152,'2024数据'!$L$3:$L$152,"&gt;="&amp;DATE(2024,5,1),'2024数据'!$L$3:$L$152,"&lt;="&amp;DATE(2024,5,31),'2024数据'!$AE$3:$AE$152,$E801)/10000</f>
        <v>0.164545</v>
      </c>
      <c r="K801" s="121">
        <f>SUMIFS('2024数据'!$AV$3:$AV$152,'2024数据'!$L$3:$L$152,"&gt;="&amp;DATE(2024,6,1),'2024数据'!$L$3:$L$152,"&lt;="&amp;DATE(2024,6,30),'2024数据'!$AE$3:$AE$152,$E801)/10000</f>
        <v>0</v>
      </c>
      <c r="L801" s="121">
        <f>SUMIFS('2024数据'!$AV$3:$AV$152,'2024数据'!$L$3:$L$152,"&gt;="&amp;DATE(2024,7,1),'2024数据'!$L$3:$L$152,"&lt;="&amp;DATE(2024,7,31),'2024数据'!$AE$3:$AE$152,$E801)/10000</f>
        <v>0.159616</v>
      </c>
      <c r="M801" s="121">
        <f>SUMIFS('2024数据'!$AV$3:$AV$152,'2024数据'!$L$3:$L$152,"&gt;="&amp;DATE(2024,8,1),'2024数据'!$L$3:$L$152,"&lt;="&amp;DATE(2024,8,31),'2024数据'!$AE$3:$AE$152,$E801)/10000</f>
        <v>0.332841</v>
      </c>
      <c r="N801" s="121">
        <f>SUMIFS('2024数据'!$AV$3:$AV$152,'2024数据'!$L$3:$L$152,"&gt;="&amp;DATE(2024,9,1),'2024数据'!$L$3:$L$152,"&lt;="&amp;DATE(2024,9,30),'2024数据'!$AE$3:$AE$152,$E801)/10000</f>
        <v>0.551196</v>
      </c>
      <c r="O801" s="121">
        <f>SUMIFS('2024数据'!$AV$3:$AV$152,'2024数据'!$L$3:$L$152,"&gt;="&amp;DATE(2024,10,1),'2024数据'!$L$3:$L$152,"&lt;="&amp;DATE(2024,10,31),'2024数据'!$AE$3:$AE$152,$E801)/10000</f>
        <v>0</v>
      </c>
      <c r="P801" s="121">
        <f>SUMIFS('2024数据'!$AV$3:$AV$152,'2024数据'!$L$3:$L$152,"&gt;="&amp;DATE(2024,11,1),'2024数据'!$L$3:$L$152,"&lt;="&amp;DATE(2024,11,30),'2024数据'!$AE$3:$AE$152,$E801)/10000</f>
        <v>0</v>
      </c>
      <c r="Q801" s="121">
        <f>SUMIFS('2024数据'!$AV$3:$AV$152,'2024数据'!$L$3:$L$152,"&gt;="&amp;DATE(2024,12,1),'2024数据'!$L$3:$L$152,"&lt;="&amp;DATE(2024,12,31),'2024数据'!$AE$3:$AE$152,$E801)/10000</f>
        <v>1.063294</v>
      </c>
    </row>
    <row r="802" ht="24" customHeight="1" spans="1:17">
      <c r="A802" s="99" t="s">
        <v>346</v>
      </c>
      <c r="B802" s="99" t="s">
        <v>299</v>
      </c>
      <c r="C802" s="99" t="s">
        <v>336</v>
      </c>
      <c r="D802" s="48" t="s">
        <v>31</v>
      </c>
      <c r="E802" s="48" t="s">
        <v>86</v>
      </c>
      <c r="F802" s="121">
        <f>SUMIFS('2024数据'!$AV$3:$AV$152,'2024数据'!$L$3:$L$152,"&gt;="&amp;DATE(2024,1,1),'2024数据'!$L$3:$L$152,"&lt;="&amp;DATE(2024,1,31),'2024数据'!$AE$3:$AE$152,$E802)/10000</f>
        <v>0.130545</v>
      </c>
      <c r="G802" s="121">
        <f>SUMIFS('2024数据'!$AV$3:$AV$152,'2024数据'!$L$3:$L$152,"&gt;="&amp;DATE(2024,2,1),'2024数据'!$L$3:$L$152,"&lt;="&amp;DATE(2024,2,29),'2024数据'!$AE$3:$AE$152,$E802)/10000</f>
        <v>0</v>
      </c>
      <c r="H802" s="121">
        <f>SUMIFS('2024数据'!$AV$3:$AV$152,'2024数据'!$L$3:$L$152,"&gt;="&amp;DATE(2024,3,1),'2024数据'!$L$3:$L$152,"&lt;="&amp;DATE(2024,3,31),'2024数据'!$AE$3:$AE$152,$E802)/10000</f>
        <v>0.398022</v>
      </c>
      <c r="I802" s="121">
        <f>SUMIFS('2024数据'!$AV$3:$AV$152,'2024数据'!$L$3:$L$152,"&gt;="&amp;DATE(2024,4,1),'2024数据'!$L$3:$L$152,"&lt;="&amp;DATE(2024,4,30),'2024数据'!$AE$3:$AE$152,$E802)/10000</f>
        <v>0.141951</v>
      </c>
      <c r="J802" s="121">
        <f>SUMIFS('2024数据'!$AV$3:$AV$152,'2024数据'!$L$3:$L$152,"&gt;="&amp;DATE(2024,5,1),'2024数据'!$L$3:$L$152,"&lt;="&amp;DATE(2024,5,31),'2024数据'!$AE$3:$AE$152,$E802)/10000</f>
        <v>1.160181</v>
      </c>
      <c r="K802" s="121">
        <f>SUMIFS('2024数据'!$AV$3:$AV$152,'2024数据'!$L$3:$L$152,"&gt;="&amp;DATE(2024,6,1),'2024数据'!$L$3:$L$152,"&lt;="&amp;DATE(2024,6,30),'2024数据'!$AE$3:$AE$152,$E802)/10000</f>
        <v>0.427481</v>
      </c>
      <c r="L802" s="121">
        <f>SUMIFS('2024数据'!$AV$3:$AV$152,'2024数据'!$L$3:$L$152,"&gt;="&amp;DATE(2024,7,1),'2024数据'!$L$3:$L$152,"&lt;="&amp;DATE(2024,7,31),'2024数据'!$AE$3:$AE$152,$E802)/10000</f>
        <v>0</v>
      </c>
      <c r="M802" s="121">
        <f>SUMIFS('2024数据'!$AV$3:$AV$152,'2024数据'!$L$3:$L$152,"&gt;="&amp;DATE(2024,8,1),'2024数据'!$L$3:$L$152,"&lt;="&amp;DATE(2024,8,31),'2024数据'!$AE$3:$AE$152,$E802)/10000</f>
        <v>1.148292</v>
      </c>
      <c r="N802" s="121">
        <f>SUMIFS('2024数据'!$AV$3:$AV$152,'2024数据'!$L$3:$L$152,"&gt;="&amp;DATE(2024,9,1),'2024数据'!$L$3:$L$152,"&lt;="&amp;DATE(2024,9,30),'2024数据'!$AE$3:$AE$152,$E802)/10000</f>
        <v>3.405164</v>
      </c>
      <c r="O802" s="121">
        <f>SUMIFS('2024数据'!$AV$3:$AV$152,'2024数据'!$L$3:$L$152,"&gt;="&amp;DATE(2024,10,1),'2024数据'!$L$3:$L$152,"&lt;="&amp;DATE(2024,10,31),'2024数据'!$AE$3:$AE$152,$E802)/10000</f>
        <v>2.097266</v>
      </c>
      <c r="P802" s="121">
        <f>SUMIFS('2024数据'!$AV$3:$AV$152,'2024数据'!$L$3:$L$152,"&gt;="&amp;DATE(2024,11,1),'2024数据'!$L$3:$L$152,"&lt;="&amp;DATE(2024,11,30),'2024数据'!$AE$3:$AE$152,$E802)/10000</f>
        <v>1.18882</v>
      </c>
      <c r="Q802" s="121">
        <f>SUMIFS('2024数据'!$AV$3:$AV$152,'2024数据'!$L$3:$L$152,"&gt;="&amp;DATE(2024,12,1),'2024数据'!$L$3:$L$152,"&lt;="&amp;DATE(2024,12,31),'2024数据'!$AE$3:$AE$152,$E802)/10000</f>
        <v>1.491233</v>
      </c>
    </row>
    <row r="803" ht="24" customHeight="1" spans="1:17">
      <c r="A803" s="99" t="s">
        <v>346</v>
      </c>
      <c r="B803" s="99" t="s">
        <v>299</v>
      </c>
      <c r="C803" s="99" t="s">
        <v>336</v>
      </c>
      <c r="D803" s="48" t="s">
        <v>31</v>
      </c>
      <c r="E803" s="48" t="s">
        <v>97</v>
      </c>
      <c r="F803" s="121">
        <f>SUMIFS('2024数据'!$AV$3:$AV$152,'2024数据'!$L$3:$L$152,"&gt;="&amp;DATE(2024,1,1),'2024数据'!$L$3:$L$152,"&lt;="&amp;DATE(2024,1,31),'2024数据'!$AE$3:$AE$152,$E803)/10000</f>
        <v>0</v>
      </c>
      <c r="G803" s="121">
        <f>SUMIFS('2024数据'!$AV$3:$AV$152,'2024数据'!$L$3:$L$152,"&gt;="&amp;DATE(2024,2,1),'2024数据'!$L$3:$L$152,"&lt;="&amp;DATE(2024,2,29),'2024数据'!$AE$3:$AE$152,$E803)/10000</f>
        <v>0</v>
      </c>
      <c r="H803" s="121">
        <f>SUMIFS('2024数据'!$AV$3:$AV$152,'2024数据'!$L$3:$L$152,"&gt;="&amp;DATE(2024,3,1),'2024数据'!$L$3:$L$152,"&lt;="&amp;DATE(2024,3,31),'2024数据'!$AE$3:$AE$152,$E803)/10000</f>
        <v>0.438539</v>
      </c>
      <c r="I803" s="121">
        <f>SUMIFS('2024数据'!$AV$3:$AV$152,'2024数据'!$L$3:$L$152,"&gt;="&amp;DATE(2024,4,1),'2024数据'!$L$3:$L$152,"&lt;="&amp;DATE(2024,4,30),'2024数据'!$AE$3:$AE$152,$E803)/10000</f>
        <v>0</v>
      </c>
      <c r="J803" s="121">
        <f>SUMIFS('2024数据'!$AV$3:$AV$152,'2024数据'!$L$3:$L$152,"&gt;="&amp;DATE(2024,5,1),'2024数据'!$L$3:$L$152,"&lt;="&amp;DATE(2024,5,31),'2024数据'!$AE$3:$AE$152,$E803)/10000</f>
        <v>0</v>
      </c>
      <c r="K803" s="121">
        <f>SUMIFS('2024数据'!$AV$3:$AV$152,'2024数据'!$L$3:$L$152,"&gt;="&amp;DATE(2024,6,1),'2024数据'!$L$3:$L$152,"&lt;="&amp;DATE(2024,6,30),'2024数据'!$AE$3:$AE$152,$E803)/10000</f>
        <v>0</v>
      </c>
      <c r="L803" s="121">
        <f>SUMIFS('2024数据'!$AV$3:$AV$152,'2024数据'!$L$3:$L$152,"&gt;="&amp;DATE(2024,7,1),'2024数据'!$L$3:$L$152,"&lt;="&amp;DATE(2024,7,31),'2024数据'!$AE$3:$AE$152,$E803)/10000</f>
        <v>0</v>
      </c>
      <c r="M803" s="121">
        <f>SUMIFS('2024数据'!$AV$3:$AV$152,'2024数据'!$L$3:$L$152,"&gt;="&amp;DATE(2024,8,1),'2024数据'!$L$3:$L$152,"&lt;="&amp;DATE(2024,8,31),'2024数据'!$AE$3:$AE$152,$E803)/10000</f>
        <v>1.899067</v>
      </c>
      <c r="N803" s="121">
        <f>SUMIFS('2024数据'!$AV$3:$AV$152,'2024数据'!$L$3:$L$152,"&gt;="&amp;DATE(2024,9,1),'2024数据'!$L$3:$L$152,"&lt;="&amp;DATE(2024,9,30),'2024数据'!$AE$3:$AE$152,$E803)/10000</f>
        <v>0</v>
      </c>
      <c r="O803" s="121">
        <f>SUMIFS('2024数据'!$AV$3:$AV$152,'2024数据'!$L$3:$L$152,"&gt;="&amp;DATE(2024,10,1),'2024数据'!$L$3:$L$152,"&lt;="&amp;DATE(2024,10,31),'2024数据'!$AE$3:$AE$152,$E803)/10000</f>
        <v>2.633403</v>
      </c>
      <c r="P803" s="121">
        <f>SUMIFS('2024数据'!$AV$3:$AV$152,'2024数据'!$L$3:$L$152,"&gt;="&amp;DATE(2024,11,1),'2024数据'!$L$3:$L$152,"&lt;="&amp;DATE(2024,11,30),'2024数据'!$AE$3:$AE$152,$E803)/10000</f>
        <v>4.240915</v>
      </c>
      <c r="Q803" s="121">
        <f>SUMIFS('2024数据'!$AV$3:$AV$152,'2024数据'!$L$3:$L$152,"&gt;="&amp;DATE(2024,12,1),'2024数据'!$L$3:$L$152,"&lt;="&amp;DATE(2024,12,31),'2024数据'!$AE$3:$AE$152,$E803)/10000</f>
        <v>0</v>
      </c>
    </row>
    <row r="804" ht="24" customHeight="1" spans="1:17">
      <c r="A804" s="99" t="s">
        <v>346</v>
      </c>
      <c r="B804" s="99" t="s">
        <v>299</v>
      </c>
      <c r="C804" s="99" t="s">
        <v>336</v>
      </c>
      <c r="D804" s="48" t="s">
        <v>31</v>
      </c>
      <c r="E804" s="48" t="s">
        <v>87</v>
      </c>
      <c r="F804" s="121">
        <f>SUMIFS('2024数据'!$AV$3:$AV$152,'2024数据'!$L$3:$L$152,"&gt;="&amp;DATE(2024,1,1),'2024数据'!$L$3:$L$152,"&lt;="&amp;DATE(2024,1,31),'2024数据'!$AE$3:$AE$152,$E804)/10000</f>
        <v>0</v>
      </c>
      <c r="G804" s="121">
        <f>SUMIFS('2024数据'!$AV$3:$AV$152,'2024数据'!$L$3:$L$152,"&gt;="&amp;DATE(2024,2,1),'2024数据'!$L$3:$L$152,"&lt;="&amp;DATE(2024,2,29),'2024数据'!$AE$3:$AE$152,$E804)/10000</f>
        <v>0.341833</v>
      </c>
      <c r="H804" s="121">
        <f>SUMIFS('2024数据'!$AV$3:$AV$152,'2024数据'!$L$3:$L$152,"&gt;="&amp;DATE(2024,3,1),'2024数据'!$L$3:$L$152,"&lt;="&amp;DATE(2024,3,31),'2024数据'!$AE$3:$AE$152,$E804)/10000</f>
        <v>0</v>
      </c>
      <c r="I804" s="121">
        <f>SUMIFS('2024数据'!$AV$3:$AV$152,'2024数据'!$L$3:$L$152,"&gt;="&amp;DATE(2024,4,1),'2024数据'!$L$3:$L$152,"&lt;="&amp;DATE(2024,4,30),'2024数据'!$AE$3:$AE$152,$E804)/10000</f>
        <v>0</v>
      </c>
      <c r="J804" s="121">
        <f>SUMIFS('2024数据'!$AV$3:$AV$152,'2024数据'!$L$3:$L$152,"&gt;="&amp;DATE(2024,5,1),'2024数据'!$L$3:$L$152,"&lt;="&amp;DATE(2024,5,31),'2024数据'!$AE$3:$AE$152,$E804)/10000</f>
        <v>0</v>
      </c>
      <c r="K804" s="121">
        <f>SUMIFS('2024数据'!$AV$3:$AV$152,'2024数据'!$L$3:$L$152,"&gt;="&amp;DATE(2024,6,1),'2024数据'!$L$3:$L$152,"&lt;="&amp;DATE(2024,6,30),'2024数据'!$AE$3:$AE$152,$E804)/10000</f>
        <v>0</v>
      </c>
      <c r="L804" s="121">
        <f>SUMIFS('2024数据'!$AV$3:$AV$152,'2024数据'!$L$3:$L$152,"&gt;="&amp;DATE(2024,7,1),'2024数据'!$L$3:$L$152,"&lt;="&amp;DATE(2024,7,31),'2024数据'!$AE$3:$AE$152,$E804)/10000</f>
        <v>0</v>
      </c>
      <c r="M804" s="121">
        <f>SUMIFS('2024数据'!$AV$3:$AV$152,'2024数据'!$L$3:$L$152,"&gt;="&amp;DATE(2024,8,1),'2024数据'!$L$3:$L$152,"&lt;="&amp;DATE(2024,8,31),'2024数据'!$AE$3:$AE$152,$E804)/10000</f>
        <v>0.446029</v>
      </c>
      <c r="N804" s="121">
        <f>SUMIFS('2024数据'!$AV$3:$AV$152,'2024数据'!$L$3:$L$152,"&gt;="&amp;DATE(2024,9,1),'2024数据'!$L$3:$L$152,"&lt;="&amp;DATE(2024,9,30),'2024数据'!$AE$3:$AE$152,$E804)/10000</f>
        <v>0</v>
      </c>
      <c r="O804" s="121">
        <f>SUMIFS('2024数据'!$AV$3:$AV$152,'2024数据'!$L$3:$L$152,"&gt;="&amp;DATE(2024,10,1),'2024数据'!$L$3:$L$152,"&lt;="&amp;DATE(2024,10,31),'2024数据'!$AE$3:$AE$152,$E804)/10000</f>
        <v>0</v>
      </c>
      <c r="P804" s="121">
        <f>SUMIFS('2024数据'!$AV$3:$AV$152,'2024数据'!$L$3:$L$152,"&gt;="&amp;DATE(2024,11,1),'2024数据'!$L$3:$L$152,"&lt;="&amp;DATE(2024,11,30),'2024数据'!$AE$3:$AE$152,$E804)/10000</f>
        <v>0.015475</v>
      </c>
      <c r="Q804" s="121">
        <f>SUMIFS('2024数据'!$AV$3:$AV$152,'2024数据'!$L$3:$L$152,"&gt;="&amp;DATE(2024,12,1),'2024数据'!$L$3:$L$152,"&lt;="&amp;DATE(2024,12,31),'2024数据'!$AE$3:$AE$152,$E804)/10000</f>
        <v>0.121607</v>
      </c>
    </row>
    <row r="805" ht="24" customHeight="1" spans="1:17">
      <c r="A805" s="99" t="s">
        <v>346</v>
      </c>
      <c r="B805" s="99" t="s">
        <v>299</v>
      </c>
      <c r="C805" s="99" t="s">
        <v>336</v>
      </c>
      <c r="D805" s="48" t="s">
        <v>31</v>
      </c>
      <c r="E805" s="48" t="s">
        <v>83</v>
      </c>
      <c r="F805" s="121">
        <f>SUMIFS('2024数据'!$AV$3:$AV$152,'2024数据'!$L$3:$L$152,"&gt;="&amp;DATE(2024,1,1),'2024数据'!$L$3:$L$152,"&lt;="&amp;DATE(2024,1,31),'2024数据'!$AE$3:$AE$152,$E805)/10000</f>
        <v>0</v>
      </c>
      <c r="G805" s="121">
        <f>SUMIFS('2024数据'!$AV$3:$AV$152,'2024数据'!$L$3:$L$152,"&gt;="&amp;DATE(2024,2,1),'2024数据'!$L$3:$L$152,"&lt;="&amp;DATE(2024,2,29),'2024数据'!$AE$3:$AE$152,$E805)/10000</f>
        <v>0</v>
      </c>
      <c r="H805" s="121">
        <f>SUMIFS('2024数据'!$AV$3:$AV$152,'2024数据'!$L$3:$L$152,"&gt;="&amp;DATE(2024,3,1),'2024数据'!$L$3:$L$152,"&lt;="&amp;DATE(2024,3,31),'2024数据'!$AE$3:$AE$152,$E805)/10000</f>
        <v>0</v>
      </c>
      <c r="I805" s="121">
        <f>SUMIFS('2024数据'!$AV$3:$AV$152,'2024数据'!$L$3:$L$152,"&gt;="&amp;DATE(2024,4,1),'2024数据'!$L$3:$L$152,"&lt;="&amp;DATE(2024,4,30),'2024数据'!$AE$3:$AE$152,$E805)/10000</f>
        <v>0</v>
      </c>
      <c r="J805" s="121">
        <f>SUMIFS('2024数据'!$AV$3:$AV$152,'2024数据'!$L$3:$L$152,"&gt;="&amp;DATE(2024,5,1),'2024数据'!$L$3:$L$152,"&lt;="&amp;DATE(2024,5,31),'2024数据'!$AE$3:$AE$152,$E805)/10000</f>
        <v>0</v>
      </c>
      <c r="K805" s="121">
        <f>SUMIFS('2024数据'!$AV$3:$AV$152,'2024数据'!$L$3:$L$152,"&gt;="&amp;DATE(2024,6,1),'2024数据'!$L$3:$L$152,"&lt;="&amp;DATE(2024,6,30),'2024数据'!$AE$3:$AE$152,$E805)/10000</f>
        <v>0</v>
      </c>
      <c r="L805" s="121">
        <f>SUMIFS('2024数据'!$AV$3:$AV$152,'2024数据'!$L$3:$L$152,"&gt;="&amp;DATE(2024,7,1),'2024数据'!$L$3:$L$152,"&lt;="&amp;DATE(2024,7,31),'2024数据'!$AE$3:$AE$152,$E805)/10000</f>
        <v>0</v>
      </c>
      <c r="M805" s="121">
        <f>SUMIFS('2024数据'!$AV$3:$AV$152,'2024数据'!$L$3:$L$152,"&gt;="&amp;DATE(2024,8,1),'2024数据'!$L$3:$L$152,"&lt;="&amp;DATE(2024,8,31),'2024数据'!$AE$3:$AE$152,$E805)/10000</f>
        <v>0</v>
      </c>
      <c r="N805" s="121">
        <f>SUMIFS('2024数据'!$AV$3:$AV$152,'2024数据'!$L$3:$L$152,"&gt;="&amp;DATE(2024,9,1),'2024数据'!$L$3:$L$152,"&lt;="&amp;DATE(2024,9,30),'2024数据'!$AE$3:$AE$152,$E805)/10000</f>
        <v>0</v>
      </c>
      <c r="O805" s="121">
        <f>SUMIFS('2024数据'!$AV$3:$AV$152,'2024数据'!$L$3:$L$152,"&gt;="&amp;DATE(2024,10,1),'2024数据'!$L$3:$L$152,"&lt;="&amp;DATE(2024,10,31),'2024数据'!$AE$3:$AE$152,$E805)/10000</f>
        <v>0</v>
      </c>
      <c r="P805" s="121">
        <f>SUMIFS('2024数据'!$AV$3:$AV$152,'2024数据'!$L$3:$L$152,"&gt;="&amp;DATE(2024,11,1),'2024数据'!$L$3:$L$152,"&lt;="&amp;DATE(2024,11,30),'2024数据'!$AE$3:$AE$152,$E805)/10000</f>
        <v>0</v>
      </c>
      <c r="Q805" s="121">
        <f>SUMIFS('2024数据'!$AV$3:$AV$152,'2024数据'!$L$3:$L$152,"&gt;="&amp;DATE(2024,12,1),'2024数据'!$L$3:$L$152,"&lt;="&amp;DATE(2024,12,31),'2024数据'!$AE$3:$AE$152,$E805)/10000</f>
        <v>0</v>
      </c>
    </row>
    <row r="806" ht="24" customHeight="1" spans="1:17">
      <c r="A806" s="99" t="s">
        <v>346</v>
      </c>
      <c r="B806" s="99" t="s">
        <v>299</v>
      </c>
      <c r="C806" s="99" t="s">
        <v>336</v>
      </c>
      <c r="D806" s="47" t="s">
        <v>294</v>
      </c>
      <c r="E806" s="47" t="s">
        <v>93</v>
      </c>
      <c r="F806" s="121">
        <f>SUMIFS('2024数据'!$AV$3:$AV$152,'2024数据'!$L$3:$L$152,"&gt;="&amp;DATE(2024,1,1),'2024数据'!$L$3:$L$152,"&lt;="&amp;DATE(2024,1,31),'2024数据'!$B$3:$B$152,$E806)/10000</f>
        <v>1.757128</v>
      </c>
      <c r="G806" s="121">
        <f>SUMIFS('2024数据'!$AV$3:$AV$152,'2024数据'!$L$3:$L$152,"&gt;="&amp;DATE(2024,2,1),'2024数据'!$L$3:$L$152,"&lt;="&amp;DATE(2024,2,29),'2024数据'!$B$3:$B$152,$E806)/10000</f>
        <v>0.799221</v>
      </c>
      <c r="H806" s="121">
        <f>SUMIFS('2024数据'!$AV$3:$AV$152,'2024数据'!$L$3:$L$152,"&gt;="&amp;DATE(2024,3,1),'2024数据'!$L$3:$L$152,"&lt;="&amp;DATE(2024,3,31),'2024数据'!$B$3:$B$152,$E806)/10000</f>
        <v>2.486713</v>
      </c>
      <c r="I806" s="121">
        <f>SUMIFS('2024数据'!$AV$3:$AV$152,'2024数据'!$L$3:$L$152,"&gt;="&amp;DATE(2024,4,1),'2024数据'!$L$3:$L$152,"&lt;="&amp;DATE(2024,4,30),'2024数据'!$B$3:$B$152,$E806)/10000</f>
        <v>0</v>
      </c>
      <c r="J806" s="121">
        <f>SUMIFS('2024数据'!$AV$3:$AV$152,'2024数据'!$L$3:$L$152,"&gt;="&amp;DATE(2024,5,1),'2024数据'!$L$3:$L$152,"&lt;="&amp;DATE(2024,5,31),'2024数据'!$B$3:$B$152,$E806)/10000</f>
        <v>1.160181</v>
      </c>
      <c r="K806" s="121">
        <f>SUMIFS('2024数据'!$AV$3:$AV$152,'2024数据'!$L$3:$L$152,"&gt;="&amp;DATE(2024,6,1),'2024数据'!$L$3:$L$152,"&lt;="&amp;DATE(2024,6,30),'2024数据'!$B$3:$B$152,$E806)/10000</f>
        <v>0.427481</v>
      </c>
      <c r="L806" s="121">
        <f>SUMIFS('2024数据'!$AV$3:$AV$152,'2024数据'!$L$3:$L$152,"&gt;="&amp;DATE(2024,7,1),'2024数据'!$L$3:$L$152,"&lt;="&amp;DATE(2024,7,31),'2024数据'!$B$3:$B$152,$E806)/10000</f>
        <v>0.159616</v>
      </c>
      <c r="M806" s="121">
        <f>SUMIFS('2024数据'!$AV$3:$AV$152,'2024数据'!$L$3:$L$152,"&gt;="&amp;DATE(2024,8,1),'2024数据'!$L$3:$L$152,"&lt;="&amp;DATE(2024,8,31),'2024数据'!$B$3:$B$152,$E806)/10000</f>
        <v>3.129627</v>
      </c>
      <c r="N806" s="121">
        <f>SUMIFS('2024数据'!$AV$3:$AV$152,'2024数据'!$L$3:$L$152,"&gt;="&amp;DATE(2024,9,1),'2024数据'!$L$3:$L$152,"&lt;="&amp;DATE(2024,9,30),'2024数据'!$B$3:$B$152,$E806)/10000</f>
        <v>4.272305</v>
      </c>
      <c r="O806" s="121">
        <f>SUMIFS('2024数据'!$AV$3:$AV$152,'2024数据'!$L$3:$L$152,"&gt;="&amp;DATE(2024,10,1),'2024数据'!$L$3:$L$152,"&lt;="&amp;DATE(2024,10,31),'2024数据'!$B$3:$B$152,$E806)/10000</f>
        <v>2.543642</v>
      </c>
      <c r="P806" s="121">
        <f>SUMIFS('2024数据'!$AV$3:$AV$152,'2024数据'!$L$3:$L$152,"&gt;="&amp;DATE(2024,11,1),'2024数据'!$L$3:$L$152,"&lt;="&amp;DATE(2024,11,30),'2024数据'!$B$3:$B$152,$E806)/10000</f>
        <v>7.963041</v>
      </c>
      <c r="Q806" s="121">
        <f>SUMIFS('2024数据'!$AV$3:$AV$152,'2024数据'!$L$3:$L$152,"&gt;="&amp;DATE(2024,12,1),'2024数据'!$L$3:$L$152,"&lt;="&amp;DATE(2024,12,31),'2024数据'!$B$3:$B$152,$E806)/10000</f>
        <v>0.697797</v>
      </c>
    </row>
    <row r="807" ht="24" customHeight="1" spans="1:17">
      <c r="A807" s="99" t="s">
        <v>346</v>
      </c>
      <c r="B807" s="99" t="s">
        <v>299</v>
      </c>
      <c r="C807" s="99" t="s">
        <v>336</v>
      </c>
      <c r="D807" s="47" t="s">
        <v>294</v>
      </c>
      <c r="E807" s="47" t="s">
        <v>85</v>
      </c>
      <c r="F807" s="121">
        <f>SUMIFS('2024数据'!$AV$3:$AV$152,'2024数据'!$L$3:$L$152,"&gt;="&amp;DATE(2024,1,1),'2024数据'!$L$3:$L$152,"&lt;="&amp;DATE(2024,1,31),'2024数据'!$B$3:$B$152,$E807)/10000</f>
        <v>2.627454</v>
      </c>
      <c r="G807" s="121">
        <f>SUMIFS('2024数据'!$AV$3:$AV$152,'2024数据'!$L$3:$L$152,"&gt;="&amp;DATE(2024,2,1),'2024数据'!$L$3:$L$152,"&lt;="&amp;DATE(2024,2,29),'2024数据'!$B$3:$B$152,$E807)/10000</f>
        <v>0.078178</v>
      </c>
      <c r="H807" s="121">
        <f>SUMIFS('2024数据'!$AV$3:$AV$152,'2024数据'!$L$3:$L$152,"&gt;="&amp;DATE(2024,3,1),'2024数据'!$L$3:$L$152,"&lt;="&amp;DATE(2024,3,31),'2024数据'!$B$3:$B$152,$E807)/10000</f>
        <v>1.251027</v>
      </c>
      <c r="I807" s="121">
        <f>SUMIFS('2024数据'!$AV$3:$AV$152,'2024数据'!$L$3:$L$152,"&gt;="&amp;DATE(2024,4,1),'2024数据'!$L$3:$L$152,"&lt;="&amp;DATE(2024,4,30),'2024数据'!$B$3:$B$152,$E807)/10000</f>
        <v>0</v>
      </c>
      <c r="J807" s="121">
        <f>SUMIFS('2024数据'!$AV$3:$AV$152,'2024数据'!$L$3:$L$152,"&gt;="&amp;DATE(2024,5,1),'2024数据'!$L$3:$L$152,"&lt;="&amp;DATE(2024,5,31),'2024数据'!$B$3:$B$152,$E807)/10000</f>
        <v>0.164545</v>
      </c>
      <c r="K807" s="121">
        <f>SUMIFS('2024数据'!$AV$3:$AV$152,'2024数据'!$L$3:$L$152,"&gt;="&amp;DATE(2024,6,1),'2024数据'!$L$3:$L$152,"&lt;="&amp;DATE(2024,6,30),'2024数据'!$B$3:$B$152,$E807)/10000</f>
        <v>0.330733</v>
      </c>
      <c r="L807" s="121">
        <f>SUMIFS('2024数据'!$AV$3:$AV$152,'2024数据'!$L$3:$L$152,"&gt;="&amp;DATE(2024,7,1),'2024数据'!$L$3:$L$152,"&lt;="&amp;DATE(2024,7,31),'2024数据'!$B$3:$B$152,$E807)/10000</f>
        <v>0</v>
      </c>
      <c r="M807" s="121">
        <f>SUMIFS('2024数据'!$AV$3:$AV$152,'2024数据'!$L$3:$L$152,"&gt;="&amp;DATE(2024,8,1),'2024数据'!$L$3:$L$152,"&lt;="&amp;DATE(2024,8,31),'2024数据'!$B$3:$B$152,$E807)/10000</f>
        <v>0.696602</v>
      </c>
      <c r="N807" s="121">
        <f>SUMIFS('2024数据'!$AV$3:$AV$152,'2024数据'!$L$3:$L$152,"&gt;="&amp;DATE(2024,9,1),'2024数据'!$L$3:$L$152,"&lt;="&amp;DATE(2024,9,30),'2024数据'!$B$3:$B$152,$E807)/10000</f>
        <v>0.420714</v>
      </c>
      <c r="O807" s="121">
        <f>SUMIFS('2024数据'!$AV$3:$AV$152,'2024数据'!$L$3:$L$152,"&gt;="&amp;DATE(2024,10,1),'2024数据'!$L$3:$L$152,"&lt;="&amp;DATE(2024,10,31),'2024数据'!$B$3:$B$152,$E807)/10000</f>
        <v>0.855058</v>
      </c>
      <c r="P807" s="121">
        <f>SUMIFS('2024数据'!$AV$3:$AV$152,'2024数据'!$L$3:$L$152,"&gt;="&amp;DATE(2024,11,1),'2024数据'!$L$3:$L$152,"&lt;="&amp;DATE(2024,11,30),'2024数据'!$B$3:$B$152,$E807)/10000</f>
        <v>0.388249</v>
      </c>
      <c r="Q807" s="121">
        <f>SUMIFS('2024数据'!$AV$3:$AV$152,'2024数据'!$L$3:$L$152,"&gt;="&amp;DATE(2024,12,1),'2024数据'!$L$3:$L$152,"&lt;="&amp;DATE(2024,12,31),'2024数据'!$B$3:$B$152,$E807)/10000</f>
        <v>0.121607</v>
      </c>
    </row>
    <row r="808" ht="24" customHeight="1" spans="1:17">
      <c r="A808" s="99" t="s">
        <v>346</v>
      </c>
      <c r="B808" s="99" t="s">
        <v>299</v>
      </c>
      <c r="C808" s="99" t="s">
        <v>336</v>
      </c>
      <c r="D808" s="47" t="s">
        <v>294</v>
      </c>
      <c r="E808" s="47" t="s">
        <v>81</v>
      </c>
      <c r="F808" s="121">
        <f>SUMIFS('2024数据'!$AV$3:$AV$152,'2024数据'!$L$3:$L$152,"&gt;="&amp;DATE(2024,1,1),'2024数据'!$L$3:$L$152,"&lt;="&amp;DATE(2024,1,31),'2024数据'!$B$3:$B$152,$E808)/10000</f>
        <v>0</v>
      </c>
      <c r="G808" s="121">
        <f>SUMIFS('2024数据'!$AV$3:$AV$152,'2024数据'!$L$3:$L$152,"&gt;="&amp;DATE(2024,2,1),'2024数据'!$L$3:$L$152,"&lt;="&amp;DATE(2024,2,29),'2024数据'!$B$3:$B$152,$E808)/10000</f>
        <v>0</v>
      </c>
      <c r="H808" s="121">
        <f>SUMIFS('2024数据'!$AV$3:$AV$152,'2024数据'!$L$3:$L$152,"&gt;="&amp;DATE(2024,3,1),'2024数据'!$L$3:$L$152,"&lt;="&amp;DATE(2024,3,31),'2024数据'!$B$3:$B$152,$E808)/10000</f>
        <v>0</v>
      </c>
      <c r="I808" s="121">
        <f>SUMIFS('2024数据'!$AV$3:$AV$152,'2024数据'!$L$3:$L$152,"&gt;="&amp;DATE(2024,4,1),'2024数据'!$L$3:$L$152,"&lt;="&amp;DATE(2024,4,30),'2024数据'!$B$3:$B$152,$E808)/10000</f>
        <v>0.141951</v>
      </c>
      <c r="J808" s="121">
        <f>SUMIFS('2024数据'!$AV$3:$AV$152,'2024数据'!$L$3:$L$152,"&gt;="&amp;DATE(2024,5,1),'2024数据'!$L$3:$L$152,"&lt;="&amp;DATE(2024,5,31),'2024数据'!$B$3:$B$152,$E808)/10000</f>
        <v>0</v>
      </c>
      <c r="K808" s="121">
        <f>SUMIFS('2024数据'!$AV$3:$AV$152,'2024数据'!$L$3:$L$152,"&gt;="&amp;DATE(2024,6,1),'2024数据'!$L$3:$L$152,"&lt;="&amp;DATE(2024,6,30),'2024数据'!$B$3:$B$152,$E808)/10000</f>
        <v>0</v>
      </c>
      <c r="L808" s="121">
        <f>SUMIFS('2024数据'!$AV$3:$AV$152,'2024数据'!$L$3:$L$152,"&gt;="&amp;DATE(2024,7,1),'2024数据'!$L$3:$L$152,"&lt;="&amp;DATE(2024,7,31),'2024数据'!$B$3:$B$152,$E808)/10000</f>
        <v>0.478175</v>
      </c>
      <c r="M808" s="121">
        <f>SUMIFS('2024数据'!$AV$3:$AV$152,'2024数据'!$L$3:$L$152,"&gt;="&amp;DATE(2024,8,1),'2024数据'!$L$3:$L$152,"&lt;="&amp;DATE(2024,8,31),'2024数据'!$B$3:$B$152,$E808)/10000</f>
        <v>0</v>
      </c>
      <c r="N808" s="121">
        <f>SUMIFS('2024数据'!$AV$3:$AV$152,'2024数据'!$L$3:$L$152,"&gt;="&amp;DATE(2024,9,1),'2024数据'!$L$3:$L$152,"&lt;="&amp;DATE(2024,9,30),'2024数据'!$B$3:$B$152,$E808)/10000</f>
        <v>1.025201</v>
      </c>
      <c r="O808" s="121">
        <f>SUMIFS('2024数据'!$AV$3:$AV$152,'2024数据'!$L$3:$L$152,"&gt;="&amp;DATE(2024,10,1),'2024数据'!$L$3:$L$152,"&lt;="&amp;DATE(2024,10,31),'2024数据'!$B$3:$B$152,$E808)/10000</f>
        <v>3.28543</v>
      </c>
      <c r="P808" s="121">
        <f>SUMIFS('2024数据'!$AV$3:$AV$152,'2024数据'!$L$3:$L$152,"&gt;="&amp;DATE(2024,11,1),'2024数据'!$L$3:$L$152,"&lt;="&amp;DATE(2024,11,30),'2024数据'!$B$3:$B$152,$E808)/10000</f>
        <v>0</v>
      </c>
      <c r="Q808" s="121">
        <f>SUMIFS('2024数据'!$AV$3:$AV$152,'2024数据'!$L$3:$L$152,"&gt;="&amp;DATE(2024,12,1),'2024数据'!$L$3:$L$152,"&lt;="&amp;DATE(2024,12,31),'2024数据'!$B$3:$B$152,$E808)/10000</f>
        <v>2.148376</v>
      </c>
    </row>
    <row r="809" ht="24" customHeight="1" spans="1:17">
      <c r="A809" s="99" t="s">
        <v>346</v>
      </c>
      <c r="B809" s="99" t="s">
        <v>299</v>
      </c>
      <c r="C809" s="99" t="s">
        <v>336</v>
      </c>
      <c r="D809" s="47" t="s">
        <v>294</v>
      </c>
      <c r="E809" s="47" t="s">
        <v>96</v>
      </c>
      <c r="F809" s="121">
        <f>SUMIFS('2024数据'!$AV$3:$AV$152,'2024数据'!$L$3:$L$152,"&gt;="&amp;DATE(2024,1,1),'2024数据'!$L$3:$L$152,"&lt;="&amp;DATE(2024,1,31),'2024数据'!$B$3:$B$152,$E809)/10000</f>
        <v>0</v>
      </c>
      <c r="G809" s="121">
        <f>SUMIFS('2024数据'!$AV$3:$AV$152,'2024数据'!$L$3:$L$152,"&gt;="&amp;DATE(2024,2,1),'2024数据'!$L$3:$L$152,"&lt;="&amp;DATE(2024,2,29),'2024数据'!$B$3:$B$152,$E809)/10000</f>
        <v>0</v>
      </c>
      <c r="H809" s="121">
        <f>SUMIFS('2024数据'!$AV$3:$AV$152,'2024数据'!$L$3:$L$152,"&gt;="&amp;DATE(2024,3,1),'2024数据'!$L$3:$L$152,"&lt;="&amp;DATE(2024,3,31),'2024数据'!$B$3:$B$152,$E809)/10000</f>
        <v>0</v>
      </c>
      <c r="I809" s="121">
        <f>SUMIFS('2024数据'!$AV$3:$AV$152,'2024数据'!$L$3:$L$152,"&gt;="&amp;DATE(2024,4,1),'2024数据'!$L$3:$L$152,"&lt;="&amp;DATE(2024,4,30),'2024数据'!$B$3:$B$152,$E809)/10000</f>
        <v>0</v>
      </c>
      <c r="J809" s="121">
        <f>SUMIFS('2024数据'!$AV$3:$AV$152,'2024数据'!$L$3:$L$152,"&gt;="&amp;DATE(2024,5,1),'2024数据'!$L$3:$L$152,"&lt;="&amp;DATE(2024,5,31),'2024数据'!$B$3:$B$152,$E809)/10000</f>
        <v>0</v>
      </c>
      <c r="K809" s="121">
        <f>SUMIFS('2024数据'!$AV$3:$AV$152,'2024数据'!$L$3:$L$152,"&gt;="&amp;DATE(2024,6,1),'2024数据'!$L$3:$L$152,"&lt;="&amp;DATE(2024,6,30),'2024数据'!$B$3:$B$152,$E809)/10000</f>
        <v>0</v>
      </c>
      <c r="L809" s="121">
        <f>SUMIFS('2024数据'!$AV$3:$AV$152,'2024数据'!$L$3:$L$152,"&gt;="&amp;DATE(2024,7,1),'2024数据'!$L$3:$L$152,"&lt;="&amp;DATE(2024,7,31),'2024数据'!$B$3:$B$152,$E809)/10000</f>
        <v>0</v>
      </c>
      <c r="M809" s="121">
        <f>SUMIFS('2024数据'!$AV$3:$AV$152,'2024数据'!$L$3:$L$152,"&gt;="&amp;DATE(2024,8,1),'2024数据'!$L$3:$L$152,"&lt;="&amp;DATE(2024,8,31),'2024数据'!$B$3:$B$152,$E809)/10000</f>
        <v>0</v>
      </c>
      <c r="N809" s="121">
        <f>SUMIFS('2024数据'!$AV$3:$AV$152,'2024数据'!$L$3:$L$152,"&gt;="&amp;DATE(2024,9,1),'2024数据'!$L$3:$L$152,"&lt;="&amp;DATE(2024,9,30),'2024数据'!$B$3:$B$152,$E809)/10000</f>
        <v>1.863246</v>
      </c>
      <c r="O809" s="121">
        <f>SUMIFS('2024数据'!$AV$3:$AV$152,'2024数据'!$L$3:$L$152,"&gt;="&amp;DATE(2024,10,1),'2024数据'!$L$3:$L$152,"&lt;="&amp;DATE(2024,10,31),'2024数据'!$B$3:$B$152,$E809)/10000</f>
        <v>0</v>
      </c>
      <c r="P809" s="121">
        <f>SUMIFS('2024数据'!$AV$3:$AV$152,'2024数据'!$L$3:$L$152,"&gt;="&amp;DATE(2024,11,1),'2024数据'!$L$3:$L$152,"&lt;="&amp;DATE(2024,11,30),'2024数据'!$B$3:$B$152,$E809)/10000</f>
        <v>0</v>
      </c>
      <c r="Q809" s="121">
        <f>SUMIFS('2024数据'!$AV$3:$AV$152,'2024数据'!$L$3:$L$152,"&gt;="&amp;DATE(2024,12,1),'2024数据'!$L$3:$L$152,"&lt;="&amp;DATE(2024,12,31),'2024数据'!$B$3:$B$152,$E809)/10000</f>
        <v>0</v>
      </c>
    </row>
    <row r="810" ht="24" customHeight="1" spans="1:17">
      <c r="A810" s="99" t="s">
        <v>346</v>
      </c>
      <c r="B810" s="99" t="s">
        <v>299</v>
      </c>
      <c r="C810" s="99" t="s">
        <v>336</v>
      </c>
      <c r="D810" s="47" t="s">
        <v>294</v>
      </c>
      <c r="E810" s="47" t="s">
        <v>160</v>
      </c>
      <c r="F810" s="121">
        <f t="shared" ref="F810:Q810" si="587">SUM(F800:F805)-SUM(F806:F809)</f>
        <v>0</v>
      </c>
      <c r="G810" s="121">
        <f t="shared" si="587"/>
        <v>0</v>
      </c>
      <c r="H810" s="121">
        <f t="shared" si="587"/>
        <v>0</v>
      </c>
      <c r="I810" s="121">
        <f t="shared" si="587"/>
        <v>0</v>
      </c>
      <c r="J810" s="121">
        <f t="shared" si="587"/>
        <v>0</v>
      </c>
      <c r="K810" s="121">
        <f t="shared" si="587"/>
        <v>0</v>
      </c>
      <c r="L810" s="121">
        <f t="shared" si="587"/>
        <v>0</v>
      </c>
      <c r="M810" s="121">
        <f t="shared" si="587"/>
        <v>0</v>
      </c>
      <c r="N810" s="121">
        <f t="shared" si="587"/>
        <v>0</v>
      </c>
      <c r="O810" s="121">
        <f t="shared" si="587"/>
        <v>0</v>
      </c>
      <c r="P810" s="121">
        <f t="shared" si="587"/>
        <v>0</v>
      </c>
      <c r="Q810" s="121">
        <f t="shared" si="587"/>
        <v>0</v>
      </c>
    </row>
    <row r="811" ht="24" customHeight="1" spans="1:17">
      <c r="A811" s="99" t="s">
        <v>346</v>
      </c>
      <c r="B811" s="99" t="s">
        <v>299</v>
      </c>
      <c r="C811" s="99" t="s">
        <v>333</v>
      </c>
      <c r="D811" s="114" t="s">
        <v>292</v>
      </c>
      <c r="E811" s="53" t="s">
        <v>337</v>
      </c>
      <c r="F811" s="123">
        <f>SUMIFS('2024数据'!$AZ$3:$AZ$152,'2024数据'!$L$3:$L$152,"&gt;="&amp;DATE(2024,1,1),'2024数据'!$L$3:$L$152,"&lt;="&amp;DATE(2024,1,31),'2024数据'!$AY$3:$AY$152,$E639)/10000</f>
        <v>0.030766</v>
      </c>
      <c r="G811" s="123">
        <f>SUMIFS('2024数据'!$AZ$3:$AZ$152,'2024数据'!$L$3:$L$152,"&gt;="&amp;DATE(2024,2,1),'2024数据'!$L$3:$L$152,"&lt;="&amp;DATE(2024,2,29),'2024数据'!$AY$3:$AY$152,$E639)/10000</f>
        <v>0.117507</v>
      </c>
      <c r="H811" s="123">
        <f>SUMIFS('2024数据'!$AZ$3:$AZ$152,'2024数据'!$L$3:$L$152,"&gt;="&amp;DATE(2024,3,1),'2024数据'!$L$3:$L$152,"&lt;="&amp;DATE(2024,3,31),'2024数据'!$AY$3:$AY$152,$E639)/10000</f>
        <v>0.0585509999999997</v>
      </c>
      <c r="I811" s="123">
        <f>SUMIFS('2024数据'!$AZ$3:$AZ$152,'2024数据'!$L$3:$L$152,"&gt;="&amp;DATE(2024,4,1),'2024数据'!$L$3:$L$152,"&lt;="&amp;DATE(2024,4,30),'2024数据'!$AY$3:$AY$152,$E639)/10000</f>
        <v>0.00435799999999999</v>
      </c>
      <c r="J811" s="123">
        <f>SUMIFS('2024数据'!$AZ$3:$AZ$152,'2024数据'!$L$3:$L$152,"&gt;="&amp;DATE(2024,5,1),'2024数据'!$L$3:$L$152,"&lt;="&amp;DATE(2024,5,31),'2024数据'!$AY$3:$AY$152,$E639)/10000</f>
        <v>0</v>
      </c>
      <c r="K811" s="123">
        <f>SUMIFS('2024数据'!$AZ$3:$AZ$152,'2024数据'!$L$3:$L$152,"&gt;="&amp;DATE(2024,6,1),'2024数据'!$L$3:$L$152,"&lt;="&amp;DATE(2024,6,30),'2024数据'!$AY$3:$AY$152,$E639)/10000</f>
        <v>0.055225</v>
      </c>
      <c r="L811" s="123">
        <f>SUMIFS('2024数据'!$AZ$3:$AZ$152,'2024数据'!$L$3:$L$152,"&gt;="&amp;DATE(2024,7,1),'2024数据'!$L$3:$L$152,"&lt;="&amp;DATE(2024,7,31),'2024数据'!$AY$3:$AY$152,$E639)/10000</f>
        <v>0.017588</v>
      </c>
      <c r="M811" s="123">
        <f>SUMIFS('2024数据'!$AZ$3:$AZ$152,'2024数据'!$L$3:$L$152,"&gt;="&amp;DATE(2024,8,1),'2024数据'!$L$3:$L$152,"&lt;="&amp;DATE(2024,8,31),'2024数据'!$AY$3:$AY$152,$E639)/10000</f>
        <v>0.017168</v>
      </c>
      <c r="N811" s="123">
        <f>SUMIFS('2024数据'!$AZ$3:$AZ$152,'2024数据'!$L$3:$L$152,"&gt;="&amp;DATE(2024,9,1),'2024数据'!$L$3:$L$152,"&lt;="&amp;DATE(2024,9,30),'2024数据'!$AY$3:$AY$152,$E639)/10000</f>
        <v>0.100807</v>
      </c>
      <c r="O811" s="123">
        <f>SUMIFS('2024数据'!$AZ$3:$AZ$152,'2024数据'!$L$3:$L$152,"&gt;="&amp;DATE(2024,10,1),'2024数据'!$L$3:$L$152,"&lt;="&amp;DATE(2024,10,31),'2024数据'!$AY$3:$AY$152,$E639)/10000</f>
        <v>0.317334</v>
      </c>
      <c r="P811" s="123">
        <f>SUMIFS('2024数据'!$AZ$3:$AZ$152,'2024数据'!$L$3:$L$152,"&gt;="&amp;DATE(2024,11,1),'2024数据'!$L$3:$L$152,"&lt;="&amp;DATE(2024,11,30),'2024数据'!$AY$3:$AY$152,$E639)/10000</f>
        <v>0.0794760000000003</v>
      </c>
      <c r="Q811" s="123">
        <f>SUMIFS('2024数据'!$AZ$3:$AZ$152,'2024数据'!$L$3:$L$152,"&gt;="&amp;DATE(2024,12,1),'2024数据'!$L$3:$L$152,"&lt;="&amp;DATE(2024,12,31),'2024数据'!$AY$3:$AY$152,$E639)/10000</f>
        <v>0.07941</v>
      </c>
    </row>
    <row r="812" ht="24" customHeight="1" spans="1:17">
      <c r="A812" s="99" t="s">
        <v>346</v>
      </c>
      <c r="B812" s="99" t="s">
        <v>299</v>
      </c>
      <c r="C812" s="99" t="s">
        <v>333</v>
      </c>
      <c r="D812" s="114" t="s">
        <v>292</v>
      </c>
      <c r="E812" s="53" t="s">
        <v>338</v>
      </c>
      <c r="F812" s="123">
        <f>SUMIFS('2024数据'!$AZ$3:$AZ$152,'2024数据'!$L$3:$L$152,"&gt;="&amp;DATE(2024,1,1),'2024数据'!$L$3:$L$152,"&lt;="&amp;DATE(2024,1,31),'2024数据'!$AY$3:$AY$152,$E640)/10000</f>
        <v>0.0200800000000001</v>
      </c>
      <c r="G812" s="123">
        <f>SUMIFS('2024数据'!$AZ$3:$AZ$152,'2024数据'!$L$3:$L$152,"&gt;="&amp;DATE(2024,2,1),'2024数据'!$L$3:$L$152,"&lt;="&amp;DATE(2024,2,29),'2024数据'!$AY$3:$AY$152,$E640)/10000</f>
        <v>0</v>
      </c>
      <c r="H812" s="123">
        <f>SUMIFS('2024数据'!$AZ$3:$AZ$152,'2024数据'!$L$3:$L$152,"&gt;="&amp;DATE(2024,3,1),'2024数据'!$L$3:$L$152,"&lt;="&amp;DATE(2024,3,31),'2024数据'!$AY$3:$AY$152,$E640)/10000</f>
        <v>0</v>
      </c>
      <c r="I812" s="123">
        <f>SUMIFS('2024数据'!$AZ$3:$AZ$152,'2024数据'!$L$3:$L$152,"&gt;="&amp;DATE(2024,4,1),'2024数据'!$L$3:$L$152,"&lt;="&amp;DATE(2024,4,30),'2024数据'!$AY$3:$AY$152,$E640)/10000</f>
        <v>0</v>
      </c>
      <c r="J812" s="123">
        <f>SUMIFS('2024数据'!$AZ$3:$AZ$152,'2024数据'!$L$3:$L$152,"&gt;="&amp;DATE(2024,5,1),'2024数据'!$L$3:$L$152,"&lt;="&amp;DATE(2024,5,31),'2024数据'!$AY$3:$AY$152,$E640)/10000</f>
        <v>0.00764200000000001</v>
      </c>
      <c r="K812" s="123">
        <f>SUMIFS('2024数据'!$AZ$3:$AZ$152,'2024数据'!$L$3:$L$152,"&gt;="&amp;DATE(2024,6,1),'2024数据'!$L$3:$L$152,"&lt;="&amp;DATE(2024,6,30),'2024数据'!$AY$3:$AY$152,$E640)/10000</f>
        <v>0</v>
      </c>
      <c r="L812" s="123">
        <f>SUMIFS('2024数据'!$AZ$3:$AZ$152,'2024数据'!$L$3:$L$152,"&gt;="&amp;DATE(2024,7,1),'2024数据'!$L$3:$L$152,"&lt;="&amp;DATE(2024,7,31),'2024数据'!$AY$3:$AY$152,$E640)/10000</f>
        <v>0.00129000000000001</v>
      </c>
      <c r="M812" s="123">
        <f>SUMIFS('2024数据'!$AZ$3:$AZ$152,'2024数据'!$L$3:$L$152,"&gt;="&amp;DATE(2024,8,1),'2024数据'!$L$3:$L$152,"&lt;="&amp;DATE(2024,8,31),'2024数据'!$AY$3:$AY$152,$E640)/10000</f>
        <v>0.0762499999999998</v>
      </c>
      <c r="N812" s="123">
        <f>SUMIFS('2024数据'!$AZ$3:$AZ$152,'2024数据'!$L$3:$L$152,"&gt;="&amp;DATE(2024,9,1),'2024数据'!$L$3:$L$152,"&lt;="&amp;DATE(2024,9,30),'2024数据'!$AY$3:$AY$152,$E640)/10000</f>
        <v>0.011654</v>
      </c>
      <c r="O812" s="123">
        <f>SUMIFS('2024数据'!$AZ$3:$AZ$152,'2024数据'!$L$3:$L$152,"&gt;="&amp;DATE(2024,10,1),'2024数据'!$L$3:$L$152,"&lt;="&amp;DATE(2024,10,31),'2024数据'!$AY$3:$AY$152,$E640)/10000</f>
        <v>0.010563</v>
      </c>
      <c r="P812" s="123">
        <f>SUMIFS('2024数据'!$AZ$3:$AZ$152,'2024数据'!$L$3:$L$152,"&gt;="&amp;DATE(2024,11,1),'2024数据'!$L$3:$L$152,"&lt;="&amp;DATE(2024,11,30),'2024数据'!$AY$3:$AY$152,$E640)/10000</f>
        <v>0.0117140000000003</v>
      </c>
      <c r="Q812" s="123">
        <f>SUMIFS('2024数据'!$AZ$3:$AZ$152,'2024数据'!$L$3:$L$152,"&gt;="&amp;DATE(2024,12,1),'2024数据'!$L$3:$L$152,"&lt;="&amp;DATE(2024,12,31),'2024数据'!$AY$3:$AY$152,$E640)/10000</f>
        <v>0</v>
      </c>
    </row>
    <row r="813" ht="24" customHeight="1" spans="1:17">
      <c r="A813" s="99" t="s">
        <v>346</v>
      </c>
      <c r="B813" s="99" t="s">
        <v>299</v>
      </c>
      <c r="C813" s="99" t="s">
        <v>333</v>
      </c>
      <c r="D813" s="114" t="s">
        <v>292</v>
      </c>
      <c r="E813" s="53" t="s">
        <v>339</v>
      </c>
      <c r="F813" s="123">
        <f>SUMIFS('2024数据'!$AZ$3:$AZ$152,'2024数据'!$L$3:$L$152,"&gt;="&amp;DATE(2024,1,1),'2024数据'!$L$3:$L$152,"&lt;="&amp;DATE(2024,1,31),'2024数据'!$AY$3:$AY$152,$E641)/10000</f>
        <v>0</v>
      </c>
      <c r="G813" s="123">
        <f>SUMIFS('2024数据'!$AZ$3:$AZ$152,'2024数据'!$L$3:$L$152,"&gt;="&amp;DATE(2024,2,1),'2024数据'!$L$3:$L$152,"&lt;="&amp;DATE(2024,2,29),'2024数据'!$AY$3:$AY$152,$E641)/10000</f>
        <v>0</v>
      </c>
      <c r="H813" s="123">
        <f>SUMIFS('2024数据'!$AZ$3:$AZ$152,'2024数据'!$L$3:$L$152,"&gt;="&amp;DATE(2024,3,1),'2024数据'!$L$3:$L$152,"&lt;="&amp;DATE(2024,3,31),'2024数据'!$AY$3:$AY$152,$E641)/10000</f>
        <v>0</v>
      </c>
      <c r="I813" s="123">
        <f>SUMIFS('2024数据'!$AZ$3:$AZ$152,'2024数据'!$L$3:$L$152,"&gt;="&amp;DATE(2024,4,1),'2024数据'!$L$3:$L$152,"&lt;="&amp;DATE(2024,4,30),'2024数据'!$AY$3:$AY$152,$E641)/10000</f>
        <v>0</v>
      </c>
      <c r="J813" s="123">
        <f>SUMIFS('2024数据'!$AZ$3:$AZ$152,'2024数据'!$L$3:$L$152,"&gt;="&amp;DATE(2024,5,1),'2024数据'!$L$3:$L$152,"&lt;="&amp;DATE(2024,5,31),'2024数据'!$AY$3:$AY$152,$E641)/10000</f>
        <v>0</v>
      </c>
      <c r="K813" s="123">
        <f>SUMIFS('2024数据'!$AZ$3:$AZ$152,'2024数据'!$L$3:$L$152,"&gt;="&amp;DATE(2024,6,1),'2024数据'!$L$3:$L$152,"&lt;="&amp;DATE(2024,6,30),'2024数据'!$AY$3:$AY$152,$E641)/10000</f>
        <v>0</v>
      </c>
      <c r="L813" s="123">
        <f>SUMIFS('2024数据'!$AZ$3:$AZ$152,'2024数据'!$L$3:$L$152,"&gt;="&amp;DATE(2024,7,1),'2024数据'!$L$3:$L$152,"&lt;="&amp;DATE(2024,7,31),'2024数据'!$AY$3:$AY$152,$E641)/10000</f>
        <v>0</v>
      </c>
      <c r="M813" s="123">
        <f>SUMIFS('2024数据'!$AZ$3:$AZ$152,'2024数据'!$L$3:$L$152,"&gt;="&amp;DATE(2024,8,1),'2024数据'!$L$3:$L$152,"&lt;="&amp;DATE(2024,8,31),'2024数据'!$AY$3:$AY$152,$E641)/10000</f>
        <v>0</v>
      </c>
      <c r="N813" s="123">
        <f>SUMIFS('2024数据'!$AZ$3:$AZ$152,'2024数据'!$L$3:$L$152,"&gt;="&amp;DATE(2024,9,1),'2024数据'!$L$3:$L$152,"&lt;="&amp;DATE(2024,9,30),'2024数据'!$AY$3:$AY$152,$E641)/10000</f>
        <v>0</v>
      </c>
      <c r="O813" s="123">
        <f>SUMIFS('2024数据'!$AZ$3:$AZ$152,'2024数据'!$L$3:$L$152,"&gt;="&amp;DATE(2024,10,1),'2024数据'!$L$3:$L$152,"&lt;="&amp;DATE(2024,10,31),'2024数据'!$AY$3:$AY$152,$E641)/10000</f>
        <v>0</v>
      </c>
      <c r="P813" s="123">
        <f>SUMIFS('2024数据'!$AZ$3:$AZ$152,'2024数据'!$L$3:$L$152,"&gt;="&amp;DATE(2024,11,1),'2024数据'!$L$3:$L$152,"&lt;="&amp;DATE(2024,11,30),'2024数据'!$AY$3:$AY$152,$E641)/10000</f>
        <v>0</v>
      </c>
      <c r="Q813" s="123">
        <f>SUMIFS('2024数据'!$AZ$3:$AZ$152,'2024数据'!$L$3:$L$152,"&gt;="&amp;DATE(2024,12,1),'2024数据'!$L$3:$L$152,"&lt;="&amp;DATE(2024,12,31),'2024数据'!$AY$3:$AY$152,$E641)/10000</f>
        <v>0</v>
      </c>
    </row>
    <row r="814" ht="24" customHeight="1" spans="1:17">
      <c r="A814" s="99" t="s">
        <v>346</v>
      </c>
      <c r="B814" s="99" t="s">
        <v>299</v>
      </c>
      <c r="C814" s="99" t="s">
        <v>333</v>
      </c>
      <c r="D814" s="53" t="s">
        <v>303</v>
      </c>
      <c r="E814" s="53" t="s">
        <v>93</v>
      </c>
      <c r="F814" s="123">
        <f>SUMIFS('2024数据'!$AZ$3:$AZ$152,'2024数据'!$L$3:$L$152,"&gt;="&amp;DATE(2024,1,1),'2024数据'!$L$3:$L$152,"&lt;="&amp;DATE(2024,1,31),'2024数据'!$AY$3:$AY$152,$E639,'2024数据'!$B$3:$B$152,'2024整理'!$E794)/10000</f>
        <v>0.017676</v>
      </c>
      <c r="G814" s="123">
        <f>SUMIFS('2024数据'!$AZ$3:$AZ$152,'2024数据'!$L$3:$L$152,"&gt;="&amp;DATE(2024,2,1),'2024数据'!$L$3:$L$152,"&lt;="&amp;DATE(2024,2,29),'2024数据'!$AY$3:$AY$152,$E639,'2024数据'!$B$3:$B$152,'2024整理'!$E794)/10000</f>
        <v>0.113168</v>
      </c>
      <c r="H814" s="123">
        <f>SUMIFS('2024数据'!$AZ$3:$AZ$152,'2024数据'!$L$3:$L$152,"&gt;="&amp;DATE(2024,3,1),'2024数据'!$L$3:$L$152,"&lt;="&amp;DATE(2024,3,31),'2024数据'!$AY$3:$AY$152,$E639,'2024数据'!$B$3:$B$152,'2024整理'!$E794)/10000</f>
        <v>0.0478579999999998</v>
      </c>
      <c r="I814" s="123">
        <f>SUMIFS('2024数据'!$AZ$3:$AZ$152,'2024数据'!$L$3:$L$152,"&gt;="&amp;DATE(2024,4,1),'2024数据'!$L$3:$L$152,"&lt;="&amp;DATE(2024,4,30),'2024数据'!$AY$3:$AY$152,$E639,'2024数据'!$B$3:$B$152,'2024整理'!$E794)/10000</f>
        <v>0</v>
      </c>
      <c r="J814" s="123">
        <f>SUMIFS('2024数据'!$AZ$3:$AZ$152,'2024数据'!$L$3:$L$152,"&gt;="&amp;DATE(2024,5,1),'2024数据'!$L$3:$L$152,"&lt;="&amp;DATE(2024,5,31),'2024数据'!$AY$3:$AY$152,$E639,'2024数据'!$B$3:$B$152,'2024整理'!$E794)/10000</f>
        <v>0</v>
      </c>
      <c r="K814" s="123">
        <f>SUMIFS('2024数据'!$AZ$3:$AZ$152,'2024数据'!$L$3:$L$152,"&gt;="&amp;DATE(2024,6,1),'2024数据'!$L$3:$L$152,"&lt;="&amp;DATE(2024,6,30),'2024数据'!$AY$3:$AY$152,$E639,'2024数据'!$B$3:$B$152,'2024整理'!$E794)/10000</f>
        <v>0.0486530000000001</v>
      </c>
      <c r="L814" s="123">
        <f>SUMIFS('2024数据'!$AZ$3:$AZ$152,'2024数据'!$L$3:$L$152,"&gt;="&amp;DATE(2024,7,1),'2024数据'!$L$3:$L$152,"&lt;="&amp;DATE(2024,7,31),'2024数据'!$AY$3:$AY$152,$E639,'2024数据'!$B$3:$B$152,'2024整理'!$E794)/10000</f>
        <v>0</v>
      </c>
      <c r="M814" s="123">
        <f>SUMIFS('2024数据'!$AZ$3:$AZ$152,'2024数据'!$L$3:$L$152,"&gt;="&amp;DATE(2024,8,1),'2024数据'!$L$3:$L$152,"&lt;="&amp;DATE(2024,8,31),'2024数据'!$AY$3:$AY$152,$E639,'2024数据'!$B$3:$B$152,'2024整理'!$E794)/10000</f>
        <v>0.010961</v>
      </c>
      <c r="N814" s="123">
        <f>SUMIFS('2024数据'!$AZ$3:$AZ$152,'2024数据'!$L$3:$L$152,"&gt;="&amp;DATE(2024,9,1),'2024数据'!$L$3:$L$152,"&lt;="&amp;DATE(2024,9,30),'2024数据'!$AY$3:$AY$152,$E639,'2024数据'!$B$3:$B$152,'2024整理'!$E794)/10000</f>
        <v>0.0381709999999999</v>
      </c>
      <c r="O814" s="123">
        <f>SUMIFS('2024数据'!$AZ$3:$AZ$152,'2024数据'!$L$3:$L$152,"&gt;="&amp;DATE(2024,10,1),'2024数据'!$L$3:$L$152,"&lt;="&amp;DATE(2024,10,31),'2024数据'!$AY$3:$AY$152,$E639,'2024数据'!$B$3:$B$152,'2024整理'!$E794)/10000</f>
        <v>0.219886</v>
      </c>
      <c r="P814" s="123">
        <f>SUMIFS('2024数据'!$AZ$3:$AZ$152,'2024数据'!$L$3:$L$152,"&gt;="&amp;DATE(2024,11,1),'2024数据'!$L$3:$L$152,"&lt;="&amp;DATE(2024,11,30),'2024数据'!$AY$3:$AY$152,$E639,'2024数据'!$B$3:$B$152,'2024整理'!$E794)/10000</f>
        <v>0.0624000000000003</v>
      </c>
      <c r="Q814" s="123">
        <f>SUMIFS('2024数据'!$AZ$3:$AZ$152,'2024数据'!$L$3:$L$152,"&gt;="&amp;DATE(2024,12,1),'2024数据'!$L$3:$L$152,"&lt;="&amp;DATE(2024,12,31),'2024数据'!$AY$3:$AY$152,$E639,'2024数据'!$B$3:$B$152,'2024整理'!$E794)/10000</f>
        <v>0.050158</v>
      </c>
    </row>
    <row r="815" ht="24" customHeight="1" spans="1:17">
      <c r="A815" s="99" t="s">
        <v>346</v>
      </c>
      <c r="B815" s="99" t="s">
        <v>299</v>
      </c>
      <c r="C815" s="99" t="s">
        <v>333</v>
      </c>
      <c r="D815" s="53" t="s">
        <v>303</v>
      </c>
      <c r="E815" s="53" t="s">
        <v>85</v>
      </c>
      <c r="F815" s="123">
        <f>SUMIFS('2024数据'!$AZ$3:$AZ$152,'2024数据'!$L$3:$L$152,"&gt;="&amp;DATE(2024,1,1),'2024数据'!$L$3:$L$152,"&lt;="&amp;DATE(2024,1,31),'2024数据'!$AY$3:$AY$152,$E639,'2024数据'!$B$3:$B$152,'2024整理'!$E795)/10000</f>
        <v>0.01309</v>
      </c>
      <c r="G815" s="123">
        <f>SUMIFS('2024数据'!$AZ$3:$AZ$152,'2024数据'!$L$3:$L$152,"&gt;="&amp;DATE(2024,2,1),'2024数据'!$L$3:$L$152,"&lt;="&amp;DATE(2024,2,29),'2024数据'!$AY$3:$AY$152,$E639,'2024数据'!$B$3:$B$152,'2024整理'!$E795)/10000</f>
        <v>0.004339</v>
      </c>
      <c r="H815" s="123">
        <f>SUMIFS('2024数据'!$AZ$3:$AZ$152,'2024数据'!$L$3:$L$152,"&gt;="&amp;DATE(2024,3,1),'2024数据'!$L$3:$L$152,"&lt;="&amp;DATE(2024,3,31),'2024数据'!$AY$3:$AY$152,$E639,'2024数据'!$B$3:$B$152,'2024整理'!$E795)/10000</f>
        <v>0.0106929999999999</v>
      </c>
      <c r="I815" s="123">
        <f>SUMIFS('2024数据'!$AZ$3:$AZ$152,'2024数据'!$L$3:$L$152,"&gt;="&amp;DATE(2024,4,1),'2024数据'!$L$3:$L$152,"&lt;="&amp;DATE(2024,4,30),'2024数据'!$AY$3:$AY$152,$E639,'2024数据'!$B$3:$B$152,'2024整理'!$E795)/10000</f>
        <v>0</v>
      </c>
      <c r="J815" s="123">
        <f>SUMIFS('2024数据'!$AZ$3:$AZ$152,'2024数据'!$L$3:$L$152,"&gt;="&amp;DATE(2024,5,1),'2024数据'!$L$3:$L$152,"&lt;="&amp;DATE(2024,5,31),'2024数据'!$AY$3:$AY$152,$E639,'2024数据'!$B$3:$B$152,'2024整理'!$E795)/10000</f>
        <v>0</v>
      </c>
      <c r="K815" s="123">
        <f>SUMIFS('2024数据'!$AZ$3:$AZ$152,'2024数据'!$L$3:$L$152,"&gt;="&amp;DATE(2024,6,1),'2024数据'!$L$3:$L$152,"&lt;="&amp;DATE(2024,6,30),'2024数据'!$AY$3:$AY$152,$E639,'2024数据'!$B$3:$B$152,'2024整理'!$E795)/10000</f>
        <v>0.00657199999999998</v>
      </c>
      <c r="L815" s="123">
        <f>SUMIFS('2024数据'!$AZ$3:$AZ$152,'2024数据'!$L$3:$L$152,"&gt;="&amp;DATE(2024,7,1),'2024数据'!$L$3:$L$152,"&lt;="&amp;DATE(2024,7,31),'2024数据'!$AY$3:$AY$152,$E639,'2024数据'!$B$3:$B$152,'2024整理'!$E795)/10000</f>
        <v>0</v>
      </c>
      <c r="M815" s="123">
        <f>SUMIFS('2024数据'!$AZ$3:$AZ$152,'2024数据'!$L$3:$L$152,"&gt;="&amp;DATE(2024,8,1),'2024数据'!$L$3:$L$152,"&lt;="&amp;DATE(2024,8,31),'2024数据'!$AY$3:$AY$152,$E639,'2024数据'!$B$3:$B$152,'2024整理'!$E795)/10000</f>
        <v>0.00620699999999997</v>
      </c>
      <c r="N815" s="123">
        <f>SUMIFS('2024数据'!$AZ$3:$AZ$152,'2024数据'!$L$3:$L$152,"&gt;="&amp;DATE(2024,9,1),'2024数据'!$L$3:$L$152,"&lt;="&amp;DATE(2024,9,30),'2024数据'!$AY$3:$AY$152,$E639,'2024数据'!$B$3:$B$152,'2024整理'!$E795)/10000</f>
        <v>0.00269399999999996</v>
      </c>
      <c r="O815" s="123">
        <f>SUMIFS('2024数据'!$AZ$3:$AZ$152,'2024数据'!$L$3:$L$152,"&gt;="&amp;DATE(2024,10,1),'2024数据'!$L$3:$L$152,"&lt;="&amp;DATE(2024,10,31),'2024数据'!$AY$3:$AY$152,$E639,'2024数据'!$B$3:$B$152,'2024整理'!$E795)/10000</f>
        <v>0.00483800000000001</v>
      </c>
      <c r="P815" s="123">
        <f>SUMIFS('2024数据'!$AZ$3:$AZ$152,'2024数据'!$L$3:$L$152,"&gt;="&amp;DATE(2024,11,1),'2024数据'!$L$3:$L$152,"&lt;="&amp;DATE(2024,11,30),'2024数据'!$AY$3:$AY$152,$E639,'2024数据'!$B$3:$B$152,'2024整理'!$E795)/10000</f>
        <v>0.017076</v>
      </c>
      <c r="Q815" s="123">
        <f>SUMIFS('2024数据'!$AZ$3:$AZ$152,'2024数据'!$L$3:$L$152,"&gt;="&amp;DATE(2024,12,1),'2024数据'!$L$3:$L$152,"&lt;="&amp;DATE(2024,12,31),'2024数据'!$AY$3:$AY$152,$E639,'2024数据'!$B$3:$B$152,'2024整理'!$E795)/10000</f>
        <v>0.001095</v>
      </c>
    </row>
    <row r="816" ht="24" customHeight="1" spans="1:17">
      <c r="A816" s="99" t="s">
        <v>346</v>
      </c>
      <c r="B816" s="99" t="s">
        <v>299</v>
      </c>
      <c r="C816" s="99" t="s">
        <v>333</v>
      </c>
      <c r="D816" s="53" t="s">
        <v>303</v>
      </c>
      <c r="E816" s="53" t="s">
        <v>81</v>
      </c>
      <c r="F816" s="123">
        <f>SUMIFS('2024数据'!$AZ$3:$AZ$152,'2024数据'!$L$3:$L$152,"&gt;="&amp;DATE(2024,1,1),'2024数据'!$L$3:$L$152,"&lt;="&amp;DATE(2024,1,31),'2024数据'!$AY$3:$AY$152,$E639,'2024数据'!$B$3:$B$152,'2024整理'!$E796)/10000</f>
        <v>0</v>
      </c>
      <c r="G816" s="123">
        <f>SUMIFS('2024数据'!$AZ$3:$AZ$152,'2024数据'!$L$3:$L$152,"&gt;="&amp;DATE(2024,2,1),'2024数据'!$L$3:$L$152,"&lt;="&amp;DATE(2024,2,29),'2024数据'!$AY$3:$AY$152,$E639,'2024数据'!$B$3:$B$152,'2024整理'!$E796)/10000</f>
        <v>0</v>
      </c>
      <c r="H816" s="123">
        <f>SUMIFS('2024数据'!$AZ$3:$AZ$152,'2024数据'!$L$3:$L$152,"&gt;="&amp;DATE(2024,3,1),'2024数据'!$L$3:$L$152,"&lt;="&amp;DATE(2024,3,31),'2024数据'!$AY$3:$AY$152,$E639,'2024数据'!$B$3:$B$152,'2024整理'!$E796)/10000</f>
        <v>0</v>
      </c>
      <c r="I816" s="123">
        <f>SUMIFS('2024数据'!$AZ$3:$AZ$152,'2024数据'!$L$3:$L$152,"&gt;="&amp;DATE(2024,4,1),'2024数据'!$L$3:$L$152,"&lt;="&amp;DATE(2024,4,30),'2024数据'!$AY$3:$AY$152,$E639,'2024数据'!$B$3:$B$152,'2024整理'!$E796)/10000</f>
        <v>0.00435799999999999</v>
      </c>
      <c r="J816" s="123">
        <f>SUMIFS('2024数据'!$AZ$3:$AZ$152,'2024数据'!$L$3:$L$152,"&gt;="&amp;DATE(2024,5,1),'2024数据'!$L$3:$L$152,"&lt;="&amp;DATE(2024,5,31),'2024数据'!$AY$3:$AY$152,$E639,'2024数据'!$B$3:$B$152,'2024整理'!$E796)/10000</f>
        <v>0</v>
      </c>
      <c r="K816" s="123">
        <f>SUMIFS('2024数据'!$AZ$3:$AZ$152,'2024数据'!$L$3:$L$152,"&gt;="&amp;DATE(2024,6,1),'2024数据'!$L$3:$L$152,"&lt;="&amp;DATE(2024,6,30),'2024数据'!$AY$3:$AY$152,$E639,'2024数据'!$B$3:$B$152,'2024整理'!$E796)/10000</f>
        <v>0</v>
      </c>
      <c r="L816" s="123">
        <f>SUMIFS('2024数据'!$AZ$3:$AZ$152,'2024数据'!$L$3:$L$152,"&gt;="&amp;DATE(2024,7,1),'2024数据'!$L$3:$L$152,"&lt;="&amp;DATE(2024,7,31),'2024数据'!$AY$3:$AY$152,$E639,'2024数据'!$B$3:$B$152,'2024整理'!$E796)/10000</f>
        <v>0.017588</v>
      </c>
      <c r="M816" s="123">
        <f>SUMIFS('2024数据'!$AZ$3:$AZ$152,'2024数据'!$L$3:$L$152,"&gt;="&amp;DATE(2024,8,1),'2024数据'!$L$3:$L$152,"&lt;="&amp;DATE(2024,8,31),'2024数据'!$AY$3:$AY$152,$E639,'2024数据'!$B$3:$B$152,'2024整理'!$E796)/10000</f>
        <v>0</v>
      </c>
      <c r="N816" s="123">
        <f>SUMIFS('2024数据'!$AZ$3:$AZ$152,'2024数据'!$L$3:$L$152,"&gt;="&amp;DATE(2024,9,1),'2024数据'!$L$3:$L$152,"&lt;="&amp;DATE(2024,9,30),'2024数据'!$AY$3:$AY$152,$E639,'2024数据'!$B$3:$B$152,'2024整理'!$E796)/10000</f>
        <v>0.0599420000000001</v>
      </c>
      <c r="O816" s="123">
        <f>SUMIFS('2024数据'!$AZ$3:$AZ$152,'2024数据'!$L$3:$L$152,"&gt;="&amp;DATE(2024,10,1),'2024数据'!$L$3:$L$152,"&lt;="&amp;DATE(2024,10,31),'2024数据'!$AY$3:$AY$152,$E639,'2024数据'!$B$3:$B$152,'2024整理'!$E796)/10000</f>
        <v>0.0926099999999999</v>
      </c>
      <c r="P816" s="123">
        <f>SUMIFS('2024数据'!$AZ$3:$AZ$152,'2024数据'!$L$3:$L$152,"&gt;="&amp;DATE(2024,11,1),'2024数据'!$L$3:$L$152,"&lt;="&amp;DATE(2024,11,30),'2024数据'!$AY$3:$AY$152,$E639,'2024数据'!$B$3:$B$152,'2024整理'!$E796)/10000</f>
        <v>0</v>
      </c>
      <c r="Q816" s="123">
        <f>SUMIFS('2024数据'!$AZ$3:$AZ$152,'2024数据'!$L$3:$L$152,"&gt;="&amp;DATE(2024,12,1),'2024数据'!$L$3:$L$152,"&lt;="&amp;DATE(2024,12,31),'2024数据'!$AY$3:$AY$152,$E639,'2024数据'!$B$3:$B$152,'2024整理'!$E796)/10000</f>
        <v>0.028157</v>
      </c>
    </row>
    <row r="817" ht="24" customHeight="1" spans="1:17">
      <c r="A817" s="99" t="s">
        <v>346</v>
      </c>
      <c r="B817" s="99" t="s">
        <v>299</v>
      </c>
      <c r="C817" s="99" t="s">
        <v>333</v>
      </c>
      <c r="D817" s="53" t="s">
        <v>303</v>
      </c>
      <c r="E817" s="53" t="s">
        <v>96</v>
      </c>
      <c r="F817" s="123">
        <f>SUMIFS('2024数据'!$AZ$3:$AZ$152,'2024数据'!$L$3:$L$152,"&gt;="&amp;DATE(2024,1,1),'2024数据'!$L$3:$L$152,"&lt;="&amp;DATE(2024,1,31),'2024数据'!$AY$3:$AY$152,$E639,'2024数据'!$B$3:$B$152,'2024整理'!$E797)/10000</f>
        <v>0</v>
      </c>
      <c r="G817" s="123">
        <f>SUMIFS('2024数据'!$AZ$3:$AZ$152,'2024数据'!$L$3:$L$152,"&gt;="&amp;DATE(2024,2,1),'2024数据'!$L$3:$L$152,"&lt;="&amp;DATE(2024,2,29),'2024数据'!$AY$3:$AY$152,$E639,'2024数据'!$B$3:$B$152,'2024整理'!$E797)/10000</f>
        <v>0</v>
      </c>
      <c r="H817" s="123">
        <f>SUMIFS('2024数据'!$AZ$3:$AZ$152,'2024数据'!$L$3:$L$152,"&gt;="&amp;DATE(2024,3,1),'2024数据'!$L$3:$L$152,"&lt;="&amp;DATE(2024,3,31),'2024数据'!$AY$3:$AY$152,$E639,'2024数据'!$B$3:$B$152,'2024整理'!$E797)/10000</f>
        <v>0</v>
      </c>
      <c r="I817" s="123">
        <f>SUMIFS('2024数据'!$AZ$3:$AZ$152,'2024数据'!$L$3:$L$152,"&gt;="&amp;DATE(2024,4,1),'2024数据'!$L$3:$L$152,"&lt;="&amp;DATE(2024,4,30),'2024数据'!$AY$3:$AY$152,$E639,'2024数据'!$B$3:$B$152,'2024整理'!$E797)/10000</f>
        <v>0</v>
      </c>
      <c r="J817" s="123">
        <f>SUMIFS('2024数据'!$AZ$3:$AZ$152,'2024数据'!$L$3:$L$152,"&gt;="&amp;DATE(2024,5,1),'2024数据'!$L$3:$L$152,"&lt;="&amp;DATE(2024,5,31),'2024数据'!$AY$3:$AY$152,$E639,'2024数据'!$B$3:$B$152,'2024整理'!$E797)/10000</f>
        <v>0</v>
      </c>
      <c r="K817" s="123">
        <f>SUMIFS('2024数据'!$AZ$3:$AZ$152,'2024数据'!$L$3:$L$152,"&gt;="&amp;DATE(2024,6,1),'2024数据'!$L$3:$L$152,"&lt;="&amp;DATE(2024,6,30),'2024数据'!$AY$3:$AY$152,$E639,'2024数据'!$B$3:$B$152,'2024整理'!$E797)/10000</f>
        <v>0</v>
      </c>
      <c r="L817" s="123">
        <f>SUMIFS('2024数据'!$AZ$3:$AZ$152,'2024数据'!$L$3:$L$152,"&gt;="&amp;DATE(2024,7,1),'2024数据'!$L$3:$L$152,"&lt;="&amp;DATE(2024,7,31),'2024数据'!$AY$3:$AY$152,$E639,'2024数据'!$B$3:$B$152,'2024整理'!$E797)/10000</f>
        <v>0</v>
      </c>
      <c r="M817" s="123">
        <f>SUMIFS('2024数据'!$AZ$3:$AZ$152,'2024数据'!$L$3:$L$152,"&gt;="&amp;DATE(2024,8,1),'2024数据'!$L$3:$L$152,"&lt;="&amp;DATE(2024,8,31),'2024数据'!$AY$3:$AY$152,$E639,'2024数据'!$B$3:$B$152,'2024整理'!$E797)/10000</f>
        <v>0</v>
      </c>
      <c r="N817" s="123">
        <f>SUMIFS('2024数据'!$AZ$3:$AZ$152,'2024数据'!$L$3:$L$152,"&gt;="&amp;DATE(2024,9,1),'2024数据'!$L$3:$L$152,"&lt;="&amp;DATE(2024,9,30),'2024数据'!$AY$3:$AY$152,$E639,'2024数据'!$B$3:$B$152,'2024整理'!$E797)/10000</f>
        <v>0</v>
      </c>
      <c r="O817" s="123">
        <f>SUMIFS('2024数据'!$AZ$3:$AZ$152,'2024数据'!$L$3:$L$152,"&gt;="&amp;DATE(2024,10,1),'2024数据'!$L$3:$L$152,"&lt;="&amp;DATE(2024,10,31),'2024数据'!$AY$3:$AY$152,$E639,'2024数据'!$B$3:$B$152,'2024整理'!$E797)/10000</f>
        <v>0</v>
      </c>
      <c r="P817" s="123">
        <f>SUMIFS('2024数据'!$AZ$3:$AZ$152,'2024数据'!$L$3:$L$152,"&gt;="&amp;DATE(2024,11,1),'2024数据'!$L$3:$L$152,"&lt;="&amp;DATE(2024,11,30),'2024数据'!$AY$3:$AY$152,$E639,'2024数据'!$B$3:$B$152,'2024整理'!$E797)/10000</f>
        <v>0</v>
      </c>
      <c r="Q817" s="123">
        <f>SUMIFS('2024数据'!$AZ$3:$AZ$152,'2024数据'!$L$3:$L$152,"&gt;="&amp;DATE(2024,12,1),'2024数据'!$L$3:$L$152,"&lt;="&amp;DATE(2024,12,31),'2024数据'!$AY$3:$AY$152,$E639,'2024数据'!$B$3:$B$152,'2024整理'!$E797)/10000</f>
        <v>0</v>
      </c>
    </row>
    <row r="818" ht="24" customHeight="1" spans="1:17">
      <c r="A818" s="99" t="s">
        <v>346</v>
      </c>
      <c r="B818" s="99" t="s">
        <v>299</v>
      </c>
      <c r="C818" s="99" t="s">
        <v>333</v>
      </c>
      <c r="D818" s="53" t="s">
        <v>303</v>
      </c>
      <c r="E818" s="53" t="s">
        <v>160</v>
      </c>
      <c r="F818" s="123">
        <f t="shared" ref="F818:Q818" si="588">F811-SUM(F814:F817)</f>
        <v>0</v>
      </c>
      <c r="G818" s="123">
        <f t="shared" si="588"/>
        <v>0</v>
      </c>
      <c r="H818" s="123">
        <f t="shared" si="588"/>
        <v>0</v>
      </c>
      <c r="I818" s="123">
        <f t="shared" si="588"/>
        <v>0</v>
      </c>
      <c r="J818" s="123">
        <f t="shared" si="588"/>
        <v>0</v>
      </c>
      <c r="K818" s="123">
        <f t="shared" si="588"/>
        <v>0</v>
      </c>
      <c r="L818" s="123">
        <f t="shared" si="588"/>
        <v>0</v>
      </c>
      <c r="M818" s="123">
        <f t="shared" si="588"/>
        <v>0</v>
      </c>
      <c r="N818" s="123">
        <f t="shared" si="588"/>
        <v>0</v>
      </c>
      <c r="O818" s="123">
        <f t="shared" si="588"/>
        <v>0</v>
      </c>
      <c r="P818" s="123">
        <f t="shared" si="588"/>
        <v>0</v>
      </c>
      <c r="Q818" s="123">
        <f t="shared" si="588"/>
        <v>0</v>
      </c>
    </row>
    <row r="819" ht="24" customHeight="1" spans="1:17">
      <c r="A819" s="99" t="s">
        <v>346</v>
      </c>
      <c r="B819" s="99" t="s">
        <v>299</v>
      </c>
      <c r="C819" s="99" t="s">
        <v>333</v>
      </c>
      <c r="D819" s="53" t="s">
        <v>304</v>
      </c>
      <c r="E819" s="53" t="s">
        <v>93</v>
      </c>
      <c r="F819" s="123">
        <f>SUMIFS('2024数据'!$AZ$3:$AZ$152,'2024数据'!$L$3:$L$152,"&gt;="&amp;DATE(2024,1,1),'2024数据'!$L$3:$L$152,"&lt;="&amp;DATE(2024,1,31),'2024数据'!$AY$3:$AY$152,$E640,'2024数据'!$B$3:$B$152,'2024整理'!$E794)/10000</f>
        <v>0.0102</v>
      </c>
      <c r="G819" s="123">
        <f>SUMIFS('2024数据'!$AZ$3:$AZ$152,'2024数据'!$L$3:$L$152,"&gt;="&amp;DATE(2024,2,1),'2024数据'!$L$3:$L$152,"&lt;="&amp;DATE(2024,2,29),'2024数据'!$AY$3:$AY$152,$E640,'2024数据'!$B$3:$B$152,'2024整理'!$E794)/10000</f>
        <v>0</v>
      </c>
      <c r="H819" s="123">
        <f>SUMIFS('2024数据'!$AZ$3:$AZ$152,'2024数据'!$L$3:$L$152,"&gt;="&amp;DATE(2024,3,1),'2024数据'!$L$3:$L$152,"&lt;="&amp;DATE(2024,3,31),'2024数据'!$AY$3:$AY$152,$E640,'2024数据'!$B$3:$B$152,'2024整理'!$E794)/10000</f>
        <v>0</v>
      </c>
      <c r="I819" s="123">
        <f>SUMIFS('2024数据'!$AZ$3:$AZ$152,'2024数据'!$L$3:$L$152,"&gt;="&amp;DATE(2024,4,1),'2024数据'!$L$3:$L$152,"&lt;="&amp;DATE(2024,4,30),'2024数据'!$AY$3:$AY$152,$E640,'2024数据'!$B$3:$B$152,'2024整理'!$E794)/10000</f>
        <v>0</v>
      </c>
      <c r="J819" s="123">
        <f>SUMIFS('2024数据'!$AZ$3:$AZ$152,'2024数据'!$L$3:$L$152,"&gt;="&amp;DATE(2024,5,1),'2024数据'!$L$3:$L$152,"&lt;="&amp;DATE(2024,5,31),'2024数据'!$AY$3:$AY$152,$E640,'2024数据'!$B$3:$B$152,'2024整理'!$E794)/10000</f>
        <v>0.000659000000000014</v>
      </c>
      <c r="K819" s="123">
        <f>SUMIFS('2024数据'!$AZ$3:$AZ$152,'2024数据'!$L$3:$L$152,"&gt;="&amp;DATE(2024,6,1),'2024数据'!$L$3:$L$152,"&lt;="&amp;DATE(2024,6,30),'2024数据'!$AY$3:$AY$152,$E640,'2024数据'!$B$3:$B$152,'2024整理'!$E794)/10000</f>
        <v>0</v>
      </c>
      <c r="L819" s="123">
        <f>SUMIFS('2024数据'!$AZ$3:$AZ$152,'2024数据'!$L$3:$L$152,"&gt;="&amp;DATE(2024,7,1),'2024数据'!$L$3:$L$152,"&lt;="&amp;DATE(2024,7,31),'2024数据'!$AY$3:$AY$152,$E640,'2024数据'!$B$3:$B$152,'2024整理'!$E794)/10000</f>
        <v>0.00129000000000001</v>
      </c>
      <c r="M819" s="123">
        <f>SUMIFS('2024数据'!$AZ$3:$AZ$152,'2024数据'!$L$3:$L$152,"&gt;="&amp;DATE(2024,8,1),'2024数据'!$L$3:$L$152,"&lt;="&amp;DATE(2024,8,31),'2024数据'!$AY$3:$AY$152,$E640,'2024数据'!$B$3:$B$152,'2024整理'!$E794)/10000</f>
        <v>0.0762499999999998</v>
      </c>
      <c r="N819" s="123">
        <f>SUMIFS('2024数据'!$AZ$3:$AZ$152,'2024数据'!$L$3:$L$152,"&gt;="&amp;DATE(2024,9,1),'2024数据'!$L$3:$L$152,"&lt;="&amp;DATE(2024,9,30),'2024数据'!$AY$3:$AY$152,$E640,'2024数据'!$B$3:$B$152,'2024整理'!$E794)/10000</f>
        <v>0.011654</v>
      </c>
      <c r="O819" s="123">
        <f>SUMIFS('2024数据'!$AZ$3:$AZ$152,'2024数据'!$L$3:$L$152,"&gt;="&amp;DATE(2024,10,1),'2024数据'!$L$3:$L$152,"&lt;="&amp;DATE(2024,10,31),'2024数据'!$AY$3:$AY$152,$E640,'2024数据'!$B$3:$B$152,'2024整理'!$E794)/10000</f>
        <v>0</v>
      </c>
      <c r="P819" s="123">
        <f>SUMIFS('2024数据'!$AZ$3:$AZ$152,'2024数据'!$L$3:$L$152,"&gt;="&amp;DATE(2024,11,1),'2024数据'!$L$3:$L$152,"&lt;="&amp;DATE(2024,11,30),'2024数据'!$AY$3:$AY$152,$E640,'2024数据'!$B$3:$B$152,'2024整理'!$E794)/10000</f>
        <v>0.0117140000000003</v>
      </c>
      <c r="Q819" s="123">
        <f>SUMIFS('2024数据'!$AZ$3:$AZ$152,'2024数据'!$L$3:$L$152,"&gt;="&amp;DATE(2024,12,1),'2024数据'!$L$3:$L$152,"&lt;="&amp;DATE(2024,12,31),'2024数据'!$AY$3:$AY$152,$E640,'2024数据'!$B$3:$B$152,'2024整理'!$E794)/10000</f>
        <v>0</v>
      </c>
    </row>
    <row r="820" ht="24" customHeight="1" spans="1:17">
      <c r="A820" s="99" t="s">
        <v>346</v>
      </c>
      <c r="B820" s="99" t="s">
        <v>299</v>
      </c>
      <c r="C820" s="99" t="s">
        <v>333</v>
      </c>
      <c r="D820" s="53" t="s">
        <v>304</v>
      </c>
      <c r="E820" s="53" t="s">
        <v>85</v>
      </c>
      <c r="F820" s="123">
        <f>SUMIFS('2024数据'!$AZ$3:$AZ$152,'2024数据'!$L$3:$L$152,"&gt;="&amp;DATE(2024,1,1),'2024数据'!$L$3:$L$152,"&lt;="&amp;DATE(2024,1,31),'2024数据'!$AY$3:$AY$152,$E640,'2024数据'!$B$3:$B$152,'2024整理'!$E795)/10000</f>
        <v>0.00988000000000011</v>
      </c>
      <c r="G820" s="123">
        <f>SUMIFS('2024数据'!$AZ$3:$AZ$152,'2024数据'!$L$3:$L$152,"&gt;="&amp;DATE(2024,2,1),'2024数据'!$L$3:$L$152,"&lt;="&amp;DATE(2024,2,29),'2024数据'!$AY$3:$AY$152,$E640,'2024数据'!$B$3:$B$152,'2024整理'!$E795)/10000</f>
        <v>0</v>
      </c>
      <c r="H820" s="123">
        <f>SUMIFS('2024数据'!$AZ$3:$AZ$152,'2024数据'!$L$3:$L$152,"&gt;="&amp;DATE(2024,3,1),'2024数据'!$L$3:$L$152,"&lt;="&amp;DATE(2024,3,31),'2024数据'!$AY$3:$AY$152,$E640,'2024数据'!$B$3:$B$152,'2024整理'!$E795)/10000</f>
        <v>0</v>
      </c>
      <c r="I820" s="123">
        <f>SUMIFS('2024数据'!$AZ$3:$AZ$152,'2024数据'!$L$3:$L$152,"&gt;="&amp;DATE(2024,4,1),'2024数据'!$L$3:$L$152,"&lt;="&amp;DATE(2024,4,30),'2024数据'!$AY$3:$AY$152,$E640,'2024数据'!$B$3:$B$152,'2024整理'!$E795)/10000</f>
        <v>0</v>
      </c>
      <c r="J820" s="123">
        <f>SUMIFS('2024数据'!$AZ$3:$AZ$152,'2024数据'!$L$3:$L$152,"&gt;="&amp;DATE(2024,5,1),'2024数据'!$L$3:$L$152,"&lt;="&amp;DATE(2024,5,31),'2024数据'!$AY$3:$AY$152,$E640,'2024数据'!$B$3:$B$152,'2024整理'!$E795)/10000</f>
        <v>0.00698299999999999</v>
      </c>
      <c r="K820" s="123">
        <f>SUMIFS('2024数据'!$AZ$3:$AZ$152,'2024数据'!$L$3:$L$152,"&gt;="&amp;DATE(2024,6,1),'2024数据'!$L$3:$L$152,"&lt;="&amp;DATE(2024,6,30),'2024数据'!$AY$3:$AY$152,$E640,'2024数据'!$B$3:$B$152,'2024整理'!$E795)/10000</f>
        <v>0</v>
      </c>
      <c r="L820" s="123">
        <f>SUMIFS('2024数据'!$AZ$3:$AZ$152,'2024数据'!$L$3:$L$152,"&gt;="&amp;DATE(2024,7,1),'2024数据'!$L$3:$L$152,"&lt;="&amp;DATE(2024,7,31),'2024数据'!$AY$3:$AY$152,$E640,'2024数据'!$B$3:$B$152,'2024整理'!$E795)/10000</f>
        <v>0</v>
      </c>
      <c r="M820" s="123">
        <f>SUMIFS('2024数据'!$AZ$3:$AZ$152,'2024数据'!$L$3:$L$152,"&gt;="&amp;DATE(2024,8,1),'2024数据'!$L$3:$L$152,"&lt;="&amp;DATE(2024,8,31),'2024数据'!$AY$3:$AY$152,$E640,'2024数据'!$B$3:$B$152,'2024整理'!$E795)/10000</f>
        <v>0</v>
      </c>
      <c r="N820" s="123">
        <f>SUMIFS('2024数据'!$AZ$3:$AZ$152,'2024数据'!$L$3:$L$152,"&gt;="&amp;DATE(2024,9,1),'2024数据'!$L$3:$L$152,"&lt;="&amp;DATE(2024,9,30),'2024数据'!$AY$3:$AY$152,$E640,'2024数据'!$B$3:$B$152,'2024整理'!$E795)/10000</f>
        <v>0</v>
      </c>
      <c r="O820" s="123">
        <f>SUMIFS('2024数据'!$AZ$3:$AZ$152,'2024数据'!$L$3:$L$152,"&gt;="&amp;DATE(2024,10,1),'2024数据'!$L$3:$L$152,"&lt;="&amp;DATE(2024,10,31),'2024数据'!$AY$3:$AY$152,$E640,'2024数据'!$B$3:$B$152,'2024整理'!$E795)/10000</f>
        <v>0.008717</v>
      </c>
      <c r="P820" s="123">
        <f>SUMIFS('2024数据'!$AZ$3:$AZ$152,'2024数据'!$L$3:$L$152,"&gt;="&amp;DATE(2024,11,1),'2024数据'!$L$3:$L$152,"&lt;="&amp;DATE(2024,11,30),'2024数据'!$AY$3:$AY$152,$E640,'2024数据'!$B$3:$B$152,'2024整理'!$E795)/10000</f>
        <v>0</v>
      </c>
      <c r="Q820" s="123">
        <f>SUMIFS('2024数据'!$AZ$3:$AZ$152,'2024数据'!$L$3:$L$152,"&gt;="&amp;DATE(2024,12,1),'2024数据'!$L$3:$L$152,"&lt;="&amp;DATE(2024,12,31),'2024数据'!$AY$3:$AY$152,$E640,'2024数据'!$B$3:$B$152,'2024整理'!$E795)/10000</f>
        <v>0</v>
      </c>
    </row>
    <row r="821" ht="24" customHeight="1" spans="1:17">
      <c r="A821" s="99" t="s">
        <v>346</v>
      </c>
      <c r="B821" s="99" t="s">
        <v>299</v>
      </c>
      <c r="C821" s="99" t="s">
        <v>333</v>
      </c>
      <c r="D821" s="53" t="s">
        <v>304</v>
      </c>
      <c r="E821" s="53" t="s">
        <v>81</v>
      </c>
      <c r="F821" s="123">
        <f>SUMIFS('2024数据'!$AZ$3:$AZ$152,'2024数据'!$L$3:$L$152,"&gt;="&amp;DATE(2024,1,1),'2024数据'!$L$3:$L$152,"&lt;="&amp;DATE(2024,1,31),'2024数据'!$AY$3:$AY$152,$E640,'2024数据'!$B$3:$B$152,'2024整理'!$E796)/10000</f>
        <v>0</v>
      </c>
      <c r="G821" s="123">
        <f>SUMIFS('2024数据'!$AZ$3:$AZ$152,'2024数据'!$L$3:$L$152,"&gt;="&amp;DATE(2024,2,1),'2024数据'!$L$3:$L$152,"&lt;="&amp;DATE(2024,2,29),'2024数据'!$AY$3:$AY$152,$E640,'2024数据'!$B$3:$B$152,'2024整理'!$E796)/10000</f>
        <v>0</v>
      </c>
      <c r="H821" s="123">
        <f>SUMIFS('2024数据'!$AZ$3:$AZ$152,'2024数据'!$L$3:$L$152,"&gt;="&amp;DATE(2024,3,1),'2024数据'!$L$3:$L$152,"&lt;="&amp;DATE(2024,3,31),'2024数据'!$AY$3:$AY$152,$E640,'2024数据'!$B$3:$B$152,'2024整理'!$E796)/10000</f>
        <v>0</v>
      </c>
      <c r="I821" s="123">
        <f>SUMIFS('2024数据'!$AZ$3:$AZ$152,'2024数据'!$L$3:$L$152,"&gt;="&amp;DATE(2024,4,1),'2024数据'!$L$3:$L$152,"&lt;="&amp;DATE(2024,4,30),'2024数据'!$AY$3:$AY$152,$E640,'2024数据'!$B$3:$B$152,'2024整理'!$E796)/10000</f>
        <v>0</v>
      </c>
      <c r="J821" s="123">
        <f>SUMIFS('2024数据'!$AZ$3:$AZ$152,'2024数据'!$L$3:$L$152,"&gt;="&amp;DATE(2024,5,1),'2024数据'!$L$3:$L$152,"&lt;="&amp;DATE(2024,5,31),'2024数据'!$AY$3:$AY$152,$E640,'2024数据'!$B$3:$B$152,'2024整理'!$E796)/10000</f>
        <v>0</v>
      </c>
      <c r="K821" s="123">
        <f>SUMIFS('2024数据'!$AZ$3:$AZ$152,'2024数据'!$L$3:$L$152,"&gt;="&amp;DATE(2024,6,1),'2024数据'!$L$3:$L$152,"&lt;="&amp;DATE(2024,6,30),'2024数据'!$AY$3:$AY$152,$E640,'2024数据'!$B$3:$B$152,'2024整理'!$E796)/10000</f>
        <v>0</v>
      </c>
      <c r="L821" s="123">
        <f>SUMIFS('2024数据'!$AZ$3:$AZ$152,'2024数据'!$L$3:$L$152,"&gt;="&amp;DATE(2024,7,1),'2024数据'!$L$3:$L$152,"&lt;="&amp;DATE(2024,7,31),'2024数据'!$AY$3:$AY$152,$E640,'2024数据'!$B$3:$B$152,'2024整理'!$E796)/10000</f>
        <v>0</v>
      </c>
      <c r="M821" s="123">
        <f>SUMIFS('2024数据'!$AZ$3:$AZ$152,'2024数据'!$L$3:$L$152,"&gt;="&amp;DATE(2024,8,1),'2024数据'!$L$3:$L$152,"&lt;="&amp;DATE(2024,8,31),'2024数据'!$AY$3:$AY$152,$E640,'2024数据'!$B$3:$B$152,'2024整理'!$E796)/10000</f>
        <v>0</v>
      </c>
      <c r="N821" s="123">
        <f>SUMIFS('2024数据'!$AZ$3:$AZ$152,'2024数据'!$L$3:$L$152,"&gt;="&amp;DATE(2024,9,1),'2024数据'!$L$3:$L$152,"&lt;="&amp;DATE(2024,9,30),'2024数据'!$AY$3:$AY$152,$E640,'2024数据'!$B$3:$B$152,'2024整理'!$E796)/10000</f>
        <v>0</v>
      </c>
      <c r="O821" s="123">
        <f>SUMIFS('2024数据'!$AZ$3:$AZ$152,'2024数据'!$L$3:$L$152,"&gt;="&amp;DATE(2024,10,1),'2024数据'!$L$3:$L$152,"&lt;="&amp;DATE(2024,10,31),'2024数据'!$AY$3:$AY$152,$E640,'2024数据'!$B$3:$B$152,'2024整理'!$E796)/10000</f>
        <v>0.00184599999999998</v>
      </c>
      <c r="P821" s="123">
        <f>SUMIFS('2024数据'!$AZ$3:$AZ$152,'2024数据'!$L$3:$L$152,"&gt;="&amp;DATE(2024,11,1),'2024数据'!$L$3:$L$152,"&lt;="&amp;DATE(2024,11,30),'2024数据'!$AY$3:$AY$152,$E640,'2024数据'!$B$3:$B$152,'2024整理'!$E796)/10000</f>
        <v>0</v>
      </c>
      <c r="Q821" s="123">
        <f>SUMIFS('2024数据'!$AZ$3:$AZ$152,'2024数据'!$L$3:$L$152,"&gt;="&amp;DATE(2024,12,1),'2024数据'!$L$3:$L$152,"&lt;="&amp;DATE(2024,12,31),'2024数据'!$AY$3:$AY$152,$E640,'2024数据'!$B$3:$B$152,'2024整理'!$E796)/10000</f>
        <v>0</v>
      </c>
    </row>
    <row r="822" ht="24" customHeight="1" spans="1:17">
      <c r="A822" s="99" t="s">
        <v>346</v>
      </c>
      <c r="B822" s="99" t="s">
        <v>299</v>
      </c>
      <c r="C822" s="99" t="s">
        <v>333</v>
      </c>
      <c r="D822" s="53" t="s">
        <v>304</v>
      </c>
      <c r="E822" s="53" t="s">
        <v>96</v>
      </c>
      <c r="F822" s="123">
        <f>SUMIFS('2024数据'!$AZ$3:$AZ$152,'2024数据'!$L$3:$L$152,"&gt;="&amp;DATE(2024,1,1),'2024数据'!$L$3:$L$152,"&lt;="&amp;DATE(2024,1,31),'2024数据'!$AY$3:$AY$152,$E640,'2024数据'!$B$3:$B$152,'2024整理'!$E797)/10000</f>
        <v>0</v>
      </c>
      <c r="G822" s="123">
        <f>SUMIFS('2024数据'!$AZ$3:$AZ$152,'2024数据'!$L$3:$L$152,"&gt;="&amp;DATE(2024,2,1),'2024数据'!$L$3:$L$152,"&lt;="&amp;DATE(2024,2,29),'2024数据'!$AY$3:$AY$152,$E640,'2024数据'!$B$3:$B$152,'2024整理'!$E797)/10000</f>
        <v>0</v>
      </c>
      <c r="H822" s="123">
        <f>SUMIFS('2024数据'!$AZ$3:$AZ$152,'2024数据'!$L$3:$L$152,"&gt;="&amp;DATE(2024,3,1),'2024数据'!$L$3:$L$152,"&lt;="&amp;DATE(2024,3,31),'2024数据'!$AY$3:$AY$152,$E640,'2024数据'!$B$3:$B$152,'2024整理'!$E797)/10000</f>
        <v>0</v>
      </c>
      <c r="I822" s="123">
        <f>SUMIFS('2024数据'!$AZ$3:$AZ$152,'2024数据'!$L$3:$L$152,"&gt;="&amp;DATE(2024,4,1),'2024数据'!$L$3:$L$152,"&lt;="&amp;DATE(2024,4,30),'2024数据'!$AY$3:$AY$152,$E640,'2024数据'!$B$3:$B$152,'2024整理'!$E797)/10000</f>
        <v>0</v>
      </c>
      <c r="J822" s="123">
        <f>SUMIFS('2024数据'!$AZ$3:$AZ$152,'2024数据'!$L$3:$L$152,"&gt;="&amp;DATE(2024,5,1),'2024数据'!$L$3:$L$152,"&lt;="&amp;DATE(2024,5,31),'2024数据'!$AY$3:$AY$152,$E640,'2024数据'!$B$3:$B$152,'2024整理'!$E797)/10000</f>
        <v>0</v>
      </c>
      <c r="K822" s="123">
        <f>SUMIFS('2024数据'!$AZ$3:$AZ$152,'2024数据'!$L$3:$L$152,"&gt;="&amp;DATE(2024,6,1),'2024数据'!$L$3:$L$152,"&lt;="&amp;DATE(2024,6,30),'2024数据'!$AY$3:$AY$152,$E640,'2024数据'!$B$3:$B$152,'2024整理'!$E797)/10000</f>
        <v>0</v>
      </c>
      <c r="L822" s="123">
        <f>SUMIFS('2024数据'!$AZ$3:$AZ$152,'2024数据'!$L$3:$L$152,"&gt;="&amp;DATE(2024,7,1),'2024数据'!$L$3:$L$152,"&lt;="&amp;DATE(2024,7,31),'2024数据'!$AY$3:$AY$152,$E640,'2024数据'!$B$3:$B$152,'2024整理'!$E797)/10000</f>
        <v>0</v>
      </c>
      <c r="M822" s="123">
        <f>SUMIFS('2024数据'!$AZ$3:$AZ$152,'2024数据'!$L$3:$L$152,"&gt;="&amp;DATE(2024,8,1),'2024数据'!$L$3:$L$152,"&lt;="&amp;DATE(2024,8,31),'2024数据'!$AY$3:$AY$152,$E640,'2024数据'!$B$3:$B$152,'2024整理'!$E797)/10000</f>
        <v>0</v>
      </c>
      <c r="N822" s="123">
        <f>SUMIFS('2024数据'!$AZ$3:$AZ$152,'2024数据'!$L$3:$L$152,"&gt;="&amp;DATE(2024,9,1),'2024数据'!$L$3:$L$152,"&lt;="&amp;DATE(2024,9,30),'2024数据'!$AY$3:$AY$152,$E640,'2024数据'!$B$3:$B$152,'2024整理'!$E797)/10000</f>
        <v>0</v>
      </c>
      <c r="O822" s="123">
        <f>SUMIFS('2024数据'!$AZ$3:$AZ$152,'2024数据'!$L$3:$L$152,"&gt;="&amp;DATE(2024,10,1),'2024数据'!$L$3:$L$152,"&lt;="&amp;DATE(2024,10,31),'2024数据'!$AY$3:$AY$152,$E640,'2024数据'!$B$3:$B$152,'2024整理'!$E797)/10000</f>
        <v>0</v>
      </c>
      <c r="P822" s="123">
        <f>SUMIFS('2024数据'!$AZ$3:$AZ$152,'2024数据'!$L$3:$L$152,"&gt;="&amp;DATE(2024,11,1),'2024数据'!$L$3:$L$152,"&lt;="&amp;DATE(2024,11,30),'2024数据'!$AY$3:$AY$152,$E640,'2024数据'!$B$3:$B$152,'2024整理'!$E797)/10000</f>
        <v>0</v>
      </c>
      <c r="Q822" s="123">
        <f>SUMIFS('2024数据'!$AZ$3:$AZ$152,'2024数据'!$L$3:$L$152,"&gt;="&amp;DATE(2024,12,1),'2024数据'!$L$3:$L$152,"&lt;="&amp;DATE(2024,12,31),'2024数据'!$AY$3:$AY$152,$E640,'2024数据'!$B$3:$B$152,'2024整理'!$E797)/10000</f>
        <v>0</v>
      </c>
    </row>
    <row r="823" ht="24" customHeight="1" spans="1:17">
      <c r="A823" s="99" t="s">
        <v>346</v>
      </c>
      <c r="B823" s="99" t="s">
        <v>299</v>
      </c>
      <c r="C823" s="99" t="s">
        <v>333</v>
      </c>
      <c r="D823" s="53" t="s">
        <v>304</v>
      </c>
      <c r="E823" s="53" t="s">
        <v>160</v>
      </c>
      <c r="F823" s="123">
        <f t="shared" ref="F823:Q823" si="589">F812-SUM(F819:F822)</f>
        <v>0</v>
      </c>
      <c r="G823" s="123">
        <f t="shared" si="589"/>
        <v>0</v>
      </c>
      <c r="H823" s="123">
        <f t="shared" si="589"/>
        <v>0</v>
      </c>
      <c r="I823" s="123">
        <f t="shared" si="589"/>
        <v>0</v>
      </c>
      <c r="J823" s="123">
        <f t="shared" si="589"/>
        <v>0</v>
      </c>
      <c r="K823" s="123">
        <f t="shared" si="589"/>
        <v>0</v>
      </c>
      <c r="L823" s="123">
        <f t="shared" si="589"/>
        <v>0</v>
      </c>
      <c r="M823" s="123">
        <f t="shared" si="589"/>
        <v>0</v>
      </c>
      <c r="N823" s="123">
        <f t="shared" si="589"/>
        <v>0</v>
      </c>
      <c r="O823" s="123">
        <f t="shared" si="589"/>
        <v>0</v>
      </c>
      <c r="P823" s="123">
        <f t="shared" si="589"/>
        <v>0</v>
      </c>
      <c r="Q823" s="123">
        <f t="shared" si="589"/>
        <v>0</v>
      </c>
    </row>
    <row r="824" ht="24" customHeight="1" spans="1:17">
      <c r="A824" s="99" t="s">
        <v>346</v>
      </c>
      <c r="B824" s="99" t="s">
        <v>299</v>
      </c>
      <c r="C824" s="99" t="s">
        <v>336</v>
      </c>
      <c r="D824" s="114" t="s">
        <v>292</v>
      </c>
      <c r="E824" s="122" t="s">
        <v>337</v>
      </c>
      <c r="F824" s="124">
        <f>SUMIFS('2024数据'!$AZ$3:$AZ$152,'2024数据'!$L$3:$L$152,"&gt;="&amp;DATE(2024,1,1),'2024数据'!$L$3:$L$152,"&lt;="&amp;DATE(2024,1,31),'2024数据'!$AY$3:$AY$152,$E639)/10000</f>
        <v>0.030766</v>
      </c>
      <c r="G824" s="124">
        <f>SUMIFS('2024数据'!$AZ$3:$AZ$152,'2024数据'!$L$3:$L$152,"&gt;="&amp;DATE(2024,2,1),'2024数据'!$L$3:$L$152,"&lt;="&amp;DATE(2024,2,29),'2024数据'!$AY$3:$AY$152,$E639)/10000</f>
        <v>0.117507</v>
      </c>
      <c r="H824" s="124">
        <f>SUMIFS('2024数据'!$AZ$3:$AZ$152,'2024数据'!$L$3:$L$152,"&gt;="&amp;DATE(2024,3,1),'2024数据'!$L$3:$L$152,"&lt;="&amp;DATE(2024,3,31),'2024数据'!$AY$3:$AY$152,$E639)/10000</f>
        <v>0.0585509999999997</v>
      </c>
      <c r="I824" s="124">
        <f>SUMIFS('2024数据'!$AZ$3:$AZ$152,'2024数据'!$L$3:$L$152,"&gt;="&amp;DATE(2024,4,1),'2024数据'!$L$3:$L$152,"&lt;="&amp;DATE(2024,4,30),'2024数据'!$AY$3:$AY$152,$E639)/10000</f>
        <v>0.00435799999999999</v>
      </c>
      <c r="J824" s="124">
        <f>SUMIFS('2024数据'!$AZ$3:$AZ$152,'2024数据'!$L$3:$L$152,"&gt;="&amp;DATE(2024,5,1),'2024数据'!$L$3:$L$152,"&lt;="&amp;DATE(2024,5,31),'2024数据'!$AY$3:$AY$152,$E639)/10000</f>
        <v>0</v>
      </c>
      <c r="K824" s="124">
        <f>SUMIFS('2024数据'!$AZ$3:$AZ$152,'2024数据'!$L$3:$L$152,"&gt;="&amp;DATE(2024,6,1),'2024数据'!$L$3:$L$152,"&lt;="&amp;DATE(2024,6,30),'2024数据'!$AY$3:$AY$152,$E639)/10000</f>
        <v>0.055225</v>
      </c>
      <c r="L824" s="124">
        <f>SUMIFS('2024数据'!$AZ$3:$AZ$152,'2024数据'!$L$3:$L$152,"&gt;="&amp;DATE(2024,7,1),'2024数据'!$L$3:$L$152,"&lt;="&amp;DATE(2024,7,31),'2024数据'!$AY$3:$AY$152,$E639)/10000</f>
        <v>0.017588</v>
      </c>
      <c r="M824" s="124">
        <f>SUMIFS('2024数据'!$AZ$3:$AZ$152,'2024数据'!$L$3:$L$152,"&gt;="&amp;DATE(2024,8,1),'2024数据'!$L$3:$L$152,"&lt;="&amp;DATE(2024,8,31),'2024数据'!$AY$3:$AY$152,$E639)/10000</f>
        <v>0.017168</v>
      </c>
      <c r="N824" s="124">
        <f>SUMIFS('2024数据'!$AZ$3:$AZ$152,'2024数据'!$L$3:$L$152,"&gt;="&amp;DATE(2024,9,1),'2024数据'!$L$3:$L$152,"&lt;="&amp;DATE(2024,9,30),'2024数据'!$AY$3:$AY$152,$E639)/10000</f>
        <v>0.100807</v>
      </c>
      <c r="O824" s="124">
        <f>SUMIFS('2024数据'!$AZ$3:$AZ$152,'2024数据'!$L$3:$L$152,"&gt;="&amp;DATE(2024,10,1),'2024数据'!$L$3:$L$152,"&lt;="&amp;DATE(2024,10,31),'2024数据'!$AY$3:$AY$152,$E639)/10000</f>
        <v>0.317334</v>
      </c>
      <c r="P824" s="124">
        <f>SUMIFS('2024数据'!$AZ$3:$AZ$152,'2024数据'!$L$3:$L$152,"&gt;="&amp;DATE(2024,11,1),'2024数据'!$L$3:$L$152,"&lt;="&amp;DATE(2024,11,30),'2024数据'!$AY$3:$AY$152,$E639)/10000</f>
        <v>0.0794760000000003</v>
      </c>
      <c r="Q824" s="124">
        <f>SUMIFS('2024数据'!$AZ$3:$AZ$152,'2024数据'!$L$3:$L$152,"&gt;="&amp;DATE(2024,12,1),'2024数据'!$L$3:$L$152,"&lt;="&amp;DATE(2024,12,31),'2024数据'!$AY$3:$AY$152,$E639)/10000</f>
        <v>0.07941</v>
      </c>
    </row>
    <row r="825" ht="24" customHeight="1" spans="1:17">
      <c r="A825" s="99" t="s">
        <v>346</v>
      </c>
      <c r="B825" s="99" t="s">
        <v>299</v>
      </c>
      <c r="C825" s="99" t="s">
        <v>336</v>
      </c>
      <c r="D825" s="114" t="s">
        <v>292</v>
      </c>
      <c r="E825" s="122" t="s">
        <v>338</v>
      </c>
      <c r="F825" s="124">
        <f>SUMIFS('2024数据'!$AZ$3:$AZ$152,'2024数据'!$L$3:$L$152,"&gt;="&amp;DATE(2024,1,1),'2024数据'!$L$3:$L$152,"&lt;="&amp;DATE(2024,1,31),'2024数据'!$AY$3:$AY$152,$E640)/10000</f>
        <v>0.0200800000000001</v>
      </c>
      <c r="G825" s="124">
        <f>SUMIFS('2024数据'!$AZ$3:$AZ$152,'2024数据'!$L$3:$L$152,"&gt;="&amp;DATE(2024,2,1),'2024数据'!$L$3:$L$152,"&lt;="&amp;DATE(2024,2,29),'2024数据'!$AY$3:$AY$152,$E640)/10000</f>
        <v>0</v>
      </c>
      <c r="H825" s="124">
        <f>SUMIFS('2024数据'!$AZ$3:$AZ$152,'2024数据'!$L$3:$L$152,"&gt;="&amp;DATE(2024,3,1),'2024数据'!$L$3:$L$152,"&lt;="&amp;DATE(2024,3,31),'2024数据'!$AY$3:$AY$152,$E640)/10000</f>
        <v>0</v>
      </c>
      <c r="I825" s="124">
        <f>SUMIFS('2024数据'!$AZ$3:$AZ$152,'2024数据'!$L$3:$L$152,"&gt;="&amp;DATE(2024,4,1),'2024数据'!$L$3:$L$152,"&lt;="&amp;DATE(2024,4,30),'2024数据'!$AY$3:$AY$152,$E640)/10000</f>
        <v>0</v>
      </c>
      <c r="J825" s="124">
        <f>SUMIFS('2024数据'!$AZ$3:$AZ$152,'2024数据'!$L$3:$L$152,"&gt;="&amp;DATE(2024,5,1),'2024数据'!$L$3:$L$152,"&lt;="&amp;DATE(2024,5,31),'2024数据'!$AY$3:$AY$152,$E640)/10000</f>
        <v>0.00764200000000001</v>
      </c>
      <c r="K825" s="124">
        <f>SUMIFS('2024数据'!$AZ$3:$AZ$152,'2024数据'!$L$3:$L$152,"&gt;="&amp;DATE(2024,6,1),'2024数据'!$L$3:$L$152,"&lt;="&amp;DATE(2024,6,30),'2024数据'!$AY$3:$AY$152,$E640)/10000</f>
        <v>0</v>
      </c>
      <c r="L825" s="124">
        <f>SUMIFS('2024数据'!$AZ$3:$AZ$152,'2024数据'!$L$3:$L$152,"&gt;="&amp;DATE(2024,7,1),'2024数据'!$L$3:$L$152,"&lt;="&amp;DATE(2024,7,31),'2024数据'!$AY$3:$AY$152,$E640)/10000</f>
        <v>0.00129000000000001</v>
      </c>
      <c r="M825" s="124">
        <f>SUMIFS('2024数据'!$AZ$3:$AZ$152,'2024数据'!$L$3:$L$152,"&gt;="&amp;DATE(2024,8,1),'2024数据'!$L$3:$L$152,"&lt;="&amp;DATE(2024,8,31),'2024数据'!$AY$3:$AY$152,$E640)/10000</f>
        <v>0.0762499999999998</v>
      </c>
      <c r="N825" s="124">
        <f>SUMIFS('2024数据'!$AZ$3:$AZ$152,'2024数据'!$L$3:$L$152,"&gt;="&amp;DATE(2024,9,1),'2024数据'!$L$3:$L$152,"&lt;="&amp;DATE(2024,9,30),'2024数据'!$AY$3:$AY$152,$E640)/10000</f>
        <v>0.011654</v>
      </c>
      <c r="O825" s="124">
        <f>SUMIFS('2024数据'!$AZ$3:$AZ$152,'2024数据'!$L$3:$L$152,"&gt;="&amp;DATE(2024,10,1),'2024数据'!$L$3:$L$152,"&lt;="&amp;DATE(2024,10,31),'2024数据'!$AY$3:$AY$152,$E640)/10000</f>
        <v>0.010563</v>
      </c>
      <c r="P825" s="124">
        <f>SUMIFS('2024数据'!$AZ$3:$AZ$152,'2024数据'!$L$3:$L$152,"&gt;="&amp;DATE(2024,11,1),'2024数据'!$L$3:$L$152,"&lt;="&amp;DATE(2024,11,30),'2024数据'!$AY$3:$AY$152,$E640)/10000</f>
        <v>0.0117140000000003</v>
      </c>
      <c r="Q825" s="124">
        <f>SUMIFS('2024数据'!$AZ$3:$AZ$152,'2024数据'!$L$3:$L$152,"&gt;="&amp;DATE(2024,12,1),'2024数据'!$L$3:$L$152,"&lt;="&amp;DATE(2024,12,31),'2024数据'!$AY$3:$AY$152,$E640)/10000</f>
        <v>0</v>
      </c>
    </row>
    <row r="826" ht="24" customHeight="1" spans="1:17">
      <c r="A826" s="99" t="s">
        <v>346</v>
      </c>
      <c r="B826" s="99" t="s">
        <v>299</v>
      </c>
      <c r="C826" s="99" t="s">
        <v>336</v>
      </c>
      <c r="D826" s="114" t="s">
        <v>292</v>
      </c>
      <c r="E826" s="122" t="s">
        <v>339</v>
      </c>
      <c r="F826" s="124">
        <f>SUMIFS('2024数据'!$AZ$3:$AZ$152,'2024数据'!$L$3:$L$152,"&gt;="&amp;DATE(2024,1,1),'2024数据'!$L$3:$L$152,"&lt;="&amp;DATE(2024,1,31),'2024数据'!$AY$3:$AY$152,$E641)/10000</f>
        <v>0</v>
      </c>
      <c r="G826" s="124">
        <f>SUMIFS('2024数据'!$AZ$3:$AZ$152,'2024数据'!$L$3:$L$152,"&gt;="&amp;DATE(2024,2,1),'2024数据'!$L$3:$L$152,"&lt;="&amp;DATE(2024,2,29),'2024数据'!$AY$3:$AY$152,$E641)/10000</f>
        <v>0</v>
      </c>
      <c r="H826" s="124">
        <f>SUMIFS('2024数据'!$AZ$3:$AZ$152,'2024数据'!$L$3:$L$152,"&gt;="&amp;DATE(2024,3,1),'2024数据'!$L$3:$L$152,"&lt;="&amp;DATE(2024,3,31),'2024数据'!$AY$3:$AY$152,$E641)/10000</f>
        <v>0</v>
      </c>
      <c r="I826" s="124">
        <f>SUMIFS('2024数据'!$AZ$3:$AZ$152,'2024数据'!$L$3:$L$152,"&gt;="&amp;DATE(2024,4,1),'2024数据'!$L$3:$L$152,"&lt;="&amp;DATE(2024,4,30),'2024数据'!$AY$3:$AY$152,$E641)/10000</f>
        <v>0</v>
      </c>
      <c r="J826" s="124">
        <f>SUMIFS('2024数据'!$AZ$3:$AZ$152,'2024数据'!$L$3:$L$152,"&gt;="&amp;DATE(2024,5,1),'2024数据'!$L$3:$L$152,"&lt;="&amp;DATE(2024,5,31),'2024数据'!$AY$3:$AY$152,$E641)/10000</f>
        <v>0</v>
      </c>
      <c r="K826" s="124">
        <f>SUMIFS('2024数据'!$AZ$3:$AZ$152,'2024数据'!$L$3:$L$152,"&gt;="&amp;DATE(2024,6,1),'2024数据'!$L$3:$L$152,"&lt;="&amp;DATE(2024,6,30),'2024数据'!$AY$3:$AY$152,$E641)/10000</f>
        <v>0</v>
      </c>
      <c r="L826" s="124">
        <f>SUMIFS('2024数据'!$AZ$3:$AZ$152,'2024数据'!$L$3:$L$152,"&gt;="&amp;DATE(2024,7,1),'2024数据'!$L$3:$L$152,"&lt;="&amp;DATE(2024,7,31),'2024数据'!$AY$3:$AY$152,$E641)/10000</f>
        <v>0</v>
      </c>
      <c r="M826" s="124">
        <f>SUMIFS('2024数据'!$AZ$3:$AZ$152,'2024数据'!$L$3:$L$152,"&gt;="&amp;DATE(2024,8,1),'2024数据'!$L$3:$L$152,"&lt;="&amp;DATE(2024,8,31),'2024数据'!$AY$3:$AY$152,$E641)/10000</f>
        <v>0</v>
      </c>
      <c r="N826" s="124">
        <f>SUMIFS('2024数据'!$AZ$3:$AZ$152,'2024数据'!$L$3:$L$152,"&gt;="&amp;DATE(2024,9,1),'2024数据'!$L$3:$L$152,"&lt;="&amp;DATE(2024,9,30),'2024数据'!$AY$3:$AY$152,$E641)/10000</f>
        <v>0</v>
      </c>
      <c r="O826" s="124">
        <f>SUMIFS('2024数据'!$AZ$3:$AZ$152,'2024数据'!$L$3:$L$152,"&gt;="&amp;DATE(2024,10,1),'2024数据'!$L$3:$L$152,"&lt;="&amp;DATE(2024,10,31),'2024数据'!$AY$3:$AY$152,$E641)/10000</f>
        <v>0</v>
      </c>
      <c r="P826" s="124">
        <f>SUMIFS('2024数据'!$AZ$3:$AZ$152,'2024数据'!$L$3:$L$152,"&gt;="&amp;DATE(2024,11,1),'2024数据'!$L$3:$L$152,"&lt;="&amp;DATE(2024,11,30),'2024数据'!$AY$3:$AY$152,$E641)/10000</f>
        <v>0</v>
      </c>
      <c r="Q826" s="124">
        <f>SUMIFS('2024数据'!$AZ$3:$AZ$152,'2024数据'!$L$3:$L$152,"&gt;="&amp;DATE(2024,12,1),'2024数据'!$L$3:$L$152,"&lt;="&amp;DATE(2024,12,31),'2024数据'!$AY$3:$AY$152,$E641)/10000</f>
        <v>0</v>
      </c>
    </row>
    <row r="827" ht="24" customHeight="1" spans="1:17">
      <c r="A827" s="99" t="s">
        <v>346</v>
      </c>
      <c r="B827" s="99" t="s">
        <v>299</v>
      </c>
      <c r="C827" s="99" t="s">
        <v>336</v>
      </c>
      <c r="D827" s="122" t="s">
        <v>303</v>
      </c>
      <c r="E827" s="122" t="s">
        <v>93</v>
      </c>
      <c r="F827" s="124">
        <f>SUMIFS('2024数据'!$AZ$3:$AZ$152,'2024数据'!$L$3:$L$152,"&gt;="&amp;DATE(2024,1,1),'2024数据'!$L$3:$L$152,"&lt;="&amp;DATE(2024,1,31),'2024数据'!$AY$3:$AY$152,$E639,'2024数据'!$B$3:$B$152,'2024整理'!$E806)/10000</f>
        <v>0.017676</v>
      </c>
      <c r="G827" s="124">
        <f>SUMIFS('2024数据'!$AZ$3:$AZ$152,'2024数据'!$L$3:$L$152,"&gt;="&amp;DATE(2024,2,1),'2024数据'!$L$3:$L$152,"&lt;="&amp;DATE(2024,2,29),'2024数据'!$AY$3:$AY$152,$E639,'2024数据'!$B$3:$B$152,'2024整理'!$E806)/10000</f>
        <v>0.113168</v>
      </c>
      <c r="H827" s="124">
        <f>SUMIFS('2024数据'!$AZ$3:$AZ$152,'2024数据'!$L$3:$L$152,"&gt;="&amp;DATE(2024,3,1),'2024数据'!$L$3:$L$152,"&lt;="&amp;DATE(2024,3,31),'2024数据'!$AY$3:$AY$152,$E639,'2024数据'!$B$3:$B$152,'2024整理'!$E806)/10000</f>
        <v>0.0478579999999998</v>
      </c>
      <c r="I827" s="124">
        <f>SUMIFS('2024数据'!$AZ$3:$AZ$152,'2024数据'!$L$3:$L$152,"&gt;="&amp;DATE(2024,4,1),'2024数据'!$L$3:$L$152,"&lt;="&amp;DATE(2024,4,30),'2024数据'!$AY$3:$AY$152,$E639,'2024数据'!$B$3:$B$152,'2024整理'!$E806)/10000</f>
        <v>0</v>
      </c>
      <c r="J827" s="124">
        <f>SUMIFS('2024数据'!$AZ$3:$AZ$152,'2024数据'!$L$3:$L$152,"&gt;="&amp;DATE(2024,5,1),'2024数据'!$L$3:$L$152,"&lt;="&amp;DATE(2024,5,31),'2024数据'!$AY$3:$AY$152,$E639,'2024数据'!$B$3:$B$152,'2024整理'!$E806)/10000</f>
        <v>0</v>
      </c>
      <c r="K827" s="124">
        <f>SUMIFS('2024数据'!$AZ$3:$AZ$152,'2024数据'!$L$3:$L$152,"&gt;="&amp;DATE(2024,6,1),'2024数据'!$L$3:$L$152,"&lt;="&amp;DATE(2024,6,30),'2024数据'!$AY$3:$AY$152,$E639,'2024数据'!$B$3:$B$152,'2024整理'!$E806)/10000</f>
        <v>0.0486530000000001</v>
      </c>
      <c r="L827" s="124">
        <f>SUMIFS('2024数据'!$AZ$3:$AZ$152,'2024数据'!$L$3:$L$152,"&gt;="&amp;DATE(2024,7,1),'2024数据'!$L$3:$L$152,"&lt;="&amp;DATE(2024,7,31),'2024数据'!$AY$3:$AY$152,$E639,'2024数据'!$B$3:$B$152,'2024整理'!$E806)/10000</f>
        <v>0</v>
      </c>
      <c r="M827" s="124">
        <f>SUMIFS('2024数据'!$AZ$3:$AZ$152,'2024数据'!$L$3:$L$152,"&gt;="&amp;DATE(2024,8,1),'2024数据'!$L$3:$L$152,"&lt;="&amp;DATE(2024,8,31),'2024数据'!$AY$3:$AY$152,$E639,'2024数据'!$B$3:$B$152,'2024整理'!$E806)/10000</f>
        <v>0.010961</v>
      </c>
      <c r="N827" s="124">
        <f>SUMIFS('2024数据'!$AZ$3:$AZ$152,'2024数据'!$L$3:$L$152,"&gt;="&amp;DATE(2024,9,1),'2024数据'!$L$3:$L$152,"&lt;="&amp;DATE(2024,9,30),'2024数据'!$AY$3:$AY$152,$E639,'2024数据'!$B$3:$B$152,'2024整理'!$E806)/10000</f>
        <v>0.0381709999999999</v>
      </c>
      <c r="O827" s="124">
        <f>SUMIFS('2024数据'!$AZ$3:$AZ$152,'2024数据'!$L$3:$L$152,"&gt;="&amp;DATE(2024,10,1),'2024数据'!$L$3:$L$152,"&lt;="&amp;DATE(2024,10,31),'2024数据'!$AY$3:$AY$152,$E639,'2024数据'!$B$3:$B$152,'2024整理'!$E806)/10000</f>
        <v>0.219886</v>
      </c>
      <c r="P827" s="124">
        <f>SUMIFS('2024数据'!$AZ$3:$AZ$152,'2024数据'!$L$3:$L$152,"&gt;="&amp;DATE(2024,11,1),'2024数据'!$L$3:$L$152,"&lt;="&amp;DATE(2024,11,30),'2024数据'!$AY$3:$AY$152,$E639,'2024数据'!$B$3:$B$152,'2024整理'!$E806)/10000</f>
        <v>0.0624000000000003</v>
      </c>
      <c r="Q827" s="124">
        <f>SUMIFS('2024数据'!$AZ$3:$AZ$152,'2024数据'!$L$3:$L$152,"&gt;="&amp;DATE(2024,12,1),'2024数据'!$L$3:$L$152,"&lt;="&amp;DATE(2024,12,31),'2024数据'!$AY$3:$AY$152,$E639,'2024数据'!$B$3:$B$152,'2024整理'!$E806)/10000</f>
        <v>0.050158</v>
      </c>
    </row>
    <row r="828" ht="24" customHeight="1" spans="1:17">
      <c r="A828" s="99" t="s">
        <v>346</v>
      </c>
      <c r="B828" s="99" t="s">
        <v>299</v>
      </c>
      <c r="C828" s="99" t="s">
        <v>336</v>
      </c>
      <c r="D828" s="122" t="s">
        <v>303</v>
      </c>
      <c r="E828" s="122" t="s">
        <v>85</v>
      </c>
      <c r="F828" s="124">
        <f>SUMIFS('2024数据'!$AZ$3:$AZ$152,'2024数据'!$L$3:$L$152,"&gt;="&amp;DATE(2024,1,1),'2024数据'!$L$3:$L$152,"&lt;="&amp;DATE(2024,1,31),'2024数据'!$AY$3:$AY$152,$E639,'2024数据'!$B$3:$B$152,'2024整理'!$E807)/10000</f>
        <v>0.01309</v>
      </c>
      <c r="G828" s="124">
        <f>SUMIFS('2024数据'!$AZ$3:$AZ$152,'2024数据'!$L$3:$L$152,"&gt;="&amp;DATE(2024,2,1),'2024数据'!$L$3:$L$152,"&lt;="&amp;DATE(2024,2,29),'2024数据'!$AY$3:$AY$152,$E639,'2024数据'!$B$3:$B$152,'2024整理'!$E807)/10000</f>
        <v>0.004339</v>
      </c>
      <c r="H828" s="124">
        <f>SUMIFS('2024数据'!$AZ$3:$AZ$152,'2024数据'!$L$3:$L$152,"&gt;="&amp;DATE(2024,3,1),'2024数据'!$L$3:$L$152,"&lt;="&amp;DATE(2024,3,31),'2024数据'!$AY$3:$AY$152,$E639,'2024数据'!$B$3:$B$152,'2024整理'!$E807)/10000</f>
        <v>0.0106929999999999</v>
      </c>
      <c r="I828" s="124">
        <f>SUMIFS('2024数据'!$AZ$3:$AZ$152,'2024数据'!$L$3:$L$152,"&gt;="&amp;DATE(2024,4,1),'2024数据'!$L$3:$L$152,"&lt;="&amp;DATE(2024,4,30),'2024数据'!$AY$3:$AY$152,$E639,'2024数据'!$B$3:$B$152,'2024整理'!$E807)/10000</f>
        <v>0</v>
      </c>
      <c r="J828" s="124">
        <f>SUMIFS('2024数据'!$AZ$3:$AZ$152,'2024数据'!$L$3:$L$152,"&gt;="&amp;DATE(2024,5,1),'2024数据'!$L$3:$L$152,"&lt;="&amp;DATE(2024,5,31),'2024数据'!$AY$3:$AY$152,$E639,'2024数据'!$B$3:$B$152,'2024整理'!$E807)/10000</f>
        <v>0</v>
      </c>
      <c r="K828" s="124">
        <f>SUMIFS('2024数据'!$AZ$3:$AZ$152,'2024数据'!$L$3:$L$152,"&gt;="&amp;DATE(2024,6,1),'2024数据'!$L$3:$L$152,"&lt;="&amp;DATE(2024,6,30),'2024数据'!$AY$3:$AY$152,$E639,'2024数据'!$B$3:$B$152,'2024整理'!$E807)/10000</f>
        <v>0.00657199999999998</v>
      </c>
      <c r="L828" s="124">
        <f>SUMIFS('2024数据'!$AZ$3:$AZ$152,'2024数据'!$L$3:$L$152,"&gt;="&amp;DATE(2024,7,1),'2024数据'!$L$3:$L$152,"&lt;="&amp;DATE(2024,7,31),'2024数据'!$AY$3:$AY$152,$E639,'2024数据'!$B$3:$B$152,'2024整理'!$E807)/10000</f>
        <v>0</v>
      </c>
      <c r="M828" s="124">
        <f>SUMIFS('2024数据'!$AZ$3:$AZ$152,'2024数据'!$L$3:$L$152,"&gt;="&amp;DATE(2024,8,1),'2024数据'!$L$3:$L$152,"&lt;="&amp;DATE(2024,8,31),'2024数据'!$AY$3:$AY$152,$E639,'2024数据'!$B$3:$B$152,'2024整理'!$E807)/10000</f>
        <v>0.00620699999999997</v>
      </c>
      <c r="N828" s="124">
        <f>SUMIFS('2024数据'!$AZ$3:$AZ$152,'2024数据'!$L$3:$L$152,"&gt;="&amp;DATE(2024,9,1),'2024数据'!$L$3:$L$152,"&lt;="&amp;DATE(2024,9,30),'2024数据'!$AY$3:$AY$152,$E639,'2024数据'!$B$3:$B$152,'2024整理'!$E807)/10000</f>
        <v>0.00269399999999996</v>
      </c>
      <c r="O828" s="124">
        <f>SUMIFS('2024数据'!$AZ$3:$AZ$152,'2024数据'!$L$3:$L$152,"&gt;="&amp;DATE(2024,10,1),'2024数据'!$L$3:$L$152,"&lt;="&amp;DATE(2024,10,31),'2024数据'!$AY$3:$AY$152,$E639,'2024数据'!$B$3:$B$152,'2024整理'!$E807)/10000</f>
        <v>0.00483800000000001</v>
      </c>
      <c r="P828" s="124">
        <f>SUMIFS('2024数据'!$AZ$3:$AZ$152,'2024数据'!$L$3:$L$152,"&gt;="&amp;DATE(2024,11,1),'2024数据'!$L$3:$L$152,"&lt;="&amp;DATE(2024,11,30),'2024数据'!$AY$3:$AY$152,$E639,'2024数据'!$B$3:$B$152,'2024整理'!$E807)/10000</f>
        <v>0.017076</v>
      </c>
      <c r="Q828" s="124">
        <f>SUMIFS('2024数据'!$AZ$3:$AZ$152,'2024数据'!$L$3:$L$152,"&gt;="&amp;DATE(2024,12,1),'2024数据'!$L$3:$L$152,"&lt;="&amp;DATE(2024,12,31),'2024数据'!$AY$3:$AY$152,$E639,'2024数据'!$B$3:$B$152,'2024整理'!$E807)/10000</f>
        <v>0.001095</v>
      </c>
    </row>
    <row r="829" ht="24" customHeight="1" spans="1:17">
      <c r="A829" s="99" t="s">
        <v>346</v>
      </c>
      <c r="B829" s="99" t="s">
        <v>299</v>
      </c>
      <c r="C829" s="99" t="s">
        <v>336</v>
      </c>
      <c r="D829" s="122" t="s">
        <v>303</v>
      </c>
      <c r="E829" s="122" t="s">
        <v>81</v>
      </c>
      <c r="F829" s="124">
        <f>SUMIFS('2024数据'!$AZ$3:$AZ$152,'2024数据'!$L$3:$L$152,"&gt;="&amp;DATE(2024,1,1),'2024数据'!$L$3:$L$152,"&lt;="&amp;DATE(2024,1,31),'2024数据'!$AY$3:$AY$152,$E639,'2024数据'!$B$3:$B$152,'2024整理'!$E808)/10000</f>
        <v>0</v>
      </c>
      <c r="G829" s="124">
        <f>SUMIFS('2024数据'!$AZ$3:$AZ$152,'2024数据'!$L$3:$L$152,"&gt;="&amp;DATE(2024,2,1),'2024数据'!$L$3:$L$152,"&lt;="&amp;DATE(2024,2,29),'2024数据'!$AY$3:$AY$152,$E639,'2024数据'!$B$3:$B$152,'2024整理'!$E808)/10000</f>
        <v>0</v>
      </c>
      <c r="H829" s="124">
        <f>SUMIFS('2024数据'!$AZ$3:$AZ$152,'2024数据'!$L$3:$L$152,"&gt;="&amp;DATE(2024,3,1),'2024数据'!$L$3:$L$152,"&lt;="&amp;DATE(2024,3,31),'2024数据'!$AY$3:$AY$152,$E639,'2024数据'!$B$3:$B$152,'2024整理'!$E808)/10000</f>
        <v>0</v>
      </c>
      <c r="I829" s="124">
        <f>SUMIFS('2024数据'!$AZ$3:$AZ$152,'2024数据'!$L$3:$L$152,"&gt;="&amp;DATE(2024,4,1),'2024数据'!$L$3:$L$152,"&lt;="&amp;DATE(2024,4,30),'2024数据'!$AY$3:$AY$152,$E639,'2024数据'!$B$3:$B$152,'2024整理'!$E808)/10000</f>
        <v>0.00435799999999999</v>
      </c>
      <c r="J829" s="124">
        <f>SUMIFS('2024数据'!$AZ$3:$AZ$152,'2024数据'!$L$3:$L$152,"&gt;="&amp;DATE(2024,5,1),'2024数据'!$L$3:$L$152,"&lt;="&amp;DATE(2024,5,31),'2024数据'!$AY$3:$AY$152,$E639,'2024数据'!$B$3:$B$152,'2024整理'!$E808)/10000</f>
        <v>0</v>
      </c>
      <c r="K829" s="124">
        <f>SUMIFS('2024数据'!$AZ$3:$AZ$152,'2024数据'!$L$3:$L$152,"&gt;="&amp;DATE(2024,6,1),'2024数据'!$L$3:$L$152,"&lt;="&amp;DATE(2024,6,30),'2024数据'!$AY$3:$AY$152,$E639,'2024数据'!$B$3:$B$152,'2024整理'!$E808)/10000</f>
        <v>0</v>
      </c>
      <c r="L829" s="124">
        <f>SUMIFS('2024数据'!$AZ$3:$AZ$152,'2024数据'!$L$3:$L$152,"&gt;="&amp;DATE(2024,7,1),'2024数据'!$L$3:$L$152,"&lt;="&amp;DATE(2024,7,31),'2024数据'!$AY$3:$AY$152,$E639,'2024数据'!$B$3:$B$152,'2024整理'!$E808)/10000</f>
        <v>0.017588</v>
      </c>
      <c r="M829" s="124">
        <f>SUMIFS('2024数据'!$AZ$3:$AZ$152,'2024数据'!$L$3:$L$152,"&gt;="&amp;DATE(2024,8,1),'2024数据'!$L$3:$L$152,"&lt;="&amp;DATE(2024,8,31),'2024数据'!$AY$3:$AY$152,$E639,'2024数据'!$B$3:$B$152,'2024整理'!$E808)/10000</f>
        <v>0</v>
      </c>
      <c r="N829" s="124">
        <f>SUMIFS('2024数据'!$AZ$3:$AZ$152,'2024数据'!$L$3:$L$152,"&gt;="&amp;DATE(2024,9,1),'2024数据'!$L$3:$L$152,"&lt;="&amp;DATE(2024,9,30),'2024数据'!$AY$3:$AY$152,$E639,'2024数据'!$B$3:$B$152,'2024整理'!$E808)/10000</f>
        <v>0.0599420000000001</v>
      </c>
      <c r="O829" s="124">
        <f>SUMIFS('2024数据'!$AZ$3:$AZ$152,'2024数据'!$L$3:$L$152,"&gt;="&amp;DATE(2024,10,1),'2024数据'!$L$3:$L$152,"&lt;="&amp;DATE(2024,10,31),'2024数据'!$AY$3:$AY$152,$E639,'2024数据'!$B$3:$B$152,'2024整理'!$E808)/10000</f>
        <v>0.0926099999999999</v>
      </c>
      <c r="P829" s="124">
        <f>SUMIFS('2024数据'!$AZ$3:$AZ$152,'2024数据'!$L$3:$L$152,"&gt;="&amp;DATE(2024,11,1),'2024数据'!$L$3:$L$152,"&lt;="&amp;DATE(2024,11,30),'2024数据'!$AY$3:$AY$152,$E639,'2024数据'!$B$3:$B$152,'2024整理'!$E808)/10000</f>
        <v>0</v>
      </c>
      <c r="Q829" s="124">
        <f>SUMIFS('2024数据'!$AZ$3:$AZ$152,'2024数据'!$L$3:$L$152,"&gt;="&amp;DATE(2024,12,1),'2024数据'!$L$3:$L$152,"&lt;="&amp;DATE(2024,12,31),'2024数据'!$AY$3:$AY$152,$E639,'2024数据'!$B$3:$B$152,'2024整理'!$E808)/10000</f>
        <v>0.028157</v>
      </c>
    </row>
    <row r="830" ht="24" customHeight="1" spans="1:17">
      <c r="A830" s="99" t="s">
        <v>346</v>
      </c>
      <c r="B830" s="99" t="s">
        <v>299</v>
      </c>
      <c r="C830" s="99" t="s">
        <v>336</v>
      </c>
      <c r="D830" s="122" t="s">
        <v>303</v>
      </c>
      <c r="E830" s="122" t="s">
        <v>96</v>
      </c>
      <c r="F830" s="124">
        <f>SUMIFS('2024数据'!$AZ$3:$AZ$152,'2024数据'!$L$3:$L$152,"&gt;="&amp;DATE(2024,1,1),'2024数据'!$L$3:$L$152,"&lt;="&amp;DATE(2024,1,31),'2024数据'!$AY$3:$AY$152,$E639,'2024数据'!$B$3:$B$152,'2024整理'!$E809)/10000</f>
        <v>0</v>
      </c>
      <c r="G830" s="124">
        <f>SUMIFS('2024数据'!$AZ$3:$AZ$152,'2024数据'!$L$3:$L$152,"&gt;="&amp;DATE(2024,2,1),'2024数据'!$L$3:$L$152,"&lt;="&amp;DATE(2024,2,29),'2024数据'!$AY$3:$AY$152,$E639,'2024数据'!$B$3:$B$152,'2024整理'!$E809)/10000</f>
        <v>0</v>
      </c>
      <c r="H830" s="124">
        <f>SUMIFS('2024数据'!$AZ$3:$AZ$152,'2024数据'!$L$3:$L$152,"&gt;="&amp;DATE(2024,3,1),'2024数据'!$L$3:$L$152,"&lt;="&amp;DATE(2024,3,31),'2024数据'!$AY$3:$AY$152,$E639,'2024数据'!$B$3:$B$152,'2024整理'!$E809)/10000</f>
        <v>0</v>
      </c>
      <c r="I830" s="124">
        <f>SUMIFS('2024数据'!$AZ$3:$AZ$152,'2024数据'!$L$3:$L$152,"&gt;="&amp;DATE(2024,4,1),'2024数据'!$L$3:$L$152,"&lt;="&amp;DATE(2024,4,30),'2024数据'!$AY$3:$AY$152,$E639,'2024数据'!$B$3:$B$152,'2024整理'!$E809)/10000</f>
        <v>0</v>
      </c>
      <c r="J830" s="124">
        <f>SUMIFS('2024数据'!$AZ$3:$AZ$152,'2024数据'!$L$3:$L$152,"&gt;="&amp;DATE(2024,5,1),'2024数据'!$L$3:$L$152,"&lt;="&amp;DATE(2024,5,31),'2024数据'!$AY$3:$AY$152,$E639,'2024数据'!$B$3:$B$152,'2024整理'!$E809)/10000</f>
        <v>0</v>
      </c>
      <c r="K830" s="124">
        <f>SUMIFS('2024数据'!$AZ$3:$AZ$152,'2024数据'!$L$3:$L$152,"&gt;="&amp;DATE(2024,6,1),'2024数据'!$L$3:$L$152,"&lt;="&amp;DATE(2024,6,30),'2024数据'!$AY$3:$AY$152,$E639,'2024数据'!$B$3:$B$152,'2024整理'!$E809)/10000</f>
        <v>0</v>
      </c>
      <c r="L830" s="124">
        <f>SUMIFS('2024数据'!$AZ$3:$AZ$152,'2024数据'!$L$3:$L$152,"&gt;="&amp;DATE(2024,7,1),'2024数据'!$L$3:$L$152,"&lt;="&amp;DATE(2024,7,31),'2024数据'!$AY$3:$AY$152,$E639,'2024数据'!$B$3:$B$152,'2024整理'!$E809)/10000</f>
        <v>0</v>
      </c>
      <c r="M830" s="124">
        <f>SUMIFS('2024数据'!$AZ$3:$AZ$152,'2024数据'!$L$3:$L$152,"&gt;="&amp;DATE(2024,8,1),'2024数据'!$L$3:$L$152,"&lt;="&amp;DATE(2024,8,31),'2024数据'!$AY$3:$AY$152,$E639,'2024数据'!$B$3:$B$152,'2024整理'!$E809)/10000</f>
        <v>0</v>
      </c>
      <c r="N830" s="124">
        <f>SUMIFS('2024数据'!$AZ$3:$AZ$152,'2024数据'!$L$3:$L$152,"&gt;="&amp;DATE(2024,9,1),'2024数据'!$L$3:$L$152,"&lt;="&amp;DATE(2024,9,30),'2024数据'!$AY$3:$AY$152,$E639,'2024数据'!$B$3:$B$152,'2024整理'!$E809)/10000</f>
        <v>0</v>
      </c>
      <c r="O830" s="124">
        <f>SUMIFS('2024数据'!$AZ$3:$AZ$152,'2024数据'!$L$3:$L$152,"&gt;="&amp;DATE(2024,10,1),'2024数据'!$L$3:$L$152,"&lt;="&amp;DATE(2024,10,31),'2024数据'!$AY$3:$AY$152,$E639,'2024数据'!$B$3:$B$152,'2024整理'!$E809)/10000</f>
        <v>0</v>
      </c>
      <c r="P830" s="124">
        <f>SUMIFS('2024数据'!$AZ$3:$AZ$152,'2024数据'!$L$3:$L$152,"&gt;="&amp;DATE(2024,11,1),'2024数据'!$L$3:$L$152,"&lt;="&amp;DATE(2024,11,30),'2024数据'!$AY$3:$AY$152,$E639,'2024数据'!$B$3:$B$152,'2024整理'!$E809)/10000</f>
        <v>0</v>
      </c>
      <c r="Q830" s="124">
        <f>SUMIFS('2024数据'!$AZ$3:$AZ$152,'2024数据'!$L$3:$L$152,"&gt;="&amp;DATE(2024,12,1),'2024数据'!$L$3:$L$152,"&lt;="&amp;DATE(2024,12,31),'2024数据'!$AY$3:$AY$152,$E639,'2024数据'!$B$3:$B$152,'2024整理'!$E809)/10000</f>
        <v>0</v>
      </c>
    </row>
    <row r="831" ht="24" customHeight="1" spans="1:17">
      <c r="A831" s="99" t="s">
        <v>346</v>
      </c>
      <c r="B831" s="99" t="s">
        <v>299</v>
      </c>
      <c r="C831" s="99" t="s">
        <v>336</v>
      </c>
      <c r="D831" s="122" t="s">
        <v>303</v>
      </c>
      <c r="E831" s="122" t="s">
        <v>160</v>
      </c>
      <c r="F831" s="124">
        <f t="shared" ref="F831:Q831" si="590">F824-SUM(F827:F830)</f>
        <v>0</v>
      </c>
      <c r="G831" s="124">
        <f t="shared" si="590"/>
        <v>0</v>
      </c>
      <c r="H831" s="124">
        <f t="shared" si="590"/>
        <v>0</v>
      </c>
      <c r="I831" s="124">
        <f t="shared" si="590"/>
        <v>0</v>
      </c>
      <c r="J831" s="124">
        <f t="shared" si="590"/>
        <v>0</v>
      </c>
      <c r="K831" s="124">
        <f t="shared" si="590"/>
        <v>0</v>
      </c>
      <c r="L831" s="124">
        <f t="shared" si="590"/>
        <v>0</v>
      </c>
      <c r="M831" s="124">
        <f t="shared" si="590"/>
        <v>0</v>
      </c>
      <c r="N831" s="124">
        <f t="shared" si="590"/>
        <v>0</v>
      </c>
      <c r="O831" s="124">
        <f t="shared" si="590"/>
        <v>0</v>
      </c>
      <c r="P831" s="124">
        <f t="shared" si="590"/>
        <v>0</v>
      </c>
      <c r="Q831" s="124">
        <f t="shared" si="590"/>
        <v>0</v>
      </c>
    </row>
    <row r="832" ht="24" customHeight="1" spans="1:17">
      <c r="A832" s="99" t="s">
        <v>346</v>
      </c>
      <c r="B832" s="99" t="s">
        <v>299</v>
      </c>
      <c r="C832" s="99" t="s">
        <v>336</v>
      </c>
      <c r="D832" s="122" t="s">
        <v>304</v>
      </c>
      <c r="E832" s="122" t="s">
        <v>93</v>
      </c>
      <c r="F832" s="124">
        <f>SUMIFS('2024数据'!$AZ$3:$AZ$152,'2024数据'!$L$3:$L$152,"&gt;="&amp;DATE(2024,1,1),'2024数据'!$L$3:$L$152,"&lt;="&amp;DATE(2024,1,31),'2024数据'!$AY$3:$AY$152,$E640,'2024数据'!$B$3:$B$152,'2024整理'!$E806)/10000</f>
        <v>0.0102</v>
      </c>
      <c r="G832" s="124">
        <f>SUMIFS('2024数据'!$AZ$3:$AZ$152,'2024数据'!$L$3:$L$152,"&gt;="&amp;DATE(2024,2,1),'2024数据'!$L$3:$L$152,"&lt;="&amp;DATE(2024,2,29),'2024数据'!$AY$3:$AY$152,$E640,'2024数据'!$B$3:$B$152,'2024整理'!$E806)/10000</f>
        <v>0</v>
      </c>
      <c r="H832" s="124">
        <f>SUMIFS('2024数据'!$AZ$3:$AZ$152,'2024数据'!$L$3:$L$152,"&gt;="&amp;DATE(2024,3,1),'2024数据'!$L$3:$L$152,"&lt;="&amp;DATE(2024,3,31),'2024数据'!$AY$3:$AY$152,$E640,'2024数据'!$B$3:$B$152,'2024整理'!$E806)/10000</f>
        <v>0</v>
      </c>
      <c r="I832" s="124">
        <f>SUMIFS('2024数据'!$AZ$3:$AZ$152,'2024数据'!$L$3:$L$152,"&gt;="&amp;DATE(2024,4,1),'2024数据'!$L$3:$L$152,"&lt;="&amp;DATE(2024,4,30),'2024数据'!$AY$3:$AY$152,$E640,'2024数据'!$B$3:$B$152,'2024整理'!$E806)/10000</f>
        <v>0</v>
      </c>
      <c r="J832" s="124">
        <f>SUMIFS('2024数据'!$AZ$3:$AZ$152,'2024数据'!$L$3:$L$152,"&gt;="&amp;DATE(2024,5,1),'2024数据'!$L$3:$L$152,"&lt;="&amp;DATE(2024,5,31),'2024数据'!$AY$3:$AY$152,$E640,'2024数据'!$B$3:$B$152,'2024整理'!$E806)/10000</f>
        <v>0.000659000000000014</v>
      </c>
      <c r="K832" s="124">
        <f>SUMIFS('2024数据'!$AZ$3:$AZ$152,'2024数据'!$L$3:$L$152,"&gt;="&amp;DATE(2024,6,1),'2024数据'!$L$3:$L$152,"&lt;="&amp;DATE(2024,6,30),'2024数据'!$AY$3:$AY$152,$E640,'2024数据'!$B$3:$B$152,'2024整理'!$E806)/10000</f>
        <v>0</v>
      </c>
      <c r="L832" s="124">
        <f>SUMIFS('2024数据'!$AZ$3:$AZ$152,'2024数据'!$L$3:$L$152,"&gt;="&amp;DATE(2024,7,1),'2024数据'!$L$3:$L$152,"&lt;="&amp;DATE(2024,7,31),'2024数据'!$AY$3:$AY$152,$E640,'2024数据'!$B$3:$B$152,'2024整理'!$E806)/10000</f>
        <v>0.00129000000000001</v>
      </c>
      <c r="M832" s="124">
        <f>SUMIFS('2024数据'!$AZ$3:$AZ$152,'2024数据'!$L$3:$L$152,"&gt;="&amp;DATE(2024,8,1),'2024数据'!$L$3:$L$152,"&lt;="&amp;DATE(2024,8,31),'2024数据'!$AY$3:$AY$152,$E640,'2024数据'!$B$3:$B$152,'2024整理'!$E806)/10000</f>
        <v>0.0762499999999998</v>
      </c>
      <c r="N832" s="124">
        <f>SUMIFS('2024数据'!$AZ$3:$AZ$152,'2024数据'!$L$3:$L$152,"&gt;="&amp;DATE(2024,9,1),'2024数据'!$L$3:$L$152,"&lt;="&amp;DATE(2024,9,30),'2024数据'!$AY$3:$AY$152,$E640,'2024数据'!$B$3:$B$152,'2024整理'!$E806)/10000</f>
        <v>0.011654</v>
      </c>
      <c r="O832" s="124">
        <f>SUMIFS('2024数据'!$AZ$3:$AZ$152,'2024数据'!$L$3:$L$152,"&gt;="&amp;DATE(2024,10,1),'2024数据'!$L$3:$L$152,"&lt;="&amp;DATE(2024,10,31),'2024数据'!$AY$3:$AY$152,$E640,'2024数据'!$B$3:$B$152,'2024整理'!$E806)/10000</f>
        <v>0</v>
      </c>
      <c r="P832" s="124">
        <f>SUMIFS('2024数据'!$AZ$3:$AZ$152,'2024数据'!$L$3:$L$152,"&gt;="&amp;DATE(2024,11,1),'2024数据'!$L$3:$L$152,"&lt;="&amp;DATE(2024,11,30),'2024数据'!$AY$3:$AY$152,$E640,'2024数据'!$B$3:$B$152,'2024整理'!$E806)/10000</f>
        <v>0.0117140000000003</v>
      </c>
      <c r="Q832" s="124">
        <f>SUMIFS('2024数据'!$AZ$3:$AZ$152,'2024数据'!$L$3:$L$152,"&gt;="&amp;DATE(2024,12,1),'2024数据'!$L$3:$L$152,"&lt;="&amp;DATE(2024,12,31),'2024数据'!$AY$3:$AY$152,$E640,'2024数据'!$B$3:$B$152,'2024整理'!$E806)/10000</f>
        <v>0</v>
      </c>
    </row>
    <row r="833" ht="24" customHeight="1" spans="1:17">
      <c r="A833" s="99" t="s">
        <v>346</v>
      </c>
      <c r="B833" s="99" t="s">
        <v>299</v>
      </c>
      <c r="C833" s="99" t="s">
        <v>336</v>
      </c>
      <c r="D833" s="122" t="s">
        <v>304</v>
      </c>
      <c r="E833" s="122" t="s">
        <v>85</v>
      </c>
      <c r="F833" s="124">
        <f>SUMIFS('2024数据'!$AZ$3:$AZ$152,'2024数据'!$L$3:$L$152,"&gt;="&amp;DATE(2024,1,1),'2024数据'!$L$3:$L$152,"&lt;="&amp;DATE(2024,1,31),'2024数据'!$AY$3:$AY$152,$E640,'2024数据'!$B$3:$B$152,'2024整理'!$E807)/10000</f>
        <v>0.00988000000000011</v>
      </c>
      <c r="G833" s="124">
        <f>SUMIFS('2024数据'!$AZ$3:$AZ$152,'2024数据'!$L$3:$L$152,"&gt;="&amp;DATE(2024,2,1),'2024数据'!$L$3:$L$152,"&lt;="&amp;DATE(2024,2,29),'2024数据'!$AY$3:$AY$152,$E640,'2024数据'!$B$3:$B$152,'2024整理'!$E807)/10000</f>
        <v>0</v>
      </c>
      <c r="H833" s="124">
        <f>SUMIFS('2024数据'!$AZ$3:$AZ$152,'2024数据'!$L$3:$L$152,"&gt;="&amp;DATE(2024,3,1),'2024数据'!$L$3:$L$152,"&lt;="&amp;DATE(2024,3,31),'2024数据'!$AY$3:$AY$152,$E640,'2024数据'!$B$3:$B$152,'2024整理'!$E807)/10000</f>
        <v>0</v>
      </c>
      <c r="I833" s="124">
        <f>SUMIFS('2024数据'!$AZ$3:$AZ$152,'2024数据'!$L$3:$L$152,"&gt;="&amp;DATE(2024,4,1),'2024数据'!$L$3:$L$152,"&lt;="&amp;DATE(2024,4,30),'2024数据'!$AY$3:$AY$152,$E640,'2024数据'!$B$3:$B$152,'2024整理'!$E807)/10000</f>
        <v>0</v>
      </c>
      <c r="J833" s="124">
        <f>SUMIFS('2024数据'!$AZ$3:$AZ$152,'2024数据'!$L$3:$L$152,"&gt;="&amp;DATE(2024,5,1),'2024数据'!$L$3:$L$152,"&lt;="&amp;DATE(2024,5,31),'2024数据'!$AY$3:$AY$152,$E640,'2024数据'!$B$3:$B$152,'2024整理'!$E807)/10000</f>
        <v>0.00698299999999999</v>
      </c>
      <c r="K833" s="124">
        <f>SUMIFS('2024数据'!$AZ$3:$AZ$152,'2024数据'!$L$3:$L$152,"&gt;="&amp;DATE(2024,6,1),'2024数据'!$L$3:$L$152,"&lt;="&amp;DATE(2024,6,30),'2024数据'!$AY$3:$AY$152,$E640,'2024数据'!$B$3:$B$152,'2024整理'!$E807)/10000</f>
        <v>0</v>
      </c>
      <c r="L833" s="124">
        <f>SUMIFS('2024数据'!$AZ$3:$AZ$152,'2024数据'!$L$3:$L$152,"&gt;="&amp;DATE(2024,7,1),'2024数据'!$L$3:$L$152,"&lt;="&amp;DATE(2024,7,31),'2024数据'!$AY$3:$AY$152,$E640,'2024数据'!$B$3:$B$152,'2024整理'!$E807)/10000</f>
        <v>0</v>
      </c>
      <c r="M833" s="124">
        <f>SUMIFS('2024数据'!$AZ$3:$AZ$152,'2024数据'!$L$3:$L$152,"&gt;="&amp;DATE(2024,8,1),'2024数据'!$L$3:$L$152,"&lt;="&amp;DATE(2024,8,31),'2024数据'!$AY$3:$AY$152,$E640,'2024数据'!$B$3:$B$152,'2024整理'!$E807)/10000</f>
        <v>0</v>
      </c>
      <c r="N833" s="124">
        <f>SUMIFS('2024数据'!$AZ$3:$AZ$152,'2024数据'!$L$3:$L$152,"&gt;="&amp;DATE(2024,9,1),'2024数据'!$L$3:$L$152,"&lt;="&amp;DATE(2024,9,30),'2024数据'!$AY$3:$AY$152,$E640,'2024数据'!$B$3:$B$152,'2024整理'!$E807)/10000</f>
        <v>0</v>
      </c>
      <c r="O833" s="124">
        <f>SUMIFS('2024数据'!$AZ$3:$AZ$152,'2024数据'!$L$3:$L$152,"&gt;="&amp;DATE(2024,10,1),'2024数据'!$L$3:$L$152,"&lt;="&amp;DATE(2024,10,31),'2024数据'!$AY$3:$AY$152,$E640,'2024数据'!$B$3:$B$152,'2024整理'!$E807)/10000</f>
        <v>0.008717</v>
      </c>
      <c r="P833" s="124">
        <f>SUMIFS('2024数据'!$AZ$3:$AZ$152,'2024数据'!$L$3:$L$152,"&gt;="&amp;DATE(2024,11,1),'2024数据'!$L$3:$L$152,"&lt;="&amp;DATE(2024,11,30),'2024数据'!$AY$3:$AY$152,$E640,'2024数据'!$B$3:$B$152,'2024整理'!$E807)/10000</f>
        <v>0</v>
      </c>
      <c r="Q833" s="124">
        <f>SUMIFS('2024数据'!$AZ$3:$AZ$152,'2024数据'!$L$3:$L$152,"&gt;="&amp;DATE(2024,12,1),'2024数据'!$L$3:$L$152,"&lt;="&amp;DATE(2024,12,31),'2024数据'!$AY$3:$AY$152,$E640,'2024数据'!$B$3:$B$152,'2024整理'!$E807)/10000</f>
        <v>0</v>
      </c>
    </row>
    <row r="834" ht="24" customHeight="1" spans="1:17">
      <c r="A834" s="99" t="s">
        <v>346</v>
      </c>
      <c r="B834" s="99" t="s">
        <v>299</v>
      </c>
      <c r="C834" s="99" t="s">
        <v>336</v>
      </c>
      <c r="D834" s="122" t="s">
        <v>304</v>
      </c>
      <c r="E834" s="122" t="s">
        <v>81</v>
      </c>
      <c r="F834" s="124">
        <f>SUMIFS('2024数据'!$AZ$3:$AZ$152,'2024数据'!$L$3:$L$152,"&gt;="&amp;DATE(2024,1,1),'2024数据'!$L$3:$L$152,"&lt;="&amp;DATE(2024,1,31),'2024数据'!$AY$3:$AY$152,$E640,'2024数据'!$B$3:$B$152,'2024整理'!$E808)/10000</f>
        <v>0</v>
      </c>
      <c r="G834" s="124">
        <f>SUMIFS('2024数据'!$AZ$3:$AZ$152,'2024数据'!$L$3:$L$152,"&gt;="&amp;DATE(2024,2,1),'2024数据'!$L$3:$L$152,"&lt;="&amp;DATE(2024,2,29),'2024数据'!$AY$3:$AY$152,$E640,'2024数据'!$B$3:$B$152,'2024整理'!$E808)/10000</f>
        <v>0</v>
      </c>
      <c r="H834" s="124">
        <f>SUMIFS('2024数据'!$AZ$3:$AZ$152,'2024数据'!$L$3:$L$152,"&gt;="&amp;DATE(2024,3,1),'2024数据'!$L$3:$L$152,"&lt;="&amp;DATE(2024,3,31),'2024数据'!$AY$3:$AY$152,$E640,'2024数据'!$B$3:$B$152,'2024整理'!$E808)/10000</f>
        <v>0</v>
      </c>
      <c r="I834" s="124">
        <f>SUMIFS('2024数据'!$AZ$3:$AZ$152,'2024数据'!$L$3:$L$152,"&gt;="&amp;DATE(2024,4,1),'2024数据'!$L$3:$L$152,"&lt;="&amp;DATE(2024,4,30),'2024数据'!$AY$3:$AY$152,$E640,'2024数据'!$B$3:$B$152,'2024整理'!$E808)/10000</f>
        <v>0</v>
      </c>
      <c r="J834" s="124">
        <f>SUMIFS('2024数据'!$AZ$3:$AZ$152,'2024数据'!$L$3:$L$152,"&gt;="&amp;DATE(2024,5,1),'2024数据'!$L$3:$L$152,"&lt;="&amp;DATE(2024,5,31),'2024数据'!$AY$3:$AY$152,$E640,'2024数据'!$B$3:$B$152,'2024整理'!$E808)/10000</f>
        <v>0</v>
      </c>
      <c r="K834" s="124">
        <f>SUMIFS('2024数据'!$AZ$3:$AZ$152,'2024数据'!$L$3:$L$152,"&gt;="&amp;DATE(2024,6,1),'2024数据'!$L$3:$L$152,"&lt;="&amp;DATE(2024,6,30),'2024数据'!$AY$3:$AY$152,$E640,'2024数据'!$B$3:$B$152,'2024整理'!$E808)/10000</f>
        <v>0</v>
      </c>
      <c r="L834" s="124">
        <f>SUMIFS('2024数据'!$AZ$3:$AZ$152,'2024数据'!$L$3:$L$152,"&gt;="&amp;DATE(2024,7,1),'2024数据'!$L$3:$L$152,"&lt;="&amp;DATE(2024,7,31),'2024数据'!$AY$3:$AY$152,$E640,'2024数据'!$B$3:$B$152,'2024整理'!$E808)/10000</f>
        <v>0</v>
      </c>
      <c r="M834" s="124">
        <f>SUMIFS('2024数据'!$AZ$3:$AZ$152,'2024数据'!$L$3:$L$152,"&gt;="&amp;DATE(2024,8,1),'2024数据'!$L$3:$L$152,"&lt;="&amp;DATE(2024,8,31),'2024数据'!$AY$3:$AY$152,$E640,'2024数据'!$B$3:$B$152,'2024整理'!$E808)/10000</f>
        <v>0</v>
      </c>
      <c r="N834" s="124">
        <f>SUMIFS('2024数据'!$AZ$3:$AZ$152,'2024数据'!$L$3:$L$152,"&gt;="&amp;DATE(2024,9,1),'2024数据'!$L$3:$L$152,"&lt;="&amp;DATE(2024,9,30),'2024数据'!$AY$3:$AY$152,$E640,'2024数据'!$B$3:$B$152,'2024整理'!$E808)/10000</f>
        <v>0</v>
      </c>
      <c r="O834" s="124">
        <f>SUMIFS('2024数据'!$AZ$3:$AZ$152,'2024数据'!$L$3:$L$152,"&gt;="&amp;DATE(2024,10,1),'2024数据'!$L$3:$L$152,"&lt;="&amp;DATE(2024,10,31),'2024数据'!$AY$3:$AY$152,$E640,'2024数据'!$B$3:$B$152,'2024整理'!$E808)/10000</f>
        <v>0.00184599999999998</v>
      </c>
      <c r="P834" s="124">
        <f>SUMIFS('2024数据'!$AZ$3:$AZ$152,'2024数据'!$L$3:$L$152,"&gt;="&amp;DATE(2024,11,1),'2024数据'!$L$3:$L$152,"&lt;="&amp;DATE(2024,11,30),'2024数据'!$AY$3:$AY$152,$E640,'2024数据'!$B$3:$B$152,'2024整理'!$E808)/10000</f>
        <v>0</v>
      </c>
      <c r="Q834" s="124">
        <f>SUMIFS('2024数据'!$AZ$3:$AZ$152,'2024数据'!$L$3:$L$152,"&gt;="&amp;DATE(2024,12,1),'2024数据'!$L$3:$L$152,"&lt;="&amp;DATE(2024,12,31),'2024数据'!$AY$3:$AY$152,$E640,'2024数据'!$B$3:$B$152,'2024整理'!$E808)/10000</f>
        <v>0</v>
      </c>
    </row>
    <row r="835" ht="24" customHeight="1" spans="1:17">
      <c r="A835" s="99" t="s">
        <v>346</v>
      </c>
      <c r="B835" s="99" t="s">
        <v>299</v>
      </c>
      <c r="C835" s="99" t="s">
        <v>336</v>
      </c>
      <c r="D835" s="122" t="s">
        <v>304</v>
      </c>
      <c r="E835" s="122" t="s">
        <v>96</v>
      </c>
      <c r="F835" s="124">
        <f>SUMIFS('2024数据'!$AZ$3:$AZ$152,'2024数据'!$L$3:$L$152,"&gt;="&amp;DATE(2024,1,1),'2024数据'!$L$3:$L$152,"&lt;="&amp;DATE(2024,1,31),'2024数据'!$AY$3:$AY$152,$E640,'2024数据'!$B$3:$B$152,'2024整理'!$E809)/10000</f>
        <v>0</v>
      </c>
      <c r="G835" s="124">
        <f>SUMIFS('2024数据'!$AZ$3:$AZ$152,'2024数据'!$L$3:$L$152,"&gt;="&amp;DATE(2024,2,1),'2024数据'!$L$3:$L$152,"&lt;="&amp;DATE(2024,2,29),'2024数据'!$AY$3:$AY$152,$E640,'2024数据'!$B$3:$B$152,'2024整理'!$E809)/10000</f>
        <v>0</v>
      </c>
      <c r="H835" s="124">
        <f>SUMIFS('2024数据'!$AZ$3:$AZ$152,'2024数据'!$L$3:$L$152,"&gt;="&amp;DATE(2024,3,1),'2024数据'!$L$3:$L$152,"&lt;="&amp;DATE(2024,3,31),'2024数据'!$AY$3:$AY$152,$E640,'2024数据'!$B$3:$B$152,'2024整理'!$E809)/10000</f>
        <v>0</v>
      </c>
      <c r="I835" s="124">
        <f>SUMIFS('2024数据'!$AZ$3:$AZ$152,'2024数据'!$L$3:$L$152,"&gt;="&amp;DATE(2024,4,1),'2024数据'!$L$3:$L$152,"&lt;="&amp;DATE(2024,4,30),'2024数据'!$AY$3:$AY$152,$E640,'2024数据'!$B$3:$B$152,'2024整理'!$E809)/10000</f>
        <v>0</v>
      </c>
      <c r="J835" s="124">
        <f>SUMIFS('2024数据'!$AZ$3:$AZ$152,'2024数据'!$L$3:$L$152,"&gt;="&amp;DATE(2024,5,1),'2024数据'!$L$3:$L$152,"&lt;="&amp;DATE(2024,5,31),'2024数据'!$AY$3:$AY$152,$E640,'2024数据'!$B$3:$B$152,'2024整理'!$E809)/10000</f>
        <v>0</v>
      </c>
      <c r="K835" s="124">
        <f>SUMIFS('2024数据'!$AZ$3:$AZ$152,'2024数据'!$L$3:$L$152,"&gt;="&amp;DATE(2024,6,1),'2024数据'!$L$3:$L$152,"&lt;="&amp;DATE(2024,6,30),'2024数据'!$AY$3:$AY$152,$E640,'2024数据'!$B$3:$B$152,'2024整理'!$E809)/10000</f>
        <v>0</v>
      </c>
      <c r="L835" s="124">
        <f>SUMIFS('2024数据'!$AZ$3:$AZ$152,'2024数据'!$L$3:$L$152,"&gt;="&amp;DATE(2024,7,1),'2024数据'!$L$3:$L$152,"&lt;="&amp;DATE(2024,7,31),'2024数据'!$AY$3:$AY$152,$E640,'2024数据'!$B$3:$B$152,'2024整理'!$E809)/10000</f>
        <v>0</v>
      </c>
      <c r="M835" s="124">
        <f>SUMIFS('2024数据'!$AZ$3:$AZ$152,'2024数据'!$L$3:$L$152,"&gt;="&amp;DATE(2024,8,1),'2024数据'!$L$3:$L$152,"&lt;="&amp;DATE(2024,8,31),'2024数据'!$AY$3:$AY$152,$E640,'2024数据'!$B$3:$B$152,'2024整理'!$E809)/10000</f>
        <v>0</v>
      </c>
      <c r="N835" s="124">
        <f>SUMIFS('2024数据'!$AZ$3:$AZ$152,'2024数据'!$L$3:$L$152,"&gt;="&amp;DATE(2024,9,1),'2024数据'!$L$3:$L$152,"&lt;="&amp;DATE(2024,9,30),'2024数据'!$AY$3:$AY$152,$E640,'2024数据'!$B$3:$B$152,'2024整理'!$E809)/10000</f>
        <v>0</v>
      </c>
      <c r="O835" s="124">
        <f>SUMIFS('2024数据'!$AZ$3:$AZ$152,'2024数据'!$L$3:$L$152,"&gt;="&amp;DATE(2024,10,1),'2024数据'!$L$3:$L$152,"&lt;="&amp;DATE(2024,10,31),'2024数据'!$AY$3:$AY$152,$E640,'2024数据'!$B$3:$B$152,'2024整理'!$E809)/10000</f>
        <v>0</v>
      </c>
      <c r="P835" s="124">
        <f>SUMIFS('2024数据'!$AZ$3:$AZ$152,'2024数据'!$L$3:$L$152,"&gt;="&amp;DATE(2024,11,1),'2024数据'!$L$3:$L$152,"&lt;="&amp;DATE(2024,11,30),'2024数据'!$AY$3:$AY$152,$E640,'2024数据'!$B$3:$B$152,'2024整理'!$E809)/10000</f>
        <v>0</v>
      </c>
      <c r="Q835" s="124">
        <f>SUMIFS('2024数据'!$AZ$3:$AZ$152,'2024数据'!$L$3:$L$152,"&gt;="&amp;DATE(2024,12,1),'2024数据'!$L$3:$L$152,"&lt;="&amp;DATE(2024,12,31),'2024数据'!$AY$3:$AY$152,$E640,'2024数据'!$B$3:$B$152,'2024整理'!$E809)/10000</f>
        <v>0</v>
      </c>
    </row>
    <row r="836" ht="24" customHeight="1" spans="1:17">
      <c r="A836" s="99" t="s">
        <v>346</v>
      </c>
      <c r="B836" s="99" t="s">
        <v>299</v>
      </c>
      <c r="C836" s="99" t="s">
        <v>336</v>
      </c>
      <c r="D836" s="122" t="s">
        <v>304</v>
      </c>
      <c r="E836" s="122" t="s">
        <v>160</v>
      </c>
      <c r="F836" s="124">
        <f t="shared" ref="F836:Q836" si="591">F825-SUM(F832:F835)</f>
        <v>0</v>
      </c>
      <c r="G836" s="124">
        <f t="shared" si="591"/>
        <v>0</v>
      </c>
      <c r="H836" s="124">
        <f t="shared" si="591"/>
        <v>0</v>
      </c>
      <c r="I836" s="124">
        <f t="shared" si="591"/>
        <v>0</v>
      </c>
      <c r="J836" s="124">
        <f t="shared" si="591"/>
        <v>0</v>
      </c>
      <c r="K836" s="124">
        <f t="shared" si="591"/>
        <v>0</v>
      </c>
      <c r="L836" s="124">
        <f t="shared" si="591"/>
        <v>0</v>
      </c>
      <c r="M836" s="124">
        <f t="shared" si="591"/>
        <v>0</v>
      </c>
      <c r="N836" s="124">
        <f t="shared" si="591"/>
        <v>0</v>
      </c>
      <c r="O836" s="124">
        <f t="shared" si="591"/>
        <v>0</v>
      </c>
      <c r="P836" s="124">
        <f t="shared" si="591"/>
        <v>0</v>
      </c>
      <c r="Q836" s="124">
        <f t="shared" si="591"/>
        <v>0</v>
      </c>
    </row>
    <row r="837" ht="24" customHeight="1" spans="1:17">
      <c r="A837" s="99" t="s">
        <v>346</v>
      </c>
      <c r="B837" s="99" t="s">
        <v>299</v>
      </c>
      <c r="C837" s="99" t="s">
        <v>343</v>
      </c>
      <c r="D837" s="114" t="s">
        <v>292</v>
      </c>
      <c r="E837" s="114" t="s">
        <v>320</v>
      </c>
      <c r="F837" s="120">
        <f t="shared" ref="F837:Q837" si="592">IF(SUM(F838:F843)&lt;&gt;SUM(F850:F854),"ERR",SUM(F838:F843))</f>
        <v>4.321344</v>
      </c>
      <c r="G837" s="120">
        <f t="shared" si="592"/>
        <v>5.191663</v>
      </c>
      <c r="H837" s="120">
        <f t="shared" si="592"/>
        <v>8.873652</v>
      </c>
      <c r="I837" s="120">
        <f t="shared" si="592"/>
        <v>9.014496</v>
      </c>
      <c r="J837" s="120">
        <f t="shared" si="592"/>
        <v>10.318858</v>
      </c>
      <c r="K837" s="120">
        <f t="shared" si="592"/>
        <v>11.068392</v>
      </c>
      <c r="L837" s="120">
        <f t="shared" si="592"/>
        <v>11.696377</v>
      </c>
      <c r="M837" s="120">
        <f t="shared" si="592"/>
        <v>15.493981</v>
      </c>
      <c r="N837" s="120">
        <f t="shared" si="592"/>
        <v>22.981211</v>
      </c>
      <c r="O837" s="120">
        <f t="shared" si="592"/>
        <v>29.560637</v>
      </c>
      <c r="P837" s="120">
        <f t="shared" si="592"/>
        <v>37.768818</v>
      </c>
      <c r="Q837" s="120">
        <f t="shared" si="592"/>
        <v>40.694505</v>
      </c>
    </row>
    <row r="838" ht="24" customHeight="1" spans="1:17">
      <c r="A838" s="99" t="s">
        <v>346</v>
      </c>
      <c r="B838" s="99" t="s">
        <v>299</v>
      </c>
      <c r="C838" s="99" t="s">
        <v>343</v>
      </c>
      <c r="D838" s="48" t="s">
        <v>31</v>
      </c>
      <c r="E838" s="48" t="s">
        <v>406</v>
      </c>
      <c r="F838" s="121">
        <f t="shared" ref="F838:F843" si="593">F788</f>
        <v>1.285732</v>
      </c>
      <c r="G838" s="121">
        <f t="shared" ref="G838:Q838" si="594">F838+G788</f>
        <v>1.36391</v>
      </c>
      <c r="H838" s="121">
        <f t="shared" si="594"/>
        <v>3.364552</v>
      </c>
      <c r="I838" s="121">
        <f t="shared" si="594"/>
        <v>3.364552</v>
      </c>
      <c r="J838" s="121">
        <f t="shared" si="594"/>
        <v>3.364552</v>
      </c>
      <c r="K838" s="121">
        <f t="shared" si="594"/>
        <v>3.690167</v>
      </c>
      <c r="L838" s="121">
        <f t="shared" si="594"/>
        <v>4.160134</v>
      </c>
      <c r="M838" s="121">
        <f t="shared" si="594"/>
        <v>4.160134</v>
      </c>
      <c r="N838" s="121">
        <f t="shared" si="594"/>
        <v>7.751969</v>
      </c>
      <c r="O838" s="121">
        <f t="shared" si="594"/>
        <v>9.675254</v>
      </c>
      <c r="P838" s="121">
        <f t="shared" si="594"/>
        <v>12.528003</v>
      </c>
      <c r="Q838" s="121">
        <f t="shared" si="594"/>
        <v>12.815848</v>
      </c>
    </row>
    <row r="839" ht="24" customHeight="1" spans="1:17">
      <c r="A839" s="99" t="s">
        <v>346</v>
      </c>
      <c r="B839" s="99" t="s">
        <v>299</v>
      </c>
      <c r="C839" s="99" t="s">
        <v>343</v>
      </c>
      <c r="D839" s="48" t="s">
        <v>31</v>
      </c>
      <c r="E839" s="48" t="s">
        <v>82</v>
      </c>
      <c r="F839" s="121">
        <f t="shared" si="593"/>
        <v>2.906085</v>
      </c>
      <c r="G839" s="121">
        <f t="shared" ref="G839:Q839" si="595">F839+G789</f>
        <v>3.356393</v>
      </c>
      <c r="H839" s="121">
        <f t="shared" si="595"/>
        <v>4.207338</v>
      </c>
      <c r="I839" s="121">
        <f t="shared" si="595"/>
        <v>4.207338</v>
      </c>
      <c r="J839" s="121">
        <f t="shared" si="595"/>
        <v>4.3706</v>
      </c>
      <c r="K839" s="121">
        <f t="shared" si="595"/>
        <v>4.3706</v>
      </c>
      <c r="L839" s="121">
        <f t="shared" si="595"/>
        <v>4.528618</v>
      </c>
      <c r="M839" s="121">
        <f t="shared" si="595"/>
        <v>4.856308</v>
      </c>
      <c r="N839" s="121">
        <f t="shared" si="595"/>
        <v>5.39987</v>
      </c>
      <c r="O839" s="121">
        <f t="shared" si="595"/>
        <v>5.39987</v>
      </c>
      <c r="P839" s="121">
        <f t="shared" si="595"/>
        <v>5.39987</v>
      </c>
      <c r="Q839" s="121">
        <f t="shared" si="595"/>
        <v>6.446727</v>
      </c>
    </row>
    <row r="840" ht="24" customHeight="1" spans="1:17">
      <c r="A840" s="99" t="s">
        <v>346</v>
      </c>
      <c r="B840" s="99" t="s">
        <v>299</v>
      </c>
      <c r="C840" s="99" t="s">
        <v>343</v>
      </c>
      <c r="D840" s="48" t="s">
        <v>31</v>
      </c>
      <c r="E840" s="48" t="s">
        <v>86</v>
      </c>
      <c r="F840" s="121">
        <f t="shared" si="593"/>
        <v>0.129527</v>
      </c>
      <c r="G840" s="121">
        <f t="shared" ref="G840:Q840" si="596">F840+G790</f>
        <v>0.129527</v>
      </c>
      <c r="H840" s="121">
        <f t="shared" si="596"/>
        <v>0.52139</v>
      </c>
      <c r="I840" s="121">
        <f t="shared" si="596"/>
        <v>0.662234</v>
      </c>
      <c r="J840" s="121">
        <f t="shared" si="596"/>
        <v>1.803334</v>
      </c>
      <c r="K840" s="121">
        <f t="shared" si="596"/>
        <v>2.227253</v>
      </c>
      <c r="L840" s="121">
        <f t="shared" si="596"/>
        <v>2.227253</v>
      </c>
      <c r="M840" s="121">
        <f t="shared" si="596"/>
        <v>3.358922</v>
      </c>
      <c r="N840" s="121">
        <f t="shared" si="596"/>
        <v>6.710755</v>
      </c>
      <c r="O840" s="121">
        <f t="shared" si="596"/>
        <v>8.777097</v>
      </c>
      <c r="P840" s="121">
        <f t="shared" si="596"/>
        <v>9.946404</v>
      </c>
      <c r="Q840" s="121">
        <f t="shared" si="596"/>
        <v>11.415782</v>
      </c>
    </row>
    <row r="841" ht="24" customHeight="1" spans="1:17">
      <c r="A841" s="99" t="s">
        <v>346</v>
      </c>
      <c r="B841" s="99" t="s">
        <v>299</v>
      </c>
      <c r="C841" s="99" t="s">
        <v>343</v>
      </c>
      <c r="D841" s="48" t="s">
        <v>31</v>
      </c>
      <c r="E841" s="48" t="s">
        <v>97</v>
      </c>
      <c r="F841" s="121">
        <f t="shared" si="593"/>
        <v>0</v>
      </c>
      <c r="G841" s="121">
        <f t="shared" ref="G841:Q841" si="597">F841+G791</f>
        <v>0</v>
      </c>
      <c r="H841" s="121">
        <f t="shared" si="597"/>
        <v>0.438539</v>
      </c>
      <c r="I841" s="121">
        <f t="shared" si="597"/>
        <v>0.438539</v>
      </c>
      <c r="J841" s="121">
        <f t="shared" si="597"/>
        <v>0.438539</v>
      </c>
      <c r="K841" s="121">
        <f t="shared" si="597"/>
        <v>0.438539</v>
      </c>
      <c r="L841" s="121">
        <f t="shared" si="597"/>
        <v>0.438539</v>
      </c>
      <c r="M841" s="121">
        <f t="shared" si="597"/>
        <v>2.337606</v>
      </c>
      <c r="N841" s="121">
        <f t="shared" si="597"/>
        <v>2.337606</v>
      </c>
      <c r="O841" s="121">
        <f t="shared" si="597"/>
        <v>4.927405</v>
      </c>
      <c r="P841" s="121">
        <f t="shared" si="597"/>
        <v>9.098055</v>
      </c>
      <c r="Q841" s="121">
        <f t="shared" si="597"/>
        <v>9.098055</v>
      </c>
    </row>
    <row r="842" ht="24" customHeight="1" spans="1:17">
      <c r="A842" s="99" t="s">
        <v>346</v>
      </c>
      <c r="B842" s="99" t="s">
        <v>299</v>
      </c>
      <c r="C842" s="99" t="s">
        <v>343</v>
      </c>
      <c r="D842" s="48" t="s">
        <v>31</v>
      </c>
      <c r="E842" s="48" t="s">
        <v>87</v>
      </c>
      <c r="F842" s="121">
        <f t="shared" si="593"/>
        <v>0</v>
      </c>
      <c r="G842" s="121">
        <f t="shared" ref="G842:Q842" si="598">F842+G792</f>
        <v>0.341833</v>
      </c>
      <c r="H842" s="121">
        <f t="shared" si="598"/>
        <v>0.341833</v>
      </c>
      <c r="I842" s="121">
        <f t="shared" si="598"/>
        <v>0.341833</v>
      </c>
      <c r="J842" s="121">
        <f t="shared" si="598"/>
        <v>0.341833</v>
      </c>
      <c r="K842" s="121">
        <f t="shared" si="598"/>
        <v>0.341833</v>
      </c>
      <c r="L842" s="121">
        <f t="shared" si="598"/>
        <v>0.341833</v>
      </c>
      <c r="M842" s="121">
        <f t="shared" si="598"/>
        <v>0.781011</v>
      </c>
      <c r="N842" s="121">
        <f t="shared" si="598"/>
        <v>0.781011</v>
      </c>
      <c r="O842" s="121">
        <f t="shared" si="598"/>
        <v>0.781011</v>
      </c>
      <c r="P842" s="121">
        <f t="shared" si="598"/>
        <v>0.796486</v>
      </c>
      <c r="Q842" s="121">
        <f t="shared" si="598"/>
        <v>0.918093</v>
      </c>
    </row>
    <row r="843" ht="24" customHeight="1" spans="1:17">
      <c r="A843" s="99" t="s">
        <v>346</v>
      </c>
      <c r="B843" s="99" t="s">
        <v>299</v>
      </c>
      <c r="C843" s="99" t="s">
        <v>343</v>
      </c>
      <c r="D843" s="48" t="s">
        <v>31</v>
      </c>
      <c r="E843" s="48" t="s">
        <v>83</v>
      </c>
      <c r="F843" s="121">
        <f t="shared" si="593"/>
        <v>0</v>
      </c>
      <c r="G843" s="121">
        <f t="shared" ref="G843:Q843" si="599">F843+G793</f>
        <v>0</v>
      </c>
      <c r="H843" s="121">
        <f t="shared" si="599"/>
        <v>0</v>
      </c>
      <c r="I843" s="121">
        <f t="shared" si="599"/>
        <v>0</v>
      </c>
      <c r="J843" s="121">
        <f t="shared" si="599"/>
        <v>0</v>
      </c>
      <c r="K843" s="121">
        <f t="shared" si="599"/>
        <v>0</v>
      </c>
      <c r="L843" s="121">
        <f t="shared" si="599"/>
        <v>0</v>
      </c>
      <c r="M843" s="121">
        <f t="shared" si="599"/>
        <v>0</v>
      </c>
      <c r="N843" s="121">
        <f t="shared" si="599"/>
        <v>0</v>
      </c>
      <c r="O843" s="121">
        <f t="shared" si="599"/>
        <v>0</v>
      </c>
      <c r="P843" s="121">
        <f t="shared" si="599"/>
        <v>0</v>
      </c>
      <c r="Q843" s="121">
        <f t="shared" si="599"/>
        <v>0</v>
      </c>
    </row>
    <row r="844" ht="24" customHeight="1" spans="1:17">
      <c r="A844" s="99" t="s">
        <v>346</v>
      </c>
      <c r="B844" s="99" t="s">
        <v>299</v>
      </c>
      <c r="C844" s="99" t="s">
        <v>343</v>
      </c>
      <c r="D844" s="48" t="s">
        <v>321</v>
      </c>
      <c r="E844" s="48" t="s">
        <v>406</v>
      </c>
      <c r="F844" s="112">
        <f t="shared" ref="F844:Q844" si="600">IFERROR(F838/F837,"-")</f>
        <v>0.297530583077857</v>
      </c>
      <c r="G844" s="112">
        <f t="shared" si="600"/>
        <v>0.26271158201139</v>
      </c>
      <c r="H844" s="112">
        <f t="shared" si="600"/>
        <v>0.379162040611915</v>
      </c>
      <c r="I844" s="112">
        <f t="shared" si="600"/>
        <v>0.37323794918762</v>
      </c>
      <c r="J844" s="112">
        <f t="shared" si="600"/>
        <v>0.326058561906754</v>
      </c>
      <c r="K844" s="112">
        <f t="shared" si="600"/>
        <v>0.333396847527626</v>
      </c>
      <c r="L844" s="112">
        <f t="shared" si="600"/>
        <v>0.355677146863512</v>
      </c>
      <c r="M844" s="112">
        <f t="shared" si="600"/>
        <v>0.268500006550931</v>
      </c>
      <c r="N844" s="112">
        <f t="shared" si="600"/>
        <v>0.337317689655258</v>
      </c>
      <c r="O844" s="112">
        <f t="shared" si="600"/>
        <v>0.327301945489199</v>
      </c>
      <c r="P844" s="112">
        <f t="shared" si="600"/>
        <v>0.331702278848123</v>
      </c>
      <c r="Q844" s="112">
        <f t="shared" si="600"/>
        <v>0.31492821942422</v>
      </c>
    </row>
    <row r="845" ht="24" customHeight="1" spans="1:17">
      <c r="A845" s="99" t="s">
        <v>346</v>
      </c>
      <c r="B845" s="99" t="s">
        <v>299</v>
      </c>
      <c r="C845" s="99" t="s">
        <v>343</v>
      </c>
      <c r="D845" s="48" t="s">
        <v>321</v>
      </c>
      <c r="E845" s="48" t="s">
        <v>82</v>
      </c>
      <c r="F845" s="112">
        <f t="shared" ref="F845:Q845" si="601">IFERROR(F839/F837,"-")</f>
        <v>0.672495640245257</v>
      </c>
      <c r="G845" s="112">
        <f t="shared" si="601"/>
        <v>0.646496700575519</v>
      </c>
      <c r="H845" s="112">
        <f t="shared" si="601"/>
        <v>0.474138269114002</v>
      </c>
      <c r="I845" s="112">
        <f t="shared" si="601"/>
        <v>0.466730253138944</v>
      </c>
      <c r="J845" s="112">
        <f t="shared" si="601"/>
        <v>0.423554622032787</v>
      </c>
      <c r="K845" s="112">
        <f t="shared" si="601"/>
        <v>0.394872172940749</v>
      </c>
      <c r="L845" s="112">
        <f t="shared" si="601"/>
        <v>0.387181261342722</v>
      </c>
      <c r="M845" s="112">
        <f t="shared" si="601"/>
        <v>0.313431906235073</v>
      </c>
      <c r="N845" s="112">
        <f t="shared" si="601"/>
        <v>0.234968905685605</v>
      </c>
      <c r="O845" s="112">
        <f t="shared" si="601"/>
        <v>0.182670962063504</v>
      </c>
      <c r="P845" s="112">
        <f t="shared" si="601"/>
        <v>0.142971643963017</v>
      </c>
      <c r="Q845" s="112">
        <f t="shared" si="601"/>
        <v>0.158417629112333</v>
      </c>
    </row>
    <row r="846" ht="24" customHeight="1" spans="1:17">
      <c r="A846" s="99" t="s">
        <v>346</v>
      </c>
      <c r="B846" s="99" t="s">
        <v>299</v>
      </c>
      <c r="C846" s="99" t="s">
        <v>343</v>
      </c>
      <c r="D846" s="48" t="s">
        <v>321</v>
      </c>
      <c r="E846" s="48" t="s">
        <v>86</v>
      </c>
      <c r="F846" s="112">
        <f t="shared" ref="F846:Q846" si="602">IFERROR(F840/F837,"-")</f>
        <v>0.0299737766768857</v>
      </c>
      <c r="G846" s="112">
        <f t="shared" si="602"/>
        <v>0.0249490384872824</v>
      </c>
      <c r="H846" s="112">
        <f t="shared" si="602"/>
        <v>0.0587570934717746</v>
      </c>
      <c r="I846" s="112">
        <f t="shared" si="602"/>
        <v>0.073463230778515</v>
      </c>
      <c r="J846" s="112">
        <f t="shared" si="602"/>
        <v>0.174761005529876</v>
      </c>
      <c r="K846" s="112">
        <f t="shared" si="602"/>
        <v>0.201226429277171</v>
      </c>
      <c r="L846" s="112">
        <f t="shared" si="602"/>
        <v>0.190422470137548</v>
      </c>
      <c r="M846" s="112">
        <f t="shared" si="602"/>
        <v>0.216788829158884</v>
      </c>
      <c r="N846" s="112">
        <f t="shared" si="602"/>
        <v>0.292010503711053</v>
      </c>
      <c r="O846" s="112">
        <f t="shared" si="602"/>
        <v>0.296918398612317</v>
      </c>
      <c r="P846" s="112">
        <f t="shared" si="602"/>
        <v>0.263349623490997</v>
      </c>
      <c r="Q846" s="112">
        <f t="shared" si="602"/>
        <v>0.280523918401268</v>
      </c>
    </row>
    <row r="847" ht="24" customHeight="1" spans="1:17">
      <c r="A847" s="99" t="s">
        <v>346</v>
      </c>
      <c r="B847" s="99" t="s">
        <v>299</v>
      </c>
      <c r="C847" s="99" t="s">
        <v>343</v>
      </c>
      <c r="D847" s="48" t="s">
        <v>321</v>
      </c>
      <c r="E847" s="48" t="s">
        <v>97</v>
      </c>
      <c r="F847" s="112">
        <f t="shared" ref="F847:Q847" si="603">IFERROR(F841/F837,"-")</f>
        <v>0</v>
      </c>
      <c r="G847" s="112">
        <f t="shared" si="603"/>
        <v>0</v>
      </c>
      <c r="H847" s="112">
        <f t="shared" si="603"/>
        <v>0.0494203513953443</v>
      </c>
      <c r="I847" s="112">
        <f t="shared" si="603"/>
        <v>0.0486481995221918</v>
      </c>
      <c r="J847" s="112">
        <f t="shared" si="603"/>
        <v>0.0424987920174888</v>
      </c>
      <c r="K847" s="112">
        <f t="shared" si="603"/>
        <v>0.0396208410399632</v>
      </c>
      <c r="L847" s="112">
        <f t="shared" si="603"/>
        <v>0.0374935760022099</v>
      </c>
      <c r="M847" s="112">
        <f t="shared" si="603"/>
        <v>0.150871877279313</v>
      </c>
      <c r="N847" s="112">
        <f t="shared" si="603"/>
        <v>0.101718138352239</v>
      </c>
      <c r="O847" s="112">
        <f t="shared" si="603"/>
        <v>0.166688052087646</v>
      </c>
      <c r="P847" s="112">
        <f t="shared" si="603"/>
        <v>0.240887999195527</v>
      </c>
      <c r="Q847" s="112">
        <f t="shared" si="603"/>
        <v>0.223569619534628</v>
      </c>
    </row>
    <row r="848" ht="24" customHeight="1" spans="1:17">
      <c r="A848" s="99" t="s">
        <v>346</v>
      </c>
      <c r="B848" s="99" t="s">
        <v>299</v>
      </c>
      <c r="C848" s="99" t="s">
        <v>343</v>
      </c>
      <c r="D848" s="48" t="s">
        <v>321</v>
      </c>
      <c r="E848" s="48" t="s">
        <v>87</v>
      </c>
      <c r="F848" s="112">
        <f t="shared" ref="F848:Q848" si="604">IFERROR(F842/F837,"-")</f>
        <v>0</v>
      </c>
      <c r="G848" s="112">
        <f t="shared" si="604"/>
        <v>0.0658426789258085</v>
      </c>
      <c r="H848" s="112">
        <f t="shared" si="604"/>
        <v>0.0385222454069643</v>
      </c>
      <c r="I848" s="112">
        <f t="shared" si="604"/>
        <v>0.0379203673727294</v>
      </c>
      <c r="J848" s="112">
        <f t="shared" si="604"/>
        <v>0.0331270185130952</v>
      </c>
      <c r="K848" s="112">
        <f t="shared" si="604"/>
        <v>0.0308837092144911</v>
      </c>
      <c r="L848" s="112">
        <f t="shared" si="604"/>
        <v>0.0292255456540089</v>
      </c>
      <c r="M848" s="112">
        <f t="shared" si="604"/>
        <v>0.0504073807757993</v>
      </c>
      <c r="N848" s="112">
        <f t="shared" si="604"/>
        <v>0.033984762595844</v>
      </c>
      <c r="O848" s="112">
        <f t="shared" si="604"/>
        <v>0.0264206417473345</v>
      </c>
      <c r="P848" s="112">
        <f t="shared" si="604"/>
        <v>0.0210884545023358</v>
      </c>
      <c r="Q848" s="112">
        <f t="shared" si="604"/>
        <v>0.0225606135275512</v>
      </c>
    </row>
    <row r="849" ht="24" customHeight="1" spans="1:17">
      <c r="A849" s="99" t="s">
        <v>346</v>
      </c>
      <c r="B849" s="99" t="s">
        <v>299</v>
      </c>
      <c r="C849" s="99" t="s">
        <v>343</v>
      </c>
      <c r="D849" s="48" t="s">
        <v>321</v>
      </c>
      <c r="E849" s="48" t="s">
        <v>83</v>
      </c>
      <c r="F849" s="112">
        <f t="shared" ref="F849:Q849" si="605">IFERROR(F843/F837,"-")</f>
        <v>0</v>
      </c>
      <c r="G849" s="112">
        <f t="shared" si="605"/>
        <v>0</v>
      </c>
      <c r="H849" s="112">
        <f t="shared" si="605"/>
        <v>0</v>
      </c>
      <c r="I849" s="112">
        <f t="shared" si="605"/>
        <v>0</v>
      </c>
      <c r="J849" s="112">
        <f t="shared" si="605"/>
        <v>0</v>
      </c>
      <c r="K849" s="112">
        <f t="shared" si="605"/>
        <v>0</v>
      </c>
      <c r="L849" s="112">
        <f t="shared" si="605"/>
        <v>0</v>
      </c>
      <c r="M849" s="112">
        <f t="shared" si="605"/>
        <v>0</v>
      </c>
      <c r="N849" s="112">
        <f t="shared" si="605"/>
        <v>0</v>
      </c>
      <c r="O849" s="112">
        <f t="shared" si="605"/>
        <v>0</v>
      </c>
      <c r="P849" s="112">
        <f t="shared" si="605"/>
        <v>0</v>
      </c>
      <c r="Q849" s="112">
        <f t="shared" si="605"/>
        <v>0</v>
      </c>
    </row>
    <row r="850" ht="24" customHeight="1" spans="1:17">
      <c r="A850" s="99" t="s">
        <v>346</v>
      </c>
      <c r="B850" s="99" t="s">
        <v>299</v>
      </c>
      <c r="C850" s="99" t="s">
        <v>343</v>
      </c>
      <c r="D850" s="47" t="s">
        <v>294</v>
      </c>
      <c r="E850" s="47" t="s">
        <v>93</v>
      </c>
      <c r="F850" s="125">
        <f t="shared" ref="F850:F854" si="606">F794</f>
        <v>1.732044</v>
      </c>
      <c r="G850" s="125">
        <f t="shared" ref="G850:Q850" si="607">F850+G794</f>
        <v>2.524185</v>
      </c>
      <c r="H850" s="125">
        <f t="shared" si="607"/>
        <v>4.96772</v>
      </c>
      <c r="I850" s="125">
        <f t="shared" si="607"/>
        <v>4.96772</v>
      </c>
      <c r="J850" s="125">
        <f t="shared" si="607"/>
        <v>6.10882</v>
      </c>
      <c r="K850" s="125">
        <f t="shared" si="607"/>
        <v>6.532739</v>
      </c>
      <c r="L850" s="125">
        <f t="shared" si="607"/>
        <v>6.690757</v>
      </c>
      <c r="M850" s="125">
        <f t="shared" si="607"/>
        <v>9.802406</v>
      </c>
      <c r="N850" s="125">
        <f t="shared" si="607"/>
        <v>14.007236</v>
      </c>
      <c r="O850" s="125">
        <f t="shared" si="607"/>
        <v>16.507274</v>
      </c>
      <c r="P850" s="125">
        <f t="shared" si="607"/>
        <v>24.332925</v>
      </c>
      <c r="Q850" s="125">
        <f t="shared" si="607"/>
        <v>25.020636</v>
      </c>
    </row>
    <row r="851" ht="24" customHeight="1" spans="1:17">
      <c r="A851" s="99" t="s">
        <v>346</v>
      </c>
      <c r="B851" s="99" t="s">
        <v>299</v>
      </c>
      <c r="C851" s="99" t="s">
        <v>343</v>
      </c>
      <c r="D851" s="47" t="s">
        <v>294</v>
      </c>
      <c r="E851" s="47" t="s">
        <v>85</v>
      </c>
      <c r="F851" s="125">
        <f t="shared" si="606"/>
        <v>2.5893</v>
      </c>
      <c r="G851" s="125">
        <f t="shared" ref="G851:Q851" si="608">F851+G795</f>
        <v>2.667478</v>
      </c>
      <c r="H851" s="125">
        <f t="shared" si="608"/>
        <v>3.905932</v>
      </c>
      <c r="I851" s="125">
        <f t="shared" si="608"/>
        <v>3.905932</v>
      </c>
      <c r="J851" s="125">
        <f t="shared" si="608"/>
        <v>4.069194</v>
      </c>
      <c r="K851" s="125">
        <f t="shared" si="608"/>
        <v>4.394809</v>
      </c>
      <c r="L851" s="125">
        <f t="shared" si="608"/>
        <v>4.394809</v>
      </c>
      <c r="M851" s="125">
        <f t="shared" si="608"/>
        <v>5.080764</v>
      </c>
      <c r="N851" s="125">
        <f t="shared" si="608"/>
        <v>5.494256</v>
      </c>
      <c r="O851" s="125">
        <f t="shared" si="608"/>
        <v>6.336639</v>
      </c>
      <c r="P851" s="125">
        <f t="shared" si="608"/>
        <v>6.719169</v>
      </c>
      <c r="Q851" s="125">
        <f t="shared" si="608"/>
        <v>6.840776</v>
      </c>
    </row>
    <row r="852" ht="24" customHeight="1" spans="1:17">
      <c r="A852" s="99" t="s">
        <v>346</v>
      </c>
      <c r="B852" s="99" t="s">
        <v>299</v>
      </c>
      <c r="C852" s="99" t="s">
        <v>343</v>
      </c>
      <c r="D852" s="47" t="s">
        <v>294</v>
      </c>
      <c r="E852" s="47" t="s">
        <v>81</v>
      </c>
      <c r="F852" s="125">
        <f t="shared" si="606"/>
        <v>0</v>
      </c>
      <c r="G852" s="125">
        <f t="shared" ref="G852:Q852" si="609">F852+G796</f>
        <v>0</v>
      </c>
      <c r="H852" s="125">
        <f t="shared" si="609"/>
        <v>0</v>
      </c>
      <c r="I852" s="125">
        <f t="shared" si="609"/>
        <v>0.140844</v>
      </c>
      <c r="J852" s="125">
        <f t="shared" si="609"/>
        <v>0.140844</v>
      </c>
      <c r="K852" s="125">
        <f t="shared" si="609"/>
        <v>0.140844</v>
      </c>
      <c r="L852" s="125">
        <f t="shared" si="609"/>
        <v>0.610811</v>
      </c>
      <c r="M852" s="125">
        <f t="shared" si="609"/>
        <v>0.610811</v>
      </c>
      <c r="N852" s="125">
        <f t="shared" si="609"/>
        <v>1.621042</v>
      </c>
      <c r="O852" s="125">
        <f t="shared" si="609"/>
        <v>4.858047</v>
      </c>
      <c r="P852" s="125">
        <f t="shared" si="609"/>
        <v>4.858047</v>
      </c>
      <c r="Q852" s="125">
        <f t="shared" si="609"/>
        <v>6.974416</v>
      </c>
    </row>
    <row r="853" ht="24" customHeight="1" spans="1:17">
      <c r="A853" s="99" t="s">
        <v>346</v>
      </c>
      <c r="B853" s="99" t="s">
        <v>299</v>
      </c>
      <c r="C853" s="99" t="s">
        <v>343</v>
      </c>
      <c r="D853" s="47" t="s">
        <v>294</v>
      </c>
      <c r="E853" s="47" t="s">
        <v>96</v>
      </c>
      <c r="F853" s="125">
        <f t="shared" si="606"/>
        <v>0</v>
      </c>
      <c r="G853" s="125">
        <f t="shared" ref="G853:Q853" si="610">F853+G797</f>
        <v>0</v>
      </c>
      <c r="H853" s="125">
        <f t="shared" si="610"/>
        <v>0</v>
      </c>
      <c r="I853" s="125">
        <f t="shared" si="610"/>
        <v>0</v>
      </c>
      <c r="J853" s="125">
        <f t="shared" si="610"/>
        <v>0</v>
      </c>
      <c r="K853" s="125">
        <f t="shared" si="610"/>
        <v>0</v>
      </c>
      <c r="L853" s="125">
        <f t="shared" si="610"/>
        <v>0</v>
      </c>
      <c r="M853" s="125">
        <f t="shared" si="610"/>
        <v>0</v>
      </c>
      <c r="N853" s="125">
        <f t="shared" si="610"/>
        <v>1.858677</v>
      </c>
      <c r="O853" s="125">
        <f t="shared" si="610"/>
        <v>1.858677</v>
      </c>
      <c r="P853" s="125">
        <f t="shared" si="610"/>
        <v>1.858677</v>
      </c>
      <c r="Q853" s="125">
        <f t="shared" si="610"/>
        <v>1.858677</v>
      </c>
    </row>
    <row r="854" ht="24" customHeight="1" spans="1:17">
      <c r="A854" s="99" t="s">
        <v>346</v>
      </c>
      <c r="B854" s="99" t="s">
        <v>299</v>
      </c>
      <c r="C854" s="99" t="s">
        <v>343</v>
      </c>
      <c r="D854" s="47" t="s">
        <v>294</v>
      </c>
      <c r="E854" s="47" t="s">
        <v>160</v>
      </c>
      <c r="F854" s="125">
        <f t="shared" si="606"/>
        <v>0</v>
      </c>
      <c r="G854" s="125">
        <f t="shared" ref="G854:Q854" si="611">F854+G798</f>
        <v>0</v>
      </c>
      <c r="H854" s="125">
        <f t="shared" si="611"/>
        <v>0</v>
      </c>
      <c r="I854" s="125">
        <f t="shared" si="611"/>
        <v>0</v>
      </c>
      <c r="J854" s="125">
        <f t="shared" si="611"/>
        <v>0</v>
      </c>
      <c r="K854" s="125">
        <f t="shared" si="611"/>
        <v>0</v>
      </c>
      <c r="L854" s="125">
        <f t="shared" si="611"/>
        <v>0</v>
      </c>
      <c r="M854" s="125">
        <f t="shared" si="611"/>
        <v>0</v>
      </c>
      <c r="N854" s="125">
        <f t="shared" si="611"/>
        <v>0</v>
      </c>
      <c r="O854" s="125">
        <f t="shared" si="611"/>
        <v>0</v>
      </c>
      <c r="P854" s="125">
        <f t="shared" si="611"/>
        <v>0</v>
      </c>
      <c r="Q854" s="125">
        <f t="shared" si="611"/>
        <v>0</v>
      </c>
    </row>
    <row r="855" ht="24" customHeight="1" spans="1:17">
      <c r="A855" s="99" t="s">
        <v>346</v>
      </c>
      <c r="B855" s="99" t="s">
        <v>299</v>
      </c>
      <c r="C855" s="99" t="s">
        <v>343</v>
      </c>
      <c r="D855" s="47" t="s">
        <v>321</v>
      </c>
      <c r="E855" s="47" t="s">
        <v>93</v>
      </c>
      <c r="F855" s="126">
        <f t="shared" ref="F855:Q855" si="612">IFERROR(F850/F837,"-")</f>
        <v>0.400811414226685</v>
      </c>
      <c r="G855" s="126">
        <f t="shared" si="612"/>
        <v>0.486199701328842</v>
      </c>
      <c r="H855" s="126">
        <f t="shared" si="612"/>
        <v>0.55982812938799</v>
      </c>
      <c r="I855" s="126">
        <f t="shared" si="612"/>
        <v>0.551081280639539</v>
      </c>
      <c r="J855" s="126">
        <f t="shared" si="612"/>
        <v>0.592005433159367</v>
      </c>
      <c r="K855" s="126">
        <f t="shared" si="612"/>
        <v>0.590215724199143</v>
      </c>
      <c r="L855" s="126">
        <f t="shared" si="612"/>
        <v>0.57203670846109</v>
      </c>
      <c r="M855" s="126">
        <f t="shared" si="612"/>
        <v>0.632658966084959</v>
      </c>
      <c r="N855" s="126">
        <f t="shared" si="612"/>
        <v>0.609508176048686</v>
      </c>
      <c r="O855" s="126">
        <f t="shared" si="612"/>
        <v>0.558420780986553</v>
      </c>
      <c r="P855" s="126">
        <f t="shared" si="612"/>
        <v>0.644259637672537</v>
      </c>
      <c r="Q855" s="126">
        <f t="shared" si="612"/>
        <v>0.614840652319029</v>
      </c>
    </row>
    <row r="856" ht="24" customHeight="1" spans="1:17">
      <c r="A856" s="99" t="s">
        <v>346</v>
      </c>
      <c r="B856" s="99" t="s">
        <v>299</v>
      </c>
      <c r="C856" s="99" t="s">
        <v>343</v>
      </c>
      <c r="D856" s="47" t="s">
        <v>321</v>
      </c>
      <c r="E856" s="47" t="s">
        <v>85</v>
      </c>
      <c r="F856" s="126">
        <f t="shared" ref="F856:Q856" si="613">IFERROR(F851/F837,"-")</f>
        <v>0.599188585773315</v>
      </c>
      <c r="G856" s="126">
        <f t="shared" si="613"/>
        <v>0.513800298671158</v>
      </c>
      <c r="H856" s="126">
        <f t="shared" si="613"/>
        <v>0.44017187061201</v>
      </c>
      <c r="I856" s="126">
        <f t="shared" si="613"/>
        <v>0.433294551353731</v>
      </c>
      <c r="J856" s="126">
        <f t="shared" si="613"/>
        <v>0.394345382018049</v>
      </c>
      <c r="K856" s="126">
        <f t="shared" si="613"/>
        <v>0.397059392186327</v>
      </c>
      <c r="L856" s="126">
        <f t="shared" si="613"/>
        <v>0.375741052122379</v>
      </c>
      <c r="M856" s="126">
        <f t="shared" si="613"/>
        <v>0.327918563989461</v>
      </c>
      <c r="N856" s="126">
        <f t="shared" si="613"/>
        <v>0.23907599995492</v>
      </c>
      <c r="O856" s="126">
        <f t="shared" si="613"/>
        <v>0.214360705420523</v>
      </c>
      <c r="P856" s="126">
        <f t="shared" si="613"/>
        <v>0.17790254913458</v>
      </c>
      <c r="Q856" s="126">
        <f t="shared" si="613"/>
        <v>0.168100730061712</v>
      </c>
    </row>
    <row r="857" ht="24" customHeight="1" spans="1:17">
      <c r="A857" s="99" t="s">
        <v>346</v>
      </c>
      <c r="B857" s="99" t="s">
        <v>299</v>
      </c>
      <c r="C857" s="99" t="s">
        <v>343</v>
      </c>
      <c r="D857" s="47" t="s">
        <v>321</v>
      </c>
      <c r="E857" s="47" t="s">
        <v>81</v>
      </c>
      <c r="F857" s="126">
        <f t="shared" ref="F857:Q857" si="614">IFERROR(F852/F837,"-")</f>
        <v>0</v>
      </c>
      <c r="G857" s="126">
        <f t="shared" si="614"/>
        <v>0</v>
      </c>
      <c r="H857" s="126">
        <f t="shared" si="614"/>
        <v>0</v>
      </c>
      <c r="I857" s="126">
        <f t="shared" si="614"/>
        <v>0.0156241680067305</v>
      </c>
      <c r="J857" s="126">
        <f t="shared" si="614"/>
        <v>0.0136491848225841</v>
      </c>
      <c r="K857" s="126">
        <f t="shared" si="614"/>
        <v>0.0127248836145305</v>
      </c>
      <c r="L857" s="126">
        <f t="shared" si="614"/>
        <v>0.0522222394165304</v>
      </c>
      <c r="M857" s="126">
        <f t="shared" si="614"/>
        <v>0.0394224699255795</v>
      </c>
      <c r="N857" s="126">
        <f t="shared" si="614"/>
        <v>0.0705377101319856</v>
      </c>
      <c r="O857" s="126">
        <f t="shared" si="614"/>
        <v>0.16434175623482</v>
      </c>
      <c r="P857" s="126">
        <f t="shared" si="614"/>
        <v>0.128625868037491</v>
      </c>
      <c r="Q857" s="126">
        <f t="shared" si="614"/>
        <v>0.171384711523091</v>
      </c>
    </row>
    <row r="858" ht="24" customHeight="1" spans="1:17">
      <c r="A858" s="99" t="s">
        <v>346</v>
      </c>
      <c r="B858" s="99" t="s">
        <v>299</v>
      </c>
      <c r="C858" s="99" t="s">
        <v>343</v>
      </c>
      <c r="D858" s="47" t="s">
        <v>321</v>
      </c>
      <c r="E858" s="47" t="s">
        <v>96</v>
      </c>
      <c r="F858" s="126">
        <f t="shared" ref="F858:Q858" si="615">IFERROR(F853/F837,"-")</f>
        <v>0</v>
      </c>
      <c r="G858" s="126">
        <f t="shared" si="615"/>
        <v>0</v>
      </c>
      <c r="H858" s="126">
        <f t="shared" si="615"/>
        <v>0</v>
      </c>
      <c r="I858" s="126">
        <f t="shared" si="615"/>
        <v>0</v>
      </c>
      <c r="J858" s="126">
        <f t="shared" si="615"/>
        <v>0</v>
      </c>
      <c r="K858" s="126">
        <f t="shared" si="615"/>
        <v>0</v>
      </c>
      <c r="L858" s="126">
        <f t="shared" si="615"/>
        <v>0</v>
      </c>
      <c r="M858" s="126">
        <f t="shared" si="615"/>
        <v>0</v>
      </c>
      <c r="N858" s="126">
        <f t="shared" si="615"/>
        <v>0.0808781138644086</v>
      </c>
      <c r="O858" s="126">
        <f t="shared" si="615"/>
        <v>0.0628767573581043</v>
      </c>
      <c r="P858" s="126">
        <f t="shared" si="615"/>
        <v>0.0492119451553925</v>
      </c>
      <c r="Q858" s="126">
        <f t="shared" si="615"/>
        <v>0.045673906096167</v>
      </c>
    </row>
    <row r="859" ht="24" customHeight="1" spans="1:17">
      <c r="A859" s="99" t="s">
        <v>346</v>
      </c>
      <c r="B859" s="99" t="s">
        <v>299</v>
      </c>
      <c r="C859" s="99" t="s">
        <v>343</v>
      </c>
      <c r="D859" s="47" t="s">
        <v>321</v>
      </c>
      <c r="E859" s="47" t="s">
        <v>160</v>
      </c>
      <c r="F859" s="126">
        <f t="shared" ref="F859:Q859" si="616">IFERROR(F854/F837,"-")</f>
        <v>0</v>
      </c>
      <c r="G859" s="126">
        <f t="shared" si="616"/>
        <v>0</v>
      </c>
      <c r="H859" s="126">
        <f t="shared" si="616"/>
        <v>0</v>
      </c>
      <c r="I859" s="126">
        <f t="shared" si="616"/>
        <v>0</v>
      </c>
      <c r="J859" s="126">
        <f t="shared" si="616"/>
        <v>0</v>
      </c>
      <c r="K859" s="126">
        <f t="shared" si="616"/>
        <v>0</v>
      </c>
      <c r="L859" s="126">
        <f t="shared" si="616"/>
        <v>0</v>
      </c>
      <c r="M859" s="126">
        <f t="shared" si="616"/>
        <v>0</v>
      </c>
      <c r="N859" s="126">
        <f t="shared" si="616"/>
        <v>0</v>
      </c>
      <c r="O859" s="126">
        <f t="shared" si="616"/>
        <v>0</v>
      </c>
      <c r="P859" s="126">
        <f t="shared" si="616"/>
        <v>0</v>
      </c>
      <c r="Q859" s="126">
        <f t="shared" si="616"/>
        <v>0</v>
      </c>
    </row>
    <row r="860" ht="24" customHeight="1" spans="1:17">
      <c r="A860" s="99" t="s">
        <v>346</v>
      </c>
      <c r="B860" s="99" t="s">
        <v>299</v>
      </c>
      <c r="C860" s="99" t="s">
        <v>344</v>
      </c>
      <c r="D860" s="114" t="s">
        <v>292</v>
      </c>
      <c r="E860" s="114" t="s">
        <v>320</v>
      </c>
      <c r="F860" s="120">
        <f t="shared" ref="F860:Q860" si="617">IF(SUM(F861:F866)&lt;&gt;SUM(F873:F877),"ERR",SUM(F861:F866))</f>
        <v>4.384582</v>
      </c>
      <c r="G860" s="120">
        <f t="shared" si="617"/>
        <v>5.261981</v>
      </c>
      <c r="H860" s="120">
        <f t="shared" si="617"/>
        <v>8.999721</v>
      </c>
      <c r="I860" s="120">
        <f t="shared" si="617"/>
        <v>9.141672</v>
      </c>
      <c r="J860" s="120">
        <f t="shared" si="617"/>
        <v>10.466398</v>
      </c>
      <c r="K860" s="120">
        <f t="shared" si="617"/>
        <v>11.224612</v>
      </c>
      <c r="L860" s="120">
        <f t="shared" si="617"/>
        <v>11.862403</v>
      </c>
      <c r="M860" s="120">
        <f t="shared" si="617"/>
        <v>15.688632</v>
      </c>
      <c r="N860" s="120">
        <f t="shared" si="617"/>
        <v>23.270098</v>
      </c>
      <c r="O860" s="120">
        <f t="shared" si="617"/>
        <v>29.954228</v>
      </c>
      <c r="P860" s="120">
        <f t="shared" si="617"/>
        <v>38.305518</v>
      </c>
      <c r="Q860" s="120">
        <f t="shared" si="617"/>
        <v>41.273298</v>
      </c>
    </row>
    <row r="861" ht="24" customHeight="1" spans="1:17">
      <c r="A861" s="99" t="s">
        <v>346</v>
      </c>
      <c r="B861" s="99" t="s">
        <v>299</v>
      </c>
      <c r="C861" s="99" t="s">
        <v>344</v>
      </c>
      <c r="D861" s="48" t="s">
        <v>31</v>
      </c>
      <c r="E861" s="48" t="s">
        <v>406</v>
      </c>
      <c r="F861" s="121">
        <f t="shared" ref="F861:F866" si="618">F800</f>
        <v>1.303895</v>
      </c>
      <c r="G861" s="121">
        <f t="shared" ref="G861:Q861" si="619">F861+G800</f>
        <v>1.382073</v>
      </c>
      <c r="H861" s="121">
        <f t="shared" si="619"/>
        <v>3.418931</v>
      </c>
      <c r="I861" s="121">
        <f t="shared" si="619"/>
        <v>3.418931</v>
      </c>
      <c r="J861" s="121">
        <f t="shared" si="619"/>
        <v>3.418931</v>
      </c>
      <c r="K861" s="121">
        <f t="shared" si="619"/>
        <v>3.749664</v>
      </c>
      <c r="L861" s="121">
        <f t="shared" si="619"/>
        <v>4.227839</v>
      </c>
      <c r="M861" s="121">
        <f t="shared" si="619"/>
        <v>4.227839</v>
      </c>
      <c r="N861" s="121">
        <f t="shared" si="619"/>
        <v>7.852945</v>
      </c>
      <c r="O861" s="121">
        <f t="shared" si="619"/>
        <v>9.806406</v>
      </c>
      <c r="P861" s="121">
        <f t="shared" si="619"/>
        <v>12.712486</v>
      </c>
      <c r="Q861" s="121">
        <f t="shared" si="619"/>
        <v>13.004132</v>
      </c>
    </row>
    <row r="862" ht="24" customHeight="1" spans="1:17">
      <c r="A862" s="99" t="s">
        <v>346</v>
      </c>
      <c r="B862" s="99" t="s">
        <v>299</v>
      </c>
      <c r="C862" s="99" t="s">
        <v>344</v>
      </c>
      <c r="D862" s="48" t="s">
        <v>31</v>
      </c>
      <c r="E862" s="48" t="s">
        <v>82</v>
      </c>
      <c r="F862" s="121">
        <f t="shared" si="618"/>
        <v>2.950142</v>
      </c>
      <c r="G862" s="121">
        <f t="shared" ref="G862:Q862" si="620">F862+G801</f>
        <v>3.40753</v>
      </c>
      <c r="H862" s="121">
        <f t="shared" si="620"/>
        <v>4.271851</v>
      </c>
      <c r="I862" s="121">
        <f t="shared" si="620"/>
        <v>4.271851</v>
      </c>
      <c r="J862" s="121">
        <f t="shared" si="620"/>
        <v>4.436396</v>
      </c>
      <c r="K862" s="121">
        <f t="shared" si="620"/>
        <v>4.436396</v>
      </c>
      <c r="L862" s="121">
        <f t="shared" si="620"/>
        <v>4.596012</v>
      </c>
      <c r="M862" s="121">
        <f t="shared" si="620"/>
        <v>4.928853</v>
      </c>
      <c r="N862" s="121">
        <f t="shared" si="620"/>
        <v>5.480049</v>
      </c>
      <c r="O862" s="121">
        <f t="shared" si="620"/>
        <v>5.480049</v>
      </c>
      <c r="P862" s="121">
        <f t="shared" si="620"/>
        <v>5.480049</v>
      </c>
      <c r="Q862" s="121">
        <f t="shared" si="620"/>
        <v>6.543343</v>
      </c>
    </row>
    <row r="863" ht="24" customHeight="1" spans="1:17">
      <c r="A863" s="99" t="s">
        <v>346</v>
      </c>
      <c r="B863" s="99" t="s">
        <v>299</v>
      </c>
      <c r="C863" s="99" t="s">
        <v>344</v>
      </c>
      <c r="D863" s="48" t="s">
        <v>31</v>
      </c>
      <c r="E863" s="48" t="s">
        <v>86</v>
      </c>
      <c r="F863" s="121">
        <f t="shared" si="618"/>
        <v>0.130545</v>
      </c>
      <c r="G863" s="121">
        <f t="shared" ref="G863:Q863" si="621">F863+G802</f>
        <v>0.130545</v>
      </c>
      <c r="H863" s="121">
        <f t="shared" si="621"/>
        <v>0.528567</v>
      </c>
      <c r="I863" s="121">
        <f t="shared" si="621"/>
        <v>0.670518</v>
      </c>
      <c r="J863" s="121">
        <f t="shared" si="621"/>
        <v>1.830699</v>
      </c>
      <c r="K863" s="121">
        <f t="shared" si="621"/>
        <v>2.25818</v>
      </c>
      <c r="L863" s="121">
        <f t="shared" si="621"/>
        <v>2.25818</v>
      </c>
      <c r="M863" s="121">
        <f t="shared" si="621"/>
        <v>3.406472</v>
      </c>
      <c r="N863" s="121">
        <f t="shared" si="621"/>
        <v>6.811636</v>
      </c>
      <c r="O863" s="121">
        <f t="shared" si="621"/>
        <v>8.908902</v>
      </c>
      <c r="P863" s="121">
        <f t="shared" si="621"/>
        <v>10.097722</v>
      </c>
      <c r="Q863" s="121">
        <f t="shared" si="621"/>
        <v>11.588955</v>
      </c>
    </row>
    <row r="864" ht="24" customHeight="1" spans="1:17">
      <c r="A864" s="99" t="s">
        <v>346</v>
      </c>
      <c r="B864" s="99" t="s">
        <v>299</v>
      </c>
      <c r="C864" s="99" t="s">
        <v>344</v>
      </c>
      <c r="D864" s="48" t="s">
        <v>31</v>
      </c>
      <c r="E864" s="48" t="s">
        <v>97</v>
      </c>
      <c r="F864" s="121">
        <f t="shared" si="618"/>
        <v>0</v>
      </c>
      <c r="G864" s="121">
        <f t="shared" ref="G864:Q864" si="622">F864+G803</f>
        <v>0</v>
      </c>
      <c r="H864" s="121">
        <f t="shared" si="622"/>
        <v>0.438539</v>
      </c>
      <c r="I864" s="121">
        <f t="shared" si="622"/>
        <v>0.438539</v>
      </c>
      <c r="J864" s="121">
        <f t="shared" si="622"/>
        <v>0.438539</v>
      </c>
      <c r="K864" s="121">
        <f t="shared" si="622"/>
        <v>0.438539</v>
      </c>
      <c r="L864" s="121">
        <f t="shared" si="622"/>
        <v>0.438539</v>
      </c>
      <c r="M864" s="121">
        <f t="shared" si="622"/>
        <v>2.337606</v>
      </c>
      <c r="N864" s="121">
        <f t="shared" si="622"/>
        <v>2.337606</v>
      </c>
      <c r="O864" s="121">
        <f t="shared" si="622"/>
        <v>4.971009</v>
      </c>
      <c r="P864" s="121">
        <f t="shared" si="622"/>
        <v>9.211924</v>
      </c>
      <c r="Q864" s="121">
        <f t="shared" si="622"/>
        <v>9.211924</v>
      </c>
    </row>
    <row r="865" ht="24" customHeight="1" spans="1:17">
      <c r="A865" s="99" t="s">
        <v>346</v>
      </c>
      <c r="B865" s="99" t="s">
        <v>299</v>
      </c>
      <c r="C865" s="99" t="s">
        <v>344</v>
      </c>
      <c r="D865" s="48" t="s">
        <v>31</v>
      </c>
      <c r="E865" s="48" t="s">
        <v>87</v>
      </c>
      <c r="F865" s="121">
        <f t="shared" si="618"/>
        <v>0</v>
      </c>
      <c r="G865" s="121">
        <f t="shared" ref="G865:Q865" si="623">F865+G804</f>
        <v>0.341833</v>
      </c>
      <c r="H865" s="121">
        <f t="shared" si="623"/>
        <v>0.341833</v>
      </c>
      <c r="I865" s="121">
        <f t="shared" si="623"/>
        <v>0.341833</v>
      </c>
      <c r="J865" s="121">
        <f t="shared" si="623"/>
        <v>0.341833</v>
      </c>
      <c r="K865" s="121">
        <f t="shared" si="623"/>
        <v>0.341833</v>
      </c>
      <c r="L865" s="121">
        <f t="shared" si="623"/>
        <v>0.341833</v>
      </c>
      <c r="M865" s="121">
        <f t="shared" si="623"/>
        <v>0.787862</v>
      </c>
      <c r="N865" s="121">
        <f t="shared" si="623"/>
        <v>0.787862</v>
      </c>
      <c r="O865" s="121">
        <f t="shared" si="623"/>
        <v>0.787862</v>
      </c>
      <c r="P865" s="121">
        <f t="shared" si="623"/>
        <v>0.803337</v>
      </c>
      <c r="Q865" s="121">
        <f t="shared" si="623"/>
        <v>0.924944</v>
      </c>
    </row>
    <row r="866" ht="24" customHeight="1" spans="1:17">
      <c r="A866" s="99" t="s">
        <v>346</v>
      </c>
      <c r="B866" s="99" t="s">
        <v>299</v>
      </c>
      <c r="C866" s="99" t="s">
        <v>344</v>
      </c>
      <c r="D866" s="48" t="s">
        <v>31</v>
      </c>
      <c r="E866" s="48" t="s">
        <v>83</v>
      </c>
      <c r="F866" s="121">
        <f t="shared" si="618"/>
        <v>0</v>
      </c>
      <c r="G866" s="121">
        <f t="shared" ref="G866:Q866" si="624">F866+G805</f>
        <v>0</v>
      </c>
      <c r="H866" s="121">
        <f t="shared" si="624"/>
        <v>0</v>
      </c>
      <c r="I866" s="121">
        <f t="shared" si="624"/>
        <v>0</v>
      </c>
      <c r="J866" s="121">
        <f t="shared" si="624"/>
        <v>0</v>
      </c>
      <c r="K866" s="121">
        <f t="shared" si="624"/>
        <v>0</v>
      </c>
      <c r="L866" s="121">
        <f t="shared" si="624"/>
        <v>0</v>
      </c>
      <c r="M866" s="121">
        <f t="shared" si="624"/>
        <v>0</v>
      </c>
      <c r="N866" s="121">
        <f t="shared" si="624"/>
        <v>0</v>
      </c>
      <c r="O866" s="121">
        <f t="shared" si="624"/>
        <v>0</v>
      </c>
      <c r="P866" s="121">
        <f t="shared" si="624"/>
        <v>0</v>
      </c>
      <c r="Q866" s="121">
        <f t="shared" si="624"/>
        <v>0</v>
      </c>
    </row>
    <row r="867" ht="24" customHeight="1" spans="1:17">
      <c r="A867" s="99" t="s">
        <v>346</v>
      </c>
      <c r="B867" s="99" t="s">
        <v>299</v>
      </c>
      <c r="C867" s="99" t="s">
        <v>344</v>
      </c>
      <c r="D867" s="48" t="s">
        <v>321</v>
      </c>
      <c r="E867" s="48" t="s">
        <v>406</v>
      </c>
      <c r="F867" s="112">
        <f t="shared" ref="F867:Q867" si="625">IFERROR(F861/F860,"-")</f>
        <v>0.297381825679164</v>
      </c>
      <c r="G867" s="112">
        <f t="shared" si="625"/>
        <v>0.262652601748277</v>
      </c>
      <c r="H867" s="112">
        <f t="shared" si="625"/>
        <v>0.379892998905188</v>
      </c>
      <c r="I867" s="112">
        <f t="shared" si="625"/>
        <v>0.373994057104652</v>
      </c>
      <c r="J867" s="112">
        <f t="shared" si="625"/>
        <v>0.326657843510251</v>
      </c>
      <c r="K867" s="112">
        <f t="shared" si="625"/>
        <v>0.334057337572114</v>
      </c>
      <c r="L867" s="112">
        <f t="shared" si="625"/>
        <v>0.356406623514645</v>
      </c>
      <c r="M867" s="112">
        <f t="shared" si="625"/>
        <v>0.269484235464252</v>
      </c>
      <c r="N867" s="112">
        <f t="shared" si="625"/>
        <v>0.337469356596607</v>
      </c>
      <c r="O867" s="112">
        <f t="shared" si="625"/>
        <v>0.327379694111963</v>
      </c>
      <c r="P867" s="112">
        <f t="shared" si="625"/>
        <v>0.331870880848028</v>
      </c>
      <c r="Q867" s="112">
        <f t="shared" si="625"/>
        <v>0.3150737312051</v>
      </c>
    </row>
    <row r="868" ht="24" customHeight="1" spans="1:17">
      <c r="A868" s="99" t="s">
        <v>346</v>
      </c>
      <c r="B868" s="99" t="s">
        <v>299</v>
      </c>
      <c r="C868" s="99" t="s">
        <v>344</v>
      </c>
      <c r="D868" s="48" t="s">
        <v>321</v>
      </c>
      <c r="E868" s="48" t="s">
        <v>82</v>
      </c>
      <c r="F868" s="112">
        <f t="shared" ref="F868:Q868" si="626">IFERROR(F862/F860,"-")</f>
        <v>0.672844526570606</v>
      </c>
      <c r="G868" s="112">
        <f t="shared" si="626"/>
        <v>0.64757550435853</v>
      </c>
      <c r="H868" s="112">
        <f t="shared" si="626"/>
        <v>0.474664825720709</v>
      </c>
      <c r="I868" s="112">
        <f t="shared" si="626"/>
        <v>0.467294276145545</v>
      </c>
      <c r="J868" s="112">
        <f t="shared" si="626"/>
        <v>0.423870370685311</v>
      </c>
      <c r="K868" s="112">
        <f t="shared" si="626"/>
        <v>0.395238249660657</v>
      </c>
      <c r="L868" s="112">
        <f t="shared" si="626"/>
        <v>0.387443589633568</v>
      </c>
      <c r="M868" s="112">
        <f t="shared" si="626"/>
        <v>0.314167162567138</v>
      </c>
      <c r="N868" s="112">
        <f t="shared" si="626"/>
        <v>0.23549746116239</v>
      </c>
      <c r="O868" s="112">
        <f t="shared" si="626"/>
        <v>0.182947428990659</v>
      </c>
      <c r="P868" s="112">
        <f t="shared" si="626"/>
        <v>0.143061607990786</v>
      </c>
      <c r="Q868" s="112">
        <f t="shared" si="626"/>
        <v>0.158536955297345</v>
      </c>
    </row>
    <row r="869" ht="24" customHeight="1" spans="1:17">
      <c r="A869" s="99" t="s">
        <v>346</v>
      </c>
      <c r="B869" s="99" t="s">
        <v>299</v>
      </c>
      <c r="C869" s="99" t="s">
        <v>344</v>
      </c>
      <c r="D869" s="48" t="s">
        <v>321</v>
      </c>
      <c r="E869" s="48" t="s">
        <v>86</v>
      </c>
      <c r="F869" s="112">
        <f t="shared" ref="F869:Q869" si="627">IFERROR(F863/F860,"-")</f>
        <v>0.0297736477502302</v>
      </c>
      <c r="G869" s="112">
        <f t="shared" si="627"/>
        <v>0.0248090975623059</v>
      </c>
      <c r="H869" s="112">
        <f t="shared" si="627"/>
        <v>0.0587314873427743</v>
      </c>
      <c r="I869" s="112">
        <f t="shared" si="627"/>
        <v>0.0733474139085279</v>
      </c>
      <c r="J869" s="112">
        <f t="shared" si="627"/>
        <v>0.174912037551028</v>
      </c>
      <c r="K869" s="112">
        <f t="shared" si="627"/>
        <v>0.201181118777201</v>
      </c>
      <c r="L869" s="112">
        <f t="shared" si="627"/>
        <v>0.190364464940198</v>
      </c>
      <c r="M869" s="112">
        <f t="shared" si="627"/>
        <v>0.217129957538681</v>
      </c>
      <c r="N869" s="112">
        <f t="shared" si="627"/>
        <v>0.29272055493707</v>
      </c>
      <c r="O869" s="112">
        <f t="shared" si="627"/>
        <v>0.297417179304371</v>
      </c>
      <c r="P869" s="112">
        <f t="shared" si="627"/>
        <v>0.26361011486648</v>
      </c>
      <c r="Q869" s="112">
        <f t="shared" si="627"/>
        <v>0.280785775830175</v>
      </c>
    </row>
    <row r="870" ht="24" customHeight="1" spans="1:17">
      <c r="A870" s="99" t="s">
        <v>346</v>
      </c>
      <c r="B870" s="99" t="s">
        <v>299</v>
      </c>
      <c r="C870" s="99" t="s">
        <v>344</v>
      </c>
      <c r="D870" s="48" t="s">
        <v>321</v>
      </c>
      <c r="E870" s="48" t="s">
        <v>97</v>
      </c>
      <c r="F870" s="112">
        <f t="shared" ref="F870:Q870" si="628">IFERROR(F864/F860,"-")</f>
        <v>0</v>
      </c>
      <c r="G870" s="112">
        <f t="shared" si="628"/>
        <v>0</v>
      </c>
      <c r="H870" s="112">
        <f t="shared" si="628"/>
        <v>0.0487280661256055</v>
      </c>
      <c r="I870" s="112">
        <f t="shared" si="628"/>
        <v>0.0479714214205016</v>
      </c>
      <c r="J870" s="112">
        <f t="shared" si="628"/>
        <v>0.041899706087997</v>
      </c>
      <c r="K870" s="112">
        <f t="shared" si="628"/>
        <v>0.0390694128224655</v>
      </c>
      <c r="L870" s="112">
        <f t="shared" si="628"/>
        <v>0.036968816520565</v>
      </c>
      <c r="M870" s="112">
        <f t="shared" si="628"/>
        <v>0.148999989291609</v>
      </c>
      <c r="N870" s="112">
        <f t="shared" si="628"/>
        <v>0.100455356913409</v>
      </c>
      <c r="O870" s="112">
        <f t="shared" si="628"/>
        <v>0.165953500787935</v>
      </c>
      <c r="P870" s="112">
        <f t="shared" si="628"/>
        <v>0.240485561375257</v>
      </c>
      <c r="Q870" s="112">
        <f t="shared" si="628"/>
        <v>0.223193310115416</v>
      </c>
    </row>
    <row r="871" ht="24" customHeight="1" spans="1:17">
      <c r="A871" s="99" t="s">
        <v>346</v>
      </c>
      <c r="B871" s="99" t="s">
        <v>299</v>
      </c>
      <c r="C871" s="99" t="s">
        <v>344</v>
      </c>
      <c r="D871" s="48" t="s">
        <v>321</v>
      </c>
      <c r="E871" s="48" t="s">
        <v>87</v>
      </c>
      <c r="F871" s="112">
        <f t="shared" ref="F871:Q871" si="629">IFERROR(F865/F860,"-")</f>
        <v>0</v>
      </c>
      <c r="G871" s="112">
        <f t="shared" si="629"/>
        <v>0.0649627963308876</v>
      </c>
      <c r="H871" s="112">
        <f t="shared" si="629"/>
        <v>0.0379826219057235</v>
      </c>
      <c r="I871" s="112">
        <f t="shared" si="629"/>
        <v>0.0373928314207729</v>
      </c>
      <c r="J871" s="112">
        <f t="shared" si="629"/>
        <v>0.0326600421654135</v>
      </c>
      <c r="K871" s="112">
        <f t="shared" si="629"/>
        <v>0.0304538811675629</v>
      </c>
      <c r="L871" s="112">
        <f t="shared" si="629"/>
        <v>0.0288165053910241</v>
      </c>
      <c r="M871" s="112">
        <f t="shared" si="629"/>
        <v>0.0502186551383193</v>
      </c>
      <c r="N871" s="112">
        <f t="shared" si="629"/>
        <v>0.0338572703905244</v>
      </c>
      <c r="O871" s="112">
        <f t="shared" si="629"/>
        <v>0.0263021968050721</v>
      </c>
      <c r="P871" s="112">
        <f t="shared" si="629"/>
        <v>0.0209718349194495</v>
      </c>
      <c r="Q871" s="112">
        <f t="shared" si="629"/>
        <v>0.0224102275519635</v>
      </c>
    </row>
    <row r="872" ht="24" customHeight="1" spans="1:17">
      <c r="A872" s="99" t="s">
        <v>346</v>
      </c>
      <c r="B872" s="99" t="s">
        <v>299</v>
      </c>
      <c r="C872" s="99" t="s">
        <v>344</v>
      </c>
      <c r="D872" s="48" t="s">
        <v>321</v>
      </c>
      <c r="E872" s="48" t="s">
        <v>83</v>
      </c>
      <c r="F872" s="112">
        <f t="shared" ref="F872:Q872" si="630">IFERROR(F866/F860,"-")</f>
        <v>0</v>
      </c>
      <c r="G872" s="112">
        <f t="shared" si="630"/>
        <v>0</v>
      </c>
      <c r="H872" s="112">
        <f t="shared" si="630"/>
        <v>0</v>
      </c>
      <c r="I872" s="112">
        <f t="shared" si="630"/>
        <v>0</v>
      </c>
      <c r="J872" s="112">
        <f t="shared" si="630"/>
        <v>0</v>
      </c>
      <c r="K872" s="112">
        <f t="shared" si="630"/>
        <v>0</v>
      </c>
      <c r="L872" s="112">
        <f t="shared" si="630"/>
        <v>0</v>
      </c>
      <c r="M872" s="112">
        <f t="shared" si="630"/>
        <v>0</v>
      </c>
      <c r="N872" s="112">
        <f t="shared" si="630"/>
        <v>0</v>
      </c>
      <c r="O872" s="112">
        <f t="shared" si="630"/>
        <v>0</v>
      </c>
      <c r="P872" s="112">
        <f t="shared" si="630"/>
        <v>0</v>
      </c>
      <c r="Q872" s="112">
        <f t="shared" si="630"/>
        <v>0</v>
      </c>
    </row>
    <row r="873" ht="24" customHeight="1" spans="1:17">
      <c r="A873" s="99" t="s">
        <v>346</v>
      </c>
      <c r="B873" s="99" t="s">
        <v>299</v>
      </c>
      <c r="C873" s="99" t="s">
        <v>344</v>
      </c>
      <c r="D873" s="47" t="s">
        <v>294</v>
      </c>
      <c r="E873" s="47" t="s">
        <v>93</v>
      </c>
      <c r="F873" s="125">
        <f t="shared" ref="F873:F877" si="631">F806</f>
        <v>1.757128</v>
      </c>
      <c r="G873" s="125">
        <f t="shared" ref="G873:Q873" si="632">F873+G806</f>
        <v>2.556349</v>
      </c>
      <c r="H873" s="125">
        <f t="shared" si="632"/>
        <v>5.043062</v>
      </c>
      <c r="I873" s="125">
        <f t="shared" si="632"/>
        <v>5.043062</v>
      </c>
      <c r="J873" s="125">
        <f t="shared" si="632"/>
        <v>6.203243</v>
      </c>
      <c r="K873" s="125">
        <f t="shared" si="632"/>
        <v>6.630724</v>
      </c>
      <c r="L873" s="125">
        <f t="shared" si="632"/>
        <v>6.79034</v>
      </c>
      <c r="M873" s="125">
        <f t="shared" si="632"/>
        <v>9.919967</v>
      </c>
      <c r="N873" s="125">
        <f t="shared" si="632"/>
        <v>14.192272</v>
      </c>
      <c r="O873" s="125">
        <f t="shared" si="632"/>
        <v>16.735914</v>
      </c>
      <c r="P873" s="125">
        <f t="shared" si="632"/>
        <v>24.698955</v>
      </c>
      <c r="Q873" s="125">
        <f t="shared" si="632"/>
        <v>25.396752</v>
      </c>
    </row>
    <row r="874" ht="24" customHeight="1" spans="1:17">
      <c r="A874" s="99" t="s">
        <v>346</v>
      </c>
      <c r="B874" s="99" t="s">
        <v>299</v>
      </c>
      <c r="C874" s="99" t="s">
        <v>344</v>
      </c>
      <c r="D874" s="47" t="s">
        <v>294</v>
      </c>
      <c r="E874" s="47" t="s">
        <v>85</v>
      </c>
      <c r="F874" s="125">
        <f t="shared" si="631"/>
        <v>2.627454</v>
      </c>
      <c r="G874" s="125">
        <f t="shared" ref="G874:Q874" si="633">F874+G807</f>
        <v>2.705632</v>
      </c>
      <c r="H874" s="125">
        <f t="shared" si="633"/>
        <v>3.956659</v>
      </c>
      <c r="I874" s="125">
        <f t="shared" si="633"/>
        <v>3.956659</v>
      </c>
      <c r="J874" s="125">
        <f t="shared" si="633"/>
        <v>4.121204</v>
      </c>
      <c r="K874" s="125">
        <f t="shared" si="633"/>
        <v>4.451937</v>
      </c>
      <c r="L874" s="125">
        <f t="shared" si="633"/>
        <v>4.451937</v>
      </c>
      <c r="M874" s="125">
        <f t="shared" si="633"/>
        <v>5.148539</v>
      </c>
      <c r="N874" s="125">
        <f t="shared" si="633"/>
        <v>5.569253</v>
      </c>
      <c r="O874" s="125">
        <f t="shared" si="633"/>
        <v>6.424311</v>
      </c>
      <c r="P874" s="125">
        <f t="shared" si="633"/>
        <v>6.81256</v>
      </c>
      <c r="Q874" s="125">
        <f t="shared" si="633"/>
        <v>6.934167</v>
      </c>
    </row>
    <row r="875" ht="24" customHeight="1" spans="1:17">
      <c r="A875" s="99" t="s">
        <v>346</v>
      </c>
      <c r="B875" s="99" t="s">
        <v>299</v>
      </c>
      <c r="C875" s="99" t="s">
        <v>344</v>
      </c>
      <c r="D875" s="47" t="s">
        <v>294</v>
      </c>
      <c r="E875" s="47" t="s">
        <v>81</v>
      </c>
      <c r="F875" s="125">
        <f t="shared" si="631"/>
        <v>0</v>
      </c>
      <c r="G875" s="125">
        <f t="shared" ref="G875:Q875" si="634">F875+G808</f>
        <v>0</v>
      </c>
      <c r="H875" s="125">
        <f t="shared" si="634"/>
        <v>0</v>
      </c>
      <c r="I875" s="125">
        <f t="shared" si="634"/>
        <v>0.141951</v>
      </c>
      <c r="J875" s="125">
        <f t="shared" si="634"/>
        <v>0.141951</v>
      </c>
      <c r="K875" s="125">
        <f t="shared" si="634"/>
        <v>0.141951</v>
      </c>
      <c r="L875" s="125">
        <f t="shared" si="634"/>
        <v>0.620126</v>
      </c>
      <c r="M875" s="125">
        <f t="shared" si="634"/>
        <v>0.620126</v>
      </c>
      <c r="N875" s="125">
        <f t="shared" si="634"/>
        <v>1.645327</v>
      </c>
      <c r="O875" s="125">
        <f t="shared" si="634"/>
        <v>4.930757</v>
      </c>
      <c r="P875" s="125">
        <f t="shared" si="634"/>
        <v>4.930757</v>
      </c>
      <c r="Q875" s="125">
        <f t="shared" si="634"/>
        <v>7.079133</v>
      </c>
    </row>
    <row r="876" ht="24" customHeight="1" spans="1:17">
      <c r="A876" s="99" t="s">
        <v>346</v>
      </c>
      <c r="B876" s="99" t="s">
        <v>299</v>
      </c>
      <c r="C876" s="99" t="s">
        <v>344</v>
      </c>
      <c r="D876" s="47" t="s">
        <v>294</v>
      </c>
      <c r="E876" s="47" t="s">
        <v>96</v>
      </c>
      <c r="F876" s="125">
        <f t="shared" si="631"/>
        <v>0</v>
      </c>
      <c r="G876" s="125">
        <f t="shared" ref="G876:Q876" si="635">F876+G809</f>
        <v>0</v>
      </c>
      <c r="H876" s="125">
        <f t="shared" si="635"/>
        <v>0</v>
      </c>
      <c r="I876" s="125">
        <f t="shared" si="635"/>
        <v>0</v>
      </c>
      <c r="J876" s="125">
        <f t="shared" si="635"/>
        <v>0</v>
      </c>
      <c r="K876" s="125">
        <f t="shared" si="635"/>
        <v>0</v>
      </c>
      <c r="L876" s="125">
        <f t="shared" si="635"/>
        <v>0</v>
      </c>
      <c r="M876" s="125">
        <f t="shared" si="635"/>
        <v>0</v>
      </c>
      <c r="N876" s="125">
        <f t="shared" si="635"/>
        <v>1.863246</v>
      </c>
      <c r="O876" s="125">
        <f t="shared" si="635"/>
        <v>1.863246</v>
      </c>
      <c r="P876" s="125">
        <f t="shared" si="635"/>
        <v>1.863246</v>
      </c>
      <c r="Q876" s="125">
        <f t="shared" si="635"/>
        <v>1.863246</v>
      </c>
    </row>
    <row r="877" ht="24" customHeight="1" spans="1:17">
      <c r="A877" s="99" t="s">
        <v>346</v>
      </c>
      <c r="B877" s="99" t="s">
        <v>299</v>
      </c>
      <c r="C877" s="99" t="s">
        <v>344</v>
      </c>
      <c r="D877" s="47" t="s">
        <v>294</v>
      </c>
      <c r="E877" s="47" t="s">
        <v>160</v>
      </c>
      <c r="F877" s="125">
        <f t="shared" si="631"/>
        <v>0</v>
      </c>
      <c r="G877" s="125">
        <f t="shared" ref="G877:Q877" si="636">F877+G810</f>
        <v>0</v>
      </c>
      <c r="H877" s="125">
        <f t="shared" si="636"/>
        <v>0</v>
      </c>
      <c r="I877" s="125">
        <f t="shared" si="636"/>
        <v>0</v>
      </c>
      <c r="J877" s="125">
        <f t="shared" si="636"/>
        <v>0</v>
      </c>
      <c r="K877" s="125">
        <f t="shared" si="636"/>
        <v>0</v>
      </c>
      <c r="L877" s="125">
        <f t="shared" si="636"/>
        <v>0</v>
      </c>
      <c r="M877" s="125">
        <f t="shared" si="636"/>
        <v>0</v>
      </c>
      <c r="N877" s="125">
        <f t="shared" si="636"/>
        <v>0</v>
      </c>
      <c r="O877" s="125">
        <f t="shared" si="636"/>
        <v>0</v>
      </c>
      <c r="P877" s="125">
        <f t="shared" si="636"/>
        <v>0</v>
      </c>
      <c r="Q877" s="125">
        <f t="shared" si="636"/>
        <v>0</v>
      </c>
    </row>
    <row r="878" ht="24" customHeight="1" spans="1:17">
      <c r="A878" s="99" t="s">
        <v>346</v>
      </c>
      <c r="B878" s="99" t="s">
        <v>299</v>
      </c>
      <c r="C878" s="99" t="s">
        <v>344</v>
      </c>
      <c r="D878" s="47" t="s">
        <v>321</v>
      </c>
      <c r="E878" s="47" t="s">
        <v>93</v>
      </c>
      <c r="F878" s="126">
        <f t="shared" ref="F878:Q878" si="637">IFERROR(F873/F860,"-")</f>
        <v>0.400751542564377</v>
      </c>
      <c r="G878" s="126">
        <f t="shared" si="637"/>
        <v>0.485814943079422</v>
      </c>
      <c r="H878" s="126">
        <f t="shared" si="637"/>
        <v>0.560357593307615</v>
      </c>
      <c r="I878" s="126">
        <f t="shared" si="637"/>
        <v>0.551656414712757</v>
      </c>
      <c r="J878" s="126">
        <f t="shared" si="637"/>
        <v>0.592681742085482</v>
      </c>
      <c r="K878" s="126">
        <f t="shared" si="637"/>
        <v>0.590730797643607</v>
      </c>
      <c r="L878" s="126">
        <f t="shared" si="637"/>
        <v>0.572425334057526</v>
      </c>
      <c r="M878" s="126">
        <f t="shared" si="637"/>
        <v>0.632302867452051</v>
      </c>
      <c r="N878" s="126">
        <f t="shared" si="637"/>
        <v>0.609893091124928</v>
      </c>
      <c r="O878" s="126">
        <f t="shared" si="637"/>
        <v>0.558716252009566</v>
      </c>
      <c r="P878" s="126">
        <f t="shared" si="637"/>
        <v>0.644788434919481</v>
      </c>
      <c r="Q878" s="126">
        <f t="shared" si="637"/>
        <v>0.615331297246951</v>
      </c>
    </row>
    <row r="879" ht="24" customHeight="1" spans="1:17">
      <c r="A879" s="99" t="s">
        <v>346</v>
      </c>
      <c r="B879" s="99" t="s">
        <v>299</v>
      </c>
      <c r="C879" s="99" t="s">
        <v>344</v>
      </c>
      <c r="D879" s="47" t="s">
        <v>321</v>
      </c>
      <c r="E879" s="47" t="s">
        <v>85</v>
      </c>
      <c r="F879" s="126">
        <f t="shared" ref="F879:Q879" si="638">IFERROR(F874/F860,"-")</f>
        <v>0.599248457435623</v>
      </c>
      <c r="G879" s="126">
        <f t="shared" si="638"/>
        <v>0.514185056920578</v>
      </c>
      <c r="H879" s="126">
        <f t="shared" si="638"/>
        <v>0.439642406692385</v>
      </c>
      <c r="I879" s="126">
        <f t="shared" si="638"/>
        <v>0.432815681857761</v>
      </c>
      <c r="J879" s="126">
        <f t="shared" si="638"/>
        <v>0.393755712328157</v>
      </c>
      <c r="K879" s="126">
        <f t="shared" si="638"/>
        <v>0.3966227964049</v>
      </c>
      <c r="L879" s="126">
        <f t="shared" si="638"/>
        <v>0.375298074091733</v>
      </c>
      <c r="M879" s="126">
        <f t="shared" si="638"/>
        <v>0.328170040574602</v>
      </c>
      <c r="N879" s="126">
        <f t="shared" si="638"/>
        <v>0.239330878623717</v>
      </c>
      <c r="O879" s="126">
        <f t="shared" si="638"/>
        <v>0.214470925439975</v>
      </c>
      <c r="P879" s="126">
        <f t="shared" si="638"/>
        <v>0.177848006127994</v>
      </c>
      <c r="Q879" s="126">
        <f t="shared" si="638"/>
        <v>0.168006128320543</v>
      </c>
    </row>
    <row r="880" ht="24" customHeight="1" spans="1:17">
      <c r="A880" s="99" t="s">
        <v>346</v>
      </c>
      <c r="B880" s="99" t="s">
        <v>299</v>
      </c>
      <c r="C880" s="99" t="s">
        <v>344</v>
      </c>
      <c r="D880" s="47" t="s">
        <v>321</v>
      </c>
      <c r="E880" s="47" t="s">
        <v>81</v>
      </c>
      <c r="F880" s="126">
        <f t="shared" ref="F880:Q880" si="639">IFERROR(F875/F860,"-")</f>
        <v>0</v>
      </c>
      <c r="G880" s="126">
        <f t="shared" si="639"/>
        <v>0</v>
      </c>
      <c r="H880" s="126">
        <f t="shared" si="639"/>
        <v>0</v>
      </c>
      <c r="I880" s="126">
        <f t="shared" si="639"/>
        <v>0.015527903429482</v>
      </c>
      <c r="J880" s="126">
        <f t="shared" si="639"/>
        <v>0.0135625455863612</v>
      </c>
      <c r="K880" s="126">
        <f t="shared" si="639"/>
        <v>0.012646405951493</v>
      </c>
      <c r="L880" s="126">
        <f t="shared" si="639"/>
        <v>0.0522765918507405</v>
      </c>
      <c r="M880" s="126">
        <f t="shared" si="639"/>
        <v>0.0395270919733473</v>
      </c>
      <c r="N880" s="126">
        <f t="shared" si="639"/>
        <v>0.0707056326105717</v>
      </c>
      <c r="O880" s="126">
        <f t="shared" si="639"/>
        <v>0.164609717199188</v>
      </c>
      <c r="P880" s="126">
        <f t="shared" si="639"/>
        <v>0.128721846288569</v>
      </c>
      <c r="Q880" s="126">
        <f t="shared" si="639"/>
        <v>0.171518471821661</v>
      </c>
    </row>
    <row r="881" ht="24" customHeight="1" spans="1:17">
      <c r="A881" s="99" t="s">
        <v>346</v>
      </c>
      <c r="B881" s="99" t="s">
        <v>299</v>
      </c>
      <c r="C881" s="99" t="s">
        <v>344</v>
      </c>
      <c r="D881" s="47" t="s">
        <v>321</v>
      </c>
      <c r="E881" s="47" t="s">
        <v>96</v>
      </c>
      <c r="F881" s="126">
        <f t="shared" ref="F881:Q881" si="640">IFERROR(F876/F860,"-")</f>
        <v>0</v>
      </c>
      <c r="G881" s="126">
        <f t="shared" si="640"/>
        <v>0</v>
      </c>
      <c r="H881" s="126">
        <f t="shared" si="640"/>
        <v>0</v>
      </c>
      <c r="I881" s="126">
        <f t="shared" si="640"/>
        <v>0</v>
      </c>
      <c r="J881" s="126">
        <f t="shared" si="640"/>
        <v>0</v>
      </c>
      <c r="K881" s="126">
        <f t="shared" si="640"/>
        <v>0</v>
      </c>
      <c r="L881" s="126">
        <f t="shared" si="640"/>
        <v>0</v>
      </c>
      <c r="M881" s="126">
        <f t="shared" si="640"/>
        <v>0</v>
      </c>
      <c r="N881" s="126">
        <f t="shared" si="640"/>
        <v>0.0800703976407835</v>
      </c>
      <c r="O881" s="126">
        <f t="shared" si="640"/>
        <v>0.0622031053512713</v>
      </c>
      <c r="P881" s="126">
        <f t="shared" si="640"/>
        <v>0.0486417126639562</v>
      </c>
      <c r="Q881" s="126">
        <f t="shared" si="640"/>
        <v>0.0451441026108454</v>
      </c>
    </row>
    <row r="882" ht="24" customHeight="1" spans="1:17">
      <c r="A882" s="99" t="s">
        <v>346</v>
      </c>
      <c r="B882" s="99" t="s">
        <v>299</v>
      </c>
      <c r="C882" s="99" t="s">
        <v>344</v>
      </c>
      <c r="D882" s="47" t="s">
        <v>321</v>
      </c>
      <c r="E882" s="47" t="s">
        <v>160</v>
      </c>
      <c r="F882" s="126">
        <f t="shared" ref="F882:Q882" si="641">IFERROR(F877/F860,"-")</f>
        <v>0</v>
      </c>
      <c r="G882" s="126">
        <f t="shared" si="641"/>
        <v>0</v>
      </c>
      <c r="H882" s="126">
        <f t="shared" si="641"/>
        <v>0</v>
      </c>
      <c r="I882" s="126">
        <f t="shared" si="641"/>
        <v>0</v>
      </c>
      <c r="J882" s="126">
        <f t="shared" si="641"/>
        <v>0</v>
      </c>
      <c r="K882" s="126">
        <f t="shared" si="641"/>
        <v>0</v>
      </c>
      <c r="L882" s="126">
        <f t="shared" si="641"/>
        <v>0</v>
      </c>
      <c r="M882" s="126">
        <f t="shared" si="641"/>
        <v>0</v>
      </c>
      <c r="N882" s="126">
        <f t="shared" si="641"/>
        <v>0</v>
      </c>
      <c r="O882" s="126">
        <f t="shared" si="641"/>
        <v>0</v>
      </c>
      <c r="P882" s="126">
        <f t="shared" si="641"/>
        <v>0</v>
      </c>
      <c r="Q882" s="126">
        <f t="shared" si="641"/>
        <v>0</v>
      </c>
    </row>
    <row r="883" ht="24" customHeight="1" spans="1:17">
      <c r="A883" s="99" t="s">
        <v>346</v>
      </c>
      <c r="B883" s="99" t="s">
        <v>299</v>
      </c>
      <c r="C883" s="99" t="s">
        <v>343</v>
      </c>
      <c r="D883" s="114" t="s">
        <v>292</v>
      </c>
      <c r="E883" s="53" t="s">
        <v>326</v>
      </c>
      <c r="F883" s="123">
        <f t="shared" ref="F883:F908" si="642">F811</f>
        <v>0.030766</v>
      </c>
      <c r="G883" s="123">
        <f t="shared" ref="G883:Q883" si="643">F883+G811</f>
        <v>0.148273</v>
      </c>
      <c r="H883" s="123">
        <f t="shared" si="643"/>
        <v>0.206824</v>
      </c>
      <c r="I883" s="123">
        <f t="shared" si="643"/>
        <v>0.211182</v>
      </c>
      <c r="J883" s="123">
        <f t="shared" si="643"/>
        <v>0.211182</v>
      </c>
      <c r="K883" s="123">
        <f t="shared" si="643"/>
        <v>0.266407</v>
      </c>
      <c r="L883" s="123">
        <f t="shared" si="643"/>
        <v>0.283995</v>
      </c>
      <c r="M883" s="123">
        <f t="shared" si="643"/>
        <v>0.301163</v>
      </c>
      <c r="N883" s="123">
        <f t="shared" si="643"/>
        <v>0.40197</v>
      </c>
      <c r="O883" s="123">
        <f t="shared" si="643"/>
        <v>0.719304</v>
      </c>
      <c r="P883" s="123">
        <f t="shared" si="643"/>
        <v>0.79878</v>
      </c>
      <c r="Q883" s="123">
        <f t="shared" si="643"/>
        <v>0.87819</v>
      </c>
    </row>
    <row r="884" ht="24" customHeight="1" spans="1:17">
      <c r="A884" s="99" t="s">
        <v>346</v>
      </c>
      <c r="B884" s="99" t="s">
        <v>299</v>
      </c>
      <c r="C884" s="99" t="s">
        <v>343</v>
      </c>
      <c r="D884" s="114" t="s">
        <v>292</v>
      </c>
      <c r="E884" s="53" t="s">
        <v>327</v>
      </c>
      <c r="F884" s="123">
        <f t="shared" si="642"/>
        <v>0.0200800000000001</v>
      </c>
      <c r="G884" s="123">
        <f t="shared" ref="G884:Q884" si="644">F884+G812</f>
        <v>0.0200800000000001</v>
      </c>
      <c r="H884" s="123">
        <f t="shared" si="644"/>
        <v>0.0200800000000001</v>
      </c>
      <c r="I884" s="123">
        <f t="shared" si="644"/>
        <v>0.0200800000000001</v>
      </c>
      <c r="J884" s="123">
        <f t="shared" si="644"/>
        <v>0.0277220000000001</v>
      </c>
      <c r="K884" s="123">
        <f t="shared" si="644"/>
        <v>0.0277220000000001</v>
      </c>
      <c r="L884" s="123">
        <f t="shared" si="644"/>
        <v>0.0290120000000001</v>
      </c>
      <c r="M884" s="123">
        <f t="shared" si="644"/>
        <v>0.105262</v>
      </c>
      <c r="N884" s="123">
        <f t="shared" si="644"/>
        <v>0.116916</v>
      </c>
      <c r="O884" s="123">
        <f t="shared" si="644"/>
        <v>0.127479</v>
      </c>
      <c r="P884" s="123">
        <f t="shared" si="644"/>
        <v>0.139193</v>
      </c>
      <c r="Q884" s="123">
        <f t="shared" si="644"/>
        <v>0.139193</v>
      </c>
    </row>
    <row r="885" ht="24" customHeight="1" spans="1:17">
      <c r="A885" s="99" t="s">
        <v>346</v>
      </c>
      <c r="B885" s="99" t="s">
        <v>299</v>
      </c>
      <c r="C885" s="99" t="s">
        <v>343</v>
      </c>
      <c r="D885" s="114" t="s">
        <v>292</v>
      </c>
      <c r="E885" s="53" t="s">
        <v>328</v>
      </c>
      <c r="F885" s="123">
        <f t="shared" si="642"/>
        <v>0</v>
      </c>
      <c r="G885" s="123">
        <f t="shared" ref="G885:Q885" si="645">F885+G813</f>
        <v>0</v>
      </c>
      <c r="H885" s="123">
        <f t="shared" si="645"/>
        <v>0</v>
      </c>
      <c r="I885" s="123">
        <f t="shared" si="645"/>
        <v>0</v>
      </c>
      <c r="J885" s="123">
        <f t="shared" si="645"/>
        <v>0</v>
      </c>
      <c r="K885" s="123">
        <f t="shared" si="645"/>
        <v>0</v>
      </c>
      <c r="L885" s="123">
        <f t="shared" si="645"/>
        <v>0</v>
      </c>
      <c r="M885" s="123">
        <f t="shared" si="645"/>
        <v>0</v>
      </c>
      <c r="N885" s="123">
        <f t="shared" si="645"/>
        <v>0</v>
      </c>
      <c r="O885" s="123">
        <f t="shared" si="645"/>
        <v>0</v>
      </c>
      <c r="P885" s="123">
        <f t="shared" si="645"/>
        <v>0</v>
      </c>
      <c r="Q885" s="123">
        <f t="shared" si="645"/>
        <v>0</v>
      </c>
    </row>
    <row r="886" ht="24" customHeight="1" spans="1:17">
      <c r="A886" s="99" t="s">
        <v>346</v>
      </c>
      <c r="B886" s="99" t="s">
        <v>299</v>
      </c>
      <c r="C886" s="99" t="s">
        <v>343</v>
      </c>
      <c r="D886" s="53" t="s">
        <v>326</v>
      </c>
      <c r="E886" s="53" t="s">
        <v>93</v>
      </c>
      <c r="F886" s="123">
        <f t="shared" si="642"/>
        <v>0.017676</v>
      </c>
      <c r="G886" s="123">
        <f t="shared" ref="G886:Q886" si="646">F886+G814</f>
        <v>0.130844</v>
      </c>
      <c r="H886" s="123">
        <f t="shared" si="646"/>
        <v>0.178702</v>
      </c>
      <c r="I886" s="123">
        <f t="shared" si="646"/>
        <v>0.178702</v>
      </c>
      <c r="J886" s="123">
        <f t="shared" si="646"/>
        <v>0.178702</v>
      </c>
      <c r="K886" s="123">
        <f t="shared" si="646"/>
        <v>0.227355</v>
      </c>
      <c r="L886" s="123">
        <f t="shared" si="646"/>
        <v>0.227355</v>
      </c>
      <c r="M886" s="123">
        <f t="shared" si="646"/>
        <v>0.238316</v>
      </c>
      <c r="N886" s="123">
        <f t="shared" si="646"/>
        <v>0.276487</v>
      </c>
      <c r="O886" s="123">
        <f t="shared" si="646"/>
        <v>0.496373</v>
      </c>
      <c r="P886" s="123">
        <f t="shared" si="646"/>
        <v>0.558773</v>
      </c>
      <c r="Q886" s="123">
        <f t="shared" si="646"/>
        <v>0.608931</v>
      </c>
    </row>
    <row r="887" ht="24" customHeight="1" spans="1:17">
      <c r="A887" s="99" t="s">
        <v>346</v>
      </c>
      <c r="B887" s="99" t="s">
        <v>299</v>
      </c>
      <c r="C887" s="99" t="s">
        <v>343</v>
      </c>
      <c r="D887" s="53" t="s">
        <v>326</v>
      </c>
      <c r="E887" s="53" t="s">
        <v>85</v>
      </c>
      <c r="F887" s="123">
        <f t="shared" si="642"/>
        <v>0.01309</v>
      </c>
      <c r="G887" s="123">
        <f t="shared" ref="G887:Q887" si="647">F887+G815</f>
        <v>0.017429</v>
      </c>
      <c r="H887" s="123">
        <f t="shared" si="647"/>
        <v>0.0281219999999999</v>
      </c>
      <c r="I887" s="123">
        <f t="shared" si="647"/>
        <v>0.0281219999999999</v>
      </c>
      <c r="J887" s="123">
        <f t="shared" si="647"/>
        <v>0.0281219999999999</v>
      </c>
      <c r="K887" s="123">
        <f t="shared" si="647"/>
        <v>0.0346939999999999</v>
      </c>
      <c r="L887" s="123">
        <f t="shared" si="647"/>
        <v>0.0346939999999999</v>
      </c>
      <c r="M887" s="123">
        <f t="shared" si="647"/>
        <v>0.0409009999999999</v>
      </c>
      <c r="N887" s="123">
        <f t="shared" si="647"/>
        <v>0.0435949999999999</v>
      </c>
      <c r="O887" s="123">
        <f t="shared" si="647"/>
        <v>0.0484329999999999</v>
      </c>
      <c r="P887" s="123">
        <f t="shared" si="647"/>
        <v>0.0655089999999998</v>
      </c>
      <c r="Q887" s="123">
        <f t="shared" si="647"/>
        <v>0.0666039999999998</v>
      </c>
    </row>
    <row r="888" ht="24" customHeight="1" spans="1:17">
      <c r="A888" s="99" t="s">
        <v>346</v>
      </c>
      <c r="B888" s="99" t="s">
        <v>299</v>
      </c>
      <c r="C888" s="99" t="s">
        <v>343</v>
      </c>
      <c r="D888" s="53" t="s">
        <v>326</v>
      </c>
      <c r="E888" s="53" t="s">
        <v>81</v>
      </c>
      <c r="F888" s="123">
        <f t="shared" si="642"/>
        <v>0</v>
      </c>
      <c r="G888" s="123">
        <f t="shared" ref="G888:Q888" si="648">F888+G816</f>
        <v>0</v>
      </c>
      <c r="H888" s="123">
        <f t="shared" si="648"/>
        <v>0</v>
      </c>
      <c r="I888" s="123">
        <f t="shared" si="648"/>
        <v>0.00435799999999999</v>
      </c>
      <c r="J888" s="123">
        <f t="shared" si="648"/>
        <v>0.00435799999999999</v>
      </c>
      <c r="K888" s="123">
        <f t="shared" si="648"/>
        <v>0.00435799999999999</v>
      </c>
      <c r="L888" s="123">
        <f t="shared" si="648"/>
        <v>0.021946</v>
      </c>
      <c r="M888" s="123">
        <f t="shared" si="648"/>
        <v>0.021946</v>
      </c>
      <c r="N888" s="123">
        <f t="shared" si="648"/>
        <v>0.0818880000000001</v>
      </c>
      <c r="O888" s="123">
        <f t="shared" si="648"/>
        <v>0.174498</v>
      </c>
      <c r="P888" s="123">
        <f t="shared" si="648"/>
        <v>0.174498</v>
      </c>
      <c r="Q888" s="123">
        <f t="shared" si="648"/>
        <v>0.202655</v>
      </c>
    </row>
    <row r="889" ht="24" customHeight="1" spans="1:17">
      <c r="A889" s="99" t="s">
        <v>346</v>
      </c>
      <c r="B889" s="99" t="s">
        <v>299</v>
      </c>
      <c r="C889" s="99" t="s">
        <v>343</v>
      </c>
      <c r="D889" s="53" t="s">
        <v>326</v>
      </c>
      <c r="E889" s="53" t="s">
        <v>96</v>
      </c>
      <c r="F889" s="123">
        <f t="shared" si="642"/>
        <v>0</v>
      </c>
      <c r="G889" s="123">
        <f t="shared" ref="G889:Q889" si="649">F889+G817</f>
        <v>0</v>
      </c>
      <c r="H889" s="123">
        <f t="shared" si="649"/>
        <v>0</v>
      </c>
      <c r="I889" s="123">
        <f t="shared" si="649"/>
        <v>0</v>
      </c>
      <c r="J889" s="123">
        <f t="shared" si="649"/>
        <v>0</v>
      </c>
      <c r="K889" s="123">
        <f t="shared" si="649"/>
        <v>0</v>
      </c>
      <c r="L889" s="123">
        <f t="shared" si="649"/>
        <v>0</v>
      </c>
      <c r="M889" s="123">
        <f t="shared" si="649"/>
        <v>0</v>
      </c>
      <c r="N889" s="123">
        <f t="shared" si="649"/>
        <v>0</v>
      </c>
      <c r="O889" s="123">
        <f t="shared" si="649"/>
        <v>0</v>
      </c>
      <c r="P889" s="123">
        <f t="shared" si="649"/>
        <v>0</v>
      </c>
      <c r="Q889" s="123">
        <f t="shared" si="649"/>
        <v>0</v>
      </c>
    </row>
    <row r="890" ht="24" customHeight="1" spans="1:17">
      <c r="A890" s="99" t="s">
        <v>346</v>
      </c>
      <c r="B890" s="99" t="s">
        <v>299</v>
      </c>
      <c r="C890" s="99" t="s">
        <v>343</v>
      </c>
      <c r="D890" s="53" t="s">
        <v>326</v>
      </c>
      <c r="E890" s="53" t="s">
        <v>160</v>
      </c>
      <c r="F890" s="123">
        <f t="shared" si="642"/>
        <v>0</v>
      </c>
      <c r="G890" s="123">
        <f t="shared" ref="G890:Q890" si="650">F890+G818</f>
        <v>0</v>
      </c>
      <c r="H890" s="123">
        <f t="shared" si="650"/>
        <v>0</v>
      </c>
      <c r="I890" s="123">
        <f t="shared" si="650"/>
        <v>0</v>
      </c>
      <c r="J890" s="123">
        <f t="shared" si="650"/>
        <v>0</v>
      </c>
      <c r="K890" s="123">
        <f t="shared" si="650"/>
        <v>0</v>
      </c>
      <c r="L890" s="123">
        <f t="shared" si="650"/>
        <v>0</v>
      </c>
      <c r="M890" s="123">
        <f t="shared" si="650"/>
        <v>0</v>
      </c>
      <c r="N890" s="123">
        <f t="shared" si="650"/>
        <v>0</v>
      </c>
      <c r="O890" s="123">
        <f t="shared" si="650"/>
        <v>0</v>
      </c>
      <c r="P890" s="123">
        <f t="shared" si="650"/>
        <v>0</v>
      </c>
      <c r="Q890" s="123">
        <f t="shared" si="650"/>
        <v>0</v>
      </c>
    </row>
    <row r="891" ht="24" customHeight="1" spans="1:17">
      <c r="A891" s="99" t="s">
        <v>346</v>
      </c>
      <c r="B891" s="99" t="s">
        <v>299</v>
      </c>
      <c r="C891" s="99" t="s">
        <v>343</v>
      </c>
      <c r="D891" s="53" t="s">
        <v>327</v>
      </c>
      <c r="E891" s="53" t="s">
        <v>93</v>
      </c>
      <c r="F891" s="123">
        <f t="shared" si="642"/>
        <v>0.0102</v>
      </c>
      <c r="G891" s="123">
        <f t="shared" ref="G891:Q891" si="651">F891+G819</f>
        <v>0.0102</v>
      </c>
      <c r="H891" s="123">
        <f t="shared" si="651"/>
        <v>0.0102</v>
      </c>
      <c r="I891" s="123">
        <f t="shared" si="651"/>
        <v>0.0102</v>
      </c>
      <c r="J891" s="123">
        <f t="shared" si="651"/>
        <v>0.010859</v>
      </c>
      <c r="K891" s="123">
        <f t="shared" si="651"/>
        <v>0.010859</v>
      </c>
      <c r="L891" s="123">
        <f t="shared" si="651"/>
        <v>0.012149</v>
      </c>
      <c r="M891" s="123">
        <f t="shared" si="651"/>
        <v>0.0883989999999998</v>
      </c>
      <c r="N891" s="123">
        <f t="shared" si="651"/>
        <v>0.100053</v>
      </c>
      <c r="O891" s="123">
        <f t="shared" si="651"/>
        <v>0.100053</v>
      </c>
      <c r="P891" s="123">
        <f t="shared" si="651"/>
        <v>0.111767</v>
      </c>
      <c r="Q891" s="123">
        <f t="shared" si="651"/>
        <v>0.111767</v>
      </c>
    </row>
    <row r="892" ht="24" customHeight="1" spans="1:17">
      <c r="A892" s="99" t="s">
        <v>346</v>
      </c>
      <c r="B892" s="99" t="s">
        <v>299</v>
      </c>
      <c r="C892" s="99" t="s">
        <v>343</v>
      </c>
      <c r="D892" s="53" t="s">
        <v>327</v>
      </c>
      <c r="E892" s="53" t="s">
        <v>85</v>
      </c>
      <c r="F892" s="123">
        <f t="shared" si="642"/>
        <v>0.00988000000000011</v>
      </c>
      <c r="G892" s="123">
        <f t="shared" ref="G892:Q892" si="652">F892+G820</f>
        <v>0.00988000000000011</v>
      </c>
      <c r="H892" s="123">
        <f t="shared" si="652"/>
        <v>0.00988000000000011</v>
      </c>
      <c r="I892" s="123">
        <f t="shared" si="652"/>
        <v>0.00988000000000011</v>
      </c>
      <c r="J892" s="123">
        <f t="shared" si="652"/>
        <v>0.0168630000000001</v>
      </c>
      <c r="K892" s="123">
        <f t="shared" si="652"/>
        <v>0.0168630000000001</v>
      </c>
      <c r="L892" s="123">
        <f t="shared" si="652"/>
        <v>0.0168630000000001</v>
      </c>
      <c r="M892" s="123">
        <f t="shared" si="652"/>
        <v>0.0168630000000001</v>
      </c>
      <c r="N892" s="123">
        <f t="shared" si="652"/>
        <v>0.0168630000000001</v>
      </c>
      <c r="O892" s="123">
        <f t="shared" si="652"/>
        <v>0.0255800000000001</v>
      </c>
      <c r="P892" s="123">
        <f t="shared" si="652"/>
        <v>0.0255800000000001</v>
      </c>
      <c r="Q892" s="123">
        <f t="shared" si="652"/>
        <v>0.0255800000000001</v>
      </c>
    </row>
    <row r="893" ht="24" customHeight="1" spans="1:17">
      <c r="A893" s="99" t="s">
        <v>346</v>
      </c>
      <c r="B893" s="99" t="s">
        <v>299</v>
      </c>
      <c r="C893" s="99" t="s">
        <v>343</v>
      </c>
      <c r="D893" s="53" t="s">
        <v>327</v>
      </c>
      <c r="E893" s="53" t="s">
        <v>81</v>
      </c>
      <c r="F893" s="123">
        <f t="shared" si="642"/>
        <v>0</v>
      </c>
      <c r="G893" s="123">
        <f t="shared" ref="G893:Q893" si="653">F893+G821</f>
        <v>0</v>
      </c>
      <c r="H893" s="123">
        <f t="shared" si="653"/>
        <v>0</v>
      </c>
      <c r="I893" s="123">
        <f t="shared" si="653"/>
        <v>0</v>
      </c>
      <c r="J893" s="123">
        <f t="shared" si="653"/>
        <v>0</v>
      </c>
      <c r="K893" s="123">
        <f t="shared" si="653"/>
        <v>0</v>
      </c>
      <c r="L893" s="123">
        <f t="shared" si="653"/>
        <v>0</v>
      </c>
      <c r="M893" s="123">
        <f t="shared" si="653"/>
        <v>0</v>
      </c>
      <c r="N893" s="123">
        <f t="shared" si="653"/>
        <v>0</v>
      </c>
      <c r="O893" s="123">
        <f t="shared" si="653"/>
        <v>0.00184599999999998</v>
      </c>
      <c r="P893" s="123">
        <f t="shared" si="653"/>
        <v>0.00184599999999998</v>
      </c>
      <c r="Q893" s="123">
        <f t="shared" si="653"/>
        <v>0.00184599999999998</v>
      </c>
    </row>
    <row r="894" ht="24" customHeight="1" spans="1:17">
      <c r="A894" s="99" t="s">
        <v>346</v>
      </c>
      <c r="B894" s="99" t="s">
        <v>299</v>
      </c>
      <c r="C894" s="99" t="s">
        <v>343</v>
      </c>
      <c r="D894" s="53" t="s">
        <v>327</v>
      </c>
      <c r="E894" s="53" t="s">
        <v>96</v>
      </c>
      <c r="F894" s="123">
        <f t="shared" si="642"/>
        <v>0</v>
      </c>
      <c r="G894" s="123">
        <f t="shared" ref="G894:Q894" si="654">F894+G822</f>
        <v>0</v>
      </c>
      <c r="H894" s="123">
        <f t="shared" si="654"/>
        <v>0</v>
      </c>
      <c r="I894" s="123">
        <f t="shared" si="654"/>
        <v>0</v>
      </c>
      <c r="J894" s="123">
        <f t="shared" si="654"/>
        <v>0</v>
      </c>
      <c r="K894" s="123">
        <f t="shared" si="654"/>
        <v>0</v>
      </c>
      <c r="L894" s="123">
        <f t="shared" si="654"/>
        <v>0</v>
      </c>
      <c r="M894" s="123">
        <f t="shared" si="654"/>
        <v>0</v>
      </c>
      <c r="N894" s="123">
        <f t="shared" si="654"/>
        <v>0</v>
      </c>
      <c r="O894" s="123">
        <f t="shared" si="654"/>
        <v>0</v>
      </c>
      <c r="P894" s="123">
        <f t="shared" si="654"/>
        <v>0</v>
      </c>
      <c r="Q894" s="123">
        <f t="shared" si="654"/>
        <v>0</v>
      </c>
    </row>
    <row r="895" ht="24" customHeight="1" spans="1:17">
      <c r="A895" s="99" t="s">
        <v>346</v>
      </c>
      <c r="B895" s="99" t="s">
        <v>299</v>
      </c>
      <c r="C895" s="99" t="s">
        <v>343</v>
      </c>
      <c r="D895" s="53" t="s">
        <v>327</v>
      </c>
      <c r="E895" s="53" t="s">
        <v>160</v>
      </c>
      <c r="F895" s="123">
        <f t="shared" si="642"/>
        <v>0</v>
      </c>
      <c r="G895" s="123">
        <f t="shared" ref="G895:Q895" si="655">F895+G823</f>
        <v>0</v>
      </c>
      <c r="H895" s="123">
        <f t="shared" si="655"/>
        <v>0</v>
      </c>
      <c r="I895" s="123">
        <f t="shared" si="655"/>
        <v>0</v>
      </c>
      <c r="J895" s="123">
        <f t="shared" si="655"/>
        <v>0</v>
      </c>
      <c r="K895" s="123">
        <f t="shared" si="655"/>
        <v>0</v>
      </c>
      <c r="L895" s="123">
        <f t="shared" si="655"/>
        <v>0</v>
      </c>
      <c r="M895" s="123">
        <f t="shared" si="655"/>
        <v>0</v>
      </c>
      <c r="N895" s="123">
        <f t="shared" si="655"/>
        <v>0</v>
      </c>
      <c r="O895" s="123">
        <f t="shared" si="655"/>
        <v>0</v>
      </c>
      <c r="P895" s="123">
        <f t="shared" si="655"/>
        <v>0</v>
      </c>
      <c r="Q895" s="123">
        <f t="shared" si="655"/>
        <v>0</v>
      </c>
    </row>
    <row r="896" ht="24" customHeight="1" spans="1:17">
      <c r="A896" s="99" t="s">
        <v>346</v>
      </c>
      <c r="B896" s="99" t="s">
        <v>299</v>
      </c>
      <c r="C896" s="99" t="s">
        <v>344</v>
      </c>
      <c r="D896" s="114" t="s">
        <v>292</v>
      </c>
      <c r="E896" s="122" t="s">
        <v>326</v>
      </c>
      <c r="F896" s="124">
        <f t="shared" si="642"/>
        <v>0.030766</v>
      </c>
      <c r="G896" s="124">
        <f t="shared" ref="G896:Q896" si="656">F896+G824</f>
        <v>0.148273</v>
      </c>
      <c r="H896" s="124">
        <f t="shared" si="656"/>
        <v>0.206824</v>
      </c>
      <c r="I896" s="124">
        <f t="shared" si="656"/>
        <v>0.211182</v>
      </c>
      <c r="J896" s="124">
        <f t="shared" si="656"/>
        <v>0.211182</v>
      </c>
      <c r="K896" s="124">
        <f t="shared" si="656"/>
        <v>0.266407</v>
      </c>
      <c r="L896" s="124">
        <f t="shared" si="656"/>
        <v>0.283995</v>
      </c>
      <c r="M896" s="124">
        <f t="shared" si="656"/>
        <v>0.301163</v>
      </c>
      <c r="N896" s="124">
        <f t="shared" si="656"/>
        <v>0.40197</v>
      </c>
      <c r="O896" s="124">
        <f t="shared" si="656"/>
        <v>0.719304</v>
      </c>
      <c r="P896" s="124">
        <f t="shared" si="656"/>
        <v>0.79878</v>
      </c>
      <c r="Q896" s="124">
        <f t="shared" si="656"/>
        <v>0.87819</v>
      </c>
    </row>
    <row r="897" ht="24" customHeight="1" spans="1:17">
      <c r="A897" s="99" t="s">
        <v>346</v>
      </c>
      <c r="B897" s="99" t="s">
        <v>299</v>
      </c>
      <c r="C897" s="99" t="s">
        <v>344</v>
      </c>
      <c r="D897" s="114" t="s">
        <v>292</v>
      </c>
      <c r="E897" s="122" t="s">
        <v>327</v>
      </c>
      <c r="F897" s="124">
        <f t="shared" si="642"/>
        <v>0.0200800000000001</v>
      </c>
      <c r="G897" s="124">
        <f t="shared" ref="G897:Q897" si="657">F897+G825</f>
        <v>0.0200800000000001</v>
      </c>
      <c r="H897" s="124">
        <f t="shared" si="657"/>
        <v>0.0200800000000001</v>
      </c>
      <c r="I897" s="124">
        <f t="shared" si="657"/>
        <v>0.0200800000000001</v>
      </c>
      <c r="J897" s="124">
        <f t="shared" si="657"/>
        <v>0.0277220000000001</v>
      </c>
      <c r="K897" s="124">
        <f t="shared" si="657"/>
        <v>0.0277220000000001</v>
      </c>
      <c r="L897" s="124">
        <f t="shared" si="657"/>
        <v>0.0290120000000001</v>
      </c>
      <c r="M897" s="124">
        <f t="shared" si="657"/>
        <v>0.105262</v>
      </c>
      <c r="N897" s="124">
        <f t="shared" si="657"/>
        <v>0.116916</v>
      </c>
      <c r="O897" s="124">
        <f t="shared" si="657"/>
        <v>0.127479</v>
      </c>
      <c r="P897" s="124">
        <f t="shared" si="657"/>
        <v>0.139193</v>
      </c>
      <c r="Q897" s="124">
        <f t="shared" si="657"/>
        <v>0.139193</v>
      </c>
    </row>
    <row r="898" ht="24" customHeight="1" spans="1:17">
      <c r="A898" s="99" t="s">
        <v>346</v>
      </c>
      <c r="B898" s="99" t="s">
        <v>299</v>
      </c>
      <c r="C898" s="99" t="s">
        <v>344</v>
      </c>
      <c r="D898" s="114" t="s">
        <v>292</v>
      </c>
      <c r="E898" s="122" t="s">
        <v>328</v>
      </c>
      <c r="F898" s="124">
        <f t="shared" si="642"/>
        <v>0</v>
      </c>
      <c r="G898" s="124">
        <f t="shared" ref="G898:Q898" si="658">F898+G826</f>
        <v>0</v>
      </c>
      <c r="H898" s="124">
        <f t="shared" si="658"/>
        <v>0</v>
      </c>
      <c r="I898" s="124">
        <f t="shared" si="658"/>
        <v>0</v>
      </c>
      <c r="J898" s="124">
        <f t="shared" si="658"/>
        <v>0</v>
      </c>
      <c r="K898" s="124">
        <f t="shared" si="658"/>
        <v>0</v>
      </c>
      <c r="L898" s="124">
        <f t="shared" si="658"/>
        <v>0</v>
      </c>
      <c r="M898" s="124">
        <f t="shared" si="658"/>
        <v>0</v>
      </c>
      <c r="N898" s="124">
        <f t="shared" si="658"/>
        <v>0</v>
      </c>
      <c r="O898" s="124">
        <f t="shared" si="658"/>
        <v>0</v>
      </c>
      <c r="P898" s="124">
        <f t="shared" si="658"/>
        <v>0</v>
      </c>
      <c r="Q898" s="124">
        <f t="shared" si="658"/>
        <v>0</v>
      </c>
    </row>
    <row r="899" ht="24" customHeight="1" spans="1:17">
      <c r="A899" s="99" t="s">
        <v>346</v>
      </c>
      <c r="B899" s="99" t="s">
        <v>299</v>
      </c>
      <c r="C899" s="99" t="s">
        <v>344</v>
      </c>
      <c r="D899" s="122" t="s">
        <v>326</v>
      </c>
      <c r="E899" s="122" t="s">
        <v>93</v>
      </c>
      <c r="F899" s="124">
        <f t="shared" si="642"/>
        <v>0.017676</v>
      </c>
      <c r="G899" s="124">
        <f t="shared" ref="G899:Q899" si="659">F899+G827</f>
        <v>0.130844</v>
      </c>
      <c r="H899" s="124">
        <f t="shared" si="659"/>
        <v>0.178702</v>
      </c>
      <c r="I899" s="124">
        <f t="shared" si="659"/>
        <v>0.178702</v>
      </c>
      <c r="J899" s="124">
        <f t="shared" si="659"/>
        <v>0.178702</v>
      </c>
      <c r="K899" s="124">
        <f t="shared" si="659"/>
        <v>0.227355</v>
      </c>
      <c r="L899" s="124">
        <f t="shared" si="659"/>
        <v>0.227355</v>
      </c>
      <c r="M899" s="124">
        <f t="shared" si="659"/>
        <v>0.238316</v>
      </c>
      <c r="N899" s="124">
        <f t="shared" si="659"/>
        <v>0.276487</v>
      </c>
      <c r="O899" s="124">
        <f t="shared" si="659"/>
        <v>0.496373</v>
      </c>
      <c r="P899" s="124">
        <f t="shared" si="659"/>
        <v>0.558773</v>
      </c>
      <c r="Q899" s="124">
        <f t="shared" si="659"/>
        <v>0.608931</v>
      </c>
    </row>
    <row r="900" ht="24" customHeight="1" spans="1:17">
      <c r="A900" s="99" t="s">
        <v>346</v>
      </c>
      <c r="B900" s="99" t="s">
        <v>299</v>
      </c>
      <c r="C900" s="99" t="s">
        <v>344</v>
      </c>
      <c r="D900" s="122" t="s">
        <v>326</v>
      </c>
      <c r="E900" s="122" t="s">
        <v>85</v>
      </c>
      <c r="F900" s="124">
        <f t="shared" si="642"/>
        <v>0.01309</v>
      </c>
      <c r="G900" s="124">
        <f t="shared" ref="G900:Q900" si="660">F900+G828</f>
        <v>0.017429</v>
      </c>
      <c r="H900" s="124">
        <f t="shared" si="660"/>
        <v>0.0281219999999999</v>
      </c>
      <c r="I900" s="124">
        <f t="shared" si="660"/>
        <v>0.0281219999999999</v>
      </c>
      <c r="J900" s="124">
        <f t="shared" si="660"/>
        <v>0.0281219999999999</v>
      </c>
      <c r="K900" s="124">
        <f t="shared" si="660"/>
        <v>0.0346939999999999</v>
      </c>
      <c r="L900" s="124">
        <f t="shared" si="660"/>
        <v>0.0346939999999999</v>
      </c>
      <c r="M900" s="124">
        <f t="shared" si="660"/>
        <v>0.0409009999999999</v>
      </c>
      <c r="N900" s="124">
        <f t="shared" si="660"/>
        <v>0.0435949999999999</v>
      </c>
      <c r="O900" s="124">
        <f t="shared" si="660"/>
        <v>0.0484329999999999</v>
      </c>
      <c r="P900" s="124">
        <f t="shared" si="660"/>
        <v>0.0655089999999998</v>
      </c>
      <c r="Q900" s="124">
        <f t="shared" si="660"/>
        <v>0.0666039999999998</v>
      </c>
    </row>
    <row r="901" ht="24" customHeight="1" spans="1:17">
      <c r="A901" s="99" t="s">
        <v>346</v>
      </c>
      <c r="B901" s="99" t="s">
        <v>299</v>
      </c>
      <c r="C901" s="99" t="s">
        <v>344</v>
      </c>
      <c r="D901" s="122" t="s">
        <v>326</v>
      </c>
      <c r="E901" s="122" t="s">
        <v>81</v>
      </c>
      <c r="F901" s="124">
        <f t="shared" si="642"/>
        <v>0</v>
      </c>
      <c r="G901" s="124">
        <f t="shared" ref="G901:Q901" si="661">F901+G829</f>
        <v>0</v>
      </c>
      <c r="H901" s="124">
        <f t="shared" si="661"/>
        <v>0</v>
      </c>
      <c r="I901" s="124">
        <f t="shared" si="661"/>
        <v>0.00435799999999999</v>
      </c>
      <c r="J901" s="124">
        <f t="shared" si="661"/>
        <v>0.00435799999999999</v>
      </c>
      <c r="K901" s="124">
        <f t="shared" si="661"/>
        <v>0.00435799999999999</v>
      </c>
      <c r="L901" s="124">
        <f t="shared" si="661"/>
        <v>0.021946</v>
      </c>
      <c r="M901" s="124">
        <f t="shared" si="661"/>
        <v>0.021946</v>
      </c>
      <c r="N901" s="124">
        <f t="shared" si="661"/>
        <v>0.0818880000000001</v>
      </c>
      <c r="O901" s="124">
        <f t="shared" si="661"/>
        <v>0.174498</v>
      </c>
      <c r="P901" s="124">
        <f t="shared" si="661"/>
        <v>0.174498</v>
      </c>
      <c r="Q901" s="124">
        <f t="shared" si="661"/>
        <v>0.202655</v>
      </c>
    </row>
    <row r="902" ht="24" customHeight="1" spans="1:17">
      <c r="A902" s="99" t="s">
        <v>346</v>
      </c>
      <c r="B902" s="99" t="s">
        <v>299</v>
      </c>
      <c r="C902" s="99" t="s">
        <v>344</v>
      </c>
      <c r="D902" s="122" t="s">
        <v>326</v>
      </c>
      <c r="E902" s="122" t="s">
        <v>96</v>
      </c>
      <c r="F902" s="124">
        <f t="shared" si="642"/>
        <v>0</v>
      </c>
      <c r="G902" s="124">
        <f t="shared" ref="G902:Q902" si="662">F902+G830</f>
        <v>0</v>
      </c>
      <c r="H902" s="124">
        <f t="shared" si="662"/>
        <v>0</v>
      </c>
      <c r="I902" s="124">
        <f t="shared" si="662"/>
        <v>0</v>
      </c>
      <c r="J902" s="124">
        <f t="shared" si="662"/>
        <v>0</v>
      </c>
      <c r="K902" s="124">
        <f t="shared" si="662"/>
        <v>0</v>
      </c>
      <c r="L902" s="124">
        <f t="shared" si="662"/>
        <v>0</v>
      </c>
      <c r="M902" s="124">
        <f t="shared" si="662"/>
        <v>0</v>
      </c>
      <c r="N902" s="124">
        <f t="shared" si="662"/>
        <v>0</v>
      </c>
      <c r="O902" s="124">
        <f t="shared" si="662"/>
        <v>0</v>
      </c>
      <c r="P902" s="124">
        <f t="shared" si="662"/>
        <v>0</v>
      </c>
      <c r="Q902" s="124">
        <f t="shared" si="662"/>
        <v>0</v>
      </c>
    </row>
    <row r="903" ht="24" customHeight="1" spans="1:17">
      <c r="A903" s="99" t="s">
        <v>346</v>
      </c>
      <c r="B903" s="99" t="s">
        <v>299</v>
      </c>
      <c r="C903" s="99" t="s">
        <v>344</v>
      </c>
      <c r="D903" s="122" t="s">
        <v>326</v>
      </c>
      <c r="E903" s="122" t="s">
        <v>160</v>
      </c>
      <c r="F903" s="124">
        <f t="shared" si="642"/>
        <v>0</v>
      </c>
      <c r="G903" s="124">
        <f t="shared" ref="G903:Q903" si="663">F903+G831</f>
        <v>0</v>
      </c>
      <c r="H903" s="124">
        <f t="shared" si="663"/>
        <v>0</v>
      </c>
      <c r="I903" s="124">
        <f t="shared" si="663"/>
        <v>0</v>
      </c>
      <c r="J903" s="124">
        <f t="shared" si="663"/>
        <v>0</v>
      </c>
      <c r="K903" s="124">
        <f t="shared" si="663"/>
        <v>0</v>
      </c>
      <c r="L903" s="124">
        <f t="shared" si="663"/>
        <v>0</v>
      </c>
      <c r="M903" s="124">
        <f t="shared" si="663"/>
        <v>0</v>
      </c>
      <c r="N903" s="124">
        <f t="shared" si="663"/>
        <v>0</v>
      </c>
      <c r="O903" s="124">
        <f t="shared" si="663"/>
        <v>0</v>
      </c>
      <c r="P903" s="124">
        <f t="shared" si="663"/>
        <v>0</v>
      </c>
      <c r="Q903" s="124">
        <f t="shared" si="663"/>
        <v>0</v>
      </c>
    </row>
    <row r="904" ht="24" customHeight="1" spans="1:17">
      <c r="A904" s="99" t="s">
        <v>346</v>
      </c>
      <c r="B904" s="99" t="s">
        <v>299</v>
      </c>
      <c r="C904" s="99" t="s">
        <v>344</v>
      </c>
      <c r="D904" s="122" t="s">
        <v>327</v>
      </c>
      <c r="E904" s="122" t="s">
        <v>93</v>
      </c>
      <c r="F904" s="124">
        <f t="shared" si="642"/>
        <v>0.0102</v>
      </c>
      <c r="G904" s="124">
        <f t="shared" ref="G904:Q904" si="664">F904+G832</f>
        <v>0.0102</v>
      </c>
      <c r="H904" s="124">
        <f t="shared" si="664"/>
        <v>0.0102</v>
      </c>
      <c r="I904" s="124">
        <f t="shared" si="664"/>
        <v>0.0102</v>
      </c>
      <c r="J904" s="124">
        <f t="shared" si="664"/>
        <v>0.010859</v>
      </c>
      <c r="K904" s="124">
        <f t="shared" si="664"/>
        <v>0.010859</v>
      </c>
      <c r="L904" s="124">
        <f t="shared" si="664"/>
        <v>0.012149</v>
      </c>
      <c r="M904" s="124">
        <f t="shared" si="664"/>
        <v>0.0883989999999998</v>
      </c>
      <c r="N904" s="124">
        <f t="shared" si="664"/>
        <v>0.100053</v>
      </c>
      <c r="O904" s="124">
        <f t="shared" si="664"/>
        <v>0.100053</v>
      </c>
      <c r="P904" s="124">
        <f t="shared" si="664"/>
        <v>0.111767</v>
      </c>
      <c r="Q904" s="124">
        <f t="shared" si="664"/>
        <v>0.111767</v>
      </c>
    </row>
    <row r="905" ht="24" customHeight="1" spans="1:17">
      <c r="A905" s="99" t="s">
        <v>346</v>
      </c>
      <c r="B905" s="99" t="s">
        <v>299</v>
      </c>
      <c r="C905" s="99" t="s">
        <v>344</v>
      </c>
      <c r="D905" s="122" t="s">
        <v>327</v>
      </c>
      <c r="E905" s="122" t="s">
        <v>85</v>
      </c>
      <c r="F905" s="124">
        <f t="shared" si="642"/>
        <v>0.00988000000000011</v>
      </c>
      <c r="G905" s="124">
        <f t="shared" ref="G905:Q905" si="665">F905+G833</f>
        <v>0.00988000000000011</v>
      </c>
      <c r="H905" s="124">
        <f t="shared" si="665"/>
        <v>0.00988000000000011</v>
      </c>
      <c r="I905" s="124">
        <f t="shared" si="665"/>
        <v>0.00988000000000011</v>
      </c>
      <c r="J905" s="124">
        <f t="shared" si="665"/>
        <v>0.0168630000000001</v>
      </c>
      <c r="K905" s="124">
        <f t="shared" si="665"/>
        <v>0.0168630000000001</v>
      </c>
      <c r="L905" s="124">
        <f t="shared" si="665"/>
        <v>0.0168630000000001</v>
      </c>
      <c r="M905" s="124">
        <f t="shared" si="665"/>
        <v>0.0168630000000001</v>
      </c>
      <c r="N905" s="124">
        <f t="shared" si="665"/>
        <v>0.0168630000000001</v>
      </c>
      <c r="O905" s="124">
        <f t="shared" si="665"/>
        <v>0.0255800000000001</v>
      </c>
      <c r="P905" s="124">
        <f t="shared" si="665"/>
        <v>0.0255800000000001</v>
      </c>
      <c r="Q905" s="124">
        <f t="shared" si="665"/>
        <v>0.0255800000000001</v>
      </c>
    </row>
    <row r="906" ht="24" customHeight="1" spans="1:17">
      <c r="A906" s="99" t="s">
        <v>346</v>
      </c>
      <c r="B906" s="99" t="s">
        <v>299</v>
      </c>
      <c r="C906" s="99" t="s">
        <v>344</v>
      </c>
      <c r="D906" s="122" t="s">
        <v>327</v>
      </c>
      <c r="E906" s="122" t="s">
        <v>81</v>
      </c>
      <c r="F906" s="124">
        <f t="shared" si="642"/>
        <v>0</v>
      </c>
      <c r="G906" s="124">
        <f t="shared" ref="G906:Q906" si="666">F906+G834</f>
        <v>0</v>
      </c>
      <c r="H906" s="124">
        <f t="shared" si="666"/>
        <v>0</v>
      </c>
      <c r="I906" s="124">
        <f t="shared" si="666"/>
        <v>0</v>
      </c>
      <c r="J906" s="124">
        <f t="shared" si="666"/>
        <v>0</v>
      </c>
      <c r="K906" s="124">
        <f t="shared" si="666"/>
        <v>0</v>
      </c>
      <c r="L906" s="124">
        <f t="shared" si="666"/>
        <v>0</v>
      </c>
      <c r="M906" s="124">
        <f t="shared" si="666"/>
        <v>0</v>
      </c>
      <c r="N906" s="124">
        <f t="shared" si="666"/>
        <v>0</v>
      </c>
      <c r="O906" s="124">
        <f t="shared" si="666"/>
        <v>0.00184599999999998</v>
      </c>
      <c r="P906" s="124">
        <f t="shared" si="666"/>
        <v>0.00184599999999998</v>
      </c>
      <c r="Q906" s="124">
        <f t="shared" si="666"/>
        <v>0.00184599999999998</v>
      </c>
    </row>
    <row r="907" ht="24" customHeight="1" spans="1:17">
      <c r="A907" s="99" t="s">
        <v>346</v>
      </c>
      <c r="B907" s="99" t="s">
        <v>299</v>
      </c>
      <c r="C907" s="99" t="s">
        <v>344</v>
      </c>
      <c r="D907" s="122" t="s">
        <v>327</v>
      </c>
      <c r="E907" s="122" t="s">
        <v>96</v>
      </c>
      <c r="F907" s="124">
        <f t="shared" si="642"/>
        <v>0</v>
      </c>
      <c r="G907" s="124">
        <f t="shared" ref="G907:Q907" si="667">F907+G835</f>
        <v>0</v>
      </c>
      <c r="H907" s="124">
        <f t="shared" si="667"/>
        <v>0</v>
      </c>
      <c r="I907" s="124">
        <f t="shared" si="667"/>
        <v>0</v>
      </c>
      <c r="J907" s="124">
        <f t="shared" si="667"/>
        <v>0</v>
      </c>
      <c r="K907" s="124">
        <f t="shared" si="667"/>
        <v>0</v>
      </c>
      <c r="L907" s="124">
        <f t="shared" si="667"/>
        <v>0</v>
      </c>
      <c r="M907" s="124">
        <f t="shared" si="667"/>
        <v>0</v>
      </c>
      <c r="N907" s="124">
        <f t="shared" si="667"/>
        <v>0</v>
      </c>
      <c r="O907" s="124">
        <f t="shared" si="667"/>
        <v>0</v>
      </c>
      <c r="P907" s="124">
        <f t="shared" si="667"/>
        <v>0</v>
      </c>
      <c r="Q907" s="124">
        <f t="shared" si="667"/>
        <v>0</v>
      </c>
    </row>
    <row r="908" ht="24" customHeight="1" spans="1:17">
      <c r="A908" s="99" t="s">
        <v>346</v>
      </c>
      <c r="B908" s="99" t="s">
        <v>299</v>
      </c>
      <c r="C908" s="99" t="s">
        <v>344</v>
      </c>
      <c r="D908" s="122" t="s">
        <v>327</v>
      </c>
      <c r="E908" s="122" t="s">
        <v>160</v>
      </c>
      <c r="F908" s="124">
        <f t="shared" si="642"/>
        <v>0</v>
      </c>
      <c r="G908" s="124">
        <f t="shared" ref="G908:Q908" si="668">F908+G836</f>
        <v>0</v>
      </c>
      <c r="H908" s="124">
        <f t="shared" si="668"/>
        <v>0</v>
      </c>
      <c r="I908" s="124">
        <f t="shared" si="668"/>
        <v>0</v>
      </c>
      <c r="J908" s="124">
        <f t="shared" si="668"/>
        <v>0</v>
      </c>
      <c r="K908" s="124">
        <f t="shared" si="668"/>
        <v>0</v>
      </c>
      <c r="L908" s="124">
        <f t="shared" si="668"/>
        <v>0</v>
      </c>
      <c r="M908" s="124">
        <f t="shared" si="668"/>
        <v>0</v>
      </c>
      <c r="N908" s="124">
        <f t="shared" si="668"/>
        <v>0</v>
      </c>
      <c r="O908" s="124">
        <f t="shared" si="668"/>
        <v>0</v>
      </c>
      <c r="P908" s="124">
        <f t="shared" si="668"/>
        <v>0</v>
      </c>
      <c r="Q908" s="124">
        <f t="shared" si="668"/>
        <v>0</v>
      </c>
    </row>
    <row r="909" ht="24" customHeight="1" spans="1:35">
      <c r="A909" s="99" t="s">
        <v>347</v>
      </c>
      <c r="B909" s="99" t="s">
        <v>290</v>
      </c>
      <c r="C909" s="99" t="s">
        <v>291</v>
      </c>
      <c r="D909" s="100" t="s">
        <v>292</v>
      </c>
      <c r="E909" s="100" t="s">
        <v>293</v>
      </c>
      <c r="F909" s="104">
        <f t="shared" ref="F909:Q909" si="669">IF((SUM(F910:F915)-MAX(F921,F925))&lt;0,"ERR",SUM(F910:F915))</f>
        <v>0</v>
      </c>
      <c r="G909" s="104">
        <f t="shared" si="669"/>
        <v>0</v>
      </c>
      <c r="H909" s="104">
        <f t="shared" si="669"/>
        <v>1</v>
      </c>
      <c r="I909" s="104">
        <f t="shared" si="669"/>
        <v>1</v>
      </c>
      <c r="J909" s="104">
        <f t="shared" si="669"/>
        <v>0</v>
      </c>
      <c r="K909" s="104">
        <f t="shared" si="669"/>
        <v>0</v>
      </c>
      <c r="L909" s="104">
        <f t="shared" si="669"/>
        <v>1</v>
      </c>
      <c r="M909" s="104">
        <f t="shared" si="669"/>
        <v>0</v>
      </c>
      <c r="N909" s="104">
        <f t="shared" si="669"/>
        <v>0</v>
      </c>
      <c r="O909" s="104">
        <f t="shared" si="669"/>
        <v>0</v>
      </c>
      <c r="P909" s="104">
        <f t="shared" si="669"/>
        <v>1</v>
      </c>
      <c r="Q909" s="104">
        <f t="shared" si="669"/>
        <v>0</v>
      </c>
      <c r="S909" s="108" t="s">
        <v>272</v>
      </c>
      <c r="T909" s="108" t="s">
        <v>273</v>
      </c>
      <c r="U909" s="108" t="s">
        <v>274</v>
      </c>
      <c r="V909" s="98" t="s">
        <v>275</v>
      </c>
      <c r="W909" s="98" t="s">
        <v>276</v>
      </c>
      <c r="X909" s="102" t="s">
        <v>277</v>
      </c>
      <c r="Y909" s="103" t="s">
        <v>278</v>
      </c>
      <c r="Z909" s="102" t="s">
        <v>279</v>
      </c>
      <c r="AA909" s="103" t="s">
        <v>280</v>
      </c>
      <c r="AB909" s="102" t="s">
        <v>281</v>
      </c>
      <c r="AC909" s="103" t="s">
        <v>282</v>
      </c>
      <c r="AD909" s="102" t="s">
        <v>283</v>
      </c>
      <c r="AE909" s="103" t="s">
        <v>284</v>
      </c>
      <c r="AF909" s="102" t="s">
        <v>285</v>
      </c>
      <c r="AG909" s="103" t="s">
        <v>286</v>
      </c>
      <c r="AH909" s="102" t="s">
        <v>287</v>
      </c>
      <c r="AI909" s="107" t="s">
        <v>288</v>
      </c>
    </row>
    <row r="910" ht="24" customHeight="1" spans="1:17">
      <c r="A910" s="99" t="s">
        <v>347</v>
      </c>
      <c r="B910" s="99" t="s">
        <v>290</v>
      </c>
      <c r="C910" s="99" t="s">
        <v>291</v>
      </c>
      <c r="D910" s="48" t="s">
        <v>31</v>
      </c>
      <c r="E910" s="48" t="s">
        <v>406</v>
      </c>
      <c r="F910" s="105">
        <f>COUNTIFS('2024数据'!$O$3:$O$152,"&gt;="&amp;DATE(2023,1,1),'2024数据'!$O$3:$O$152,"&lt;="&amp;DATE(2024,1,31),'2024数据'!$AE$3:$AE$152,$E910)</f>
        <v>0</v>
      </c>
      <c r="G910" s="105">
        <f>COUNTIFS('2024数据'!$O$3:$O$152,"&gt;="&amp;DATE(2024,2,1),'2024数据'!$O$3:$O$152,"&lt;="&amp;DATE(2024,2,29),'2024数据'!$AE$3:$AE$152,$E910)</f>
        <v>0</v>
      </c>
      <c r="H910" s="105">
        <f>COUNTIFS('2024数据'!$O$3:$O$152,"&gt;="&amp;DATE(2024,3,1),'2024数据'!$O$3:$O$152,"&lt;="&amp;DATE(2024,3,31),'2024数据'!$AE$3:$AE$152,$E910)</f>
        <v>1</v>
      </c>
      <c r="I910" s="105">
        <f>COUNTIFS('2024数据'!$O$3:$O$152,"&gt;="&amp;DATE(2024,4,1),'2024数据'!$O$3:$O$152,"&lt;="&amp;DATE(2024,4,30),'2024数据'!$AE$3:$AE$152,$E910)</f>
        <v>0</v>
      </c>
      <c r="J910" s="105">
        <f>COUNTIFS('2024数据'!$O$3:$O$152,"&gt;="&amp;DATE(2024,5,1),'2024数据'!$O$3:$O$152,"&lt;="&amp;DATE(2024,5,31),'2024数据'!$AE$3:$AE$152,$E910)</f>
        <v>0</v>
      </c>
      <c r="K910" s="105">
        <f>COUNTIFS('2024数据'!$O$3:$O$152,"&gt;="&amp;DATE(2024,6,1),'2024数据'!$O$3:$O$152,"&lt;="&amp;DATE(2024,6,30),'2024数据'!$AE$3:$AE$152,$E910)</f>
        <v>0</v>
      </c>
      <c r="L910" s="105">
        <f>COUNTIFS('2024数据'!$O$3:$O$152,"&gt;="&amp;DATE(2024,7,1),'2024数据'!$O$3:$O$152,"&lt;="&amp;DATE(2024,7,31),'2024数据'!$AE$3:$AE$152,$E910)</f>
        <v>0</v>
      </c>
      <c r="M910" s="105">
        <f>COUNTIFS('2024数据'!$O$3:$O$152,"&gt;="&amp;DATE(2024,8,1),'2024数据'!$O$3:$O$152,"&lt;="&amp;DATE(2024,8,31),'2024数据'!$AE$3:$AE$152,$E910)</f>
        <v>0</v>
      </c>
      <c r="N910" s="105">
        <f>COUNTIFS('2024数据'!$O$3:$O$152,"&gt;="&amp;DATE(2024,9,1),'2024数据'!$O$3:$O$152,"&lt;="&amp;DATE(2024,9,30),'2024数据'!$AE$3:$AE$152,$E910)</f>
        <v>0</v>
      </c>
      <c r="O910" s="105">
        <f>COUNTIFS('2024数据'!$O$3:$O$152,"&gt;="&amp;DATE(2024,10,1),'2024数据'!$O$3:$O$152,"&lt;="&amp;DATE(2024,10,31),'2024数据'!$AE$3:$AE$152,$E910)</f>
        <v>0</v>
      </c>
      <c r="P910" s="105">
        <f>COUNTIFS('2024数据'!$O$3:$O$152,"&gt;="&amp;DATE(2024,11,1),'2024数据'!$O$3:$O$152,"&lt;="&amp;DATE(2024,11,30),'2024数据'!$AE$3:$AE$152,$E910)</f>
        <v>0</v>
      </c>
      <c r="Q910" s="105">
        <f>COUNTIFS('2024数据'!$O$3:$O$152,"&gt;="&amp;DATE(2024,12,1),'2024数据'!$O$3:$O$152,"&lt;="&amp;DATE(2024,12,31),'2024数据'!$AE$3:$AE$152,$E910)</f>
        <v>0</v>
      </c>
    </row>
    <row r="911" ht="24" customHeight="1" spans="1:17">
      <c r="A911" s="99" t="s">
        <v>347</v>
      </c>
      <c r="B911" s="99" t="s">
        <v>290</v>
      </c>
      <c r="C911" s="99" t="s">
        <v>291</v>
      </c>
      <c r="D911" s="48" t="s">
        <v>31</v>
      </c>
      <c r="E911" s="48" t="s">
        <v>82</v>
      </c>
      <c r="F911" s="105">
        <f>COUNTIFS('2024数据'!$O$3:$O$152,"&gt;="&amp;DATE(2023,1,1),'2024数据'!$O$3:$O$152,"&lt;="&amp;DATE(2024,1,31),'2024数据'!$AE$3:$AE$152,$E911)</f>
        <v>0</v>
      </c>
      <c r="G911" s="105">
        <f>COUNTIFS('2024数据'!$O$3:$O$152,"&gt;="&amp;DATE(2024,2,1),'2024数据'!$O$3:$O$152,"&lt;="&amp;DATE(2024,2,29),'2024数据'!$AE$3:$AE$152,$E911)</f>
        <v>0</v>
      </c>
      <c r="H911" s="105">
        <f>COUNTIFS('2024数据'!$O$3:$O$152,"&gt;="&amp;DATE(2024,3,1),'2024数据'!$O$3:$O$152,"&lt;="&amp;DATE(2024,3,31),'2024数据'!$AE$3:$AE$152,$E911)</f>
        <v>0</v>
      </c>
      <c r="I911" s="105">
        <f>COUNTIFS('2024数据'!$O$3:$O$152,"&gt;="&amp;DATE(2024,4,1),'2024数据'!$O$3:$O$152,"&lt;="&amp;DATE(2024,4,30),'2024数据'!$AE$3:$AE$152,$E911)</f>
        <v>0</v>
      </c>
      <c r="J911" s="105">
        <f>COUNTIFS('2024数据'!$O$3:$O$152,"&gt;="&amp;DATE(2024,5,1),'2024数据'!$O$3:$O$152,"&lt;="&amp;DATE(2024,5,31),'2024数据'!$AE$3:$AE$152,$E911)</f>
        <v>0</v>
      </c>
      <c r="K911" s="105">
        <f>COUNTIFS('2024数据'!$O$3:$O$152,"&gt;="&amp;DATE(2024,6,1),'2024数据'!$O$3:$O$152,"&lt;="&amp;DATE(2024,6,30),'2024数据'!$AE$3:$AE$152,$E911)</f>
        <v>0</v>
      </c>
      <c r="L911" s="105">
        <f>COUNTIFS('2024数据'!$O$3:$O$152,"&gt;="&amp;DATE(2024,7,1),'2024数据'!$O$3:$O$152,"&lt;="&amp;DATE(2024,7,31),'2024数据'!$AE$3:$AE$152,$E911)</f>
        <v>0</v>
      </c>
      <c r="M911" s="105">
        <f>COUNTIFS('2024数据'!$O$3:$O$152,"&gt;="&amp;DATE(2024,8,1),'2024数据'!$O$3:$O$152,"&lt;="&amp;DATE(2024,8,31),'2024数据'!$AE$3:$AE$152,$E911)</f>
        <v>0</v>
      </c>
      <c r="N911" s="105">
        <f>COUNTIFS('2024数据'!$O$3:$O$152,"&gt;="&amp;DATE(2024,9,1),'2024数据'!$O$3:$O$152,"&lt;="&amp;DATE(2024,9,30),'2024数据'!$AE$3:$AE$152,$E911)</f>
        <v>0</v>
      </c>
      <c r="O911" s="105">
        <f>COUNTIFS('2024数据'!$O$3:$O$152,"&gt;="&amp;DATE(2024,10,1),'2024数据'!$O$3:$O$152,"&lt;="&amp;DATE(2024,10,31),'2024数据'!$AE$3:$AE$152,$E911)</f>
        <v>0</v>
      </c>
      <c r="P911" s="105">
        <f>COUNTIFS('2024数据'!$O$3:$O$152,"&gt;="&amp;DATE(2024,11,1),'2024数据'!$O$3:$O$152,"&lt;="&amp;DATE(2024,11,30),'2024数据'!$AE$3:$AE$152,$E911)</f>
        <v>0</v>
      </c>
      <c r="Q911" s="105">
        <f>COUNTIFS('2024数据'!$O$3:$O$152,"&gt;="&amp;DATE(2024,12,1),'2024数据'!$O$3:$O$152,"&lt;="&amp;DATE(2024,12,31),'2024数据'!$AE$3:$AE$152,$E911)</f>
        <v>0</v>
      </c>
    </row>
    <row r="912" ht="24" customHeight="1" spans="1:17">
      <c r="A912" s="99" t="s">
        <v>347</v>
      </c>
      <c r="B912" s="99" t="s">
        <v>290</v>
      </c>
      <c r="C912" s="99" t="s">
        <v>291</v>
      </c>
      <c r="D912" s="48" t="s">
        <v>31</v>
      </c>
      <c r="E912" s="48" t="s">
        <v>86</v>
      </c>
      <c r="F912" s="105">
        <f>COUNTIFS('2024数据'!$O$3:$O$152,"&gt;="&amp;DATE(2023,1,1),'2024数据'!$O$3:$O$152,"&lt;="&amp;DATE(2024,1,31),'2024数据'!$AE$3:$AE$152,$E912)</f>
        <v>0</v>
      </c>
      <c r="G912" s="105">
        <f>COUNTIFS('2024数据'!$O$3:$O$152,"&gt;="&amp;DATE(2024,2,1),'2024数据'!$O$3:$O$152,"&lt;="&amp;DATE(2024,2,29),'2024数据'!$AE$3:$AE$152,$E912)</f>
        <v>0</v>
      </c>
      <c r="H912" s="105">
        <f>COUNTIFS('2024数据'!$O$3:$O$152,"&gt;="&amp;DATE(2024,3,1),'2024数据'!$O$3:$O$152,"&lt;="&amp;DATE(2024,3,31),'2024数据'!$AE$3:$AE$152,$E912)</f>
        <v>0</v>
      </c>
      <c r="I912" s="105">
        <f>COUNTIFS('2024数据'!$O$3:$O$152,"&gt;="&amp;DATE(2024,4,1),'2024数据'!$O$3:$O$152,"&lt;="&amp;DATE(2024,4,30),'2024数据'!$AE$3:$AE$152,$E912)</f>
        <v>0</v>
      </c>
      <c r="J912" s="105">
        <f>COUNTIFS('2024数据'!$O$3:$O$152,"&gt;="&amp;DATE(2024,5,1),'2024数据'!$O$3:$O$152,"&lt;="&amp;DATE(2024,5,31),'2024数据'!$AE$3:$AE$152,$E912)</f>
        <v>0</v>
      </c>
      <c r="K912" s="105">
        <f>COUNTIFS('2024数据'!$O$3:$O$152,"&gt;="&amp;DATE(2024,6,1),'2024数据'!$O$3:$O$152,"&lt;="&amp;DATE(2024,6,30),'2024数据'!$AE$3:$AE$152,$E912)</f>
        <v>0</v>
      </c>
      <c r="L912" s="105">
        <f>COUNTIFS('2024数据'!$O$3:$O$152,"&gt;="&amp;DATE(2024,7,1),'2024数据'!$O$3:$O$152,"&lt;="&amp;DATE(2024,7,31),'2024数据'!$AE$3:$AE$152,$E912)</f>
        <v>0</v>
      </c>
      <c r="M912" s="105">
        <f>COUNTIFS('2024数据'!$O$3:$O$152,"&gt;="&amp;DATE(2024,8,1),'2024数据'!$O$3:$O$152,"&lt;="&amp;DATE(2024,8,31),'2024数据'!$AE$3:$AE$152,$E912)</f>
        <v>0</v>
      </c>
      <c r="N912" s="105">
        <f>COUNTIFS('2024数据'!$O$3:$O$152,"&gt;="&amp;DATE(2024,9,1),'2024数据'!$O$3:$O$152,"&lt;="&amp;DATE(2024,9,30),'2024数据'!$AE$3:$AE$152,$E912)</f>
        <v>0</v>
      </c>
      <c r="O912" s="105">
        <f>COUNTIFS('2024数据'!$O$3:$O$152,"&gt;="&amp;DATE(2024,10,1),'2024数据'!$O$3:$O$152,"&lt;="&amp;DATE(2024,10,31),'2024数据'!$AE$3:$AE$152,$E912)</f>
        <v>0</v>
      </c>
      <c r="P912" s="105">
        <f>COUNTIFS('2024数据'!$O$3:$O$152,"&gt;="&amp;DATE(2024,11,1),'2024数据'!$O$3:$O$152,"&lt;="&amp;DATE(2024,11,30),'2024数据'!$AE$3:$AE$152,$E912)</f>
        <v>0</v>
      </c>
      <c r="Q912" s="105">
        <f>COUNTIFS('2024数据'!$O$3:$O$152,"&gt;="&amp;DATE(2024,12,1),'2024数据'!$O$3:$O$152,"&lt;="&amp;DATE(2024,12,31),'2024数据'!$AE$3:$AE$152,$E912)</f>
        <v>0</v>
      </c>
    </row>
    <row r="913" ht="24" customHeight="1" spans="1:17">
      <c r="A913" s="99" t="s">
        <v>347</v>
      </c>
      <c r="B913" s="99" t="s">
        <v>290</v>
      </c>
      <c r="C913" s="99" t="s">
        <v>291</v>
      </c>
      <c r="D913" s="48" t="s">
        <v>31</v>
      </c>
      <c r="E913" s="48" t="s">
        <v>97</v>
      </c>
      <c r="F913" s="105">
        <f>COUNTIFS('2024数据'!$O$3:$O$152,"&gt;="&amp;DATE(2023,1,1),'2024数据'!$O$3:$O$152,"&lt;="&amp;DATE(2024,1,31),'2024数据'!$AE$3:$AE$152,$E913)</f>
        <v>0</v>
      </c>
      <c r="G913" s="105">
        <f>COUNTIFS('2024数据'!$O$3:$O$152,"&gt;="&amp;DATE(2024,2,1),'2024数据'!$O$3:$O$152,"&lt;="&amp;DATE(2024,2,29),'2024数据'!$AE$3:$AE$152,$E913)</f>
        <v>0</v>
      </c>
      <c r="H913" s="105">
        <f>COUNTIFS('2024数据'!$O$3:$O$152,"&gt;="&amp;DATE(2024,3,1),'2024数据'!$O$3:$O$152,"&lt;="&amp;DATE(2024,3,31),'2024数据'!$AE$3:$AE$152,$E913)</f>
        <v>0</v>
      </c>
      <c r="I913" s="105">
        <f>COUNTIFS('2024数据'!$O$3:$O$152,"&gt;="&amp;DATE(2024,4,1),'2024数据'!$O$3:$O$152,"&lt;="&amp;DATE(2024,4,30),'2024数据'!$AE$3:$AE$152,$E913)</f>
        <v>1</v>
      </c>
      <c r="J913" s="105">
        <f>COUNTIFS('2024数据'!$O$3:$O$152,"&gt;="&amp;DATE(2024,5,1),'2024数据'!$O$3:$O$152,"&lt;="&amp;DATE(2024,5,31),'2024数据'!$AE$3:$AE$152,$E913)</f>
        <v>0</v>
      </c>
      <c r="K913" s="105">
        <f>COUNTIFS('2024数据'!$O$3:$O$152,"&gt;="&amp;DATE(2024,6,1),'2024数据'!$O$3:$O$152,"&lt;="&amp;DATE(2024,6,30),'2024数据'!$AE$3:$AE$152,$E913)</f>
        <v>0</v>
      </c>
      <c r="L913" s="105">
        <f>COUNTIFS('2024数据'!$O$3:$O$152,"&gt;="&amp;DATE(2024,7,1),'2024数据'!$O$3:$O$152,"&lt;="&amp;DATE(2024,7,31),'2024数据'!$AE$3:$AE$152,$E913)</f>
        <v>0</v>
      </c>
      <c r="M913" s="105">
        <f>COUNTIFS('2024数据'!$O$3:$O$152,"&gt;="&amp;DATE(2024,8,1),'2024数据'!$O$3:$O$152,"&lt;="&amp;DATE(2024,8,31),'2024数据'!$AE$3:$AE$152,$E913)</f>
        <v>0</v>
      </c>
      <c r="N913" s="105">
        <f>COUNTIFS('2024数据'!$O$3:$O$152,"&gt;="&amp;DATE(2024,9,1),'2024数据'!$O$3:$O$152,"&lt;="&amp;DATE(2024,9,30),'2024数据'!$AE$3:$AE$152,$E913)</f>
        <v>0</v>
      </c>
      <c r="O913" s="105">
        <f>COUNTIFS('2024数据'!$O$3:$O$152,"&gt;="&amp;DATE(2024,10,1),'2024数据'!$O$3:$O$152,"&lt;="&amp;DATE(2024,10,31),'2024数据'!$AE$3:$AE$152,$E913)</f>
        <v>0</v>
      </c>
      <c r="P913" s="105">
        <f>COUNTIFS('2024数据'!$O$3:$O$152,"&gt;="&amp;DATE(2024,11,1),'2024数据'!$O$3:$O$152,"&lt;="&amp;DATE(2024,11,30),'2024数据'!$AE$3:$AE$152,$E913)</f>
        <v>0</v>
      </c>
      <c r="Q913" s="105">
        <f>COUNTIFS('2024数据'!$O$3:$O$152,"&gt;="&amp;DATE(2024,12,1),'2024数据'!$O$3:$O$152,"&lt;="&amp;DATE(2024,12,31),'2024数据'!$AE$3:$AE$152,$E913)</f>
        <v>0</v>
      </c>
    </row>
    <row r="914" ht="24" customHeight="1" spans="1:17">
      <c r="A914" s="99" t="s">
        <v>347</v>
      </c>
      <c r="B914" s="99" t="s">
        <v>290</v>
      </c>
      <c r="C914" s="99" t="s">
        <v>291</v>
      </c>
      <c r="D914" s="48" t="s">
        <v>31</v>
      </c>
      <c r="E914" s="48" t="s">
        <v>87</v>
      </c>
      <c r="F914" s="105">
        <f>COUNTIFS('2024数据'!$O$3:$O$152,"&gt;="&amp;DATE(2023,1,1),'2024数据'!$O$3:$O$152,"&lt;="&amp;DATE(2024,1,31),'2024数据'!$AE$3:$AE$152,$E914)</f>
        <v>0</v>
      </c>
      <c r="G914" s="105">
        <f>COUNTIFS('2024数据'!$O$3:$O$152,"&gt;="&amp;DATE(2024,2,1),'2024数据'!$O$3:$O$152,"&lt;="&amp;DATE(2024,2,29),'2024数据'!$AE$3:$AE$152,$E914)</f>
        <v>0</v>
      </c>
      <c r="H914" s="105">
        <f>COUNTIFS('2024数据'!$O$3:$O$152,"&gt;="&amp;DATE(2024,3,1),'2024数据'!$O$3:$O$152,"&lt;="&amp;DATE(2024,3,31),'2024数据'!$AE$3:$AE$152,$E914)</f>
        <v>0</v>
      </c>
      <c r="I914" s="105">
        <f>COUNTIFS('2024数据'!$O$3:$O$152,"&gt;="&amp;DATE(2024,4,1),'2024数据'!$O$3:$O$152,"&lt;="&amp;DATE(2024,4,30),'2024数据'!$AE$3:$AE$152,$E914)</f>
        <v>0</v>
      </c>
      <c r="J914" s="105">
        <f>COUNTIFS('2024数据'!$O$3:$O$152,"&gt;="&amp;DATE(2024,5,1),'2024数据'!$O$3:$O$152,"&lt;="&amp;DATE(2024,5,31),'2024数据'!$AE$3:$AE$152,$E914)</f>
        <v>0</v>
      </c>
      <c r="K914" s="105">
        <f>COUNTIFS('2024数据'!$O$3:$O$152,"&gt;="&amp;DATE(2024,6,1),'2024数据'!$O$3:$O$152,"&lt;="&amp;DATE(2024,6,30),'2024数据'!$AE$3:$AE$152,$E914)</f>
        <v>0</v>
      </c>
      <c r="L914" s="105">
        <f>COUNTIFS('2024数据'!$O$3:$O$152,"&gt;="&amp;DATE(2024,7,1),'2024数据'!$O$3:$O$152,"&lt;="&amp;DATE(2024,7,31),'2024数据'!$AE$3:$AE$152,$E914)</f>
        <v>1</v>
      </c>
      <c r="M914" s="105">
        <f>COUNTIFS('2024数据'!$O$3:$O$152,"&gt;="&amp;DATE(2024,8,1),'2024数据'!$O$3:$O$152,"&lt;="&amp;DATE(2024,8,31),'2024数据'!$AE$3:$AE$152,$E914)</f>
        <v>0</v>
      </c>
      <c r="N914" s="105">
        <f>COUNTIFS('2024数据'!$O$3:$O$152,"&gt;="&amp;DATE(2024,9,1),'2024数据'!$O$3:$O$152,"&lt;="&amp;DATE(2024,9,30),'2024数据'!$AE$3:$AE$152,$E914)</f>
        <v>0</v>
      </c>
      <c r="O914" s="105">
        <f>COUNTIFS('2024数据'!$O$3:$O$152,"&gt;="&amp;DATE(2024,10,1),'2024数据'!$O$3:$O$152,"&lt;="&amp;DATE(2024,10,31),'2024数据'!$AE$3:$AE$152,$E914)</f>
        <v>0</v>
      </c>
      <c r="P914" s="105">
        <f>COUNTIFS('2024数据'!$O$3:$O$152,"&gt;="&amp;DATE(2024,11,1),'2024数据'!$O$3:$O$152,"&lt;="&amp;DATE(2024,11,30),'2024数据'!$AE$3:$AE$152,$E914)</f>
        <v>1</v>
      </c>
      <c r="Q914" s="105">
        <f>COUNTIFS('2024数据'!$O$3:$O$152,"&gt;="&amp;DATE(2024,12,1),'2024数据'!$O$3:$O$152,"&lt;="&amp;DATE(2024,12,31),'2024数据'!$AE$3:$AE$152,$E914)</f>
        <v>0</v>
      </c>
    </row>
    <row r="915" ht="24" customHeight="1" spans="1:17">
      <c r="A915" s="99" t="s">
        <v>347</v>
      </c>
      <c r="B915" s="99" t="s">
        <v>290</v>
      </c>
      <c r="C915" s="99" t="s">
        <v>291</v>
      </c>
      <c r="D915" s="48" t="s">
        <v>31</v>
      </c>
      <c r="E915" s="48" t="s">
        <v>83</v>
      </c>
      <c r="F915" s="105">
        <f>COUNTIFS('2024数据'!$O$3:$O$152,"&gt;="&amp;DATE(2023,1,1),'2024数据'!$O$3:$O$152,"&lt;="&amp;DATE(2024,1,31),'2024数据'!$AE$3:$AE$152,$E915)</f>
        <v>0</v>
      </c>
      <c r="G915" s="105">
        <f>COUNTIFS('2024数据'!$O$3:$O$152,"&gt;="&amp;DATE(2024,2,1),'2024数据'!$O$3:$O$152,"&lt;="&amp;DATE(2024,2,29),'2024数据'!$AE$3:$AE$152,$E915)</f>
        <v>0</v>
      </c>
      <c r="H915" s="105">
        <f>COUNTIFS('2024数据'!$O$3:$O$152,"&gt;="&amp;DATE(2024,3,1),'2024数据'!$O$3:$O$152,"&lt;="&amp;DATE(2024,3,31),'2024数据'!$AE$3:$AE$152,$E915)</f>
        <v>0</v>
      </c>
      <c r="I915" s="105">
        <f>COUNTIFS('2024数据'!$O$3:$O$152,"&gt;="&amp;DATE(2024,4,1),'2024数据'!$O$3:$O$152,"&lt;="&amp;DATE(2024,4,30),'2024数据'!$AE$3:$AE$152,$E915)</f>
        <v>0</v>
      </c>
      <c r="J915" s="105">
        <f>COUNTIFS('2024数据'!$O$3:$O$152,"&gt;="&amp;DATE(2024,5,1),'2024数据'!$O$3:$O$152,"&lt;="&amp;DATE(2024,5,31),'2024数据'!$AE$3:$AE$152,$E915)</f>
        <v>0</v>
      </c>
      <c r="K915" s="105">
        <f>COUNTIFS('2024数据'!$O$3:$O$152,"&gt;="&amp;DATE(2024,6,1),'2024数据'!$O$3:$O$152,"&lt;="&amp;DATE(2024,6,30),'2024数据'!$AE$3:$AE$152,$E915)</f>
        <v>0</v>
      </c>
      <c r="L915" s="105">
        <f>COUNTIFS('2024数据'!$O$3:$O$152,"&gt;="&amp;DATE(2024,7,1),'2024数据'!$O$3:$O$152,"&lt;="&amp;DATE(2024,7,31),'2024数据'!$AE$3:$AE$152,$E915)</f>
        <v>0</v>
      </c>
      <c r="M915" s="105">
        <f>COUNTIFS('2024数据'!$O$3:$O$152,"&gt;="&amp;DATE(2024,8,1),'2024数据'!$O$3:$O$152,"&lt;="&amp;DATE(2024,8,31),'2024数据'!$AE$3:$AE$152,$E915)</f>
        <v>0</v>
      </c>
      <c r="N915" s="105">
        <f>COUNTIFS('2024数据'!$O$3:$O$152,"&gt;="&amp;DATE(2024,9,1),'2024数据'!$O$3:$O$152,"&lt;="&amp;DATE(2024,9,30),'2024数据'!$AE$3:$AE$152,$E915)</f>
        <v>0</v>
      </c>
      <c r="O915" s="105">
        <f>COUNTIFS('2024数据'!$O$3:$O$152,"&gt;="&amp;DATE(2024,10,1),'2024数据'!$O$3:$O$152,"&lt;="&amp;DATE(2024,10,31),'2024数据'!$AE$3:$AE$152,$E915)</f>
        <v>0</v>
      </c>
      <c r="P915" s="105">
        <f>COUNTIFS('2024数据'!$O$3:$O$152,"&gt;="&amp;DATE(2024,11,1),'2024数据'!$O$3:$O$152,"&lt;="&amp;DATE(2024,11,30),'2024数据'!$AE$3:$AE$152,$E915)</f>
        <v>0</v>
      </c>
      <c r="Q915" s="105">
        <f>COUNTIFS('2024数据'!$O$3:$O$152,"&gt;="&amp;DATE(2024,12,1),'2024数据'!$O$3:$O$152,"&lt;="&amp;DATE(2024,12,31),'2024数据'!$AE$3:$AE$152,$E915)</f>
        <v>0</v>
      </c>
    </row>
    <row r="916" ht="24" customHeight="1" spans="1:17">
      <c r="A916" s="99" t="s">
        <v>347</v>
      </c>
      <c r="B916" s="99" t="s">
        <v>290</v>
      </c>
      <c r="C916" s="99" t="s">
        <v>291</v>
      </c>
      <c r="D916" s="47" t="s">
        <v>294</v>
      </c>
      <c r="E916" s="47" t="s">
        <v>93</v>
      </c>
      <c r="F916" s="106">
        <f>COUNTIFS('2024数据'!$O$3:$O$152,"&gt;="&amp;DATE(2023,1,1),'2024数据'!$O$3:$O$152,"&lt;="&amp;DATE(2024,1,31),'2024数据'!$B$3:$B$152,$E916)</f>
        <v>0</v>
      </c>
      <c r="G916" s="106">
        <f>COUNTIFS('2024数据'!$O$3:$O$152,"&gt;="&amp;DATE(2024,2,1),'2024数据'!$O$3:$O$152,"&lt;="&amp;DATE(2024,2,29),'2024数据'!$B$3:$B$152,$E916)</f>
        <v>0</v>
      </c>
      <c r="H916" s="106">
        <f>COUNTIFS('2024数据'!$O$3:$O$152,"&gt;="&amp;DATE(2024,3,1),'2024数据'!$O$3:$O$152,"&lt;="&amp;DATE(2024,3,31),'2024数据'!$B$3:$B$152,$E916)</f>
        <v>0</v>
      </c>
      <c r="I916" s="106">
        <f>COUNTIFS('2024数据'!$O$3:$O$152,"&gt;="&amp;DATE(2024,4,1),'2024数据'!$O$3:$O$152,"&lt;="&amp;DATE(2024,4,30),'2024数据'!$B$3:$B$152,$E916)</f>
        <v>1</v>
      </c>
      <c r="J916" s="106">
        <f>COUNTIFS('2024数据'!$O$3:$O$152,"&gt;="&amp;DATE(2024,5,1),'2024数据'!$O$3:$O$152,"&lt;="&amp;DATE(2024,5,31),'2024数据'!$B$3:$B$152,$E916)</f>
        <v>0</v>
      </c>
      <c r="K916" s="106">
        <f>COUNTIFS('2024数据'!$O$3:$O$152,"&gt;="&amp;DATE(2024,6,1),'2024数据'!$O$3:$O$152,"&lt;="&amp;DATE(2024,6,30),'2024数据'!$B$3:$B$152,$E916)</f>
        <v>0</v>
      </c>
      <c r="L916" s="106">
        <f>COUNTIFS('2024数据'!$O$3:$O$152,"&gt;="&amp;DATE(2024,7,1),'2024数据'!$O$3:$O$152,"&lt;="&amp;DATE(2024,7,31),'2024数据'!$B$3:$B$152,$E916)</f>
        <v>0</v>
      </c>
      <c r="M916" s="106">
        <f>COUNTIFS('2024数据'!$O$3:$O$152,"&gt;="&amp;DATE(2024,8,1),'2024数据'!$O$3:$O$152,"&lt;="&amp;DATE(2024,8,31),'2024数据'!$B$3:$B$152,$E916)</f>
        <v>0</v>
      </c>
      <c r="N916" s="106">
        <f>COUNTIFS('2024数据'!$O$3:$O$152,"&gt;="&amp;DATE(2024,9,1),'2024数据'!$O$3:$O$152,"&lt;="&amp;DATE(2024,9,30),'2024数据'!$B$3:$B$152,$E916)</f>
        <v>0</v>
      </c>
      <c r="O916" s="106">
        <f>COUNTIFS('2024数据'!$O$3:$O$152,"&gt;="&amp;DATE(2024,10,1),'2024数据'!$O$3:$O$152,"&lt;="&amp;DATE(2024,10,31),'2024数据'!$B$3:$B$152,$E916)</f>
        <v>0</v>
      </c>
      <c r="P916" s="106">
        <f>COUNTIFS('2024数据'!$O$3:$O$152,"&gt;="&amp;DATE(2024,11,1),'2024数据'!$O$3:$O$152,"&lt;="&amp;DATE(2024,11,30),'2024数据'!$B$3:$B$152,$E916)</f>
        <v>1</v>
      </c>
      <c r="Q916" s="106">
        <f>COUNTIFS('2024数据'!$O$3:$O$152,"&gt;="&amp;DATE(2024,12,1),'2024数据'!$O$3:$O$152,"&lt;="&amp;DATE(2024,12,31),'2024数据'!$B$3:$B$152,$E916)</f>
        <v>0</v>
      </c>
    </row>
    <row r="917" ht="24" customHeight="1" spans="1:17">
      <c r="A917" s="99" t="s">
        <v>347</v>
      </c>
      <c r="B917" s="99" t="s">
        <v>290</v>
      </c>
      <c r="C917" s="99" t="s">
        <v>291</v>
      </c>
      <c r="D917" s="47" t="s">
        <v>294</v>
      </c>
      <c r="E917" s="47" t="s">
        <v>85</v>
      </c>
      <c r="F917" s="106">
        <f>COUNTIFS('2024数据'!$O$3:$O$152,"&gt;="&amp;DATE(2023,1,1),'2024数据'!$O$3:$O$152,"&lt;="&amp;DATE(2024,1,31),'2024数据'!$B$3:$B$152,$E917)</f>
        <v>0</v>
      </c>
      <c r="G917" s="106">
        <f>COUNTIFS('2024数据'!$O$3:$O$152,"&gt;="&amp;DATE(2024,2,1),'2024数据'!$O$3:$O$152,"&lt;="&amp;DATE(2024,2,29),'2024数据'!$B$3:$B$152,$E917)</f>
        <v>0</v>
      </c>
      <c r="H917" s="106">
        <f>COUNTIFS('2024数据'!$O$3:$O$152,"&gt;="&amp;DATE(2024,3,1),'2024数据'!$O$3:$O$152,"&lt;="&amp;DATE(2024,3,31),'2024数据'!$B$3:$B$152,$E917)</f>
        <v>0</v>
      </c>
      <c r="I917" s="106">
        <f>COUNTIFS('2024数据'!$O$3:$O$152,"&gt;="&amp;DATE(2024,4,1),'2024数据'!$O$3:$O$152,"&lt;="&amp;DATE(2024,4,30),'2024数据'!$B$3:$B$152,$E917)</f>
        <v>0</v>
      </c>
      <c r="J917" s="106">
        <f>COUNTIFS('2024数据'!$O$3:$O$152,"&gt;="&amp;DATE(2024,5,1),'2024数据'!$O$3:$O$152,"&lt;="&amp;DATE(2024,5,31),'2024数据'!$B$3:$B$152,$E917)</f>
        <v>0</v>
      </c>
      <c r="K917" s="106">
        <f>COUNTIFS('2024数据'!$O$3:$O$152,"&gt;="&amp;DATE(2024,6,1),'2024数据'!$O$3:$O$152,"&lt;="&amp;DATE(2024,6,30),'2024数据'!$B$3:$B$152,$E917)</f>
        <v>0</v>
      </c>
      <c r="L917" s="106">
        <f>COUNTIFS('2024数据'!$O$3:$O$152,"&gt;="&amp;DATE(2024,7,1),'2024数据'!$O$3:$O$152,"&lt;="&amp;DATE(2024,7,31),'2024数据'!$B$3:$B$152,$E917)</f>
        <v>0</v>
      </c>
      <c r="M917" s="106">
        <f>COUNTIFS('2024数据'!$O$3:$O$152,"&gt;="&amp;DATE(2024,8,1),'2024数据'!$O$3:$O$152,"&lt;="&amp;DATE(2024,8,31),'2024数据'!$B$3:$B$152,$E917)</f>
        <v>0</v>
      </c>
      <c r="N917" s="106">
        <f>COUNTIFS('2024数据'!$O$3:$O$152,"&gt;="&amp;DATE(2024,9,1),'2024数据'!$O$3:$O$152,"&lt;="&amp;DATE(2024,9,30),'2024数据'!$B$3:$B$152,$E917)</f>
        <v>0</v>
      </c>
      <c r="O917" s="106">
        <f>COUNTIFS('2024数据'!$O$3:$O$152,"&gt;="&amp;DATE(2024,10,1),'2024数据'!$O$3:$O$152,"&lt;="&amp;DATE(2024,10,31),'2024数据'!$B$3:$B$152,$E917)</f>
        <v>0</v>
      </c>
      <c r="P917" s="106">
        <f>COUNTIFS('2024数据'!$O$3:$O$152,"&gt;="&amp;DATE(2024,11,1),'2024数据'!$O$3:$O$152,"&lt;="&amp;DATE(2024,11,30),'2024数据'!$B$3:$B$152,$E917)</f>
        <v>0</v>
      </c>
      <c r="Q917" s="106">
        <f>COUNTIFS('2024数据'!$O$3:$O$152,"&gt;="&amp;DATE(2024,12,1),'2024数据'!$O$3:$O$152,"&lt;="&amp;DATE(2024,12,31),'2024数据'!$B$3:$B$152,$E917)</f>
        <v>0</v>
      </c>
    </row>
    <row r="918" ht="24" customHeight="1" spans="1:17">
      <c r="A918" s="99" t="s">
        <v>347</v>
      </c>
      <c r="B918" s="99" t="s">
        <v>290</v>
      </c>
      <c r="C918" s="99" t="s">
        <v>291</v>
      </c>
      <c r="D918" s="47" t="s">
        <v>294</v>
      </c>
      <c r="E918" s="47" t="s">
        <v>81</v>
      </c>
      <c r="F918" s="106">
        <f>COUNTIFS('2024数据'!$O$3:$O$152,"&gt;="&amp;DATE(2023,1,1),'2024数据'!$O$3:$O$152,"&lt;="&amp;DATE(2024,1,31),'2024数据'!$B$3:$B$152,$E918)</f>
        <v>0</v>
      </c>
      <c r="G918" s="106">
        <f>COUNTIFS('2024数据'!$O$3:$O$152,"&gt;="&amp;DATE(2024,2,1),'2024数据'!$O$3:$O$152,"&lt;="&amp;DATE(2024,2,29),'2024数据'!$B$3:$B$152,$E918)</f>
        <v>0</v>
      </c>
      <c r="H918" s="106">
        <f>COUNTIFS('2024数据'!$O$3:$O$152,"&gt;="&amp;DATE(2024,3,1),'2024数据'!$O$3:$O$152,"&lt;="&amp;DATE(2024,3,31),'2024数据'!$B$3:$B$152,$E918)</f>
        <v>1</v>
      </c>
      <c r="I918" s="106">
        <f>COUNTIFS('2024数据'!$O$3:$O$152,"&gt;="&amp;DATE(2024,4,1),'2024数据'!$O$3:$O$152,"&lt;="&amp;DATE(2024,4,30),'2024数据'!$B$3:$B$152,$E918)</f>
        <v>0</v>
      </c>
      <c r="J918" s="106">
        <f>COUNTIFS('2024数据'!$O$3:$O$152,"&gt;="&amp;DATE(2024,5,1),'2024数据'!$O$3:$O$152,"&lt;="&amp;DATE(2024,5,31),'2024数据'!$B$3:$B$152,$E918)</f>
        <v>0</v>
      </c>
      <c r="K918" s="106">
        <f>COUNTIFS('2024数据'!$O$3:$O$152,"&gt;="&amp;DATE(2024,6,1),'2024数据'!$O$3:$O$152,"&lt;="&amp;DATE(2024,6,30),'2024数据'!$B$3:$B$152,$E918)</f>
        <v>0</v>
      </c>
      <c r="L918" s="106">
        <f>COUNTIFS('2024数据'!$O$3:$O$152,"&gt;="&amp;DATE(2024,7,1),'2024数据'!$O$3:$O$152,"&lt;="&amp;DATE(2024,7,31),'2024数据'!$B$3:$B$152,$E918)</f>
        <v>0</v>
      </c>
      <c r="M918" s="106">
        <f>COUNTIFS('2024数据'!$O$3:$O$152,"&gt;="&amp;DATE(2024,8,1),'2024数据'!$O$3:$O$152,"&lt;="&amp;DATE(2024,8,31),'2024数据'!$B$3:$B$152,$E918)</f>
        <v>0</v>
      </c>
      <c r="N918" s="106">
        <f>COUNTIFS('2024数据'!$O$3:$O$152,"&gt;="&amp;DATE(2024,9,1),'2024数据'!$O$3:$O$152,"&lt;="&amp;DATE(2024,9,30),'2024数据'!$B$3:$B$152,$E918)</f>
        <v>0</v>
      </c>
      <c r="O918" s="106">
        <f>COUNTIFS('2024数据'!$O$3:$O$152,"&gt;="&amp;DATE(2024,10,1),'2024数据'!$O$3:$O$152,"&lt;="&amp;DATE(2024,10,31),'2024数据'!$B$3:$B$152,$E918)</f>
        <v>0</v>
      </c>
      <c r="P918" s="106">
        <f>COUNTIFS('2024数据'!$O$3:$O$152,"&gt;="&amp;DATE(2024,11,1),'2024数据'!$O$3:$O$152,"&lt;="&amp;DATE(2024,11,30),'2024数据'!$B$3:$B$152,$E918)</f>
        <v>0</v>
      </c>
      <c r="Q918" s="106">
        <f>COUNTIFS('2024数据'!$O$3:$O$152,"&gt;="&amp;DATE(2024,12,1),'2024数据'!$O$3:$O$152,"&lt;="&amp;DATE(2024,12,31),'2024数据'!$B$3:$B$152,$E918)</f>
        <v>0</v>
      </c>
    </row>
    <row r="919" ht="24" customHeight="1" spans="1:17">
      <c r="A919" s="99" t="s">
        <v>347</v>
      </c>
      <c r="B919" s="99" t="s">
        <v>290</v>
      </c>
      <c r="C919" s="99" t="s">
        <v>291</v>
      </c>
      <c r="D919" s="47" t="s">
        <v>294</v>
      </c>
      <c r="E919" s="47" t="s">
        <v>96</v>
      </c>
      <c r="F919" s="106">
        <f>COUNTIFS('2024数据'!$O$3:$O$152,"&gt;="&amp;DATE(2023,1,1),'2024数据'!$O$3:$O$152,"&lt;="&amp;DATE(2024,1,31),'2024数据'!$B$3:$B$152,$E919)</f>
        <v>0</v>
      </c>
      <c r="G919" s="106">
        <f>COUNTIFS('2024数据'!$O$3:$O$152,"&gt;="&amp;DATE(2024,2,1),'2024数据'!$O$3:$O$152,"&lt;="&amp;DATE(2024,2,29),'2024数据'!$B$3:$B$152,$E919)</f>
        <v>0</v>
      </c>
      <c r="H919" s="106">
        <f>COUNTIFS('2024数据'!$O$3:$O$152,"&gt;="&amp;DATE(2024,3,1),'2024数据'!$O$3:$O$152,"&lt;="&amp;DATE(2024,3,31),'2024数据'!$B$3:$B$152,$E919)</f>
        <v>0</v>
      </c>
      <c r="I919" s="106">
        <f>COUNTIFS('2024数据'!$O$3:$O$152,"&gt;="&amp;DATE(2024,4,1),'2024数据'!$O$3:$O$152,"&lt;="&amp;DATE(2024,4,30),'2024数据'!$B$3:$B$152,$E919)</f>
        <v>0</v>
      </c>
      <c r="J919" s="106">
        <f>COUNTIFS('2024数据'!$O$3:$O$152,"&gt;="&amp;DATE(2024,5,1),'2024数据'!$O$3:$O$152,"&lt;="&amp;DATE(2024,5,31),'2024数据'!$B$3:$B$152,$E919)</f>
        <v>0</v>
      </c>
      <c r="K919" s="106">
        <f>COUNTIFS('2024数据'!$O$3:$O$152,"&gt;="&amp;DATE(2024,6,1),'2024数据'!$O$3:$O$152,"&lt;="&amp;DATE(2024,6,30),'2024数据'!$B$3:$B$152,$E919)</f>
        <v>0</v>
      </c>
      <c r="L919" s="106">
        <f>COUNTIFS('2024数据'!$O$3:$O$152,"&gt;="&amp;DATE(2024,7,1),'2024数据'!$O$3:$O$152,"&lt;="&amp;DATE(2024,7,31),'2024数据'!$B$3:$B$152,$E919)</f>
        <v>1</v>
      </c>
      <c r="M919" s="106">
        <f>COUNTIFS('2024数据'!$O$3:$O$152,"&gt;="&amp;DATE(2024,8,1),'2024数据'!$O$3:$O$152,"&lt;="&amp;DATE(2024,8,31),'2024数据'!$B$3:$B$152,$E919)</f>
        <v>0</v>
      </c>
      <c r="N919" s="106">
        <f>COUNTIFS('2024数据'!$O$3:$O$152,"&gt;="&amp;DATE(2024,9,1),'2024数据'!$O$3:$O$152,"&lt;="&amp;DATE(2024,9,30),'2024数据'!$B$3:$B$152,$E919)</f>
        <v>0</v>
      </c>
      <c r="O919" s="106">
        <f>COUNTIFS('2024数据'!$O$3:$O$152,"&gt;="&amp;DATE(2024,10,1),'2024数据'!$O$3:$O$152,"&lt;="&amp;DATE(2024,10,31),'2024数据'!$B$3:$B$152,$E919)</f>
        <v>0</v>
      </c>
      <c r="P919" s="106">
        <f>COUNTIFS('2024数据'!$O$3:$O$152,"&gt;="&amp;DATE(2024,11,1),'2024数据'!$O$3:$O$152,"&lt;="&amp;DATE(2024,11,30),'2024数据'!$B$3:$B$152,$E919)</f>
        <v>0</v>
      </c>
      <c r="Q919" s="106">
        <f>COUNTIFS('2024数据'!$O$3:$O$152,"&gt;="&amp;DATE(2024,12,1),'2024数据'!$O$3:$O$152,"&lt;="&amp;DATE(2024,12,31),'2024数据'!$B$3:$B$152,$E919)</f>
        <v>0</v>
      </c>
    </row>
    <row r="920" ht="24" customHeight="1" spans="1:17">
      <c r="A920" s="99" t="s">
        <v>347</v>
      </c>
      <c r="B920" s="99" t="s">
        <v>290</v>
      </c>
      <c r="C920" s="99" t="s">
        <v>291</v>
      </c>
      <c r="D920" s="47" t="s">
        <v>294</v>
      </c>
      <c r="E920" s="47" t="s">
        <v>160</v>
      </c>
      <c r="F920" s="106">
        <f t="shared" ref="F920:Q920" si="670">SUM(F910:F915)-SUM(F916:F919)</f>
        <v>0</v>
      </c>
      <c r="G920" s="106">
        <f t="shared" si="670"/>
        <v>0</v>
      </c>
      <c r="H920" s="106">
        <f t="shared" si="670"/>
        <v>0</v>
      </c>
      <c r="I920" s="106">
        <f t="shared" si="670"/>
        <v>0</v>
      </c>
      <c r="J920" s="106">
        <f t="shared" si="670"/>
        <v>0</v>
      </c>
      <c r="K920" s="106">
        <f t="shared" si="670"/>
        <v>0</v>
      </c>
      <c r="L920" s="106">
        <f t="shared" si="670"/>
        <v>0</v>
      </c>
      <c r="M920" s="106">
        <f t="shared" si="670"/>
        <v>0</v>
      </c>
      <c r="N920" s="106">
        <f t="shared" si="670"/>
        <v>0</v>
      </c>
      <c r="O920" s="106">
        <f t="shared" si="670"/>
        <v>0</v>
      </c>
      <c r="P920" s="106">
        <f t="shared" si="670"/>
        <v>0</v>
      </c>
      <c r="Q920" s="106">
        <f t="shared" si="670"/>
        <v>0</v>
      </c>
    </row>
    <row r="921" ht="24" customHeight="1" spans="1:17">
      <c r="A921" s="99" t="s">
        <v>347</v>
      </c>
      <c r="B921" s="99" t="s">
        <v>290</v>
      </c>
      <c r="C921" s="99" t="s">
        <v>291</v>
      </c>
      <c r="D921" s="100" t="s">
        <v>292</v>
      </c>
      <c r="E921" s="100" t="s">
        <v>295</v>
      </c>
      <c r="F921" s="104">
        <f t="shared" ref="F921:Q921" si="671">SUM(F922:F924)</f>
        <v>0</v>
      </c>
      <c r="G921" s="104">
        <f t="shared" si="671"/>
        <v>0</v>
      </c>
      <c r="H921" s="104">
        <f t="shared" si="671"/>
        <v>1</v>
      </c>
      <c r="I921" s="104">
        <f t="shared" si="671"/>
        <v>1</v>
      </c>
      <c r="J921" s="104">
        <f t="shared" si="671"/>
        <v>0</v>
      </c>
      <c r="K921" s="104">
        <f t="shared" si="671"/>
        <v>0</v>
      </c>
      <c r="L921" s="104">
        <f t="shared" si="671"/>
        <v>0</v>
      </c>
      <c r="M921" s="104">
        <f t="shared" si="671"/>
        <v>0</v>
      </c>
      <c r="N921" s="104">
        <f t="shared" si="671"/>
        <v>0</v>
      </c>
      <c r="O921" s="104">
        <f t="shared" si="671"/>
        <v>0</v>
      </c>
      <c r="P921" s="104">
        <f t="shared" si="671"/>
        <v>1</v>
      </c>
      <c r="Q921" s="104">
        <f t="shared" si="671"/>
        <v>0</v>
      </c>
    </row>
    <row r="922" ht="24" customHeight="1" spans="1:17">
      <c r="A922" s="99" t="s">
        <v>347</v>
      </c>
      <c r="B922" s="99" t="s">
        <v>290</v>
      </c>
      <c r="C922" s="99" t="s">
        <v>291</v>
      </c>
      <c r="D922" s="48" t="s">
        <v>296</v>
      </c>
      <c r="E922" s="48" t="s">
        <v>406</v>
      </c>
      <c r="F922" s="105">
        <f>COUNTIFS('2024数据'!$O$3:$O$152,"&gt;="&amp;DATE(2023,1,1),'2024数据'!$O$3:$O$152,"&lt;="&amp;DATE(2024,1,31),'2024数据'!$AF$3:$AF$152,$E922)</f>
        <v>0</v>
      </c>
      <c r="G922" s="105">
        <f>COUNTIFS('2024数据'!$O$3:$O$152,"&gt;="&amp;DATE(2024,2,1),'2024数据'!$O$3:$O$152,"&lt;="&amp;DATE(2024,2,29),'2024数据'!$AF$3:$AF$152,$E922)</f>
        <v>0</v>
      </c>
      <c r="H922" s="105">
        <f>COUNTIFS('2024数据'!$O$3:$O$152,"&gt;="&amp;DATE(2024,3,1),'2024数据'!$O$3:$O$152,"&lt;="&amp;DATE(2024,3,31),'2024数据'!$AF$3:$AF$152,$E922)</f>
        <v>1</v>
      </c>
      <c r="I922" s="105">
        <f>COUNTIFS('2024数据'!$O$3:$O$152,"&gt;="&amp;DATE(2024,4,1),'2024数据'!$O$3:$O$152,"&lt;="&amp;DATE(2024,4,30),'2024数据'!$AF$3:$AF$152,$E922)</f>
        <v>0</v>
      </c>
      <c r="J922" s="105">
        <f>COUNTIFS('2024数据'!$O$3:$O$152,"&gt;="&amp;DATE(2024,5,1),'2024数据'!$O$3:$O$152,"&lt;="&amp;DATE(2024,5,31),'2024数据'!$AF$3:$AF$152,$E922)</f>
        <v>0</v>
      </c>
      <c r="K922" s="105">
        <f>COUNTIFS('2024数据'!$O$3:$O$152,"&gt;="&amp;DATE(2024,6,1),'2024数据'!$O$3:$O$152,"&lt;="&amp;DATE(2024,6,30),'2024数据'!$AF$3:$AF$152,$E922)</f>
        <v>0</v>
      </c>
      <c r="L922" s="105">
        <f>COUNTIFS('2024数据'!$O$3:$O$152,"&gt;="&amp;DATE(2024,7,1),'2024数据'!$O$3:$O$152,"&lt;="&amp;DATE(2024,7,31),'2024数据'!$AF$3:$AF$152,$E922)</f>
        <v>0</v>
      </c>
      <c r="M922" s="105">
        <f>COUNTIFS('2024数据'!$O$3:$O$152,"&gt;="&amp;DATE(2024,8,1),'2024数据'!$O$3:$O$152,"&lt;="&amp;DATE(2024,8,31),'2024数据'!$AF$3:$AF$152,$E922)</f>
        <v>0</v>
      </c>
      <c r="N922" s="105">
        <f>COUNTIFS('2024数据'!$O$3:$O$152,"&gt;="&amp;DATE(2024,9,1),'2024数据'!$O$3:$O$152,"&lt;="&amp;DATE(2024,9,30),'2024数据'!$AF$3:$AF$152,$E922)</f>
        <v>0</v>
      </c>
      <c r="O922" s="105">
        <f>COUNTIFS('2024数据'!$O$3:$O$152,"&gt;="&amp;DATE(2024,10,1),'2024数据'!$O$3:$O$152,"&lt;="&amp;DATE(2024,10,31),'2024数据'!$AF$3:$AF$152,$E922)</f>
        <v>0</v>
      </c>
      <c r="P922" s="105">
        <f>COUNTIFS('2024数据'!$O$3:$O$152,"&gt;="&amp;DATE(2024,11,1),'2024数据'!$O$3:$O$152,"&lt;="&amp;DATE(2024,11,30),'2024数据'!$AF$3:$AF$152,$E922)</f>
        <v>1</v>
      </c>
      <c r="Q922" s="105">
        <f>COUNTIFS('2024数据'!$O$3:$O$152,"&gt;="&amp;DATE(2024,12,1),'2024数据'!$O$3:$O$152,"&lt;="&amp;DATE(2024,12,31),'2024数据'!$AF$3:$AF$152,$E922)</f>
        <v>0</v>
      </c>
    </row>
    <row r="923" ht="24" customHeight="1" spans="1:17">
      <c r="A923" s="99" t="s">
        <v>347</v>
      </c>
      <c r="B923" s="99" t="s">
        <v>290</v>
      </c>
      <c r="C923" s="99" t="s">
        <v>291</v>
      </c>
      <c r="D923" s="48" t="s">
        <v>296</v>
      </c>
      <c r="E923" s="48" t="s">
        <v>82</v>
      </c>
      <c r="F923" s="105">
        <f>COUNTIFS('2024数据'!$O$3:$O$152,"&gt;="&amp;DATE(2023,1,1),'2024数据'!$O$3:$O$152,"&lt;="&amp;DATE(2024,1,31),'2024数据'!$AF$3:$AF$152,$E923)</f>
        <v>0</v>
      </c>
      <c r="G923" s="105">
        <f>COUNTIFS('2024数据'!$O$3:$O$152,"&gt;="&amp;DATE(2024,2,1),'2024数据'!$O$3:$O$152,"&lt;="&amp;DATE(2024,2,29),'2024数据'!$AF$3:$AF$152,$E923)</f>
        <v>0</v>
      </c>
      <c r="H923" s="105">
        <f>COUNTIFS('2024数据'!$O$3:$O$152,"&gt;="&amp;DATE(2024,3,1),'2024数据'!$O$3:$O$152,"&lt;="&amp;DATE(2024,3,31),'2024数据'!$AF$3:$AF$152,$E923)</f>
        <v>0</v>
      </c>
      <c r="I923" s="105">
        <f>COUNTIFS('2024数据'!$O$3:$O$152,"&gt;="&amp;DATE(2024,4,1),'2024数据'!$O$3:$O$152,"&lt;="&amp;DATE(2024,4,30),'2024数据'!$AF$3:$AF$152,$E923)</f>
        <v>1</v>
      </c>
      <c r="J923" s="105">
        <f>COUNTIFS('2024数据'!$O$3:$O$152,"&gt;="&amp;DATE(2024,5,1),'2024数据'!$O$3:$O$152,"&lt;="&amp;DATE(2024,5,31),'2024数据'!$AF$3:$AF$152,$E923)</f>
        <v>0</v>
      </c>
      <c r="K923" s="105">
        <f>COUNTIFS('2024数据'!$O$3:$O$152,"&gt;="&amp;DATE(2024,6,1),'2024数据'!$O$3:$O$152,"&lt;="&amp;DATE(2024,6,30),'2024数据'!$AF$3:$AF$152,$E923)</f>
        <v>0</v>
      </c>
      <c r="L923" s="105">
        <f>COUNTIFS('2024数据'!$O$3:$O$152,"&gt;="&amp;DATE(2024,7,1),'2024数据'!$O$3:$O$152,"&lt;="&amp;DATE(2024,7,31),'2024数据'!$AF$3:$AF$152,$E923)</f>
        <v>0</v>
      </c>
      <c r="M923" s="105">
        <f>COUNTIFS('2024数据'!$O$3:$O$152,"&gt;="&amp;DATE(2024,8,1),'2024数据'!$O$3:$O$152,"&lt;="&amp;DATE(2024,8,31),'2024数据'!$AF$3:$AF$152,$E923)</f>
        <v>0</v>
      </c>
      <c r="N923" s="105">
        <f>COUNTIFS('2024数据'!$O$3:$O$152,"&gt;="&amp;DATE(2024,9,1),'2024数据'!$O$3:$O$152,"&lt;="&amp;DATE(2024,9,30),'2024数据'!$AF$3:$AF$152,$E923)</f>
        <v>0</v>
      </c>
      <c r="O923" s="105">
        <f>COUNTIFS('2024数据'!$O$3:$O$152,"&gt;="&amp;DATE(2024,10,1),'2024数据'!$O$3:$O$152,"&lt;="&amp;DATE(2024,10,31),'2024数据'!$AF$3:$AF$152,$E923)</f>
        <v>0</v>
      </c>
      <c r="P923" s="105">
        <f>COUNTIFS('2024数据'!$O$3:$O$152,"&gt;="&amp;DATE(2024,11,1),'2024数据'!$O$3:$O$152,"&lt;="&amp;DATE(2024,11,30),'2024数据'!$AF$3:$AF$152,$E923)</f>
        <v>0</v>
      </c>
      <c r="Q923" s="105">
        <f>COUNTIFS('2024数据'!$O$3:$O$152,"&gt;="&amp;DATE(2024,12,1),'2024数据'!$O$3:$O$152,"&lt;="&amp;DATE(2024,12,31),'2024数据'!$AF$3:$AF$152,$E923)</f>
        <v>0</v>
      </c>
    </row>
    <row r="924" ht="24" customHeight="1" spans="1:17">
      <c r="A924" s="99" t="s">
        <v>347</v>
      </c>
      <c r="B924" s="99" t="s">
        <v>290</v>
      </c>
      <c r="C924" s="99" t="s">
        <v>291</v>
      </c>
      <c r="D924" s="48" t="s">
        <v>296</v>
      </c>
      <c r="E924" s="48" t="s">
        <v>86</v>
      </c>
      <c r="F924" s="105">
        <f>COUNTIFS('2024数据'!$O$3:$O$152,"&gt;="&amp;DATE(2023,1,1),'2024数据'!$O$3:$O$152,"&lt;="&amp;DATE(2024,1,31),'2024数据'!$AF$3:$AF$152,$E924)</f>
        <v>0</v>
      </c>
      <c r="G924" s="105">
        <f>COUNTIFS('2024数据'!$O$3:$O$152,"&gt;="&amp;DATE(2024,2,1),'2024数据'!$O$3:$O$152,"&lt;="&amp;DATE(2024,2,29),'2024数据'!$AF$3:$AF$152,$E924)</f>
        <v>0</v>
      </c>
      <c r="H924" s="105">
        <f>COUNTIFS('2024数据'!$O$3:$O$152,"&gt;="&amp;DATE(2024,3,1),'2024数据'!$O$3:$O$152,"&lt;="&amp;DATE(2024,3,31),'2024数据'!$AF$3:$AF$152,$E924)</f>
        <v>0</v>
      </c>
      <c r="I924" s="105">
        <f>COUNTIFS('2024数据'!$O$3:$O$152,"&gt;="&amp;DATE(2024,4,1),'2024数据'!$O$3:$O$152,"&lt;="&amp;DATE(2024,4,30),'2024数据'!$AF$3:$AF$152,$E924)</f>
        <v>0</v>
      </c>
      <c r="J924" s="105">
        <f>COUNTIFS('2024数据'!$O$3:$O$152,"&gt;="&amp;DATE(2024,5,1),'2024数据'!$O$3:$O$152,"&lt;="&amp;DATE(2024,5,31),'2024数据'!$AF$3:$AF$152,$E924)</f>
        <v>0</v>
      </c>
      <c r="K924" s="105">
        <f>COUNTIFS('2024数据'!$O$3:$O$152,"&gt;="&amp;DATE(2024,6,1),'2024数据'!$O$3:$O$152,"&lt;="&amp;DATE(2024,6,30),'2024数据'!$AF$3:$AF$152,$E924)</f>
        <v>0</v>
      </c>
      <c r="L924" s="105">
        <f>COUNTIFS('2024数据'!$O$3:$O$152,"&gt;="&amp;DATE(2024,7,1),'2024数据'!$O$3:$O$152,"&lt;="&amp;DATE(2024,7,31),'2024数据'!$AF$3:$AF$152,$E924)</f>
        <v>0</v>
      </c>
      <c r="M924" s="105">
        <f>COUNTIFS('2024数据'!$O$3:$O$152,"&gt;="&amp;DATE(2024,8,1),'2024数据'!$O$3:$O$152,"&lt;="&amp;DATE(2024,8,31),'2024数据'!$AF$3:$AF$152,$E924)</f>
        <v>0</v>
      </c>
      <c r="N924" s="105">
        <f>COUNTIFS('2024数据'!$O$3:$O$152,"&gt;="&amp;DATE(2024,9,1),'2024数据'!$O$3:$O$152,"&lt;="&amp;DATE(2024,9,30),'2024数据'!$AF$3:$AF$152,$E924)</f>
        <v>0</v>
      </c>
      <c r="O924" s="105">
        <f>COUNTIFS('2024数据'!$O$3:$O$152,"&gt;="&amp;DATE(2024,10,1),'2024数据'!$O$3:$O$152,"&lt;="&amp;DATE(2024,10,31),'2024数据'!$AF$3:$AF$152,$E924)</f>
        <v>0</v>
      </c>
      <c r="P924" s="105">
        <f>COUNTIFS('2024数据'!$O$3:$O$152,"&gt;="&amp;DATE(2024,11,1),'2024数据'!$O$3:$O$152,"&lt;="&amp;DATE(2024,11,30),'2024数据'!$AF$3:$AF$152,$E924)</f>
        <v>0</v>
      </c>
      <c r="Q924" s="105">
        <f>COUNTIFS('2024数据'!$O$3:$O$152,"&gt;="&amp;DATE(2024,12,1),'2024数据'!$O$3:$O$152,"&lt;="&amp;DATE(2024,12,31),'2024数据'!$AF$3:$AF$152,$E924)</f>
        <v>0</v>
      </c>
    </row>
    <row r="925" ht="24" customHeight="1" spans="1:17">
      <c r="A925" s="99" t="s">
        <v>347</v>
      </c>
      <c r="B925" s="99" t="s">
        <v>290</v>
      </c>
      <c r="C925" s="99" t="s">
        <v>291</v>
      </c>
      <c r="D925" s="100" t="s">
        <v>292</v>
      </c>
      <c r="E925" s="100" t="s">
        <v>297</v>
      </c>
      <c r="F925" s="104">
        <f t="shared" ref="F925:Q925" si="672">SUM(F926:F928)</f>
        <v>0</v>
      </c>
      <c r="G925" s="104">
        <f t="shared" si="672"/>
        <v>0</v>
      </c>
      <c r="H925" s="104">
        <f t="shared" si="672"/>
        <v>1</v>
      </c>
      <c r="I925" s="104">
        <f t="shared" si="672"/>
        <v>1</v>
      </c>
      <c r="J925" s="104">
        <f t="shared" si="672"/>
        <v>0</v>
      </c>
      <c r="K925" s="104">
        <f t="shared" si="672"/>
        <v>0</v>
      </c>
      <c r="L925" s="104">
        <f t="shared" si="672"/>
        <v>1</v>
      </c>
      <c r="M925" s="104">
        <f t="shared" si="672"/>
        <v>0</v>
      </c>
      <c r="N925" s="104">
        <f t="shared" si="672"/>
        <v>0</v>
      </c>
      <c r="O925" s="104">
        <f t="shared" si="672"/>
        <v>0</v>
      </c>
      <c r="P925" s="104">
        <f t="shared" si="672"/>
        <v>1</v>
      </c>
      <c r="Q925" s="104">
        <f t="shared" si="672"/>
        <v>0</v>
      </c>
    </row>
    <row r="926" ht="24" customHeight="1" spans="1:17">
      <c r="A926" s="99" t="s">
        <v>347</v>
      </c>
      <c r="B926" s="99" t="s">
        <v>290</v>
      </c>
      <c r="C926" s="99" t="s">
        <v>291</v>
      </c>
      <c r="D926" s="48" t="s">
        <v>298</v>
      </c>
      <c r="E926" s="48" t="s">
        <v>97</v>
      </c>
      <c r="F926" s="105">
        <f>COUNTIFS('2024数据'!$O$3:$O$152,"&gt;="&amp;DATE(2023,1,1),'2024数据'!$O$3:$O$152,"&lt;="&amp;DATE(2024,1,31),'2024数据'!$AG$3:$AG$152,$E926)</f>
        <v>0</v>
      </c>
      <c r="G926" s="105">
        <f>COUNTIFS('2024数据'!$O$3:$O$152,"&gt;="&amp;DATE(2024,2,1),'2024数据'!$O$3:$O$152,"&lt;="&amp;DATE(2024,2,29),'2024数据'!$AG$3:$AG$152,$E926)</f>
        <v>0</v>
      </c>
      <c r="H926" s="105">
        <f>COUNTIFS('2024数据'!$O$3:$O$152,"&gt;="&amp;DATE(2024,3,1),'2024数据'!$O$3:$O$152,"&lt;="&amp;DATE(2024,3,31),'2024数据'!$AG$3:$AG$152,$E926)</f>
        <v>1</v>
      </c>
      <c r="I926" s="105">
        <f>COUNTIFS('2024数据'!$O$3:$O$152,"&gt;="&amp;DATE(2024,4,1),'2024数据'!$O$3:$O$152,"&lt;="&amp;DATE(2024,4,30),'2024数据'!$AG$3:$AG$152,$E926)</f>
        <v>1</v>
      </c>
      <c r="J926" s="105">
        <f>COUNTIFS('2024数据'!$O$3:$O$152,"&gt;="&amp;DATE(2024,5,1),'2024数据'!$O$3:$O$152,"&lt;="&amp;DATE(2024,5,31),'2024数据'!$AG$3:$AG$152,$E926)</f>
        <v>0</v>
      </c>
      <c r="K926" s="105">
        <f>COUNTIFS('2024数据'!$O$3:$O$152,"&gt;="&amp;DATE(2024,6,1),'2024数据'!$O$3:$O$152,"&lt;="&amp;DATE(2024,6,30),'2024数据'!$AG$3:$AG$152,$E926)</f>
        <v>0</v>
      </c>
      <c r="L926" s="105">
        <f>COUNTIFS('2024数据'!$O$3:$O$152,"&gt;="&amp;DATE(2024,7,1),'2024数据'!$O$3:$O$152,"&lt;="&amp;DATE(2024,7,31),'2024数据'!$AG$3:$AG$152,$E926)</f>
        <v>0</v>
      </c>
      <c r="M926" s="105">
        <f>COUNTIFS('2024数据'!$O$3:$O$152,"&gt;="&amp;DATE(2024,8,1),'2024数据'!$O$3:$O$152,"&lt;="&amp;DATE(2024,8,31),'2024数据'!$AG$3:$AG$152,$E926)</f>
        <v>0</v>
      </c>
      <c r="N926" s="105">
        <f>COUNTIFS('2024数据'!$O$3:$O$152,"&gt;="&amp;DATE(2024,9,1),'2024数据'!$O$3:$O$152,"&lt;="&amp;DATE(2024,9,30),'2024数据'!$AG$3:$AG$152,$E926)</f>
        <v>0</v>
      </c>
      <c r="O926" s="105">
        <f>COUNTIFS('2024数据'!$O$3:$O$152,"&gt;="&amp;DATE(2024,10,1),'2024数据'!$O$3:$O$152,"&lt;="&amp;DATE(2024,10,31),'2024数据'!$AG$3:$AG$152,$E926)</f>
        <v>0</v>
      </c>
      <c r="P926" s="105">
        <f>COUNTIFS('2024数据'!$O$3:$O$152,"&gt;="&amp;DATE(2024,11,1),'2024数据'!$O$3:$O$152,"&lt;="&amp;DATE(2024,11,30),'2024数据'!$AG$3:$AG$152,$E926)</f>
        <v>0</v>
      </c>
      <c r="Q926" s="105">
        <f>COUNTIFS('2024数据'!$O$3:$O$152,"&gt;="&amp;DATE(2024,12,1),'2024数据'!$O$3:$O$152,"&lt;="&amp;DATE(2024,12,31),'2024数据'!$AG$3:$AG$152,$E926)</f>
        <v>0</v>
      </c>
    </row>
    <row r="927" ht="24" customHeight="1" spans="1:17">
      <c r="A927" s="99" t="s">
        <v>347</v>
      </c>
      <c r="B927" s="99" t="s">
        <v>290</v>
      </c>
      <c r="C927" s="99" t="s">
        <v>291</v>
      </c>
      <c r="D927" s="48" t="s">
        <v>298</v>
      </c>
      <c r="E927" s="48" t="s">
        <v>87</v>
      </c>
      <c r="F927" s="105">
        <f>COUNTIFS('2024数据'!$O$3:$O$152,"&gt;="&amp;DATE(2023,1,1),'2024数据'!$O$3:$O$152,"&lt;="&amp;DATE(2024,1,31),'2024数据'!$AG$3:$AG$152,$E927)</f>
        <v>0</v>
      </c>
      <c r="G927" s="105">
        <f>COUNTIFS('2024数据'!$O$3:$O$152,"&gt;="&amp;DATE(2024,2,1),'2024数据'!$O$3:$O$152,"&lt;="&amp;DATE(2024,2,29),'2024数据'!$AG$3:$AG$152,$E927)</f>
        <v>0</v>
      </c>
      <c r="H927" s="105">
        <f>COUNTIFS('2024数据'!$O$3:$O$152,"&gt;="&amp;DATE(2024,3,1),'2024数据'!$O$3:$O$152,"&lt;="&amp;DATE(2024,3,31),'2024数据'!$AG$3:$AG$152,$E927)</f>
        <v>0</v>
      </c>
      <c r="I927" s="105">
        <f>COUNTIFS('2024数据'!$O$3:$O$152,"&gt;="&amp;DATE(2024,4,1),'2024数据'!$O$3:$O$152,"&lt;="&amp;DATE(2024,4,30),'2024数据'!$AG$3:$AG$152,$E927)</f>
        <v>0</v>
      </c>
      <c r="J927" s="105">
        <f>COUNTIFS('2024数据'!$O$3:$O$152,"&gt;="&amp;DATE(2024,5,1),'2024数据'!$O$3:$O$152,"&lt;="&amp;DATE(2024,5,31),'2024数据'!$AG$3:$AG$152,$E927)</f>
        <v>0</v>
      </c>
      <c r="K927" s="105">
        <f>COUNTIFS('2024数据'!$O$3:$O$152,"&gt;="&amp;DATE(2024,6,1),'2024数据'!$O$3:$O$152,"&lt;="&amp;DATE(2024,6,30),'2024数据'!$AG$3:$AG$152,$E927)</f>
        <v>0</v>
      </c>
      <c r="L927" s="105">
        <f>COUNTIFS('2024数据'!$O$3:$O$152,"&gt;="&amp;DATE(2024,7,1),'2024数据'!$O$3:$O$152,"&lt;="&amp;DATE(2024,7,31),'2024数据'!$AG$3:$AG$152,$E927)</f>
        <v>1</v>
      </c>
      <c r="M927" s="105">
        <f>COUNTIFS('2024数据'!$O$3:$O$152,"&gt;="&amp;DATE(2024,8,1),'2024数据'!$O$3:$O$152,"&lt;="&amp;DATE(2024,8,31),'2024数据'!$AG$3:$AG$152,$E927)</f>
        <v>0</v>
      </c>
      <c r="N927" s="105">
        <f>COUNTIFS('2024数据'!$O$3:$O$152,"&gt;="&amp;DATE(2024,9,1),'2024数据'!$O$3:$O$152,"&lt;="&amp;DATE(2024,9,30),'2024数据'!$AG$3:$AG$152,$E927)</f>
        <v>0</v>
      </c>
      <c r="O927" s="105">
        <f>COUNTIFS('2024数据'!$O$3:$O$152,"&gt;="&amp;DATE(2024,10,1),'2024数据'!$O$3:$O$152,"&lt;="&amp;DATE(2024,10,31),'2024数据'!$AG$3:$AG$152,$E927)</f>
        <v>0</v>
      </c>
      <c r="P927" s="105">
        <f>COUNTIFS('2024数据'!$O$3:$O$152,"&gt;="&amp;DATE(2024,11,1),'2024数据'!$O$3:$O$152,"&lt;="&amp;DATE(2024,11,30),'2024数据'!$AG$3:$AG$152,$E927)</f>
        <v>1</v>
      </c>
      <c r="Q927" s="105">
        <f>COUNTIFS('2024数据'!$O$3:$O$152,"&gt;="&amp;DATE(2024,12,1),'2024数据'!$O$3:$O$152,"&lt;="&amp;DATE(2024,12,31),'2024数据'!$AG$3:$AG$152,$E927)</f>
        <v>0</v>
      </c>
    </row>
    <row r="928" ht="24" customHeight="1" spans="1:17">
      <c r="A928" s="99" t="s">
        <v>347</v>
      </c>
      <c r="B928" s="99" t="s">
        <v>290</v>
      </c>
      <c r="C928" s="99" t="s">
        <v>291</v>
      </c>
      <c r="D928" s="48" t="s">
        <v>298</v>
      </c>
      <c r="E928" s="48" t="s">
        <v>83</v>
      </c>
      <c r="F928" s="105">
        <f>COUNTIFS('2024数据'!$O$3:$O$152,"&gt;="&amp;DATE(2023,1,1),'2024数据'!$O$3:$O$152,"&lt;="&amp;DATE(2024,1,31),'2024数据'!$AG$3:$AG$152,$E928)</f>
        <v>0</v>
      </c>
      <c r="G928" s="105">
        <f>COUNTIFS('2024数据'!$O$3:$O$152,"&gt;="&amp;DATE(2024,2,1),'2024数据'!$O$3:$O$152,"&lt;="&amp;DATE(2024,2,29),'2024数据'!$AG$3:$AG$152,$E928)</f>
        <v>0</v>
      </c>
      <c r="H928" s="105">
        <f>COUNTIFS('2024数据'!$O$3:$O$152,"&gt;="&amp;DATE(2024,3,1),'2024数据'!$O$3:$O$152,"&lt;="&amp;DATE(2024,3,31),'2024数据'!$AG$3:$AG$152,$E928)</f>
        <v>0</v>
      </c>
      <c r="I928" s="105">
        <f>COUNTIFS('2024数据'!$O$3:$O$152,"&gt;="&amp;DATE(2024,4,1),'2024数据'!$O$3:$O$152,"&lt;="&amp;DATE(2024,4,30),'2024数据'!$AG$3:$AG$152,$E928)</f>
        <v>0</v>
      </c>
      <c r="J928" s="105">
        <f>COUNTIFS('2024数据'!$O$3:$O$152,"&gt;="&amp;DATE(2024,5,1),'2024数据'!$O$3:$O$152,"&lt;="&amp;DATE(2024,5,31),'2024数据'!$AG$3:$AG$152,$E928)</f>
        <v>0</v>
      </c>
      <c r="K928" s="105">
        <f>COUNTIFS('2024数据'!$O$3:$O$152,"&gt;="&amp;DATE(2024,6,1),'2024数据'!$O$3:$O$152,"&lt;="&amp;DATE(2024,6,30),'2024数据'!$AG$3:$AG$152,$E928)</f>
        <v>0</v>
      </c>
      <c r="L928" s="105">
        <f>COUNTIFS('2024数据'!$O$3:$O$152,"&gt;="&amp;DATE(2024,7,1),'2024数据'!$O$3:$O$152,"&lt;="&amp;DATE(2024,7,31),'2024数据'!$AG$3:$AG$152,$E928)</f>
        <v>0</v>
      </c>
      <c r="M928" s="105">
        <f>COUNTIFS('2024数据'!$O$3:$O$152,"&gt;="&amp;DATE(2024,8,1),'2024数据'!$O$3:$O$152,"&lt;="&amp;DATE(2024,8,31),'2024数据'!$AG$3:$AG$152,$E928)</f>
        <v>0</v>
      </c>
      <c r="N928" s="105">
        <f>COUNTIFS('2024数据'!$O$3:$O$152,"&gt;="&amp;DATE(2024,9,1),'2024数据'!$O$3:$O$152,"&lt;="&amp;DATE(2024,9,30),'2024数据'!$AG$3:$AG$152,$E928)</f>
        <v>0</v>
      </c>
      <c r="O928" s="105">
        <f>COUNTIFS('2024数据'!$O$3:$O$152,"&gt;="&amp;DATE(2024,10,1),'2024数据'!$O$3:$O$152,"&lt;="&amp;DATE(2024,10,31),'2024数据'!$AG$3:$AG$152,$E928)</f>
        <v>0</v>
      </c>
      <c r="P928" s="105">
        <f>COUNTIFS('2024数据'!$O$3:$O$152,"&gt;="&amp;DATE(2024,11,1),'2024数据'!$O$3:$O$152,"&lt;="&amp;DATE(2024,11,30),'2024数据'!$AG$3:$AG$152,$E928)</f>
        <v>0</v>
      </c>
      <c r="Q928" s="105">
        <f>COUNTIFS('2024数据'!$O$3:$O$152,"&gt;="&amp;DATE(2024,12,1),'2024数据'!$O$3:$O$152,"&lt;="&amp;DATE(2024,12,31),'2024数据'!$AG$3:$AG$152,$E928)</f>
        <v>0</v>
      </c>
    </row>
    <row r="929" ht="24" customHeight="1" spans="1:17">
      <c r="A929" s="99" t="s">
        <v>347</v>
      </c>
      <c r="B929" s="99" t="s">
        <v>299</v>
      </c>
      <c r="C929" s="99" t="s">
        <v>291</v>
      </c>
      <c r="D929" s="100" t="s">
        <v>292</v>
      </c>
      <c r="E929" s="100" t="s">
        <v>300</v>
      </c>
      <c r="F929" s="104">
        <f t="shared" ref="F929:Q929" si="673">IF((SUM(F930:F935)-MAX(F959,F963))&lt;0,"ERR",SUM(F930:F935))</f>
        <v>0</v>
      </c>
      <c r="G929" s="104">
        <f t="shared" si="673"/>
        <v>0</v>
      </c>
      <c r="H929" s="104">
        <f t="shared" si="673"/>
        <v>0</v>
      </c>
      <c r="I929" s="104">
        <f t="shared" si="673"/>
        <v>1</v>
      </c>
      <c r="J929" s="104">
        <f t="shared" si="673"/>
        <v>1</v>
      </c>
      <c r="K929" s="104">
        <f t="shared" si="673"/>
        <v>0</v>
      </c>
      <c r="L929" s="104">
        <f t="shared" si="673"/>
        <v>1</v>
      </c>
      <c r="M929" s="104">
        <f t="shared" si="673"/>
        <v>0</v>
      </c>
      <c r="N929" s="104">
        <f t="shared" si="673"/>
        <v>0</v>
      </c>
      <c r="O929" s="104">
        <f t="shared" si="673"/>
        <v>0</v>
      </c>
      <c r="P929" s="104">
        <f t="shared" si="673"/>
        <v>1</v>
      </c>
      <c r="Q929" s="104">
        <f t="shared" si="673"/>
        <v>0</v>
      </c>
    </row>
    <row r="930" ht="24" customHeight="1" spans="1:17">
      <c r="A930" s="99" t="s">
        <v>347</v>
      </c>
      <c r="B930" s="99" t="s">
        <v>299</v>
      </c>
      <c r="C930" s="99" t="s">
        <v>291</v>
      </c>
      <c r="D930" s="48" t="s">
        <v>31</v>
      </c>
      <c r="E930" s="48" t="s">
        <v>406</v>
      </c>
      <c r="F930" s="105">
        <f>COUNTIFS('2024数据'!$P$3:$P$152,"&gt;="&amp;DATE(2024,1,1),'2024数据'!$P$3:$P$152,"&lt;="&amp;DATE(2024,1,31),'2024数据'!$AE$3:$AE$152,$E930)</f>
        <v>0</v>
      </c>
      <c r="G930" s="105">
        <f>COUNTIFS('2024数据'!$P$3:$P$152,"&gt;="&amp;DATE(2024,2,1),'2024数据'!$P$3:$P$152,"&lt;="&amp;DATE(2024,2,29),'2024数据'!$AE$3:$AE$152,$E930)</f>
        <v>0</v>
      </c>
      <c r="H930" s="105">
        <f>COUNTIFS('2024数据'!$P$3:$P$152,"&gt;="&amp;DATE(2024,3,1),'2024数据'!$P$3:$P$152,"&lt;="&amp;DATE(2024,3,31),'2024数据'!$AE$3:$AE$152,$E930)</f>
        <v>0</v>
      </c>
      <c r="I930" s="105">
        <f>COUNTIFS('2024数据'!$P$3:$P$152,"&gt;="&amp;DATE(2024,4,1),'2024数据'!$P$3:$P$152,"&lt;="&amp;DATE(2024,4,30),'2024数据'!$AE$3:$AE$152,$E930)</f>
        <v>1</v>
      </c>
      <c r="J930" s="105">
        <f>COUNTIFS('2024数据'!$P$3:$P$152,"&gt;="&amp;DATE(2024,5,1),'2024数据'!$P$3:$P$152,"&lt;="&amp;DATE(2024,5,31),'2024数据'!$AE$3:$AE$152,$E930)</f>
        <v>0</v>
      </c>
      <c r="K930" s="105">
        <f>COUNTIFS('2024数据'!$P$3:$P$152,"&gt;="&amp;DATE(2024,6,1),'2024数据'!$P$3:$P$152,"&lt;="&amp;DATE(2024,6,30),'2024数据'!$AE$3:$AE$152,$E930)</f>
        <v>0</v>
      </c>
      <c r="L930" s="105">
        <f>COUNTIFS('2024数据'!$P$3:$P$152,"&gt;="&amp;DATE(2024,7,1),'2024数据'!$P$3:$P$152,"&lt;="&amp;DATE(2024,7,31),'2024数据'!$AE$3:$AE$152,$E930)</f>
        <v>0</v>
      </c>
      <c r="M930" s="105">
        <f>COUNTIFS('2024数据'!$P$3:$P$152,"&gt;="&amp;DATE(2024,8,1),'2024数据'!$P$3:$P$152,"&lt;="&amp;DATE(2024,8,31),'2024数据'!$AE$3:$AE$152,$E930)</f>
        <v>0</v>
      </c>
      <c r="N930" s="105">
        <f>COUNTIFS('2024数据'!$P$3:$P$152,"&gt;="&amp;DATE(2024,9,1),'2024数据'!$P$3:$P$152,"&lt;="&amp;DATE(2024,9,30),'2024数据'!$AE$3:$AE$152,$E930)</f>
        <v>0</v>
      </c>
      <c r="O930" s="105">
        <f>COUNTIFS('2024数据'!$P$3:$P$152,"&gt;="&amp;DATE(2024,10,1),'2024数据'!$P$3:$P$152,"&lt;="&amp;DATE(2024,10,31),'2024数据'!$AE$3:$AE$152,$E930)</f>
        <v>0</v>
      </c>
      <c r="P930" s="105">
        <f>COUNTIFS('2024数据'!$P$3:$P$152,"&gt;="&amp;DATE(2024,11,1),'2024数据'!$P$3:$P$152,"&lt;="&amp;DATE(2024,11,30),'2024数据'!$AE$3:$AE$152,$E930)</f>
        <v>0</v>
      </c>
      <c r="Q930" s="105">
        <f>COUNTIFS('2024数据'!$P$3:$P$152,"&gt;="&amp;DATE(2024,12,1),'2024数据'!$P$3:$P$152,"&lt;="&amp;DATE(2024,12,31),'2024数据'!$AE$3:$AE$152,$E930)</f>
        <v>0</v>
      </c>
    </row>
    <row r="931" ht="24" customHeight="1" spans="1:17">
      <c r="A931" s="99" t="s">
        <v>347</v>
      </c>
      <c r="B931" s="99" t="s">
        <v>299</v>
      </c>
      <c r="C931" s="99" t="s">
        <v>291</v>
      </c>
      <c r="D931" s="48" t="s">
        <v>31</v>
      </c>
      <c r="E931" s="48" t="s">
        <v>82</v>
      </c>
      <c r="F931" s="105">
        <f>COUNTIFS('2024数据'!$P$3:$P$152,"&gt;="&amp;DATE(2024,1,1),'2024数据'!$P$3:$P$152,"&lt;="&amp;DATE(2024,1,31),'2024数据'!$AE$3:$AE$152,$E931)</f>
        <v>0</v>
      </c>
      <c r="G931" s="105">
        <f>COUNTIFS('2024数据'!$P$3:$P$152,"&gt;="&amp;DATE(2024,2,1),'2024数据'!$P$3:$P$152,"&lt;="&amp;DATE(2024,2,29),'2024数据'!$AE$3:$AE$152,$E931)</f>
        <v>0</v>
      </c>
      <c r="H931" s="105">
        <f>COUNTIFS('2024数据'!$P$3:$P$152,"&gt;="&amp;DATE(2024,3,1),'2024数据'!$P$3:$P$152,"&lt;="&amp;DATE(2024,3,31),'2024数据'!$AE$3:$AE$152,$E931)</f>
        <v>0</v>
      </c>
      <c r="I931" s="105">
        <f>COUNTIFS('2024数据'!$P$3:$P$152,"&gt;="&amp;DATE(2024,4,1),'2024数据'!$P$3:$P$152,"&lt;="&amp;DATE(2024,4,30),'2024数据'!$AE$3:$AE$152,$E931)</f>
        <v>0</v>
      </c>
      <c r="J931" s="105">
        <f>COUNTIFS('2024数据'!$P$3:$P$152,"&gt;="&amp;DATE(2024,5,1),'2024数据'!$P$3:$P$152,"&lt;="&amp;DATE(2024,5,31),'2024数据'!$AE$3:$AE$152,$E931)</f>
        <v>0</v>
      </c>
      <c r="K931" s="105">
        <f>COUNTIFS('2024数据'!$P$3:$P$152,"&gt;="&amp;DATE(2024,6,1),'2024数据'!$P$3:$P$152,"&lt;="&amp;DATE(2024,6,30),'2024数据'!$AE$3:$AE$152,$E931)</f>
        <v>0</v>
      </c>
      <c r="L931" s="105">
        <f>COUNTIFS('2024数据'!$P$3:$P$152,"&gt;="&amp;DATE(2024,7,1),'2024数据'!$P$3:$P$152,"&lt;="&amp;DATE(2024,7,31),'2024数据'!$AE$3:$AE$152,$E931)</f>
        <v>0</v>
      </c>
      <c r="M931" s="105">
        <f>COUNTIFS('2024数据'!$P$3:$P$152,"&gt;="&amp;DATE(2024,8,1),'2024数据'!$P$3:$P$152,"&lt;="&amp;DATE(2024,8,31),'2024数据'!$AE$3:$AE$152,$E931)</f>
        <v>0</v>
      </c>
      <c r="N931" s="105">
        <f>COUNTIFS('2024数据'!$P$3:$P$152,"&gt;="&amp;DATE(2024,9,1),'2024数据'!$P$3:$P$152,"&lt;="&amp;DATE(2024,9,30),'2024数据'!$AE$3:$AE$152,$E931)</f>
        <v>0</v>
      </c>
      <c r="O931" s="105">
        <f>COUNTIFS('2024数据'!$P$3:$P$152,"&gt;="&amp;DATE(2024,10,1),'2024数据'!$P$3:$P$152,"&lt;="&amp;DATE(2024,10,31),'2024数据'!$AE$3:$AE$152,$E931)</f>
        <v>0</v>
      </c>
      <c r="P931" s="105">
        <f>COUNTIFS('2024数据'!$P$3:$P$152,"&gt;="&amp;DATE(2024,11,1),'2024数据'!$P$3:$P$152,"&lt;="&amp;DATE(2024,11,30),'2024数据'!$AE$3:$AE$152,$E931)</f>
        <v>0</v>
      </c>
      <c r="Q931" s="105">
        <f>COUNTIFS('2024数据'!$P$3:$P$152,"&gt;="&amp;DATE(2024,12,1),'2024数据'!$P$3:$P$152,"&lt;="&amp;DATE(2024,12,31),'2024数据'!$AE$3:$AE$152,$E931)</f>
        <v>0</v>
      </c>
    </row>
    <row r="932" ht="24" customHeight="1" spans="1:17">
      <c r="A932" s="99" t="s">
        <v>347</v>
      </c>
      <c r="B932" s="99" t="s">
        <v>299</v>
      </c>
      <c r="C932" s="99" t="s">
        <v>291</v>
      </c>
      <c r="D932" s="48" t="s">
        <v>31</v>
      </c>
      <c r="E932" s="48" t="s">
        <v>86</v>
      </c>
      <c r="F932" s="105">
        <f>COUNTIFS('2024数据'!$P$3:$P$152,"&gt;="&amp;DATE(2024,1,1),'2024数据'!$P$3:$P$152,"&lt;="&amp;DATE(2024,1,31),'2024数据'!$AE$3:$AE$152,$E932)</f>
        <v>0</v>
      </c>
      <c r="G932" s="105">
        <f>COUNTIFS('2024数据'!$P$3:$P$152,"&gt;="&amp;DATE(2024,2,1),'2024数据'!$P$3:$P$152,"&lt;="&amp;DATE(2024,2,29),'2024数据'!$AE$3:$AE$152,$E932)</f>
        <v>0</v>
      </c>
      <c r="H932" s="105">
        <f>COUNTIFS('2024数据'!$P$3:$P$152,"&gt;="&amp;DATE(2024,3,1),'2024数据'!$P$3:$P$152,"&lt;="&amp;DATE(2024,3,31),'2024数据'!$AE$3:$AE$152,$E932)</f>
        <v>0</v>
      </c>
      <c r="I932" s="105">
        <f>COUNTIFS('2024数据'!$P$3:$P$152,"&gt;="&amp;DATE(2024,4,1),'2024数据'!$P$3:$P$152,"&lt;="&amp;DATE(2024,4,30),'2024数据'!$AE$3:$AE$152,$E932)</f>
        <v>0</v>
      </c>
      <c r="J932" s="105">
        <f>COUNTIFS('2024数据'!$P$3:$P$152,"&gt;="&amp;DATE(2024,5,1),'2024数据'!$P$3:$P$152,"&lt;="&amp;DATE(2024,5,31),'2024数据'!$AE$3:$AE$152,$E932)</f>
        <v>0</v>
      </c>
      <c r="K932" s="105">
        <f>COUNTIFS('2024数据'!$P$3:$P$152,"&gt;="&amp;DATE(2024,6,1),'2024数据'!$P$3:$P$152,"&lt;="&amp;DATE(2024,6,30),'2024数据'!$AE$3:$AE$152,$E932)</f>
        <v>0</v>
      </c>
      <c r="L932" s="105">
        <f>COUNTIFS('2024数据'!$P$3:$P$152,"&gt;="&amp;DATE(2024,7,1),'2024数据'!$P$3:$P$152,"&lt;="&amp;DATE(2024,7,31),'2024数据'!$AE$3:$AE$152,$E932)</f>
        <v>0</v>
      </c>
      <c r="M932" s="105">
        <f>COUNTIFS('2024数据'!$P$3:$P$152,"&gt;="&amp;DATE(2024,8,1),'2024数据'!$P$3:$P$152,"&lt;="&amp;DATE(2024,8,31),'2024数据'!$AE$3:$AE$152,$E932)</f>
        <v>0</v>
      </c>
      <c r="N932" s="105">
        <f>COUNTIFS('2024数据'!$P$3:$P$152,"&gt;="&amp;DATE(2024,9,1),'2024数据'!$P$3:$P$152,"&lt;="&amp;DATE(2024,9,30),'2024数据'!$AE$3:$AE$152,$E932)</f>
        <v>0</v>
      </c>
      <c r="O932" s="105">
        <f>COUNTIFS('2024数据'!$P$3:$P$152,"&gt;="&amp;DATE(2024,10,1),'2024数据'!$P$3:$P$152,"&lt;="&amp;DATE(2024,10,31),'2024数据'!$AE$3:$AE$152,$E932)</f>
        <v>0</v>
      </c>
      <c r="P932" s="105">
        <f>COUNTIFS('2024数据'!$P$3:$P$152,"&gt;="&amp;DATE(2024,11,1),'2024数据'!$P$3:$P$152,"&lt;="&amp;DATE(2024,11,30),'2024数据'!$AE$3:$AE$152,$E932)</f>
        <v>0</v>
      </c>
      <c r="Q932" s="105">
        <f>COUNTIFS('2024数据'!$P$3:$P$152,"&gt;="&amp;DATE(2024,12,1),'2024数据'!$P$3:$P$152,"&lt;="&amp;DATE(2024,12,31),'2024数据'!$AE$3:$AE$152,$E932)</f>
        <v>0</v>
      </c>
    </row>
    <row r="933" ht="24" customHeight="1" spans="1:17">
      <c r="A933" s="99" t="s">
        <v>347</v>
      </c>
      <c r="B933" s="99" t="s">
        <v>299</v>
      </c>
      <c r="C933" s="99" t="s">
        <v>291</v>
      </c>
      <c r="D933" s="48" t="s">
        <v>31</v>
      </c>
      <c r="E933" s="48" t="s">
        <v>97</v>
      </c>
      <c r="F933" s="105">
        <f>COUNTIFS('2024数据'!$P$3:$P$152,"&gt;="&amp;DATE(2024,1,1),'2024数据'!$P$3:$P$152,"&lt;="&amp;DATE(2024,1,31),'2024数据'!$AE$3:$AE$152,$E933)</f>
        <v>0</v>
      </c>
      <c r="G933" s="105">
        <f>COUNTIFS('2024数据'!$P$3:$P$152,"&gt;="&amp;DATE(2024,2,1),'2024数据'!$P$3:$P$152,"&lt;="&amp;DATE(2024,2,29),'2024数据'!$AE$3:$AE$152,$E933)</f>
        <v>0</v>
      </c>
      <c r="H933" s="105">
        <f>COUNTIFS('2024数据'!$P$3:$P$152,"&gt;="&amp;DATE(2024,3,1),'2024数据'!$P$3:$P$152,"&lt;="&amp;DATE(2024,3,31),'2024数据'!$AE$3:$AE$152,$E933)</f>
        <v>0</v>
      </c>
      <c r="I933" s="105">
        <f>COUNTIFS('2024数据'!$P$3:$P$152,"&gt;="&amp;DATE(2024,4,1),'2024数据'!$P$3:$P$152,"&lt;="&amp;DATE(2024,4,30),'2024数据'!$AE$3:$AE$152,$E933)</f>
        <v>0</v>
      </c>
      <c r="J933" s="105">
        <f>COUNTIFS('2024数据'!$P$3:$P$152,"&gt;="&amp;DATE(2024,5,1),'2024数据'!$P$3:$P$152,"&lt;="&amp;DATE(2024,5,31),'2024数据'!$AE$3:$AE$152,$E933)</f>
        <v>1</v>
      </c>
      <c r="K933" s="105">
        <f>COUNTIFS('2024数据'!$P$3:$P$152,"&gt;="&amp;DATE(2024,6,1),'2024数据'!$P$3:$P$152,"&lt;="&amp;DATE(2024,6,30),'2024数据'!$AE$3:$AE$152,$E933)</f>
        <v>0</v>
      </c>
      <c r="L933" s="105">
        <f>COUNTIFS('2024数据'!$P$3:$P$152,"&gt;="&amp;DATE(2024,7,1),'2024数据'!$P$3:$P$152,"&lt;="&amp;DATE(2024,7,31),'2024数据'!$AE$3:$AE$152,$E933)</f>
        <v>0</v>
      </c>
      <c r="M933" s="105">
        <f>COUNTIFS('2024数据'!$P$3:$P$152,"&gt;="&amp;DATE(2024,8,1),'2024数据'!$P$3:$P$152,"&lt;="&amp;DATE(2024,8,31),'2024数据'!$AE$3:$AE$152,$E933)</f>
        <v>0</v>
      </c>
      <c r="N933" s="105">
        <f>COUNTIFS('2024数据'!$P$3:$P$152,"&gt;="&amp;DATE(2024,9,1),'2024数据'!$P$3:$P$152,"&lt;="&amp;DATE(2024,9,30),'2024数据'!$AE$3:$AE$152,$E933)</f>
        <v>0</v>
      </c>
      <c r="O933" s="105">
        <f>COUNTIFS('2024数据'!$P$3:$P$152,"&gt;="&amp;DATE(2024,10,1),'2024数据'!$P$3:$P$152,"&lt;="&amp;DATE(2024,10,31),'2024数据'!$AE$3:$AE$152,$E933)</f>
        <v>0</v>
      </c>
      <c r="P933" s="105">
        <f>COUNTIFS('2024数据'!$P$3:$P$152,"&gt;="&amp;DATE(2024,11,1),'2024数据'!$P$3:$P$152,"&lt;="&amp;DATE(2024,11,30),'2024数据'!$AE$3:$AE$152,$E933)</f>
        <v>0</v>
      </c>
      <c r="Q933" s="105">
        <f>COUNTIFS('2024数据'!$P$3:$P$152,"&gt;="&amp;DATE(2024,12,1),'2024数据'!$P$3:$P$152,"&lt;="&amp;DATE(2024,12,31),'2024数据'!$AE$3:$AE$152,$E933)</f>
        <v>0</v>
      </c>
    </row>
    <row r="934" ht="24" customHeight="1" spans="1:17">
      <c r="A934" s="99" t="s">
        <v>347</v>
      </c>
      <c r="B934" s="99" t="s">
        <v>299</v>
      </c>
      <c r="C934" s="99" t="s">
        <v>291</v>
      </c>
      <c r="D934" s="48" t="s">
        <v>31</v>
      </c>
      <c r="E934" s="48" t="s">
        <v>87</v>
      </c>
      <c r="F934" s="105">
        <f>COUNTIFS('2024数据'!$P$3:$P$152,"&gt;="&amp;DATE(2024,1,1),'2024数据'!$P$3:$P$152,"&lt;="&amp;DATE(2024,1,31),'2024数据'!$AE$3:$AE$152,$E934)</f>
        <v>0</v>
      </c>
      <c r="G934" s="105">
        <f>COUNTIFS('2024数据'!$P$3:$P$152,"&gt;="&amp;DATE(2024,2,1),'2024数据'!$P$3:$P$152,"&lt;="&amp;DATE(2024,2,29),'2024数据'!$AE$3:$AE$152,$E934)</f>
        <v>0</v>
      </c>
      <c r="H934" s="105">
        <f>COUNTIFS('2024数据'!$P$3:$P$152,"&gt;="&amp;DATE(2024,3,1),'2024数据'!$P$3:$P$152,"&lt;="&amp;DATE(2024,3,31),'2024数据'!$AE$3:$AE$152,$E934)</f>
        <v>0</v>
      </c>
      <c r="I934" s="105">
        <f>COUNTIFS('2024数据'!$P$3:$P$152,"&gt;="&amp;DATE(2024,4,1),'2024数据'!$P$3:$P$152,"&lt;="&amp;DATE(2024,4,30),'2024数据'!$AE$3:$AE$152,$E934)</f>
        <v>0</v>
      </c>
      <c r="J934" s="105">
        <f>COUNTIFS('2024数据'!$P$3:$P$152,"&gt;="&amp;DATE(2024,5,1),'2024数据'!$P$3:$P$152,"&lt;="&amp;DATE(2024,5,31),'2024数据'!$AE$3:$AE$152,$E934)</f>
        <v>0</v>
      </c>
      <c r="K934" s="105">
        <f>COUNTIFS('2024数据'!$P$3:$P$152,"&gt;="&amp;DATE(2024,6,1),'2024数据'!$P$3:$P$152,"&lt;="&amp;DATE(2024,6,30),'2024数据'!$AE$3:$AE$152,$E934)</f>
        <v>0</v>
      </c>
      <c r="L934" s="105">
        <f>COUNTIFS('2024数据'!$P$3:$P$152,"&gt;="&amp;DATE(2024,7,1),'2024数据'!$P$3:$P$152,"&lt;="&amp;DATE(2024,7,31),'2024数据'!$AE$3:$AE$152,$E934)</f>
        <v>1</v>
      </c>
      <c r="M934" s="105">
        <f>COUNTIFS('2024数据'!$P$3:$P$152,"&gt;="&amp;DATE(2024,8,1),'2024数据'!$P$3:$P$152,"&lt;="&amp;DATE(2024,8,31),'2024数据'!$AE$3:$AE$152,$E934)</f>
        <v>0</v>
      </c>
      <c r="N934" s="105">
        <f>COUNTIFS('2024数据'!$P$3:$P$152,"&gt;="&amp;DATE(2024,9,1),'2024数据'!$P$3:$P$152,"&lt;="&amp;DATE(2024,9,30),'2024数据'!$AE$3:$AE$152,$E934)</f>
        <v>0</v>
      </c>
      <c r="O934" s="105">
        <f>COUNTIFS('2024数据'!$P$3:$P$152,"&gt;="&amp;DATE(2024,10,1),'2024数据'!$P$3:$P$152,"&lt;="&amp;DATE(2024,10,31),'2024数据'!$AE$3:$AE$152,$E934)</f>
        <v>0</v>
      </c>
      <c r="P934" s="105">
        <f>COUNTIFS('2024数据'!$P$3:$P$152,"&gt;="&amp;DATE(2024,11,1),'2024数据'!$P$3:$P$152,"&lt;="&amp;DATE(2024,11,30),'2024数据'!$AE$3:$AE$152,$E934)</f>
        <v>1</v>
      </c>
      <c r="Q934" s="105">
        <f>COUNTIFS('2024数据'!$P$3:$P$152,"&gt;="&amp;DATE(2024,12,1),'2024数据'!$P$3:$P$152,"&lt;="&amp;DATE(2024,12,31),'2024数据'!$AE$3:$AE$152,$E934)</f>
        <v>0</v>
      </c>
    </row>
    <row r="935" ht="24" customHeight="1" spans="1:17">
      <c r="A935" s="99" t="s">
        <v>347</v>
      </c>
      <c r="B935" s="99" t="s">
        <v>299</v>
      </c>
      <c r="C935" s="99" t="s">
        <v>291</v>
      </c>
      <c r="D935" s="48" t="s">
        <v>31</v>
      </c>
      <c r="E935" s="48" t="s">
        <v>83</v>
      </c>
      <c r="F935" s="105">
        <f>COUNTIFS('2024数据'!$P$3:$P$152,"&gt;="&amp;DATE(2024,1,1),'2024数据'!$P$3:$P$152,"&lt;="&amp;DATE(2024,1,31),'2024数据'!$AE$3:$AE$152,$E935)</f>
        <v>0</v>
      </c>
      <c r="G935" s="105">
        <f>COUNTIFS('2024数据'!$P$3:$P$152,"&gt;="&amp;DATE(2024,2,1),'2024数据'!$P$3:$P$152,"&lt;="&amp;DATE(2024,2,29),'2024数据'!$AE$3:$AE$152,$E935)</f>
        <v>0</v>
      </c>
      <c r="H935" s="105">
        <f>COUNTIFS('2024数据'!$P$3:$P$152,"&gt;="&amp;DATE(2024,3,1),'2024数据'!$P$3:$P$152,"&lt;="&amp;DATE(2024,3,31),'2024数据'!$AE$3:$AE$152,$E935)</f>
        <v>0</v>
      </c>
      <c r="I935" s="105">
        <f>COUNTIFS('2024数据'!$P$3:$P$152,"&gt;="&amp;DATE(2024,4,1),'2024数据'!$P$3:$P$152,"&lt;="&amp;DATE(2024,4,30),'2024数据'!$AE$3:$AE$152,$E935)</f>
        <v>0</v>
      </c>
      <c r="J935" s="105">
        <f>COUNTIFS('2024数据'!$P$3:$P$152,"&gt;="&amp;DATE(2024,5,1),'2024数据'!$P$3:$P$152,"&lt;="&amp;DATE(2024,5,31),'2024数据'!$AE$3:$AE$152,$E935)</f>
        <v>0</v>
      </c>
      <c r="K935" s="105">
        <f>COUNTIFS('2024数据'!$P$3:$P$152,"&gt;="&amp;DATE(2024,6,1),'2024数据'!$P$3:$P$152,"&lt;="&amp;DATE(2024,6,30),'2024数据'!$AE$3:$AE$152,$E935)</f>
        <v>0</v>
      </c>
      <c r="L935" s="105">
        <f>COUNTIFS('2024数据'!$P$3:$P$152,"&gt;="&amp;DATE(2024,7,1),'2024数据'!$P$3:$P$152,"&lt;="&amp;DATE(2024,7,31),'2024数据'!$AE$3:$AE$152,$E935)</f>
        <v>0</v>
      </c>
      <c r="M935" s="105">
        <f>COUNTIFS('2024数据'!$P$3:$P$152,"&gt;="&amp;DATE(2024,8,1),'2024数据'!$P$3:$P$152,"&lt;="&amp;DATE(2024,8,31),'2024数据'!$AE$3:$AE$152,$E935)</f>
        <v>0</v>
      </c>
      <c r="N935" s="105">
        <f>COUNTIFS('2024数据'!$P$3:$P$152,"&gt;="&amp;DATE(2024,9,1),'2024数据'!$P$3:$P$152,"&lt;="&amp;DATE(2024,9,30),'2024数据'!$AE$3:$AE$152,$E935)</f>
        <v>0</v>
      </c>
      <c r="O935" s="105">
        <f>COUNTIFS('2024数据'!$P$3:$P$152,"&gt;="&amp;DATE(2024,10,1),'2024数据'!$P$3:$P$152,"&lt;="&amp;DATE(2024,10,31),'2024数据'!$AE$3:$AE$152,$E935)</f>
        <v>0</v>
      </c>
      <c r="P935" s="105">
        <f>COUNTIFS('2024数据'!$P$3:$P$152,"&gt;="&amp;DATE(2024,11,1),'2024数据'!$P$3:$P$152,"&lt;="&amp;DATE(2024,11,30),'2024数据'!$AE$3:$AE$152,$E935)</f>
        <v>0</v>
      </c>
      <c r="Q935" s="105">
        <f>COUNTIFS('2024数据'!$P$3:$P$152,"&gt;="&amp;DATE(2024,12,1),'2024数据'!$P$3:$P$152,"&lt;="&amp;DATE(2024,12,31),'2024数据'!$AE$3:$AE$152,$E935)</f>
        <v>0</v>
      </c>
    </row>
    <row r="936" ht="24" customHeight="1" spans="1:17">
      <c r="A936" s="99" t="s">
        <v>347</v>
      </c>
      <c r="B936" s="99" t="s">
        <v>299</v>
      </c>
      <c r="C936" s="99" t="s">
        <v>291</v>
      </c>
      <c r="D936" s="47" t="s">
        <v>294</v>
      </c>
      <c r="E936" s="47" t="s">
        <v>93</v>
      </c>
      <c r="F936" s="106">
        <f>COUNTIFS('2024数据'!$P$3:$P$152,"&gt;="&amp;DATE(2024,1,1),'2024数据'!$P$3:$P$152,"&lt;="&amp;DATE(2024,1,31),'2024数据'!$B$3:$B$152,$E936)</f>
        <v>0</v>
      </c>
      <c r="G936" s="106">
        <f>COUNTIFS('2024数据'!$P$3:$P$152,"&gt;="&amp;DATE(2024,2,1),'2024数据'!$P$3:$P$152,"&lt;="&amp;DATE(2024,2,29),'2024数据'!$B$3:$B$152,$E936)</f>
        <v>0</v>
      </c>
      <c r="H936" s="106">
        <f>COUNTIFS('2024数据'!$P$3:$P$152,"&gt;="&amp;DATE(2024,3,1),'2024数据'!$P$3:$P$152,"&lt;="&amp;DATE(2024,3,31),'2024数据'!$B$3:$B$152,$E936)</f>
        <v>0</v>
      </c>
      <c r="I936" s="106">
        <f>COUNTIFS('2024数据'!$P$3:$P$152,"&gt;="&amp;DATE(2024,4,1),'2024数据'!$P$3:$P$152,"&lt;="&amp;DATE(2024,4,30),'2024数据'!$B$3:$B$152,$E936)</f>
        <v>0</v>
      </c>
      <c r="J936" s="106">
        <f>COUNTIFS('2024数据'!$P$3:$P$152,"&gt;="&amp;DATE(2024,5,1),'2024数据'!$P$3:$P$152,"&lt;="&amp;DATE(2024,5,31),'2024数据'!$B$3:$B$152,$E936)</f>
        <v>1</v>
      </c>
      <c r="K936" s="106">
        <f>COUNTIFS('2024数据'!$P$3:$P$152,"&gt;="&amp;DATE(2024,6,1),'2024数据'!$P$3:$P$152,"&lt;="&amp;DATE(2024,6,30),'2024数据'!$B$3:$B$152,$E936)</f>
        <v>0</v>
      </c>
      <c r="L936" s="106">
        <f>COUNTIFS('2024数据'!$P$3:$P$152,"&gt;="&amp;DATE(2024,7,1),'2024数据'!$P$3:$P$152,"&lt;="&amp;DATE(2024,7,31),'2024数据'!$B$3:$B$152,$E936)</f>
        <v>0</v>
      </c>
      <c r="M936" s="106">
        <f>COUNTIFS('2024数据'!$P$3:$P$152,"&gt;="&amp;DATE(2024,8,1),'2024数据'!$P$3:$P$152,"&lt;="&amp;DATE(2024,8,31),'2024数据'!$B$3:$B$152,$E936)</f>
        <v>0</v>
      </c>
      <c r="N936" s="106">
        <f>COUNTIFS('2024数据'!$P$3:$P$152,"&gt;="&amp;DATE(2024,9,1),'2024数据'!$P$3:$P$152,"&lt;="&amp;DATE(2024,9,30),'2024数据'!$B$3:$B$152,$E936)</f>
        <v>0</v>
      </c>
      <c r="O936" s="106">
        <f>COUNTIFS('2024数据'!$P$3:$P$152,"&gt;="&amp;DATE(2024,10,1),'2024数据'!$P$3:$P$152,"&lt;="&amp;DATE(2024,10,31),'2024数据'!$B$3:$B$152,$E936)</f>
        <v>0</v>
      </c>
      <c r="P936" s="106">
        <f>COUNTIFS('2024数据'!$P$3:$P$152,"&gt;="&amp;DATE(2024,11,1),'2024数据'!$P$3:$P$152,"&lt;="&amp;DATE(2024,11,30),'2024数据'!$B$3:$B$152,$E936)</f>
        <v>1</v>
      </c>
      <c r="Q936" s="106">
        <f>COUNTIFS('2024数据'!$P$3:$P$152,"&gt;="&amp;DATE(2024,12,1),'2024数据'!$P$3:$P$152,"&lt;="&amp;DATE(2024,12,31),'2024数据'!$B$3:$B$152,$E936)</f>
        <v>0</v>
      </c>
    </row>
    <row r="937" ht="24" customHeight="1" spans="1:17">
      <c r="A937" s="99" t="s">
        <v>347</v>
      </c>
      <c r="B937" s="99" t="s">
        <v>299</v>
      </c>
      <c r="C937" s="99" t="s">
        <v>291</v>
      </c>
      <c r="D937" s="47" t="s">
        <v>294</v>
      </c>
      <c r="E937" s="47" t="s">
        <v>85</v>
      </c>
      <c r="F937" s="106">
        <f>COUNTIFS('2024数据'!$P$3:$P$152,"&gt;="&amp;DATE(2024,1,1),'2024数据'!$P$3:$P$152,"&lt;="&amp;DATE(2024,1,31),'2024数据'!$B$3:$B$152,$E937)</f>
        <v>0</v>
      </c>
      <c r="G937" s="106">
        <f>COUNTIFS('2024数据'!$P$3:$P$152,"&gt;="&amp;DATE(2024,2,1),'2024数据'!$P$3:$P$152,"&lt;="&amp;DATE(2024,2,29),'2024数据'!$B$3:$B$152,$E937)</f>
        <v>0</v>
      </c>
      <c r="H937" s="106">
        <f>COUNTIFS('2024数据'!$P$3:$P$152,"&gt;="&amp;DATE(2024,3,1),'2024数据'!$P$3:$P$152,"&lt;="&amp;DATE(2024,3,31),'2024数据'!$B$3:$B$152,$E937)</f>
        <v>0</v>
      </c>
      <c r="I937" s="106">
        <f>COUNTIFS('2024数据'!$P$3:$P$152,"&gt;="&amp;DATE(2024,4,1),'2024数据'!$P$3:$P$152,"&lt;="&amp;DATE(2024,4,30),'2024数据'!$B$3:$B$152,$E937)</f>
        <v>0</v>
      </c>
      <c r="J937" s="106">
        <f>COUNTIFS('2024数据'!$P$3:$P$152,"&gt;="&amp;DATE(2024,5,1),'2024数据'!$P$3:$P$152,"&lt;="&amp;DATE(2024,5,31),'2024数据'!$B$3:$B$152,$E937)</f>
        <v>0</v>
      </c>
      <c r="K937" s="106">
        <f>COUNTIFS('2024数据'!$P$3:$P$152,"&gt;="&amp;DATE(2024,6,1),'2024数据'!$P$3:$P$152,"&lt;="&amp;DATE(2024,6,30),'2024数据'!$B$3:$B$152,$E937)</f>
        <v>0</v>
      </c>
      <c r="L937" s="106">
        <f>COUNTIFS('2024数据'!$P$3:$P$152,"&gt;="&amp;DATE(2024,7,1),'2024数据'!$P$3:$P$152,"&lt;="&amp;DATE(2024,7,31),'2024数据'!$B$3:$B$152,$E937)</f>
        <v>0</v>
      </c>
      <c r="M937" s="106">
        <f>COUNTIFS('2024数据'!$P$3:$P$152,"&gt;="&amp;DATE(2024,8,1),'2024数据'!$P$3:$P$152,"&lt;="&amp;DATE(2024,8,31),'2024数据'!$B$3:$B$152,$E937)</f>
        <v>0</v>
      </c>
      <c r="N937" s="106">
        <f>COUNTIFS('2024数据'!$P$3:$P$152,"&gt;="&amp;DATE(2024,9,1),'2024数据'!$P$3:$P$152,"&lt;="&amp;DATE(2024,9,30),'2024数据'!$B$3:$B$152,$E937)</f>
        <v>0</v>
      </c>
      <c r="O937" s="106">
        <f>COUNTIFS('2024数据'!$P$3:$P$152,"&gt;="&amp;DATE(2024,10,1),'2024数据'!$P$3:$P$152,"&lt;="&amp;DATE(2024,10,31),'2024数据'!$B$3:$B$152,$E937)</f>
        <v>0</v>
      </c>
      <c r="P937" s="106">
        <f>COUNTIFS('2024数据'!$P$3:$P$152,"&gt;="&amp;DATE(2024,11,1),'2024数据'!$P$3:$P$152,"&lt;="&amp;DATE(2024,11,30),'2024数据'!$B$3:$B$152,$E937)</f>
        <v>0</v>
      </c>
      <c r="Q937" s="106">
        <f>COUNTIFS('2024数据'!$P$3:$P$152,"&gt;="&amp;DATE(2024,12,1),'2024数据'!$P$3:$P$152,"&lt;="&amp;DATE(2024,12,31),'2024数据'!$B$3:$B$152,$E937)</f>
        <v>0</v>
      </c>
    </row>
    <row r="938" ht="24" customHeight="1" spans="1:17">
      <c r="A938" s="99" t="s">
        <v>347</v>
      </c>
      <c r="B938" s="99" t="s">
        <v>299</v>
      </c>
      <c r="C938" s="99" t="s">
        <v>291</v>
      </c>
      <c r="D938" s="47" t="s">
        <v>294</v>
      </c>
      <c r="E938" s="47" t="s">
        <v>81</v>
      </c>
      <c r="F938" s="106">
        <f>COUNTIFS('2024数据'!$P$3:$P$152,"&gt;="&amp;DATE(2024,1,1),'2024数据'!$P$3:$P$152,"&lt;="&amp;DATE(2024,1,31),'2024数据'!$B$3:$B$152,$E938)</f>
        <v>0</v>
      </c>
      <c r="G938" s="106">
        <f>COUNTIFS('2024数据'!$P$3:$P$152,"&gt;="&amp;DATE(2024,2,1),'2024数据'!$P$3:$P$152,"&lt;="&amp;DATE(2024,2,29),'2024数据'!$B$3:$B$152,$E938)</f>
        <v>0</v>
      </c>
      <c r="H938" s="106">
        <f>COUNTIFS('2024数据'!$P$3:$P$152,"&gt;="&amp;DATE(2024,3,1),'2024数据'!$P$3:$P$152,"&lt;="&amp;DATE(2024,3,31),'2024数据'!$B$3:$B$152,$E938)</f>
        <v>0</v>
      </c>
      <c r="I938" s="106">
        <f>COUNTIFS('2024数据'!$P$3:$P$152,"&gt;="&amp;DATE(2024,4,1),'2024数据'!$P$3:$P$152,"&lt;="&amp;DATE(2024,4,30),'2024数据'!$B$3:$B$152,$E938)</f>
        <v>1</v>
      </c>
      <c r="J938" s="106">
        <f>COUNTIFS('2024数据'!$P$3:$P$152,"&gt;="&amp;DATE(2024,5,1),'2024数据'!$P$3:$P$152,"&lt;="&amp;DATE(2024,5,31),'2024数据'!$B$3:$B$152,$E938)</f>
        <v>0</v>
      </c>
      <c r="K938" s="106">
        <f>COUNTIFS('2024数据'!$P$3:$P$152,"&gt;="&amp;DATE(2024,6,1),'2024数据'!$P$3:$P$152,"&lt;="&amp;DATE(2024,6,30),'2024数据'!$B$3:$B$152,$E938)</f>
        <v>0</v>
      </c>
      <c r="L938" s="106">
        <f>COUNTIFS('2024数据'!$P$3:$P$152,"&gt;="&amp;DATE(2024,7,1),'2024数据'!$P$3:$P$152,"&lt;="&amp;DATE(2024,7,31),'2024数据'!$B$3:$B$152,$E938)</f>
        <v>0</v>
      </c>
      <c r="M938" s="106">
        <f>COUNTIFS('2024数据'!$P$3:$P$152,"&gt;="&amp;DATE(2024,8,1),'2024数据'!$P$3:$P$152,"&lt;="&amp;DATE(2024,8,31),'2024数据'!$B$3:$B$152,$E938)</f>
        <v>0</v>
      </c>
      <c r="N938" s="106">
        <f>COUNTIFS('2024数据'!$P$3:$P$152,"&gt;="&amp;DATE(2024,9,1),'2024数据'!$P$3:$P$152,"&lt;="&amp;DATE(2024,9,30),'2024数据'!$B$3:$B$152,$E938)</f>
        <v>0</v>
      </c>
      <c r="O938" s="106">
        <f>COUNTIFS('2024数据'!$P$3:$P$152,"&gt;="&amp;DATE(2024,10,1),'2024数据'!$P$3:$P$152,"&lt;="&amp;DATE(2024,10,31),'2024数据'!$B$3:$B$152,$E938)</f>
        <v>0</v>
      </c>
      <c r="P938" s="106">
        <f>COUNTIFS('2024数据'!$P$3:$P$152,"&gt;="&amp;DATE(2024,11,1),'2024数据'!$P$3:$P$152,"&lt;="&amp;DATE(2024,11,30),'2024数据'!$B$3:$B$152,$E938)</f>
        <v>0</v>
      </c>
      <c r="Q938" s="106">
        <f>COUNTIFS('2024数据'!$P$3:$P$152,"&gt;="&amp;DATE(2024,12,1),'2024数据'!$P$3:$P$152,"&lt;="&amp;DATE(2024,12,31),'2024数据'!$B$3:$B$152,$E938)</f>
        <v>0</v>
      </c>
    </row>
    <row r="939" ht="24" customHeight="1" spans="1:17">
      <c r="A939" s="99" t="s">
        <v>347</v>
      </c>
      <c r="B939" s="99" t="s">
        <v>299</v>
      </c>
      <c r="C939" s="99" t="s">
        <v>291</v>
      </c>
      <c r="D939" s="47" t="s">
        <v>294</v>
      </c>
      <c r="E939" s="47" t="s">
        <v>96</v>
      </c>
      <c r="F939" s="106">
        <f>COUNTIFS('2024数据'!$P$3:$P$152,"&gt;="&amp;DATE(2024,1,1),'2024数据'!$P$3:$P$152,"&lt;="&amp;DATE(2024,1,31),'2024数据'!$B$3:$B$152,$E939)</f>
        <v>0</v>
      </c>
      <c r="G939" s="106">
        <f>COUNTIFS('2024数据'!$P$3:$P$152,"&gt;="&amp;DATE(2024,2,1),'2024数据'!$P$3:$P$152,"&lt;="&amp;DATE(2024,2,29),'2024数据'!$B$3:$B$152,$E939)</f>
        <v>0</v>
      </c>
      <c r="H939" s="106">
        <f>COUNTIFS('2024数据'!$P$3:$P$152,"&gt;="&amp;DATE(2024,3,1),'2024数据'!$P$3:$P$152,"&lt;="&amp;DATE(2024,3,31),'2024数据'!$B$3:$B$152,$E939)</f>
        <v>0</v>
      </c>
      <c r="I939" s="106">
        <f>COUNTIFS('2024数据'!$P$3:$P$152,"&gt;="&amp;DATE(2024,4,1),'2024数据'!$P$3:$P$152,"&lt;="&amp;DATE(2024,4,30),'2024数据'!$B$3:$B$152,$E939)</f>
        <v>0</v>
      </c>
      <c r="J939" s="106">
        <f>COUNTIFS('2024数据'!$P$3:$P$152,"&gt;="&amp;DATE(2024,5,1),'2024数据'!$P$3:$P$152,"&lt;="&amp;DATE(2024,5,31),'2024数据'!$B$3:$B$152,$E939)</f>
        <v>0</v>
      </c>
      <c r="K939" s="106">
        <f>COUNTIFS('2024数据'!$P$3:$P$152,"&gt;="&amp;DATE(2024,6,1),'2024数据'!$P$3:$P$152,"&lt;="&amp;DATE(2024,6,30),'2024数据'!$B$3:$B$152,$E939)</f>
        <v>0</v>
      </c>
      <c r="L939" s="106">
        <f>COUNTIFS('2024数据'!$P$3:$P$152,"&gt;="&amp;DATE(2024,7,1),'2024数据'!$P$3:$P$152,"&lt;="&amp;DATE(2024,7,31),'2024数据'!$B$3:$B$152,$E939)</f>
        <v>1</v>
      </c>
      <c r="M939" s="106">
        <f>COUNTIFS('2024数据'!$P$3:$P$152,"&gt;="&amp;DATE(2024,8,1),'2024数据'!$P$3:$P$152,"&lt;="&amp;DATE(2024,8,31),'2024数据'!$B$3:$B$152,$E939)</f>
        <v>0</v>
      </c>
      <c r="N939" s="106">
        <f>COUNTIFS('2024数据'!$P$3:$P$152,"&gt;="&amp;DATE(2024,9,1),'2024数据'!$P$3:$P$152,"&lt;="&amp;DATE(2024,9,30),'2024数据'!$B$3:$B$152,$E939)</f>
        <v>0</v>
      </c>
      <c r="O939" s="106">
        <f>COUNTIFS('2024数据'!$P$3:$P$152,"&gt;="&amp;DATE(2024,10,1),'2024数据'!$P$3:$P$152,"&lt;="&amp;DATE(2024,10,31),'2024数据'!$B$3:$B$152,$E939)</f>
        <v>0</v>
      </c>
      <c r="P939" s="106">
        <f>COUNTIFS('2024数据'!$P$3:$P$152,"&gt;="&amp;DATE(2024,11,1),'2024数据'!$P$3:$P$152,"&lt;="&amp;DATE(2024,11,30),'2024数据'!$B$3:$B$152,$E939)</f>
        <v>0</v>
      </c>
      <c r="Q939" s="106">
        <f>COUNTIFS('2024数据'!$P$3:$P$152,"&gt;="&amp;DATE(2024,12,1),'2024数据'!$P$3:$P$152,"&lt;="&amp;DATE(2024,12,31),'2024数据'!$B$3:$B$152,$E939)</f>
        <v>0</v>
      </c>
    </row>
    <row r="940" ht="24" customHeight="1" spans="1:17">
      <c r="A940" s="99" t="s">
        <v>347</v>
      </c>
      <c r="B940" s="99" t="s">
        <v>299</v>
      </c>
      <c r="C940" s="99" t="s">
        <v>291</v>
      </c>
      <c r="D940" s="47" t="s">
        <v>294</v>
      </c>
      <c r="E940" s="47" t="s">
        <v>160</v>
      </c>
      <c r="F940" s="106">
        <f t="shared" ref="F940:Q940" si="674">SUM(F930:F935)-SUM(F936:F939)</f>
        <v>0</v>
      </c>
      <c r="G940" s="106">
        <f t="shared" si="674"/>
        <v>0</v>
      </c>
      <c r="H940" s="106">
        <f t="shared" si="674"/>
        <v>0</v>
      </c>
      <c r="I940" s="106">
        <f t="shared" si="674"/>
        <v>0</v>
      </c>
      <c r="J940" s="106">
        <f t="shared" si="674"/>
        <v>0</v>
      </c>
      <c r="K940" s="106">
        <f t="shared" si="674"/>
        <v>0</v>
      </c>
      <c r="L940" s="106">
        <f t="shared" si="674"/>
        <v>0</v>
      </c>
      <c r="M940" s="106">
        <f t="shared" si="674"/>
        <v>0</v>
      </c>
      <c r="N940" s="106">
        <f t="shared" si="674"/>
        <v>0</v>
      </c>
      <c r="O940" s="106">
        <f t="shared" si="674"/>
        <v>0</v>
      </c>
      <c r="P940" s="106">
        <f t="shared" si="674"/>
        <v>0</v>
      </c>
      <c r="Q940" s="106">
        <f t="shared" si="674"/>
        <v>0</v>
      </c>
    </row>
    <row r="941" ht="24" customHeight="1" spans="1:17">
      <c r="A941" s="99" t="s">
        <v>347</v>
      </c>
      <c r="B941" s="99" t="s">
        <v>299</v>
      </c>
      <c r="C941" s="99" t="s">
        <v>291</v>
      </c>
      <c r="D941" s="100" t="s">
        <v>292</v>
      </c>
      <c r="E941" s="110" t="s">
        <v>301</v>
      </c>
      <c r="F941" s="111">
        <f>COUNTIFS('2024数据'!$P$3:$P$152,"&gt;="&amp;DATE(2024,1,1),'2024数据'!$P$3:$P$152,"&lt;="&amp;DATE(2024,1,31),'2024数据'!$BF$3:$BF$152,$E941)</f>
        <v>0</v>
      </c>
      <c r="G941" s="111">
        <f>COUNTIFS('2024数据'!$P$3:$P$152,"&gt;="&amp;DATE(2024,2,1),'2024数据'!$P$3:$P$152,"&lt;="&amp;DATE(2024,2,29),'2024数据'!$BF$3:$BF$152,$E941)</f>
        <v>0</v>
      </c>
      <c r="H941" s="111">
        <f>COUNTIFS('2024数据'!$P$3:$P$152,"&gt;="&amp;DATE(2024,3,1),'2024数据'!$P$3:$P$152,"&lt;="&amp;DATE(2024,3,31),'2024数据'!$BF$3:$BF$152,$E941)</f>
        <v>0</v>
      </c>
      <c r="I941" s="111">
        <f>COUNTIFS('2024数据'!$P$3:$P$152,"&gt;="&amp;DATE(2024,4,1),'2024数据'!$P$3:$P$152,"&lt;="&amp;DATE(2024,4,30),'2024数据'!$BF$3:$BF$152,$E941)</f>
        <v>1</v>
      </c>
      <c r="J941" s="111">
        <f>COUNTIFS('2024数据'!$P$3:$P$152,"&gt;="&amp;DATE(2024,5,1),'2024数据'!$P$3:$P$152,"&lt;="&amp;DATE(2024,5,31),'2024数据'!$BF$3:$BF$152,$E941)</f>
        <v>0</v>
      </c>
      <c r="K941" s="111">
        <f>COUNTIFS('2024数据'!$P$3:$P$152,"&gt;="&amp;DATE(2024,6,1),'2024数据'!$P$3:$P$152,"&lt;="&amp;DATE(2024,6,30),'2024数据'!$BF$3:$BF$152,$E941)</f>
        <v>0</v>
      </c>
      <c r="L941" s="111">
        <f>COUNTIFS('2024数据'!$P$3:$P$152,"&gt;="&amp;DATE(2024,7,1),'2024数据'!$P$3:$P$152,"&lt;="&amp;DATE(2024,7,31),'2024数据'!$BF$3:$BF$152,$E941)</f>
        <v>1</v>
      </c>
      <c r="M941" s="111">
        <f>COUNTIFS('2024数据'!$P$3:$P$152,"&gt;="&amp;DATE(2024,8,1),'2024数据'!$P$3:$P$152,"&lt;="&amp;DATE(2024,8,31),'2024数据'!$BF$3:$BF$152,$E941)</f>
        <v>0</v>
      </c>
      <c r="N941" s="111">
        <f>COUNTIFS('2024数据'!$P$3:$P$152,"&gt;="&amp;DATE(2024,9,1),'2024数据'!$P$3:$P$152,"&lt;="&amp;DATE(2024,9,30),'2024数据'!$BF$3:$BF$152,$E941)</f>
        <v>0</v>
      </c>
      <c r="O941" s="111">
        <f>COUNTIFS('2024数据'!$P$3:$P$152,"&gt;="&amp;DATE(2024,10,1),'2024数据'!$P$3:$P$152,"&lt;="&amp;DATE(2024,10,31),'2024数据'!$BF$3:$BF$152,$E941)</f>
        <v>0</v>
      </c>
      <c r="P941" s="111">
        <f>COUNTIFS('2024数据'!$P$3:$P$152,"&gt;="&amp;DATE(2024,11,1),'2024数据'!$P$3:$P$152,"&lt;="&amp;DATE(2024,11,30),'2024数据'!$BF$3:$BF$152,$E941)</f>
        <v>0</v>
      </c>
      <c r="Q941" s="111">
        <f>COUNTIFS('2024数据'!$P$3:$P$152,"&gt;="&amp;DATE(2024,12,1),'2024数据'!$P$3:$P$152,"&lt;="&amp;DATE(2024,12,31),'2024数据'!$BF$3:$BF$152,$E941)</f>
        <v>0</v>
      </c>
    </row>
    <row r="942" ht="24" customHeight="1" spans="1:17">
      <c r="A942" s="99" t="s">
        <v>347</v>
      </c>
      <c r="B942" s="99" t="s">
        <v>299</v>
      </c>
      <c r="C942" s="99" t="s">
        <v>291</v>
      </c>
      <c r="D942" s="100" t="s">
        <v>292</v>
      </c>
      <c r="E942" s="110" t="s">
        <v>302</v>
      </c>
      <c r="F942" s="111">
        <f>COUNTIFS('2024数据'!$P$3:$P$152,"&gt;="&amp;DATE(2024,1,1),'2024数据'!$P$3:$P$152,"&lt;="&amp;DATE(2024,1,31),'2024数据'!$BF$3:$BF$152,$E942)</f>
        <v>0</v>
      </c>
      <c r="G942" s="111">
        <f>COUNTIFS('2024数据'!$P$3:$P$152,"&gt;="&amp;DATE(2024,2,1),'2024数据'!$P$3:$P$152,"&lt;="&amp;DATE(2024,2,29),'2024数据'!$BF$3:$BF$152,$E942)</f>
        <v>0</v>
      </c>
      <c r="H942" s="111">
        <f>COUNTIFS('2024数据'!$P$3:$P$152,"&gt;="&amp;DATE(2024,3,1),'2024数据'!$P$3:$P$152,"&lt;="&amp;DATE(2024,3,31),'2024数据'!$BF$3:$BF$152,$E942)</f>
        <v>0</v>
      </c>
      <c r="I942" s="111">
        <f>COUNTIFS('2024数据'!$P$3:$P$152,"&gt;="&amp;DATE(2024,4,1),'2024数据'!$P$3:$P$152,"&lt;="&amp;DATE(2024,4,30),'2024数据'!$BF$3:$BF$152,$E942)</f>
        <v>0</v>
      </c>
      <c r="J942" s="111">
        <f>COUNTIFS('2024数据'!$P$3:$P$152,"&gt;="&amp;DATE(2024,5,1),'2024数据'!$P$3:$P$152,"&lt;="&amp;DATE(2024,5,31),'2024数据'!$BF$3:$BF$152,$E942)</f>
        <v>1</v>
      </c>
      <c r="K942" s="111">
        <f>COUNTIFS('2024数据'!$P$3:$P$152,"&gt;="&amp;DATE(2024,6,1),'2024数据'!$P$3:$P$152,"&lt;="&amp;DATE(2024,6,30),'2024数据'!$BF$3:$BF$152,$E942)</f>
        <v>0</v>
      </c>
      <c r="L942" s="111">
        <f>COUNTIFS('2024数据'!$P$3:$P$152,"&gt;="&amp;DATE(2024,7,1),'2024数据'!$P$3:$P$152,"&lt;="&amp;DATE(2024,7,31),'2024数据'!$BF$3:$BF$152,$E942)</f>
        <v>0</v>
      </c>
      <c r="M942" s="111">
        <f>COUNTIFS('2024数据'!$P$3:$P$152,"&gt;="&amp;DATE(2024,8,1),'2024数据'!$P$3:$P$152,"&lt;="&amp;DATE(2024,8,31),'2024数据'!$BF$3:$BF$152,$E942)</f>
        <v>0</v>
      </c>
      <c r="N942" s="111">
        <f>COUNTIFS('2024数据'!$P$3:$P$152,"&gt;="&amp;DATE(2024,9,1),'2024数据'!$P$3:$P$152,"&lt;="&amp;DATE(2024,9,30),'2024数据'!$BF$3:$BF$152,$E942)</f>
        <v>0</v>
      </c>
      <c r="O942" s="111">
        <f>COUNTIFS('2024数据'!$P$3:$P$152,"&gt;="&amp;DATE(2024,10,1),'2024数据'!$P$3:$P$152,"&lt;="&amp;DATE(2024,10,31),'2024数据'!$BF$3:$BF$152,$E942)</f>
        <v>0</v>
      </c>
      <c r="P942" s="111">
        <f>COUNTIFS('2024数据'!$P$3:$P$152,"&gt;="&amp;DATE(2024,11,1),'2024数据'!$P$3:$P$152,"&lt;="&amp;DATE(2024,11,30),'2024数据'!$BF$3:$BF$152,$E942)</f>
        <v>0</v>
      </c>
      <c r="Q942" s="111">
        <f>COUNTIFS('2024数据'!$P$3:$P$152,"&gt;="&amp;DATE(2024,12,1),'2024数据'!$P$3:$P$152,"&lt;="&amp;DATE(2024,12,31),'2024数据'!$BF$3:$BF$152,$E942)</f>
        <v>0</v>
      </c>
    </row>
    <row r="943" ht="24" customHeight="1" spans="1:17">
      <c r="A943" s="99" t="s">
        <v>347</v>
      </c>
      <c r="B943" s="99" t="s">
        <v>299</v>
      </c>
      <c r="C943" s="99" t="s">
        <v>291</v>
      </c>
      <c r="D943" s="100" t="s">
        <v>292</v>
      </c>
      <c r="E943" s="110" t="s">
        <v>150</v>
      </c>
      <c r="F943" s="111">
        <f>COUNTIFS('2024数据'!$P$3:$P$152,"&gt;="&amp;DATE(2024,1,1),'2024数据'!$P$3:$P$152,"&lt;="&amp;DATE(2024,1,31),'2024数据'!$BF$3:$BF$152,$E943)</f>
        <v>0</v>
      </c>
      <c r="G943" s="111">
        <f>COUNTIFS('2024数据'!$P$3:$P$152,"&gt;="&amp;DATE(2024,2,1),'2024数据'!$P$3:$P$152,"&lt;="&amp;DATE(2024,2,29),'2024数据'!$BF$3:$BF$152,$E943)</f>
        <v>0</v>
      </c>
      <c r="H943" s="111">
        <f>COUNTIFS('2024数据'!$P$3:$P$152,"&gt;="&amp;DATE(2024,3,1),'2024数据'!$P$3:$P$152,"&lt;="&amp;DATE(2024,3,31),'2024数据'!$BF$3:$BF$152,$E943)</f>
        <v>0</v>
      </c>
      <c r="I943" s="111">
        <f>COUNTIFS('2024数据'!$P$3:$P$152,"&gt;="&amp;DATE(2024,4,1),'2024数据'!$P$3:$P$152,"&lt;="&amp;DATE(2024,4,30),'2024数据'!$BF$3:$BF$152,$E943)</f>
        <v>0</v>
      </c>
      <c r="J943" s="111">
        <f>COUNTIFS('2024数据'!$P$3:$P$152,"&gt;="&amp;DATE(2024,5,1),'2024数据'!$P$3:$P$152,"&lt;="&amp;DATE(2024,5,31),'2024数据'!$BF$3:$BF$152,$E943)</f>
        <v>0</v>
      </c>
      <c r="K943" s="111">
        <f>COUNTIFS('2024数据'!$P$3:$P$152,"&gt;="&amp;DATE(2024,6,1),'2024数据'!$P$3:$P$152,"&lt;="&amp;DATE(2024,6,30),'2024数据'!$BF$3:$BF$152,$E943)</f>
        <v>0</v>
      </c>
      <c r="L943" s="111">
        <f>COUNTIFS('2024数据'!$P$3:$P$152,"&gt;="&amp;DATE(2024,7,1),'2024数据'!$P$3:$P$152,"&lt;="&amp;DATE(2024,7,31),'2024数据'!$BF$3:$BF$152,$E943)</f>
        <v>0</v>
      </c>
      <c r="M943" s="111">
        <f>COUNTIFS('2024数据'!$P$3:$P$152,"&gt;="&amp;DATE(2024,8,1),'2024数据'!$P$3:$P$152,"&lt;="&amp;DATE(2024,8,31),'2024数据'!$BF$3:$BF$152,$E943)</f>
        <v>0</v>
      </c>
      <c r="N943" s="111">
        <f>COUNTIFS('2024数据'!$P$3:$P$152,"&gt;="&amp;DATE(2024,9,1),'2024数据'!$P$3:$P$152,"&lt;="&amp;DATE(2024,9,30),'2024数据'!$BF$3:$BF$152,$E943)</f>
        <v>0</v>
      </c>
      <c r="O943" s="111">
        <f>COUNTIFS('2024数据'!$P$3:$P$152,"&gt;="&amp;DATE(2024,10,1),'2024数据'!$P$3:$P$152,"&lt;="&amp;DATE(2024,10,31),'2024数据'!$BF$3:$BF$152,$E943)</f>
        <v>0</v>
      </c>
      <c r="P943" s="111">
        <f>COUNTIFS('2024数据'!$P$3:$P$152,"&gt;="&amp;DATE(2024,11,1),'2024数据'!$P$3:$P$152,"&lt;="&amp;DATE(2024,11,30),'2024数据'!$BF$3:$BF$152,$E943)</f>
        <v>1</v>
      </c>
      <c r="Q943" s="111">
        <f>COUNTIFS('2024数据'!$P$3:$P$152,"&gt;="&amp;DATE(2024,12,1),'2024数据'!$P$3:$P$152,"&lt;="&amp;DATE(2024,12,31),'2024数据'!$BF$3:$BF$152,$E943)</f>
        <v>0</v>
      </c>
    </row>
    <row r="944" ht="24" customHeight="1" spans="1:17">
      <c r="A944" s="99" t="s">
        <v>347</v>
      </c>
      <c r="B944" s="99" t="s">
        <v>299</v>
      </c>
      <c r="C944" s="99" t="s">
        <v>291</v>
      </c>
      <c r="D944" s="53" t="s">
        <v>303</v>
      </c>
      <c r="E944" s="53" t="s">
        <v>93</v>
      </c>
      <c r="F944" s="111">
        <f>COUNTIFS('2024数据'!$P$3:$P$152,"&gt;="&amp;DATE(2024,1,1),'2024数据'!$P$3:$P$152,"&lt;="&amp;DATE(2024,1,31),'2024数据'!$BF$3:$BF$152,$E$35,'2024数据'!$B$3:$B$152,'2024整理'!$E936)</f>
        <v>0</v>
      </c>
      <c r="G944" s="111">
        <f>COUNTIFS('2024数据'!$P$3:$P$152,"&gt;="&amp;DATE(2024,2,1),'2024数据'!$P$3:$P$152,"&lt;="&amp;DATE(2024,2,29),'2024数据'!$BF$3:$BF$152,$E$35,'2024数据'!$B$3:$B$152,'2024整理'!$E936)</f>
        <v>0</v>
      </c>
      <c r="H944" s="111">
        <f>COUNTIFS('2024数据'!$P$3:$P$152,"&gt;="&amp;DATE(2024,3,1),'2024数据'!$P$3:$P$152,"&lt;="&amp;DATE(2024,3,31),'2024数据'!$BF$3:$BF$152,$E$35,'2024数据'!$B$3:$B$152,'2024整理'!$E936)</f>
        <v>0</v>
      </c>
      <c r="I944" s="111">
        <f>COUNTIFS('2024数据'!$P$3:$P$152,"&gt;="&amp;DATE(2024,4,1),'2024数据'!$P$3:$P$152,"&lt;="&amp;DATE(2024,4,30),'2024数据'!$BF$3:$BF$152,$E$35,'2024数据'!$B$3:$B$152,'2024整理'!$E936)</f>
        <v>0</v>
      </c>
      <c r="J944" s="111">
        <f>COUNTIFS('2024数据'!$P$3:$P$152,"&gt;="&amp;DATE(2024,5,1),'2024数据'!$P$3:$P$152,"&lt;="&amp;DATE(2024,5,31),'2024数据'!$BF$3:$BF$152,$E$35,'2024数据'!$B$3:$B$152,'2024整理'!$E936)</f>
        <v>0</v>
      </c>
      <c r="K944" s="111">
        <f>COUNTIFS('2024数据'!$P$3:$P$152,"&gt;="&amp;DATE(2024,6,1),'2024数据'!$P$3:$P$152,"&lt;="&amp;DATE(2024,6,30),'2024数据'!$BF$3:$BF$152,$E$35,'2024数据'!$B$3:$B$152,'2024整理'!$E936)</f>
        <v>0</v>
      </c>
      <c r="L944" s="111">
        <f>COUNTIFS('2024数据'!$P$3:$P$152,"&gt;="&amp;DATE(2024,7,1),'2024数据'!$P$3:$P$152,"&lt;="&amp;DATE(2024,7,31),'2024数据'!$BF$3:$BF$152,$E$35,'2024数据'!$B$3:$B$152,'2024整理'!$E936)</f>
        <v>0</v>
      </c>
      <c r="M944" s="111">
        <f>COUNTIFS('2024数据'!$P$3:$P$152,"&gt;="&amp;DATE(2024,8,1),'2024数据'!$P$3:$P$152,"&lt;="&amp;DATE(2024,8,31),'2024数据'!$BF$3:$BF$152,$E$35,'2024数据'!$B$3:$B$152,'2024整理'!$E936)</f>
        <v>0</v>
      </c>
      <c r="N944" s="111">
        <f>COUNTIFS('2024数据'!$P$3:$P$152,"&gt;="&amp;DATE(2024,9,1),'2024数据'!$P$3:$P$152,"&lt;="&amp;DATE(2024,9,30),'2024数据'!$BF$3:$BF$152,$E$35,'2024数据'!$B$3:$B$152,'2024整理'!$E936)</f>
        <v>0</v>
      </c>
      <c r="O944" s="111">
        <f>COUNTIFS('2024数据'!$P$3:$P$152,"&gt;="&amp;DATE(2024,10,1),'2024数据'!$P$3:$P$152,"&lt;="&amp;DATE(2024,10,31),'2024数据'!$BF$3:$BF$152,$E$35,'2024数据'!$B$3:$B$152,'2024整理'!$E936)</f>
        <v>0</v>
      </c>
      <c r="P944" s="111">
        <f>COUNTIFS('2024数据'!$P$3:$P$152,"&gt;="&amp;DATE(2024,11,1),'2024数据'!$P$3:$P$152,"&lt;="&amp;DATE(2024,11,30),'2024数据'!$BF$3:$BF$152,$E$35,'2024数据'!$B$3:$B$152,'2024整理'!$E936)</f>
        <v>0</v>
      </c>
      <c r="Q944" s="111">
        <f>COUNTIFS('2024数据'!$P$3:$P$152,"&gt;="&amp;DATE(2024,12,1),'2024数据'!$P$3:$P$152,"&lt;="&amp;DATE(2024,12,31),'2024数据'!$BF$3:$BF$152,$E$35,'2024数据'!$B$3:$B$152,'2024整理'!$E936)</f>
        <v>0</v>
      </c>
    </row>
    <row r="945" ht="24" customHeight="1" spans="1:17">
      <c r="A945" s="99" t="s">
        <v>347</v>
      </c>
      <c r="B945" s="99" t="s">
        <v>299</v>
      </c>
      <c r="C945" s="99" t="s">
        <v>291</v>
      </c>
      <c r="D945" s="53" t="s">
        <v>303</v>
      </c>
      <c r="E945" s="53" t="s">
        <v>85</v>
      </c>
      <c r="F945" s="111">
        <f>COUNTIFS('2024数据'!$P$3:$P$152,"&gt;="&amp;DATE(2024,1,1),'2024数据'!$P$3:$P$152,"&lt;="&amp;DATE(2024,1,31),'2024数据'!$BF$3:$BF$152,$E$35,'2024数据'!$B$3:$B$152,'2024整理'!$E937)</f>
        <v>0</v>
      </c>
      <c r="G945" s="111">
        <f>COUNTIFS('2024数据'!$P$3:$P$152,"&gt;="&amp;DATE(2024,2,1),'2024数据'!$P$3:$P$152,"&lt;="&amp;DATE(2024,2,29),'2024数据'!$BF$3:$BF$152,$E$35,'2024数据'!$B$3:$B$152,'2024整理'!$E937)</f>
        <v>0</v>
      </c>
      <c r="H945" s="111">
        <f>COUNTIFS('2024数据'!$P$3:$P$152,"&gt;="&amp;DATE(2024,3,1),'2024数据'!$P$3:$P$152,"&lt;="&amp;DATE(2024,3,31),'2024数据'!$BF$3:$BF$152,$E$35,'2024数据'!$B$3:$B$152,'2024整理'!$E937)</f>
        <v>0</v>
      </c>
      <c r="I945" s="111">
        <f>COUNTIFS('2024数据'!$P$3:$P$152,"&gt;="&amp;DATE(2024,4,1),'2024数据'!$P$3:$P$152,"&lt;="&amp;DATE(2024,4,30),'2024数据'!$BF$3:$BF$152,$E$35,'2024数据'!$B$3:$B$152,'2024整理'!$E937)</f>
        <v>0</v>
      </c>
      <c r="J945" s="111">
        <f>COUNTIFS('2024数据'!$P$3:$P$152,"&gt;="&amp;DATE(2024,5,1),'2024数据'!$P$3:$P$152,"&lt;="&amp;DATE(2024,5,31),'2024数据'!$BF$3:$BF$152,$E$35,'2024数据'!$B$3:$B$152,'2024整理'!$E937)</f>
        <v>0</v>
      </c>
      <c r="K945" s="111">
        <f>COUNTIFS('2024数据'!$P$3:$P$152,"&gt;="&amp;DATE(2024,6,1),'2024数据'!$P$3:$P$152,"&lt;="&amp;DATE(2024,6,30),'2024数据'!$BF$3:$BF$152,$E$35,'2024数据'!$B$3:$B$152,'2024整理'!$E937)</f>
        <v>0</v>
      </c>
      <c r="L945" s="111">
        <f>COUNTIFS('2024数据'!$P$3:$P$152,"&gt;="&amp;DATE(2024,7,1),'2024数据'!$P$3:$P$152,"&lt;="&amp;DATE(2024,7,31),'2024数据'!$BF$3:$BF$152,$E$35,'2024数据'!$B$3:$B$152,'2024整理'!$E937)</f>
        <v>0</v>
      </c>
      <c r="M945" s="111">
        <f>COUNTIFS('2024数据'!$P$3:$P$152,"&gt;="&amp;DATE(2024,8,1),'2024数据'!$P$3:$P$152,"&lt;="&amp;DATE(2024,8,31),'2024数据'!$BF$3:$BF$152,$E$35,'2024数据'!$B$3:$B$152,'2024整理'!$E937)</f>
        <v>0</v>
      </c>
      <c r="N945" s="111">
        <f>COUNTIFS('2024数据'!$P$3:$P$152,"&gt;="&amp;DATE(2024,9,1),'2024数据'!$P$3:$P$152,"&lt;="&amp;DATE(2024,9,30),'2024数据'!$BF$3:$BF$152,$E$35,'2024数据'!$B$3:$B$152,'2024整理'!$E937)</f>
        <v>0</v>
      </c>
      <c r="O945" s="111">
        <f>COUNTIFS('2024数据'!$P$3:$P$152,"&gt;="&amp;DATE(2024,10,1),'2024数据'!$P$3:$P$152,"&lt;="&amp;DATE(2024,10,31),'2024数据'!$BF$3:$BF$152,$E$35,'2024数据'!$B$3:$B$152,'2024整理'!$E937)</f>
        <v>0</v>
      </c>
      <c r="P945" s="111">
        <f>COUNTIFS('2024数据'!$P$3:$P$152,"&gt;="&amp;DATE(2024,11,1),'2024数据'!$P$3:$P$152,"&lt;="&amp;DATE(2024,11,30),'2024数据'!$BF$3:$BF$152,$E$35,'2024数据'!$B$3:$B$152,'2024整理'!$E937)</f>
        <v>0</v>
      </c>
      <c r="Q945" s="111">
        <f>COUNTIFS('2024数据'!$P$3:$P$152,"&gt;="&amp;DATE(2024,12,1),'2024数据'!$P$3:$P$152,"&lt;="&amp;DATE(2024,12,31),'2024数据'!$BF$3:$BF$152,$E$35,'2024数据'!$B$3:$B$152,'2024整理'!$E937)</f>
        <v>0</v>
      </c>
    </row>
    <row r="946" ht="24" customHeight="1" spans="1:17">
      <c r="A946" s="99" t="s">
        <v>347</v>
      </c>
      <c r="B946" s="99" t="s">
        <v>299</v>
      </c>
      <c r="C946" s="99" t="s">
        <v>291</v>
      </c>
      <c r="D946" s="53" t="s">
        <v>303</v>
      </c>
      <c r="E946" s="53" t="s">
        <v>81</v>
      </c>
      <c r="F946" s="111">
        <f>COUNTIFS('2024数据'!$P$3:$P$152,"&gt;="&amp;DATE(2024,1,1),'2024数据'!$P$3:$P$152,"&lt;="&amp;DATE(2024,1,31),'2024数据'!$BF$3:$BF$152,$E$35,'2024数据'!$B$3:$B$152,'2024整理'!$E938)</f>
        <v>0</v>
      </c>
      <c r="G946" s="111">
        <f>COUNTIFS('2024数据'!$P$3:$P$152,"&gt;="&amp;DATE(2024,2,1),'2024数据'!$P$3:$P$152,"&lt;="&amp;DATE(2024,2,29),'2024数据'!$BF$3:$BF$152,$E$35,'2024数据'!$B$3:$B$152,'2024整理'!$E938)</f>
        <v>0</v>
      </c>
      <c r="H946" s="111">
        <f>COUNTIFS('2024数据'!$P$3:$P$152,"&gt;="&amp;DATE(2024,3,1),'2024数据'!$P$3:$P$152,"&lt;="&amp;DATE(2024,3,31),'2024数据'!$BF$3:$BF$152,$E$35,'2024数据'!$B$3:$B$152,'2024整理'!$E938)</f>
        <v>0</v>
      </c>
      <c r="I946" s="111">
        <f>COUNTIFS('2024数据'!$P$3:$P$152,"&gt;="&amp;DATE(2024,4,1),'2024数据'!$P$3:$P$152,"&lt;="&amp;DATE(2024,4,30),'2024数据'!$BF$3:$BF$152,$E$35,'2024数据'!$B$3:$B$152,'2024整理'!$E938)</f>
        <v>1</v>
      </c>
      <c r="J946" s="111">
        <f>COUNTIFS('2024数据'!$P$3:$P$152,"&gt;="&amp;DATE(2024,5,1),'2024数据'!$P$3:$P$152,"&lt;="&amp;DATE(2024,5,31),'2024数据'!$BF$3:$BF$152,$E$35,'2024数据'!$B$3:$B$152,'2024整理'!$E938)</f>
        <v>0</v>
      </c>
      <c r="K946" s="111">
        <f>COUNTIFS('2024数据'!$P$3:$P$152,"&gt;="&amp;DATE(2024,6,1),'2024数据'!$P$3:$P$152,"&lt;="&amp;DATE(2024,6,30),'2024数据'!$BF$3:$BF$152,$E$35,'2024数据'!$B$3:$B$152,'2024整理'!$E938)</f>
        <v>0</v>
      </c>
      <c r="L946" s="111">
        <f>COUNTIFS('2024数据'!$P$3:$P$152,"&gt;="&amp;DATE(2024,7,1),'2024数据'!$P$3:$P$152,"&lt;="&amp;DATE(2024,7,31),'2024数据'!$BF$3:$BF$152,$E$35,'2024数据'!$B$3:$B$152,'2024整理'!$E938)</f>
        <v>0</v>
      </c>
      <c r="M946" s="111">
        <f>COUNTIFS('2024数据'!$P$3:$P$152,"&gt;="&amp;DATE(2024,8,1),'2024数据'!$P$3:$P$152,"&lt;="&amp;DATE(2024,8,31),'2024数据'!$BF$3:$BF$152,$E$35,'2024数据'!$B$3:$B$152,'2024整理'!$E938)</f>
        <v>0</v>
      </c>
      <c r="N946" s="111">
        <f>COUNTIFS('2024数据'!$P$3:$P$152,"&gt;="&amp;DATE(2024,9,1),'2024数据'!$P$3:$P$152,"&lt;="&amp;DATE(2024,9,30),'2024数据'!$BF$3:$BF$152,$E$35,'2024数据'!$B$3:$B$152,'2024整理'!$E938)</f>
        <v>0</v>
      </c>
      <c r="O946" s="111">
        <f>COUNTIFS('2024数据'!$P$3:$P$152,"&gt;="&amp;DATE(2024,10,1),'2024数据'!$P$3:$P$152,"&lt;="&amp;DATE(2024,10,31),'2024数据'!$BF$3:$BF$152,$E$35,'2024数据'!$B$3:$B$152,'2024整理'!$E938)</f>
        <v>0</v>
      </c>
      <c r="P946" s="111">
        <f>COUNTIFS('2024数据'!$P$3:$P$152,"&gt;="&amp;DATE(2024,11,1),'2024数据'!$P$3:$P$152,"&lt;="&amp;DATE(2024,11,30),'2024数据'!$BF$3:$BF$152,$E$35,'2024数据'!$B$3:$B$152,'2024整理'!$E938)</f>
        <v>0</v>
      </c>
      <c r="Q946" s="111">
        <f>COUNTIFS('2024数据'!$P$3:$P$152,"&gt;="&amp;DATE(2024,12,1),'2024数据'!$P$3:$P$152,"&lt;="&amp;DATE(2024,12,31),'2024数据'!$BF$3:$BF$152,$E$35,'2024数据'!$B$3:$B$152,'2024整理'!$E938)</f>
        <v>0</v>
      </c>
    </row>
    <row r="947" ht="24" customHeight="1" spans="1:17">
      <c r="A947" s="99" t="s">
        <v>347</v>
      </c>
      <c r="B947" s="99" t="s">
        <v>299</v>
      </c>
      <c r="C947" s="99" t="s">
        <v>291</v>
      </c>
      <c r="D947" s="53" t="s">
        <v>303</v>
      </c>
      <c r="E947" s="53" t="s">
        <v>96</v>
      </c>
      <c r="F947" s="111">
        <f>COUNTIFS('2024数据'!$P$3:$P$152,"&gt;="&amp;DATE(2024,1,1),'2024数据'!$P$3:$P$152,"&lt;="&amp;DATE(2024,1,31),'2024数据'!$BF$3:$BF$152,$E$35,'2024数据'!$B$3:$B$152,'2024整理'!$E939)</f>
        <v>0</v>
      </c>
      <c r="G947" s="111">
        <f>COUNTIFS('2024数据'!$P$3:$P$152,"&gt;="&amp;DATE(2024,2,1),'2024数据'!$P$3:$P$152,"&lt;="&amp;DATE(2024,2,29),'2024数据'!$BF$3:$BF$152,$E$35,'2024数据'!$B$3:$B$152,'2024整理'!$E939)</f>
        <v>0</v>
      </c>
      <c r="H947" s="111">
        <f>COUNTIFS('2024数据'!$P$3:$P$152,"&gt;="&amp;DATE(2024,3,1),'2024数据'!$P$3:$P$152,"&lt;="&amp;DATE(2024,3,31),'2024数据'!$BF$3:$BF$152,$E$35,'2024数据'!$B$3:$B$152,'2024整理'!$E939)</f>
        <v>0</v>
      </c>
      <c r="I947" s="111">
        <f>COUNTIFS('2024数据'!$P$3:$P$152,"&gt;="&amp;DATE(2024,4,1),'2024数据'!$P$3:$P$152,"&lt;="&amp;DATE(2024,4,30),'2024数据'!$BF$3:$BF$152,$E$35,'2024数据'!$B$3:$B$152,'2024整理'!$E939)</f>
        <v>0</v>
      </c>
      <c r="J947" s="111">
        <f>COUNTIFS('2024数据'!$P$3:$P$152,"&gt;="&amp;DATE(2024,5,1),'2024数据'!$P$3:$P$152,"&lt;="&amp;DATE(2024,5,31),'2024数据'!$BF$3:$BF$152,$E$35,'2024数据'!$B$3:$B$152,'2024整理'!$E939)</f>
        <v>0</v>
      </c>
      <c r="K947" s="111">
        <f>COUNTIFS('2024数据'!$P$3:$P$152,"&gt;="&amp;DATE(2024,6,1),'2024数据'!$P$3:$P$152,"&lt;="&amp;DATE(2024,6,30),'2024数据'!$BF$3:$BF$152,$E$35,'2024数据'!$B$3:$B$152,'2024整理'!$E939)</f>
        <v>0</v>
      </c>
      <c r="L947" s="111">
        <f>COUNTIFS('2024数据'!$P$3:$P$152,"&gt;="&amp;DATE(2024,7,1),'2024数据'!$P$3:$P$152,"&lt;="&amp;DATE(2024,7,31),'2024数据'!$BF$3:$BF$152,$E$35,'2024数据'!$B$3:$B$152,'2024整理'!$E939)</f>
        <v>1</v>
      </c>
      <c r="M947" s="111">
        <f>COUNTIFS('2024数据'!$P$3:$P$152,"&gt;="&amp;DATE(2024,8,1),'2024数据'!$P$3:$P$152,"&lt;="&amp;DATE(2024,8,31),'2024数据'!$BF$3:$BF$152,$E$35,'2024数据'!$B$3:$B$152,'2024整理'!$E939)</f>
        <v>0</v>
      </c>
      <c r="N947" s="111">
        <f>COUNTIFS('2024数据'!$P$3:$P$152,"&gt;="&amp;DATE(2024,9,1),'2024数据'!$P$3:$P$152,"&lt;="&amp;DATE(2024,9,30),'2024数据'!$BF$3:$BF$152,$E$35,'2024数据'!$B$3:$B$152,'2024整理'!$E939)</f>
        <v>0</v>
      </c>
      <c r="O947" s="111">
        <f>COUNTIFS('2024数据'!$P$3:$P$152,"&gt;="&amp;DATE(2024,10,1),'2024数据'!$P$3:$P$152,"&lt;="&amp;DATE(2024,10,31),'2024数据'!$BF$3:$BF$152,$E$35,'2024数据'!$B$3:$B$152,'2024整理'!$E939)</f>
        <v>0</v>
      </c>
      <c r="P947" s="111">
        <f>COUNTIFS('2024数据'!$P$3:$P$152,"&gt;="&amp;DATE(2024,11,1),'2024数据'!$P$3:$P$152,"&lt;="&amp;DATE(2024,11,30),'2024数据'!$BF$3:$BF$152,$E$35,'2024数据'!$B$3:$B$152,'2024整理'!$E939)</f>
        <v>0</v>
      </c>
      <c r="Q947" s="111">
        <f>COUNTIFS('2024数据'!$P$3:$P$152,"&gt;="&amp;DATE(2024,12,1),'2024数据'!$P$3:$P$152,"&lt;="&amp;DATE(2024,12,31),'2024数据'!$BF$3:$BF$152,$E$35,'2024数据'!$B$3:$B$152,'2024整理'!$E939)</f>
        <v>0</v>
      </c>
    </row>
    <row r="948" ht="24" customHeight="1" spans="1:17">
      <c r="A948" s="99" t="s">
        <v>347</v>
      </c>
      <c r="B948" s="99" t="s">
        <v>299</v>
      </c>
      <c r="C948" s="99" t="s">
        <v>291</v>
      </c>
      <c r="D948" s="53" t="s">
        <v>303</v>
      </c>
      <c r="E948" s="53" t="s">
        <v>160</v>
      </c>
      <c r="F948" s="111">
        <f>COUNTIFS('2024数据'!$P$3:$P$152,"&gt;="&amp;DATE(2024,1,1),'2024数据'!$P$3:$P$152,"&lt;="&amp;DATE(2024,1,31),'2024数据'!$BF$3:$BF$152,$E$35,'2024数据'!$B$3:$B$152,'2024整理'!$E940)</f>
        <v>0</v>
      </c>
      <c r="G948" s="111">
        <f>COUNTIFS('2024数据'!$P$3:$P$152,"&gt;="&amp;DATE(2024,2,1),'2024数据'!$P$3:$P$152,"&lt;="&amp;DATE(2024,2,29),'2024数据'!$BF$3:$BF$152,$E$35,'2024数据'!$B$3:$B$152,'2024整理'!$E940)</f>
        <v>0</v>
      </c>
      <c r="H948" s="111">
        <f>COUNTIFS('2024数据'!$P$3:$P$152,"&gt;="&amp;DATE(2024,3,1),'2024数据'!$P$3:$P$152,"&lt;="&amp;DATE(2024,3,31),'2024数据'!$BF$3:$BF$152,$E$35,'2024数据'!$B$3:$B$152,'2024整理'!$E940)</f>
        <v>0</v>
      </c>
      <c r="I948" s="111">
        <f>COUNTIFS('2024数据'!$P$3:$P$152,"&gt;="&amp;DATE(2024,4,1),'2024数据'!$P$3:$P$152,"&lt;="&amp;DATE(2024,4,30),'2024数据'!$BF$3:$BF$152,$E$35,'2024数据'!$B$3:$B$152,'2024整理'!$E940)</f>
        <v>0</v>
      </c>
      <c r="J948" s="111">
        <f>COUNTIFS('2024数据'!$P$3:$P$152,"&gt;="&amp;DATE(2024,5,1),'2024数据'!$P$3:$P$152,"&lt;="&amp;DATE(2024,5,31),'2024数据'!$BF$3:$BF$152,$E$35,'2024数据'!$B$3:$B$152,'2024整理'!$E940)</f>
        <v>0</v>
      </c>
      <c r="K948" s="111">
        <f>COUNTIFS('2024数据'!$P$3:$P$152,"&gt;="&amp;DATE(2024,6,1),'2024数据'!$P$3:$P$152,"&lt;="&amp;DATE(2024,6,30),'2024数据'!$BF$3:$BF$152,$E$35,'2024数据'!$B$3:$B$152,'2024整理'!$E940)</f>
        <v>0</v>
      </c>
      <c r="L948" s="111">
        <f>COUNTIFS('2024数据'!$P$3:$P$152,"&gt;="&amp;DATE(2024,7,1),'2024数据'!$P$3:$P$152,"&lt;="&amp;DATE(2024,7,31),'2024数据'!$BF$3:$BF$152,$E$35,'2024数据'!$B$3:$B$152,'2024整理'!$E940)</f>
        <v>0</v>
      </c>
      <c r="M948" s="111">
        <f>COUNTIFS('2024数据'!$P$3:$P$152,"&gt;="&amp;DATE(2024,8,1),'2024数据'!$P$3:$P$152,"&lt;="&amp;DATE(2024,8,31),'2024数据'!$BF$3:$BF$152,$E$35,'2024数据'!$B$3:$B$152,'2024整理'!$E940)</f>
        <v>0</v>
      </c>
      <c r="N948" s="111">
        <f>COUNTIFS('2024数据'!$P$3:$P$152,"&gt;="&amp;DATE(2024,9,1),'2024数据'!$P$3:$P$152,"&lt;="&amp;DATE(2024,9,30),'2024数据'!$BF$3:$BF$152,$E$35,'2024数据'!$B$3:$B$152,'2024整理'!$E940)</f>
        <v>0</v>
      </c>
      <c r="O948" s="111">
        <f>COUNTIFS('2024数据'!$P$3:$P$152,"&gt;="&amp;DATE(2024,10,1),'2024数据'!$P$3:$P$152,"&lt;="&amp;DATE(2024,10,31),'2024数据'!$BF$3:$BF$152,$E$35,'2024数据'!$B$3:$B$152,'2024整理'!$E940)</f>
        <v>0</v>
      </c>
      <c r="P948" s="111">
        <f>COUNTIFS('2024数据'!$P$3:$P$152,"&gt;="&amp;DATE(2024,11,1),'2024数据'!$P$3:$P$152,"&lt;="&amp;DATE(2024,11,30),'2024数据'!$BF$3:$BF$152,$E$35,'2024数据'!$B$3:$B$152,'2024整理'!$E940)</f>
        <v>0</v>
      </c>
      <c r="Q948" s="111">
        <f>COUNTIFS('2024数据'!$P$3:$P$152,"&gt;="&amp;DATE(2024,12,1),'2024数据'!$P$3:$P$152,"&lt;="&amp;DATE(2024,12,31),'2024数据'!$BF$3:$BF$152,$E$35,'2024数据'!$B$3:$B$152,'2024整理'!$E940)</f>
        <v>0</v>
      </c>
    </row>
    <row r="949" ht="24" customHeight="1" spans="1:17">
      <c r="A949" s="99" t="s">
        <v>347</v>
      </c>
      <c r="B949" s="99" t="s">
        <v>299</v>
      </c>
      <c r="C949" s="99" t="s">
        <v>291</v>
      </c>
      <c r="D949" s="53" t="s">
        <v>304</v>
      </c>
      <c r="E949" s="53" t="s">
        <v>93</v>
      </c>
      <c r="F949" s="111">
        <f>COUNTIFS('2024数据'!$P$3:$P$152,"&gt;="&amp;DATE(2024,1,1),'2024数据'!$P$3:$P$152,"&lt;="&amp;DATE(2024,1,31),'2024数据'!$BF$3:$BF$152,$E$36,'2024数据'!$B$3:$B$152,'2024整理'!$E936)</f>
        <v>0</v>
      </c>
      <c r="G949" s="111">
        <f>COUNTIFS('2024数据'!$P$3:$P$152,"&gt;="&amp;DATE(2024,2,1),'2024数据'!$P$3:$P$152,"&lt;="&amp;DATE(2024,2,29),'2024数据'!$BF$3:$BF$152,$E$36,'2024数据'!$B$3:$B$152,'2024整理'!$E936)</f>
        <v>0</v>
      </c>
      <c r="H949" s="111">
        <f>COUNTIFS('2024数据'!$P$3:$P$152,"&gt;="&amp;DATE(2024,3,1),'2024数据'!$P$3:$P$152,"&lt;="&amp;DATE(2024,3,31),'2024数据'!$BF$3:$BF$152,$E$36,'2024数据'!$B$3:$B$152,'2024整理'!$E936)</f>
        <v>0</v>
      </c>
      <c r="I949" s="111">
        <f>COUNTIFS('2024数据'!$P$3:$P$152,"&gt;="&amp;DATE(2024,4,1),'2024数据'!$P$3:$P$152,"&lt;="&amp;DATE(2024,4,30),'2024数据'!$BF$3:$BF$152,$E$36,'2024数据'!$B$3:$B$152,'2024整理'!$E936)</f>
        <v>0</v>
      </c>
      <c r="J949" s="111">
        <f>COUNTIFS('2024数据'!$P$3:$P$152,"&gt;="&amp;DATE(2024,5,1),'2024数据'!$P$3:$P$152,"&lt;="&amp;DATE(2024,5,31),'2024数据'!$BF$3:$BF$152,$E$36,'2024数据'!$B$3:$B$152,'2024整理'!$E936)</f>
        <v>1</v>
      </c>
      <c r="K949" s="111">
        <f>COUNTIFS('2024数据'!$P$3:$P$152,"&gt;="&amp;DATE(2024,6,1),'2024数据'!$P$3:$P$152,"&lt;="&amp;DATE(2024,6,30),'2024数据'!$BF$3:$BF$152,$E$36,'2024数据'!$B$3:$B$152,'2024整理'!$E936)</f>
        <v>0</v>
      </c>
      <c r="L949" s="111">
        <f>COUNTIFS('2024数据'!$P$3:$P$152,"&gt;="&amp;DATE(2024,7,1),'2024数据'!$P$3:$P$152,"&lt;="&amp;DATE(2024,7,31),'2024数据'!$BF$3:$BF$152,$E$36,'2024数据'!$B$3:$B$152,'2024整理'!$E936)</f>
        <v>0</v>
      </c>
      <c r="M949" s="111">
        <f>COUNTIFS('2024数据'!$P$3:$P$152,"&gt;="&amp;DATE(2024,8,1),'2024数据'!$P$3:$P$152,"&lt;="&amp;DATE(2024,8,31),'2024数据'!$BF$3:$BF$152,$E$36,'2024数据'!$B$3:$B$152,'2024整理'!$E936)</f>
        <v>0</v>
      </c>
      <c r="N949" s="111">
        <f>COUNTIFS('2024数据'!$P$3:$P$152,"&gt;="&amp;DATE(2024,9,1),'2024数据'!$P$3:$P$152,"&lt;="&amp;DATE(2024,9,30),'2024数据'!$BF$3:$BF$152,$E$36,'2024数据'!$B$3:$B$152,'2024整理'!$E936)</f>
        <v>0</v>
      </c>
      <c r="O949" s="111">
        <f>COUNTIFS('2024数据'!$P$3:$P$152,"&gt;="&amp;DATE(2024,10,1),'2024数据'!$P$3:$P$152,"&lt;="&amp;DATE(2024,10,31),'2024数据'!$BF$3:$BF$152,$E$36,'2024数据'!$B$3:$B$152,'2024整理'!$E936)</f>
        <v>0</v>
      </c>
      <c r="P949" s="111">
        <f>COUNTIFS('2024数据'!$P$3:$P$152,"&gt;="&amp;DATE(2024,11,1),'2024数据'!$P$3:$P$152,"&lt;="&amp;DATE(2024,11,30),'2024数据'!$BF$3:$BF$152,$E$36,'2024数据'!$B$3:$B$152,'2024整理'!$E936)</f>
        <v>0</v>
      </c>
      <c r="Q949" s="111">
        <f>COUNTIFS('2024数据'!$P$3:$P$152,"&gt;="&amp;DATE(2024,12,1),'2024数据'!$P$3:$P$152,"&lt;="&amp;DATE(2024,12,31),'2024数据'!$BF$3:$BF$152,$E$36,'2024数据'!$B$3:$B$152,'2024整理'!$E936)</f>
        <v>0</v>
      </c>
    </row>
    <row r="950" ht="24" customHeight="1" spans="1:17">
      <c r="A950" s="99" t="s">
        <v>347</v>
      </c>
      <c r="B950" s="99" t="s">
        <v>299</v>
      </c>
      <c r="C950" s="99" t="s">
        <v>291</v>
      </c>
      <c r="D950" s="53" t="s">
        <v>304</v>
      </c>
      <c r="E950" s="53" t="s">
        <v>85</v>
      </c>
      <c r="F950" s="111">
        <f>COUNTIFS('2024数据'!$P$3:$P$152,"&gt;="&amp;DATE(2024,1,1),'2024数据'!$P$3:$P$152,"&lt;="&amp;DATE(2024,1,31),'2024数据'!$BF$3:$BF$152,$E$36,'2024数据'!$B$3:$B$152,'2024整理'!$E937)</f>
        <v>0</v>
      </c>
      <c r="G950" s="111">
        <f>COUNTIFS('2024数据'!$P$3:$P$152,"&gt;="&amp;DATE(2024,2,1),'2024数据'!$P$3:$P$152,"&lt;="&amp;DATE(2024,2,29),'2024数据'!$BF$3:$BF$152,$E$36,'2024数据'!$B$3:$B$152,'2024整理'!$E937)</f>
        <v>0</v>
      </c>
      <c r="H950" s="111">
        <f>COUNTIFS('2024数据'!$P$3:$P$152,"&gt;="&amp;DATE(2024,3,1),'2024数据'!$P$3:$P$152,"&lt;="&amp;DATE(2024,3,31),'2024数据'!$BF$3:$BF$152,$E$36,'2024数据'!$B$3:$B$152,'2024整理'!$E937)</f>
        <v>0</v>
      </c>
      <c r="I950" s="111">
        <f>COUNTIFS('2024数据'!$P$3:$P$152,"&gt;="&amp;DATE(2024,4,1),'2024数据'!$P$3:$P$152,"&lt;="&amp;DATE(2024,4,30),'2024数据'!$BF$3:$BF$152,$E$36,'2024数据'!$B$3:$B$152,'2024整理'!$E937)</f>
        <v>0</v>
      </c>
      <c r="J950" s="111">
        <f>COUNTIFS('2024数据'!$P$3:$P$152,"&gt;="&amp;DATE(2024,5,1),'2024数据'!$P$3:$P$152,"&lt;="&amp;DATE(2024,5,31),'2024数据'!$BF$3:$BF$152,$E$36,'2024数据'!$B$3:$B$152,'2024整理'!$E937)</f>
        <v>0</v>
      </c>
      <c r="K950" s="111">
        <f>COUNTIFS('2024数据'!$P$3:$P$152,"&gt;="&amp;DATE(2024,6,1),'2024数据'!$P$3:$P$152,"&lt;="&amp;DATE(2024,6,30),'2024数据'!$BF$3:$BF$152,$E$36,'2024数据'!$B$3:$B$152,'2024整理'!$E937)</f>
        <v>0</v>
      </c>
      <c r="L950" s="111">
        <f>COUNTIFS('2024数据'!$P$3:$P$152,"&gt;="&amp;DATE(2024,7,1),'2024数据'!$P$3:$P$152,"&lt;="&amp;DATE(2024,7,31),'2024数据'!$BF$3:$BF$152,$E$36,'2024数据'!$B$3:$B$152,'2024整理'!$E937)</f>
        <v>0</v>
      </c>
      <c r="M950" s="111">
        <f>COUNTIFS('2024数据'!$P$3:$P$152,"&gt;="&amp;DATE(2024,8,1),'2024数据'!$P$3:$P$152,"&lt;="&amp;DATE(2024,8,31),'2024数据'!$BF$3:$BF$152,$E$36,'2024数据'!$B$3:$B$152,'2024整理'!$E937)</f>
        <v>0</v>
      </c>
      <c r="N950" s="111">
        <f>COUNTIFS('2024数据'!$P$3:$P$152,"&gt;="&amp;DATE(2024,9,1),'2024数据'!$P$3:$P$152,"&lt;="&amp;DATE(2024,9,30),'2024数据'!$BF$3:$BF$152,$E$36,'2024数据'!$B$3:$B$152,'2024整理'!$E937)</f>
        <v>0</v>
      </c>
      <c r="O950" s="111">
        <f>COUNTIFS('2024数据'!$P$3:$P$152,"&gt;="&amp;DATE(2024,10,1),'2024数据'!$P$3:$P$152,"&lt;="&amp;DATE(2024,10,31),'2024数据'!$BF$3:$BF$152,$E$36,'2024数据'!$B$3:$B$152,'2024整理'!$E937)</f>
        <v>0</v>
      </c>
      <c r="P950" s="111">
        <f>COUNTIFS('2024数据'!$P$3:$P$152,"&gt;="&amp;DATE(2024,11,1),'2024数据'!$P$3:$P$152,"&lt;="&amp;DATE(2024,11,30),'2024数据'!$BF$3:$BF$152,$E$36,'2024数据'!$B$3:$B$152,'2024整理'!$E937)</f>
        <v>0</v>
      </c>
      <c r="Q950" s="111">
        <f>COUNTIFS('2024数据'!$P$3:$P$152,"&gt;="&amp;DATE(2024,12,1),'2024数据'!$P$3:$P$152,"&lt;="&amp;DATE(2024,12,31),'2024数据'!$BF$3:$BF$152,$E$36,'2024数据'!$B$3:$B$152,'2024整理'!$E937)</f>
        <v>0</v>
      </c>
    </row>
    <row r="951" ht="24" customHeight="1" spans="1:17">
      <c r="A951" s="99" t="s">
        <v>347</v>
      </c>
      <c r="B951" s="99" t="s">
        <v>299</v>
      </c>
      <c r="C951" s="99" t="s">
        <v>291</v>
      </c>
      <c r="D951" s="53" t="s">
        <v>304</v>
      </c>
      <c r="E951" s="53" t="s">
        <v>81</v>
      </c>
      <c r="F951" s="111">
        <f>COUNTIFS('2024数据'!$P$3:$P$152,"&gt;="&amp;DATE(2024,1,1),'2024数据'!$P$3:$P$152,"&lt;="&amp;DATE(2024,1,31),'2024数据'!$BF$3:$BF$152,$E$36,'2024数据'!$B$3:$B$152,'2024整理'!$E938)</f>
        <v>0</v>
      </c>
      <c r="G951" s="111">
        <f>COUNTIFS('2024数据'!$P$3:$P$152,"&gt;="&amp;DATE(2024,2,1),'2024数据'!$P$3:$P$152,"&lt;="&amp;DATE(2024,2,29),'2024数据'!$BF$3:$BF$152,$E$36,'2024数据'!$B$3:$B$152,'2024整理'!$E938)</f>
        <v>0</v>
      </c>
      <c r="H951" s="111">
        <f>COUNTIFS('2024数据'!$P$3:$P$152,"&gt;="&amp;DATE(2024,3,1),'2024数据'!$P$3:$P$152,"&lt;="&amp;DATE(2024,3,31),'2024数据'!$BF$3:$BF$152,$E$36,'2024数据'!$B$3:$B$152,'2024整理'!$E938)</f>
        <v>0</v>
      </c>
      <c r="I951" s="111">
        <f>COUNTIFS('2024数据'!$P$3:$P$152,"&gt;="&amp;DATE(2024,4,1),'2024数据'!$P$3:$P$152,"&lt;="&amp;DATE(2024,4,30),'2024数据'!$BF$3:$BF$152,$E$36,'2024数据'!$B$3:$B$152,'2024整理'!$E938)</f>
        <v>0</v>
      </c>
      <c r="J951" s="111">
        <f>COUNTIFS('2024数据'!$P$3:$P$152,"&gt;="&amp;DATE(2024,5,1),'2024数据'!$P$3:$P$152,"&lt;="&amp;DATE(2024,5,31),'2024数据'!$BF$3:$BF$152,$E$36,'2024数据'!$B$3:$B$152,'2024整理'!$E938)</f>
        <v>0</v>
      </c>
      <c r="K951" s="111">
        <f>COUNTIFS('2024数据'!$P$3:$P$152,"&gt;="&amp;DATE(2024,6,1),'2024数据'!$P$3:$P$152,"&lt;="&amp;DATE(2024,6,30),'2024数据'!$BF$3:$BF$152,$E$36,'2024数据'!$B$3:$B$152,'2024整理'!$E938)</f>
        <v>0</v>
      </c>
      <c r="L951" s="111">
        <f>COUNTIFS('2024数据'!$P$3:$P$152,"&gt;="&amp;DATE(2024,7,1),'2024数据'!$P$3:$P$152,"&lt;="&amp;DATE(2024,7,31),'2024数据'!$BF$3:$BF$152,$E$36,'2024数据'!$B$3:$B$152,'2024整理'!$E938)</f>
        <v>0</v>
      </c>
      <c r="M951" s="111">
        <f>COUNTIFS('2024数据'!$P$3:$P$152,"&gt;="&amp;DATE(2024,8,1),'2024数据'!$P$3:$P$152,"&lt;="&amp;DATE(2024,8,31),'2024数据'!$BF$3:$BF$152,$E$36,'2024数据'!$B$3:$B$152,'2024整理'!$E938)</f>
        <v>0</v>
      </c>
      <c r="N951" s="111">
        <f>COUNTIFS('2024数据'!$P$3:$P$152,"&gt;="&amp;DATE(2024,9,1),'2024数据'!$P$3:$P$152,"&lt;="&amp;DATE(2024,9,30),'2024数据'!$BF$3:$BF$152,$E$36,'2024数据'!$B$3:$B$152,'2024整理'!$E938)</f>
        <v>0</v>
      </c>
      <c r="O951" s="111">
        <f>COUNTIFS('2024数据'!$P$3:$P$152,"&gt;="&amp;DATE(2024,10,1),'2024数据'!$P$3:$P$152,"&lt;="&amp;DATE(2024,10,31),'2024数据'!$BF$3:$BF$152,$E$36,'2024数据'!$B$3:$B$152,'2024整理'!$E938)</f>
        <v>0</v>
      </c>
      <c r="P951" s="111">
        <f>COUNTIFS('2024数据'!$P$3:$P$152,"&gt;="&amp;DATE(2024,11,1),'2024数据'!$P$3:$P$152,"&lt;="&amp;DATE(2024,11,30),'2024数据'!$BF$3:$BF$152,$E$36,'2024数据'!$B$3:$B$152,'2024整理'!$E938)</f>
        <v>0</v>
      </c>
      <c r="Q951" s="111">
        <f>COUNTIFS('2024数据'!$P$3:$P$152,"&gt;="&amp;DATE(2024,12,1),'2024数据'!$P$3:$P$152,"&lt;="&amp;DATE(2024,12,31),'2024数据'!$BF$3:$BF$152,$E$36,'2024数据'!$B$3:$B$152,'2024整理'!$E938)</f>
        <v>0</v>
      </c>
    </row>
    <row r="952" ht="24" customHeight="1" spans="1:17">
      <c r="A952" s="99" t="s">
        <v>347</v>
      </c>
      <c r="B952" s="99" t="s">
        <v>299</v>
      </c>
      <c r="C952" s="99" t="s">
        <v>291</v>
      </c>
      <c r="D952" s="53" t="s">
        <v>304</v>
      </c>
      <c r="E952" s="53" t="s">
        <v>96</v>
      </c>
      <c r="F952" s="111">
        <f>COUNTIFS('2024数据'!$P$3:$P$152,"&gt;="&amp;DATE(2024,1,1),'2024数据'!$P$3:$P$152,"&lt;="&amp;DATE(2024,1,31),'2024数据'!$BF$3:$BF$152,$E$36,'2024数据'!$B$3:$B$152,'2024整理'!$E939)</f>
        <v>0</v>
      </c>
      <c r="G952" s="111">
        <f>COUNTIFS('2024数据'!$P$3:$P$152,"&gt;="&amp;DATE(2024,2,1),'2024数据'!$P$3:$P$152,"&lt;="&amp;DATE(2024,2,29),'2024数据'!$BF$3:$BF$152,$E$36,'2024数据'!$B$3:$B$152,'2024整理'!$E939)</f>
        <v>0</v>
      </c>
      <c r="H952" s="111">
        <f>COUNTIFS('2024数据'!$P$3:$P$152,"&gt;="&amp;DATE(2024,3,1),'2024数据'!$P$3:$P$152,"&lt;="&amp;DATE(2024,3,31),'2024数据'!$BF$3:$BF$152,$E$36,'2024数据'!$B$3:$B$152,'2024整理'!$E939)</f>
        <v>0</v>
      </c>
      <c r="I952" s="111">
        <f>COUNTIFS('2024数据'!$P$3:$P$152,"&gt;="&amp;DATE(2024,4,1),'2024数据'!$P$3:$P$152,"&lt;="&amp;DATE(2024,4,30),'2024数据'!$BF$3:$BF$152,$E$36,'2024数据'!$B$3:$B$152,'2024整理'!$E939)</f>
        <v>0</v>
      </c>
      <c r="J952" s="111">
        <f>COUNTIFS('2024数据'!$P$3:$P$152,"&gt;="&amp;DATE(2024,5,1),'2024数据'!$P$3:$P$152,"&lt;="&amp;DATE(2024,5,31),'2024数据'!$BF$3:$BF$152,$E$36,'2024数据'!$B$3:$B$152,'2024整理'!$E939)</f>
        <v>0</v>
      </c>
      <c r="K952" s="111">
        <f>COUNTIFS('2024数据'!$P$3:$P$152,"&gt;="&amp;DATE(2024,6,1),'2024数据'!$P$3:$P$152,"&lt;="&amp;DATE(2024,6,30),'2024数据'!$BF$3:$BF$152,$E$36,'2024数据'!$B$3:$B$152,'2024整理'!$E939)</f>
        <v>0</v>
      </c>
      <c r="L952" s="111">
        <f>COUNTIFS('2024数据'!$P$3:$P$152,"&gt;="&amp;DATE(2024,7,1),'2024数据'!$P$3:$P$152,"&lt;="&amp;DATE(2024,7,31),'2024数据'!$BF$3:$BF$152,$E$36,'2024数据'!$B$3:$B$152,'2024整理'!$E939)</f>
        <v>0</v>
      </c>
      <c r="M952" s="111">
        <f>COUNTIFS('2024数据'!$P$3:$P$152,"&gt;="&amp;DATE(2024,8,1),'2024数据'!$P$3:$P$152,"&lt;="&amp;DATE(2024,8,31),'2024数据'!$BF$3:$BF$152,$E$36,'2024数据'!$B$3:$B$152,'2024整理'!$E939)</f>
        <v>0</v>
      </c>
      <c r="N952" s="111">
        <f>COUNTIFS('2024数据'!$P$3:$P$152,"&gt;="&amp;DATE(2024,9,1),'2024数据'!$P$3:$P$152,"&lt;="&amp;DATE(2024,9,30),'2024数据'!$BF$3:$BF$152,$E$36,'2024数据'!$B$3:$B$152,'2024整理'!$E939)</f>
        <v>0</v>
      </c>
      <c r="O952" s="111">
        <f>COUNTIFS('2024数据'!$P$3:$P$152,"&gt;="&amp;DATE(2024,10,1),'2024数据'!$P$3:$P$152,"&lt;="&amp;DATE(2024,10,31),'2024数据'!$BF$3:$BF$152,$E$36,'2024数据'!$B$3:$B$152,'2024整理'!$E939)</f>
        <v>0</v>
      </c>
      <c r="P952" s="111">
        <f>COUNTIFS('2024数据'!$P$3:$P$152,"&gt;="&amp;DATE(2024,11,1),'2024数据'!$P$3:$P$152,"&lt;="&amp;DATE(2024,11,30),'2024数据'!$BF$3:$BF$152,$E$36,'2024数据'!$B$3:$B$152,'2024整理'!$E939)</f>
        <v>0</v>
      </c>
      <c r="Q952" s="111">
        <f>COUNTIFS('2024数据'!$P$3:$P$152,"&gt;="&amp;DATE(2024,12,1),'2024数据'!$P$3:$P$152,"&lt;="&amp;DATE(2024,12,31),'2024数据'!$BF$3:$BF$152,$E$36,'2024数据'!$B$3:$B$152,'2024整理'!$E939)</f>
        <v>0</v>
      </c>
    </row>
    <row r="953" ht="24" customHeight="1" spans="1:17">
      <c r="A953" s="99" t="s">
        <v>347</v>
      </c>
      <c r="B953" s="99" t="s">
        <v>299</v>
      </c>
      <c r="C953" s="99" t="s">
        <v>291</v>
      </c>
      <c r="D953" s="53" t="s">
        <v>304</v>
      </c>
      <c r="E953" s="53" t="s">
        <v>160</v>
      </c>
      <c r="F953" s="111">
        <f>COUNTIFS('2024数据'!$P$3:$P$152,"&gt;="&amp;DATE(2024,1,1),'2024数据'!$P$3:$P$152,"&lt;="&amp;DATE(2024,1,31),'2024数据'!$BF$3:$BF$152,$E$36,'2024数据'!$B$3:$B$152,'2024整理'!$E940)</f>
        <v>0</v>
      </c>
      <c r="G953" s="111">
        <f>COUNTIFS('2024数据'!$P$3:$P$152,"&gt;="&amp;DATE(2024,2,1),'2024数据'!$P$3:$P$152,"&lt;="&amp;DATE(2024,2,29),'2024数据'!$BF$3:$BF$152,$E$36,'2024数据'!$B$3:$B$152,'2024整理'!$E940)</f>
        <v>0</v>
      </c>
      <c r="H953" s="111">
        <f>COUNTIFS('2024数据'!$P$3:$P$152,"&gt;="&amp;DATE(2024,3,1),'2024数据'!$P$3:$P$152,"&lt;="&amp;DATE(2024,3,31),'2024数据'!$BF$3:$BF$152,$E$36,'2024数据'!$B$3:$B$152,'2024整理'!$E940)</f>
        <v>0</v>
      </c>
      <c r="I953" s="111">
        <f>COUNTIFS('2024数据'!$P$3:$P$152,"&gt;="&amp;DATE(2024,4,1),'2024数据'!$P$3:$P$152,"&lt;="&amp;DATE(2024,4,30),'2024数据'!$BF$3:$BF$152,$E$36,'2024数据'!$B$3:$B$152,'2024整理'!$E940)</f>
        <v>0</v>
      </c>
      <c r="J953" s="111">
        <f>COUNTIFS('2024数据'!$P$3:$P$152,"&gt;="&amp;DATE(2024,5,1),'2024数据'!$P$3:$P$152,"&lt;="&amp;DATE(2024,5,31),'2024数据'!$BF$3:$BF$152,$E$36,'2024数据'!$B$3:$B$152,'2024整理'!$E940)</f>
        <v>0</v>
      </c>
      <c r="K953" s="111">
        <f>COUNTIFS('2024数据'!$P$3:$P$152,"&gt;="&amp;DATE(2024,6,1),'2024数据'!$P$3:$P$152,"&lt;="&amp;DATE(2024,6,30),'2024数据'!$BF$3:$BF$152,$E$36,'2024数据'!$B$3:$B$152,'2024整理'!$E940)</f>
        <v>0</v>
      </c>
      <c r="L953" s="111">
        <f>COUNTIFS('2024数据'!$P$3:$P$152,"&gt;="&amp;DATE(2024,7,1),'2024数据'!$P$3:$P$152,"&lt;="&amp;DATE(2024,7,31),'2024数据'!$BF$3:$BF$152,$E$36,'2024数据'!$B$3:$B$152,'2024整理'!$E940)</f>
        <v>0</v>
      </c>
      <c r="M953" s="111">
        <f>COUNTIFS('2024数据'!$P$3:$P$152,"&gt;="&amp;DATE(2024,8,1),'2024数据'!$P$3:$P$152,"&lt;="&amp;DATE(2024,8,31),'2024数据'!$BF$3:$BF$152,$E$36,'2024数据'!$B$3:$B$152,'2024整理'!$E940)</f>
        <v>0</v>
      </c>
      <c r="N953" s="111">
        <f>COUNTIFS('2024数据'!$P$3:$P$152,"&gt;="&amp;DATE(2024,9,1),'2024数据'!$P$3:$P$152,"&lt;="&amp;DATE(2024,9,30),'2024数据'!$BF$3:$BF$152,$E$36,'2024数据'!$B$3:$B$152,'2024整理'!$E940)</f>
        <v>0</v>
      </c>
      <c r="O953" s="111">
        <f>COUNTIFS('2024数据'!$P$3:$P$152,"&gt;="&amp;DATE(2024,10,1),'2024数据'!$P$3:$P$152,"&lt;="&amp;DATE(2024,10,31),'2024数据'!$BF$3:$BF$152,$E$36,'2024数据'!$B$3:$B$152,'2024整理'!$E940)</f>
        <v>0</v>
      </c>
      <c r="P953" s="111">
        <f>COUNTIFS('2024数据'!$P$3:$P$152,"&gt;="&amp;DATE(2024,11,1),'2024数据'!$P$3:$P$152,"&lt;="&amp;DATE(2024,11,30),'2024数据'!$BF$3:$BF$152,$E$36,'2024数据'!$B$3:$B$152,'2024整理'!$E940)</f>
        <v>0</v>
      </c>
      <c r="Q953" s="111">
        <f>COUNTIFS('2024数据'!$P$3:$P$152,"&gt;="&amp;DATE(2024,12,1),'2024数据'!$P$3:$P$152,"&lt;="&amp;DATE(2024,12,31),'2024数据'!$BF$3:$BF$152,$E$36,'2024数据'!$B$3:$B$152,'2024整理'!$E940)</f>
        <v>0</v>
      </c>
    </row>
    <row r="954" ht="24" customHeight="1" spans="1:17">
      <c r="A954" s="99" t="s">
        <v>347</v>
      </c>
      <c r="B954" s="99" t="s">
        <v>299</v>
      </c>
      <c r="C954" s="99" t="s">
        <v>291</v>
      </c>
      <c r="D954" s="53" t="s">
        <v>305</v>
      </c>
      <c r="E954" s="53" t="s">
        <v>93</v>
      </c>
      <c r="F954" s="111">
        <f>COUNTIFS('2024数据'!$P$3:$P$152,"&gt;="&amp;DATE(2024,1,1),'2024数据'!$P$3:$P$152,"&lt;="&amp;DATE(2024,1,31),'2024数据'!$BF$3:$BF$152,$E$37,'2024数据'!$B$3:$B$152,'2024整理'!$E936)</f>
        <v>0</v>
      </c>
      <c r="G954" s="111">
        <f>COUNTIFS('2024数据'!$P$3:$P$152,"&gt;="&amp;DATE(2024,2,1),'2024数据'!$P$3:$P$152,"&lt;="&amp;DATE(2024,2,29),'2024数据'!$BF$3:$BF$152,$E$37,'2024数据'!$B$3:$B$152,'2024整理'!$E936)</f>
        <v>0</v>
      </c>
      <c r="H954" s="111">
        <f>COUNTIFS('2024数据'!$P$3:$P$152,"&gt;="&amp;DATE(2024,3,1),'2024数据'!$P$3:$P$152,"&lt;="&amp;DATE(2024,3,31),'2024数据'!$BF$3:$BF$152,$E$37,'2024数据'!$B$3:$B$152,'2024整理'!$E936)</f>
        <v>0</v>
      </c>
      <c r="I954" s="111">
        <f>COUNTIFS('2024数据'!$P$3:$P$152,"&gt;="&amp;DATE(2024,4,1),'2024数据'!$P$3:$P$152,"&lt;="&amp;DATE(2024,4,30),'2024数据'!$BF$3:$BF$152,$E$37,'2024数据'!$B$3:$B$152,'2024整理'!$E936)</f>
        <v>0</v>
      </c>
      <c r="J954" s="111">
        <f>COUNTIFS('2024数据'!$P$3:$P$152,"&gt;="&amp;DATE(2024,5,1),'2024数据'!$P$3:$P$152,"&lt;="&amp;DATE(2024,5,31),'2024数据'!$BF$3:$BF$152,$E$37,'2024数据'!$B$3:$B$152,'2024整理'!$E936)</f>
        <v>0</v>
      </c>
      <c r="K954" s="111">
        <f>COUNTIFS('2024数据'!$P$3:$P$152,"&gt;="&amp;DATE(2024,6,1),'2024数据'!$P$3:$P$152,"&lt;="&amp;DATE(2024,6,30),'2024数据'!$BF$3:$BF$152,$E$37,'2024数据'!$B$3:$B$152,'2024整理'!$E936)</f>
        <v>0</v>
      </c>
      <c r="L954" s="111">
        <f>COUNTIFS('2024数据'!$P$3:$P$152,"&gt;="&amp;DATE(2024,7,1),'2024数据'!$P$3:$P$152,"&lt;="&amp;DATE(2024,7,31),'2024数据'!$BF$3:$BF$152,$E$37,'2024数据'!$B$3:$B$152,'2024整理'!$E936)</f>
        <v>0</v>
      </c>
      <c r="M954" s="111">
        <f>COUNTIFS('2024数据'!$P$3:$P$152,"&gt;="&amp;DATE(2024,8,1),'2024数据'!$P$3:$P$152,"&lt;="&amp;DATE(2024,8,31),'2024数据'!$BF$3:$BF$152,$E$37,'2024数据'!$B$3:$B$152,'2024整理'!$E936)</f>
        <v>0</v>
      </c>
      <c r="N954" s="111">
        <f>COUNTIFS('2024数据'!$P$3:$P$152,"&gt;="&amp;DATE(2024,9,1),'2024数据'!$P$3:$P$152,"&lt;="&amp;DATE(2024,9,30),'2024数据'!$BF$3:$BF$152,$E$37,'2024数据'!$B$3:$B$152,'2024整理'!$E936)</f>
        <v>0</v>
      </c>
      <c r="O954" s="111">
        <f>COUNTIFS('2024数据'!$P$3:$P$152,"&gt;="&amp;DATE(2024,10,1),'2024数据'!$P$3:$P$152,"&lt;="&amp;DATE(2024,10,31),'2024数据'!$BF$3:$BF$152,$E$37,'2024数据'!$B$3:$B$152,'2024整理'!$E936)</f>
        <v>0</v>
      </c>
      <c r="P954" s="111">
        <f>COUNTIFS('2024数据'!$P$3:$P$152,"&gt;="&amp;DATE(2024,11,1),'2024数据'!$P$3:$P$152,"&lt;="&amp;DATE(2024,11,30),'2024数据'!$BF$3:$BF$152,$E$37,'2024数据'!$B$3:$B$152,'2024整理'!$E936)</f>
        <v>1</v>
      </c>
      <c r="Q954" s="111">
        <f>COUNTIFS('2024数据'!$P$3:$P$152,"&gt;="&amp;DATE(2024,12,1),'2024数据'!$P$3:$P$152,"&lt;="&amp;DATE(2024,12,31),'2024数据'!$BF$3:$BF$152,$E$37,'2024数据'!$B$3:$B$152,'2024整理'!$E936)</f>
        <v>0</v>
      </c>
    </row>
    <row r="955" ht="24" customHeight="1" spans="1:17">
      <c r="A955" s="99" t="s">
        <v>347</v>
      </c>
      <c r="B955" s="99" t="s">
        <v>299</v>
      </c>
      <c r="C955" s="99" t="s">
        <v>291</v>
      </c>
      <c r="D955" s="53" t="s">
        <v>305</v>
      </c>
      <c r="E955" s="53" t="s">
        <v>85</v>
      </c>
      <c r="F955" s="111">
        <f>COUNTIFS('2024数据'!$P$3:$P$152,"&gt;="&amp;DATE(2024,1,1),'2024数据'!$P$3:$P$152,"&lt;="&amp;DATE(2024,1,31),'2024数据'!$BF$3:$BF$152,$E$37,'2024数据'!$B$3:$B$152,'2024整理'!$E937)</f>
        <v>0</v>
      </c>
      <c r="G955" s="111">
        <f>COUNTIFS('2024数据'!$P$3:$P$152,"&gt;="&amp;DATE(2024,2,1),'2024数据'!$P$3:$P$152,"&lt;="&amp;DATE(2024,2,29),'2024数据'!$BF$3:$BF$152,$E$37,'2024数据'!$B$3:$B$152,'2024整理'!$E937)</f>
        <v>0</v>
      </c>
      <c r="H955" s="111">
        <f>COUNTIFS('2024数据'!$P$3:$P$152,"&gt;="&amp;DATE(2024,3,1),'2024数据'!$P$3:$P$152,"&lt;="&amp;DATE(2024,3,31),'2024数据'!$BF$3:$BF$152,$E$37,'2024数据'!$B$3:$B$152,'2024整理'!$E937)</f>
        <v>0</v>
      </c>
      <c r="I955" s="111">
        <f>COUNTIFS('2024数据'!$P$3:$P$152,"&gt;="&amp;DATE(2024,4,1),'2024数据'!$P$3:$P$152,"&lt;="&amp;DATE(2024,4,30),'2024数据'!$BF$3:$BF$152,$E$37,'2024数据'!$B$3:$B$152,'2024整理'!$E937)</f>
        <v>0</v>
      </c>
      <c r="J955" s="111">
        <f>COUNTIFS('2024数据'!$P$3:$P$152,"&gt;="&amp;DATE(2024,5,1),'2024数据'!$P$3:$P$152,"&lt;="&amp;DATE(2024,5,31),'2024数据'!$BF$3:$BF$152,$E$37,'2024数据'!$B$3:$B$152,'2024整理'!$E937)</f>
        <v>0</v>
      </c>
      <c r="K955" s="111">
        <f>COUNTIFS('2024数据'!$P$3:$P$152,"&gt;="&amp;DATE(2024,6,1),'2024数据'!$P$3:$P$152,"&lt;="&amp;DATE(2024,6,30),'2024数据'!$BF$3:$BF$152,$E$37,'2024数据'!$B$3:$B$152,'2024整理'!$E937)</f>
        <v>0</v>
      </c>
      <c r="L955" s="111">
        <f>COUNTIFS('2024数据'!$P$3:$P$152,"&gt;="&amp;DATE(2024,7,1),'2024数据'!$P$3:$P$152,"&lt;="&amp;DATE(2024,7,31),'2024数据'!$BF$3:$BF$152,$E$37,'2024数据'!$B$3:$B$152,'2024整理'!$E937)</f>
        <v>0</v>
      </c>
      <c r="M955" s="111">
        <f>COUNTIFS('2024数据'!$P$3:$P$152,"&gt;="&amp;DATE(2024,8,1),'2024数据'!$P$3:$P$152,"&lt;="&amp;DATE(2024,8,31),'2024数据'!$BF$3:$BF$152,$E$37,'2024数据'!$B$3:$B$152,'2024整理'!$E937)</f>
        <v>0</v>
      </c>
      <c r="N955" s="111">
        <f>COUNTIFS('2024数据'!$P$3:$P$152,"&gt;="&amp;DATE(2024,9,1),'2024数据'!$P$3:$P$152,"&lt;="&amp;DATE(2024,9,30),'2024数据'!$BF$3:$BF$152,$E$37,'2024数据'!$B$3:$B$152,'2024整理'!$E937)</f>
        <v>0</v>
      </c>
      <c r="O955" s="111">
        <f>COUNTIFS('2024数据'!$P$3:$P$152,"&gt;="&amp;DATE(2024,10,1),'2024数据'!$P$3:$P$152,"&lt;="&amp;DATE(2024,10,31),'2024数据'!$BF$3:$BF$152,$E$37,'2024数据'!$B$3:$B$152,'2024整理'!$E937)</f>
        <v>0</v>
      </c>
      <c r="P955" s="111">
        <f>COUNTIFS('2024数据'!$P$3:$P$152,"&gt;="&amp;DATE(2024,11,1),'2024数据'!$P$3:$P$152,"&lt;="&amp;DATE(2024,11,30),'2024数据'!$BF$3:$BF$152,$E$37,'2024数据'!$B$3:$B$152,'2024整理'!$E937)</f>
        <v>0</v>
      </c>
      <c r="Q955" s="111">
        <f>COUNTIFS('2024数据'!$P$3:$P$152,"&gt;="&amp;DATE(2024,12,1),'2024数据'!$P$3:$P$152,"&lt;="&amp;DATE(2024,12,31),'2024数据'!$BF$3:$BF$152,$E$37,'2024数据'!$B$3:$B$152,'2024整理'!$E937)</f>
        <v>0</v>
      </c>
    </row>
    <row r="956" ht="24" customHeight="1" spans="1:17">
      <c r="A956" s="99" t="s">
        <v>347</v>
      </c>
      <c r="B956" s="99" t="s">
        <v>299</v>
      </c>
      <c r="C956" s="99" t="s">
        <v>291</v>
      </c>
      <c r="D956" s="53" t="s">
        <v>305</v>
      </c>
      <c r="E956" s="53" t="s">
        <v>81</v>
      </c>
      <c r="F956" s="111">
        <f>COUNTIFS('2024数据'!$P$3:$P$152,"&gt;="&amp;DATE(2024,1,1),'2024数据'!$P$3:$P$152,"&lt;="&amp;DATE(2024,1,31),'2024数据'!$BF$3:$BF$152,$E$37,'2024数据'!$B$3:$B$152,'2024整理'!$E938)</f>
        <v>0</v>
      </c>
      <c r="G956" s="111">
        <f>COUNTIFS('2024数据'!$P$3:$P$152,"&gt;="&amp;DATE(2024,2,1),'2024数据'!$P$3:$P$152,"&lt;="&amp;DATE(2024,2,29),'2024数据'!$BF$3:$BF$152,$E$37,'2024数据'!$B$3:$B$152,'2024整理'!$E938)</f>
        <v>0</v>
      </c>
      <c r="H956" s="111">
        <f>COUNTIFS('2024数据'!$P$3:$P$152,"&gt;="&amp;DATE(2024,3,1),'2024数据'!$P$3:$P$152,"&lt;="&amp;DATE(2024,3,31),'2024数据'!$BF$3:$BF$152,$E$37,'2024数据'!$B$3:$B$152,'2024整理'!$E938)</f>
        <v>0</v>
      </c>
      <c r="I956" s="111">
        <f>COUNTIFS('2024数据'!$P$3:$P$152,"&gt;="&amp;DATE(2024,4,1),'2024数据'!$P$3:$P$152,"&lt;="&amp;DATE(2024,4,30),'2024数据'!$BF$3:$BF$152,$E$37,'2024数据'!$B$3:$B$152,'2024整理'!$E938)</f>
        <v>0</v>
      </c>
      <c r="J956" s="111">
        <f>COUNTIFS('2024数据'!$P$3:$P$152,"&gt;="&amp;DATE(2024,5,1),'2024数据'!$P$3:$P$152,"&lt;="&amp;DATE(2024,5,31),'2024数据'!$BF$3:$BF$152,$E$37,'2024数据'!$B$3:$B$152,'2024整理'!$E938)</f>
        <v>0</v>
      </c>
      <c r="K956" s="111">
        <f>COUNTIFS('2024数据'!$P$3:$P$152,"&gt;="&amp;DATE(2024,6,1),'2024数据'!$P$3:$P$152,"&lt;="&amp;DATE(2024,6,30),'2024数据'!$BF$3:$BF$152,$E$37,'2024数据'!$B$3:$B$152,'2024整理'!$E938)</f>
        <v>0</v>
      </c>
      <c r="L956" s="111">
        <f>COUNTIFS('2024数据'!$P$3:$P$152,"&gt;="&amp;DATE(2024,7,1),'2024数据'!$P$3:$P$152,"&lt;="&amp;DATE(2024,7,31),'2024数据'!$BF$3:$BF$152,$E$37,'2024数据'!$B$3:$B$152,'2024整理'!$E938)</f>
        <v>0</v>
      </c>
      <c r="M956" s="111">
        <f>COUNTIFS('2024数据'!$P$3:$P$152,"&gt;="&amp;DATE(2024,8,1),'2024数据'!$P$3:$P$152,"&lt;="&amp;DATE(2024,8,31),'2024数据'!$BF$3:$BF$152,$E$37,'2024数据'!$B$3:$B$152,'2024整理'!$E938)</f>
        <v>0</v>
      </c>
      <c r="N956" s="111">
        <f>COUNTIFS('2024数据'!$P$3:$P$152,"&gt;="&amp;DATE(2024,9,1),'2024数据'!$P$3:$P$152,"&lt;="&amp;DATE(2024,9,30),'2024数据'!$BF$3:$BF$152,$E$37,'2024数据'!$B$3:$B$152,'2024整理'!$E938)</f>
        <v>0</v>
      </c>
      <c r="O956" s="111">
        <f>COUNTIFS('2024数据'!$P$3:$P$152,"&gt;="&amp;DATE(2024,10,1),'2024数据'!$P$3:$P$152,"&lt;="&amp;DATE(2024,10,31),'2024数据'!$BF$3:$BF$152,$E$37,'2024数据'!$B$3:$B$152,'2024整理'!$E938)</f>
        <v>0</v>
      </c>
      <c r="P956" s="111">
        <f>COUNTIFS('2024数据'!$P$3:$P$152,"&gt;="&amp;DATE(2024,11,1),'2024数据'!$P$3:$P$152,"&lt;="&amp;DATE(2024,11,30),'2024数据'!$BF$3:$BF$152,$E$37,'2024数据'!$B$3:$B$152,'2024整理'!$E938)</f>
        <v>0</v>
      </c>
      <c r="Q956" s="111">
        <f>COUNTIFS('2024数据'!$P$3:$P$152,"&gt;="&amp;DATE(2024,12,1),'2024数据'!$P$3:$P$152,"&lt;="&amp;DATE(2024,12,31),'2024数据'!$BF$3:$BF$152,$E$37,'2024数据'!$B$3:$B$152,'2024整理'!$E938)</f>
        <v>0</v>
      </c>
    </row>
    <row r="957" ht="24" customHeight="1" spans="1:17">
      <c r="A957" s="99" t="s">
        <v>347</v>
      </c>
      <c r="B957" s="99" t="s">
        <v>299</v>
      </c>
      <c r="C957" s="99" t="s">
        <v>291</v>
      </c>
      <c r="D957" s="53" t="s">
        <v>305</v>
      </c>
      <c r="E957" s="53" t="s">
        <v>96</v>
      </c>
      <c r="F957" s="111">
        <f>COUNTIFS('2024数据'!$P$3:$P$152,"&gt;="&amp;DATE(2024,1,1),'2024数据'!$P$3:$P$152,"&lt;="&amp;DATE(2024,1,31),'2024数据'!$BF$3:$BF$152,$E$37,'2024数据'!$B$3:$B$152,'2024整理'!$E939)</f>
        <v>0</v>
      </c>
      <c r="G957" s="111">
        <f>COUNTIFS('2024数据'!$P$3:$P$152,"&gt;="&amp;DATE(2024,2,1),'2024数据'!$P$3:$P$152,"&lt;="&amp;DATE(2024,2,29),'2024数据'!$BF$3:$BF$152,$E$37,'2024数据'!$B$3:$B$152,'2024整理'!$E939)</f>
        <v>0</v>
      </c>
      <c r="H957" s="111">
        <f>COUNTIFS('2024数据'!$P$3:$P$152,"&gt;="&amp;DATE(2024,3,1),'2024数据'!$P$3:$P$152,"&lt;="&amp;DATE(2024,3,31),'2024数据'!$BF$3:$BF$152,$E$37,'2024数据'!$B$3:$B$152,'2024整理'!$E939)</f>
        <v>0</v>
      </c>
      <c r="I957" s="111">
        <f>COUNTIFS('2024数据'!$P$3:$P$152,"&gt;="&amp;DATE(2024,4,1),'2024数据'!$P$3:$P$152,"&lt;="&amp;DATE(2024,4,30),'2024数据'!$BF$3:$BF$152,$E$37,'2024数据'!$B$3:$B$152,'2024整理'!$E939)</f>
        <v>0</v>
      </c>
      <c r="J957" s="111">
        <f>COUNTIFS('2024数据'!$P$3:$P$152,"&gt;="&amp;DATE(2024,5,1),'2024数据'!$P$3:$P$152,"&lt;="&amp;DATE(2024,5,31),'2024数据'!$BF$3:$BF$152,$E$37,'2024数据'!$B$3:$B$152,'2024整理'!$E939)</f>
        <v>0</v>
      </c>
      <c r="K957" s="111">
        <f>COUNTIFS('2024数据'!$P$3:$P$152,"&gt;="&amp;DATE(2024,6,1),'2024数据'!$P$3:$P$152,"&lt;="&amp;DATE(2024,6,30),'2024数据'!$BF$3:$BF$152,$E$37,'2024数据'!$B$3:$B$152,'2024整理'!$E939)</f>
        <v>0</v>
      </c>
      <c r="L957" s="111">
        <f>COUNTIFS('2024数据'!$P$3:$P$152,"&gt;="&amp;DATE(2024,7,1),'2024数据'!$P$3:$P$152,"&lt;="&amp;DATE(2024,7,31),'2024数据'!$BF$3:$BF$152,$E$37,'2024数据'!$B$3:$B$152,'2024整理'!$E939)</f>
        <v>0</v>
      </c>
      <c r="M957" s="111">
        <f>COUNTIFS('2024数据'!$P$3:$P$152,"&gt;="&amp;DATE(2024,8,1),'2024数据'!$P$3:$P$152,"&lt;="&amp;DATE(2024,8,31),'2024数据'!$BF$3:$BF$152,$E$37,'2024数据'!$B$3:$B$152,'2024整理'!$E939)</f>
        <v>0</v>
      </c>
      <c r="N957" s="111">
        <f>COUNTIFS('2024数据'!$P$3:$P$152,"&gt;="&amp;DATE(2024,9,1),'2024数据'!$P$3:$P$152,"&lt;="&amp;DATE(2024,9,30),'2024数据'!$BF$3:$BF$152,$E$37,'2024数据'!$B$3:$B$152,'2024整理'!$E939)</f>
        <v>0</v>
      </c>
      <c r="O957" s="111">
        <f>COUNTIFS('2024数据'!$P$3:$P$152,"&gt;="&amp;DATE(2024,10,1),'2024数据'!$P$3:$P$152,"&lt;="&amp;DATE(2024,10,31),'2024数据'!$BF$3:$BF$152,$E$37,'2024数据'!$B$3:$B$152,'2024整理'!$E939)</f>
        <v>0</v>
      </c>
      <c r="P957" s="111">
        <f>COUNTIFS('2024数据'!$P$3:$P$152,"&gt;="&amp;DATE(2024,11,1),'2024数据'!$P$3:$P$152,"&lt;="&amp;DATE(2024,11,30),'2024数据'!$BF$3:$BF$152,$E$37,'2024数据'!$B$3:$B$152,'2024整理'!$E939)</f>
        <v>0</v>
      </c>
      <c r="Q957" s="111">
        <f>COUNTIFS('2024数据'!$P$3:$P$152,"&gt;="&amp;DATE(2024,12,1),'2024数据'!$P$3:$P$152,"&lt;="&amp;DATE(2024,12,31),'2024数据'!$BF$3:$BF$152,$E$37,'2024数据'!$B$3:$B$152,'2024整理'!$E939)</f>
        <v>0</v>
      </c>
    </row>
    <row r="958" ht="24" customHeight="1" spans="1:17">
      <c r="A958" s="99" t="s">
        <v>347</v>
      </c>
      <c r="B958" s="99" t="s">
        <v>299</v>
      </c>
      <c r="C958" s="99" t="s">
        <v>291</v>
      </c>
      <c r="D958" s="53" t="s">
        <v>305</v>
      </c>
      <c r="E958" s="53" t="s">
        <v>160</v>
      </c>
      <c r="F958" s="111">
        <f>COUNTIFS('2024数据'!$P$3:$P$152,"&gt;="&amp;DATE(2024,1,1),'2024数据'!$P$3:$P$152,"&lt;="&amp;DATE(2024,1,31),'2024数据'!$BF$3:$BF$152,$E$37,'2024数据'!$B$3:$B$152,'2024整理'!$E940)</f>
        <v>0</v>
      </c>
      <c r="G958" s="111">
        <f>COUNTIFS('2024数据'!$P$3:$P$152,"&gt;="&amp;DATE(2024,2,1),'2024数据'!$P$3:$P$152,"&lt;="&amp;DATE(2024,2,29),'2024数据'!$BF$3:$BF$152,$E$37,'2024数据'!$B$3:$B$152,'2024整理'!$E940)</f>
        <v>0</v>
      </c>
      <c r="H958" s="111">
        <f>COUNTIFS('2024数据'!$P$3:$P$152,"&gt;="&amp;DATE(2024,3,1),'2024数据'!$P$3:$P$152,"&lt;="&amp;DATE(2024,3,31),'2024数据'!$BF$3:$BF$152,$E$37,'2024数据'!$B$3:$B$152,'2024整理'!$E940)</f>
        <v>0</v>
      </c>
      <c r="I958" s="111">
        <f>COUNTIFS('2024数据'!$P$3:$P$152,"&gt;="&amp;DATE(2024,4,1),'2024数据'!$P$3:$P$152,"&lt;="&amp;DATE(2024,4,30),'2024数据'!$BF$3:$BF$152,$E$37,'2024数据'!$B$3:$B$152,'2024整理'!$E940)</f>
        <v>0</v>
      </c>
      <c r="J958" s="111">
        <f>COUNTIFS('2024数据'!$P$3:$P$152,"&gt;="&amp;DATE(2024,5,1),'2024数据'!$P$3:$P$152,"&lt;="&amp;DATE(2024,5,31),'2024数据'!$BF$3:$BF$152,$E$37,'2024数据'!$B$3:$B$152,'2024整理'!$E940)</f>
        <v>0</v>
      </c>
      <c r="K958" s="111">
        <f>COUNTIFS('2024数据'!$P$3:$P$152,"&gt;="&amp;DATE(2024,6,1),'2024数据'!$P$3:$P$152,"&lt;="&amp;DATE(2024,6,30),'2024数据'!$BF$3:$BF$152,$E$37,'2024数据'!$B$3:$B$152,'2024整理'!$E940)</f>
        <v>0</v>
      </c>
      <c r="L958" s="111">
        <f>COUNTIFS('2024数据'!$P$3:$P$152,"&gt;="&amp;DATE(2024,7,1),'2024数据'!$P$3:$P$152,"&lt;="&amp;DATE(2024,7,31),'2024数据'!$BF$3:$BF$152,$E$37,'2024数据'!$B$3:$B$152,'2024整理'!$E940)</f>
        <v>0</v>
      </c>
      <c r="M958" s="111">
        <f>COUNTIFS('2024数据'!$P$3:$P$152,"&gt;="&amp;DATE(2024,8,1),'2024数据'!$P$3:$P$152,"&lt;="&amp;DATE(2024,8,31),'2024数据'!$BF$3:$BF$152,$E$37,'2024数据'!$B$3:$B$152,'2024整理'!$E940)</f>
        <v>0</v>
      </c>
      <c r="N958" s="111">
        <f>COUNTIFS('2024数据'!$P$3:$P$152,"&gt;="&amp;DATE(2024,9,1),'2024数据'!$P$3:$P$152,"&lt;="&amp;DATE(2024,9,30),'2024数据'!$BF$3:$BF$152,$E$37,'2024数据'!$B$3:$B$152,'2024整理'!$E940)</f>
        <v>0</v>
      </c>
      <c r="O958" s="111">
        <f>COUNTIFS('2024数据'!$P$3:$P$152,"&gt;="&amp;DATE(2024,10,1),'2024数据'!$P$3:$P$152,"&lt;="&amp;DATE(2024,10,31),'2024数据'!$BF$3:$BF$152,$E$37,'2024数据'!$B$3:$B$152,'2024整理'!$E940)</f>
        <v>0</v>
      </c>
      <c r="P958" s="111">
        <f>COUNTIFS('2024数据'!$P$3:$P$152,"&gt;="&amp;DATE(2024,11,1),'2024数据'!$P$3:$P$152,"&lt;="&amp;DATE(2024,11,30),'2024数据'!$BF$3:$BF$152,$E$37,'2024数据'!$B$3:$B$152,'2024整理'!$E940)</f>
        <v>0</v>
      </c>
      <c r="Q958" s="111">
        <f>COUNTIFS('2024数据'!$P$3:$P$152,"&gt;="&amp;DATE(2024,12,1),'2024数据'!$P$3:$P$152,"&lt;="&amp;DATE(2024,12,31),'2024数据'!$BF$3:$BF$152,$E$37,'2024数据'!$B$3:$B$152,'2024整理'!$E940)</f>
        <v>0</v>
      </c>
    </row>
    <row r="959" ht="24" customHeight="1" spans="1:17">
      <c r="A959" s="99" t="s">
        <v>347</v>
      </c>
      <c r="B959" s="99" t="s">
        <v>299</v>
      </c>
      <c r="C959" s="99" t="s">
        <v>291</v>
      </c>
      <c r="D959" s="100" t="s">
        <v>292</v>
      </c>
      <c r="E959" s="100" t="s">
        <v>306</v>
      </c>
      <c r="F959" s="104">
        <f t="shared" ref="F959:Q959" si="675">SUM(F960:F962)</f>
        <v>0</v>
      </c>
      <c r="G959" s="104">
        <f t="shared" si="675"/>
        <v>0</v>
      </c>
      <c r="H959" s="104">
        <f t="shared" si="675"/>
        <v>0</v>
      </c>
      <c r="I959" s="104">
        <f t="shared" si="675"/>
        <v>1</v>
      </c>
      <c r="J959" s="104">
        <f t="shared" si="675"/>
        <v>1</v>
      </c>
      <c r="K959" s="104">
        <f t="shared" si="675"/>
        <v>0</v>
      </c>
      <c r="L959" s="104">
        <f t="shared" si="675"/>
        <v>0</v>
      </c>
      <c r="M959" s="104">
        <f t="shared" si="675"/>
        <v>0</v>
      </c>
      <c r="N959" s="104">
        <f t="shared" si="675"/>
        <v>0</v>
      </c>
      <c r="O959" s="104">
        <f t="shared" si="675"/>
        <v>0</v>
      </c>
      <c r="P959" s="104">
        <f t="shared" si="675"/>
        <v>1</v>
      </c>
      <c r="Q959" s="104">
        <f t="shared" si="675"/>
        <v>0</v>
      </c>
    </row>
    <row r="960" ht="24" customHeight="1" spans="1:17">
      <c r="A960" s="99" t="s">
        <v>347</v>
      </c>
      <c r="B960" s="99" t="s">
        <v>299</v>
      </c>
      <c r="C960" s="99" t="s">
        <v>291</v>
      </c>
      <c r="D960" s="48" t="s">
        <v>296</v>
      </c>
      <c r="E960" s="48" t="s">
        <v>406</v>
      </c>
      <c r="F960" s="105">
        <f>COUNTIFS('2024数据'!$P$3:$P$152,"&gt;="&amp;DATE(2024,1,1),'2024数据'!$P$3:$P$152,"&lt;="&amp;DATE(2024,1,31),'2024数据'!$AF$3:$AF$152,$E960)</f>
        <v>0</v>
      </c>
      <c r="G960" s="105">
        <f>COUNTIFS('2024数据'!$P$3:$P$152,"&gt;="&amp;DATE(2024,2,1),'2024数据'!$P$3:$P$152,"&lt;="&amp;DATE(2024,2,29),'2024数据'!$AF$3:$AF$152,$E960)</f>
        <v>0</v>
      </c>
      <c r="H960" s="105">
        <f>COUNTIFS('2024数据'!$P$3:$P$152,"&gt;="&amp;DATE(2024,3,1),'2024数据'!$P$3:$P$152,"&lt;="&amp;DATE(2024,3,31),'2024数据'!$AF$3:$AF$152,$E960)</f>
        <v>0</v>
      </c>
      <c r="I960" s="105">
        <f>COUNTIFS('2024数据'!$P$3:$P$152,"&gt;="&amp;DATE(2024,4,1),'2024数据'!$P$3:$P$152,"&lt;="&amp;DATE(2024,4,30),'2024数据'!$AF$3:$AF$152,$E960)</f>
        <v>1</v>
      </c>
      <c r="J960" s="105">
        <f>COUNTIFS('2024数据'!$P$3:$P$152,"&gt;="&amp;DATE(2024,5,1),'2024数据'!$P$3:$P$152,"&lt;="&amp;DATE(2024,5,31),'2024数据'!$AF$3:$AF$152,$E960)</f>
        <v>0</v>
      </c>
      <c r="K960" s="105">
        <f>COUNTIFS('2024数据'!$P$3:$P$152,"&gt;="&amp;DATE(2024,6,1),'2024数据'!$P$3:$P$152,"&lt;="&amp;DATE(2024,6,30),'2024数据'!$AF$3:$AF$152,$E960)</f>
        <v>0</v>
      </c>
      <c r="L960" s="105">
        <f>COUNTIFS('2024数据'!$P$3:$P$152,"&gt;="&amp;DATE(2024,7,1),'2024数据'!$P$3:$P$152,"&lt;="&amp;DATE(2024,7,31),'2024数据'!$AF$3:$AF$152,$E960)</f>
        <v>0</v>
      </c>
      <c r="M960" s="105">
        <f>COUNTIFS('2024数据'!$P$3:$P$152,"&gt;="&amp;DATE(2024,8,1),'2024数据'!$P$3:$P$152,"&lt;="&amp;DATE(2024,8,31),'2024数据'!$AF$3:$AF$152,$E960)</f>
        <v>0</v>
      </c>
      <c r="N960" s="105">
        <f>COUNTIFS('2024数据'!$P$3:$P$152,"&gt;="&amp;DATE(2024,9,1),'2024数据'!$P$3:$P$152,"&lt;="&amp;DATE(2024,9,30),'2024数据'!$AF$3:$AF$152,$E960)</f>
        <v>0</v>
      </c>
      <c r="O960" s="105">
        <f>COUNTIFS('2024数据'!$P$3:$P$152,"&gt;="&amp;DATE(2024,10,1),'2024数据'!$P$3:$P$152,"&lt;="&amp;DATE(2024,10,31),'2024数据'!$AF$3:$AF$152,$E960)</f>
        <v>0</v>
      </c>
      <c r="P960" s="105">
        <f>COUNTIFS('2024数据'!$P$3:$P$152,"&gt;="&amp;DATE(2024,11,1),'2024数据'!$P$3:$P$152,"&lt;="&amp;DATE(2024,11,30),'2024数据'!$AF$3:$AF$152,$E960)</f>
        <v>1</v>
      </c>
      <c r="Q960" s="105">
        <f>COUNTIFS('2024数据'!$P$3:$P$152,"&gt;="&amp;DATE(2024,12,1),'2024数据'!$P$3:$P$152,"&lt;="&amp;DATE(2024,12,31),'2024数据'!$AF$3:$AF$152,$E960)</f>
        <v>0</v>
      </c>
    </row>
    <row r="961" ht="24" customHeight="1" spans="1:17">
      <c r="A961" s="99" t="s">
        <v>347</v>
      </c>
      <c r="B961" s="99" t="s">
        <v>299</v>
      </c>
      <c r="C961" s="99" t="s">
        <v>291</v>
      </c>
      <c r="D961" s="48" t="s">
        <v>296</v>
      </c>
      <c r="E961" s="48" t="s">
        <v>82</v>
      </c>
      <c r="F961" s="105">
        <f>COUNTIFS('2024数据'!$P$3:$P$152,"&gt;="&amp;DATE(2024,1,1),'2024数据'!$P$3:$P$152,"&lt;="&amp;DATE(2024,1,31),'2024数据'!$AF$3:$AF$152,$E961)</f>
        <v>0</v>
      </c>
      <c r="G961" s="105">
        <f>COUNTIFS('2024数据'!$P$3:$P$152,"&gt;="&amp;DATE(2024,2,1),'2024数据'!$P$3:$P$152,"&lt;="&amp;DATE(2024,2,29),'2024数据'!$AF$3:$AF$152,$E961)</f>
        <v>0</v>
      </c>
      <c r="H961" s="105">
        <f>COUNTIFS('2024数据'!$P$3:$P$152,"&gt;="&amp;DATE(2024,3,1),'2024数据'!$P$3:$P$152,"&lt;="&amp;DATE(2024,3,31),'2024数据'!$AF$3:$AF$152,$E961)</f>
        <v>0</v>
      </c>
      <c r="I961" s="105">
        <f>COUNTIFS('2024数据'!$P$3:$P$152,"&gt;="&amp;DATE(2024,4,1),'2024数据'!$P$3:$P$152,"&lt;="&amp;DATE(2024,4,30),'2024数据'!$AF$3:$AF$152,$E961)</f>
        <v>0</v>
      </c>
      <c r="J961" s="105">
        <f>COUNTIFS('2024数据'!$P$3:$P$152,"&gt;="&amp;DATE(2024,5,1),'2024数据'!$P$3:$P$152,"&lt;="&amp;DATE(2024,5,31),'2024数据'!$AF$3:$AF$152,$E961)</f>
        <v>1</v>
      </c>
      <c r="K961" s="105">
        <f>COUNTIFS('2024数据'!$P$3:$P$152,"&gt;="&amp;DATE(2024,6,1),'2024数据'!$P$3:$P$152,"&lt;="&amp;DATE(2024,6,30),'2024数据'!$AF$3:$AF$152,$E961)</f>
        <v>0</v>
      </c>
      <c r="L961" s="105">
        <f>COUNTIFS('2024数据'!$P$3:$P$152,"&gt;="&amp;DATE(2024,7,1),'2024数据'!$P$3:$P$152,"&lt;="&amp;DATE(2024,7,31),'2024数据'!$AF$3:$AF$152,$E961)</f>
        <v>0</v>
      </c>
      <c r="M961" s="105">
        <f>COUNTIFS('2024数据'!$P$3:$P$152,"&gt;="&amp;DATE(2024,8,1),'2024数据'!$P$3:$P$152,"&lt;="&amp;DATE(2024,8,31),'2024数据'!$AF$3:$AF$152,$E961)</f>
        <v>0</v>
      </c>
      <c r="N961" s="105">
        <f>COUNTIFS('2024数据'!$P$3:$P$152,"&gt;="&amp;DATE(2024,9,1),'2024数据'!$P$3:$P$152,"&lt;="&amp;DATE(2024,9,30),'2024数据'!$AF$3:$AF$152,$E961)</f>
        <v>0</v>
      </c>
      <c r="O961" s="105">
        <f>COUNTIFS('2024数据'!$P$3:$P$152,"&gt;="&amp;DATE(2024,10,1),'2024数据'!$P$3:$P$152,"&lt;="&amp;DATE(2024,10,31),'2024数据'!$AF$3:$AF$152,$E961)</f>
        <v>0</v>
      </c>
      <c r="P961" s="105">
        <f>COUNTIFS('2024数据'!$P$3:$P$152,"&gt;="&amp;DATE(2024,11,1),'2024数据'!$P$3:$P$152,"&lt;="&amp;DATE(2024,11,30),'2024数据'!$AF$3:$AF$152,$E961)</f>
        <v>0</v>
      </c>
      <c r="Q961" s="105">
        <f>COUNTIFS('2024数据'!$P$3:$P$152,"&gt;="&amp;DATE(2024,12,1),'2024数据'!$P$3:$P$152,"&lt;="&amp;DATE(2024,12,31),'2024数据'!$AF$3:$AF$152,$E961)</f>
        <v>0</v>
      </c>
    </row>
    <row r="962" ht="24" customHeight="1" spans="1:17">
      <c r="A962" s="99" t="s">
        <v>347</v>
      </c>
      <c r="B962" s="99" t="s">
        <v>299</v>
      </c>
      <c r="C962" s="99" t="s">
        <v>291</v>
      </c>
      <c r="D962" s="48" t="s">
        <v>296</v>
      </c>
      <c r="E962" s="48" t="s">
        <v>86</v>
      </c>
      <c r="F962" s="105">
        <f>COUNTIFS('2024数据'!$P$3:$P$152,"&gt;="&amp;DATE(2024,1,1),'2024数据'!$P$3:$P$152,"&lt;="&amp;DATE(2024,1,31),'2024数据'!$AF$3:$AF$152,$E962)</f>
        <v>0</v>
      </c>
      <c r="G962" s="105">
        <f>COUNTIFS('2024数据'!$P$3:$P$152,"&gt;="&amp;DATE(2024,2,1),'2024数据'!$P$3:$P$152,"&lt;="&amp;DATE(2024,2,29),'2024数据'!$AF$3:$AF$152,$E962)</f>
        <v>0</v>
      </c>
      <c r="H962" s="105">
        <f>COUNTIFS('2024数据'!$P$3:$P$152,"&gt;="&amp;DATE(2024,3,1),'2024数据'!$P$3:$P$152,"&lt;="&amp;DATE(2024,3,31),'2024数据'!$AF$3:$AF$152,$E962)</f>
        <v>0</v>
      </c>
      <c r="I962" s="105">
        <f>COUNTIFS('2024数据'!$P$3:$P$152,"&gt;="&amp;DATE(2024,4,1),'2024数据'!$P$3:$P$152,"&lt;="&amp;DATE(2024,4,30),'2024数据'!$AF$3:$AF$152,$E962)</f>
        <v>0</v>
      </c>
      <c r="J962" s="105">
        <f>COUNTIFS('2024数据'!$P$3:$P$152,"&gt;="&amp;DATE(2024,5,1),'2024数据'!$P$3:$P$152,"&lt;="&amp;DATE(2024,5,31),'2024数据'!$AF$3:$AF$152,$E962)</f>
        <v>0</v>
      </c>
      <c r="K962" s="105">
        <f>COUNTIFS('2024数据'!$P$3:$P$152,"&gt;="&amp;DATE(2024,6,1),'2024数据'!$P$3:$P$152,"&lt;="&amp;DATE(2024,6,30),'2024数据'!$AF$3:$AF$152,$E962)</f>
        <v>0</v>
      </c>
      <c r="L962" s="105">
        <f>COUNTIFS('2024数据'!$P$3:$P$152,"&gt;="&amp;DATE(2024,7,1),'2024数据'!$P$3:$P$152,"&lt;="&amp;DATE(2024,7,31),'2024数据'!$AF$3:$AF$152,$E962)</f>
        <v>0</v>
      </c>
      <c r="M962" s="105">
        <f>COUNTIFS('2024数据'!$P$3:$P$152,"&gt;="&amp;DATE(2024,8,1),'2024数据'!$P$3:$P$152,"&lt;="&amp;DATE(2024,8,31),'2024数据'!$AF$3:$AF$152,$E962)</f>
        <v>0</v>
      </c>
      <c r="N962" s="105">
        <f>COUNTIFS('2024数据'!$P$3:$P$152,"&gt;="&amp;DATE(2024,9,1),'2024数据'!$P$3:$P$152,"&lt;="&amp;DATE(2024,9,30),'2024数据'!$AF$3:$AF$152,$E962)</f>
        <v>0</v>
      </c>
      <c r="O962" s="105">
        <f>COUNTIFS('2024数据'!$P$3:$P$152,"&gt;="&amp;DATE(2024,10,1),'2024数据'!$P$3:$P$152,"&lt;="&amp;DATE(2024,10,31),'2024数据'!$AF$3:$AF$152,$E962)</f>
        <v>0</v>
      </c>
      <c r="P962" s="105">
        <f>COUNTIFS('2024数据'!$P$3:$P$152,"&gt;="&amp;DATE(2024,11,1),'2024数据'!$P$3:$P$152,"&lt;="&amp;DATE(2024,11,30),'2024数据'!$AF$3:$AF$152,$E962)</f>
        <v>0</v>
      </c>
      <c r="Q962" s="105">
        <f>COUNTIFS('2024数据'!$P$3:$P$152,"&gt;="&amp;DATE(2024,12,1),'2024数据'!$P$3:$P$152,"&lt;="&amp;DATE(2024,12,31),'2024数据'!$AF$3:$AF$152,$E962)</f>
        <v>0</v>
      </c>
    </row>
    <row r="963" ht="24" customHeight="1" spans="1:17">
      <c r="A963" s="99" t="s">
        <v>347</v>
      </c>
      <c r="B963" s="99" t="s">
        <v>299</v>
      </c>
      <c r="C963" s="99" t="s">
        <v>291</v>
      </c>
      <c r="D963" s="100" t="s">
        <v>292</v>
      </c>
      <c r="E963" s="100" t="s">
        <v>307</v>
      </c>
      <c r="F963" s="104">
        <f t="shared" ref="F963:Q963" si="676">SUM(F964:F966)</f>
        <v>0</v>
      </c>
      <c r="G963" s="104">
        <f t="shared" si="676"/>
        <v>0</v>
      </c>
      <c r="H963" s="104">
        <f t="shared" si="676"/>
        <v>0</v>
      </c>
      <c r="I963" s="104">
        <f t="shared" si="676"/>
        <v>1</v>
      </c>
      <c r="J963" s="104">
        <f t="shared" si="676"/>
        <v>1</v>
      </c>
      <c r="K963" s="104">
        <f t="shared" si="676"/>
        <v>0</v>
      </c>
      <c r="L963" s="104">
        <f t="shared" si="676"/>
        <v>1</v>
      </c>
      <c r="M963" s="104">
        <f t="shared" si="676"/>
        <v>0</v>
      </c>
      <c r="N963" s="104">
        <f t="shared" si="676"/>
        <v>0</v>
      </c>
      <c r="O963" s="104">
        <f t="shared" si="676"/>
        <v>0</v>
      </c>
      <c r="P963" s="104">
        <f t="shared" si="676"/>
        <v>1</v>
      </c>
      <c r="Q963" s="104">
        <f t="shared" si="676"/>
        <v>0</v>
      </c>
    </row>
    <row r="964" ht="24" customHeight="1" spans="1:17">
      <c r="A964" s="99" t="s">
        <v>347</v>
      </c>
      <c r="B964" s="99" t="s">
        <v>299</v>
      </c>
      <c r="C964" s="99" t="s">
        <v>291</v>
      </c>
      <c r="D964" s="48" t="s">
        <v>298</v>
      </c>
      <c r="E964" s="48" t="s">
        <v>97</v>
      </c>
      <c r="F964" s="105">
        <f>COUNTIFS('2024数据'!$P$3:$P$152,"&gt;="&amp;DATE(2024,1,1),'2024数据'!$P$3:$P$152,"&lt;="&amp;DATE(2024,1,31),'2024数据'!$AG$3:$AG$152,$E964)</f>
        <v>0</v>
      </c>
      <c r="G964" s="105">
        <f>COUNTIFS('2024数据'!$P$3:$P$152,"&gt;="&amp;DATE(2024,2,1),'2024数据'!$P$3:$P$152,"&lt;="&amp;DATE(2024,2,29),'2024数据'!$AG$3:$AG$152,$E964)</f>
        <v>0</v>
      </c>
      <c r="H964" s="105">
        <f>COUNTIFS('2024数据'!$P$3:$P$152,"&gt;="&amp;DATE(2024,3,1),'2024数据'!$P$3:$P$152,"&lt;="&amp;DATE(2024,3,31),'2024数据'!$AG$3:$AG$152,$E964)</f>
        <v>0</v>
      </c>
      <c r="I964" s="105">
        <f>COUNTIFS('2024数据'!$P$3:$P$152,"&gt;="&amp;DATE(2024,4,1),'2024数据'!$P$3:$P$152,"&lt;="&amp;DATE(2024,4,30),'2024数据'!$AG$3:$AG$152,$E964)</f>
        <v>1</v>
      </c>
      <c r="J964" s="105">
        <f>COUNTIFS('2024数据'!$P$3:$P$152,"&gt;="&amp;DATE(2024,5,1),'2024数据'!$P$3:$P$152,"&lt;="&amp;DATE(2024,5,31),'2024数据'!$AG$3:$AG$152,$E964)</f>
        <v>1</v>
      </c>
      <c r="K964" s="105">
        <f>COUNTIFS('2024数据'!$P$3:$P$152,"&gt;="&amp;DATE(2024,6,1),'2024数据'!$P$3:$P$152,"&lt;="&amp;DATE(2024,6,30),'2024数据'!$AG$3:$AG$152,$E964)</f>
        <v>0</v>
      </c>
      <c r="L964" s="105">
        <f>COUNTIFS('2024数据'!$P$3:$P$152,"&gt;="&amp;DATE(2024,7,1),'2024数据'!$P$3:$P$152,"&lt;="&amp;DATE(2024,7,31),'2024数据'!$AG$3:$AG$152,$E964)</f>
        <v>0</v>
      </c>
      <c r="M964" s="105">
        <f>COUNTIFS('2024数据'!$P$3:$P$152,"&gt;="&amp;DATE(2024,8,1),'2024数据'!$P$3:$P$152,"&lt;="&amp;DATE(2024,8,31),'2024数据'!$AG$3:$AG$152,$E964)</f>
        <v>0</v>
      </c>
      <c r="N964" s="105">
        <f>COUNTIFS('2024数据'!$P$3:$P$152,"&gt;="&amp;DATE(2024,9,1),'2024数据'!$P$3:$P$152,"&lt;="&amp;DATE(2024,9,30),'2024数据'!$AG$3:$AG$152,$E964)</f>
        <v>0</v>
      </c>
      <c r="O964" s="105">
        <f>COUNTIFS('2024数据'!$P$3:$P$152,"&gt;="&amp;DATE(2024,10,1),'2024数据'!$P$3:$P$152,"&lt;="&amp;DATE(2024,10,31),'2024数据'!$AG$3:$AG$152,$E964)</f>
        <v>0</v>
      </c>
      <c r="P964" s="105">
        <f>COUNTIFS('2024数据'!$P$3:$P$152,"&gt;="&amp;DATE(2024,11,1),'2024数据'!$P$3:$P$152,"&lt;="&amp;DATE(2024,11,30),'2024数据'!$AG$3:$AG$152,$E964)</f>
        <v>0</v>
      </c>
      <c r="Q964" s="105">
        <f>COUNTIFS('2024数据'!$P$3:$P$152,"&gt;="&amp;DATE(2024,12,1),'2024数据'!$P$3:$P$152,"&lt;="&amp;DATE(2024,12,31),'2024数据'!$AG$3:$AG$152,$E964)</f>
        <v>0</v>
      </c>
    </row>
    <row r="965" ht="24" customHeight="1" spans="1:17">
      <c r="A965" s="99" t="s">
        <v>347</v>
      </c>
      <c r="B965" s="99" t="s">
        <v>299</v>
      </c>
      <c r="C965" s="99" t="s">
        <v>291</v>
      </c>
      <c r="D965" s="48" t="s">
        <v>298</v>
      </c>
      <c r="E965" s="48" t="s">
        <v>87</v>
      </c>
      <c r="F965" s="105">
        <f>COUNTIFS('2024数据'!$P$3:$P$152,"&gt;="&amp;DATE(2024,1,1),'2024数据'!$P$3:$P$152,"&lt;="&amp;DATE(2024,1,31),'2024数据'!$AG$3:$AG$152,$E965)</f>
        <v>0</v>
      </c>
      <c r="G965" s="105">
        <f>COUNTIFS('2024数据'!$P$3:$P$152,"&gt;="&amp;DATE(2024,2,1),'2024数据'!$P$3:$P$152,"&lt;="&amp;DATE(2024,2,29),'2024数据'!$AG$3:$AG$152,$E965)</f>
        <v>0</v>
      </c>
      <c r="H965" s="105">
        <f>COUNTIFS('2024数据'!$P$3:$P$152,"&gt;="&amp;DATE(2024,3,1),'2024数据'!$P$3:$P$152,"&lt;="&amp;DATE(2024,3,31),'2024数据'!$AG$3:$AG$152,$E965)</f>
        <v>0</v>
      </c>
      <c r="I965" s="105">
        <f>COUNTIFS('2024数据'!$P$3:$P$152,"&gt;="&amp;DATE(2024,4,1),'2024数据'!$P$3:$P$152,"&lt;="&amp;DATE(2024,4,30),'2024数据'!$AG$3:$AG$152,$E965)</f>
        <v>0</v>
      </c>
      <c r="J965" s="105">
        <f>COUNTIFS('2024数据'!$P$3:$P$152,"&gt;="&amp;DATE(2024,5,1),'2024数据'!$P$3:$P$152,"&lt;="&amp;DATE(2024,5,31),'2024数据'!$AG$3:$AG$152,$E965)</f>
        <v>0</v>
      </c>
      <c r="K965" s="105">
        <f>COUNTIFS('2024数据'!$P$3:$P$152,"&gt;="&amp;DATE(2024,6,1),'2024数据'!$P$3:$P$152,"&lt;="&amp;DATE(2024,6,30),'2024数据'!$AG$3:$AG$152,$E965)</f>
        <v>0</v>
      </c>
      <c r="L965" s="105">
        <f>COUNTIFS('2024数据'!$P$3:$P$152,"&gt;="&amp;DATE(2024,7,1),'2024数据'!$P$3:$P$152,"&lt;="&amp;DATE(2024,7,31),'2024数据'!$AG$3:$AG$152,$E965)</f>
        <v>1</v>
      </c>
      <c r="M965" s="105">
        <f>COUNTIFS('2024数据'!$P$3:$P$152,"&gt;="&amp;DATE(2024,8,1),'2024数据'!$P$3:$P$152,"&lt;="&amp;DATE(2024,8,31),'2024数据'!$AG$3:$AG$152,$E965)</f>
        <v>0</v>
      </c>
      <c r="N965" s="105">
        <f>COUNTIFS('2024数据'!$P$3:$P$152,"&gt;="&amp;DATE(2024,9,1),'2024数据'!$P$3:$P$152,"&lt;="&amp;DATE(2024,9,30),'2024数据'!$AG$3:$AG$152,$E965)</f>
        <v>0</v>
      </c>
      <c r="O965" s="105">
        <f>COUNTIFS('2024数据'!$P$3:$P$152,"&gt;="&amp;DATE(2024,10,1),'2024数据'!$P$3:$P$152,"&lt;="&amp;DATE(2024,10,31),'2024数据'!$AG$3:$AG$152,$E965)</f>
        <v>0</v>
      </c>
      <c r="P965" s="105">
        <f>COUNTIFS('2024数据'!$P$3:$P$152,"&gt;="&amp;DATE(2024,11,1),'2024数据'!$P$3:$P$152,"&lt;="&amp;DATE(2024,11,30),'2024数据'!$AG$3:$AG$152,$E965)</f>
        <v>1</v>
      </c>
      <c r="Q965" s="105">
        <f>COUNTIFS('2024数据'!$P$3:$P$152,"&gt;="&amp;DATE(2024,12,1),'2024数据'!$P$3:$P$152,"&lt;="&amp;DATE(2024,12,31),'2024数据'!$AG$3:$AG$152,$E965)</f>
        <v>0</v>
      </c>
    </row>
    <row r="966" ht="24" customHeight="1" spans="1:17">
      <c r="A966" s="99" t="s">
        <v>347</v>
      </c>
      <c r="B966" s="99" t="s">
        <v>299</v>
      </c>
      <c r="C966" s="99" t="s">
        <v>291</v>
      </c>
      <c r="D966" s="48" t="s">
        <v>298</v>
      </c>
      <c r="E966" s="48" t="s">
        <v>83</v>
      </c>
      <c r="F966" s="105">
        <f>COUNTIFS('2024数据'!$P$3:$P$152,"&gt;="&amp;DATE(2024,1,1),'2024数据'!$P$3:$P$152,"&lt;="&amp;DATE(2024,1,31),'2024数据'!$AG$3:$AG$152,$E966)</f>
        <v>0</v>
      </c>
      <c r="G966" s="105">
        <f>COUNTIFS('2024数据'!$P$3:$P$152,"&gt;="&amp;DATE(2024,2,1),'2024数据'!$P$3:$P$152,"&lt;="&amp;DATE(2024,2,29),'2024数据'!$AG$3:$AG$152,$E966)</f>
        <v>0</v>
      </c>
      <c r="H966" s="105">
        <f>COUNTIFS('2024数据'!$P$3:$P$152,"&gt;="&amp;DATE(2024,3,1),'2024数据'!$P$3:$P$152,"&lt;="&amp;DATE(2024,3,31),'2024数据'!$AG$3:$AG$152,$E966)</f>
        <v>0</v>
      </c>
      <c r="I966" s="105">
        <f>COUNTIFS('2024数据'!$P$3:$P$152,"&gt;="&amp;DATE(2024,4,1),'2024数据'!$P$3:$P$152,"&lt;="&amp;DATE(2024,4,30),'2024数据'!$AG$3:$AG$152,$E966)</f>
        <v>0</v>
      </c>
      <c r="J966" s="105">
        <f>COUNTIFS('2024数据'!$P$3:$P$152,"&gt;="&amp;DATE(2024,5,1),'2024数据'!$P$3:$P$152,"&lt;="&amp;DATE(2024,5,31),'2024数据'!$AG$3:$AG$152,$E966)</f>
        <v>0</v>
      </c>
      <c r="K966" s="105">
        <f>COUNTIFS('2024数据'!$P$3:$P$152,"&gt;="&amp;DATE(2024,6,1),'2024数据'!$P$3:$P$152,"&lt;="&amp;DATE(2024,6,30),'2024数据'!$AG$3:$AG$152,$E966)</f>
        <v>0</v>
      </c>
      <c r="L966" s="105">
        <f>COUNTIFS('2024数据'!$P$3:$P$152,"&gt;="&amp;DATE(2024,7,1),'2024数据'!$P$3:$P$152,"&lt;="&amp;DATE(2024,7,31),'2024数据'!$AG$3:$AG$152,$E966)</f>
        <v>0</v>
      </c>
      <c r="M966" s="105">
        <f>COUNTIFS('2024数据'!$P$3:$P$152,"&gt;="&amp;DATE(2024,8,1),'2024数据'!$P$3:$P$152,"&lt;="&amp;DATE(2024,8,31),'2024数据'!$AG$3:$AG$152,$E966)</f>
        <v>0</v>
      </c>
      <c r="N966" s="105">
        <f>COUNTIFS('2024数据'!$P$3:$P$152,"&gt;="&amp;DATE(2024,9,1),'2024数据'!$P$3:$P$152,"&lt;="&amp;DATE(2024,9,30),'2024数据'!$AG$3:$AG$152,$E966)</f>
        <v>0</v>
      </c>
      <c r="O966" s="105">
        <f>COUNTIFS('2024数据'!$P$3:$P$152,"&gt;="&amp;DATE(2024,10,1),'2024数据'!$P$3:$P$152,"&lt;="&amp;DATE(2024,10,31),'2024数据'!$AG$3:$AG$152,$E966)</f>
        <v>0</v>
      </c>
      <c r="P966" s="105">
        <f>COUNTIFS('2024数据'!$P$3:$P$152,"&gt;="&amp;DATE(2024,11,1),'2024数据'!$P$3:$P$152,"&lt;="&amp;DATE(2024,11,30),'2024数据'!$AG$3:$AG$152,$E966)</f>
        <v>0</v>
      </c>
      <c r="Q966" s="105">
        <f>COUNTIFS('2024数据'!$P$3:$P$152,"&gt;="&amp;DATE(2024,12,1),'2024数据'!$P$3:$P$152,"&lt;="&amp;DATE(2024,12,31),'2024数据'!$AG$3:$AG$152,$E966)</f>
        <v>0</v>
      </c>
    </row>
    <row r="967" ht="24" customHeight="1" spans="1:17">
      <c r="A967" s="99" t="s">
        <v>347</v>
      </c>
      <c r="B967" s="99" t="s">
        <v>308</v>
      </c>
      <c r="C967" s="99" t="s">
        <v>309</v>
      </c>
      <c r="D967" s="100" t="s">
        <v>292</v>
      </c>
      <c r="E967" s="100" t="s">
        <v>310</v>
      </c>
      <c r="F967" s="104">
        <f t="shared" ref="F967:Q967" si="677">IF((SUM(F968:F973)-MAX(F985,F992))&lt;0,"ERR",SUM(F968:F973))</f>
        <v>0</v>
      </c>
      <c r="G967" s="104">
        <f t="shared" si="677"/>
        <v>0</v>
      </c>
      <c r="H967" s="104">
        <f t="shared" si="677"/>
        <v>1</v>
      </c>
      <c r="I967" s="104">
        <f t="shared" si="677"/>
        <v>1</v>
      </c>
      <c r="J967" s="104">
        <f t="shared" si="677"/>
        <v>0</v>
      </c>
      <c r="K967" s="104">
        <f t="shared" si="677"/>
        <v>0</v>
      </c>
      <c r="L967" s="104">
        <f t="shared" si="677"/>
        <v>0</v>
      </c>
      <c r="M967" s="104">
        <f t="shared" si="677"/>
        <v>0</v>
      </c>
      <c r="N967" s="104">
        <f t="shared" si="677"/>
        <v>0</v>
      </c>
      <c r="O967" s="104">
        <f t="shared" si="677"/>
        <v>0</v>
      </c>
      <c r="P967" s="104">
        <f t="shared" si="677"/>
        <v>0</v>
      </c>
      <c r="Q967" s="104">
        <f t="shared" si="677"/>
        <v>0</v>
      </c>
    </row>
    <row r="968" ht="24" customHeight="1" spans="1:17">
      <c r="A968" s="99" t="s">
        <v>347</v>
      </c>
      <c r="B968" s="99" t="s">
        <v>308</v>
      </c>
      <c r="C968" s="99" t="s">
        <v>309</v>
      </c>
      <c r="D968" s="48" t="s">
        <v>31</v>
      </c>
      <c r="E968" s="48" t="s">
        <v>406</v>
      </c>
      <c r="F968" s="105">
        <f t="shared" ref="F968:Q968" si="678">F1000-F1020</f>
        <v>0</v>
      </c>
      <c r="G968" s="105">
        <f t="shared" si="678"/>
        <v>0</v>
      </c>
      <c r="H968" s="105">
        <f t="shared" si="678"/>
        <v>1</v>
      </c>
      <c r="I968" s="105">
        <f t="shared" si="678"/>
        <v>0</v>
      </c>
      <c r="J968" s="105">
        <f t="shared" si="678"/>
        <v>0</v>
      </c>
      <c r="K968" s="105">
        <f t="shared" si="678"/>
        <v>0</v>
      </c>
      <c r="L968" s="105">
        <f t="shared" si="678"/>
        <v>0</v>
      </c>
      <c r="M968" s="105">
        <f t="shared" si="678"/>
        <v>0</v>
      </c>
      <c r="N968" s="105">
        <f t="shared" si="678"/>
        <v>0</v>
      </c>
      <c r="O968" s="105">
        <f t="shared" si="678"/>
        <v>0</v>
      </c>
      <c r="P968" s="105">
        <f t="shared" si="678"/>
        <v>0</v>
      </c>
      <c r="Q968" s="105">
        <f t="shared" si="678"/>
        <v>0</v>
      </c>
    </row>
    <row r="969" ht="24" customHeight="1" spans="1:17">
      <c r="A969" s="99" t="s">
        <v>347</v>
      </c>
      <c r="B969" s="99" t="s">
        <v>308</v>
      </c>
      <c r="C969" s="99" t="s">
        <v>309</v>
      </c>
      <c r="D969" s="48" t="s">
        <v>31</v>
      </c>
      <c r="E969" s="48" t="s">
        <v>82</v>
      </c>
      <c r="F969" s="105">
        <f t="shared" ref="F969:Q969" si="679">F1001-F1021</f>
        <v>0</v>
      </c>
      <c r="G969" s="105">
        <f t="shared" si="679"/>
        <v>0</v>
      </c>
      <c r="H969" s="105">
        <f t="shared" si="679"/>
        <v>0</v>
      </c>
      <c r="I969" s="105">
        <f t="shared" si="679"/>
        <v>0</v>
      </c>
      <c r="J969" s="105">
        <f t="shared" si="679"/>
        <v>0</v>
      </c>
      <c r="K969" s="105">
        <f t="shared" si="679"/>
        <v>0</v>
      </c>
      <c r="L969" s="105">
        <f t="shared" si="679"/>
        <v>0</v>
      </c>
      <c r="M969" s="105">
        <f t="shared" si="679"/>
        <v>0</v>
      </c>
      <c r="N969" s="105">
        <f t="shared" si="679"/>
        <v>0</v>
      </c>
      <c r="O969" s="105">
        <f t="shared" si="679"/>
        <v>0</v>
      </c>
      <c r="P969" s="105">
        <f t="shared" si="679"/>
        <v>0</v>
      </c>
      <c r="Q969" s="105">
        <f t="shared" si="679"/>
        <v>0</v>
      </c>
    </row>
    <row r="970" ht="24" customHeight="1" spans="1:17">
      <c r="A970" s="99" t="s">
        <v>347</v>
      </c>
      <c r="B970" s="99" t="s">
        <v>308</v>
      </c>
      <c r="C970" s="99" t="s">
        <v>309</v>
      </c>
      <c r="D970" s="48" t="s">
        <v>31</v>
      </c>
      <c r="E970" s="48" t="s">
        <v>86</v>
      </c>
      <c r="F970" s="105">
        <f t="shared" ref="F970:Q970" si="680">F1002-F1022</f>
        <v>0</v>
      </c>
      <c r="G970" s="105">
        <f t="shared" si="680"/>
        <v>0</v>
      </c>
      <c r="H970" s="105">
        <f t="shared" si="680"/>
        <v>0</v>
      </c>
      <c r="I970" s="105">
        <f t="shared" si="680"/>
        <v>0</v>
      </c>
      <c r="J970" s="105">
        <f t="shared" si="680"/>
        <v>0</v>
      </c>
      <c r="K970" s="105">
        <f t="shared" si="680"/>
        <v>0</v>
      </c>
      <c r="L970" s="105">
        <f t="shared" si="680"/>
        <v>0</v>
      </c>
      <c r="M970" s="105">
        <f t="shared" si="680"/>
        <v>0</v>
      </c>
      <c r="N970" s="105">
        <f t="shared" si="680"/>
        <v>0</v>
      </c>
      <c r="O970" s="105">
        <f t="shared" si="680"/>
        <v>0</v>
      </c>
      <c r="P970" s="105">
        <f t="shared" si="680"/>
        <v>0</v>
      </c>
      <c r="Q970" s="105">
        <f t="shared" si="680"/>
        <v>0</v>
      </c>
    </row>
    <row r="971" ht="24" customHeight="1" spans="1:17">
      <c r="A971" s="99" t="s">
        <v>347</v>
      </c>
      <c r="B971" s="99" t="s">
        <v>308</v>
      </c>
      <c r="C971" s="99" t="s">
        <v>309</v>
      </c>
      <c r="D971" s="48" t="s">
        <v>31</v>
      </c>
      <c r="E971" s="48" t="s">
        <v>97</v>
      </c>
      <c r="F971" s="105">
        <f t="shared" ref="F971:Q971" si="681">F1003-F1023</f>
        <v>0</v>
      </c>
      <c r="G971" s="105">
        <f t="shared" si="681"/>
        <v>0</v>
      </c>
      <c r="H971" s="105">
        <f t="shared" si="681"/>
        <v>0</v>
      </c>
      <c r="I971" s="105">
        <f t="shared" si="681"/>
        <v>1</v>
      </c>
      <c r="J971" s="105">
        <f t="shared" si="681"/>
        <v>0</v>
      </c>
      <c r="K971" s="105">
        <f t="shared" si="681"/>
        <v>0</v>
      </c>
      <c r="L971" s="105">
        <f t="shared" si="681"/>
        <v>0</v>
      </c>
      <c r="M971" s="105">
        <f t="shared" si="681"/>
        <v>0</v>
      </c>
      <c r="N971" s="105">
        <f t="shared" si="681"/>
        <v>0</v>
      </c>
      <c r="O971" s="105">
        <f t="shared" si="681"/>
        <v>0</v>
      </c>
      <c r="P971" s="105">
        <f t="shared" si="681"/>
        <v>0</v>
      </c>
      <c r="Q971" s="105">
        <f t="shared" si="681"/>
        <v>0</v>
      </c>
    </row>
    <row r="972" ht="24" customHeight="1" spans="1:17">
      <c r="A972" s="99" t="s">
        <v>347</v>
      </c>
      <c r="B972" s="99" t="s">
        <v>308</v>
      </c>
      <c r="C972" s="99" t="s">
        <v>309</v>
      </c>
      <c r="D972" s="48" t="s">
        <v>31</v>
      </c>
      <c r="E972" s="48" t="s">
        <v>87</v>
      </c>
      <c r="F972" s="105">
        <f t="shared" ref="F972:Q972" si="682">F1004-F1024</f>
        <v>0</v>
      </c>
      <c r="G972" s="105">
        <f t="shared" si="682"/>
        <v>0</v>
      </c>
      <c r="H972" s="105">
        <f t="shared" si="682"/>
        <v>0</v>
      </c>
      <c r="I972" s="105">
        <f t="shared" si="682"/>
        <v>0</v>
      </c>
      <c r="J972" s="105">
        <f t="shared" si="682"/>
        <v>0</v>
      </c>
      <c r="K972" s="105">
        <f t="shared" si="682"/>
        <v>0</v>
      </c>
      <c r="L972" s="105">
        <f t="shared" si="682"/>
        <v>0</v>
      </c>
      <c r="M972" s="105">
        <f t="shared" si="682"/>
        <v>0</v>
      </c>
      <c r="N972" s="105">
        <f t="shared" si="682"/>
        <v>0</v>
      </c>
      <c r="O972" s="105">
        <f t="shared" si="682"/>
        <v>0</v>
      </c>
      <c r="P972" s="105">
        <f t="shared" si="682"/>
        <v>0</v>
      </c>
      <c r="Q972" s="105">
        <f t="shared" si="682"/>
        <v>0</v>
      </c>
    </row>
    <row r="973" ht="24" customHeight="1" spans="1:17">
      <c r="A973" s="99" t="s">
        <v>347</v>
      </c>
      <c r="B973" s="99" t="s">
        <v>308</v>
      </c>
      <c r="C973" s="99" t="s">
        <v>309</v>
      </c>
      <c r="D973" s="48" t="s">
        <v>31</v>
      </c>
      <c r="E973" s="48" t="s">
        <v>83</v>
      </c>
      <c r="F973" s="105">
        <f t="shared" ref="F973:Q973" si="683">F1005-F1025</f>
        <v>0</v>
      </c>
      <c r="G973" s="105">
        <f t="shared" si="683"/>
        <v>0</v>
      </c>
      <c r="H973" s="105">
        <f t="shared" si="683"/>
        <v>0</v>
      </c>
      <c r="I973" s="105">
        <f t="shared" si="683"/>
        <v>0</v>
      </c>
      <c r="J973" s="105">
        <f t="shared" si="683"/>
        <v>0</v>
      </c>
      <c r="K973" s="105">
        <f t="shared" si="683"/>
        <v>0</v>
      </c>
      <c r="L973" s="105">
        <f t="shared" si="683"/>
        <v>0</v>
      </c>
      <c r="M973" s="105">
        <f t="shared" si="683"/>
        <v>0</v>
      </c>
      <c r="N973" s="105">
        <f t="shared" si="683"/>
        <v>0</v>
      </c>
      <c r="O973" s="105">
        <f t="shared" si="683"/>
        <v>0</v>
      </c>
      <c r="P973" s="105">
        <f t="shared" si="683"/>
        <v>0</v>
      </c>
      <c r="Q973" s="105">
        <f t="shared" si="683"/>
        <v>0</v>
      </c>
    </row>
    <row r="974" ht="24" customHeight="1" spans="1:17">
      <c r="A974" s="99" t="s">
        <v>347</v>
      </c>
      <c r="B974" s="99" t="s">
        <v>308</v>
      </c>
      <c r="C974" s="99" t="s">
        <v>309</v>
      </c>
      <c r="D974" s="48" t="s">
        <v>311</v>
      </c>
      <c r="E974" s="48" t="s">
        <v>406</v>
      </c>
      <c r="F974" s="112" t="str">
        <f t="shared" ref="F974:Q974" si="684">IFERROR(F968/F967,"-")</f>
        <v>-</v>
      </c>
      <c r="G974" s="112" t="str">
        <f t="shared" si="684"/>
        <v>-</v>
      </c>
      <c r="H974" s="112">
        <f t="shared" si="684"/>
        <v>1</v>
      </c>
      <c r="I974" s="112">
        <f t="shared" si="684"/>
        <v>0</v>
      </c>
      <c r="J974" s="112" t="str">
        <f t="shared" si="684"/>
        <v>-</v>
      </c>
      <c r="K974" s="112" t="str">
        <f t="shared" si="684"/>
        <v>-</v>
      </c>
      <c r="L974" s="112" t="str">
        <f t="shared" si="684"/>
        <v>-</v>
      </c>
      <c r="M974" s="112" t="str">
        <f t="shared" si="684"/>
        <v>-</v>
      </c>
      <c r="N974" s="112" t="str">
        <f t="shared" si="684"/>
        <v>-</v>
      </c>
      <c r="O974" s="112" t="str">
        <f t="shared" si="684"/>
        <v>-</v>
      </c>
      <c r="P974" s="112" t="str">
        <f t="shared" si="684"/>
        <v>-</v>
      </c>
      <c r="Q974" s="112" t="str">
        <f t="shared" si="684"/>
        <v>-</v>
      </c>
    </row>
    <row r="975" ht="24" customHeight="1" spans="1:17">
      <c r="A975" s="99" t="s">
        <v>347</v>
      </c>
      <c r="B975" s="99" t="s">
        <v>308</v>
      </c>
      <c r="C975" s="99" t="s">
        <v>309</v>
      </c>
      <c r="D975" s="48" t="s">
        <v>311</v>
      </c>
      <c r="E975" s="48" t="s">
        <v>82</v>
      </c>
      <c r="F975" s="112" t="str">
        <f t="shared" ref="F975:Q975" si="685">IFERROR(F969/F967,"-")</f>
        <v>-</v>
      </c>
      <c r="G975" s="112" t="str">
        <f t="shared" si="685"/>
        <v>-</v>
      </c>
      <c r="H975" s="112">
        <f t="shared" si="685"/>
        <v>0</v>
      </c>
      <c r="I975" s="112">
        <f t="shared" si="685"/>
        <v>0</v>
      </c>
      <c r="J975" s="112" t="str">
        <f t="shared" si="685"/>
        <v>-</v>
      </c>
      <c r="K975" s="112" t="str">
        <f t="shared" si="685"/>
        <v>-</v>
      </c>
      <c r="L975" s="112" t="str">
        <f t="shared" si="685"/>
        <v>-</v>
      </c>
      <c r="M975" s="112" t="str">
        <f t="shared" si="685"/>
        <v>-</v>
      </c>
      <c r="N975" s="112" t="str">
        <f t="shared" si="685"/>
        <v>-</v>
      </c>
      <c r="O975" s="112" t="str">
        <f t="shared" si="685"/>
        <v>-</v>
      </c>
      <c r="P975" s="112" t="str">
        <f t="shared" si="685"/>
        <v>-</v>
      </c>
      <c r="Q975" s="112" t="str">
        <f t="shared" si="685"/>
        <v>-</v>
      </c>
    </row>
    <row r="976" ht="24" customHeight="1" spans="1:17">
      <c r="A976" s="99" t="s">
        <v>347</v>
      </c>
      <c r="B976" s="99" t="s">
        <v>308</v>
      </c>
      <c r="C976" s="99" t="s">
        <v>309</v>
      </c>
      <c r="D976" s="48" t="s">
        <v>311</v>
      </c>
      <c r="E976" s="48" t="s">
        <v>86</v>
      </c>
      <c r="F976" s="112" t="str">
        <f t="shared" ref="F976:Q976" si="686">IFERROR(F970/F967,"-")</f>
        <v>-</v>
      </c>
      <c r="G976" s="112" t="str">
        <f t="shared" si="686"/>
        <v>-</v>
      </c>
      <c r="H976" s="112">
        <f t="shared" si="686"/>
        <v>0</v>
      </c>
      <c r="I976" s="112">
        <f t="shared" si="686"/>
        <v>0</v>
      </c>
      <c r="J976" s="112" t="str">
        <f t="shared" si="686"/>
        <v>-</v>
      </c>
      <c r="K976" s="112" t="str">
        <f t="shared" si="686"/>
        <v>-</v>
      </c>
      <c r="L976" s="112" t="str">
        <f t="shared" si="686"/>
        <v>-</v>
      </c>
      <c r="M976" s="112" t="str">
        <f t="shared" si="686"/>
        <v>-</v>
      </c>
      <c r="N976" s="112" t="str">
        <f t="shared" si="686"/>
        <v>-</v>
      </c>
      <c r="O976" s="112" t="str">
        <f t="shared" si="686"/>
        <v>-</v>
      </c>
      <c r="P976" s="112" t="str">
        <f t="shared" si="686"/>
        <v>-</v>
      </c>
      <c r="Q976" s="112" t="str">
        <f t="shared" si="686"/>
        <v>-</v>
      </c>
    </row>
    <row r="977" ht="24" customHeight="1" spans="1:17">
      <c r="A977" s="99" t="s">
        <v>347</v>
      </c>
      <c r="B977" s="99" t="s">
        <v>308</v>
      </c>
      <c r="C977" s="99" t="s">
        <v>309</v>
      </c>
      <c r="D977" s="48" t="s">
        <v>311</v>
      </c>
      <c r="E977" s="48" t="s">
        <v>97</v>
      </c>
      <c r="F977" s="112" t="str">
        <f t="shared" ref="F977:Q977" si="687">IFERROR(F971/F967,"-")</f>
        <v>-</v>
      </c>
      <c r="G977" s="112" t="str">
        <f t="shared" si="687"/>
        <v>-</v>
      </c>
      <c r="H977" s="112">
        <f t="shared" si="687"/>
        <v>0</v>
      </c>
      <c r="I977" s="112">
        <f t="shared" si="687"/>
        <v>1</v>
      </c>
      <c r="J977" s="112" t="str">
        <f t="shared" si="687"/>
        <v>-</v>
      </c>
      <c r="K977" s="112" t="str">
        <f t="shared" si="687"/>
        <v>-</v>
      </c>
      <c r="L977" s="112" t="str">
        <f t="shared" si="687"/>
        <v>-</v>
      </c>
      <c r="M977" s="112" t="str">
        <f t="shared" si="687"/>
        <v>-</v>
      </c>
      <c r="N977" s="112" t="str">
        <f t="shared" si="687"/>
        <v>-</v>
      </c>
      <c r="O977" s="112" t="str">
        <f t="shared" si="687"/>
        <v>-</v>
      </c>
      <c r="P977" s="112" t="str">
        <f t="shared" si="687"/>
        <v>-</v>
      </c>
      <c r="Q977" s="112" t="str">
        <f t="shared" si="687"/>
        <v>-</v>
      </c>
    </row>
    <row r="978" ht="24" customHeight="1" spans="1:17">
      <c r="A978" s="99" t="s">
        <v>347</v>
      </c>
      <c r="B978" s="99" t="s">
        <v>308</v>
      </c>
      <c r="C978" s="99" t="s">
        <v>309</v>
      </c>
      <c r="D978" s="48" t="s">
        <v>311</v>
      </c>
      <c r="E978" s="48" t="s">
        <v>87</v>
      </c>
      <c r="F978" s="112" t="str">
        <f t="shared" ref="F978:Q978" si="688">IFERROR(F972/F967,"-")</f>
        <v>-</v>
      </c>
      <c r="G978" s="112" t="str">
        <f t="shared" si="688"/>
        <v>-</v>
      </c>
      <c r="H978" s="112">
        <f t="shared" si="688"/>
        <v>0</v>
      </c>
      <c r="I978" s="112">
        <f t="shared" si="688"/>
        <v>0</v>
      </c>
      <c r="J978" s="112" t="str">
        <f t="shared" si="688"/>
        <v>-</v>
      </c>
      <c r="K978" s="112" t="str">
        <f t="shared" si="688"/>
        <v>-</v>
      </c>
      <c r="L978" s="112" t="str">
        <f t="shared" si="688"/>
        <v>-</v>
      </c>
      <c r="M978" s="112" t="str">
        <f t="shared" si="688"/>
        <v>-</v>
      </c>
      <c r="N978" s="112" t="str">
        <f t="shared" si="688"/>
        <v>-</v>
      </c>
      <c r="O978" s="112" t="str">
        <f t="shared" si="688"/>
        <v>-</v>
      </c>
      <c r="P978" s="112" t="str">
        <f t="shared" si="688"/>
        <v>-</v>
      </c>
      <c r="Q978" s="112" t="str">
        <f t="shared" si="688"/>
        <v>-</v>
      </c>
    </row>
    <row r="979" ht="24" customHeight="1" spans="1:17">
      <c r="A979" s="99" t="s">
        <v>347</v>
      </c>
      <c r="B979" s="99" t="s">
        <v>308</v>
      </c>
      <c r="C979" s="99" t="s">
        <v>309</v>
      </c>
      <c r="D979" s="48" t="s">
        <v>311</v>
      </c>
      <c r="E979" s="48" t="s">
        <v>83</v>
      </c>
      <c r="F979" s="112" t="str">
        <f t="shared" ref="F979:Q979" si="689">IFERROR(F973/F967,"-")</f>
        <v>-</v>
      </c>
      <c r="G979" s="112" t="str">
        <f t="shared" si="689"/>
        <v>-</v>
      </c>
      <c r="H979" s="112">
        <f t="shared" si="689"/>
        <v>0</v>
      </c>
      <c r="I979" s="112">
        <f t="shared" si="689"/>
        <v>0</v>
      </c>
      <c r="J979" s="112" t="str">
        <f t="shared" si="689"/>
        <v>-</v>
      </c>
      <c r="K979" s="112" t="str">
        <f t="shared" si="689"/>
        <v>-</v>
      </c>
      <c r="L979" s="112" t="str">
        <f t="shared" si="689"/>
        <v>-</v>
      </c>
      <c r="M979" s="112" t="str">
        <f t="shared" si="689"/>
        <v>-</v>
      </c>
      <c r="N979" s="112" t="str">
        <f t="shared" si="689"/>
        <v>-</v>
      </c>
      <c r="O979" s="112" t="str">
        <f t="shared" si="689"/>
        <v>-</v>
      </c>
      <c r="P979" s="112" t="str">
        <f t="shared" si="689"/>
        <v>-</v>
      </c>
      <c r="Q979" s="112" t="str">
        <f t="shared" si="689"/>
        <v>-</v>
      </c>
    </row>
    <row r="980" ht="24" customHeight="1" spans="1:17">
      <c r="A980" s="99" t="s">
        <v>347</v>
      </c>
      <c r="B980" s="99" t="s">
        <v>308</v>
      </c>
      <c r="C980" s="99" t="s">
        <v>309</v>
      </c>
      <c r="D980" s="47" t="s">
        <v>294</v>
      </c>
      <c r="E980" s="47" t="s">
        <v>93</v>
      </c>
      <c r="F980" s="106">
        <f t="shared" ref="F980:Q980" si="690">F1006-F1032</f>
        <v>0</v>
      </c>
      <c r="G980" s="106">
        <f t="shared" si="690"/>
        <v>0</v>
      </c>
      <c r="H980" s="106">
        <f t="shared" si="690"/>
        <v>0</v>
      </c>
      <c r="I980" s="106">
        <f t="shared" si="690"/>
        <v>1</v>
      </c>
      <c r="J980" s="106">
        <f t="shared" si="690"/>
        <v>0</v>
      </c>
      <c r="K980" s="106">
        <f t="shared" si="690"/>
        <v>0</v>
      </c>
      <c r="L980" s="106">
        <f t="shared" si="690"/>
        <v>0</v>
      </c>
      <c r="M980" s="106">
        <f t="shared" si="690"/>
        <v>0</v>
      </c>
      <c r="N980" s="106">
        <f t="shared" si="690"/>
        <v>0</v>
      </c>
      <c r="O980" s="106">
        <f t="shared" si="690"/>
        <v>0</v>
      </c>
      <c r="P980" s="106">
        <f t="shared" si="690"/>
        <v>0</v>
      </c>
      <c r="Q980" s="106">
        <f t="shared" si="690"/>
        <v>0</v>
      </c>
    </row>
    <row r="981" ht="24" customHeight="1" spans="1:17">
      <c r="A981" s="99" t="s">
        <v>347</v>
      </c>
      <c r="B981" s="99" t="s">
        <v>308</v>
      </c>
      <c r="C981" s="99" t="s">
        <v>309</v>
      </c>
      <c r="D981" s="47" t="s">
        <v>294</v>
      </c>
      <c r="E981" s="47" t="s">
        <v>85</v>
      </c>
      <c r="F981" s="106">
        <f t="shared" ref="F981:Q981" si="691">F1007-F1033</f>
        <v>0</v>
      </c>
      <c r="G981" s="106">
        <f t="shared" si="691"/>
        <v>0</v>
      </c>
      <c r="H981" s="106">
        <f t="shared" si="691"/>
        <v>0</v>
      </c>
      <c r="I981" s="106">
        <f t="shared" si="691"/>
        <v>0</v>
      </c>
      <c r="J981" s="106">
        <f t="shared" si="691"/>
        <v>0</v>
      </c>
      <c r="K981" s="106">
        <f t="shared" si="691"/>
        <v>0</v>
      </c>
      <c r="L981" s="106">
        <f t="shared" si="691"/>
        <v>0</v>
      </c>
      <c r="M981" s="106">
        <f t="shared" si="691"/>
        <v>0</v>
      </c>
      <c r="N981" s="106">
        <f t="shared" si="691"/>
        <v>0</v>
      </c>
      <c r="O981" s="106">
        <f t="shared" si="691"/>
        <v>0</v>
      </c>
      <c r="P981" s="106">
        <f t="shared" si="691"/>
        <v>0</v>
      </c>
      <c r="Q981" s="106">
        <f t="shared" si="691"/>
        <v>0</v>
      </c>
    </row>
    <row r="982" ht="24" customHeight="1" spans="1:17">
      <c r="A982" s="99" t="s">
        <v>347</v>
      </c>
      <c r="B982" s="99" t="s">
        <v>308</v>
      </c>
      <c r="C982" s="99" t="s">
        <v>309</v>
      </c>
      <c r="D982" s="47" t="s">
        <v>294</v>
      </c>
      <c r="E982" s="47" t="s">
        <v>81</v>
      </c>
      <c r="F982" s="106">
        <f t="shared" ref="F982:Q982" si="692">F1008-F1034</f>
        <v>0</v>
      </c>
      <c r="G982" s="106">
        <f t="shared" si="692"/>
        <v>0</v>
      </c>
      <c r="H982" s="106">
        <f t="shared" si="692"/>
        <v>1</v>
      </c>
      <c r="I982" s="106">
        <f t="shared" si="692"/>
        <v>0</v>
      </c>
      <c r="J982" s="106">
        <f t="shared" si="692"/>
        <v>0</v>
      </c>
      <c r="K982" s="106">
        <f t="shared" si="692"/>
        <v>0</v>
      </c>
      <c r="L982" s="106">
        <f t="shared" si="692"/>
        <v>0</v>
      </c>
      <c r="M982" s="106">
        <f t="shared" si="692"/>
        <v>0</v>
      </c>
      <c r="N982" s="106">
        <f t="shared" si="692"/>
        <v>0</v>
      </c>
      <c r="O982" s="106">
        <f t="shared" si="692"/>
        <v>0</v>
      </c>
      <c r="P982" s="106">
        <f t="shared" si="692"/>
        <v>0</v>
      </c>
      <c r="Q982" s="106">
        <f t="shared" si="692"/>
        <v>0</v>
      </c>
    </row>
    <row r="983" ht="24" customHeight="1" spans="1:17">
      <c r="A983" s="99" t="s">
        <v>347</v>
      </c>
      <c r="B983" s="99" t="s">
        <v>308</v>
      </c>
      <c r="C983" s="99" t="s">
        <v>309</v>
      </c>
      <c r="D983" s="47" t="s">
        <v>294</v>
      </c>
      <c r="E983" s="47" t="s">
        <v>96</v>
      </c>
      <c r="F983" s="106">
        <f t="shared" ref="F983:Q983" si="693">F1009-F1035</f>
        <v>0</v>
      </c>
      <c r="G983" s="106">
        <f t="shared" si="693"/>
        <v>0</v>
      </c>
      <c r="H983" s="106">
        <f t="shared" si="693"/>
        <v>0</v>
      </c>
      <c r="I983" s="106">
        <f t="shared" si="693"/>
        <v>0</v>
      </c>
      <c r="J983" s="106">
        <f t="shared" si="693"/>
        <v>0</v>
      </c>
      <c r="K983" s="106">
        <f t="shared" si="693"/>
        <v>0</v>
      </c>
      <c r="L983" s="106">
        <f t="shared" si="693"/>
        <v>0</v>
      </c>
      <c r="M983" s="106">
        <f t="shared" si="693"/>
        <v>0</v>
      </c>
      <c r="N983" s="106">
        <f t="shared" si="693"/>
        <v>0</v>
      </c>
      <c r="O983" s="106">
        <f t="shared" si="693"/>
        <v>0</v>
      </c>
      <c r="P983" s="106">
        <f t="shared" si="693"/>
        <v>0</v>
      </c>
      <c r="Q983" s="106">
        <f t="shared" si="693"/>
        <v>0</v>
      </c>
    </row>
    <row r="984" ht="24" customHeight="1" spans="1:17">
      <c r="A984" s="99" t="s">
        <v>347</v>
      </c>
      <c r="B984" s="99" t="s">
        <v>308</v>
      </c>
      <c r="C984" s="99" t="s">
        <v>309</v>
      </c>
      <c r="D984" s="47" t="s">
        <v>294</v>
      </c>
      <c r="E984" s="47" t="s">
        <v>160</v>
      </c>
      <c r="F984" s="106">
        <f t="shared" ref="F984:Q984" si="694">F1010-F1036</f>
        <v>0</v>
      </c>
      <c r="G984" s="106">
        <f t="shared" si="694"/>
        <v>0</v>
      </c>
      <c r="H984" s="106">
        <f t="shared" si="694"/>
        <v>0</v>
      </c>
      <c r="I984" s="106">
        <f t="shared" si="694"/>
        <v>0</v>
      </c>
      <c r="J984" s="106">
        <f t="shared" si="694"/>
        <v>0</v>
      </c>
      <c r="K984" s="106">
        <f t="shared" si="694"/>
        <v>0</v>
      </c>
      <c r="L984" s="106">
        <f t="shared" si="694"/>
        <v>0</v>
      </c>
      <c r="M984" s="106">
        <f t="shared" si="694"/>
        <v>0</v>
      </c>
      <c r="N984" s="106">
        <f t="shared" si="694"/>
        <v>0</v>
      </c>
      <c r="O984" s="106">
        <f t="shared" si="694"/>
        <v>0</v>
      </c>
      <c r="P984" s="106">
        <f t="shared" si="694"/>
        <v>0</v>
      </c>
      <c r="Q984" s="106">
        <f t="shared" si="694"/>
        <v>0</v>
      </c>
    </row>
    <row r="985" ht="24" customHeight="1" spans="1:17">
      <c r="A985" s="99" t="s">
        <v>347</v>
      </c>
      <c r="B985" s="99" t="s">
        <v>308</v>
      </c>
      <c r="C985" s="99" t="s">
        <v>309</v>
      </c>
      <c r="D985" s="100" t="s">
        <v>292</v>
      </c>
      <c r="E985" s="100" t="s">
        <v>312</v>
      </c>
      <c r="F985" s="104">
        <f t="shared" ref="F985:Q985" si="695">SUM(F986:F988)</f>
        <v>0</v>
      </c>
      <c r="G985" s="104">
        <f t="shared" si="695"/>
        <v>0</v>
      </c>
      <c r="H985" s="104">
        <f t="shared" si="695"/>
        <v>1</v>
      </c>
      <c r="I985" s="104">
        <f t="shared" si="695"/>
        <v>1</v>
      </c>
      <c r="J985" s="104">
        <f t="shared" si="695"/>
        <v>0</v>
      </c>
      <c r="K985" s="104">
        <f t="shared" si="695"/>
        <v>0</v>
      </c>
      <c r="L985" s="104">
        <f t="shared" si="695"/>
        <v>0</v>
      </c>
      <c r="M985" s="104">
        <f t="shared" si="695"/>
        <v>0</v>
      </c>
      <c r="N985" s="104">
        <f t="shared" si="695"/>
        <v>0</v>
      </c>
      <c r="O985" s="104">
        <f t="shared" si="695"/>
        <v>0</v>
      </c>
      <c r="P985" s="104">
        <f t="shared" si="695"/>
        <v>0</v>
      </c>
      <c r="Q985" s="104">
        <f t="shared" si="695"/>
        <v>0</v>
      </c>
    </row>
    <row r="986" ht="24" customHeight="1" spans="1:17">
      <c r="A986" s="99" t="s">
        <v>347</v>
      </c>
      <c r="B986" s="99" t="s">
        <v>308</v>
      </c>
      <c r="C986" s="99" t="s">
        <v>309</v>
      </c>
      <c r="D986" s="48" t="s">
        <v>296</v>
      </c>
      <c r="E986" s="48" t="s">
        <v>406</v>
      </c>
      <c r="F986" s="105">
        <f t="shared" ref="F986:Q986" si="696">F1012-F1038</f>
        <v>0</v>
      </c>
      <c r="G986" s="105">
        <f t="shared" si="696"/>
        <v>0</v>
      </c>
      <c r="H986" s="105">
        <f t="shared" si="696"/>
        <v>1</v>
      </c>
      <c r="I986" s="105">
        <f t="shared" si="696"/>
        <v>0</v>
      </c>
      <c r="J986" s="105">
        <f t="shared" si="696"/>
        <v>0</v>
      </c>
      <c r="K986" s="105">
        <f t="shared" si="696"/>
        <v>0</v>
      </c>
      <c r="L986" s="105">
        <f t="shared" si="696"/>
        <v>0</v>
      </c>
      <c r="M986" s="105">
        <f t="shared" si="696"/>
        <v>0</v>
      </c>
      <c r="N986" s="105">
        <f t="shared" si="696"/>
        <v>0</v>
      </c>
      <c r="O986" s="105">
        <f t="shared" si="696"/>
        <v>0</v>
      </c>
      <c r="P986" s="105">
        <f t="shared" si="696"/>
        <v>0</v>
      </c>
      <c r="Q986" s="105">
        <f t="shared" si="696"/>
        <v>0</v>
      </c>
    </row>
    <row r="987" ht="24" customHeight="1" spans="1:17">
      <c r="A987" s="99" t="s">
        <v>347</v>
      </c>
      <c r="B987" s="99" t="s">
        <v>308</v>
      </c>
      <c r="C987" s="99" t="s">
        <v>309</v>
      </c>
      <c r="D987" s="48" t="s">
        <v>296</v>
      </c>
      <c r="E987" s="48" t="s">
        <v>82</v>
      </c>
      <c r="F987" s="105">
        <f t="shared" ref="F987:Q987" si="697">F1013-F1039</f>
        <v>0</v>
      </c>
      <c r="G987" s="105">
        <f t="shared" si="697"/>
        <v>0</v>
      </c>
      <c r="H987" s="105">
        <f t="shared" si="697"/>
        <v>0</v>
      </c>
      <c r="I987" s="105">
        <f t="shared" si="697"/>
        <v>1</v>
      </c>
      <c r="J987" s="105">
        <f t="shared" si="697"/>
        <v>0</v>
      </c>
      <c r="K987" s="105">
        <f t="shared" si="697"/>
        <v>0</v>
      </c>
      <c r="L987" s="105">
        <f t="shared" si="697"/>
        <v>0</v>
      </c>
      <c r="M987" s="105">
        <f t="shared" si="697"/>
        <v>0</v>
      </c>
      <c r="N987" s="105">
        <f t="shared" si="697"/>
        <v>0</v>
      </c>
      <c r="O987" s="105">
        <f t="shared" si="697"/>
        <v>0</v>
      </c>
      <c r="P987" s="105">
        <f t="shared" si="697"/>
        <v>0</v>
      </c>
      <c r="Q987" s="105">
        <f t="shared" si="697"/>
        <v>0</v>
      </c>
    </row>
    <row r="988" ht="24" customHeight="1" spans="1:17">
      <c r="A988" s="99" t="s">
        <v>347</v>
      </c>
      <c r="B988" s="99" t="s">
        <v>308</v>
      </c>
      <c r="C988" s="99" t="s">
        <v>309</v>
      </c>
      <c r="D988" s="48" t="s">
        <v>296</v>
      </c>
      <c r="E988" s="48" t="s">
        <v>86</v>
      </c>
      <c r="F988" s="105">
        <f t="shared" ref="F988:Q988" si="698">F1014-F1040</f>
        <v>0</v>
      </c>
      <c r="G988" s="105">
        <f t="shared" si="698"/>
        <v>0</v>
      </c>
      <c r="H988" s="105">
        <f t="shared" si="698"/>
        <v>0</v>
      </c>
      <c r="I988" s="105">
        <f t="shared" si="698"/>
        <v>0</v>
      </c>
      <c r="J988" s="105">
        <f t="shared" si="698"/>
        <v>0</v>
      </c>
      <c r="K988" s="105">
        <f t="shared" si="698"/>
        <v>0</v>
      </c>
      <c r="L988" s="105">
        <f t="shared" si="698"/>
        <v>0</v>
      </c>
      <c r="M988" s="105">
        <f t="shared" si="698"/>
        <v>0</v>
      </c>
      <c r="N988" s="105">
        <f t="shared" si="698"/>
        <v>0</v>
      </c>
      <c r="O988" s="105">
        <f t="shared" si="698"/>
        <v>0</v>
      </c>
      <c r="P988" s="105">
        <f t="shared" si="698"/>
        <v>0</v>
      </c>
      <c r="Q988" s="105">
        <f t="shared" si="698"/>
        <v>0</v>
      </c>
    </row>
    <row r="989" ht="24" customHeight="1" spans="1:17">
      <c r="A989" s="99" t="s">
        <v>347</v>
      </c>
      <c r="B989" s="99" t="s">
        <v>308</v>
      </c>
      <c r="C989" s="99" t="s">
        <v>309</v>
      </c>
      <c r="D989" s="48" t="s">
        <v>313</v>
      </c>
      <c r="E989" s="48" t="s">
        <v>406</v>
      </c>
      <c r="F989" s="112">
        <f t="shared" ref="F989:Q989" si="699">F986/F$79</f>
        <v>0</v>
      </c>
      <c r="G989" s="112">
        <f t="shared" si="699"/>
        <v>0</v>
      </c>
      <c r="H989" s="112">
        <f t="shared" si="699"/>
        <v>0.0833333333333333</v>
      </c>
      <c r="I989" s="112">
        <f t="shared" si="699"/>
        <v>0</v>
      </c>
      <c r="J989" s="112">
        <f t="shared" si="699"/>
        <v>0</v>
      </c>
      <c r="K989" s="112">
        <f t="shared" si="699"/>
        <v>0</v>
      </c>
      <c r="L989" s="112">
        <f t="shared" si="699"/>
        <v>0</v>
      </c>
      <c r="M989" s="112">
        <f t="shared" si="699"/>
        <v>0</v>
      </c>
      <c r="N989" s="112">
        <f t="shared" si="699"/>
        <v>0</v>
      </c>
      <c r="O989" s="112">
        <f t="shared" si="699"/>
        <v>0</v>
      </c>
      <c r="P989" s="112">
        <f t="shared" si="699"/>
        <v>0</v>
      </c>
      <c r="Q989" s="112" t="e">
        <f t="shared" si="699"/>
        <v>#DIV/0!</v>
      </c>
    </row>
    <row r="990" ht="24" customHeight="1" spans="1:17">
      <c r="A990" s="99" t="s">
        <v>347</v>
      </c>
      <c r="B990" s="99" t="s">
        <v>308</v>
      </c>
      <c r="C990" s="99" t="s">
        <v>309</v>
      </c>
      <c r="D990" s="48" t="s">
        <v>313</v>
      </c>
      <c r="E990" s="48" t="s">
        <v>82</v>
      </c>
      <c r="F990" s="112">
        <f t="shared" ref="F990:Q990" si="700">F987/F$79</f>
        <v>0</v>
      </c>
      <c r="G990" s="112">
        <f t="shared" si="700"/>
        <v>0</v>
      </c>
      <c r="H990" s="112">
        <f t="shared" si="700"/>
        <v>0</v>
      </c>
      <c r="I990" s="112">
        <f t="shared" si="700"/>
        <v>0.142857142857143</v>
      </c>
      <c r="J990" s="112">
        <f t="shared" si="700"/>
        <v>0</v>
      </c>
      <c r="K990" s="112">
        <f t="shared" si="700"/>
        <v>0</v>
      </c>
      <c r="L990" s="112">
        <f t="shared" si="700"/>
        <v>0</v>
      </c>
      <c r="M990" s="112">
        <f t="shared" si="700"/>
        <v>0</v>
      </c>
      <c r="N990" s="112">
        <f t="shared" si="700"/>
        <v>0</v>
      </c>
      <c r="O990" s="112">
        <f t="shared" si="700"/>
        <v>0</v>
      </c>
      <c r="P990" s="112">
        <f t="shared" si="700"/>
        <v>0</v>
      </c>
      <c r="Q990" s="112" t="e">
        <f t="shared" si="700"/>
        <v>#DIV/0!</v>
      </c>
    </row>
    <row r="991" ht="24" customHeight="1" spans="1:17">
      <c r="A991" s="99" t="s">
        <v>347</v>
      </c>
      <c r="B991" s="99" t="s">
        <v>308</v>
      </c>
      <c r="C991" s="99" t="s">
        <v>309</v>
      </c>
      <c r="D991" s="48" t="s">
        <v>313</v>
      </c>
      <c r="E991" s="48" t="s">
        <v>86</v>
      </c>
      <c r="F991" s="112">
        <f t="shared" ref="F991:Q991" si="701">F988/F$79</f>
        <v>0</v>
      </c>
      <c r="G991" s="112">
        <f t="shared" si="701"/>
        <v>0</v>
      </c>
      <c r="H991" s="112">
        <f t="shared" si="701"/>
        <v>0</v>
      </c>
      <c r="I991" s="112">
        <f t="shared" si="701"/>
        <v>0</v>
      </c>
      <c r="J991" s="112">
        <f t="shared" si="701"/>
        <v>0</v>
      </c>
      <c r="K991" s="112">
        <f t="shared" si="701"/>
        <v>0</v>
      </c>
      <c r="L991" s="112">
        <f t="shared" si="701"/>
        <v>0</v>
      </c>
      <c r="M991" s="112">
        <f t="shared" si="701"/>
        <v>0</v>
      </c>
      <c r="N991" s="112">
        <f t="shared" si="701"/>
        <v>0</v>
      </c>
      <c r="O991" s="112">
        <f t="shared" si="701"/>
        <v>0</v>
      </c>
      <c r="P991" s="112">
        <f t="shared" si="701"/>
        <v>0</v>
      </c>
      <c r="Q991" s="112" t="e">
        <f t="shared" si="701"/>
        <v>#DIV/0!</v>
      </c>
    </row>
    <row r="992" ht="24" customHeight="1" spans="1:17">
      <c r="A992" s="99" t="s">
        <v>347</v>
      </c>
      <c r="B992" s="99" t="s">
        <v>308</v>
      </c>
      <c r="C992" s="99" t="s">
        <v>309</v>
      </c>
      <c r="D992" s="100" t="s">
        <v>292</v>
      </c>
      <c r="E992" s="100" t="s">
        <v>314</v>
      </c>
      <c r="F992" s="104">
        <f t="shared" ref="F992:Q992" si="702">SUM(F993:F995)</f>
        <v>0</v>
      </c>
      <c r="G992" s="104">
        <f t="shared" si="702"/>
        <v>0</v>
      </c>
      <c r="H992" s="104">
        <f t="shared" si="702"/>
        <v>1</v>
      </c>
      <c r="I992" s="104">
        <f t="shared" si="702"/>
        <v>1</v>
      </c>
      <c r="J992" s="104">
        <f t="shared" si="702"/>
        <v>0</v>
      </c>
      <c r="K992" s="104">
        <f t="shared" si="702"/>
        <v>0</v>
      </c>
      <c r="L992" s="104">
        <f t="shared" si="702"/>
        <v>0</v>
      </c>
      <c r="M992" s="104">
        <f t="shared" si="702"/>
        <v>0</v>
      </c>
      <c r="N992" s="104">
        <f t="shared" si="702"/>
        <v>0</v>
      </c>
      <c r="O992" s="104">
        <f t="shared" si="702"/>
        <v>0</v>
      </c>
      <c r="P992" s="104">
        <f t="shared" si="702"/>
        <v>0</v>
      </c>
      <c r="Q992" s="104">
        <f t="shared" si="702"/>
        <v>0</v>
      </c>
    </row>
    <row r="993" ht="24" customHeight="1" spans="1:17">
      <c r="A993" s="99" t="s">
        <v>347</v>
      </c>
      <c r="B993" s="99" t="s">
        <v>308</v>
      </c>
      <c r="C993" s="99" t="s">
        <v>309</v>
      </c>
      <c r="D993" s="48" t="s">
        <v>298</v>
      </c>
      <c r="E993" s="48" t="s">
        <v>97</v>
      </c>
      <c r="F993" s="105">
        <f t="shared" ref="F993:Q993" si="703">F1016-F1045</f>
        <v>0</v>
      </c>
      <c r="G993" s="105">
        <f t="shared" si="703"/>
        <v>0</v>
      </c>
      <c r="H993" s="105">
        <f t="shared" si="703"/>
        <v>1</v>
      </c>
      <c r="I993" s="105">
        <f t="shared" si="703"/>
        <v>1</v>
      </c>
      <c r="J993" s="105">
        <f t="shared" si="703"/>
        <v>0</v>
      </c>
      <c r="K993" s="105">
        <f t="shared" si="703"/>
        <v>0</v>
      </c>
      <c r="L993" s="105">
        <f t="shared" si="703"/>
        <v>0</v>
      </c>
      <c r="M993" s="105">
        <f t="shared" si="703"/>
        <v>0</v>
      </c>
      <c r="N993" s="105">
        <f t="shared" si="703"/>
        <v>0</v>
      </c>
      <c r="O993" s="105">
        <f t="shared" si="703"/>
        <v>0</v>
      </c>
      <c r="P993" s="105">
        <f t="shared" si="703"/>
        <v>0</v>
      </c>
      <c r="Q993" s="105">
        <f t="shared" si="703"/>
        <v>0</v>
      </c>
    </row>
    <row r="994" ht="24" customHeight="1" spans="1:17">
      <c r="A994" s="99" t="s">
        <v>347</v>
      </c>
      <c r="B994" s="99" t="s">
        <v>308</v>
      </c>
      <c r="C994" s="99" t="s">
        <v>309</v>
      </c>
      <c r="D994" s="48" t="s">
        <v>298</v>
      </c>
      <c r="E994" s="48" t="s">
        <v>87</v>
      </c>
      <c r="F994" s="105">
        <f t="shared" ref="F994:Q994" si="704">F1017-F1046</f>
        <v>0</v>
      </c>
      <c r="G994" s="105">
        <f t="shared" si="704"/>
        <v>0</v>
      </c>
      <c r="H994" s="105">
        <f t="shared" si="704"/>
        <v>0</v>
      </c>
      <c r="I994" s="105">
        <f t="shared" si="704"/>
        <v>0</v>
      </c>
      <c r="J994" s="105">
        <f t="shared" si="704"/>
        <v>0</v>
      </c>
      <c r="K994" s="105">
        <f t="shared" si="704"/>
        <v>0</v>
      </c>
      <c r="L994" s="105">
        <f t="shared" si="704"/>
        <v>0</v>
      </c>
      <c r="M994" s="105">
        <f t="shared" si="704"/>
        <v>0</v>
      </c>
      <c r="N994" s="105">
        <f t="shared" si="704"/>
        <v>0</v>
      </c>
      <c r="O994" s="105">
        <f t="shared" si="704"/>
        <v>0</v>
      </c>
      <c r="P994" s="105">
        <f t="shared" si="704"/>
        <v>0</v>
      </c>
      <c r="Q994" s="105">
        <f t="shared" si="704"/>
        <v>0</v>
      </c>
    </row>
    <row r="995" ht="24" customHeight="1" spans="1:17">
      <c r="A995" s="99" t="s">
        <v>347</v>
      </c>
      <c r="B995" s="99" t="s">
        <v>308</v>
      </c>
      <c r="C995" s="99" t="s">
        <v>309</v>
      </c>
      <c r="D995" s="48" t="s">
        <v>298</v>
      </c>
      <c r="E995" s="48" t="s">
        <v>83</v>
      </c>
      <c r="F995" s="105">
        <f t="shared" ref="F995:Q995" si="705">F1018-F1047</f>
        <v>0</v>
      </c>
      <c r="G995" s="105">
        <f t="shared" si="705"/>
        <v>0</v>
      </c>
      <c r="H995" s="105">
        <f t="shared" si="705"/>
        <v>0</v>
      </c>
      <c r="I995" s="105">
        <f t="shared" si="705"/>
        <v>0</v>
      </c>
      <c r="J995" s="105">
        <f t="shared" si="705"/>
        <v>0</v>
      </c>
      <c r="K995" s="105">
        <f t="shared" si="705"/>
        <v>0</v>
      </c>
      <c r="L995" s="105">
        <f t="shared" si="705"/>
        <v>0</v>
      </c>
      <c r="M995" s="105">
        <f t="shared" si="705"/>
        <v>0</v>
      </c>
      <c r="N995" s="105">
        <f t="shared" si="705"/>
        <v>0</v>
      </c>
      <c r="O995" s="105">
        <f t="shared" si="705"/>
        <v>0</v>
      </c>
      <c r="P995" s="105">
        <f t="shared" si="705"/>
        <v>0</v>
      </c>
      <c r="Q995" s="105">
        <f t="shared" si="705"/>
        <v>0</v>
      </c>
    </row>
    <row r="996" ht="24" customHeight="1" spans="1:17">
      <c r="A996" s="99" t="s">
        <v>347</v>
      </c>
      <c r="B996" s="99" t="s">
        <v>308</v>
      </c>
      <c r="C996" s="99" t="s">
        <v>309</v>
      </c>
      <c r="D996" s="48" t="s">
        <v>315</v>
      </c>
      <c r="E996" s="48" t="s">
        <v>97</v>
      </c>
      <c r="F996" s="112">
        <f t="shared" ref="F996:Q996" si="706">F993/F$86</f>
        <v>0</v>
      </c>
      <c r="G996" s="112">
        <f t="shared" si="706"/>
        <v>0</v>
      </c>
      <c r="H996" s="112">
        <f t="shared" si="706"/>
        <v>0.0833333333333333</v>
      </c>
      <c r="I996" s="112">
        <f t="shared" si="706"/>
        <v>0.125</v>
      </c>
      <c r="J996" s="112">
        <f t="shared" si="706"/>
        <v>0</v>
      </c>
      <c r="K996" s="112">
        <f t="shared" si="706"/>
        <v>0</v>
      </c>
      <c r="L996" s="112">
        <f t="shared" si="706"/>
        <v>0</v>
      </c>
      <c r="M996" s="112">
        <f t="shared" si="706"/>
        <v>0</v>
      </c>
      <c r="N996" s="112">
        <f t="shared" si="706"/>
        <v>0</v>
      </c>
      <c r="O996" s="112">
        <f t="shared" si="706"/>
        <v>0</v>
      </c>
      <c r="P996" s="112">
        <f t="shared" si="706"/>
        <v>0</v>
      </c>
      <c r="Q996" s="112">
        <f t="shared" si="706"/>
        <v>0</v>
      </c>
    </row>
    <row r="997" ht="24" customHeight="1" spans="1:17">
      <c r="A997" s="99" t="s">
        <v>347</v>
      </c>
      <c r="B997" s="99" t="s">
        <v>308</v>
      </c>
      <c r="C997" s="99" t="s">
        <v>309</v>
      </c>
      <c r="D997" s="48" t="s">
        <v>315</v>
      </c>
      <c r="E997" s="48" t="s">
        <v>87</v>
      </c>
      <c r="F997" s="112">
        <f t="shared" ref="F997:Q997" si="707">F994/F$86</f>
        <v>0</v>
      </c>
      <c r="G997" s="112">
        <f t="shared" si="707"/>
        <v>0</v>
      </c>
      <c r="H997" s="112">
        <f t="shared" si="707"/>
        <v>0</v>
      </c>
      <c r="I997" s="112">
        <f t="shared" si="707"/>
        <v>0</v>
      </c>
      <c r="J997" s="112">
        <f t="shared" si="707"/>
        <v>0</v>
      </c>
      <c r="K997" s="112">
        <f t="shared" si="707"/>
        <v>0</v>
      </c>
      <c r="L997" s="112">
        <f t="shared" si="707"/>
        <v>0</v>
      </c>
      <c r="M997" s="112">
        <f t="shared" si="707"/>
        <v>0</v>
      </c>
      <c r="N997" s="112">
        <f t="shared" si="707"/>
        <v>0</v>
      </c>
      <c r="O997" s="112">
        <f t="shared" si="707"/>
        <v>0</v>
      </c>
      <c r="P997" s="112">
        <f t="shared" si="707"/>
        <v>0</v>
      </c>
      <c r="Q997" s="112">
        <f t="shared" si="707"/>
        <v>0</v>
      </c>
    </row>
    <row r="998" ht="24" customHeight="1" spans="1:17">
      <c r="A998" s="99" t="s">
        <v>347</v>
      </c>
      <c r="B998" s="99" t="s">
        <v>308</v>
      </c>
      <c r="C998" s="99" t="s">
        <v>309</v>
      </c>
      <c r="D998" s="48" t="s">
        <v>315</v>
      </c>
      <c r="E998" s="48" t="s">
        <v>83</v>
      </c>
      <c r="F998" s="112">
        <f t="shared" ref="F998:Q998" si="708">F995/F$86</f>
        <v>0</v>
      </c>
      <c r="G998" s="112">
        <f t="shared" si="708"/>
        <v>0</v>
      </c>
      <c r="H998" s="112">
        <f t="shared" si="708"/>
        <v>0</v>
      </c>
      <c r="I998" s="112">
        <f t="shared" si="708"/>
        <v>0</v>
      </c>
      <c r="J998" s="112">
        <f t="shared" si="708"/>
        <v>0</v>
      </c>
      <c r="K998" s="112">
        <f t="shared" si="708"/>
        <v>0</v>
      </c>
      <c r="L998" s="112">
        <f t="shared" si="708"/>
        <v>0</v>
      </c>
      <c r="M998" s="112">
        <f t="shared" si="708"/>
        <v>0</v>
      </c>
      <c r="N998" s="112">
        <f t="shared" si="708"/>
        <v>0</v>
      </c>
      <c r="O998" s="112">
        <f t="shared" si="708"/>
        <v>0</v>
      </c>
      <c r="P998" s="112">
        <f t="shared" si="708"/>
        <v>0</v>
      </c>
      <c r="Q998" s="112">
        <f t="shared" si="708"/>
        <v>0</v>
      </c>
    </row>
    <row r="999" ht="24" customHeight="1" spans="1:17">
      <c r="A999" s="99" t="s">
        <v>347</v>
      </c>
      <c r="B999" s="99" t="s">
        <v>290</v>
      </c>
      <c r="C999" s="99" t="s">
        <v>316</v>
      </c>
      <c r="D999" s="100" t="s">
        <v>292</v>
      </c>
      <c r="E999" s="100" t="s">
        <v>317</v>
      </c>
      <c r="F999" s="104">
        <f t="shared" ref="F999:Q999" si="709">IF((SUM(F1000:F1005)-MAX(F1011,F1015))&lt;0,"ERR",SUM(F1000:F1005))</f>
        <v>0</v>
      </c>
      <c r="G999" s="104">
        <f t="shared" si="709"/>
        <v>0</v>
      </c>
      <c r="H999" s="104">
        <f t="shared" si="709"/>
        <v>1</v>
      </c>
      <c r="I999" s="104">
        <f t="shared" si="709"/>
        <v>2</v>
      </c>
      <c r="J999" s="104">
        <f t="shared" si="709"/>
        <v>2</v>
      </c>
      <c r="K999" s="104">
        <f t="shared" si="709"/>
        <v>2</v>
      </c>
      <c r="L999" s="104">
        <f t="shared" si="709"/>
        <v>3</v>
      </c>
      <c r="M999" s="104">
        <f t="shared" si="709"/>
        <v>3</v>
      </c>
      <c r="N999" s="104">
        <f t="shared" si="709"/>
        <v>3</v>
      </c>
      <c r="O999" s="104">
        <f t="shared" si="709"/>
        <v>3</v>
      </c>
      <c r="P999" s="104">
        <f t="shared" si="709"/>
        <v>4</v>
      </c>
      <c r="Q999" s="104">
        <f t="shared" si="709"/>
        <v>4</v>
      </c>
    </row>
    <row r="1000" ht="24" customHeight="1" spans="1:17">
      <c r="A1000" s="99" t="s">
        <v>347</v>
      </c>
      <c r="B1000" s="99" t="s">
        <v>290</v>
      </c>
      <c r="C1000" s="99" t="s">
        <v>316</v>
      </c>
      <c r="D1000" s="48" t="s">
        <v>31</v>
      </c>
      <c r="E1000" s="48" t="s">
        <v>406</v>
      </c>
      <c r="F1000" s="105">
        <f t="shared" ref="F1000:F1010" si="710">F910</f>
        <v>0</v>
      </c>
      <c r="G1000" s="105">
        <f t="shared" ref="G1000:Q1000" si="711">G910+F1000</f>
        <v>0</v>
      </c>
      <c r="H1000" s="105">
        <f t="shared" si="711"/>
        <v>1</v>
      </c>
      <c r="I1000" s="105">
        <f t="shared" si="711"/>
        <v>1</v>
      </c>
      <c r="J1000" s="105">
        <f t="shared" si="711"/>
        <v>1</v>
      </c>
      <c r="K1000" s="105">
        <f t="shared" si="711"/>
        <v>1</v>
      </c>
      <c r="L1000" s="105">
        <f t="shared" si="711"/>
        <v>1</v>
      </c>
      <c r="M1000" s="105">
        <f t="shared" si="711"/>
        <v>1</v>
      </c>
      <c r="N1000" s="105">
        <f t="shared" si="711"/>
        <v>1</v>
      </c>
      <c r="O1000" s="105">
        <f t="shared" si="711"/>
        <v>1</v>
      </c>
      <c r="P1000" s="105">
        <f t="shared" si="711"/>
        <v>1</v>
      </c>
      <c r="Q1000" s="105">
        <f t="shared" si="711"/>
        <v>1</v>
      </c>
    </row>
    <row r="1001" ht="24" customHeight="1" spans="1:17">
      <c r="A1001" s="99" t="s">
        <v>347</v>
      </c>
      <c r="B1001" s="99" t="s">
        <v>290</v>
      </c>
      <c r="C1001" s="99" t="s">
        <v>316</v>
      </c>
      <c r="D1001" s="48" t="s">
        <v>31</v>
      </c>
      <c r="E1001" s="48" t="s">
        <v>82</v>
      </c>
      <c r="F1001" s="105">
        <f t="shared" si="710"/>
        <v>0</v>
      </c>
      <c r="G1001" s="105">
        <f t="shared" ref="G1001:Q1001" si="712">G911+F1001</f>
        <v>0</v>
      </c>
      <c r="H1001" s="105">
        <f t="shared" si="712"/>
        <v>0</v>
      </c>
      <c r="I1001" s="105">
        <f t="shared" si="712"/>
        <v>0</v>
      </c>
      <c r="J1001" s="105">
        <f t="shared" si="712"/>
        <v>0</v>
      </c>
      <c r="K1001" s="105">
        <f t="shared" si="712"/>
        <v>0</v>
      </c>
      <c r="L1001" s="105">
        <f t="shared" si="712"/>
        <v>0</v>
      </c>
      <c r="M1001" s="105">
        <f t="shared" si="712"/>
        <v>0</v>
      </c>
      <c r="N1001" s="105">
        <f t="shared" si="712"/>
        <v>0</v>
      </c>
      <c r="O1001" s="105">
        <f t="shared" si="712"/>
        <v>0</v>
      </c>
      <c r="P1001" s="105">
        <f t="shared" si="712"/>
        <v>0</v>
      </c>
      <c r="Q1001" s="105">
        <f t="shared" si="712"/>
        <v>0</v>
      </c>
    </row>
    <row r="1002" ht="24" customHeight="1" spans="1:17">
      <c r="A1002" s="99" t="s">
        <v>347</v>
      </c>
      <c r="B1002" s="99" t="s">
        <v>290</v>
      </c>
      <c r="C1002" s="99" t="s">
        <v>316</v>
      </c>
      <c r="D1002" s="48" t="s">
        <v>31</v>
      </c>
      <c r="E1002" s="48" t="s">
        <v>86</v>
      </c>
      <c r="F1002" s="105">
        <f t="shared" si="710"/>
        <v>0</v>
      </c>
      <c r="G1002" s="105">
        <f t="shared" ref="G1002:Q1002" si="713">G912+F1002</f>
        <v>0</v>
      </c>
      <c r="H1002" s="105">
        <f t="shared" si="713"/>
        <v>0</v>
      </c>
      <c r="I1002" s="105">
        <f t="shared" si="713"/>
        <v>0</v>
      </c>
      <c r="J1002" s="105">
        <f t="shared" si="713"/>
        <v>0</v>
      </c>
      <c r="K1002" s="105">
        <f t="shared" si="713"/>
        <v>0</v>
      </c>
      <c r="L1002" s="105">
        <f t="shared" si="713"/>
        <v>0</v>
      </c>
      <c r="M1002" s="105">
        <f t="shared" si="713"/>
        <v>0</v>
      </c>
      <c r="N1002" s="105">
        <f t="shared" si="713"/>
        <v>0</v>
      </c>
      <c r="O1002" s="105">
        <f t="shared" si="713"/>
        <v>0</v>
      </c>
      <c r="P1002" s="105">
        <f t="shared" si="713"/>
        <v>0</v>
      </c>
      <c r="Q1002" s="105">
        <f t="shared" si="713"/>
        <v>0</v>
      </c>
    </row>
    <row r="1003" ht="24" customHeight="1" spans="1:17">
      <c r="A1003" s="99" t="s">
        <v>347</v>
      </c>
      <c r="B1003" s="99" t="s">
        <v>290</v>
      </c>
      <c r="C1003" s="99" t="s">
        <v>316</v>
      </c>
      <c r="D1003" s="48" t="s">
        <v>31</v>
      </c>
      <c r="E1003" s="48" t="s">
        <v>97</v>
      </c>
      <c r="F1003" s="105">
        <f t="shared" si="710"/>
        <v>0</v>
      </c>
      <c r="G1003" s="105">
        <f t="shared" ref="G1003:Q1003" si="714">G913+F1003</f>
        <v>0</v>
      </c>
      <c r="H1003" s="105">
        <f t="shared" si="714"/>
        <v>0</v>
      </c>
      <c r="I1003" s="105">
        <f t="shared" si="714"/>
        <v>1</v>
      </c>
      <c r="J1003" s="105">
        <f t="shared" si="714"/>
        <v>1</v>
      </c>
      <c r="K1003" s="105">
        <f t="shared" si="714"/>
        <v>1</v>
      </c>
      <c r="L1003" s="105">
        <f t="shared" si="714"/>
        <v>1</v>
      </c>
      <c r="M1003" s="105">
        <f t="shared" si="714"/>
        <v>1</v>
      </c>
      <c r="N1003" s="105">
        <f t="shared" si="714"/>
        <v>1</v>
      </c>
      <c r="O1003" s="105">
        <f t="shared" si="714"/>
        <v>1</v>
      </c>
      <c r="P1003" s="105">
        <f t="shared" si="714"/>
        <v>1</v>
      </c>
      <c r="Q1003" s="105">
        <f t="shared" si="714"/>
        <v>1</v>
      </c>
    </row>
    <row r="1004" ht="24" customHeight="1" spans="1:17">
      <c r="A1004" s="99" t="s">
        <v>347</v>
      </c>
      <c r="B1004" s="99" t="s">
        <v>290</v>
      </c>
      <c r="C1004" s="99" t="s">
        <v>316</v>
      </c>
      <c r="D1004" s="48" t="s">
        <v>31</v>
      </c>
      <c r="E1004" s="48" t="s">
        <v>87</v>
      </c>
      <c r="F1004" s="105">
        <f t="shared" si="710"/>
        <v>0</v>
      </c>
      <c r="G1004" s="105">
        <f t="shared" ref="G1004:Q1004" si="715">G914+F1004</f>
        <v>0</v>
      </c>
      <c r="H1004" s="105">
        <f t="shared" si="715"/>
        <v>0</v>
      </c>
      <c r="I1004" s="105">
        <f t="shared" si="715"/>
        <v>0</v>
      </c>
      <c r="J1004" s="105">
        <f t="shared" si="715"/>
        <v>0</v>
      </c>
      <c r="K1004" s="105">
        <f t="shared" si="715"/>
        <v>0</v>
      </c>
      <c r="L1004" s="105">
        <f t="shared" si="715"/>
        <v>1</v>
      </c>
      <c r="M1004" s="105">
        <f t="shared" si="715"/>
        <v>1</v>
      </c>
      <c r="N1004" s="105">
        <f t="shared" si="715"/>
        <v>1</v>
      </c>
      <c r="O1004" s="105">
        <f t="shared" si="715"/>
        <v>1</v>
      </c>
      <c r="P1004" s="105">
        <f t="shared" si="715"/>
        <v>2</v>
      </c>
      <c r="Q1004" s="105">
        <f t="shared" si="715"/>
        <v>2</v>
      </c>
    </row>
    <row r="1005" ht="24" customHeight="1" spans="1:17">
      <c r="A1005" s="99" t="s">
        <v>347</v>
      </c>
      <c r="B1005" s="99" t="s">
        <v>290</v>
      </c>
      <c r="C1005" s="99" t="s">
        <v>316</v>
      </c>
      <c r="D1005" s="48" t="s">
        <v>31</v>
      </c>
      <c r="E1005" s="48" t="s">
        <v>83</v>
      </c>
      <c r="F1005" s="105">
        <f t="shared" si="710"/>
        <v>0</v>
      </c>
      <c r="G1005" s="105">
        <f t="shared" ref="G1005:Q1005" si="716">G915+F1005</f>
        <v>0</v>
      </c>
      <c r="H1005" s="105">
        <f t="shared" si="716"/>
        <v>0</v>
      </c>
      <c r="I1005" s="105">
        <f t="shared" si="716"/>
        <v>0</v>
      </c>
      <c r="J1005" s="105">
        <f t="shared" si="716"/>
        <v>0</v>
      </c>
      <c r="K1005" s="105">
        <f t="shared" si="716"/>
        <v>0</v>
      </c>
      <c r="L1005" s="105">
        <f t="shared" si="716"/>
        <v>0</v>
      </c>
      <c r="M1005" s="105">
        <f t="shared" si="716"/>
        <v>0</v>
      </c>
      <c r="N1005" s="105">
        <f t="shared" si="716"/>
        <v>0</v>
      </c>
      <c r="O1005" s="105">
        <f t="shared" si="716"/>
        <v>0</v>
      </c>
      <c r="P1005" s="105">
        <f t="shared" si="716"/>
        <v>0</v>
      </c>
      <c r="Q1005" s="105">
        <f t="shared" si="716"/>
        <v>0</v>
      </c>
    </row>
    <row r="1006" ht="24" customHeight="1" spans="1:17">
      <c r="A1006" s="99" t="s">
        <v>347</v>
      </c>
      <c r="B1006" s="99" t="s">
        <v>290</v>
      </c>
      <c r="C1006" s="99" t="s">
        <v>316</v>
      </c>
      <c r="D1006" s="47" t="s">
        <v>294</v>
      </c>
      <c r="E1006" s="47" t="s">
        <v>93</v>
      </c>
      <c r="F1006" s="106">
        <f t="shared" si="710"/>
        <v>0</v>
      </c>
      <c r="G1006" s="106">
        <f t="shared" ref="G1006:Q1006" si="717">G916+F1006</f>
        <v>0</v>
      </c>
      <c r="H1006" s="106">
        <f t="shared" si="717"/>
        <v>0</v>
      </c>
      <c r="I1006" s="106">
        <f t="shared" si="717"/>
        <v>1</v>
      </c>
      <c r="J1006" s="106">
        <f t="shared" si="717"/>
        <v>1</v>
      </c>
      <c r="K1006" s="106">
        <f t="shared" si="717"/>
        <v>1</v>
      </c>
      <c r="L1006" s="106">
        <f t="shared" si="717"/>
        <v>1</v>
      </c>
      <c r="M1006" s="106">
        <f t="shared" si="717"/>
        <v>1</v>
      </c>
      <c r="N1006" s="106">
        <f t="shared" si="717"/>
        <v>1</v>
      </c>
      <c r="O1006" s="106">
        <f t="shared" si="717"/>
        <v>1</v>
      </c>
      <c r="P1006" s="106">
        <f t="shared" si="717"/>
        <v>2</v>
      </c>
      <c r="Q1006" s="106">
        <f t="shared" si="717"/>
        <v>2</v>
      </c>
    </row>
    <row r="1007" ht="24" customHeight="1" spans="1:17">
      <c r="A1007" s="99" t="s">
        <v>347</v>
      </c>
      <c r="B1007" s="99" t="s">
        <v>290</v>
      </c>
      <c r="C1007" s="99" t="s">
        <v>316</v>
      </c>
      <c r="D1007" s="47" t="s">
        <v>294</v>
      </c>
      <c r="E1007" s="47" t="s">
        <v>85</v>
      </c>
      <c r="F1007" s="106">
        <f t="shared" si="710"/>
        <v>0</v>
      </c>
      <c r="G1007" s="106">
        <f t="shared" ref="G1007:Q1007" si="718">G917+F1007</f>
        <v>0</v>
      </c>
      <c r="H1007" s="106">
        <f t="shared" si="718"/>
        <v>0</v>
      </c>
      <c r="I1007" s="106">
        <f t="shared" si="718"/>
        <v>0</v>
      </c>
      <c r="J1007" s="106">
        <f t="shared" si="718"/>
        <v>0</v>
      </c>
      <c r="K1007" s="106">
        <f t="shared" si="718"/>
        <v>0</v>
      </c>
      <c r="L1007" s="106">
        <f t="shared" si="718"/>
        <v>0</v>
      </c>
      <c r="M1007" s="106">
        <f t="shared" si="718"/>
        <v>0</v>
      </c>
      <c r="N1007" s="106">
        <f t="shared" si="718"/>
        <v>0</v>
      </c>
      <c r="O1007" s="106">
        <f t="shared" si="718"/>
        <v>0</v>
      </c>
      <c r="P1007" s="106">
        <f t="shared" si="718"/>
        <v>0</v>
      </c>
      <c r="Q1007" s="106">
        <f t="shared" si="718"/>
        <v>0</v>
      </c>
    </row>
    <row r="1008" ht="24" customHeight="1" spans="1:17">
      <c r="A1008" s="99" t="s">
        <v>347</v>
      </c>
      <c r="B1008" s="99" t="s">
        <v>290</v>
      </c>
      <c r="C1008" s="99" t="s">
        <v>316</v>
      </c>
      <c r="D1008" s="47" t="s">
        <v>294</v>
      </c>
      <c r="E1008" s="47" t="s">
        <v>81</v>
      </c>
      <c r="F1008" s="106">
        <f t="shared" si="710"/>
        <v>0</v>
      </c>
      <c r="G1008" s="106">
        <f t="shared" ref="G1008:Q1008" si="719">G918+F1008</f>
        <v>0</v>
      </c>
      <c r="H1008" s="106">
        <f t="shared" si="719"/>
        <v>1</v>
      </c>
      <c r="I1008" s="106">
        <f t="shared" si="719"/>
        <v>1</v>
      </c>
      <c r="J1008" s="106">
        <f t="shared" si="719"/>
        <v>1</v>
      </c>
      <c r="K1008" s="106">
        <f t="shared" si="719"/>
        <v>1</v>
      </c>
      <c r="L1008" s="106">
        <f t="shared" si="719"/>
        <v>1</v>
      </c>
      <c r="M1008" s="106">
        <f t="shared" si="719"/>
        <v>1</v>
      </c>
      <c r="N1008" s="106">
        <f t="shared" si="719"/>
        <v>1</v>
      </c>
      <c r="O1008" s="106">
        <f t="shared" si="719"/>
        <v>1</v>
      </c>
      <c r="P1008" s="106">
        <f t="shared" si="719"/>
        <v>1</v>
      </c>
      <c r="Q1008" s="106">
        <f t="shared" si="719"/>
        <v>1</v>
      </c>
    </row>
    <row r="1009" ht="24" customHeight="1" spans="1:17">
      <c r="A1009" s="99" t="s">
        <v>347</v>
      </c>
      <c r="B1009" s="99" t="s">
        <v>290</v>
      </c>
      <c r="C1009" s="99" t="s">
        <v>316</v>
      </c>
      <c r="D1009" s="47" t="s">
        <v>294</v>
      </c>
      <c r="E1009" s="47" t="s">
        <v>96</v>
      </c>
      <c r="F1009" s="106">
        <f t="shared" si="710"/>
        <v>0</v>
      </c>
      <c r="G1009" s="106">
        <f t="shared" ref="G1009:Q1009" si="720">G919+F1009</f>
        <v>0</v>
      </c>
      <c r="H1009" s="106">
        <f t="shared" si="720"/>
        <v>0</v>
      </c>
      <c r="I1009" s="106">
        <f t="shared" si="720"/>
        <v>0</v>
      </c>
      <c r="J1009" s="106">
        <f t="shared" si="720"/>
        <v>0</v>
      </c>
      <c r="K1009" s="106">
        <f t="shared" si="720"/>
        <v>0</v>
      </c>
      <c r="L1009" s="106">
        <f t="shared" si="720"/>
        <v>1</v>
      </c>
      <c r="M1009" s="106">
        <f t="shared" si="720"/>
        <v>1</v>
      </c>
      <c r="N1009" s="106">
        <f t="shared" si="720"/>
        <v>1</v>
      </c>
      <c r="O1009" s="106">
        <f t="shared" si="720"/>
        <v>1</v>
      </c>
      <c r="P1009" s="106">
        <f t="shared" si="720"/>
        <v>1</v>
      </c>
      <c r="Q1009" s="106">
        <f t="shared" si="720"/>
        <v>1</v>
      </c>
    </row>
    <row r="1010" ht="24" customHeight="1" spans="1:17">
      <c r="A1010" s="99" t="s">
        <v>347</v>
      </c>
      <c r="B1010" s="99" t="s">
        <v>290</v>
      </c>
      <c r="C1010" s="99" t="s">
        <v>316</v>
      </c>
      <c r="D1010" s="47" t="s">
        <v>294</v>
      </c>
      <c r="E1010" s="47" t="s">
        <v>160</v>
      </c>
      <c r="F1010" s="106">
        <f t="shared" si="710"/>
        <v>0</v>
      </c>
      <c r="G1010" s="106">
        <f t="shared" ref="G1010:Q1010" si="721">G920+F1010</f>
        <v>0</v>
      </c>
      <c r="H1010" s="106">
        <f t="shared" si="721"/>
        <v>0</v>
      </c>
      <c r="I1010" s="106">
        <f t="shared" si="721"/>
        <v>0</v>
      </c>
      <c r="J1010" s="106">
        <f t="shared" si="721"/>
        <v>0</v>
      </c>
      <c r="K1010" s="106">
        <f t="shared" si="721"/>
        <v>0</v>
      </c>
      <c r="L1010" s="106">
        <f t="shared" si="721"/>
        <v>0</v>
      </c>
      <c r="M1010" s="106">
        <f t="shared" si="721"/>
        <v>0</v>
      </c>
      <c r="N1010" s="106">
        <f t="shared" si="721"/>
        <v>0</v>
      </c>
      <c r="O1010" s="106">
        <f t="shared" si="721"/>
        <v>0</v>
      </c>
      <c r="P1010" s="106">
        <f t="shared" si="721"/>
        <v>0</v>
      </c>
      <c r="Q1010" s="106">
        <f t="shared" si="721"/>
        <v>0</v>
      </c>
    </row>
    <row r="1011" ht="24" customHeight="1" spans="1:17">
      <c r="A1011" s="99" t="s">
        <v>347</v>
      </c>
      <c r="B1011" s="99" t="s">
        <v>290</v>
      </c>
      <c r="C1011" s="99" t="s">
        <v>316</v>
      </c>
      <c r="D1011" s="100" t="s">
        <v>292</v>
      </c>
      <c r="E1011" s="100" t="s">
        <v>318</v>
      </c>
      <c r="F1011" s="104">
        <f t="shared" ref="F1011:Q1011" si="722">SUM(F1012:F1014)</f>
        <v>0</v>
      </c>
      <c r="G1011" s="104">
        <f t="shared" si="722"/>
        <v>0</v>
      </c>
      <c r="H1011" s="104">
        <f t="shared" si="722"/>
        <v>1</v>
      </c>
      <c r="I1011" s="104">
        <f t="shared" si="722"/>
        <v>2</v>
      </c>
      <c r="J1011" s="104">
        <f t="shared" si="722"/>
        <v>2</v>
      </c>
      <c r="K1011" s="104">
        <f t="shared" si="722"/>
        <v>2</v>
      </c>
      <c r="L1011" s="104">
        <f t="shared" si="722"/>
        <v>2</v>
      </c>
      <c r="M1011" s="104">
        <f t="shared" si="722"/>
        <v>2</v>
      </c>
      <c r="N1011" s="104">
        <f t="shared" si="722"/>
        <v>2</v>
      </c>
      <c r="O1011" s="104">
        <f t="shared" si="722"/>
        <v>2</v>
      </c>
      <c r="P1011" s="104">
        <f t="shared" si="722"/>
        <v>3</v>
      </c>
      <c r="Q1011" s="104">
        <f t="shared" si="722"/>
        <v>3</v>
      </c>
    </row>
    <row r="1012" ht="24" customHeight="1" spans="1:17">
      <c r="A1012" s="99" t="s">
        <v>347</v>
      </c>
      <c r="B1012" s="99" t="s">
        <v>290</v>
      </c>
      <c r="C1012" s="99" t="s">
        <v>316</v>
      </c>
      <c r="D1012" s="48" t="s">
        <v>296</v>
      </c>
      <c r="E1012" s="48" t="s">
        <v>406</v>
      </c>
      <c r="F1012" s="105">
        <f t="shared" ref="F1012:F1014" si="723">F922</f>
        <v>0</v>
      </c>
      <c r="G1012" s="105">
        <f t="shared" ref="G1012:Q1012" si="724">G922+F1012</f>
        <v>0</v>
      </c>
      <c r="H1012" s="105">
        <f t="shared" si="724"/>
        <v>1</v>
      </c>
      <c r="I1012" s="105">
        <f t="shared" si="724"/>
        <v>1</v>
      </c>
      <c r="J1012" s="105">
        <f t="shared" si="724"/>
        <v>1</v>
      </c>
      <c r="K1012" s="105">
        <f t="shared" si="724"/>
        <v>1</v>
      </c>
      <c r="L1012" s="105">
        <f t="shared" si="724"/>
        <v>1</v>
      </c>
      <c r="M1012" s="105">
        <f t="shared" si="724"/>
        <v>1</v>
      </c>
      <c r="N1012" s="105">
        <f t="shared" si="724"/>
        <v>1</v>
      </c>
      <c r="O1012" s="105">
        <f t="shared" si="724"/>
        <v>1</v>
      </c>
      <c r="P1012" s="105">
        <f t="shared" si="724"/>
        <v>2</v>
      </c>
      <c r="Q1012" s="105">
        <f t="shared" si="724"/>
        <v>2</v>
      </c>
    </row>
    <row r="1013" ht="24" customHeight="1" spans="1:17">
      <c r="A1013" s="99" t="s">
        <v>347</v>
      </c>
      <c r="B1013" s="99" t="s">
        <v>290</v>
      </c>
      <c r="C1013" s="99" t="s">
        <v>316</v>
      </c>
      <c r="D1013" s="48" t="s">
        <v>296</v>
      </c>
      <c r="E1013" s="48" t="s">
        <v>82</v>
      </c>
      <c r="F1013" s="105">
        <f t="shared" si="723"/>
        <v>0</v>
      </c>
      <c r="G1013" s="105">
        <f t="shared" ref="G1013:Q1013" si="725">G923+F1013</f>
        <v>0</v>
      </c>
      <c r="H1013" s="105">
        <f t="shared" si="725"/>
        <v>0</v>
      </c>
      <c r="I1013" s="105">
        <f t="shared" si="725"/>
        <v>1</v>
      </c>
      <c r="J1013" s="105">
        <f t="shared" si="725"/>
        <v>1</v>
      </c>
      <c r="K1013" s="105">
        <f t="shared" si="725"/>
        <v>1</v>
      </c>
      <c r="L1013" s="105">
        <f t="shared" si="725"/>
        <v>1</v>
      </c>
      <c r="M1013" s="105">
        <f t="shared" si="725"/>
        <v>1</v>
      </c>
      <c r="N1013" s="105">
        <f t="shared" si="725"/>
        <v>1</v>
      </c>
      <c r="O1013" s="105">
        <f t="shared" si="725"/>
        <v>1</v>
      </c>
      <c r="P1013" s="105">
        <f t="shared" si="725"/>
        <v>1</v>
      </c>
      <c r="Q1013" s="105">
        <f t="shared" si="725"/>
        <v>1</v>
      </c>
    </row>
    <row r="1014" ht="24" customHeight="1" spans="1:17">
      <c r="A1014" s="99" t="s">
        <v>347</v>
      </c>
      <c r="B1014" s="99" t="s">
        <v>290</v>
      </c>
      <c r="C1014" s="99" t="s">
        <v>316</v>
      </c>
      <c r="D1014" s="48" t="s">
        <v>296</v>
      </c>
      <c r="E1014" s="48" t="s">
        <v>86</v>
      </c>
      <c r="F1014" s="105">
        <f t="shared" si="723"/>
        <v>0</v>
      </c>
      <c r="G1014" s="105">
        <f t="shared" ref="G1014:Q1014" si="726">G924+F1014</f>
        <v>0</v>
      </c>
      <c r="H1014" s="105">
        <f t="shared" si="726"/>
        <v>0</v>
      </c>
      <c r="I1014" s="105">
        <f t="shared" si="726"/>
        <v>0</v>
      </c>
      <c r="J1014" s="105">
        <f t="shared" si="726"/>
        <v>0</v>
      </c>
      <c r="K1014" s="105">
        <f t="shared" si="726"/>
        <v>0</v>
      </c>
      <c r="L1014" s="105">
        <f t="shared" si="726"/>
        <v>0</v>
      </c>
      <c r="M1014" s="105">
        <f t="shared" si="726"/>
        <v>0</v>
      </c>
      <c r="N1014" s="105">
        <f t="shared" si="726"/>
        <v>0</v>
      </c>
      <c r="O1014" s="105">
        <f t="shared" si="726"/>
        <v>0</v>
      </c>
      <c r="P1014" s="105">
        <f t="shared" si="726"/>
        <v>0</v>
      </c>
      <c r="Q1014" s="105">
        <f t="shared" si="726"/>
        <v>0</v>
      </c>
    </row>
    <row r="1015" ht="24" customHeight="1" spans="1:17">
      <c r="A1015" s="99" t="s">
        <v>347</v>
      </c>
      <c r="B1015" s="99" t="s">
        <v>290</v>
      </c>
      <c r="C1015" s="99" t="s">
        <v>316</v>
      </c>
      <c r="D1015" s="100" t="s">
        <v>292</v>
      </c>
      <c r="E1015" s="100" t="s">
        <v>319</v>
      </c>
      <c r="F1015" s="104">
        <f t="shared" ref="F1015:Q1015" si="727">SUM(F1016:F1018)</f>
        <v>0</v>
      </c>
      <c r="G1015" s="104">
        <f t="shared" si="727"/>
        <v>0</v>
      </c>
      <c r="H1015" s="104">
        <f t="shared" si="727"/>
        <v>1</v>
      </c>
      <c r="I1015" s="104">
        <f t="shared" si="727"/>
        <v>2</v>
      </c>
      <c r="J1015" s="104">
        <f t="shared" si="727"/>
        <v>2</v>
      </c>
      <c r="K1015" s="104">
        <f t="shared" si="727"/>
        <v>2</v>
      </c>
      <c r="L1015" s="104">
        <f t="shared" si="727"/>
        <v>3</v>
      </c>
      <c r="M1015" s="104">
        <f t="shared" si="727"/>
        <v>3</v>
      </c>
      <c r="N1015" s="104">
        <f t="shared" si="727"/>
        <v>3</v>
      </c>
      <c r="O1015" s="104">
        <f t="shared" si="727"/>
        <v>3</v>
      </c>
      <c r="P1015" s="104">
        <f t="shared" si="727"/>
        <v>4</v>
      </c>
      <c r="Q1015" s="104">
        <f t="shared" si="727"/>
        <v>4</v>
      </c>
    </row>
    <row r="1016" ht="24" customHeight="1" spans="1:17">
      <c r="A1016" s="99" t="s">
        <v>347</v>
      </c>
      <c r="B1016" s="99" t="s">
        <v>290</v>
      </c>
      <c r="C1016" s="99" t="s">
        <v>316</v>
      </c>
      <c r="D1016" s="48" t="s">
        <v>298</v>
      </c>
      <c r="E1016" s="48" t="s">
        <v>97</v>
      </c>
      <c r="F1016" s="105">
        <f t="shared" ref="F1016:F1018" si="728">F926</f>
        <v>0</v>
      </c>
      <c r="G1016" s="105">
        <f t="shared" ref="G1016:Q1016" si="729">G926+F1016</f>
        <v>0</v>
      </c>
      <c r="H1016" s="105">
        <f t="shared" si="729"/>
        <v>1</v>
      </c>
      <c r="I1016" s="105">
        <f t="shared" si="729"/>
        <v>2</v>
      </c>
      <c r="J1016" s="105">
        <f t="shared" si="729"/>
        <v>2</v>
      </c>
      <c r="K1016" s="105">
        <f t="shared" si="729"/>
        <v>2</v>
      </c>
      <c r="L1016" s="105">
        <f t="shared" si="729"/>
        <v>2</v>
      </c>
      <c r="M1016" s="105">
        <f t="shared" si="729"/>
        <v>2</v>
      </c>
      <c r="N1016" s="105">
        <f t="shared" si="729"/>
        <v>2</v>
      </c>
      <c r="O1016" s="105">
        <f t="shared" si="729"/>
        <v>2</v>
      </c>
      <c r="P1016" s="105">
        <f t="shared" si="729"/>
        <v>2</v>
      </c>
      <c r="Q1016" s="105">
        <f t="shared" si="729"/>
        <v>2</v>
      </c>
    </row>
    <row r="1017" ht="24" customHeight="1" spans="1:17">
      <c r="A1017" s="99" t="s">
        <v>347</v>
      </c>
      <c r="B1017" s="99" t="s">
        <v>290</v>
      </c>
      <c r="C1017" s="99" t="s">
        <v>316</v>
      </c>
      <c r="D1017" s="48" t="s">
        <v>298</v>
      </c>
      <c r="E1017" s="48" t="s">
        <v>87</v>
      </c>
      <c r="F1017" s="105">
        <f t="shared" si="728"/>
        <v>0</v>
      </c>
      <c r="G1017" s="105">
        <f t="shared" ref="G1017:Q1017" si="730">G927+F1017</f>
        <v>0</v>
      </c>
      <c r="H1017" s="105">
        <f t="shared" si="730"/>
        <v>0</v>
      </c>
      <c r="I1017" s="105">
        <f t="shared" si="730"/>
        <v>0</v>
      </c>
      <c r="J1017" s="105">
        <f t="shared" si="730"/>
        <v>0</v>
      </c>
      <c r="K1017" s="105">
        <f t="shared" si="730"/>
        <v>0</v>
      </c>
      <c r="L1017" s="105">
        <f t="shared" si="730"/>
        <v>1</v>
      </c>
      <c r="M1017" s="105">
        <f t="shared" si="730"/>
        <v>1</v>
      </c>
      <c r="N1017" s="105">
        <f t="shared" si="730"/>
        <v>1</v>
      </c>
      <c r="O1017" s="105">
        <f t="shared" si="730"/>
        <v>1</v>
      </c>
      <c r="P1017" s="105">
        <f t="shared" si="730"/>
        <v>2</v>
      </c>
      <c r="Q1017" s="105">
        <f t="shared" si="730"/>
        <v>2</v>
      </c>
    </row>
    <row r="1018" ht="24" customHeight="1" spans="1:17">
      <c r="A1018" s="99" t="s">
        <v>347</v>
      </c>
      <c r="B1018" s="99" t="s">
        <v>290</v>
      </c>
      <c r="C1018" s="99" t="s">
        <v>316</v>
      </c>
      <c r="D1018" s="48" t="s">
        <v>298</v>
      </c>
      <c r="E1018" s="48" t="s">
        <v>83</v>
      </c>
      <c r="F1018" s="105">
        <f t="shared" si="728"/>
        <v>0</v>
      </c>
      <c r="G1018" s="105">
        <f t="shared" ref="G1018:Q1018" si="731">G928+F1018</f>
        <v>0</v>
      </c>
      <c r="H1018" s="105">
        <f t="shared" si="731"/>
        <v>0</v>
      </c>
      <c r="I1018" s="105">
        <f t="shared" si="731"/>
        <v>0</v>
      </c>
      <c r="J1018" s="105">
        <f t="shared" si="731"/>
        <v>0</v>
      </c>
      <c r="K1018" s="105">
        <f t="shared" si="731"/>
        <v>0</v>
      </c>
      <c r="L1018" s="105">
        <f t="shared" si="731"/>
        <v>0</v>
      </c>
      <c r="M1018" s="105">
        <f t="shared" si="731"/>
        <v>0</v>
      </c>
      <c r="N1018" s="105">
        <f t="shared" si="731"/>
        <v>0</v>
      </c>
      <c r="O1018" s="105">
        <f t="shared" si="731"/>
        <v>0</v>
      </c>
      <c r="P1018" s="105">
        <f t="shared" si="731"/>
        <v>0</v>
      </c>
      <c r="Q1018" s="105">
        <f t="shared" si="731"/>
        <v>0</v>
      </c>
    </row>
    <row r="1019" ht="24" customHeight="1" spans="1:17">
      <c r="A1019" s="99" t="s">
        <v>347</v>
      </c>
      <c r="B1019" s="99" t="s">
        <v>299</v>
      </c>
      <c r="C1019" s="99" t="s">
        <v>316</v>
      </c>
      <c r="D1019" s="100" t="s">
        <v>292</v>
      </c>
      <c r="E1019" s="100" t="s">
        <v>320</v>
      </c>
      <c r="F1019" s="104">
        <f t="shared" ref="F1019:Q1019" si="732">IF((SUM(F1020:F1025)-MAX(F1037,F1044))&lt;0,"ERR",SUM(F1020:F1025))</f>
        <v>0</v>
      </c>
      <c r="G1019" s="104">
        <f t="shared" si="732"/>
        <v>0</v>
      </c>
      <c r="H1019" s="104">
        <f t="shared" si="732"/>
        <v>0</v>
      </c>
      <c r="I1019" s="104">
        <f t="shared" si="732"/>
        <v>1</v>
      </c>
      <c r="J1019" s="104">
        <f t="shared" si="732"/>
        <v>2</v>
      </c>
      <c r="K1019" s="104">
        <f t="shared" si="732"/>
        <v>2</v>
      </c>
      <c r="L1019" s="104">
        <f t="shared" si="732"/>
        <v>3</v>
      </c>
      <c r="M1019" s="104">
        <f t="shared" si="732"/>
        <v>3</v>
      </c>
      <c r="N1019" s="104">
        <f t="shared" si="732"/>
        <v>3</v>
      </c>
      <c r="O1019" s="104">
        <f t="shared" si="732"/>
        <v>3</v>
      </c>
      <c r="P1019" s="104">
        <f t="shared" si="732"/>
        <v>4</v>
      </c>
      <c r="Q1019" s="104">
        <f t="shared" si="732"/>
        <v>4</v>
      </c>
    </row>
    <row r="1020" ht="24" customHeight="1" spans="1:17">
      <c r="A1020" s="99" t="s">
        <v>347</v>
      </c>
      <c r="B1020" s="99" t="s">
        <v>299</v>
      </c>
      <c r="C1020" s="99" t="s">
        <v>316</v>
      </c>
      <c r="D1020" s="48" t="s">
        <v>31</v>
      </c>
      <c r="E1020" s="48" t="s">
        <v>406</v>
      </c>
      <c r="F1020" s="105">
        <f t="shared" ref="F1020:F1025" si="733">F930</f>
        <v>0</v>
      </c>
      <c r="G1020" s="105">
        <f t="shared" ref="G1020:Q1020" si="734">G930+F1020</f>
        <v>0</v>
      </c>
      <c r="H1020" s="105">
        <f t="shared" si="734"/>
        <v>0</v>
      </c>
      <c r="I1020" s="105">
        <f t="shared" si="734"/>
        <v>1</v>
      </c>
      <c r="J1020" s="105">
        <f t="shared" si="734"/>
        <v>1</v>
      </c>
      <c r="K1020" s="105">
        <f t="shared" si="734"/>
        <v>1</v>
      </c>
      <c r="L1020" s="105">
        <f t="shared" si="734"/>
        <v>1</v>
      </c>
      <c r="M1020" s="105">
        <f t="shared" si="734"/>
        <v>1</v>
      </c>
      <c r="N1020" s="105">
        <f t="shared" si="734"/>
        <v>1</v>
      </c>
      <c r="O1020" s="105">
        <f t="shared" si="734"/>
        <v>1</v>
      </c>
      <c r="P1020" s="105">
        <f t="shared" si="734"/>
        <v>1</v>
      </c>
      <c r="Q1020" s="105">
        <f t="shared" si="734"/>
        <v>1</v>
      </c>
    </row>
    <row r="1021" ht="24" customHeight="1" spans="1:17">
      <c r="A1021" s="99" t="s">
        <v>347</v>
      </c>
      <c r="B1021" s="99" t="s">
        <v>299</v>
      </c>
      <c r="C1021" s="99" t="s">
        <v>316</v>
      </c>
      <c r="D1021" s="48" t="s">
        <v>31</v>
      </c>
      <c r="E1021" s="48" t="s">
        <v>82</v>
      </c>
      <c r="F1021" s="105">
        <f t="shared" si="733"/>
        <v>0</v>
      </c>
      <c r="G1021" s="105">
        <f t="shared" ref="G1021:Q1021" si="735">G931+F1021</f>
        <v>0</v>
      </c>
      <c r="H1021" s="105">
        <f t="shared" si="735"/>
        <v>0</v>
      </c>
      <c r="I1021" s="105">
        <f t="shared" si="735"/>
        <v>0</v>
      </c>
      <c r="J1021" s="105">
        <f t="shared" si="735"/>
        <v>0</v>
      </c>
      <c r="K1021" s="105">
        <f t="shared" si="735"/>
        <v>0</v>
      </c>
      <c r="L1021" s="105">
        <f t="shared" si="735"/>
        <v>0</v>
      </c>
      <c r="M1021" s="105">
        <f t="shared" si="735"/>
        <v>0</v>
      </c>
      <c r="N1021" s="105">
        <f t="shared" si="735"/>
        <v>0</v>
      </c>
      <c r="O1021" s="105">
        <f t="shared" si="735"/>
        <v>0</v>
      </c>
      <c r="P1021" s="105">
        <f t="shared" si="735"/>
        <v>0</v>
      </c>
      <c r="Q1021" s="105">
        <f t="shared" si="735"/>
        <v>0</v>
      </c>
    </row>
    <row r="1022" ht="24" customHeight="1" spans="1:17">
      <c r="A1022" s="99" t="s">
        <v>347</v>
      </c>
      <c r="B1022" s="99" t="s">
        <v>299</v>
      </c>
      <c r="C1022" s="99" t="s">
        <v>316</v>
      </c>
      <c r="D1022" s="48" t="s">
        <v>31</v>
      </c>
      <c r="E1022" s="48" t="s">
        <v>86</v>
      </c>
      <c r="F1022" s="105">
        <f t="shared" si="733"/>
        <v>0</v>
      </c>
      <c r="G1022" s="105">
        <f t="shared" ref="G1022:Q1022" si="736">G932+F1022</f>
        <v>0</v>
      </c>
      <c r="H1022" s="105">
        <f t="shared" si="736"/>
        <v>0</v>
      </c>
      <c r="I1022" s="105">
        <f t="shared" si="736"/>
        <v>0</v>
      </c>
      <c r="J1022" s="105">
        <f t="shared" si="736"/>
        <v>0</v>
      </c>
      <c r="K1022" s="105">
        <f t="shared" si="736"/>
        <v>0</v>
      </c>
      <c r="L1022" s="105">
        <f t="shared" si="736"/>
        <v>0</v>
      </c>
      <c r="M1022" s="105">
        <f t="shared" si="736"/>
        <v>0</v>
      </c>
      <c r="N1022" s="105">
        <f t="shared" si="736"/>
        <v>0</v>
      </c>
      <c r="O1022" s="105">
        <f t="shared" si="736"/>
        <v>0</v>
      </c>
      <c r="P1022" s="105">
        <f t="shared" si="736"/>
        <v>0</v>
      </c>
      <c r="Q1022" s="105">
        <f t="shared" si="736"/>
        <v>0</v>
      </c>
    </row>
    <row r="1023" ht="24" customHeight="1" spans="1:17">
      <c r="A1023" s="99" t="s">
        <v>347</v>
      </c>
      <c r="B1023" s="99" t="s">
        <v>299</v>
      </c>
      <c r="C1023" s="99" t="s">
        <v>316</v>
      </c>
      <c r="D1023" s="48" t="s">
        <v>31</v>
      </c>
      <c r="E1023" s="48" t="s">
        <v>97</v>
      </c>
      <c r="F1023" s="105">
        <f t="shared" si="733"/>
        <v>0</v>
      </c>
      <c r="G1023" s="105">
        <f t="shared" ref="G1023:Q1023" si="737">G933+F1023</f>
        <v>0</v>
      </c>
      <c r="H1023" s="105">
        <f t="shared" si="737"/>
        <v>0</v>
      </c>
      <c r="I1023" s="105">
        <f t="shared" si="737"/>
        <v>0</v>
      </c>
      <c r="J1023" s="105">
        <f t="shared" si="737"/>
        <v>1</v>
      </c>
      <c r="K1023" s="105">
        <f t="shared" si="737"/>
        <v>1</v>
      </c>
      <c r="L1023" s="105">
        <f t="shared" si="737"/>
        <v>1</v>
      </c>
      <c r="M1023" s="105">
        <f t="shared" si="737"/>
        <v>1</v>
      </c>
      <c r="N1023" s="105">
        <f t="shared" si="737"/>
        <v>1</v>
      </c>
      <c r="O1023" s="105">
        <f t="shared" si="737"/>
        <v>1</v>
      </c>
      <c r="P1023" s="105">
        <f t="shared" si="737"/>
        <v>1</v>
      </c>
      <c r="Q1023" s="105">
        <f t="shared" si="737"/>
        <v>1</v>
      </c>
    </row>
    <row r="1024" ht="24" customHeight="1" spans="1:17">
      <c r="A1024" s="99" t="s">
        <v>347</v>
      </c>
      <c r="B1024" s="99" t="s">
        <v>299</v>
      </c>
      <c r="C1024" s="99" t="s">
        <v>316</v>
      </c>
      <c r="D1024" s="48" t="s">
        <v>31</v>
      </c>
      <c r="E1024" s="48" t="s">
        <v>87</v>
      </c>
      <c r="F1024" s="105">
        <f t="shared" si="733"/>
        <v>0</v>
      </c>
      <c r="G1024" s="105">
        <f t="shared" ref="G1024:Q1024" si="738">G934+F1024</f>
        <v>0</v>
      </c>
      <c r="H1024" s="105">
        <f t="shared" si="738"/>
        <v>0</v>
      </c>
      <c r="I1024" s="105">
        <f t="shared" si="738"/>
        <v>0</v>
      </c>
      <c r="J1024" s="105">
        <f t="shared" si="738"/>
        <v>0</v>
      </c>
      <c r="K1024" s="105">
        <f t="shared" si="738"/>
        <v>0</v>
      </c>
      <c r="L1024" s="105">
        <f t="shared" si="738"/>
        <v>1</v>
      </c>
      <c r="M1024" s="105">
        <f t="shared" si="738"/>
        <v>1</v>
      </c>
      <c r="N1024" s="105">
        <f t="shared" si="738"/>
        <v>1</v>
      </c>
      <c r="O1024" s="105">
        <f t="shared" si="738"/>
        <v>1</v>
      </c>
      <c r="P1024" s="105">
        <f t="shared" si="738"/>
        <v>2</v>
      </c>
      <c r="Q1024" s="105">
        <f t="shared" si="738"/>
        <v>2</v>
      </c>
    </row>
    <row r="1025" ht="24" customHeight="1" spans="1:17">
      <c r="A1025" s="99" t="s">
        <v>347</v>
      </c>
      <c r="B1025" s="99" t="s">
        <v>299</v>
      </c>
      <c r="C1025" s="99" t="s">
        <v>316</v>
      </c>
      <c r="D1025" s="48" t="s">
        <v>31</v>
      </c>
      <c r="E1025" s="48" t="s">
        <v>83</v>
      </c>
      <c r="F1025" s="105">
        <f t="shared" si="733"/>
        <v>0</v>
      </c>
      <c r="G1025" s="105">
        <f t="shared" ref="G1025:Q1025" si="739">G935+F1025</f>
        <v>0</v>
      </c>
      <c r="H1025" s="105">
        <f t="shared" si="739"/>
        <v>0</v>
      </c>
      <c r="I1025" s="105">
        <f t="shared" si="739"/>
        <v>0</v>
      </c>
      <c r="J1025" s="105">
        <f t="shared" si="739"/>
        <v>0</v>
      </c>
      <c r="K1025" s="105">
        <f t="shared" si="739"/>
        <v>0</v>
      </c>
      <c r="L1025" s="105">
        <f t="shared" si="739"/>
        <v>0</v>
      </c>
      <c r="M1025" s="105">
        <f t="shared" si="739"/>
        <v>0</v>
      </c>
      <c r="N1025" s="105">
        <f t="shared" si="739"/>
        <v>0</v>
      </c>
      <c r="O1025" s="105">
        <f t="shared" si="739"/>
        <v>0</v>
      </c>
      <c r="P1025" s="105">
        <f t="shared" si="739"/>
        <v>0</v>
      </c>
      <c r="Q1025" s="105">
        <f t="shared" si="739"/>
        <v>0</v>
      </c>
    </row>
    <row r="1026" ht="24" customHeight="1" spans="1:17">
      <c r="A1026" s="99" t="s">
        <v>347</v>
      </c>
      <c r="B1026" s="99" t="s">
        <v>299</v>
      </c>
      <c r="C1026" s="99" t="s">
        <v>316</v>
      </c>
      <c r="D1026" s="48" t="s">
        <v>321</v>
      </c>
      <c r="E1026" s="48" t="s">
        <v>406</v>
      </c>
      <c r="F1026" s="112" t="str">
        <f t="shared" ref="F1026:Q1026" si="740">IFERROR(F1020/F1019,"-")</f>
        <v>-</v>
      </c>
      <c r="G1026" s="112" t="str">
        <f t="shared" si="740"/>
        <v>-</v>
      </c>
      <c r="H1026" s="112" t="str">
        <f t="shared" si="740"/>
        <v>-</v>
      </c>
      <c r="I1026" s="112">
        <f t="shared" si="740"/>
        <v>1</v>
      </c>
      <c r="J1026" s="112">
        <f t="shared" si="740"/>
        <v>0.5</v>
      </c>
      <c r="K1026" s="112">
        <f t="shared" si="740"/>
        <v>0.5</v>
      </c>
      <c r="L1026" s="112">
        <f t="shared" si="740"/>
        <v>0.333333333333333</v>
      </c>
      <c r="M1026" s="112">
        <f t="shared" si="740"/>
        <v>0.333333333333333</v>
      </c>
      <c r="N1026" s="112">
        <f t="shared" si="740"/>
        <v>0.333333333333333</v>
      </c>
      <c r="O1026" s="112">
        <f t="shared" si="740"/>
        <v>0.333333333333333</v>
      </c>
      <c r="P1026" s="112">
        <f t="shared" si="740"/>
        <v>0.25</v>
      </c>
      <c r="Q1026" s="112">
        <f t="shared" si="740"/>
        <v>0.25</v>
      </c>
    </row>
    <row r="1027" ht="24" customHeight="1" spans="1:17">
      <c r="A1027" s="99" t="s">
        <v>347</v>
      </c>
      <c r="B1027" s="99" t="s">
        <v>299</v>
      </c>
      <c r="C1027" s="99" t="s">
        <v>316</v>
      </c>
      <c r="D1027" s="48" t="s">
        <v>321</v>
      </c>
      <c r="E1027" s="48" t="s">
        <v>82</v>
      </c>
      <c r="F1027" s="112" t="str">
        <f t="shared" ref="F1027:Q1027" si="741">IFERROR(F1021/F1019,"-")</f>
        <v>-</v>
      </c>
      <c r="G1027" s="112" t="str">
        <f t="shared" si="741"/>
        <v>-</v>
      </c>
      <c r="H1027" s="112" t="str">
        <f t="shared" si="741"/>
        <v>-</v>
      </c>
      <c r="I1027" s="112">
        <f t="shared" si="741"/>
        <v>0</v>
      </c>
      <c r="J1027" s="112">
        <f t="shared" si="741"/>
        <v>0</v>
      </c>
      <c r="K1027" s="112">
        <f t="shared" si="741"/>
        <v>0</v>
      </c>
      <c r="L1027" s="112">
        <f t="shared" si="741"/>
        <v>0</v>
      </c>
      <c r="M1027" s="112">
        <f t="shared" si="741"/>
        <v>0</v>
      </c>
      <c r="N1027" s="112">
        <f t="shared" si="741"/>
        <v>0</v>
      </c>
      <c r="O1027" s="112">
        <f t="shared" si="741"/>
        <v>0</v>
      </c>
      <c r="P1027" s="112">
        <f t="shared" si="741"/>
        <v>0</v>
      </c>
      <c r="Q1027" s="112">
        <f t="shared" si="741"/>
        <v>0</v>
      </c>
    </row>
    <row r="1028" ht="24" customHeight="1" spans="1:17">
      <c r="A1028" s="99" t="s">
        <v>347</v>
      </c>
      <c r="B1028" s="99" t="s">
        <v>299</v>
      </c>
      <c r="C1028" s="99" t="s">
        <v>316</v>
      </c>
      <c r="D1028" s="48" t="s">
        <v>321</v>
      </c>
      <c r="E1028" s="48" t="s">
        <v>86</v>
      </c>
      <c r="F1028" s="112" t="str">
        <f t="shared" ref="F1028:Q1028" si="742">IFERROR(F1022/F1019,"-")</f>
        <v>-</v>
      </c>
      <c r="G1028" s="112" t="str">
        <f t="shared" si="742"/>
        <v>-</v>
      </c>
      <c r="H1028" s="112" t="str">
        <f t="shared" si="742"/>
        <v>-</v>
      </c>
      <c r="I1028" s="112">
        <f t="shared" si="742"/>
        <v>0</v>
      </c>
      <c r="J1028" s="112">
        <f t="shared" si="742"/>
        <v>0</v>
      </c>
      <c r="K1028" s="112">
        <f t="shared" si="742"/>
        <v>0</v>
      </c>
      <c r="L1028" s="112">
        <f t="shared" si="742"/>
        <v>0</v>
      </c>
      <c r="M1028" s="112">
        <f t="shared" si="742"/>
        <v>0</v>
      </c>
      <c r="N1028" s="112">
        <f t="shared" si="742"/>
        <v>0</v>
      </c>
      <c r="O1028" s="112">
        <f t="shared" si="742"/>
        <v>0</v>
      </c>
      <c r="P1028" s="112">
        <f t="shared" si="742"/>
        <v>0</v>
      </c>
      <c r="Q1028" s="112">
        <f t="shared" si="742"/>
        <v>0</v>
      </c>
    </row>
    <row r="1029" ht="24" customHeight="1" spans="1:17">
      <c r="A1029" s="99" t="s">
        <v>347</v>
      </c>
      <c r="B1029" s="99" t="s">
        <v>299</v>
      </c>
      <c r="C1029" s="99" t="s">
        <v>316</v>
      </c>
      <c r="D1029" s="48" t="s">
        <v>321</v>
      </c>
      <c r="E1029" s="48" t="s">
        <v>97</v>
      </c>
      <c r="F1029" s="112" t="str">
        <f t="shared" ref="F1029:Q1029" si="743">IFERROR(F1023/F1019,"-")</f>
        <v>-</v>
      </c>
      <c r="G1029" s="112" t="str">
        <f t="shared" si="743"/>
        <v>-</v>
      </c>
      <c r="H1029" s="112" t="str">
        <f t="shared" si="743"/>
        <v>-</v>
      </c>
      <c r="I1029" s="112">
        <f t="shared" si="743"/>
        <v>0</v>
      </c>
      <c r="J1029" s="112">
        <f t="shared" si="743"/>
        <v>0.5</v>
      </c>
      <c r="K1029" s="112">
        <f t="shared" si="743"/>
        <v>0.5</v>
      </c>
      <c r="L1029" s="112">
        <f t="shared" si="743"/>
        <v>0.333333333333333</v>
      </c>
      <c r="M1029" s="112">
        <f t="shared" si="743"/>
        <v>0.333333333333333</v>
      </c>
      <c r="N1029" s="112">
        <f t="shared" si="743"/>
        <v>0.333333333333333</v>
      </c>
      <c r="O1029" s="112">
        <f t="shared" si="743"/>
        <v>0.333333333333333</v>
      </c>
      <c r="P1029" s="112">
        <f t="shared" si="743"/>
        <v>0.25</v>
      </c>
      <c r="Q1029" s="112">
        <f t="shared" si="743"/>
        <v>0.25</v>
      </c>
    </row>
    <row r="1030" ht="24" customHeight="1" spans="1:17">
      <c r="A1030" s="99" t="s">
        <v>347</v>
      </c>
      <c r="B1030" s="99" t="s">
        <v>299</v>
      </c>
      <c r="C1030" s="99" t="s">
        <v>316</v>
      </c>
      <c r="D1030" s="48" t="s">
        <v>321</v>
      </c>
      <c r="E1030" s="48" t="s">
        <v>87</v>
      </c>
      <c r="F1030" s="112" t="str">
        <f t="shared" ref="F1030:Q1030" si="744">IFERROR(F1024/F1019,"-")</f>
        <v>-</v>
      </c>
      <c r="G1030" s="112" t="str">
        <f t="shared" si="744"/>
        <v>-</v>
      </c>
      <c r="H1030" s="112" t="str">
        <f t="shared" si="744"/>
        <v>-</v>
      </c>
      <c r="I1030" s="112">
        <f t="shared" si="744"/>
        <v>0</v>
      </c>
      <c r="J1030" s="112">
        <f t="shared" si="744"/>
        <v>0</v>
      </c>
      <c r="K1030" s="112">
        <f t="shared" si="744"/>
        <v>0</v>
      </c>
      <c r="L1030" s="112">
        <f t="shared" si="744"/>
        <v>0.333333333333333</v>
      </c>
      <c r="M1030" s="112">
        <f t="shared" si="744"/>
        <v>0.333333333333333</v>
      </c>
      <c r="N1030" s="112">
        <f t="shared" si="744"/>
        <v>0.333333333333333</v>
      </c>
      <c r="O1030" s="112">
        <f t="shared" si="744"/>
        <v>0.333333333333333</v>
      </c>
      <c r="P1030" s="112">
        <f t="shared" si="744"/>
        <v>0.5</v>
      </c>
      <c r="Q1030" s="112">
        <f t="shared" si="744"/>
        <v>0.5</v>
      </c>
    </row>
    <row r="1031" ht="24" customHeight="1" spans="1:17">
      <c r="A1031" s="99" t="s">
        <v>347</v>
      </c>
      <c r="B1031" s="99" t="s">
        <v>299</v>
      </c>
      <c r="C1031" s="99" t="s">
        <v>316</v>
      </c>
      <c r="D1031" s="48" t="s">
        <v>321</v>
      </c>
      <c r="E1031" s="48" t="s">
        <v>83</v>
      </c>
      <c r="F1031" s="112" t="str">
        <f t="shared" ref="F1031:Q1031" si="745">IFERROR(F1025/F1019,"-")</f>
        <v>-</v>
      </c>
      <c r="G1031" s="112" t="str">
        <f t="shared" si="745"/>
        <v>-</v>
      </c>
      <c r="H1031" s="112" t="str">
        <f t="shared" si="745"/>
        <v>-</v>
      </c>
      <c r="I1031" s="112">
        <f t="shared" si="745"/>
        <v>0</v>
      </c>
      <c r="J1031" s="112">
        <f t="shared" si="745"/>
        <v>0</v>
      </c>
      <c r="K1031" s="112">
        <f t="shared" si="745"/>
        <v>0</v>
      </c>
      <c r="L1031" s="112">
        <f t="shared" si="745"/>
        <v>0</v>
      </c>
      <c r="M1031" s="112">
        <f t="shared" si="745"/>
        <v>0</v>
      </c>
      <c r="N1031" s="112">
        <f t="shared" si="745"/>
        <v>0</v>
      </c>
      <c r="O1031" s="112">
        <f t="shared" si="745"/>
        <v>0</v>
      </c>
      <c r="P1031" s="112">
        <f t="shared" si="745"/>
        <v>0</v>
      </c>
      <c r="Q1031" s="112">
        <f t="shared" si="745"/>
        <v>0</v>
      </c>
    </row>
    <row r="1032" ht="24" customHeight="1" spans="1:17">
      <c r="A1032" s="99" t="s">
        <v>347</v>
      </c>
      <c r="B1032" s="99" t="s">
        <v>299</v>
      </c>
      <c r="C1032" s="99" t="s">
        <v>316</v>
      </c>
      <c r="D1032" s="47" t="s">
        <v>294</v>
      </c>
      <c r="E1032" s="47" t="s">
        <v>93</v>
      </c>
      <c r="F1032" s="106">
        <f t="shared" ref="F1032:F1036" si="746">F936</f>
        <v>0</v>
      </c>
      <c r="G1032" s="106">
        <f t="shared" ref="G1032:Q1032" si="747">G936+F1032</f>
        <v>0</v>
      </c>
      <c r="H1032" s="106">
        <f t="shared" si="747"/>
        <v>0</v>
      </c>
      <c r="I1032" s="106">
        <f t="shared" si="747"/>
        <v>0</v>
      </c>
      <c r="J1032" s="106">
        <f t="shared" si="747"/>
        <v>1</v>
      </c>
      <c r="K1032" s="106">
        <f t="shared" si="747"/>
        <v>1</v>
      </c>
      <c r="L1032" s="106">
        <f t="shared" si="747"/>
        <v>1</v>
      </c>
      <c r="M1032" s="106">
        <f t="shared" si="747"/>
        <v>1</v>
      </c>
      <c r="N1032" s="106">
        <f t="shared" si="747"/>
        <v>1</v>
      </c>
      <c r="O1032" s="106">
        <f t="shared" si="747"/>
        <v>1</v>
      </c>
      <c r="P1032" s="106">
        <f t="shared" si="747"/>
        <v>2</v>
      </c>
      <c r="Q1032" s="106">
        <f t="shared" si="747"/>
        <v>2</v>
      </c>
    </row>
    <row r="1033" ht="24" customHeight="1" spans="1:17">
      <c r="A1033" s="99" t="s">
        <v>347</v>
      </c>
      <c r="B1033" s="99" t="s">
        <v>299</v>
      </c>
      <c r="C1033" s="99" t="s">
        <v>316</v>
      </c>
      <c r="D1033" s="47" t="s">
        <v>294</v>
      </c>
      <c r="E1033" s="47" t="s">
        <v>85</v>
      </c>
      <c r="F1033" s="106">
        <f t="shared" si="746"/>
        <v>0</v>
      </c>
      <c r="G1033" s="106">
        <f t="shared" ref="G1033:Q1033" si="748">G937+F1033</f>
        <v>0</v>
      </c>
      <c r="H1033" s="106">
        <f t="shared" si="748"/>
        <v>0</v>
      </c>
      <c r="I1033" s="106">
        <f t="shared" si="748"/>
        <v>0</v>
      </c>
      <c r="J1033" s="106">
        <f t="shared" si="748"/>
        <v>0</v>
      </c>
      <c r="K1033" s="106">
        <f t="shared" si="748"/>
        <v>0</v>
      </c>
      <c r="L1033" s="106">
        <f t="shared" si="748"/>
        <v>0</v>
      </c>
      <c r="M1033" s="106">
        <f t="shared" si="748"/>
        <v>0</v>
      </c>
      <c r="N1033" s="106">
        <f t="shared" si="748"/>
        <v>0</v>
      </c>
      <c r="O1033" s="106">
        <f t="shared" si="748"/>
        <v>0</v>
      </c>
      <c r="P1033" s="106">
        <f t="shared" si="748"/>
        <v>0</v>
      </c>
      <c r="Q1033" s="106">
        <f t="shared" si="748"/>
        <v>0</v>
      </c>
    </row>
    <row r="1034" ht="24" customHeight="1" spans="1:17">
      <c r="A1034" s="99" t="s">
        <v>347</v>
      </c>
      <c r="B1034" s="99" t="s">
        <v>299</v>
      </c>
      <c r="C1034" s="99" t="s">
        <v>316</v>
      </c>
      <c r="D1034" s="47" t="s">
        <v>294</v>
      </c>
      <c r="E1034" s="47" t="s">
        <v>81</v>
      </c>
      <c r="F1034" s="106">
        <f t="shared" si="746"/>
        <v>0</v>
      </c>
      <c r="G1034" s="106">
        <f t="shared" ref="G1034:Q1034" si="749">G938+F1034</f>
        <v>0</v>
      </c>
      <c r="H1034" s="106">
        <f t="shared" si="749"/>
        <v>0</v>
      </c>
      <c r="I1034" s="106">
        <f t="shared" si="749"/>
        <v>1</v>
      </c>
      <c r="J1034" s="106">
        <f t="shared" si="749"/>
        <v>1</v>
      </c>
      <c r="K1034" s="106">
        <f t="shared" si="749"/>
        <v>1</v>
      </c>
      <c r="L1034" s="106">
        <f t="shared" si="749"/>
        <v>1</v>
      </c>
      <c r="M1034" s="106">
        <f t="shared" si="749"/>
        <v>1</v>
      </c>
      <c r="N1034" s="106">
        <f t="shared" si="749"/>
        <v>1</v>
      </c>
      <c r="O1034" s="106">
        <f t="shared" si="749"/>
        <v>1</v>
      </c>
      <c r="P1034" s="106">
        <f t="shared" si="749"/>
        <v>1</v>
      </c>
      <c r="Q1034" s="106">
        <f t="shared" si="749"/>
        <v>1</v>
      </c>
    </row>
    <row r="1035" ht="24" customHeight="1" spans="1:17">
      <c r="A1035" s="99" t="s">
        <v>347</v>
      </c>
      <c r="B1035" s="99" t="s">
        <v>299</v>
      </c>
      <c r="C1035" s="99" t="s">
        <v>316</v>
      </c>
      <c r="D1035" s="47" t="s">
        <v>294</v>
      </c>
      <c r="E1035" s="47" t="s">
        <v>96</v>
      </c>
      <c r="F1035" s="106">
        <f t="shared" si="746"/>
        <v>0</v>
      </c>
      <c r="G1035" s="106">
        <f t="shared" ref="G1035:Q1035" si="750">G939+F1035</f>
        <v>0</v>
      </c>
      <c r="H1035" s="106">
        <f t="shared" si="750"/>
        <v>0</v>
      </c>
      <c r="I1035" s="106">
        <f t="shared" si="750"/>
        <v>0</v>
      </c>
      <c r="J1035" s="106">
        <f t="shared" si="750"/>
        <v>0</v>
      </c>
      <c r="K1035" s="106">
        <f t="shared" si="750"/>
        <v>0</v>
      </c>
      <c r="L1035" s="106">
        <f t="shared" si="750"/>
        <v>1</v>
      </c>
      <c r="M1035" s="106">
        <f t="shared" si="750"/>
        <v>1</v>
      </c>
      <c r="N1035" s="106">
        <f t="shared" si="750"/>
        <v>1</v>
      </c>
      <c r="O1035" s="106">
        <f t="shared" si="750"/>
        <v>1</v>
      </c>
      <c r="P1035" s="106">
        <f t="shared" si="750"/>
        <v>1</v>
      </c>
      <c r="Q1035" s="106">
        <f t="shared" si="750"/>
        <v>1</v>
      </c>
    </row>
    <row r="1036" ht="24" customHeight="1" spans="1:17">
      <c r="A1036" s="99" t="s">
        <v>347</v>
      </c>
      <c r="B1036" s="99" t="s">
        <v>299</v>
      </c>
      <c r="C1036" s="99" t="s">
        <v>316</v>
      </c>
      <c r="D1036" s="47" t="s">
        <v>294</v>
      </c>
      <c r="E1036" s="47" t="s">
        <v>160</v>
      </c>
      <c r="F1036" s="106">
        <f t="shared" si="746"/>
        <v>0</v>
      </c>
      <c r="G1036" s="106">
        <f t="shared" ref="G1036:Q1036" si="751">G940+F1036</f>
        <v>0</v>
      </c>
      <c r="H1036" s="106">
        <f t="shared" si="751"/>
        <v>0</v>
      </c>
      <c r="I1036" s="106">
        <f t="shared" si="751"/>
        <v>0</v>
      </c>
      <c r="J1036" s="106">
        <f t="shared" si="751"/>
        <v>0</v>
      </c>
      <c r="K1036" s="106">
        <f t="shared" si="751"/>
        <v>0</v>
      </c>
      <c r="L1036" s="106">
        <f t="shared" si="751"/>
        <v>0</v>
      </c>
      <c r="M1036" s="106">
        <f t="shared" si="751"/>
        <v>0</v>
      </c>
      <c r="N1036" s="106">
        <f t="shared" si="751"/>
        <v>0</v>
      </c>
      <c r="O1036" s="106">
        <f t="shared" si="751"/>
        <v>0</v>
      </c>
      <c r="P1036" s="106">
        <f t="shared" si="751"/>
        <v>0</v>
      </c>
      <c r="Q1036" s="106">
        <f t="shared" si="751"/>
        <v>0</v>
      </c>
    </row>
    <row r="1037" ht="24" customHeight="1" spans="1:17">
      <c r="A1037" s="99" t="s">
        <v>347</v>
      </c>
      <c r="B1037" s="99" t="s">
        <v>299</v>
      </c>
      <c r="C1037" s="99" t="s">
        <v>316</v>
      </c>
      <c r="D1037" s="100" t="s">
        <v>292</v>
      </c>
      <c r="E1037" s="100" t="s">
        <v>322</v>
      </c>
      <c r="F1037" s="104">
        <f t="shared" ref="F1037:Q1037" si="752">SUM(F1038:F1040)</f>
        <v>0</v>
      </c>
      <c r="G1037" s="104">
        <f t="shared" si="752"/>
        <v>0</v>
      </c>
      <c r="H1037" s="104">
        <f t="shared" si="752"/>
        <v>0</v>
      </c>
      <c r="I1037" s="104">
        <f t="shared" si="752"/>
        <v>1</v>
      </c>
      <c r="J1037" s="104">
        <f t="shared" si="752"/>
        <v>2</v>
      </c>
      <c r="K1037" s="104">
        <f t="shared" si="752"/>
        <v>2</v>
      </c>
      <c r="L1037" s="104">
        <f t="shared" si="752"/>
        <v>2</v>
      </c>
      <c r="M1037" s="104">
        <f t="shared" si="752"/>
        <v>2</v>
      </c>
      <c r="N1037" s="104">
        <f t="shared" si="752"/>
        <v>2</v>
      </c>
      <c r="O1037" s="104">
        <f t="shared" si="752"/>
        <v>2</v>
      </c>
      <c r="P1037" s="104">
        <f t="shared" si="752"/>
        <v>3</v>
      </c>
      <c r="Q1037" s="104">
        <f t="shared" si="752"/>
        <v>3</v>
      </c>
    </row>
    <row r="1038" ht="24" customHeight="1" spans="1:17">
      <c r="A1038" s="99" t="s">
        <v>347</v>
      </c>
      <c r="B1038" s="99" t="s">
        <v>299</v>
      </c>
      <c r="C1038" s="99" t="s">
        <v>316</v>
      </c>
      <c r="D1038" s="48" t="s">
        <v>296</v>
      </c>
      <c r="E1038" s="48" t="s">
        <v>406</v>
      </c>
      <c r="F1038" s="105">
        <f t="shared" ref="F1038:F1040" si="753">F960</f>
        <v>0</v>
      </c>
      <c r="G1038" s="105">
        <f t="shared" ref="G1038:Q1038" si="754">G960+F1038</f>
        <v>0</v>
      </c>
      <c r="H1038" s="105">
        <f t="shared" si="754"/>
        <v>0</v>
      </c>
      <c r="I1038" s="105">
        <f t="shared" si="754"/>
        <v>1</v>
      </c>
      <c r="J1038" s="105">
        <f t="shared" si="754"/>
        <v>1</v>
      </c>
      <c r="K1038" s="105">
        <f t="shared" si="754"/>
        <v>1</v>
      </c>
      <c r="L1038" s="105">
        <f t="shared" si="754"/>
        <v>1</v>
      </c>
      <c r="M1038" s="105">
        <f t="shared" si="754"/>
        <v>1</v>
      </c>
      <c r="N1038" s="105">
        <f t="shared" si="754"/>
        <v>1</v>
      </c>
      <c r="O1038" s="105">
        <f t="shared" si="754"/>
        <v>1</v>
      </c>
      <c r="P1038" s="105">
        <f t="shared" si="754"/>
        <v>2</v>
      </c>
      <c r="Q1038" s="105">
        <f t="shared" si="754"/>
        <v>2</v>
      </c>
    </row>
    <row r="1039" ht="24" customHeight="1" spans="1:17">
      <c r="A1039" s="99" t="s">
        <v>347</v>
      </c>
      <c r="B1039" s="99" t="s">
        <v>299</v>
      </c>
      <c r="C1039" s="99" t="s">
        <v>316</v>
      </c>
      <c r="D1039" s="48" t="s">
        <v>296</v>
      </c>
      <c r="E1039" s="48" t="s">
        <v>82</v>
      </c>
      <c r="F1039" s="105">
        <f t="shared" si="753"/>
        <v>0</v>
      </c>
      <c r="G1039" s="105">
        <f t="shared" ref="G1039:Q1039" si="755">G961+F1039</f>
        <v>0</v>
      </c>
      <c r="H1039" s="105">
        <f t="shared" si="755"/>
        <v>0</v>
      </c>
      <c r="I1039" s="105">
        <f t="shared" si="755"/>
        <v>0</v>
      </c>
      <c r="J1039" s="105">
        <f t="shared" si="755"/>
        <v>1</v>
      </c>
      <c r="K1039" s="105">
        <f t="shared" si="755"/>
        <v>1</v>
      </c>
      <c r="L1039" s="105">
        <f t="shared" si="755"/>
        <v>1</v>
      </c>
      <c r="M1039" s="105">
        <f t="shared" si="755"/>
        <v>1</v>
      </c>
      <c r="N1039" s="105">
        <f t="shared" si="755"/>
        <v>1</v>
      </c>
      <c r="O1039" s="105">
        <f t="shared" si="755"/>
        <v>1</v>
      </c>
      <c r="P1039" s="105">
        <f t="shared" si="755"/>
        <v>1</v>
      </c>
      <c r="Q1039" s="105">
        <f t="shared" si="755"/>
        <v>1</v>
      </c>
    </row>
    <row r="1040" ht="24" customHeight="1" spans="1:17">
      <c r="A1040" s="99" t="s">
        <v>347</v>
      </c>
      <c r="B1040" s="99" t="s">
        <v>299</v>
      </c>
      <c r="C1040" s="99" t="s">
        <v>316</v>
      </c>
      <c r="D1040" s="48" t="s">
        <v>296</v>
      </c>
      <c r="E1040" s="48" t="s">
        <v>86</v>
      </c>
      <c r="F1040" s="105">
        <f t="shared" si="753"/>
        <v>0</v>
      </c>
      <c r="G1040" s="105">
        <f t="shared" ref="G1040:Q1040" si="756">G962+F1040</f>
        <v>0</v>
      </c>
      <c r="H1040" s="105">
        <f t="shared" si="756"/>
        <v>0</v>
      </c>
      <c r="I1040" s="105">
        <f t="shared" si="756"/>
        <v>0</v>
      </c>
      <c r="J1040" s="105">
        <f t="shared" si="756"/>
        <v>0</v>
      </c>
      <c r="K1040" s="105">
        <f t="shared" si="756"/>
        <v>0</v>
      </c>
      <c r="L1040" s="105">
        <f t="shared" si="756"/>
        <v>0</v>
      </c>
      <c r="M1040" s="105">
        <f t="shared" si="756"/>
        <v>0</v>
      </c>
      <c r="N1040" s="105">
        <f t="shared" si="756"/>
        <v>0</v>
      </c>
      <c r="O1040" s="105">
        <f t="shared" si="756"/>
        <v>0</v>
      </c>
      <c r="P1040" s="105">
        <f t="shared" si="756"/>
        <v>0</v>
      </c>
      <c r="Q1040" s="105">
        <f t="shared" si="756"/>
        <v>0</v>
      </c>
    </row>
    <row r="1041" ht="24" customHeight="1" spans="1:17">
      <c r="A1041" s="99" t="s">
        <v>347</v>
      </c>
      <c r="B1041" s="99" t="s">
        <v>299</v>
      </c>
      <c r="C1041" s="99" t="s">
        <v>316</v>
      </c>
      <c r="D1041" s="48" t="s">
        <v>323</v>
      </c>
      <c r="E1041" s="48" t="s">
        <v>406</v>
      </c>
      <c r="F1041" s="112" t="str">
        <f t="shared" ref="F1041:Q1041" si="757">IFERROR(F1038/F1037,"-")</f>
        <v>-</v>
      </c>
      <c r="G1041" s="112" t="str">
        <f t="shared" si="757"/>
        <v>-</v>
      </c>
      <c r="H1041" s="112" t="str">
        <f t="shared" si="757"/>
        <v>-</v>
      </c>
      <c r="I1041" s="112">
        <f t="shared" si="757"/>
        <v>1</v>
      </c>
      <c r="J1041" s="112">
        <f t="shared" si="757"/>
        <v>0.5</v>
      </c>
      <c r="K1041" s="112">
        <f t="shared" si="757"/>
        <v>0.5</v>
      </c>
      <c r="L1041" s="112">
        <f t="shared" si="757"/>
        <v>0.5</v>
      </c>
      <c r="M1041" s="112">
        <f t="shared" si="757"/>
        <v>0.5</v>
      </c>
      <c r="N1041" s="112">
        <f t="shared" si="757"/>
        <v>0.5</v>
      </c>
      <c r="O1041" s="112">
        <f t="shared" si="757"/>
        <v>0.5</v>
      </c>
      <c r="P1041" s="112">
        <f t="shared" si="757"/>
        <v>0.666666666666667</v>
      </c>
      <c r="Q1041" s="112">
        <f t="shared" si="757"/>
        <v>0.666666666666667</v>
      </c>
    </row>
    <row r="1042" ht="24" customHeight="1" spans="1:17">
      <c r="A1042" s="99" t="s">
        <v>347</v>
      </c>
      <c r="B1042" s="99" t="s">
        <v>299</v>
      </c>
      <c r="C1042" s="99" t="s">
        <v>316</v>
      </c>
      <c r="D1042" s="48" t="s">
        <v>323</v>
      </c>
      <c r="E1042" s="48" t="s">
        <v>82</v>
      </c>
      <c r="F1042" s="112" t="str">
        <f t="shared" ref="F1042:Q1042" si="758">IFERROR(F1039/F1037,"-")</f>
        <v>-</v>
      </c>
      <c r="G1042" s="112" t="str">
        <f t="shared" si="758"/>
        <v>-</v>
      </c>
      <c r="H1042" s="112" t="str">
        <f t="shared" si="758"/>
        <v>-</v>
      </c>
      <c r="I1042" s="112">
        <f t="shared" si="758"/>
        <v>0</v>
      </c>
      <c r="J1042" s="112">
        <f t="shared" si="758"/>
        <v>0.5</v>
      </c>
      <c r="K1042" s="112">
        <f t="shared" si="758"/>
        <v>0.5</v>
      </c>
      <c r="L1042" s="112">
        <f t="shared" si="758"/>
        <v>0.5</v>
      </c>
      <c r="M1042" s="112">
        <f t="shared" si="758"/>
        <v>0.5</v>
      </c>
      <c r="N1042" s="112">
        <f t="shared" si="758"/>
        <v>0.5</v>
      </c>
      <c r="O1042" s="112">
        <f t="shared" si="758"/>
        <v>0.5</v>
      </c>
      <c r="P1042" s="112">
        <f t="shared" si="758"/>
        <v>0.333333333333333</v>
      </c>
      <c r="Q1042" s="112">
        <f t="shared" si="758"/>
        <v>0.333333333333333</v>
      </c>
    </row>
    <row r="1043" ht="24" customHeight="1" spans="1:17">
      <c r="A1043" s="99" t="s">
        <v>347</v>
      </c>
      <c r="B1043" s="99" t="s">
        <v>299</v>
      </c>
      <c r="C1043" s="99" t="s">
        <v>316</v>
      </c>
      <c r="D1043" s="48" t="s">
        <v>323</v>
      </c>
      <c r="E1043" s="48" t="s">
        <v>86</v>
      </c>
      <c r="F1043" s="112" t="str">
        <f t="shared" ref="F1043:Q1043" si="759">IFERROR(F1040/F1037,"-")</f>
        <v>-</v>
      </c>
      <c r="G1043" s="112" t="str">
        <f t="shared" si="759"/>
        <v>-</v>
      </c>
      <c r="H1043" s="112" t="str">
        <f t="shared" si="759"/>
        <v>-</v>
      </c>
      <c r="I1043" s="112">
        <f t="shared" si="759"/>
        <v>0</v>
      </c>
      <c r="J1043" s="112">
        <f t="shared" si="759"/>
        <v>0</v>
      </c>
      <c r="K1043" s="112">
        <f t="shared" si="759"/>
        <v>0</v>
      </c>
      <c r="L1043" s="112">
        <f t="shared" si="759"/>
        <v>0</v>
      </c>
      <c r="M1043" s="112">
        <f t="shared" si="759"/>
        <v>0</v>
      </c>
      <c r="N1043" s="112">
        <f t="shared" si="759"/>
        <v>0</v>
      </c>
      <c r="O1043" s="112">
        <f t="shared" si="759"/>
        <v>0</v>
      </c>
      <c r="P1043" s="112">
        <f t="shared" si="759"/>
        <v>0</v>
      </c>
      <c r="Q1043" s="112">
        <f t="shared" si="759"/>
        <v>0</v>
      </c>
    </row>
    <row r="1044" ht="24" customHeight="1" spans="1:17">
      <c r="A1044" s="99" t="s">
        <v>347</v>
      </c>
      <c r="B1044" s="99" t="s">
        <v>299</v>
      </c>
      <c r="C1044" s="99" t="s">
        <v>316</v>
      </c>
      <c r="D1044" s="100" t="s">
        <v>292</v>
      </c>
      <c r="E1044" s="100" t="s">
        <v>324</v>
      </c>
      <c r="F1044" s="104">
        <f t="shared" ref="F1044:Q1044" si="760">SUM(F1045:F1047)</f>
        <v>0</v>
      </c>
      <c r="G1044" s="104">
        <f t="shared" si="760"/>
        <v>0</v>
      </c>
      <c r="H1044" s="104">
        <f t="shared" si="760"/>
        <v>0</v>
      </c>
      <c r="I1044" s="104">
        <f t="shared" si="760"/>
        <v>1</v>
      </c>
      <c r="J1044" s="104">
        <f t="shared" si="760"/>
        <v>2</v>
      </c>
      <c r="K1044" s="104">
        <f t="shared" si="760"/>
        <v>2</v>
      </c>
      <c r="L1044" s="104">
        <f t="shared" si="760"/>
        <v>3</v>
      </c>
      <c r="M1044" s="104">
        <f t="shared" si="760"/>
        <v>3</v>
      </c>
      <c r="N1044" s="104">
        <f t="shared" si="760"/>
        <v>3</v>
      </c>
      <c r="O1044" s="104">
        <f t="shared" si="760"/>
        <v>3</v>
      </c>
      <c r="P1044" s="104">
        <f t="shared" si="760"/>
        <v>4</v>
      </c>
      <c r="Q1044" s="104">
        <f t="shared" si="760"/>
        <v>4</v>
      </c>
    </row>
    <row r="1045" ht="24" customHeight="1" spans="1:17">
      <c r="A1045" s="99" t="s">
        <v>347</v>
      </c>
      <c r="B1045" s="99" t="s">
        <v>299</v>
      </c>
      <c r="C1045" s="99" t="s">
        <v>316</v>
      </c>
      <c r="D1045" s="48" t="s">
        <v>298</v>
      </c>
      <c r="E1045" s="48" t="s">
        <v>97</v>
      </c>
      <c r="F1045" s="105">
        <f t="shared" ref="F1045:F1047" si="761">F964</f>
        <v>0</v>
      </c>
      <c r="G1045" s="105">
        <f t="shared" ref="G1045:Q1045" si="762">G964+F1045</f>
        <v>0</v>
      </c>
      <c r="H1045" s="105">
        <f t="shared" si="762"/>
        <v>0</v>
      </c>
      <c r="I1045" s="105">
        <f t="shared" si="762"/>
        <v>1</v>
      </c>
      <c r="J1045" s="105">
        <f t="shared" si="762"/>
        <v>2</v>
      </c>
      <c r="K1045" s="105">
        <f t="shared" si="762"/>
        <v>2</v>
      </c>
      <c r="L1045" s="105">
        <f t="shared" si="762"/>
        <v>2</v>
      </c>
      <c r="M1045" s="105">
        <f t="shared" si="762"/>
        <v>2</v>
      </c>
      <c r="N1045" s="105">
        <f t="shared" si="762"/>
        <v>2</v>
      </c>
      <c r="O1045" s="105">
        <f t="shared" si="762"/>
        <v>2</v>
      </c>
      <c r="P1045" s="105">
        <f t="shared" si="762"/>
        <v>2</v>
      </c>
      <c r="Q1045" s="105">
        <f t="shared" si="762"/>
        <v>2</v>
      </c>
    </row>
    <row r="1046" ht="24" customHeight="1" spans="1:17">
      <c r="A1046" s="99" t="s">
        <v>347</v>
      </c>
      <c r="B1046" s="99" t="s">
        <v>299</v>
      </c>
      <c r="C1046" s="99" t="s">
        <v>316</v>
      </c>
      <c r="D1046" s="48" t="s">
        <v>298</v>
      </c>
      <c r="E1046" s="48" t="s">
        <v>87</v>
      </c>
      <c r="F1046" s="105">
        <f t="shared" si="761"/>
        <v>0</v>
      </c>
      <c r="G1046" s="105">
        <f t="shared" ref="G1046:Q1046" si="763">G965+F1046</f>
        <v>0</v>
      </c>
      <c r="H1046" s="105">
        <f t="shared" si="763"/>
        <v>0</v>
      </c>
      <c r="I1046" s="105">
        <f t="shared" si="763"/>
        <v>0</v>
      </c>
      <c r="J1046" s="105">
        <f t="shared" si="763"/>
        <v>0</v>
      </c>
      <c r="K1046" s="105">
        <f t="shared" si="763"/>
        <v>0</v>
      </c>
      <c r="L1046" s="105">
        <f t="shared" si="763"/>
        <v>1</v>
      </c>
      <c r="M1046" s="105">
        <f t="shared" si="763"/>
        <v>1</v>
      </c>
      <c r="N1046" s="105">
        <f t="shared" si="763"/>
        <v>1</v>
      </c>
      <c r="O1046" s="105">
        <f t="shared" si="763"/>
        <v>1</v>
      </c>
      <c r="P1046" s="105">
        <f t="shared" si="763"/>
        <v>2</v>
      </c>
      <c r="Q1046" s="105">
        <f t="shared" si="763"/>
        <v>2</v>
      </c>
    </row>
    <row r="1047" ht="24" customHeight="1" spans="1:17">
      <c r="A1047" s="99" t="s">
        <v>347</v>
      </c>
      <c r="B1047" s="99" t="s">
        <v>299</v>
      </c>
      <c r="C1047" s="99" t="s">
        <v>316</v>
      </c>
      <c r="D1047" s="48" t="s">
        <v>298</v>
      </c>
      <c r="E1047" s="48" t="s">
        <v>83</v>
      </c>
      <c r="F1047" s="105">
        <f t="shared" si="761"/>
        <v>0</v>
      </c>
      <c r="G1047" s="105">
        <f t="shared" ref="G1047:Q1047" si="764">G966+F1047</f>
        <v>0</v>
      </c>
      <c r="H1047" s="105">
        <f t="shared" si="764"/>
        <v>0</v>
      </c>
      <c r="I1047" s="105">
        <f t="shared" si="764"/>
        <v>0</v>
      </c>
      <c r="J1047" s="105">
        <f t="shared" si="764"/>
        <v>0</v>
      </c>
      <c r="K1047" s="105">
        <f t="shared" si="764"/>
        <v>0</v>
      </c>
      <c r="L1047" s="105">
        <f t="shared" si="764"/>
        <v>0</v>
      </c>
      <c r="M1047" s="105">
        <f t="shared" si="764"/>
        <v>0</v>
      </c>
      <c r="N1047" s="105">
        <f t="shared" si="764"/>
        <v>0</v>
      </c>
      <c r="O1047" s="105">
        <f t="shared" si="764"/>
        <v>0</v>
      </c>
      <c r="P1047" s="105">
        <f t="shared" si="764"/>
        <v>0</v>
      </c>
      <c r="Q1047" s="105">
        <f t="shared" si="764"/>
        <v>0</v>
      </c>
    </row>
    <row r="1048" ht="24" customHeight="1" spans="1:17">
      <c r="A1048" s="99" t="s">
        <v>347</v>
      </c>
      <c r="B1048" s="99" t="s">
        <v>299</v>
      </c>
      <c r="C1048" s="99" t="s">
        <v>316</v>
      </c>
      <c r="D1048" s="48" t="s">
        <v>325</v>
      </c>
      <c r="E1048" s="48" t="s">
        <v>97</v>
      </c>
      <c r="F1048" s="112" t="str">
        <f t="shared" ref="F1048:Q1048" si="765">IFERROR(F1045/F1044,"-")</f>
        <v>-</v>
      </c>
      <c r="G1048" s="112" t="str">
        <f t="shared" si="765"/>
        <v>-</v>
      </c>
      <c r="H1048" s="112" t="str">
        <f t="shared" si="765"/>
        <v>-</v>
      </c>
      <c r="I1048" s="112">
        <f t="shared" si="765"/>
        <v>1</v>
      </c>
      <c r="J1048" s="112">
        <f t="shared" si="765"/>
        <v>1</v>
      </c>
      <c r="K1048" s="112">
        <f t="shared" si="765"/>
        <v>1</v>
      </c>
      <c r="L1048" s="112">
        <f t="shared" si="765"/>
        <v>0.666666666666667</v>
      </c>
      <c r="M1048" s="112">
        <f t="shared" si="765"/>
        <v>0.666666666666667</v>
      </c>
      <c r="N1048" s="112">
        <f t="shared" si="765"/>
        <v>0.666666666666667</v>
      </c>
      <c r="O1048" s="112">
        <f t="shared" si="765"/>
        <v>0.666666666666667</v>
      </c>
      <c r="P1048" s="112">
        <f t="shared" si="765"/>
        <v>0.5</v>
      </c>
      <c r="Q1048" s="112">
        <f t="shared" si="765"/>
        <v>0.5</v>
      </c>
    </row>
    <row r="1049" ht="24" customHeight="1" spans="1:17">
      <c r="A1049" s="99" t="s">
        <v>347</v>
      </c>
      <c r="B1049" s="99" t="s">
        <v>299</v>
      </c>
      <c r="C1049" s="99" t="s">
        <v>316</v>
      </c>
      <c r="D1049" s="48" t="s">
        <v>325</v>
      </c>
      <c r="E1049" s="48" t="s">
        <v>87</v>
      </c>
      <c r="F1049" s="112" t="str">
        <f t="shared" ref="F1049:Q1049" si="766">IFERROR(F1046/F1044,"-")</f>
        <v>-</v>
      </c>
      <c r="G1049" s="112" t="str">
        <f t="shared" si="766"/>
        <v>-</v>
      </c>
      <c r="H1049" s="112" t="str">
        <f t="shared" si="766"/>
        <v>-</v>
      </c>
      <c r="I1049" s="112">
        <f t="shared" si="766"/>
        <v>0</v>
      </c>
      <c r="J1049" s="112">
        <f t="shared" si="766"/>
        <v>0</v>
      </c>
      <c r="K1049" s="112">
        <f t="shared" si="766"/>
        <v>0</v>
      </c>
      <c r="L1049" s="112">
        <f t="shared" si="766"/>
        <v>0.333333333333333</v>
      </c>
      <c r="M1049" s="112">
        <f t="shared" si="766"/>
        <v>0.333333333333333</v>
      </c>
      <c r="N1049" s="112">
        <f t="shared" si="766"/>
        <v>0.333333333333333</v>
      </c>
      <c r="O1049" s="112">
        <f t="shared" si="766"/>
        <v>0.333333333333333</v>
      </c>
      <c r="P1049" s="112">
        <f t="shared" si="766"/>
        <v>0.5</v>
      </c>
      <c r="Q1049" s="112">
        <f t="shared" si="766"/>
        <v>0.5</v>
      </c>
    </row>
    <row r="1050" ht="24" customHeight="1" spans="1:17">
      <c r="A1050" s="99" t="s">
        <v>347</v>
      </c>
      <c r="B1050" s="99" t="s">
        <v>299</v>
      </c>
      <c r="C1050" s="99" t="s">
        <v>316</v>
      </c>
      <c r="D1050" s="48" t="s">
        <v>325</v>
      </c>
      <c r="E1050" s="48" t="s">
        <v>83</v>
      </c>
      <c r="F1050" s="112" t="str">
        <f t="shared" ref="F1050:Q1050" si="767">IFERROR(F1047/F1044,"-")</f>
        <v>-</v>
      </c>
      <c r="G1050" s="112" t="str">
        <f t="shared" si="767"/>
        <v>-</v>
      </c>
      <c r="H1050" s="112" t="str">
        <f t="shared" si="767"/>
        <v>-</v>
      </c>
      <c r="I1050" s="112">
        <f t="shared" si="767"/>
        <v>0</v>
      </c>
      <c r="J1050" s="112">
        <f t="shared" si="767"/>
        <v>0</v>
      </c>
      <c r="K1050" s="112">
        <f t="shared" si="767"/>
        <v>0</v>
      </c>
      <c r="L1050" s="112">
        <f t="shared" si="767"/>
        <v>0</v>
      </c>
      <c r="M1050" s="112">
        <f t="shared" si="767"/>
        <v>0</v>
      </c>
      <c r="N1050" s="112">
        <f t="shared" si="767"/>
        <v>0</v>
      </c>
      <c r="O1050" s="112">
        <f t="shared" si="767"/>
        <v>0</v>
      </c>
      <c r="P1050" s="112">
        <f t="shared" si="767"/>
        <v>0</v>
      </c>
      <c r="Q1050" s="112">
        <f t="shared" si="767"/>
        <v>0</v>
      </c>
    </row>
    <row r="1051" ht="24" customHeight="1" spans="1:17">
      <c r="A1051" s="99" t="s">
        <v>347</v>
      </c>
      <c r="B1051" s="99" t="s">
        <v>299</v>
      </c>
      <c r="C1051" s="99" t="s">
        <v>316</v>
      </c>
      <c r="D1051" s="100" t="s">
        <v>292</v>
      </c>
      <c r="E1051" s="53" t="s">
        <v>326</v>
      </c>
      <c r="F1051" s="111">
        <f>IF((F941-F1054-F1055-F1056-F1057-F1058)&lt;&gt;0,"ERR",F941)</f>
        <v>0</v>
      </c>
      <c r="G1051" s="111">
        <f t="shared" ref="G1051:Q1051" si="768">IF((G941+F1051-G1054-G1055-G1056-G1057-G1058)&lt;&gt;0,"ERR",G941+F1051)</f>
        <v>0</v>
      </c>
      <c r="H1051" s="111">
        <f t="shared" si="768"/>
        <v>0</v>
      </c>
      <c r="I1051" s="111">
        <f t="shared" si="768"/>
        <v>1</v>
      </c>
      <c r="J1051" s="111">
        <f t="shared" si="768"/>
        <v>1</v>
      </c>
      <c r="K1051" s="111">
        <f t="shared" si="768"/>
        <v>1</v>
      </c>
      <c r="L1051" s="111">
        <f t="shared" si="768"/>
        <v>2</v>
      </c>
      <c r="M1051" s="111">
        <f t="shared" si="768"/>
        <v>2</v>
      </c>
      <c r="N1051" s="111">
        <f t="shared" si="768"/>
        <v>2</v>
      </c>
      <c r="O1051" s="111">
        <f t="shared" si="768"/>
        <v>2</v>
      </c>
      <c r="P1051" s="111">
        <f t="shared" si="768"/>
        <v>2</v>
      </c>
      <c r="Q1051" s="111">
        <f t="shared" si="768"/>
        <v>2</v>
      </c>
    </row>
    <row r="1052" ht="24" customHeight="1" spans="1:17">
      <c r="A1052" s="99" t="s">
        <v>347</v>
      </c>
      <c r="B1052" s="99" t="s">
        <v>299</v>
      </c>
      <c r="C1052" s="99" t="s">
        <v>316</v>
      </c>
      <c r="D1052" s="100" t="s">
        <v>292</v>
      </c>
      <c r="E1052" s="53" t="s">
        <v>327</v>
      </c>
      <c r="F1052" s="111">
        <f>IF((F942-F1059-F1060-F1061-F1062-F1063)&lt;&gt;0,"ERR",F942)</f>
        <v>0</v>
      </c>
      <c r="G1052" s="111">
        <f t="shared" ref="G1052:Q1052" si="769">IF((G942+F1052-G1059-G1060-G1061-G1062-G1063)&lt;&gt;0,"ERR",G942+F1052)</f>
        <v>0</v>
      </c>
      <c r="H1052" s="111">
        <f t="shared" si="769"/>
        <v>0</v>
      </c>
      <c r="I1052" s="111">
        <f t="shared" si="769"/>
        <v>0</v>
      </c>
      <c r="J1052" s="111">
        <f t="shared" si="769"/>
        <v>1</v>
      </c>
      <c r="K1052" s="111">
        <f t="shared" si="769"/>
        <v>1</v>
      </c>
      <c r="L1052" s="111">
        <f t="shared" si="769"/>
        <v>1</v>
      </c>
      <c r="M1052" s="111">
        <f t="shared" si="769"/>
        <v>1</v>
      </c>
      <c r="N1052" s="111">
        <f t="shared" si="769"/>
        <v>1</v>
      </c>
      <c r="O1052" s="111">
        <f t="shared" si="769"/>
        <v>1</v>
      </c>
      <c r="P1052" s="111">
        <f t="shared" si="769"/>
        <v>1</v>
      </c>
      <c r="Q1052" s="111">
        <f t="shared" si="769"/>
        <v>1</v>
      </c>
    </row>
    <row r="1053" ht="24" customHeight="1" spans="1:17">
      <c r="A1053" s="99" t="s">
        <v>347</v>
      </c>
      <c r="B1053" s="99" t="s">
        <v>299</v>
      </c>
      <c r="C1053" s="99" t="s">
        <v>316</v>
      </c>
      <c r="D1053" s="100" t="s">
        <v>292</v>
      </c>
      <c r="E1053" s="53" t="s">
        <v>328</v>
      </c>
      <c r="F1053" s="111">
        <f>IF((F943-F1064-F1065-F1066-F1067-F1068)&lt;&gt;0,"ERR",F943)</f>
        <v>0</v>
      </c>
      <c r="G1053" s="111">
        <f t="shared" ref="G1053:Q1053" si="770">IF((G943+F1053-G1064-G1065-G1066-G1067-G1068)&lt;&gt;0,"ERR",G943+F1053)</f>
        <v>0</v>
      </c>
      <c r="H1053" s="111">
        <f t="shared" si="770"/>
        <v>0</v>
      </c>
      <c r="I1053" s="111">
        <f t="shared" si="770"/>
        <v>0</v>
      </c>
      <c r="J1053" s="111">
        <f t="shared" si="770"/>
        <v>0</v>
      </c>
      <c r="K1053" s="111">
        <f t="shared" si="770"/>
        <v>0</v>
      </c>
      <c r="L1053" s="111">
        <f t="shared" si="770"/>
        <v>0</v>
      </c>
      <c r="M1053" s="111">
        <f t="shared" si="770"/>
        <v>0</v>
      </c>
      <c r="N1053" s="111">
        <f t="shared" si="770"/>
        <v>0</v>
      </c>
      <c r="O1053" s="111">
        <f t="shared" si="770"/>
        <v>0</v>
      </c>
      <c r="P1053" s="111">
        <f t="shared" si="770"/>
        <v>1</v>
      </c>
      <c r="Q1053" s="111">
        <f t="shared" si="770"/>
        <v>1</v>
      </c>
    </row>
    <row r="1054" ht="24" customHeight="1" spans="1:17">
      <c r="A1054" s="99" t="s">
        <v>347</v>
      </c>
      <c r="B1054" s="99" t="s">
        <v>299</v>
      </c>
      <c r="C1054" s="99" t="s">
        <v>316</v>
      </c>
      <c r="D1054" s="53" t="s">
        <v>326</v>
      </c>
      <c r="E1054" s="53" t="s">
        <v>93</v>
      </c>
      <c r="F1054" s="111">
        <f t="shared" ref="F1054:F1068" si="771">F944</f>
        <v>0</v>
      </c>
      <c r="G1054" s="111">
        <f t="shared" ref="G1054:Q1054" si="772">G944+F1054</f>
        <v>0</v>
      </c>
      <c r="H1054" s="111">
        <f t="shared" si="772"/>
        <v>0</v>
      </c>
      <c r="I1054" s="111">
        <f t="shared" si="772"/>
        <v>0</v>
      </c>
      <c r="J1054" s="111">
        <f t="shared" si="772"/>
        <v>0</v>
      </c>
      <c r="K1054" s="111">
        <f t="shared" si="772"/>
        <v>0</v>
      </c>
      <c r="L1054" s="111">
        <f t="shared" si="772"/>
        <v>0</v>
      </c>
      <c r="M1054" s="111">
        <f t="shared" si="772"/>
        <v>0</v>
      </c>
      <c r="N1054" s="111">
        <f t="shared" si="772"/>
        <v>0</v>
      </c>
      <c r="O1054" s="111">
        <f t="shared" si="772"/>
        <v>0</v>
      </c>
      <c r="P1054" s="111">
        <f t="shared" si="772"/>
        <v>0</v>
      </c>
      <c r="Q1054" s="111">
        <f t="shared" si="772"/>
        <v>0</v>
      </c>
    </row>
    <row r="1055" ht="24" customHeight="1" spans="1:17">
      <c r="A1055" s="99" t="s">
        <v>347</v>
      </c>
      <c r="B1055" s="99" t="s">
        <v>299</v>
      </c>
      <c r="C1055" s="99" t="s">
        <v>316</v>
      </c>
      <c r="D1055" s="53" t="s">
        <v>326</v>
      </c>
      <c r="E1055" s="53" t="s">
        <v>85</v>
      </c>
      <c r="F1055" s="111">
        <f t="shared" si="771"/>
        <v>0</v>
      </c>
      <c r="G1055" s="111">
        <f t="shared" ref="G1055:Q1055" si="773">G945+F1055</f>
        <v>0</v>
      </c>
      <c r="H1055" s="111">
        <f t="shared" si="773"/>
        <v>0</v>
      </c>
      <c r="I1055" s="111">
        <f t="shared" si="773"/>
        <v>0</v>
      </c>
      <c r="J1055" s="111">
        <f t="shared" si="773"/>
        <v>0</v>
      </c>
      <c r="K1055" s="111">
        <f t="shared" si="773"/>
        <v>0</v>
      </c>
      <c r="L1055" s="111">
        <f t="shared" si="773"/>
        <v>0</v>
      </c>
      <c r="M1055" s="111">
        <f t="shared" si="773"/>
        <v>0</v>
      </c>
      <c r="N1055" s="111">
        <f t="shared" si="773"/>
        <v>0</v>
      </c>
      <c r="O1055" s="111">
        <f t="shared" si="773"/>
        <v>0</v>
      </c>
      <c r="P1055" s="111">
        <f t="shared" si="773"/>
        <v>0</v>
      </c>
      <c r="Q1055" s="111">
        <f t="shared" si="773"/>
        <v>0</v>
      </c>
    </row>
    <row r="1056" ht="24" customHeight="1" spans="1:17">
      <c r="A1056" s="99" t="s">
        <v>347</v>
      </c>
      <c r="B1056" s="99" t="s">
        <v>299</v>
      </c>
      <c r="C1056" s="99" t="s">
        <v>316</v>
      </c>
      <c r="D1056" s="53" t="s">
        <v>326</v>
      </c>
      <c r="E1056" s="53" t="s">
        <v>81</v>
      </c>
      <c r="F1056" s="111">
        <f t="shared" si="771"/>
        <v>0</v>
      </c>
      <c r="G1056" s="111">
        <f t="shared" ref="G1056:Q1056" si="774">G946+F1056</f>
        <v>0</v>
      </c>
      <c r="H1056" s="111">
        <f t="shared" si="774"/>
        <v>0</v>
      </c>
      <c r="I1056" s="111">
        <f t="shared" si="774"/>
        <v>1</v>
      </c>
      <c r="J1056" s="111">
        <f t="shared" si="774"/>
        <v>1</v>
      </c>
      <c r="K1056" s="111">
        <f t="shared" si="774"/>
        <v>1</v>
      </c>
      <c r="L1056" s="111">
        <f t="shared" si="774"/>
        <v>1</v>
      </c>
      <c r="M1056" s="111">
        <f t="shared" si="774"/>
        <v>1</v>
      </c>
      <c r="N1056" s="111">
        <f t="shared" si="774"/>
        <v>1</v>
      </c>
      <c r="O1056" s="111">
        <f t="shared" si="774"/>
        <v>1</v>
      </c>
      <c r="P1056" s="111">
        <f t="shared" si="774"/>
        <v>1</v>
      </c>
      <c r="Q1056" s="111">
        <f t="shared" si="774"/>
        <v>1</v>
      </c>
    </row>
    <row r="1057" ht="24" customHeight="1" spans="1:17">
      <c r="A1057" s="99" t="s">
        <v>347</v>
      </c>
      <c r="B1057" s="99" t="s">
        <v>299</v>
      </c>
      <c r="C1057" s="99" t="s">
        <v>316</v>
      </c>
      <c r="D1057" s="53" t="s">
        <v>326</v>
      </c>
      <c r="E1057" s="53" t="s">
        <v>96</v>
      </c>
      <c r="F1057" s="111">
        <f t="shared" si="771"/>
        <v>0</v>
      </c>
      <c r="G1057" s="111">
        <f t="shared" ref="G1057:Q1057" si="775">G947+F1057</f>
        <v>0</v>
      </c>
      <c r="H1057" s="111">
        <f t="shared" si="775"/>
        <v>0</v>
      </c>
      <c r="I1057" s="111">
        <f t="shared" si="775"/>
        <v>0</v>
      </c>
      <c r="J1057" s="111">
        <f t="shared" si="775"/>
        <v>0</v>
      </c>
      <c r="K1057" s="111">
        <f t="shared" si="775"/>
        <v>0</v>
      </c>
      <c r="L1057" s="111">
        <f t="shared" si="775"/>
        <v>1</v>
      </c>
      <c r="M1057" s="111">
        <f t="shared" si="775"/>
        <v>1</v>
      </c>
      <c r="N1057" s="111">
        <f t="shared" si="775"/>
        <v>1</v>
      </c>
      <c r="O1057" s="111">
        <f t="shared" si="775"/>
        <v>1</v>
      </c>
      <c r="P1057" s="111">
        <f t="shared" si="775"/>
        <v>1</v>
      </c>
      <c r="Q1057" s="111">
        <f t="shared" si="775"/>
        <v>1</v>
      </c>
    </row>
    <row r="1058" ht="24" customHeight="1" spans="1:17">
      <c r="A1058" s="99" t="s">
        <v>347</v>
      </c>
      <c r="B1058" s="99" t="s">
        <v>299</v>
      </c>
      <c r="C1058" s="99" t="s">
        <v>316</v>
      </c>
      <c r="D1058" s="53" t="s">
        <v>326</v>
      </c>
      <c r="E1058" s="53" t="s">
        <v>160</v>
      </c>
      <c r="F1058" s="111">
        <f t="shared" si="771"/>
        <v>0</v>
      </c>
      <c r="G1058" s="111">
        <f t="shared" ref="G1058:Q1058" si="776">G948+F1058</f>
        <v>0</v>
      </c>
      <c r="H1058" s="111">
        <f t="shared" si="776"/>
        <v>0</v>
      </c>
      <c r="I1058" s="111">
        <f t="shared" si="776"/>
        <v>0</v>
      </c>
      <c r="J1058" s="111">
        <f t="shared" si="776"/>
        <v>0</v>
      </c>
      <c r="K1058" s="111">
        <f t="shared" si="776"/>
        <v>0</v>
      </c>
      <c r="L1058" s="111">
        <f t="shared" si="776"/>
        <v>0</v>
      </c>
      <c r="M1058" s="111">
        <f t="shared" si="776"/>
        <v>0</v>
      </c>
      <c r="N1058" s="111">
        <f t="shared" si="776"/>
        <v>0</v>
      </c>
      <c r="O1058" s="111">
        <f t="shared" si="776"/>
        <v>0</v>
      </c>
      <c r="P1058" s="111">
        <f t="shared" si="776"/>
        <v>0</v>
      </c>
      <c r="Q1058" s="111">
        <f t="shared" si="776"/>
        <v>0</v>
      </c>
    </row>
    <row r="1059" ht="24" customHeight="1" spans="1:17">
      <c r="A1059" s="99" t="s">
        <v>347</v>
      </c>
      <c r="B1059" s="99" t="s">
        <v>299</v>
      </c>
      <c r="C1059" s="99" t="s">
        <v>316</v>
      </c>
      <c r="D1059" s="53" t="s">
        <v>327</v>
      </c>
      <c r="E1059" s="53" t="s">
        <v>93</v>
      </c>
      <c r="F1059" s="111">
        <f t="shared" si="771"/>
        <v>0</v>
      </c>
      <c r="G1059" s="111">
        <f t="shared" ref="G1059:Q1059" si="777">G949+F1059</f>
        <v>0</v>
      </c>
      <c r="H1059" s="111">
        <f t="shared" si="777"/>
        <v>0</v>
      </c>
      <c r="I1059" s="111">
        <f t="shared" si="777"/>
        <v>0</v>
      </c>
      <c r="J1059" s="111">
        <f t="shared" si="777"/>
        <v>1</v>
      </c>
      <c r="K1059" s="111">
        <f t="shared" si="777"/>
        <v>1</v>
      </c>
      <c r="L1059" s="111">
        <f t="shared" si="777"/>
        <v>1</v>
      </c>
      <c r="M1059" s="111">
        <f t="shared" si="777"/>
        <v>1</v>
      </c>
      <c r="N1059" s="111">
        <f t="shared" si="777"/>
        <v>1</v>
      </c>
      <c r="O1059" s="111">
        <f t="shared" si="777"/>
        <v>1</v>
      </c>
      <c r="P1059" s="111">
        <f t="shared" si="777"/>
        <v>1</v>
      </c>
      <c r="Q1059" s="111">
        <f t="shared" si="777"/>
        <v>1</v>
      </c>
    </row>
    <row r="1060" ht="24" customHeight="1" spans="1:17">
      <c r="A1060" s="99" t="s">
        <v>347</v>
      </c>
      <c r="B1060" s="99" t="s">
        <v>299</v>
      </c>
      <c r="C1060" s="99" t="s">
        <v>316</v>
      </c>
      <c r="D1060" s="53" t="s">
        <v>327</v>
      </c>
      <c r="E1060" s="53" t="s">
        <v>85</v>
      </c>
      <c r="F1060" s="111">
        <f t="shared" si="771"/>
        <v>0</v>
      </c>
      <c r="G1060" s="111">
        <f t="shared" ref="G1060:Q1060" si="778">G950+F1060</f>
        <v>0</v>
      </c>
      <c r="H1060" s="111">
        <f t="shared" si="778"/>
        <v>0</v>
      </c>
      <c r="I1060" s="111">
        <f t="shared" si="778"/>
        <v>0</v>
      </c>
      <c r="J1060" s="111">
        <f t="shared" si="778"/>
        <v>0</v>
      </c>
      <c r="K1060" s="111">
        <f t="shared" si="778"/>
        <v>0</v>
      </c>
      <c r="L1060" s="111">
        <f t="shared" si="778"/>
        <v>0</v>
      </c>
      <c r="M1060" s="111">
        <f t="shared" si="778"/>
        <v>0</v>
      </c>
      <c r="N1060" s="111">
        <f t="shared" si="778"/>
        <v>0</v>
      </c>
      <c r="O1060" s="111">
        <f t="shared" si="778"/>
        <v>0</v>
      </c>
      <c r="P1060" s="111">
        <f t="shared" si="778"/>
        <v>0</v>
      </c>
      <c r="Q1060" s="111">
        <f t="shared" si="778"/>
        <v>0</v>
      </c>
    </row>
    <row r="1061" ht="24" customHeight="1" spans="1:17">
      <c r="A1061" s="99" t="s">
        <v>347</v>
      </c>
      <c r="B1061" s="99" t="s">
        <v>299</v>
      </c>
      <c r="C1061" s="99" t="s">
        <v>316</v>
      </c>
      <c r="D1061" s="53" t="s">
        <v>327</v>
      </c>
      <c r="E1061" s="53" t="s">
        <v>81</v>
      </c>
      <c r="F1061" s="111">
        <f t="shared" si="771"/>
        <v>0</v>
      </c>
      <c r="G1061" s="111">
        <f t="shared" ref="G1061:Q1061" si="779">G951+F1061</f>
        <v>0</v>
      </c>
      <c r="H1061" s="111">
        <f t="shared" si="779"/>
        <v>0</v>
      </c>
      <c r="I1061" s="111">
        <f t="shared" si="779"/>
        <v>0</v>
      </c>
      <c r="J1061" s="111">
        <f t="shared" si="779"/>
        <v>0</v>
      </c>
      <c r="K1061" s="111">
        <f t="shared" si="779"/>
        <v>0</v>
      </c>
      <c r="L1061" s="111">
        <f t="shared" si="779"/>
        <v>0</v>
      </c>
      <c r="M1061" s="111">
        <f t="shared" si="779"/>
        <v>0</v>
      </c>
      <c r="N1061" s="111">
        <f t="shared" si="779"/>
        <v>0</v>
      </c>
      <c r="O1061" s="111">
        <f t="shared" si="779"/>
        <v>0</v>
      </c>
      <c r="P1061" s="111">
        <f t="shared" si="779"/>
        <v>0</v>
      </c>
      <c r="Q1061" s="111">
        <f t="shared" si="779"/>
        <v>0</v>
      </c>
    </row>
    <row r="1062" ht="24" customHeight="1" spans="1:17">
      <c r="A1062" s="99" t="s">
        <v>347</v>
      </c>
      <c r="B1062" s="99" t="s">
        <v>299</v>
      </c>
      <c r="C1062" s="99" t="s">
        <v>316</v>
      </c>
      <c r="D1062" s="53" t="s">
        <v>327</v>
      </c>
      <c r="E1062" s="53" t="s">
        <v>96</v>
      </c>
      <c r="F1062" s="111">
        <f t="shared" si="771"/>
        <v>0</v>
      </c>
      <c r="G1062" s="111">
        <f t="shared" ref="G1062:Q1062" si="780">G952+F1062</f>
        <v>0</v>
      </c>
      <c r="H1062" s="111">
        <f t="shared" si="780"/>
        <v>0</v>
      </c>
      <c r="I1062" s="111">
        <f t="shared" si="780"/>
        <v>0</v>
      </c>
      <c r="J1062" s="111">
        <f t="shared" si="780"/>
        <v>0</v>
      </c>
      <c r="K1062" s="111">
        <f t="shared" si="780"/>
        <v>0</v>
      </c>
      <c r="L1062" s="111">
        <f t="shared" si="780"/>
        <v>0</v>
      </c>
      <c r="M1062" s="111">
        <f t="shared" si="780"/>
        <v>0</v>
      </c>
      <c r="N1062" s="111">
        <f t="shared" si="780"/>
        <v>0</v>
      </c>
      <c r="O1062" s="111">
        <f t="shared" si="780"/>
        <v>0</v>
      </c>
      <c r="P1062" s="111">
        <f t="shared" si="780"/>
        <v>0</v>
      </c>
      <c r="Q1062" s="111">
        <f t="shared" si="780"/>
        <v>0</v>
      </c>
    </row>
    <row r="1063" ht="24" customHeight="1" spans="1:17">
      <c r="A1063" s="99" t="s">
        <v>347</v>
      </c>
      <c r="B1063" s="99" t="s">
        <v>299</v>
      </c>
      <c r="C1063" s="99" t="s">
        <v>316</v>
      </c>
      <c r="D1063" s="53" t="s">
        <v>327</v>
      </c>
      <c r="E1063" s="53" t="s">
        <v>160</v>
      </c>
      <c r="F1063" s="111">
        <f t="shared" si="771"/>
        <v>0</v>
      </c>
      <c r="G1063" s="111">
        <f t="shared" ref="G1063:Q1063" si="781">G953+F1063</f>
        <v>0</v>
      </c>
      <c r="H1063" s="111">
        <f t="shared" si="781"/>
        <v>0</v>
      </c>
      <c r="I1063" s="111">
        <f t="shared" si="781"/>
        <v>0</v>
      </c>
      <c r="J1063" s="111">
        <f t="shared" si="781"/>
        <v>0</v>
      </c>
      <c r="K1063" s="111">
        <f t="shared" si="781"/>
        <v>0</v>
      </c>
      <c r="L1063" s="111">
        <f t="shared" si="781"/>
        <v>0</v>
      </c>
      <c r="M1063" s="111">
        <f t="shared" si="781"/>
        <v>0</v>
      </c>
      <c r="N1063" s="111">
        <f t="shared" si="781"/>
        <v>0</v>
      </c>
      <c r="O1063" s="111">
        <f t="shared" si="781"/>
        <v>0</v>
      </c>
      <c r="P1063" s="111">
        <f t="shared" si="781"/>
        <v>0</v>
      </c>
      <c r="Q1063" s="111">
        <f t="shared" si="781"/>
        <v>0</v>
      </c>
    </row>
    <row r="1064" ht="24" customHeight="1" spans="1:17">
      <c r="A1064" s="99" t="s">
        <v>347</v>
      </c>
      <c r="B1064" s="99" t="s">
        <v>299</v>
      </c>
      <c r="C1064" s="99" t="s">
        <v>316</v>
      </c>
      <c r="D1064" s="53" t="s">
        <v>328</v>
      </c>
      <c r="E1064" s="53" t="s">
        <v>93</v>
      </c>
      <c r="F1064" s="111">
        <f t="shared" si="771"/>
        <v>0</v>
      </c>
      <c r="G1064" s="111">
        <f t="shared" ref="G1064:Q1064" si="782">G954+F1064</f>
        <v>0</v>
      </c>
      <c r="H1064" s="111">
        <f t="shared" si="782"/>
        <v>0</v>
      </c>
      <c r="I1064" s="111">
        <f t="shared" si="782"/>
        <v>0</v>
      </c>
      <c r="J1064" s="111">
        <f t="shared" si="782"/>
        <v>0</v>
      </c>
      <c r="K1064" s="111">
        <f t="shared" si="782"/>
        <v>0</v>
      </c>
      <c r="L1064" s="111">
        <f t="shared" si="782"/>
        <v>0</v>
      </c>
      <c r="M1064" s="111">
        <f t="shared" si="782"/>
        <v>0</v>
      </c>
      <c r="N1064" s="111">
        <f t="shared" si="782"/>
        <v>0</v>
      </c>
      <c r="O1064" s="111">
        <f t="shared" si="782"/>
        <v>0</v>
      </c>
      <c r="P1064" s="111">
        <f t="shared" si="782"/>
        <v>1</v>
      </c>
      <c r="Q1064" s="111">
        <f t="shared" si="782"/>
        <v>1</v>
      </c>
    </row>
    <row r="1065" ht="24" customHeight="1" spans="1:17">
      <c r="A1065" s="99" t="s">
        <v>347</v>
      </c>
      <c r="B1065" s="99" t="s">
        <v>299</v>
      </c>
      <c r="C1065" s="99" t="s">
        <v>316</v>
      </c>
      <c r="D1065" s="53" t="s">
        <v>328</v>
      </c>
      <c r="E1065" s="53" t="s">
        <v>85</v>
      </c>
      <c r="F1065" s="111">
        <f t="shared" si="771"/>
        <v>0</v>
      </c>
      <c r="G1065" s="111">
        <f t="shared" ref="G1065:Q1065" si="783">G955+F1065</f>
        <v>0</v>
      </c>
      <c r="H1065" s="111">
        <f t="shared" si="783"/>
        <v>0</v>
      </c>
      <c r="I1065" s="111">
        <f t="shared" si="783"/>
        <v>0</v>
      </c>
      <c r="J1065" s="111">
        <f t="shared" si="783"/>
        <v>0</v>
      </c>
      <c r="K1065" s="111">
        <f t="shared" si="783"/>
        <v>0</v>
      </c>
      <c r="L1065" s="111">
        <f t="shared" si="783"/>
        <v>0</v>
      </c>
      <c r="M1065" s="111">
        <f t="shared" si="783"/>
        <v>0</v>
      </c>
      <c r="N1065" s="111">
        <f t="shared" si="783"/>
        <v>0</v>
      </c>
      <c r="O1065" s="111">
        <f t="shared" si="783"/>
        <v>0</v>
      </c>
      <c r="P1065" s="111">
        <f t="shared" si="783"/>
        <v>0</v>
      </c>
      <c r="Q1065" s="111">
        <f t="shared" si="783"/>
        <v>0</v>
      </c>
    </row>
    <row r="1066" ht="24" customHeight="1" spans="1:17">
      <c r="A1066" s="99" t="s">
        <v>347</v>
      </c>
      <c r="B1066" s="99" t="s">
        <v>299</v>
      </c>
      <c r="C1066" s="99" t="s">
        <v>316</v>
      </c>
      <c r="D1066" s="53" t="s">
        <v>328</v>
      </c>
      <c r="E1066" s="53" t="s">
        <v>81</v>
      </c>
      <c r="F1066" s="111">
        <f t="shared" si="771"/>
        <v>0</v>
      </c>
      <c r="G1066" s="111">
        <f t="shared" ref="G1066:Q1066" si="784">G956+F1066</f>
        <v>0</v>
      </c>
      <c r="H1066" s="111">
        <f t="shared" si="784"/>
        <v>0</v>
      </c>
      <c r="I1066" s="111">
        <f t="shared" si="784"/>
        <v>0</v>
      </c>
      <c r="J1066" s="111">
        <f t="shared" si="784"/>
        <v>0</v>
      </c>
      <c r="K1066" s="111">
        <f t="shared" si="784"/>
        <v>0</v>
      </c>
      <c r="L1066" s="111">
        <f t="shared" si="784"/>
        <v>0</v>
      </c>
      <c r="M1066" s="111">
        <f t="shared" si="784"/>
        <v>0</v>
      </c>
      <c r="N1066" s="111">
        <f t="shared" si="784"/>
        <v>0</v>
      </c>
      <c r="O1066" s="111">
        <f t="shared" si="784"/>
        <v>0</v>
      </c>
      <c r="P1066" s="111">
        <f t="shared" si="784"/>
        <v>0</v>
      </c>
      <c r="Q1066" s="111">
        <f t="shared" si="784"/>
        <v>0</v>
      </c>
    </row>
    <row r="1067" ht="24" customHeight="1" spans="1:17">
      <c r="A1067" s="99" t="s">
        <v>347</v>
      </c>
      <c r="B1067" s="99" t="s">
        <v>299</v>
      </c>
      <c r="C1067" s="99" t="s">
        <v>316</v>
      </c>
      <c r="D1067" s="53" t="s">
        <v>328</v>
      </c>
      <c r="E1067" s="53" t="s">
        <v>96</v>
      </c>
      <c r="F1067" s="111">
        <f t="shared" si="771"/>
        <v>0</v>
      </c>
      <c r="G1067" s="111">
        <f t="shared" ref="G1067:Q1067" si="785">G957+F1067</f>
        <v>0</v>
      </c>
      <c r="H1067" s="111">
        <f t="shared" si="785"/>
        <v>0</v>
      </c>
      <c r="I1067" s="111">
        <f t="shared" si="785"/>
        <v>0</v>
      </c>
      <c r="J1067" s="111">
        <f t="shared" si="785"/>
        <v>0</v>
      </c>
      <c r="K1067" s="111">
        <f t="shared" si="785"/>
        <v>0</v>
      </c>
      <c r="L1067" s="111">
        <f t="shared" si="785"/>
        <v>0</v>
      </c>
      <c r="M1067" s="111">
        <f t="shared" si="785"/>
        <v>0</v>
      </c>
      <c r="N1067" s="111">
        <f t="shared" si="785"/>
        <v>0</v>
      </c>
      <c r="O1067" s="111">
        <f t="shared" si="785"/>
        <v>0</v>
      </c>
      <c r="P1067" s="111">
        <f t="shared" si="785"/>
        <v>0</v>
      </c>
      <c r="Q1067" s="111">
        <f t="shared" si="785"/>
        <v>0</v>
      </c>
    </row>
    <row r="1068" ht="24" customHeight="1" spans="1:17">
      <c r="A1068" s="99" t="s">
        <v>347</v>
      </c>
      <c r="B1068" s="99" t="s">
        <v>299</v>
      </c>
      <c r="C1068" s="99" t="s">
        <v>316</v>
      </c>
      <c r="D1068" s="53" t="s">
        <v>328</v>
      </c>
      <c r="E1068" s="53" t="s">
        <v>160</v>
      </c>
      <c r="F1068" s="111">
        <f t="shared" si="771"/>
        <v>0</v>
      </c>
      <c r="G1068" s="111">
        <f t="shared" ref="G1068:Q1068" si="786">G958+F1068</f>
        <v>0</v>
      </c>
      <c r="H1068" s="111">
        <f t="shared" si="786"/>
        <v>0</v>
      </c>
      <c r="I1068" s="111">
        <f t="shared" si="786"/>
        <v>0</v>
      </c>
      <c r="J1068" s="111">
        <f t="shared" si="786"/>
        <v>0</v>
      </c>
      <c r="K1068" s="111">
        <f t="shared" si="786"/>
        <v>0</v>
      </c>
      <c r="L1068" s="111">
        <f t="shared" si="786"/>
        <v>0</v>
      </c>
      <c r="M1068" s="111">
        <f t="shared" si="786"/>
        <v>0</v>
      </c>
      <c r="N1068" s="111">
        <f t="shared" si="786"/>
        <v>0</v>
      </c>
      <c r="O1068" s="111">
        <f t="shared" si="786"/>
        <v>0</v>
      </c>
      <c r="P1068" s="111">
        <f t="shared" si="786"/>
        <v>0</v>
      </c>
      <c r="Q1068" s="111">
        <f t="shared" si="786"/>
        <v>0</v>
      </c>
    </row>
    <row r="1069" ht="24" customHeight="1" spans="1:17">
      <c r="A1069" s="99" t="s">
        <v>347</v>
      </c>
      <c r="B1069" s="99" t="s">
        <v>299</v>
      </c>
      <c r="C1069" s="99" t="s">
        <v>329</v>
      </c>
      <c r="D1069" s="113" t="s">
        <v>292</v>
      </c>
      <c r="E1069" s="113" t="s">
        <v>330</v>
      </c>
      <c r="F1069" s="115" t="str">
        <f t="shared" ref="F1069:Q1069" si="787">IF(F999=0,"",F1019/F999)</f>
        <v/>
      </c>
      <c r="G1069" s="115" t="str">
        <f t="shared" si="787"/>
        <v/>
      </c>
      <c r="H1069" s="115">
        <f t="shared" si="787"/>
        <v>0</v>
      </c>
      <c r="I1069" s="115">
        <f t="shared" si="787"/>
        <v>0.5</v>
      </c>
      <c r="J1069" s="115">
        <f t="shared" si="787"/>
        <v>1</v>
      </c>
      <c r="K1069" s="115">
        <f t="shared" si="787"/>
        <v>1</v>
      </c>
      <c r="L1069" s="115">
        <f t="shared" si="787"/>
        <v>1</v>
      </c>
      <c r="M1069" s="115">
        <f t="shared" si="787"/>
        <v>1</v>
      </c>
      <c r="N1069" s="115">
        <f t="shared" si="787"/>
        <v>1</v>
      </c>
      <c r="O1069" s="115">
        <f t="shared" si="787"/>
        <v>1</v>
      </c>
      <c r="P1069" s="115">
        <f t="shared" si="787"/>
        <v>1</v>
      </c>
      <c r="Q1069" s="115">
        <f t="shared" si="787"/>
        <v>1</v>
      </c>
    </row>
    <row r="1070" ht="24" customHeight="1" spans="1:17">
      <c r="A1070" s="99" t="s">
        <v>347</v>
      </c>
      <c r="B1070" s="99" t="s">
        <v>299</v>
      </c>
      <c r="C1070" s="99" t="s">
        <v>329</v>
      </c>
      <c r="D1070" s="48" t="s">
        <v>296</v>
      </c>
      <c r="E1070" s="116" t="s">
        <v>406</v>
      </c>
      <c r="F1070" s="117" t="str">
        <f t="shared" ref="F1070:Q1070" si="788">IF(F1000=0,"",F1020/F1000)</f>
        <v/>
      </c>
      <c r="G1070" s="117" t="str">
        <f t="shared" si="788"/>
        <v/>
      </c>
      <c r="H1070" s="117">
        <f t="shared" si="788"/>
        <v>0</v>
      </c>
      <c r="I1070" s="117">
        <f t="shared" si="788"/>
        <v>1</v>
      </c>
      <c r="J1070" s="117">
        <f t="shared" si="788"/>
        <v>1</v>
      </c>
      <c r="K1070" s="117">
        <f t="shared" si="788"/>
        <v>1</v>
      </c>
      <c r="L1070" s="117">
        <f t="shared" si="788"/>
        <v>1</v>
      </c>
      <c r="M1070" s="117">
        <f t="shared" si="788"/>
        <v>1</v>
      </c>
      <c r="N1070" s="117">
        <f t="shared" si="788"/>
        <v>1</v>
      </c>
      <c r="O1070" s="117">
        <f t="shared" si="788"/>
        <v>1</v>
      </c>
      <c r="P1070" s="117">
        <f t="shared" si="788"/>
        <v>1</v>
      </c>
      <c r="Q1070" s="117">
        <f t="shared" si="788"/>
        <v>1</v>
      </c>
    </row>
    <row r="1071" ht="24" customHeight="1" spans="1:17">
      <c r="A1071" s="99" t="s">
        <v>347</v>
      </c>
      <c r="B1071" s="99" t="s">
        <v>299</v>
      </c>
      <c r="C1071" s="99" t="s">
        <v>329</v>
      </c>
      <c r="D1071" s="48" t="s">
        <v>296</v>
      </c>
      <c r="E1071" s="116" t="s">
        <v>82</v>
      </c>
      <c r="F1071" s="117" t="str">
        <f t="shared" ref="F1071:Q1071" si="789">IF(F1001=0,"",F1021/F1001)</f>
        <v/>
      </c>
      <c r="G1071" s="117" t="str">
        <f t="shared" si="789"/>
        <v/>
      </c>
      <c r="H1071" s="117" t="str">
        <f t="shared" si="789"/>
        <v/>
      </c>
      <c r="I1071" s="117" t="str">
        <f t="shared" si="789"/>
        <v/>
      </c>
      <c r="J1071" s="117" t="str">
        <f t="shared" si="789"/>
        <v/>
      </c>
      <c r="K1071" s="117" t="str">
        <f t="shared" si="789"/>
        <v/>
      </c>
      <c r="L1071" s="117" t="str">
        <f t="shared" si="789"/>
        <v/>
      </c>
      <c r="M1071" s="117" t="str">
        <f t="shared" si="789"/>
        <v/>
      </c>
      <c r="N1071" s="117" t="str">
        <f t="shared" si="789"/>
        <v/>
      </c>
      <c r="O1071" s="117" t="str">
        <f t="shared" si="789"/>
        <v/>
      </c>
      <c r="P1071" s="117" t="str">
        <f t="shared" si="789"/>
        <v/>
      </c>
      <c r="Q1071" s="117" t="str">
        <f t="shared" si="789"/>
        <v/>
      </c>
    </row>
    <row r="1072" ht="24" customHeight="1" spans="1:17">
      <c r="A1072" s="99" t="s">
        <v>347</v>
      </c>
      <c r="B1072" s="99" t="s">
        <v>299</v>
      </c>
      <c r="C1072" s="99" t="s">
        <v>329</v>
      </c>
      <c r="D1072" s="48" t="s">
        <v>296</v>
      </c>
      <c r="E1072" s="116" t="s">
        <v>86</v>
      </c>
      <c r="F1072" s="117" t="str">
        <f t="shared" ref="F1072:Q1072" si="790">IF(F1002=0,"",F1022/F1002)</f>
        <v/>
      </c>
      <c r="G1072" s="117" t="str">
        <f t="shared" si="790"/>
        <v/>
      </c>
      <c r="H1072" s="117" t="str">
        <f t="shared" si="790"/>
        <v/>
      </c>
      <c r="I1072" s="117" t="str">
        <f t="shared" si="790"/>
        <v/>
      </c>
      <c r="J1072" s="117" t="str">
        <f t="shared" si="790"/>
        <v/>
      </c>
      <c r="K1072" s="117" t="str">
        <f t="shared" si="790"/>
        <v/>
      </c>
      <c r="L1072" s="117" t="str">
        <f t="shared" si="790"/>
        <v/>
      </c>
      <c r="M1072" s="117" t="str">
        <f t="shared" si="790"/>
        <v/>
      </c>
      <c r="N1072" s="117" t="str">
        <f t="shared" si="790"/>
        <v/>
      </c>
      <c r="O1072" s="117" t="str">
        <f t="shared" si="790"/>
        <v/>
      </c>
      <c r="P1072" s="117" t="str">
        <f t="shared" si="790"/>
        <v/>
      </c>
      <c r="Q1072" s="117" t="str">
        <f t="shared" si="790"/>
        <v/>
      </c>
    </row>
    <row r="1073" ht="24" customHeight="1" spans="1:17">
      <c r="A1073" s="99" t="s">
        <v>347</v>
      </c>
      <c r="B1073" s="99" t="s">
        <v>299</v>
      </c>
      <c r="C1073" s="99" t="s">
        <v>329</v>
      </c>
      <c r="D1073" s="48" t="s">
        <v>298</v>
      </c>
      <c r="E1073" s="116" t="s">
        <v>97</v>
      </c>
      <c r="F1073" s="117" t="str">
        <f t="shared" ref="F1073:Q1073" si="791">IF(F1003=0,"",F1023/F1003)</f>
        <v/>
      </c>
      <c r="G1073" s="117" t="str">
        <f t="shared" si="791"/>
        <v/>
      </c>
      <c r="H1073" s="117" t="str">
        <f t="shared" si="791"/>
        <v/>
      </c>
      <c r="I1073" s="117">
        <f t="shared" si="791"/>
        <v>0</v>
      </c>
      <c r="J1073" s="117">
        <f t="shared" si="791"/>
        <v>1</v>
      </c>
      <c r="K1073" s="117">
        <f t="shared" si="791"/>
        <v>1</v>
      </c>
      <c r="L1073" s="117">
        <f t="shared" si="791"/>
        <v>1</v>
      </c>
      <c r="M1073" s="117">
        <f t="shared" si="791"/>
        <v>1</v>
      </c>
      <c r="N1073" s="117">
        <f t="shared" si="791"/>
        <v>1</v>
      </c>
      <c r="O1073" s="117">
        <f t="shared" si="791"/>
        <v>1</v>
      </c>
      <c r="P1073" s="117">
        <f t="shared" si="791"/>
        <v>1</v>
      </c>
      <c r="Q1073" s="117">
        <f t="shared" si="791"/>
        <v>1</v>
      </c>
    </row>
    <row r="1074" ht="24" customHeight="1" spans="1:17">
      <c r="A1074" s="99" t="s">
        <v>347</v>
      </c>
      <c r="B1074" s="99" t="s">
        <v>299</v>
      </c>
      <c r="C1074" s="99" t="s">
        <v>329</v>
      </c>
      <c r="D1074" s="48" t="s">
        <v>298</v>
      </c>
      <c r="E1074" s="116" t="s">
        <v>87</v>
      </c>
      <c r="F1074" s="117" t="str">
        <f t="shared" ref="F1074:Q1074" si="792">IF(F1004=0,"",F1024/F1004)</f>
        <v/>
      </c>
      <c r="G1074" s="117" t="str">
        <f t="shared" si="792"/>
        <v/>
      </c>
      <c r="H1074" s="117" t="str">
        <f t="shared" si="792"/>
        <v/>
      </c>
      <c r="I1074" s="117" t="str">
        <f t="shared" si="792"/>
        <v/>
      </c>
      <c r="J1074" s="117" t="str">
        <f t="shared" si="792"/>
        <v/>
      </c>
      <c r="K1074" s="117" t="str">
        <f t="shared" si="792"/>
        <v/>
      </c>
      <c r="L1074" s="117">
        <f t="shared" si="792"/>
        <v>1</v>
      </c>
      <c r="M1074" s="117">
        <f t="shared" si="792"/>
        <v>1</v>
      </c>
      <c r="N1074" s="117">
        <f t="shared" si="792"/>
        <v>1</v>
      </c>
      <c r="O1074" s="117">
        <f t="shared" si="792"/>
        <v>1</v>
      </c>
      <c r="P1074" s="117">
        <f t="shared" si="792"/>
        <v>1</v>
      </c>
      <c r="Q1074" s="117">
        <f t="shared" si="792"/>
        <v>1</v>
      </c>
    </row>
    <row r="1075" ht="24" customHeight="1" spans="1:17">
      <c r="A1075" s="99" t="s">
        <v>347</v>
      </c>
      <c r="B1075" s="99" t="s">
        <v>299</v>
      </c>
      <c r="C1075" s="99" t="s">
        <v>329</v>
      </c>
      <c r="D1075" s="48" t="s">
        <v>298</v>
      </c>
      <c r="E1075" s="116" t="s">
        <v>83</v>
      </c>
      <c r="F1075" s="117" t="str">
        <f t="shared" ref="F1075:Q1075" si="793">IF(F1005=0,"",F1025/F1005)</f>
        <v/>
      </c>
      <c r="G1075" s="117" t="str">
        <f t="shared" si="793"/>
        <v/>
      </c>
      <c r="H1075" s="117" t="str">
        <f t="shared" si="793"/>
        <v/>
      </c>
      <c r="I1075" s="117" t="str">
        <f t="shared" si="793"/>
        <v/>
      </c>
      <c r="J1075" s="117" t="str">
        <f t="shared" si="793"/>
        <v/>
      </c>
      <c r="K1075" s="117" t="str">
        <f t="shared" si="793"/>
        <v/>
      </c>
      <c r="L1075" s="117" t="str">
        <f t="shared" si="793"/>
        <v/>
      </c>
      <c r="M1075" s="117" t="str">
        <f t="shared" si="793"/>
        <v/>
      </c>
      <c r="N1075" s="117" t="str">
        <f t="shared" si="793"/>
        <v/>
      </c>
      <c r="O1075" s="117" t="str">
        <f t="shared" si="793"/>
        <v/>
      </c>
      <c r="P1075" s="117" t="str">
        <f t="shared" si="793"/>
        <v/>
      </c>
      <c r="Q1075" s="117" t="str">
        <f t="shared" si="793"/>
        <v/>
      </c>
    </row>
    <row r="1076" ht="24" customHeight="1" spans="1:17">
      <c r="A1076" s="99" t="s">
        <v>347</v>
      </c>
      <c r="B1076" s="99" t="s">
        <v>299</v>
      </c>
      <c r="C1076" s="99" t="s">
        <v>329</v>
      </c>
      <c r="D1076" s="47" t="s">
        <v>294</v>
      </c>
      <c r="E1076" s="118" t="s">
        <v>93</v>
      </c>
      <c r="F1076" s="119" t="str">
        <f t="shared" ref="F1076:Q1076" si="794">IF(F1006=0,"",F1032/F1006)</f>
        <v/>
      </c>
      <c r="G1076" s="119" t="str">
        <f t="shared" si="794"/>
        <v/>
      </c>
      <c r="H1076" s="119" t="str">
        <f t="shared" si="794"/>
        <v/>
      </c>
      <c r="I1076" s="119">
        <f t="shared" si="794"/>
        <v>0</v>
      </c>
      <c r="J1076" s="119">
        <f t="shared" si="794"/>
        <v>1</v>
      </c>
      <c r="K1076" s="119">
        <f t="shared" si="794"/>
        <v>1</v>
      </c>
      <c r="L1076" s="119">
        <f t="shared" si="794"/>
        <v>1</v>
      </c>
      <c r="M1076" s="119">
        <f t="shared" si="794"/>
        <v>1</v>
      </c>
      <c r="N1076" s="119">
        <f t="shared" si="794"/>
        <v>1</v>
      </c>
      <c r="O1076" s="119">
        <f t="shared" si="794"/>
        <v>1</v>
      </c>
      <c r="P1076" s="119">
        <f t="shared" si="794"/>
        <v>1</v>
      </c>
      <c r="Q1076" s="119">
        <f t="shared" si="794"/>
        <v>1</v>
      </c>
    </row>
    <row r="1077" ht="24" customHeight="1" spans="1:17">
      <c r="A1077" s="99" t="s">
        <v>347</v>
      </c>
      <c r="B1077" s="99" t="s">
        <v>299</v>
      </c>
      <c r="C1077" s="99" t="s">
        <v>329</v>
      </c>
      <c r="D1077" s="47" t="s">
        <v>294</v>
      </c>
      <c r="E1077" s="118" t="s">
        <v>85</v>
      </c>
      <c r="F1077" s="119" t="str">
        <f t="shared" ref="F1077:Q1077" si="795">IF(F1007=0,"",F1033/F1007)</f>
        <v/>
      </c>
      <c r="G1077" s="119" t="str">
        <f t="shared" si="795"/>
        <v/>
      </c>
      <c r="H1077" s="119" t="str">
        <f t="shared" si="795"/>
        <v/>
      </c>
      <c r="I1077" s="119" t="str">
        <f t="shared" si="795"/>
        <v/>
      </c>
      <c r="J1077" s="119" t="str">
        <f t="shared" si="795"/>
        <v/>
      </c>
      <c r="K1077" s="119" t="str">
        <f t="shared" si="795"/>
        <v/>
      </c>
      <c r="L1077" s="119" t="str">
        <f t="shared" si="795"/>
        <v/>
      </c>
      <c r="M1077" s="119" t="str">
        <f t="shared" si="795"/>
        <v/>
      </c>
      <c r="N1077" s="119" t="str">
        <f t="shared" si="795"/>
        <v/>
      </c>
      <c r="O1077" s="119" t="str">
        <f t="shared" si="795"/>
        <v/>
      </c>
      <c r="P1077" s="119" t="str">
        <f t="shared" si="795"/>
        <v/>
      </c>
      <c r="Q1077" s="119" t="str">
        <f t="shared" si="795"/>
        <v/>
      </c>
    </row>
    <row r="1078" ht="24" customHeight="1" spans="1:17">
      <c r="A1078" s="99" t="s">
        <v>347</v>
      </c>
      <c r="B1078" s="99" t="s">
        <v>299</v>
      </c>
      <c r="C1078" s="99" t="s">
        <v>329</v>
      </c>
      <c r="D1078" s="47" t="s">
        <v>294</v>
      </c>
      <c r="E1078" s="118" t="s">
        <v>81</v>
      </c>
      <c r="F1078" s="119" t="str">
        <f t="shared" ref="F1078:Q1078" si="796">IF(F1008=0,"",F1034/F1008)</f>
        <v/>
      </c>
      <c r="G1078" s="119" t="str">
        <f t="shared" si="796"/>
        <v/>
      </c>
      <c r="H1078" s="119">
        <f t="shared" si="796"/>
        <v>0</v>
      </c>
      <c r="I1078" s="119">
        <f t="shared" si="796"/>
        <v>1</v>
      </c>
      <c r="J1078" s="119">
        <f t="shared" si="796"/>
        <v>1</v>
      </c>
      <c r="K1078" s="119">
        <f t="shared" si="796"/>
        <v>1</v>
      </c>
      <c r="L1078" s="119">
        <f t="shared" si="796"/>
        <v>1</v>
      </c>
      <c r="M1078" s="119">
        <f t="shared" si="796"/>
        <v>1</v>
      </c>
      <c r="N1078" s="119">
        <f t="shared" si="796"/>
        <v>1</v>
      </c>
      <c r="O1078" s="119">
        <f t="shared" si="796"/>
        <v>1</v>
      </c>
      <c r="P1078" s="119">
        <f t="shared" si="796"/>
        <v>1</v>
      </c>
      <c r="Q1078" s="119">
        <f t="shared" si="796"/>
        <v>1</v>
      </c>
    </row>
    <row r="1079" ht="24" customHeight="1" spans="1:17">
      <c r="A1079" s="99" t="s">
        <v>347</v>
      </c>
      <c r="B1079" s="99" t="s">
        <v>299</v>
      </c>
      <c r="C1079" s="99" t="s">
        <v>329</v>
      </c>
      <c r="D1079" s="47" t="s">
        <v>294</v>
      </c>
      <c r="E1079" s="118" t="s">
        <v>96</v>
      </c>
      <c r="F1079" s="119" t="str">
        <f t="shared" ref="F1079:Q1079" si="797">IF(F1009=0,"",F1035/F1009)</f>
        <v/>
      </c>
      <c r="G1079" s="119" t="str">
        <f t="shared" si="797"/>
        <v/>
      </c>
      <c r="H1079" s="119" t="str">
        <f t="shared" si="797"/>
        <v/>
      </c>
      <c r="I1079" s="119" t="str">
        <f t="shared" si="797"/>
        <v/>
      </c>
      <c r="J1079" s="119" t="str">
        <f t="shared" si="797"/>
        <v/>
      </c>
      <c r="K1079" s="119" t="str">
        <f t="shared" si="797"/>
        <v/>
      </c>
      <c r="L1079" s="119">
        <f t="shared" si="797"/>
        <v>1</v>
      </c>
      <c r="M1079" s="119">
        <f t="shared" si="797"/>
        <v>1</v>
      </c>
      <c r="N1079" s="119">
        <f t="shared" si="797"/>
        <v>1</v>
      </c>
      <c r="O1079" s="119">
        <f t="shared" si="797"/>
        <v>1</v>
      </c>
      <c r="P1079" s="119">
        <f t="shared" si="797"/>
        <v>1</v>
      </c>
      <c r="Q1079" s="119">
        <f t="shared" si="797"/>
        <v>1</v>
      </c>
    </row>
    <row r="1080" ht="24" customHeight="1" spans="1:17">
      <c r="A1080" s="99" t="s">
        <v>347</v>
      </c>
      <c r="B1080" s="99" t="s">
        <v>299</v>
      </c>
      <c r="C1080" s="99" t="s">
        <v>329</v>
      </c>
      <c r="D1080" s="47" t="s">
        <v>294</v>
      </c>
      <c r="E1080" s="118" t="s">
        <v>160</v>
      </c>
      <c r="F1080" s="119" t="str">
        <f t="shared" ref="F1080:Q1080" si="798">IF(F1010=0,"",F1036/F1010)</f>
        <v/>
      </c>
      <c r="G1080" s="119" t="str">
        <f t="shared" si="798"/>
        <v/>
      </c>
      <c r="H1080" s="119" t="str">
        <f t="shared" si="798"/>
        <v/>
      </c>
      <c r="I1080" s="119" t="str">
        <f t="shared" si="798"/>
        <v/>
      </c>
      <c r="J1080" s="119" t="str">
        <f t="shared" si="798"/>
        <v/>
      </c>
      <c r="K1080" s="119" t="str">
        <f t="shared" si="798"/>
        <v/>
      </c>
      <c r="L1080" s="119" t="str">
        <f t="shared" si="798"/>
        <v/>
      </c>
      <c r="M1080" s="119" t="str">
        <f t="shared" si="798"/>
        <v/>
      </c>
      <c r="N1080" s="119" t="str">
        <f t="shared" si="798"/>
        <v/>
      </c>
      <c r="O1080" s="119" t="str">
        <f t="shared" si="798"/>
        <v/>
      </c>
      <c r="P1080" s="119" t="str">
        <f t="shared" si="798"/>
        <v/>
      </c>
      <c r="Q1080" s="119" t="str">
        <f t="shared" si="798"/>
        <v/>
      </c>
    </row>
    <row r="1081" ht="24" customHeight="1" spans="1:17">
      <c r="A1081" s="99" t="s">
        <v>347</v>
      </c>
      <c r="B1081" s="99" t="s">
        <v>299</v>
      </c>
      <c r="C1081" s="99" t="s">
        <v>329</v>
      </c>
      <c r="D1081" s="113" t="s">
        <v>292</v>
      </c>
      <c r="E1081" s="113" t="s">
        <v>331</v>
      </c>
      <c r="F1081" s="115" t="str">
        <f t="shared" ref="F1081:Q1081" si="799">IF(F1011=0,"",F1037/F1011)</f>
        <v/>
      </c>
      <c r="G1081" s="115" t="str">
        <f t="shared" si="799"/>
        <v/>
      </c>
      <c r="H1081" s="115">
        <f t="shared" si="799"/>
        <v>0</v>
      </c>
      <c r="I1081" s="115">
        <f t="shared" si="799"/>
        <v>0.5</v>
      </c>
      <c r="J1081" s="115">
        <f t="shared" si="799"/>
        <v>1</v>
      </c>
      <c r="K1081" s="115">
        <f t="shared" si="799"/>
        <v>1</v>
      </c>
      <c r="L1081" s="115">
        <f t="shared" si="799"/>
        <v>1</v>
      </c>
      <c r="M1081" s="115">
        <f t="shared" si="799"/>
        <v>1</v>
      </c>
      <c r="N1081" s="115">
        <f t="shared" si="799"/>
        <v>1</v>
      </c>
      <c r="O1081" s="115">
        <f t="shared" si="799"/>
        <v>1</v>
      </c>
      <c r="P1081" s="115">
        <f t="shared" si="799"/>
        <v>1</v>
      </c>
      <c r="Q1081" s="115">
        <f t="shared" si="799"/>
        <v>1</v>
      </c>
    </row>
    <row r="1082" ht="24" customHeight="1" spans="1:17">
      <c r="A1082" s="99" t="s">
        <v>347</v>
      </c>
      <c r="B1082" s="99" t="s">
        <v>299</v>
      </c>
      <c r="C1082" s="99" t="s">
        <v>329</v>
      </c>
      <c r="D1082" s="48" t="s">
        <v>296</v>
      </c>
      <c r="E1082" s="116" t="s">
        <v>406</v>
      </c>
      <c r="F1082" s="117" t="str">
        <f t="shared" ref="F1082:Q1082" si="800">IF(F1012=0,"",F1038/F1012)</f>
        <v/>
      </c>
      <c r="G1082" s="117" t="str">
        <f t="shared" si="800"/>
        <v/>
      </c>
      <c r="H1082" s="117">
        <f t="shared" si="800"/>
        <v>0</v>
      </c>
      <c r="I1082" s="117">
        <f t="shared" si="800"/>
        <v>1</v>
      </c>
      <c r="J1082" s="117">
        <f t="shared" si="800"/>
        <v>1</v>
      </c>
      <c r="K1082" s="117">
        <f t="shared" si="800"/>
        <v>1</v>
      </c>
      <c r="L1082" s="117">
        <f t="shared" si="800"/>
        <v>1</v>
      </c>
      <c r="M1082" s="117">
        <f t="shared" si="800"/>
        <v>1</v>
      </c>
      <c r="N1082" s="117">
        <f t="shared" si="800"/>
        <v>1</v>
      </c>
      <c r="O1082" s="117">
        <f t="shared" si="800"/>
        <v>1</v>
      </c>
      <c r="P1082" s="117">
        <f t="shared" si="800"/>
        <v>1</v>
      </c>
      <c r="Q1082" s="117">
        <f t="shared" si="800"/>
        <v>1</v>
      </c>
    </row>
    <row r="1083" ht="24" customHeight="1" spans="1:17">
      <c r="A1083" s="99" t="s">
        <v>347</v>
      </c>
      <c r="B1083" s="99" t="s">
        <v>299</v>
      </c>
      <c r="C1083" s="99" t="s">
        <v>329</v>
      </c>
      <c r="D1083" s="48" t="s">
        <v>296</v>
      </c>
      <c r="E1083" s="116" t="s">
        <v>82</v>
      </c>
      <c r="F1083" s="117" t="str">
        <f t="shared" ref="F1083:Q1083" si="801">IF(F1013=0,"",F1039/F1013)</f>
        <v/>
      </c>
      <c r="G1083" s="117" t="str">
        <f t="shared" si="801"/>
        <v/>
      </c>
      <c r="H1083" s="117" t="str">
        <f t="shared" si="801"/>
        <v/>
      </c>
      <c r="I1083" s="117">
        <f t="shared" si="801"/>
        <v>0</v>
      </c>
      <c r="J1083" s="117">
        <f t="shared" si="801"/>
        <v>1</v>
      </c>
      <c r="K1083" s="117">
        <f t="shared" si="801"/>
        <v>1</v>
      </c>
      <c r="L1083" s="117">
        <f t="shared" si="801"/>
        <v>1</v>
      </c>
      <c r="M1083" s="117">
        <f t="shared" si="801"/>
        <v>1</v>
      </c>
      <c r="N1083" s="117">
        <f t="shared" si="801"/>
        <v>1</v>
      </c>
      <c r="O1083" s="117">
        <f t="shared" si="801"/>
        <v>1</v>
      </c>
      <c r="P1083" s="117">
        <f t="shared" si="801"/>
        <v>1</v>
      </c>
      <c r="Q1083" s="117">
        <f t="shared" si="801"/>
        <v>1</v>
      </c>
    </row>
    <row r="1084" ht="24" customHeight="1" spans="1:17">
      <c r="A1084" s="99" t="s">
        <v>347</v>
      </c>
      <c r="B1084" s="99" t="s">
        <v>299</v>
      </c>
      <c r="C1084" s="99" t="s">
        <v>329</v>
      </c>
      <c r="D1084" s="48" t="s">
        <v>296</v>
      </c>
      <c r="E1084" s="116" t="s">
        <v>86</v>
      </c>
      <c r="F1084" s="117" t="str">
        <f t="shared" ref="F1084:Q1084" si="802">IF(F1014=0,"",F1040/F1014)</f>
        <v/>
      </c>
      <c r="G1084" s="117" t="str">
        <f t="shared" si="802"/>
        <v/>
      </c>
      <c r="H1084" s="117" t="str">
        <f t="shared" si="802"/>
        <v/>
      </c>
      <c r="I1084" s="117" t="str">
        <f t="shared" si="802"/>
        <v/>
      </c>
      <c r="J1084" s="117" t="str">
        <f t="shared" si="802"/>
        <v/>
      </c>
      <c r="K1084" s="117" t="str">
        <f t="shared" si="802"/>
        <v/>
      </c>
      <c r="L1084" s="117" t="str">
        <f t="shared" si="802"/>
        <v/>
      </c>
      <c r="M1084" s="117" t="str">
        <f t="shared" si="802"/>
        <v/>
      </c>
      <c r="N1084" s="117" t="str">
        <f t="shared" si="802"/>
        <v/>
      </c>
      <c r="O1084" s="117" t="str">
        <f t="shared" si="802"/>
        <v/>
      </c>
      <c r="P1084" s="117" t="str">
        <f t="shared" si="802"/>
        <v/>
      </c>
      <c r="Q1084" s="117" t="str">
        <f t="shared" si="802"/>
        <v/>
      </c>
    </row>
    <row r="1085" ht="24" customHeight="1" spans="1:17">
      <c r="A1085" s="99" t="s">
        <v>347</v>
      </c>
      <c r="B1085" s="99" t="s">
        <v>299</v>
      </c>
      <c r="C1085" s="99" t="s">
        <v>329</v>
      </c>
      <c r="D1085" s="113" t="s">
        <v>292</v>
      </c>
      <c r="E1085" s="113" t="s">
        <v>332</v>
      </c>
      <c r="F1085" s="115" t="str">
        <f t="shared" ref="F1085:Q1085" si="803">IF(F1015=0,"",F1044/F1015)</f>
        <v/>
      </c>
      <c r="G1085" s="115" t="str">
        <f t="shared" si="803"/>
        <v/>
      </c>
      <c r="H1085" s="115">
        <f t="shared" si="803"/>
        <v>0</v>
      </c>
      <c r="I1085" s="115">
        <f t="shared" si="803"/>
        <v>0.5</v>
      </c>
      <c r="J1085" s="115">
        <f t="shared" si="803"/>
        <v>1</v>
      </c>
      <c r="K1085" s="115">
        <f t="shared" si="803"/>
        <v>1</v>
      </c>
      <c r="L1085" s="115">
        <f t="shared" si="803"/>
        <v>1</v>
      </c>
      <c r="M1085" s="115">
        <f t="shared" si="803"/>
        <v>1</v>
      </c>
      <c r="N1085" s="115">
        <f t="shared" si="803"/>
        <v>1</v>
      </c>
      <c r="O1085" s="115">
        <f t="shared" si="803"/>
        <v>1</v>
      </c>
      <c r="P1085" s="115">
        <f t="shared" si="803"/>
        <v>1</v>
      </c>
      <c r="Q1085" s="115">
        <f t="shared" si="803"/>
        <v>1</v>
      </c>
    </row>
    <row r="1086" ht="24" customHeight="1" spans="1:17">
      <c r="A1086" s="99" t="s">
        <v>347</v>
      </c>
      <c r="B1086" s="99" t="s">
        <v>299</v>
      </c>
      <c r="C1086" s="99" t="s">
        <v>329</v>
      </c>
      <c r="D1086" s="48" t="s">
        <v>298</v>
      </c>
      <c r="E1086" s="116" t="s">
        <v>97</v>
      </c>
      <c r="F1086" s="117" t="str">
        <f t="shared" ref="F1086:Q1086" si="804">IF(F1016=0,"",F1045/F1016)</f>
        <v/>
      </c>
      <c r="G1086" s="117" t="str">
        <f t="shared" si="804"/>
        <v/>
      </c>
      <c r="H1086" s="117">
        <f t="shared" si="804"/>
        <v>0</v>
      </c>
      <c r="I1086" s="117">
        <f t="shared" si="804"/>
        <v>0.5</v>
      </c>
      <c r="J1086" s="117">
        <f t="shared" si="804"/>
        <v>1</v>
      </c>
      <c r="K1086" s="117">
        <f t="shared" si="804"/>
        <v>1</v>
      </c>
      <c r="L1086" s="117">
        <f t="shared" si="804"/>
        <v>1</v>
      </c>
      <c r="M1086" s="117">
        <f t="shared" si="804"/>
        <v>1</v>
      </c>
      <c r="N1086" s="117">
        <f t="shared" si="804"/>
        <v>1</v>
      </c>
      <c r="O1086" s="117">
        <f t="shared" si="804"/>
        <v>1</v>
      </c>
      <c r="P1086" s="117">
        <f t="shared" si="804"/>
        <v>1</v>
      </c>
      <c r="Q1086" s="117">
        <f t="shared" si="804"/>
        <v>1</v>
      </c>
    </row>
    <row r="1087" ht="24" customHeight="1" spans="1:17">
      <c r="A1087" s="99" t="s">
        <v>347</v>
      </c>
      <c r="B1087" s="99" t="s">
        <v>299</v>
      </c>
      <c r="C1087" s="99" t="s">
        <v>329</v>
      </c>
      <c r="D1087" s="48" t="s">
        <v>298</v>
      </c>
      <c r="E1087" s="116" t="s">
        <v>87</v>
      </c>
      <c r="F1087" s="117" t="str">
        <f t="shared" ref="F1087:Q1087" si="805">IF(F1017=0,"",F1046/F1017)</f>
        <v/>
      </c>
      <c r="G1087" s="117" t="str">
        <f t="shared" si="805"/>
        <v/>
      </c>
      <c r="H1087" s="117" t="str">
        <f t="shared" si="805"/>
        <v/>
      </c>
      <c r="I1087" s="117" t="str">
        <f t="shared" si="805"/>
        <v/>
      </c>
      <c r="J1087" s="117" t="str">
        <f t="shared" si="805"/>
        <v/>
      </c>
      <c r="K1087" s="117" t="str">
        <f t="shared" si="805"/>
        <v/>
      </c>
      <c r="L1087" s="117">
        <f t="shared" si="805"/>
        <v>1</v>
      </c>
      <c r="M1087" s="117">
        <f t="shared" si="805"/>
        <v>1</v>
      </c>
      <c r="N1087" s="117">
        <f t="shared" si="805"/>
        <v>1</v>
      </c>
      <c r="O1087" s="117">
        <f t="shared" si="805"/>
        <v>1</v>
      </c>
      <c r="P1087" s="117">
        <f t="shared" si="805"/>
        <v>1</v>
      </c>
      <c r="Q1087" s="117">
        <f t="shared" si="805"/>
        <v>1</v>
      </c>
    </row>
    <row r="1088" ht="24" customHeight="1" spans="1:17">
      <c r="A1088" s="99" t="s">
        <v>347</v>
      </c>
      <c r="B1088" s="99" t="s">
        <v>299</v>
      </c>
      <c r="C1088" s="99" t="s">
        <v>329</v>
      </c>
      <c r="D1088" s="48" t="s">
        <v>298</v>
      </c>
      <c r="E1088" s="116" t="s">
        <v>83</v>
      </c>
      <c r="F1088" s="117" t="str">
        <f t="shared" ref="F1088:Q1088" si="806">IF(F1018=0,"",F1047/F1018)</f>
        <v/>
      </c>
      <c r="G1088" s="117" t="str">
        <f t="shared" si="806"/>
        <v/>
      </c>
      <c r="H1088" s="117" t="str">
        <f t="shared" si="806"/>
        <v/>
      </c>
      <c r="I1088" s="117" t="str">
        <f t="shared" si="806"/>
        <v/>
      </c>
      <c r="J1088" s="117" t="str">
        <f t="shared" si="806"/>
        <v/>
      </c>
      <c r="K1088" s="117" t="str">
        <f t="shared" si="806"/>
        <v/>
      </c>
      <c r="L1088" s="117" t="str">
        <f t="shared" si="806"/>
        <v/>
      </c>
      <c r="M1088" s="117" t="str">
        <f t="shared" si="806"/>
        <v/>
      </c>
      <c r="N1088" s="117" t="str">
        <f t="shared" si="806"/>
        <v/>
      </c>
      <c r="O1088" s="117" t="str">
        <f t="shared" si="806"/>
        <v/>
      </c>
      <c r="P1088" s="117" t="str">
        <f t="shared" si="806"/>
        <v/>
      </c>
      <c r="Q1088" s="117" t="str">
        <f t="shared" si="806"/>
        <v/>
      </c>
    </row>
    <row r="1089" ht="24" customHeight="1" spans="1:17">
      <c r="A1089" s="99" t="s">
        <v>347</v>
      </c>
      <c r="B1089" s="99" t="s">
        <v>299</v>
      </c>
      <c r="C1089" s="99" t="s">
        <v>333</v>
      </c>
      <c r="D1089" s="114" t="s">
        <v>292</v>
      </c>
      <c r="E1089" s="114" t="s">
        <v>300</v>
      </c>
      <c r="F1089" s="120">
        <f t="shared" ref="F1089:Q1089" si="807">SUM(F1090:F1095)</f>
        <v>0</v>
      </c>
      <c r="G1089" s="120">
        <f t="shared" si="807"/>
        <v>0</v>
      </c>
      <c r="H1089" s="120">
        <f t="shared" si="807"/>
        <v>0</v>
      </c>
      <c r="I1089" s="120">
        <f t="shared" si="807"/>
        <v>0.840305</v>
      </c>
      <c r="J1089" s="120">
        <f t="shared" si="807"/>
        <v>2.889361</v>
      </c>
      <c r="K1089" s="120">
        <f t="shared" si="807"/>
        <v>0</v>
      </c>
      <c r="L1089" s="120">
        <f t="shared" si="807"/>
        <v>2.707141</v>
      </c>
      <c r="M1089" s="120">
        <f t="shared" si="807"/>
        <v>0</v>
      </c>
      <c r="N1089" s="120">
        <f t="shared" si="807"/>
        <v>0</v>
      </c>
      <c r="O1089" s="120">
        <f t="shared" si="807"/>
        <v>0</v>
      </c>
      <c r="P1089" s="120">
        <f t="shared" si="807"/>
        <v>1.738247</v>
      </c>
      <c r="Q1089" s="120">
        <f t="shared" si="807"/>
        <v>0</v>
      </c>
    </row>
    <row r="1090" ht="24" customHeight="1" spans="1:17">
      <c r="A1090" s="99" t="s">
        <v>347</v>
      </c>
      <c r="B1090" s="99" t="s">
        <v>299</v>
      </c>
      <c r="C1090" s="99" t="s">
        <v>333</v>
      </c>
      <c r="D1090" s="48" t="s">
        <v>31</v>
      </c>
      <c r="E1090" s="48" t="s">
        <v>406</v>
      </c>
      <c r="F1090" s="121">
        <f>SUMIFS('2024数据'!$BE$3:$BE$152,'2024数据'!$P$3:$P$152,"&gt;="&amp;DATE(2024,1,1),'2024数据'!$P$3:$P$152,"&lt;="&amp;DATE(2024,1,31),'2024数据'!$AE$3:$AE$152,$E1090)/10000</f>
        <v>0</v>
      </c>
      <c r="G1090" s="121">
        <f>SUMIFS('2024数据'!$BE$3:$BE$152,'2024数据'!$P$3:$P$152,"&gt;="&amp;DATE(2024,2,1),'2024数据'!$P$3:$P$152,"&lt;="&amp;DATE(2024,2,29),'2024数据'!$AE$3:$AE$152,$E1090)/10000</f>
        <v>0</v>
      </c>
      <c r="H1090" s="121">
        <f>SUMIFS('2024数据'!$BE$3:$BE$152,'2024数据'!$P$3:$P$152,"&gt;="&amp;DATE(2024,3,1),'2024数据'!$P$3:$P$152,"&lt;="&amp;DATE(2024,3,31),'2024数据'!$AE$3:$AE$152,$E1090)/10000</f>
        <v>0</v>
      </c>
      <c r="I1090" s="121">
        <f>SUMIFS('2024数据'!$BE$3:$BE$152,'2024数据'!$P$3:$P$152,"&gt;="&amp;DATE(2024,4,1),'2024数据'!$P$3:$P$152,"&lt;="&amp;DATE(2024,4,30),'2024数据'!$AE$3:$AE$152,$E1090)/10000</f>
        <v>0.840305</v>
      </c>
      <c r="J1090" s="121">
        <f>SUMIFS('2024数据'!$BE$3:$BE$152,'2024数据'!$P$3:$P$152,"&gt;="&amp;DATE(2024,5,1),'2024数据'!$P$3:$P$152,"&lt;="&amp;DATE(2024,5,31),'2024数据'!$AE$3:$AE$152,$E1090)/10000</f>
        <v>0</v>
      </c>
      <c r="K1090" s="121">
        <f>SUMIFS('2024数据'!$BE$3:$BE$152,'2024数据'!$P$3:$P$152,"&gt;="&amp;DATE(2024,6,1),'2024数据'!$P$3:$P$152,"&lt;="&amp;DATE(2024,6,30),'2024数据'!$AE$3:$AE$152,$E1090)/10000</f>
        <v>0</v>
      </c>
      <c r="L1090" s="121">
        <f>SUMIFS('2024数据'!$BE$3:$BE$152,'2024数据'!$P$3:$P$152,"&gt;="&amp;DATE(2024,7,1),'2024数据'!$P$3:$P$152,"&lt;="&amp;DATE(2024,7,31),'2024数据'!$AE$3:$AE$152,$E1090)/10000</f>
        <v>0</v>
      </c>
      <c r="M1090" s="121">
        <f>SUMIFS('2024数据'!$BE$3:$BE$152,'2024数据'!$P$3:$P$152,"&gt;="&amp;DATE(2024,8,1),'2024数据'!$P$3:$P$152,"&lt;="&amp;DATE(2024,8,31),'2024数据'!$AE$3:$AE$152,$E1090)/10000</f>
        <v>0</v>
      </c>
      <c r="N1090" s="121">
        <f>SUMIFS('2024数据'!$BE$3:$BE$152,'2024数据'!$P$3:$P$152,"&gt;="&amp;DATE(2024,9,1),'2024数据'!$P$3:$P$152,"&lt;="&amp;DATE(2024,9,30),'2024数据'!$AE$3:$AE$152,$E1090)/10000</f>
        <v>0</v>
      </c>
      <c r="O1090" s="121">
        <f>SUMIFS('2024数据'!$BE$3:$BE$152,'2024数据'!$P$3:$P$152,"&gt;="&amp;DATE(2024,10,1),'2024数据'!$P$3:$P$152,"&lt;="&amp;DATE(2024,10,31),'2024数据'!$AE$3:$AE$152,$E1090)/10000</f>
        <v>0</v>
      </c>
      <c r="P1090" s="121">
        <f>SUMIFS('2024数据'!$BE$3:$BE$152,'2024数据'!$P$3:$P$152,"&gt;="&amp;DATE(2024,11,1),'2024数据'!$P$3:$P$152,"&lt;="&amp;DATE(2024,11,30),'2024数据'!$AE$3:$AE$152,$E1090)/10000</f>
        <v>0</v>
      </c>
      <c r="Q1090" s="121">
        <f>SUMIFS('2024数据'!$BE$3:$BE$152,'2024数据'!$P$3:$P$152,"&gt;="&amp;DATE(2024,12,1),'2024数据'!$P$3:$P$152,"&lt;="&amp;DATE(2024,12,31),'2024数据'!$AE$3:$AE$152,$E1090)/10000</f>
        <v>0</v>
      </c>
    </row>
    <row r="1091" ht="24" customHeight="1" spans="1:17">
      <c r="A1091" s="99" t="s">
        <v>347</v>
      </c>
      <c r="B1091" s="99" t="s">
        <v>299</v>
      </c>
      <c r="C1091" s="99" t="s">
        <v>333</v>
      </c>
      <c r="D1091" s="48" t="s">
        <v>31</v>
      </c>
      <c r="E1091" s="48" t="s">
        <v>82</v>
      </c>
      <c r="F1091" s="121">
        <f>SUMIFS('2024数据'!$BE$3:$BE$152,'2024数据'!$P$3:$P$152,"&gt;="&amp;DATE(2024,1,1),'2024数据'!$P$3:$P$152,"&lt;="&amp;DATE(2024,1,31),'2024数据'!$AE$3:$AE$152,$E1091)/10000</f>
        <v>0</v>
      </c>
      <c r="G1091" s="121">
        <f>SUMIFS('2024数据'!$BE$3:$BE$152,'2024数据'!$P$3:$P$152,"&gt;="&amp;DATE(2024,2,1),'2024数据'!$P$3:$P$152,"&lt;="&amp;DATE(2024,2,29),'2024数据'!$AE$3:$AE$152,$E1091)/10000</f>
        <v>0</v>
      </c>
      <c r="H1091" s="121">
        <f>SUMIFS('2024数据'!$BE$3:$BE$152,'2024数据'!$P$3:$P$152,"&gt;="&amp;DATE(2024,3,1),'2024数据'!$P$3:$P$152,"&lt;="&amp;DATE(2024,3,31),'2024数据'!$AE$3:$AE$152,$E1091)/10000</f>
        <v>0</v>
      </c>
      <c r="I1091" s="121">
        <f>SUMIFS('2024数据'!$BE$3:$BE$152,'2024数据'!$P$3:$P$152,"&gt;="&amp;DATE(2024,4,1),'2024数据'!$P$3:$P$152,"&lt;="&amp;DATE(2024,4,30),'2024数据'!$AE$3:$AE$152,$E1091)/10000</f>
        <v>0</v>
      </c>
      <c r="J1091" s="121">
        <f>SUMIFS('2024数据'!$BE$3:$BE$152,'2024数据'!$P$3:$P$152,"&gt;="&amp;DATE(2024,5,1),'2024数据'!$P$3:$P$152,"&lt;="&amp;DATE(2024,5,31),'2024数据'!$AE$3:$AE$152,$E1091)/10000</f>
        <v>0</v>
      </c>
      <c r="K1091" s="121">
        <f>SUMIFS('2024数据'!$BE$3:$BE$152,'2024数据'!$P$3:$P$152,"&gt;="&amp;DATE(2024,6,1),'2024数据'!$P$3:$P$152,"&lt;="&amp;DATE(2024,6,30),'2024数据'!$AE$3:$AE$152,$E1091)/10000</f>
        <v>0</v>
      </c>
      <c r="L1091" s="121">
        <f>SUMIFS('2024数据'!$BE$3:$BE$152,'2024数据'!$P$3:$P$152,"&gt;="&amp;DATE(2024,7,1),'2024数据'!$P$3:$P$152,"&lt;="&amp;DATE(2024,7,31),'2024数据'!$AE$3:$AE$152,$E1091)/10000</f>
        <v>0</v>
      </c>
      <c r="M1091" s="121">
        <f>SUMIFS('2024数据'!$BE$3:$BE$152,'2024数据'!$P$3:$P$152,"&gt;="&amp;DATE(2024,8,1),'2024数据'!$P$3:$P$152,"&lt;="&amp;DATE(2024,8,31),'2024数据'!$AE$3:$AE$152,$E1091)/10000</f>
        <v>0</v>
      </c>
      <c r="N1091" s="121">
        <f>SUMIFS('2024数据'!$BE$3:$BE$152,'2024数据'!$P$3:$P$152,"&gt;="&amp;DATE(2024,9,1),'2024数据'!$P$3:$P$152,"&lt;="&amp;DATE(2024,9,30),'2024数据'!$AE$3:$AE$152,$E1091)/10000</f>
        <v>0</v>
      </c>
      <c r="O1091" s="121">
        <f>SUMIFS('2024数据'!$BE$3:$BE$152,'2024数据'!$P$3:$P$152,"&gt;="&amp;DATE(2024,10,1),'2024数据'!$P$3:$P$152,"&lt;="&amp;DATE(2024,10,31),'2024数据'!$AE$3:$AE$152,$E1091)/10000</f>
        <v>0</v>
      </c>
      <c r="P1091" s="121">
        <f>SUMIFS('2024数据'!$BE$3:$BE$152,'2024数据'!$P$3:$P$152,"&gt;="&amp;DATE(2024,11,1),'2024数据'!$P$3:$P$152,"&lt;="&amp;DATE(2024,11,30),'2024数据'!$AE$3:$AE$152,$E1091)/10000</f>
        <v>0</v>
      </c>
      <c r="Q1091" s="121">
        <f>SUMIFS('2024数据'!$BE$3:$BE$152,'2024数据'!$P$3:$P$152,"&gt;="&amp;DATE(2024,12,1),'2024数据'!$P$3:$P$152,"&lt;="&amp;DATE(2024,12,31),'2024数据'!$AE$3:$AE$152,$E1091)/10000</f>
        <v>0</v>
      </c>
    </row>
    <row r="1092" ht="24" customHeight="1" spans="1:17">
      <c r="A1092" s="99" t="s">
        <v>347</v>
      </c>
      <c r="B1092" s="99" t="s">
        <v>299</v>
      </c>
      <c r="C1092" s="99" t="s">
        <v>333</v>
      </c>
      <c r="D1092" s="48" t="s">
        <v>31</v>
      </c>
      <c r="E1092" s="48" t="s">
        <v>86</v>
      </c>
      <c r="F1092" s="121">
        <f>SUMIFS('2024数据'!$BE$3:$BE$152,'2024数据'!$P$3:$P$152,"&gt;="&amp;DATE(2024,1,1),'2024数据'!$P$3:$P$152,"&lt;="&amp;DATE(2024,1,31),'2024数据'!$AE$3:$AE$152,$E1092)/10000</f>
        <v>0</v>
      </c>
      <c r="G1092" s="121">
        <f>SUMIFS('2024数据'!$BE$3:$BE$152,'2024数据'!$P$3:$P$152,"&gt;="&amp;DATE(2024,2,1),'2024数据'!$P$3:$P$152,"&lt;="&amp;DATE(2024,2,29),'2024数据'!$AE$3:$AE$152,$E1092)/10000</f>
        <v>0</v>
      </c>
      <c r="H1092" s="121">
        <f>SUMIFS('2024数据'!$BE$3:$BE$152,'2024数据'!$P$3:$P$152,"&gt;="&amp;DATE(2024,3,1),'2024数据'!$P$3:$P$152,"&lt;="&amp;DATE(2024,3,31),'2024数据'!$AE$3:$AE$152,$E1092)/10000</f>
        <v>0</v>
      </c>
      <c r="I1092" s="121">
        <f>SUMIFS('2024数据'!$BE$3:$BE$152,'2024数据'!$P$3:$P$152,"&gt;="&amp;DATE(2024,4,1),'2024数据'!$P$3:$P$152,"&lt;="&amp;DATE(2024,4,30),'2024数据'!$AE$3:$AE$152,$E1092)/10000</f>
        <v>0</v>
      </c>
      <c r="J1092" s="121">
        <f>SUMIFS('2024数据'!$BE$3:$BE$152,'2024数据'!$P$3:$P$152,"&gt;="&amp;DATE(2024,5,1),'2024数据'!$P$3:$P$152,"&lt;="&amp;DATE(2024,5,31),'2024数据'!$AE$3:$AE$152,$E1092)/10000</f>
        <v>0</v>
      </c>
      <c r="K1092" s="121">
        <f>SUMIFS('2024数据'!$BE$3:$BE$152,'2024数据'!$P$3:$P$152,"&gt;="&amp;DATE(2024,6,1),'2024数据'!$P$3:$P$152,"&lt;="&amp;DATE(2024,6,30),'2024数据'!$AE$3:$AE$152,$E1092)/10000</f>
        <v>0</v>
      </c>
      <c r="L1092" s="121">
        <f>SUMIFS('2024数据'!$BE$3:$BE$152,'2024数据'!$P$3:$P$152,"&gt;="&amp;DATE(2024,7,1),'2024数据'!$P$3:$P$152,"&lt;="&amp;DATE(2024,7,31),'2024数据'!$AE$3:$AE$152,$E1092)/10000</f>
        <v>0</v>
      </c>
      <c r="M1092" s="121">
        <f>SUMIFS('2024数据'!$BE$3:$BE$152,'2024数据'!$P$3:$P$152,"&gt;="&amp;DATE(2024,8,1),'2024数据'!$P$3:$P$152,"&lt;="&amp;DATE(2024,8,31),'2024数据'!$AE$3:$AE$152,$E1092)/10000</f>
        <v>0</v>
      </c>
      <c r="N1092" s="121">
        <f>SUMIFS('2024数据'!$BE$3:$BE$152,'2024数据'!$P$3:$P$152,"&gt;="&amp;DATE(2024,9,1),'2024数据'!$P$3:$P$152,"&lt;="&amp;DATE(2024,9,30),'2024数据'!$AE$3:$AE$152,$E1092)/10000</f>
        <v>0</v>
      </c>
      <c r="O1092" s="121">
        <f>SUMIFS('2024数据'!$BE$3:$BE$152,'2024数据'!$P$3:$P$152,"&gt;="&amp;DATE(2024,10,1),'2024数据'!$P$3:$P$152,"&lt;="&amp;DATE(2024,10,31),'2024数据'!$AE$3:$AE$152,$E1092)/10000</f>
        <v>0</v>
      </c>
      <c r="P1092" s="121">
        <f>SUMIFS('2024数据'!$BE$3:$BE$152,'2024数据'!$P$3:$P$152,"&gt;="&amp;DATE(2024,11,1),'2024数据'!$P$3:$P$152,"&lt;="&amp;DATE(2024,11,30),'2024数据'!$AE$3:$AE$152,$E1092)/10000</f>
        <v>0</v>
      </c>
      <c r="Q1092" s="121">
        <f>SUMIFS('2024数据'!$BE$3:$BE$152,'2024数据'!$P$3:$P$152,"&gt;="&amp;DATE(2024,12,1),'2024数据'!$P$3:$P$152,"&lt;="&amp;DATE(2024,12,31),'2024数据'!$AE$3:$AE$152,$E1092)/10000</f>
        <v>0</v>
      </c>
    </row>
    <row r="1093" ht="24" customHeight="1" spans="1:17">
      <c r="A1093" s="99" t="s">
        <v>347</v>
      </c>
      <c r="B1093" s="99" t="s">
        <v>299</v>
      </c>
      <c r="C1093" s="99" t="s">
        <v>333</v>
      </c>
      <c r="D1093" s="48" t="s">
        <v>31</v>
      </c>
      <c r="E1093" s="48" t="s">
        <v>97</v>
      </c>
      <c r="F1093" s="121">
        <f>SUMIFS('2024数据'!$BE$3:$BE$152,'2024数据'!$P$3:$P$152,"&gt;="&amp;DATE(2024,1,1),'2024数据'!$P$3:$P$152,"&lt;="&amp;DATE(2024,1,31),'2024数据'!$AE$3:$AE$152,$E1093)/10000</f>
        <v>0</v>
      </c>
      <c r="G1093" s="121">
        <f>SUMIFS('2024数据'!$BE$3:$BE$152,'2024数据'!$P$3:$P$152,"&gt;="&amp;DATE(2024,2,1),'2024数据'!$P$3:$P$152,"&lt;="&amp;DATE(2024,2,29),'2024数据'!$AE$3:$AE$152,$E1093)/10000</f>
        <v>0</v>
      </c>
      <c r="H1093" s="121">
        <f>SUMIFS('2024数据'!$BE$3:$BE$152,'2024数据'!$P$3:$P$152,"&gt;="&amp;DATE(2024,3,1),'2024数据'!$P$3:$P$152,"&lt;="&amp;DATE(2024,3,31),'2024数据'!$AE$3:$AE$152,$E1093)/10000</f>
        <v>0</v>
      </c>
      <c r="I1093" s="121">
        <f>SUMIFS('2024数据'!$BE$3:$BE$152,'2024数据'!$P$3:$P$152,"&gt;="&amp;DATE(2024,4,1),'2024数据'!$P$3:$P$152,"&lt;="&amp;DATE(2024,4,30),'2024数据'!$AE$3:$AE$152,$E1093)/10000</f>
        <v>0</v>
      </c>
      <c r="J1093" s="121">
        <f>SUMIFS('2024数据'!$BE$3:$BE$152,'2024数据'!$P$3:$P$152,"&gt;="&amp;DATE(2024,5,1),'2024数据'!$P$3:$P$152,"&lt;="&amp;DATE(2024,5,31),'2024数据'!$AE$3:$AE$152,$E1093)/10000</f>
        <v>2.889361</v>
      </c>
      <c r="K1093" s="121">
        <f>SUMIFS('2024数据'!$BE$3:$BE$152,'2024数据'!$P$3:$P$152,"&gt;="&amp;DATE(2024,6,1),'2024数据'!$P$3:$P$152,"&lt;="&amp;DATE(2024,6,30),'2024数据'!$AE$3:$AE$152,$E1093)/10000</f>
        <v>0</v>
      </c>
      <c r="L1093" s="121">
        <f>SUMIFS('2024数据'!$BE$3:$BE$152,'2024数据'!$P$3:$P$152,"&gt;="&amp;DATE(2024,7,1),'2024数据'!$P$3:$P$152,"&lt;="&amp;DATE(2024,7,31),'2024数据'!$AE$3:$AE$152,$E1093)/10000</f>
        <v>0</v>
      </c>
      <c r="M1093" s="121">
        <f>SUMIFS('2024数据'!$BE$3:$BE$152,'2024数据'!$P$3:$P$152,"&gt;="&amp;DATE(2024,8,1),'2024数据'!$P$3:$P$152,"&lt;="&amp;DATE(2024,8,31),'2024数据'!$AE$3:$AE$152,$E1093)/10000</f>
        <v>0</v>
      </c>
      <c r="N1093" s="121">
        <f>SUMIFS('2024数据'!$BE$3:$BE$152,'2024数据'!$P$3:$P$152,"&gt;="&amp;DATE(2024,9,1),'2024数据'!$P$3:$P$152,"&lt;="&amp;DATE(2024,9,30),'2024数据'!$AE$3:$AE$152,$E1093)/10000</f>
        <v>0</v>
      </c>
      <c r="O1093" s="121">
        <f>SUMIFS('2024数据'!$BE$3:$BE$152,'2024数据'!$P$3:$P$152,"&gt;="&amp;DATE(2024,10,1),'2024数据'!$P$3:$P$152,"&lt;="&amp;DATE(2024,10,31),'2024数据'!$AE$3:$AE$152,$E1093)/10000</f>
        <v>0</v>
      </c>
      <c r="P1093" s="121">
        <f>SUMIFS('2024数据'!$BE$3:$BE$152,'2024数据'!$P$3:$P$152,"&gt;="&amp;DATE(2024,11,1),'2024数据'!$P$3:$P$152,"&lt;="&amp;DATE(2024,11,30),'2024数据'!$AE$3:$AE$152,$E1093)/10000</f>
        <v>0</v>
      </c>
      <c r="Q1093" s="121">
        <f>SUMIFS('2024数据'!$BE$3:$BE$152,'2024数据'!$P$3:$P$152,"&gt;="&amp;DATE(2024,12,1),'2024数据'!$P$3:$P$152,"&lt;="&amp;DATE(2024,12,31),'2024数据'!$AE$3:$AE$152,$E1093)/10000</f>
        <v>0</v>
      </c>
    </row>
    <row r="1094" ht="24" customHeight="1" spans="1:17">
      <c r="A1094" s="99" t="s">
        <v>347</v>
      </c>
      <c r="B1094" s="99" t="s">
        <v>299</v>
      </c>
      <c r="C1094" s="99" t="s">
        <v>333</v>
      </c>
      <c r="D1094" s="48" t="s">
        <v>31</v>
      </c>
      <c r="E1094" s="48" t="s">
        <v>87</v>
      </c>
      <c r="F1094" s="121">
        <f>SUMIFS('2024数据'!$BE$3:$BE$152,'2024数据'!$P$3:$P$152,"&gt;="&amp;DATE(2024,1,1),'2024数据'!$P$3:$P$152,"&lt;="&amp;DATE(2024,1,31),'2024数据'!$AE$3:$AE$152,$E1094)/10000</f>
        <v>0</v>
      </c>
      <c r="G1094" s="121">
        <f>SUMIFS('2024数据'!$BE$3:$BE$152,'2024数据'!$P$3:$P$152,"&gt;="&amp;DATE(2024,2,1),'2024数据'!$P$3:$P$152,"&lt;="&amp;DATE(2024,2,29),'2024数据'!$AE$3:$AE$152,$E1094)/10000</f>
        <v>0</v>
      </c>
      <c r="H1094" s="121">
        <f>SUMIFS('2024数据'!$BE$3:$BE$152,'2024数据'!$P$3:$P$152,"&gt;="&amp;DATE(2024,3,1),'2024数据'!$P$3:$P$152,"&lt;="&amp;DATE(2024,3,31),'2024数据'!$AE$3:$AE$152,$E1094)/10000</f>
        <v>0</v>
      </c>
      <c r="I1094" s="121">
        <f>SUMIFS('2024数据'!$BE$3:$BE$152,'2024数据'!$P$3:$P$152,"&gt;="&amp;DATE(2024,4,1),'2024数据'!$P$3:$P$152,"&lt;="&amp;DATE(2024,4,30),'2024数据'!$AE$3:$AE$152,$E1094)/10000</f>
        <v>0</v>
      </c>
      <c r="J1094" s="121">
        <f>SUMIFS('2024数据'!$BE$3:$BE$152,'2024数据'!$P$3:$P$152,"&gt;="&amp;DATE(2024,5,1),'2024数据'!$P$3:$P$152,"&lt;="&amp;DATE(2024,5,31),'2024数据'!$AE$3:$AE$152,$E1094)/10000</f>
        <v>0</v>
      </c>
      <c r="K1094" s="121">
        <f>SUMIFS('2024数据'!$BE$3:$BE$152,'2024数据'!$P$3:$P$152,"&gt;="&amp;DATE(2024,6,1),'2024数据'!$P$3:$P$152,"&lt;="&amp;DATE(2024,6,30),'2024数据'!$AE$3:$AE$152,$E1094)/10000</f>
        <v>0</v>
      </c>
      <c r="L1094" s="121">
        <f>SUMIFS('2024数据'!$BE$3:$BE$152,'2024数据'!$P$3:$P$152,"&gt;="&amp;DATE(2024,7,1),'2024数据'!$P$3:$P$152,"&lt;="&amp;DATE(2024,7,31),'2024数据'!$AE$3:$AE$152,$E1094)/10000</f>
        <v>2.707141</v>
      </c>
      <c r="M1094" s="121">
        <f>SUMIFS('2024数据'!$BE$3:$BE$152,'2024数据'!$P$3:$P$152,"&gt;="&amp;DATE(2024,8,1),'2024数据'!$P$3:$P$152,"&lt;="&amp;DATE(2024,8,31),'2024数据'!$AE$3:$AE$152,$E1094)/10000</f>
        <v>0</v>
      </c>
      <c r="N1094" s="121">
        <f>SUMIFS('2024数据'!$BE$3:$BE$152,'2024数据'!$P$3:$P$152,"&gt;="&amp;DATE(2024,9,1),'2024数据'!$P$3:$P$152,"&lt;="&amp;DATE(2024,9,30),'2024数据'!$AE$3:$AE$152,$E1094)/10000</f>
        <v>0</v>
      </c>
      <c r="O1094" s="121">
        <f>SUMIFS('2024数据'!$BE$3:$BE$152,'2024数据'!$P$3:$P$152,"&gt;="&amp;DATE(2024,10,1),'2024数据'!$P$3:$P$152,"&lt;="&amp;DATE(2024,10,31),'2024数据'!$AE$3:$AE$152,$E1094)/10000</f>
        <v>0</v>
      </c>
      <c r="P1094" s="121">
        <f>SUMIFS('2024数据'!$BE$3:$BE$152,'2024数据'!$P$3:$P$152,"&gt;="&amp;DATE(2024,11,1),'2024数据'!$P$3:$P$152,"&lt;="&amp;DATE(2024,11,30),'2024数据'!$AE$3:$AE$152,$E1094)/10000</f>
        <v>1.738247</v>
      </c>
      <c r="Q1094" s="121">
        <f>SUMIFS('2024数据'!$BE$3:$BE$152,'2024数据'!$P$3:$P$152,"&gt;="&amp;DATE(2024,12,1),'2024数据'!$P$3:$P$152,"&lt;="&amp;DATE(2024,12,31),'2024数据'!$AE$3:$AE$152,$E1094)/10000</f>
        <v>0</v>
      </c>
    </row>
    <row r="1095" ht="24" customHeight="1" spans="1:17">
      <c r="A1095" s="99" t="s">
        <v>347</v>
      </c>
      <c r="B1095" s="99" t="s">
        <v>299</v>
      </c>
      <c r="C1095" s="99" t="s">
        <v>333</v>
      </c>
      <c r="D1095" s="48" t="s">
        <v>31</v>
      </c>
      <c r="E1095" s="48" t="s">
        <v>83</v>
      </c>
      <c r="F1095" s="121">
        <f>SUMIFS('2024数据'!$BE$3:$BE$152,'2024数据'!$P$3:$P$152,"&gt;="&amp;DATE(2024,1,1),'2024数据'!$P$3:$P$152,"&lt;="&amp;DATE(2024,1,31),'2024数据'!$AE$3:$AE$152,$E1095)/10000</f>
        <v>0</v>
      </c>
      <c r="G1095" s="121">
        <f>SUMIFS('2024数据'!$BE$3:$BE$152,'2024数据'!$P$3:$P$152,"&gt;="&amp;DATE(2024,2,1),'2024数据'!$P$3:$P$152,"&lt;="&amp;DATE(2024,2,29),'2024数据'!$AE$3:$AE$152,$E1095)/10000</f>
        <v>0</v>
      </c>
      <c r="H1095" s="121">
        <f>SUMIFS('2024数据'!$BE$3:$BE$152,'2024数据'!$P$3:$P$152,"&gt;="&amp;DATE(2024,3,1),'2024数据'!$P$3:$P$152,"&lt;="&amp;DATE(2024,3,31),'2024数据'!$AE$3:$AE$152,$E1095)/10000</f>
        <v>0</v>
      </c>
      <c r="I1095" s="121">
        <f>SUMIFS('2024数据'!$BE$3:$BE$152,'2024数据'!$P$3:$P$152,"&gt;="&amp;DATE(2024,4,1),'2024数据'!$P$3:$P$152,"&lt;="&amp;DATE(2024,4,30),'2024数据'!$AE$3:$AE$152,$E1095)/10000</f>
        <v>0</v>
      </c>
      <c r="J1095" s="121">
        <f>SUMIFS('2024数据'!$BE$3:$BE$152,'2024数据'!$P$3:$P$152,"&gt;="&amp;DATE(2024,5,1),'2024数据'!$P$3:$P$152,"&lt;="&amp;DATE(2024,5,31),'2024数据'!$AE$3:$AE$152,$E1095)/10000</f>
        <v>0</v>
      </c>
      <c r="K1095" s="121">
        <f>SUMIFS('2024数据'!$BE$3:$BE$152,'2024数据'!$P$3:$P$152,"&gt;="&amp;DATE(2024,6,1),'2024数据'!$P$3:$P$152,"&lt;="&amp;DATE(2024,6,30),'2024数据'!$AE$3:$AE$152,$E1095)/10000</f>
        <v>0</v>
      </c>
      <c r="L1095" s="121">
        <f>SUMIFS('2024数据'!$BE$3:$BE$152,'2024数据'!$P$3:$P$152,"&gt;="&amp;DATE(2024,7,1),'2024数据'!$P$3:$P$152,"&lt;="&amp;DATE(2024,7,31),'2024数据'!$AE$3:$AE$152,$E1095)/10000</f>
        <v>0</v>
      </c>
      <c r="M1095" s="121">
        <f>SUMIFS('2024数据'!$BE$3:$BE$152,'2024数据'!$P$3:$P$152,"&gt;="&amp;DATE(2024,8,1),'2024数据'!$P$3:$P$152,"&lt;="&amp;DATE(2024,8,31),'2024数据'!$AE$3:$AE$152,$E1095)/10000</f>
        <v>0</v>
      </c>
      <c r="N1095" s="121">
        <f>SUMIFS('2024数据'!$BE$3:$BE$152,'2024数据'!$P$3:$P$152,"&gt;="&amp;DATE(2024,9,1),'2024数据'!$P$3:$P$152,"&lt;="&amp;DATE(2024,9,30),'2024数据'!$AE$3:$AE$152,$E1095)/10000</f>
        <v>0</v>
      </c>
      <c r="O1095" s="121">
        <f>SUMIFS('2024数据'!$BE$3:$BE$152,'2024数据'!$P$3:$P$152,"&gt;="&amp;DATE(2024,10,1),'2024数据'!$P$3:$P$152,"&lt;="&amp;DATE(2024,10,31),'2024数据'!$AE$3:$AE$152,$E1095)/10000</f>
        <v>0</v>
      </c>
      <c r="P1095" s="121">
        <f>SUMIFS('2024数据'!$BE$3:$BE$152,'2024数据'!$P$3:$P$152,"&gt;="&amp;DATE(2024,11,1),'2024数据'!$P$3:$P$152,"&lt;="&amp;DATE(2024,11,30),'2024数据'!$AE$3:$AE$152,$E1095)/10000</f>
        <v>0</v>
      </c>
      <c r="Q1095" s="121">
        <f>SUMIFS('2024数据'!$BE$3:$BE$152,'2024数据'!$P$3:$P$152,"&gt;="&amp;DATE(2024,12,1),'2024数据'!$P$3:$P$152,"&lt;="&amp;DATE(2024,12,31),'2024数据'!$AE$3:$AE$152,$E1095)/10000</f>
        <v>0</v>
      </c>
    </row>
    <row r="1096" ht="24" customHeight="1" spans="1:17">
      <c r="A1096" s="99" t="s">
        <v>347</v>
      </c>
      <c r="B1096" s="99" t="s">
        <v>299</v>
      </c>
      <c r="C1096" s="99" t="s">
        <v>333</v>
      </c>
      <c r="D1096" s="47" t="s">
        <v>294</v>
      </c>
      <c r="E1096" s="47" t="s">
        <v>93</v>
      </c>
      <c r="F1096" s="121">
        <f>SUMIFS('2024数据'!$BE$3:$BE$152,'2024数据'!$P$3:$P$152,"&gt;="&amp;DATE(2024,1,1),'2024数据'!$P$3:$P$152,"&lt;="&amp;DATE(2024,1,31),'2024数据'!$B$3:$B$152,$E1096)/10000</f>
        <v>0</v>
      </c>
      <c r="G1096" s="121">
        <f>SUMIFS('2024数据'!$BE$3:$BE$152,'2024数据'!$P$3:$P$152,"&gt;="&amp;DATE(2024,2,1),'2024数据'!$P$3:$P$152,"&lt;="&amp;DATE(2024,2,29),'2024数据'!$B$3:$B$152,$E1096)/10000</f>
        <v>0</v>
      </c>
      <c r="H1096" s="121">
        <f>SUMIFS('2024数据'!$BE$3:$BE$152,'2024数据'!$P$3:$P$152,"&gt;="&amp;DATE(2024,3,1),'2024数据'!$P$3:$P$152,"&lt;="&amp;DATE(2024,3,31),'2024数据'!$B$3:$B$152,$E1096)/10000</f>
        <v>0</v>
      </c>
      <c r="I1096" s="121">
        <f>SUMIFS('2024数据'!$BE$3:$BE$152,'2024数据'!$P$3:$P$152,"&gt;="&amp;DATE(2024,4,1),'2024数据'!$P$3:$P$152,"&lt;="&amp;DATE(2024,4,30),'2024数据'!$B$3:$B$152,$E1096)/10000</f>
        <v>0</v>
      </c>
      <c r="J1096" s="121">
        <f>SUMIFS('2024数据'!$BE$3:$BE$152,'2024数据'!$P$3:$P$152,"&gt;="&amp;DATE(2024,5,1),'2024数据'!$P$3:$P$152,"&lt;="&amp;DATE(2024,5,31),'2024数据'!$B$3:$B$152,$E1096)/10000</f>
        <v>2.889361</v>
      </c>
      <c r="K1096" s="121">
        <f>SUMIFS('2024数据'!$BE$3:$BE$152,'2024数据'!$P$3:$P$152,"&gt;="&amp;DATE(2024,6,1),'2024数据'!$P$3:$P$152,"&lt;="&amp;DATE(2024,6,30),'2024数据'!$B$3:$B$152,$E1096)/10000</f>
        <v>0</v>
      </c>
      <c r="L1096" s="121">
        <f>SUMIFS('2024数据'!$BE$3:$BE$152,'2024数据'!$P$3:$P$152,"&gt;="&amp;DATE(2024,7,1),'2024数据'!$P$3:$P$152,"&lt;="&amp;DATE(2024,7,31),'2024数据'!$B$3:$B$152,$E1096)/10000</f>
        <v>0</v>
      </c>
      <c r="M1096" s="121">
        <f>SUMIFS('2024数据'!$BE$3:$BE$152,'2024数据'!$P$3:$P$152,"&gt;="&amp;DATE(2024,8,1),'2024数据'!$P$3:$P$152,"&lt;="&amp;DATE(2024,8,31),'2024数据'!$B$3:$B$152,$E1096)/10000</f>
        <v>0</v>
      </c>
      <c r="N1096" s="121">
        <f>SUMIFS('2024数据'!$BE$3:$BE$152,'2024数据'!$P$3:$P$152,"&gt;="&amp;DATE(2024,9,1),'2024数据'!$P$3:$P$152,"&lt;="&amp;DATE(2024,9,30),'2024数据'!$B$3:$B$152,$E1096)/10000</f>
        <v>0</v>
      </c>
      <c r="O1096" s="121">
        <f>SUMIFS('2024数据'!$BE$3:$BE$152,'2024数据'!$P$3:$P$152,"&gt;="&amp;DATE(2024,10,1),'2024数据'!$P$3:$P$152,"&lt;="&amp;DATE(2024,10,31),'2024数据'!$B$3:$B$152,$E1096)/10000</f>
        <v>0</v>
      </c>
      <c r="P1096" s="121">
        <f>SUMIFS('2024数据'!$BE$3:$BE$152,'2024数据'!$P$3:$P$152,"&gt;="&amp;DATE(2024,11,1),'2024数据'!$P$3:$P$152,"&lt;="&amp;DATE(2024,11,30),'2024数据'!$B$3:$B$152,$E1096)/10000</f>
        <v>1.738247</v>
      </c>
      <c r="Q1096" s="121">
        <f>SUMIFS('2024数据'!$BE$3:$BE$152,'2024数据'!$P$3:$P$152,"&gt;="&amp;DATE(2024,12,1),'2024数据'!$P$3:$P$152,"&lt;="&amp;DATE(2024,12,31),'2024数据'!$B$3:$B$152,$E1096)/10000</f>
        <v>0</v>
      </c>
    </row>
    <row r="1097" ht="24" customHeight="1" spans="1:17">
      <c r="A1097" s="99" t="s">
        <v>347</v>
      </c>
      <c r="B1097" s="99" t="s">
        <v>299</v>
      </c>
      <c r="C1097" s="99" t="s">
        <v>333</v>
      </c>
      <c r="D1097" s="47" t="s">
        <v>294</v>
      </c>
      <c r="E1097" s="47" t="s">
        <v>85</v>
      </c>
      <c r="F1097" s="121">
        <f>SUMIFS('2024数据'!$BE$3:$BE$152,'2024数据'!$P$3:$P$152,"&gt;="&amp;DATE(2024,1,1),'2024数据'!$P$3:$P$152,"&lt;="&amp;DATE(2024,1,31),'2024数据'!$B$3:$B$152,$E1097)/10000</f>
        <v>0</v>
      </c>
      <c r="G1097" s="121">
        <f>SUMIFS('2024数据'!$BE$3:$BE$152,'2024数据'!$P$3:$P$152,"&gt;="&amp;DATE(2024,2,1),'2024数据'!$P$3:$P$152,"&lt;="&amp;DATE(2024,2,29),'2024数据'!$B$3:$B$152,$E1097)/10000</f>
        <v>0</v>
      </c>
      <c r="H1097" s="121">
        <f>SUMIFS('2024数据'!$BE$3:$BE$152,'2024数据'!$P$3:$P$152,"&gt;="&amp;DATE(2024,3,1),'2024数据'!$P$3:$P$152,"&lt;="&amp;DATE(2024,3,31),'2024数据'!$B$3:$B$152,$E1097)/10000</f>
        <v>0</v>
      </c>
      <c r="I1097" s="121">
        <f>SUMIFS('2024数据'!$BE$3:$BE$152,'2024数据'!$P$3:$P$152,"&gt;="&amp;DATE(2024,4,1),'2024数据'!$P$3:$P$152,"&lt;="&amp;DATE(2024,4,30),'2024数据'!$B$3:$B$152,$E1097)/10000</f>
        <v>0</v>
      </c>
      <c r="J1097" s="121">
        <f>SUMIFS('2024数据'!$BE$3:$BE$152,'2024数据'!$P$3:$P$152,"&gt;="&amp;DATE(2024,5,1),'2024数据'!$P$3:$P$152,"&lt;="&amp;DATE(2024,5,31),'2024数据'!$B$3:$B$152,$E1097)/10000</f>
        <v>0</v>
      </c>
      <c r="K1097" s="121">
        <f>SUMIFS('2024数据'!$BE$3:$BE$152,'2024数据'!$P$3:$P$152,"&gt;="&amp;DATE(2024,6,1),'2024数据'!$P$3:$P$152,"&lt;="&amp;DATE(2024,6,30),'2024数据'!$B$3:$B$152,$E1097)/10000</f>
        <v>0</v>
      </c>
      <c r="L1097" s="121">
        <f>SUMIFS('2024数据'!$BE$3:$BE$152,'2024数据'!$P$3:$P$152,"&gt;="&amp;DATE(2024,7,1),'2024数据'!$P$3:$P$152,"&lt;="&amp;DATE(2024,7,31),'2024数据'!$B$3:$B$152,$E1097)/10000</f>
        <v>0</v>
      </c>
      <c r="M1097" s="121">
        <f>SUMIFS('2024数据'!$BE$3:$BE$152,'2024数据'!$P$3:$P$152,"&gt;="&amp;DATE(2024,8,1),'2024数据'!$P$3:$P$152,"&lt;="&amp;DATE(2024,8,31),'2024数据'!$B$3:$B$152,$E1097)/10000</f>
        <v>0</v>
      </c>
      <c r="N1097" s="121">
        <f>SUMIFS('2024数据'!$BE$3:$BE$152,'2024数据'!$P$3:$P$152,"&gt;="&amp;DATE(2024,9,1),'2024数据'!$P$3:$P$152,"&lt;="&amp;DATE(2024,9,30),'2024数据'!$B$3:$B$152,$E1097)/10000</f>
        <v>0</v>
      </c>
      <c r="O1097" s="121">
        <f>SUMIFS('2024数据'!$BE$3:$BE$152,'2024数据'!$P$3:$P$152,"&gt;="&amp;DATE(2024,10,1),'2024数据'!$P$3:$P$152,"&lt;="&amp;DATE(2024,10,31),'2024数据'!$B$3:$B$152,$E1097)/10000</f>
        <v>0</v>
      </c>
      <c r="P1097" s="121">
        <f>SUMIFS('2024数据'!$BE$3:$BE$152,'2024数据'!$P$3:$P$152,"&gt;="&amp;DATE(2024,11,1),'2024数据'!$P$3:$P$152,"&lt;="&amp;DATE(2024,11,30),'2024数据'!$B$3:$B$152,$E1097)/10000</f>
        <v>0</v>
      </c>
      <c r="Q1097" s="121">
        <f>SUMIFS('2024数据'!$BE$3:$BE$152,'2024数据'!$P$3:$P$152,"&gt;="&amp;DATE(2024,12,1),'2024数据'!$P$3:$P$152,"&lt;="&amp;DATE(2024,12,31),'2024数据'!$B$3:$B$152,$E1097)/10000</f>
        <v>0</v>
      </c>
    </row>
    <row r="1098" ht="24" customHeight="1" spans="1:17">
      <c r="A1098" s="99" t="s">
        <v>347</v>
      </c>
      <c r="B1098" s="99" t="s">
        <v>299</v>
      </c>
      <c r="C1098" s="99" t="s">
        <v>333</v>
      </c>
      <c r="D1098" s="47" t="s">
        <v>294</v>
      </c>
      <c r="E1098" s="47" t="s">
        <v>81</v>
      </c>
      <c r="F1098" s="121">
        <f>SUMIFS('2024数据'!$BE$3:$BE$152,'2024数据'!$P$3:$P$152,"&gt;="&amp;DATE(2024,1,1),'2024数据'!$P$3:$P$152,"&lt;="&amp;DATE(2024,1,31),'2024数据'!$B$3:$B$152,$E1098)/10000</f>
        <v>0</v>
      </c>
      <c r="G1098" s="121">
        <f>SUMIFS('2024数据'!$BE$3:$BE$152,'2024数据'!$P$3:$P$152,"&gt;="&amp;DATE(2024,2,1),'2024数据'!$P$3:$P$152,"&lt;="&amp;DATE(2024,2,29),'2024数据'!$B$3:$B$152,$E1098)/10000</f>
        <v>0</v>
      </c>
      <c r="H1098" s="121">
        <f>SUMIFS('2024数据'!$BE$3:$BE$152,'2024数据'!$P$3:$P$152,"&gt;="&amp;DATE(2024,3,1),'2024数据'!$P$3:$P$152,"&lt;="&amp;DATE(2024,3,31),'2024数据'!$B$3:$B$152,$E1098)/10000</f>
        <v>0</v>
      </c>
      <c r="I1098" s="121">
        <f>SUMIFS('2024数据'!$BE$3:$BE$152,'2024数据'!$P$3:$P$152,"&gt;="&amp;DATE(2024,4,1),'2024数据'!$P$3:$P$152,"&lt;="&amp;DATE(2024,4,30),'2024数据'!$B$3:$B$152,$E1098)/10000</f>
        <v>0.840305</v>
      </c>
      <c r="J1098" s="121">
        <f>SUMIFS('2024数据'!$BE$3:$BE$152,'2024数据'!$P$3:$P$152,"&gt;="&amp;DATE(2024,5,1),'2024数据'!$P$3:$P$152,"&lt;="&amp;DATE(2024,5,31),'2024数据'!$B$3:$B$152,$E1098)/10000</f>
        <v>0</v>
      </c>
      <c r="K1098" s="121">
        <f>SUMIFS('2024数据'!$BE$3:$BE$152,'2024数据'!$P$3:$P$152,"&gt;="&amp;DATE(2024,6,1),'2024数据'!$P$3:$P$152,"&lt;="&amp;DATE(2024,6,30),'2024数据'!$B$3:$B$152,$E1098)/10000</f>
        <v>0</v>
      </c>
      <c r="L1098" s="121">
        <f>SUMIFS('2024数据'!$BE$3:$BE$152,'2024数据'!$P$3:$P$152,"&gt;="&amp;DATE(2024,7,1),'2024数据'!$P$3:$P$152,"&lt;="&amp;DATE(2024,7,31),'2024数据'!$B$3:$B$152,$E1098)/10000</f>
        <v>0</v>
      </c>
      <c r="M1098" s="121">
        <f>SUMIFS('2024数据'!$BE$3:$BE$152,'2024数据'!$P$3:$P$152,"&gt;="&amp;DATE(2024,8,1),'2024数据'!$P$3:$P$152,"&lt;="&amp;DATE(2024,8,31),'2024数据'!$B$3:$B$152,$E1098)/10000</f>
        <v>0</v>
      </c>
      <c r="N1098" s="121">
        <f>SUMIFS('2024数据'!$BE$3:$BE$152,'2024数据'!$P$3:$P$152,"&gt;="&amp;DATE(2024,9,1),'2024数据'!$P$3:$P$152,"&lt;="&amp;DATE(2024,9,30),'2024数据'!$B$3:$B$152,$E1098)/10000</f>
        <v>0</v>
      </c>
      <c r="O1098" s="121">
        <f>SUMIFS('2024数据'!$BE$3:$BE$152,'2024数据'!$P$3:$P$152,"&gt;="&amp;DATE(2024,10,1),'2024数据'!$P$3:$P$152,"&lt;="&amp;DATE(2024,10,31),'2024数据'!$B$3:$B$152,$E1098)/10000</f>
        <v>0</v>
      </c>
      <c r="P1098" s="121">
        <f>SUMIFS('2024数据'!$BE$3:$BE$152,'2024数据'!$P$3:$P$152,"&gt;="&amp;DATE(2024,11,1),'2024数据'!$P$3:$P$152,"&lt;="&amp;DATE(2024,11,30),'2024数据'!$B$3:$B$152,$E1098)/10000</f>
        <v>0</v>
      </c>
      <c r="Q1098" s="121">
        <f>SUMIFS('2024数据'!$BE$3:$BE$152,'2024数据'!$P$3:$P$152,"&gt;="&amp;DATE(2024,12,1),'2024数据'!$P$3:$P$152,"&lt;="&amp;DATE(2024,12,31),'2024数据'!$B$3:$B$152,$E1098)/10000</f>
        <v>0</v>
      </c>
    </row>
    <row r="1099" ht="24" customHeight="1" spans="1:17">
      <c r="A1099" s="99" t="s">
        <v>347</v>
      </c>
      <c r="B1099" s="99" t="s">
        <v>299</v>
      </c>
      <c r="C1099" s="99" t="s">
        <v>333</v>
      </c>
      <c r="D1099" s="47" t="s">
        <v>294</v>
      </c>
      <c r="E1099" s="47" t="s">
        <v>96</v>
      </c>
      <c r="F1099" s="121">
        <f>SUMIFS('2024数据'!$BE$3:$BE$152,'2024数据'!$P$3:$P$152,"&gt;="&amp;DATE(2024,1,1),'2024数据'!$P$3:$P$152,"&lt;="&amp;DATE(2024,1,31),'2024数据'!$B$3:$B$152,$E1099)/10000</f>
        <v>0</v>
      </c>
      <c r="G1099" s="121">
        <f>SUMIFS('2024数据'!$BE$3:$BE$152,'2024数据'!$P$3:$P$152,"&gt;="&amp;DATE(2024,2,1),'2024数据'!$P$3:$P$152,"&lt;="&amp;DATE(2024,2,29),'2024数据'!$B$3:$B$152,$E1099)/10000</f>
        <v>0</v>
      </c>
      <c r="H1099" s="121">
        <f>SUMIFS('2024数据'!$BE$3:$BE$152,'2024数据'!$P$3:$P$152,"&gt;="&amp;DATE(2024,3,1),'2024数据'!$P$3:$P$152,"&lt;="&amp;DATE(2024,3,31),'2024数据'!$B$3:$B$152,$E1099)/10000</f>
        <v>0</v>
      </c>
      <c r="I1099" s="121">
        <f>SUMIFS('2024数据'!$BE$3:$BE$152,'2024数据'!$P$3:$P$152,"&gt;="&amp;DATE(2024,4,1),'2024数据'!$P$3:$P$152,"&lt;="&amp;DATE(2024,4,30),'2024数据'!$B$3:$B$152,$E1099)/10000</f>
        <v>0</v>
      </c>
      <c r="J1099" s="121">
        <f>SUMIFS('2024数据'!$BE$3:$BE$152,'2024数据'!$P$3:$P$152,"&gt;="&amp;DATE(2024,5,1),'2024数据'!$P$3:$P$152,"&lt;="&amp;DATE(2024,5,31),'2024数据'!$B$3:$B$152,$E1099)/10000</f>
        <v>0</v>
      </c>
      <c r="K1099" s="121">
        <f>SUMIFS('2024数据'!$BE$3:$BE$152,'2024数据'!$P$3:$P$152,"&gt;="&amp;DATE(2024,6,1),'2024数据'!$P$3:$P$152,"&lt;="&amp;DATE(2024,6,30),'2024数据'!$B$3:$B$152,$E1099)/10000</f>
        <v>0</v>
      </c>
      <c r="L1099" s="121">
        <f>SUMIFS('2024数据'!$BE$3:$BE$152,'2024数据'!$P$3:$P$152,"&gt;="&amp;DATE(2024,7,1),'2024数据'!$P$3:$P$152,"&lt;="&amp;DATE(2024,7,31),'2024数据'!$B$3:$B$152,$E1099)/10000</f>
        <v>2.707141</v>
      </c>
      <c r="M1099" s="121">
        <f>SUMIFS('2024数据'!$BE$3:$BE$152,'2024数据'!$P$3:$P$152,"&gt;="&amp;DATE(2024,8,1),'2024数据'!$P$3:$P$152,"&lt;="&amp;DATE(2024,8,31),'2024数据'!$B$3:$B$152,$E1099)/10000</f>
        <v>0</v>
      </c>
      <c r="N1099" s="121">
        <f>SUMIFS('2024数据'!$BE$3:$BE$152,'2024数据'!$P$3:$P$152,"&gt;="&amp;DATE(2024,9,1),'2024数据'!$P$3:$P$152,"&lt;="&amp;DATE(2024,9,30),'2024数据'!$B$3:$B$152,$E1099)/10000</f>
        <v>0</v>
      </c>
      <c r="O1099" s="121">
        <f>SUMIFS('2024数据'!$BE$3:$BE$152,'2024数据'!$P$3:$P$152,"&gt;="&amp;DATE(2024,10,1),'2024数据'!$P$3:$P$152,"&lt;="&amp;DATE(2024,10,31),'2024数据'!$B$3:$B$152,$E1099)/10000</f>
        <v>0</v>
      </c>
      <c r="P1099" s="121">
        <f>SUMIFS('2024数据'!$BE$3:$BE$152,'2024数据'!$P$3:$P$152,"&gt;="&amp;DATE(2024,11,1),'2024数据'!$P$3:$P$152,"&lt;="&amp;DATE(2024,11,30),'2024数据'!$B$3:$B$152,$E1099)/10000</f>
        <v>0</v>
      </c>
      <c r="Q1099" s="121">
        <f>SUMIFS('2024数据'!$BE$3:$BE$152,'2024数据'!$P$3:$P$152,"&gt;="&amp;DATE(2024,12,1),'2024数据'!$P$3:$P$152,"&lt;="&amp;DATE(2024,12,31),'2024数据'!$B$3:$B$152,$E1099)/10000</f>
        <v>0</v>
      </c>
    </row>
    <row r="1100" ht="24" customHeight="1" spans="1:17">
      <c r="A1100" s="99" t="s">
        <v>347</v>
      </c>
      <c r="B1100" s="99" t="s">
        <v>299</v>
      </c>
      <c r="C1100" s="99" t="s">
        <v>333</v>
      </c>
      <c r="D1100" s="47" t="s">
        <v>294</v>
      </c>
      <c r="E1100" s="47" t="s">
        <v>160</v>
      </c>
      <c r="F1100" s="121">
        <f t="shared" ref="F1100:Q1100" si="808">SUM(F1090:F1095)-SUM(F1096:F1099)</f>
        <v>0</v>
      </c>
      <c r="G1100" s="121">
        <f t="shared" si="808"/>
        <v>0</v>
      </c>
      <c r="H1100" s="121">
        <f t="shared" si="808"/>
        <v>0</v>
      </c>
      <c r="I1100" s="121">
        <f t="shared" si="808"/>
        <v>0</v>
      </c>
      <c r="J1100" s="121">
        <f t="shared" si="808"/>
        <v>0</v>
      </c>
      <c r="K1100" s="121">
        <f t="shared" si="808"/>
        <v>0</v>
      </c>
      <c r="L1100" s="121">
        <f t="shared" si="808"/>
        <v>0</v>
      </c>
      <c r="M1100" s="121">
        <f t="shared" si="808"/>
        <v>0</v>
      </c>
      <c r="N1100" s="121">
        <f t="shared" si="808"/>
        <v>0</v>
      </c>
      <c r="O1100" s="121">
        <f t="shared" si="808"/>
        <v>0</v>
      </c>
      <c r="P1100" s="121">
        <f t="shared" si="808"/>
        <v>0</v>
      </c>
      <c r="Q1100" s="121">
        <f t="shared" si="808"/>
        <v>0</v>
      </c>
    </row>
    <row r="1101" ht="24" customHeight="1" spans="1:17">
      <c r="A1101" s="99" t="s">
        <v>347</v>
      </c>
      <c r="B1101" s="99" t="s">
        <v>299</v>
      </c>
      <c r="C1101" s="99" t="s">
        <v>336</v>
      </c>
      <c r="D1101" s="114" t="s">
        <v>292</v>
      </c>
      <c r="E1101" s="114" t="s">
        <v>300</v>
      </c>
      <c r="F1101" s="120">
        <f t="shared" ref="F1101:Q1101" si="809">SUM(F1102:F1107)</f>
        <v>0</v>
      </c>
      <c r="G1101" s="120">
        <f t="shared" si="809"/>
        <v>0</v>
      </c>
      <c r="H1101" s="120">
        <f t="shared" si="809"/>
        <v>0</v>
      </c>
      <c r="I1101" s="120">
        <f t="shared" si="809"/>
        <v>0.853543</v>
      </c>
      <c r="J1101" s="120">
        <f t="shared" si="809"/>
        <v>2.939598</v>
      </c>
      <c r="K1101" s="120">
        <f t="shared" si="809"/>
        <v>0</v>
      </c>
      <c r="L1101" s="120">
        <f t="shared" si="809"/>
        <v>2.757163</v>
      </c>
      <c r="M1101" s="120">
        <f t="shared" si="809"/>
        <v>0</v>
      </c>
      <c r="N1101" s="120">
        <f t="shared" si="809"/>
        <v>0</v>
      </c>
      <c r="O1101" s="120">
        <f t="shared" si="809"/>
        <v>0</v>
      </c>
      <c r="P1101" s="120">
        <f t="shared" si="809"/>
        <v>1.770774</v>
      </c>
      <c r="Q1101" s="120">
        <f t="shared" si="809"/>
        <v>0</v>
      </c>
    </row>
    <row r="1102" ht="24" customHeight="1" spans="1:17">
      <c r="A1102" s="99" t="s">
        <v>347</v>
      </c>
      <c r="B1102" s="99" t="s">
        <v>299</v>
      </c>
      <c r="C1102" s="99" t="s">
        <v>336</v>
      </c>
      <c r="D1102" s="48" t="s">
        <v>31</v>
      </c>
      <c r="E1102" s="48" t="s">
        <v>406</v>
      </c>
      <c r="F1102" s="121">
        <f>SUMIFS('2024数据'!$BC$3:$BC$152,'2024数据'!$P$3:$P$152,"&gt;="&amp;DATE(2024,1,1),'2024数据'!$P$3:$P$152,"&lt;="&amp;DATE(2024,1,31),'2024数据'!$AE$3:$AE$152,$E1102)/10000</f>
        <v>0</v>
      </c>
      <c r="G1102" s="121">
        <f>SUMIFS('2024数据'!$BC$3:$BC$152,'2024数据'!$P$3:$P$152,"&gt;="&amp;DATE(2024,2,1),'2024数据'!$P$3:$P$152,"&lt;="&amp;DATE(2024,2,29),'2024数据'!$AE$3:$AE$152,$E1102)/10000</f>
        <v>0</v>
      </c>
      <c r="H1102" s="121">
        <f>SUMIFS('2024数据'!$BC$3:$BC$152,'2024数据'!$P$3:$P$152,"&gt;="&amp;DATE(2024,3,1),'2024数据'!$P$3:$P$152,"&lt;="&amp;DATE(2024,3,31),'2024数据'!$AE$3:$AE$152,$E1102)/10000</f>
        <v>0</v>
      </c>
      <c r="I1102" s="121">
        <f>SUMIFS('2024数据'!$BC$3:$BC$152,'2024数据'!$P$3:$P$152,"&gt;="&amp;DATE(2024,4,1),'2024数据'!$P$3:$P$152,"&lt;="&amp;DATE(2024,4,30),'2024数据'!$AE$3:$AE$152,$E1102)/10000</f>
        <v>0.853543</v>
      </c>
      <c r="J1102" s="121">
        <f>SUMIFS('2024数据'!$BC$3:$BC$152,'2024数据'!$P$3:$P$152,"&gt;="&amp;DATE(2024,5,1),'2024数据'!$P$3:$P$152,"&lt;="&amp;DATE(2024,5,31),'2024数据'!$AE$3:$AE$152,$E1102)/10000</f>
        <v>0</v>
      </c>
      <c r="K1102" s="121">
        <f>SUMIFS('2024数据'!$BC$3:$BC$152,'2024数据'!$P$3:$P$152,"&gt;="&amp;DATE(2024,6,1),'2024数据'!$P$3:$P$152,"&lt;="&amp;DATE(2024,6,30),'2024数据'!$AE$3:$AE$152,$E1102)/10000</f>
        <v>0</v>
      </c>
      <c r="L1102" s="121">
        <f>SUMIFS('2024数据'!$BC$3:$BC$152,'2024数据'!$P$3:$P$152,"&gt;="&amp;DATE(2024,7,1),'2024数据'!$P$3:$P$152,"&lt;="&amp;DATE(2024,7,31),'2024数据'!$AE$3:$AE$152,$E1102)/10000</f>
        <v>0</v>
      </c>
      <c r="M1102" s="121">
        <f>SUMIFS('2024数据'!$BC$3:$BC$152,'2024数据'!$P$3:$P$152,"&gt;="&amp;DATE(2024,8,1),'2024数据'!$P$3:$P$152,"&lt;="&amp;DATE(2024,8,31),'2024数据'!$AE$3:$AE$152,$E1102)/10000</f>
        <v>0</v>
      </c>
      <c r="N1102" s="121">
        <f>SUMIFS('2024数据'!$BC$3:$BC$152,'2024数据'!$P$3:$P$152,"&gt;="&amp;DATE(2024,9,1),'2024数据'!$P$3:$P$152,"&lt;="&amp;DATE(2024,9,30),'2024数据'!$AE$3:$AE$152,$E1102)/10000</f>
        <v>0</v>
      </c>
      <c r="O1102" s="121">
        <f>SUMIFS('2024数据'!$BC$3:$BC$152,'2024数据'!$P$3:$P$152,"&gt;="&amp;DATE(2024,10,1),'2024数据'!$P$3:$P$152,"&lt;="&amp;DATE(2024,10,31),'2024数据'!$AE$3:$AE$152,$E1102)/10000</f>
        <v>0</v>
      </c>
      <c r="P1102" s="121">
        <f>SUMIFS('2024数据'!$BC$3:$BC$152,'2024数据'!$P$3:$P$152,"&gt;="&amp;DATE(2024,11,1),'2024数据'!$P$3:$P$152,"&lt;="&amp;DATE(2024,11,30),'2024数据'!$AE$3:$AE$152,$E1102)/10000</f>
        <v>0</v>
      </c>
      <c r="Q1102" s="121">
        <f>SUMIFS('2024数据'!$BC$3:$BC$152,'2024数据'!$P$3:$P$152,"&gt;="&amp;DATE(2024,12,1),'2024数据'!$P$3:$P$152,"&lt;="&amp;DATE(2024,12,31),'2024数据'!$AE$3:$AE$152,$E1102)/10000</f>
        <v>0</v>
      </c>
    </row>
    <row r="1103" ht="24" customHeight="1" spans="1:17">
      <c r="A1103" s="99" t="s">
        <v>347</v>
      </c>
      <c r="B1103" s="99" t="s">
        <v>299</v>
      </c>
      <c r="C1103" s="99" t="s">
        <v>336</v>
      </c>
      <c r="D1103" s="48" t="s">
        <v>31</v>
      </c>
      <c r="E1103" s="48" t="s">
        <v>82</v>
      </c>
      <c r="F1103" s="121">
        <f>SUMIFS('2024数据'!$BC$3:$BC$152,'2024数据'!$P$3:$P$152,"&gt;="&amp;DATE(2024,1,1),'2024数据'!$P$3:$P$152,"&lt;="&amp;DATE(2024,1,31),'2024数据'!$AE$3:$AE$152,$E1103)/10000</f>
        <v>0</v>
      </c>
      <c r="G1103" s="121">
        <f>SUMIFS('2024数据'!$BC$3:$BC$152,'2024数据'!$P$3:$P$152,"&gt;="&amp;DATE(2024,2,1),'2024数据'!$P$3:$P$152,"&lt;="&amp;DATE(2024,2,29),'2024数据'!$AE$3:$AE$152,$E1103)/10000</f>
        <v>0</v>
      </c>
      <c r="H1103" s="121">
        <f>SUMIFS('2024数据'!$BC$3:$BC$152,'2024数据'!$P$3:$P$152,"&gt;="&amp;DATE(2024,3,1),'2024数据'!$P$3:$P$152,"&lt;="&amp;DATE(2024,3,31),'2024数据'!$AE$3:$AE$152,$E1103)/10000</f>
        <v>0</v>
      </c>
      <c r="I1103" s="121">
        <f>SUMIFS('2024数据'!$BC$3:$BC$152,'2024数据'!$P$3:$P$152,"&gt;="&amp;DATE(2024,4,1),'2024数据'!$P$3:$P$152,"&lt;="&amp;DATE(2024,4,30),'2024数据'!$AE$3:$AE$152,$E1103)/10000</f>
        <v>0</v>
      </c>
      <c r="J1103" s="121">
        <f>SUMIFS('2024数据'!$BC$3:$BC$152,'2024数据'!$P$3:$P$152,"&gt;="&amp;DATE(2024,5,1),'2024数据'!$P$3:$P$152,"&lt;="&amp;DATE(2024,5,31),'2024数据'!$AE$3:$AE$152,$E1103)/10000</f>
        <v>0</v>
      </c>
      <c r="K1103" s="121">
        <f>SUMIFS('2024数据'!$BC$3:$BC$152,'2024数据'!$P$3:$P$152,"&gt;="&amp;DATE(2024,6,1),'2024数据'!$P$3:$P$152,"&lt;="&amp;DATE(2024,6,30),'2024数据'!$AE$3:$AE$152,$E1103)/10000</f>
        <v>0</v>
      </c>
      <c r="L1103" s="121">
        <f>SUMIFS('2024数据'!$BC$3:$BC$152,'2024数据'!$P$3:$P$152,"&gt;="&amp;DATE(2024,7,1),'2024数据'!$P$3:$P$152,"&lt;="&amp;DATE(2024,7,31),'2024数据'!$AE$3:$AE$152,$E1103)/10000</f>
        <v>0</v>
      </c>
      <c r="M1103" s="121">
        <f>SUMIFS('2024数据'!$BC$3:$BC$152,'2024数据'!$P$3:$P$152,"&gt;="&amp;DATE(2024,8,1),'2024数据'!$P$3:$P$152,"&lt;="&amp;DATE(2024,8,31),'2024数据'!$AE$3:$AE$152,$E1103)/10000</f>
        <v>0</v>
      </c>
      <c r="N1103" s="121">
        <f>SUMIFS('2024数据'!$BC$3:$BC$152,'2024数据'!$P$3:$P$152,"&gt;="&amp;DATE(2024,9,1),'2024数据'!$P$3:$P$152,"&lt;="&amp;DATE(2024,9,30),'2024数据'!$AE$3:$AE$152,$E1103)/10000</f>
        <v>0</v>
      </c>
      <c r="O1103" s="121">
        <f>SUMIFS('2024数据'!$BC$3:$BC$152,'2024数据'!$P$3:$P$152,"&gt;="&amp;DATE(2024,10,1),'2024数据'!$P$3:$P$152,"&lt;="&amp;DATE(2024,10,31),'2024数据'!$AE$3:$AE$152,$E1103)/10000</f>
        <v>0</v>
      </c>
      <c r="P1103" s="121">
        <f>SUMIFS('2024数据'!$BC$3:$BC$152,'2024数据'!$P$3:$P$152,"&gt;="&amp;DATE(2024,11,1),'2024数据'!$P$3:$P$152,"&lt;="&amp;DATE(2024,11,30),'2024数据'!$AE$3:$AE$152,$E1103)/10000</f>
        <v>0</v>
      </c>
      <c r="Q1103" s="121">
        <f>SUMIFS('2024数据'!$BC$3:$BC$152,'2024数据'!$P$3:$P$152,"&gt;="&amp;DATE(2024,12,1),'2024数据'!$P$3:$P$152,"&lt;="&amp;DATE(2024,12,31),'2024数据'!$AE$3:$AE$152,$E1103)/10000</f>
        <v>0</v>
      </c>
    </row>
    <row r="1104" ht="24" customHeight="1" spans="1:17">
      <c r="A1104" s="99" t="s">
        <v>347</v>
      </c>
      <c r="B1104" s="99" t="s">
        <v>299</v>
      </c>
      <c r="C1104" s="99" t="s">
        <v>336</v>
      </c>
      <c r="D1104" s="48" t="s">
        <v>31</v>
      </c>
      <c r="E1104" s="48" t="s">
        <v>86</v>
      </c>
      <c r="F1104" s="121">
        <f>SUMIFS('2024数据'!$BC$3:$BC$152,'2024数据'!$P$3:$P$152,"&gt;="&amp;DATE(2024,1,1),'2024数据'!$P$3:$P$152,"&lt;="&amp;DATE(2024,1,31),'2024数据'!$AE$3:$AE$152,$E1104)/10000</f>
        <v>0</v>
      </c>
      <c r="G1104" s="121">
        <f>SUMIFS('2024数据'!$BC$3:$BC$152,'2024数据'!$P$3:$P$152,"&gt;="&amp;DATE(2024,2,1),'2024数据'!$P$3:$P$152,"&lt;="&amp;DATE(2024,2,29),'2024数据'!$AE$3:$AE$152,$E1104)/10000</f>
        <v>0</v>
      </c>
      <c r="H1104" s="121">
        <f>SUMIFS('2024数据'!$BC$3:$BC$152,'2024数据'!$P$3:$P$152,"&gt;="&amp;DATE(2024,3,1),'2024数据'!$P$3:$P$152,"&lt;="&amp;DATE(2024,3,31),'2024数据'!$AE$3:$AE$152,$E1104)/10000</f>
        <v>0</v>
      </c>
      <c r="I1104" s="121">
        <f>SUMIFS('2024数据'!$BC$3:$BC$152,'2024数据'!$P$3:$P$152,"&gt;="&amp;DATE(2024,4,1),'2024数据'!$P$3:$P$152,"&lt;="&amp;DATE(2024,4,30),'2024数据'!$AE$3:$AE$152,$E1104)/10000</f>
        <v>0</v>
      </c>
      <c r="J1104" s="121">
        <f>SUMIFS('2024数据'!$BC$3:$BC$152,'2024数据'!$P$3:$P$152,"&gt;="&amp;DATE(2024,5,1),'2024数据'!$P$3:$P$152,"&lt;="&amp;DATE(2024,5,31),'2024数据'!$AE$3:$AE$152,$E1104)/10000</f>
        <v>0</v>
      </c>
      <c r="K1104" s="121">
        <f>SUMIFS('2024数据'!$BC$3:$BC$152,'2024数据'!$P$3:$P$152,"&gt;="&amp;DATE(2024,6,1),'2024数据'!$P$3:$P$152,"&lt;="&amp;DATE(2024,6,30),'2024数据'!$AE$3:$AE$152,$E1104)/10000</f>
        <v>0</v>
      </c>
      <c r="L1104" s="121">
        <f>SUMIFS('2024数据'!$BC$3:$BC$152,'2024数据'!$P$3:$P$152,"&gt;="&amp;DATE(2024,7,1),'2024数据'!$P$3:$P$152,"&lt;="&amp;DATE(2024,7,31),'2024数据'!$AE$3:$AE$152,$E1104)/10000</f>
        <v>0</v>
      </c>
      <c r="M1104" s="121">
        <f>SUMIFS('2024数据'!$BC$3:$BC$152,'2024数据'!$P$3:$P$152,"&gt;="&amp;DATE(2024,8,1),'2024数据'!$P$3:$P$152,"&lt;="&amp;DATE(2024,8,31),'2024数据'!$AE$3:$AE$152,$E1104)/10000</f>
        <v>0</v>
      </c>
      <c r="N1104" s="121">
        <f>SUMIFS('2024数据'!$BC$3:$BC$152,'2024数据'!$P$3:$P$152,"&gt;="&amp;DATE(2024,9,1),'2024数据'!$P$3:$P$152,"&lt;="&amp;DATE(2024,9,30),'2024数据'!$AE$3:$AE$152,$E1104)/10000</f>
        <v>0</v>
      </c>
      <c r="O1104" s="121">
        <f>SUMIFS('2024数据'!$BC$3:$BC$152,'2024数据'!$P$3:$P$152,"&gt;="&amp;DATE(2024,10,1),'2024数据'!$P$3:$P$152,"&lt;="&amp;DATE(2024,10,31),'2024数据'!$AE$3:$AE$152,$E1104)/10000</f>
        <v>0</v>
      </c>
      <c r="P1104" s="121">
        <f>SUMIFS('2024数据'!$BC$3:$BC$152,'2024数据'!$P$3:$P$152,"&gt;="&amp;DATE(2024,11,1),'2024数据'!$P$3:$P$152,"&lt;="&amp;DATE(2024,11,30),'2024数据'!$AE$3:$AE$152,$E1104)/10000</f>
        <v>0</v>
      </c>
      <c r="Q1104" s="121">
        <f>SUMIFS('2024数据'!$BC$3:$BC$152,'2024数据'!$P$3:$P$152,"&gt;="&amp;DATE(2024,12,1),'2024数据'!$P$3:$P$152,"&lt;="&amp;DATE(2024,12,31),'2024数据'!$AE$3:$AE$152,$E1104)/10000</f>
        <v>0</v>
      </c>
    </row>
    <row r="1105" ht="24" customHeight="1" spans="1:17">
      <c r="A1105" s="99" t="s">
        <v>347</v>
      </c>
      <c r="B1105" s="99" t="s">
        <v>299</v>
      </c>
      <c r="C1105" s="99" t="s">
        <v>336</v>
      </c>
      <c r="D1105" s="48" t="s">
        <v>31</v>
      </c>
      <c r="E1105" s="48" t="s">
        <v>97</v>
      </c>
      <c r="F1105" s="121">
        <f>SUMIFS('2024数据'!$BC$3:$BC$152,'2024数据'!$P$3:$P$152,"&gt;="&amp;DATE(2024,1,1),'2024数据'!$P$3:$P$152,"&lt;="&amp;DATE(2024,1,31),'2024数据'!$AE$3:$AE$152,$E1105)/10000</f>
        <v>0</v>
      </c>
      <c r="G1105" s="121">
        <f>SUMIFS('2024数据'!$BC$3:$BC$152,'2024数据'!$P$3:$P$152,"&gt;="&amp;DATE(2024,2,1),'2024数据'!$P$3:$P$152,"&lt;="&amp;DATE(2024,2,29),'2024数据'!$AE$3:$AE$152,$E1105)/10000</f>
        <v>0</v>
      </c>
      <c r="H1105" s="121">
        <f>SUMIFS('2024数据'!$BC$3:$BC$152,'2024数据'!$P$3:$P$152,"&gt;="&amp;DATE(2024,3,1),'2024数据'!$P$3:$P$152,"&lt;="&amp;DATE(2024,3,31),'2024数据'!$AE$3:$AE$152,$E1105)/10000</f>
        <v>0</v>
      </c>
      <c r="I1105" s="121">
        <f>SUMIFS('2024数据'!$BC$3:$BC$152,'2024数据'!$P$3:$P$152,"&gt;="&amp;DATE(2024,4,1),'2024数据'!$P$3:$P$152,"&lt;="&amp;DATE(2024,4,30),'2024数据'!$AE$3:$AE$152,$E1105)/10000</f>
        <v>0</v>
      </c>
      <c r="J1105" s="121">
        <f>SUMIFS('2024数据'!$BC$3:$BC$152,'2024数据'!$P$3:$P$152,"&gt;="&amp;DATE(2024,5,1),'2024数据'!$P$3:$P$152,"&lt;="&amp;DATE(2024,5,31),'2024数据'!$AE$3:$AE$152,$E1105)/10000</f>
        <v>2.939598</v>
      </c>
      <c r="K1105" s="121">
        <f>SUMIFS('2024数据'!$BC$3:$BC$152,'2024数据'!$P$3:$P$152,"&gt;="&amp;DATE(2024,6,1),'2024数据'!$P$3:$P$152,"&lt;="&amp;DATE(2024,6,30),'2024数据'!$AE$3:$AE$152,$E1105)/10000</f>
        <v>0</v>
      </c>
      <c r="L1105" s="121">
        <f>SUMIFS('2024数据'!$BC$3:$BC$152,'2024数据'!$P$3:$P$152,"&gt;="&amp;DATE(2024,7,1),'2024数据'!$P$3:$P$152,"&lt;="&amp;DATE(2024,7,31),'2024数据'!$AE$3:$AE$152,$E1105)/10000</f>
        <v>0</v>
      </c>
      <c r="M1105" s="121">
        <f>SUMIFS('2024数据'!$BC$3:$BC$152,'2024数据'!$P$3:$P$152,"&gt;="&amp;DATE(2024,8,1),'2024数据'!$P$3:$P$152,"&lt;="&amp;DATE(2024,8,31),'2024数据'!$AE$3:$AE$152,$E1105)/10000</f>
        <v>0</v>
      </c>
      <c r="N1105" s="121">
        <f>SUMIFS('2024数据'!$BC$3:$BC$152,'2024数据'!$P$3:$P$152,"&gt;="&amp;DATE(2024,9,1),'2024数据'!$P$3:$P$152,"&lt;="&amp;DATE(2024,9,30),'2024数据'!$AE$3:$AE$152,$E1105)/10000</f>
        <v>0</v>
      </c>
      <c r="O1105" s="121">
        <f>SUMIFS('2024数据'!$BC$3:$BC$152,'2024数据'!$P$3:$P$152,"&gt;="&amp;DATE(2024,10,1),'2024数据'!$P$3:$P$152,"&lt;="&amp;DATE(2024,10,31),'2024数据'!$AE$3:$AE$152,$E1105)/10000</f>
        <v>0</v>
      </c>
      <c r="P1105" s="121">
        <f>SUMIFS('2024数据'!$BC$3:$BC$152,'2024数据'!$P$3:$P$152,"&gt;="&amp;DATE(2024,11,1),'2024数据'!$P$3:$P$152,"&lt;="&amp;DATE(2024,11,30),'2024数据'!$AE$3:$AE$152,$E1105)/10000</f>
        <v>0</v>
      </c>
      <c r="Q1105" s="121">
        <f>SUMIFS('2024数据'!$BC$3:$BC$152,'2024数据'!$P$3:$P$152,"&gt;="&amp;DATE(2024,12,1),'2024数据'!$P$3:$P$152,"&lt;="&amp;DATE(2024,12,31),'2024数据'!$AE$3:$AE$152,$E1105)/10000</f>
        <v>0</v>
      </c>
    </row>
    <row r="1106" ht="24" customHeight="1" spans="1:17">
      <c r="A1106" s="99" t="s">
        <v>347</v>
      </c>
      <c r="B1106" s="99" t="s">
        <v>299</v>
      </c>
      <c r="C1106" s="99" t="s">
        <v>336</v>
      </c>
      <c r="D1106" s="48" t="s">
        <v>31</v>
      </c>
      <c r="E1106" s="48" t="s">
        <v>87</v>
      </c>
      <c r="F1106" s="121">
        <f>SUMIFS('2024数据'!$BC$3:$BC$152,'2024数据'!$P$3:$P$152,"&gt;="&amp;DATE(2024,1,1),'2024数据'!$P$3:$P$152,"&lt;="&amp;DATE(2024,1,31),'2024数据'!$AE$3:$AE$152,$E1106)/10000</f>
        <v>0</v>
      </c>
      <c r="G1106" s="121">
        <f>SUMIFS('2024数据'!$BC$3:$BC$152,'2024数据'!$P$3:$P$152,"&gt;="&amp;DATE(2024,2,1),'2024数据'!$P$3:$P$152,"&lt;="&amp;DATE(2024,2,29),'2024数据'!$AE$3:$AE$152,$E1106)/10000</f>
        <v>0</v>
      </c>
      <c r="H1106" s="121">
        <f>SUMIFS('2024数据'!$BC$3:$BC$152,'2024数据'!$P$3:$P$152,"&gt;="&amp;DATE(2024,3,1),'2024数据'!$P$3:$P$152,"&lt;="&amp;DATE(2024,3,31),'2024数据'!$AE$3:$AE$152,$E1106)/10000</f>
        <v>0</v>
      </c>
      <c r="I1106" s="121">
        <f>SUMIFS('2024数据'!$BC$3:$BC$152,'2024数据'!$P$3:$P$152,"&gt;="&amp;DATE(2024,4,1),'2024数据'!$P$3:$P$152,"&lt;="&amp;DATE(2024,4,30),'2024数据'!$AE$3:$AE$152,$E1106)/10000</f>
        <v>0</v>
      </c>
      <c r="J1106" s="121">
        <f>SUMIFS('2024数据'!$BC$3:$BC$152,'2024数据'!$P$3:$P$152,"&gt;="&amp;DATE(2024,5,1),'2024数据'!$P$3:$P$152,"&lt;="&amp;DATE(2024,5,31),'2024数据'!$AE$3:$AE$152,$E1106)/10000</f>
        <v>0</v>
      </c>
      <c r="K1106" s="121">
        <f>SUMIFS('2024数据'!$BC$3:$BC$152,'2024数据'!$P$3:$P$152,"&gt;="&amp;DATE(2024,6,1),'2024数据'!$P$3:$P$152,"&lt;="&amp;DATE(2024,6,30),'2024数据'!$AE$3:$AE$152,$E1106)/10000</f>
        <v>0</v>
      </c>
      <c r="L1106" s="121">
        <f>SUMIFS('2024数据'!$BC$3:$BC$152,'2024数据'!$P$3:$P$152,"&gt;="&amp;DATE(2024,7,1),'2024数据'!$P$3:$P$152,"&lt;="&amp;DATE(2024,7,31),'2024数据'!$AE$3:$AE$152,$E1106)/10000</f>
        <v>2.757163</v>
      </c>
      <c r="M1106" s="121">
        <f>SUMIFS('2024数据'!$BC$3:$BC$152,'2024数据'!$P$3:$P$152,"&gt;="&amp;DATE(2024,8,1),'2024数据'!$P$3:$P$152,"&lt;="&amp;DATE(2024,8,31),'2024数据'!$AE$3:$AE$152,$E1106)/10000</f>
        <v>0</v>
      </c>
      <c r="N1106" s="121">
        <f>SUMIFS('2024数据'!$BC$3:$BC$152,'2024数据'!$P$3:$P$152,"&gt;="&amp;DATE(2024,9,1),'2024数据'!$P$3:$P$152,"&lt;="&amp;DATE(2024,9,30),'2024数据'!$AE$3:$AE$152,$E1106)/10000</f>
        <v>0</v>
      </c>
      <c r="O1106" s="121">
        <f>SUMIFS('2024数据'!$BC$3:$BC$152,'2024数据'!$P$3:$P$152,"&gt;="&amp;DATE(2024,10,1),'2024数据'!$P$3:$P$152,"&lt;="&amp;DATE(2024,10,31),'2024数据'!$AE$3:$AE$152,$E1106)/10000</f>
        <v>0</v>
      </c>
      <c r="P1106" s="121">
        <f>SUMIFS('2024数据'!$BC$3:$BC$152,'2024数据'!$P$3:$P$152,"&gt;="&amp;DATE(2024,11,1),'2024数据'!$P$3:$P$152,"&lt;="&amp;DATE(2024,11,30),'2024数据'!$AE$3:$AE$152,$E1106)/10000</f>
        <v>1.770774</v>
      </c>
      <c r="Q1106" s="121">
        <f>SUMIFS('2024数据'!$BC$3:$BC$152,'2024数据'!$P$3:$P$152,"&gt;="&amp;DATE(2024,12,1),'2024数据'!$P$3:$P$152,"&lt;="&amp;DATE(2024,12,31),'2024数据'!$AE$3:$AE$152,$E1106)/10000</f>
        <v>0</v>
      </c>
    </row>
    <row r="1107" ht="24" customHeight="1" spans="1:17">
      <c r="A1107" s="99" t="s">
        <v>347</v>
      </c>
      <c r="B1107" s="99" t="s">
        <v>299</v>
      </c>
      <c r="C1107" s="99" t="s">
        <v>336</v>
      </c>
      <c r="D1107" s="48" t="s">
        <v>31</v>
      </c>
      <c r="E1107" s="48" t="s">
        <v>83</v>
      </c>
      <c r="F1107" s="121">
        <f>SUMIFS('2024数据'!$BC$3:$BC$152,'2024数据'!$P$3:$P$152,"&gt;="&amp;DATE(2024,1,1),'2024数据'!$P$3:$P$152,"&lt;="&amp;DATE(2024,1,31),'2024数据'!$AE$3:$AE$152,$E1107)/10000</f>
        <v>0</v>
      </c>
      <c r="G1107" s="121">
        <f>SUMIFS('2024数据'!$BC$3:$BC$152,'2024数据'!$P$3:$P$152,"&gt;="&amp;DATE(2024,2,1),'2024数据'!$P$3:$P$152,"&lt;="&amp;DATE(2024,2,29),'2024数据'!$AE$3:$AE$152,$E1107)/10000</f>
        <v>0</v>
      </c>
      <c r="H1107" s="121">
        <f>SUMIFS('2024数据'!$BC$3:$BC$152,'2024数据'!$P$3:$P$152,"&gt;="&amp;DATE(2024,3,1),'2024数据'!$P$3:$P$152,"&lt;="&amp;DATE(2024,3,31),'2024数据'!$AE$3:$AE$152,$E1107)/10000</f>
        <v>0</v>
      </c>
      <c r="I1107" s="121">
        <f>SUMIFS('2024数据'!$BC$3:$BC$152,'2024数据'!$P$3:$P$152,"&gt;="&amp;DATE(2024,4,1),'2024数据'!$P$3:$P$152,"&lt;="&amp;DATE(2024,4,30),'2024数据'!$AE$3:$AE$152,$E1107)/10000</f>
        <v>0</v>
      </c>
      <c r="J1107" s="121">
        <f>SUMIFS('2024数据'!$BC$3:$BC$152,'2024数据'!$P$3:$P$152,"&gt;="&amp;DATE(2024,5,1),'2024数据'!$P$3:$P$152,"&lt;="&amp;DATE(2024,5,31),'2024数据'!$AE$3:$AE$152,$E1107)/10000</f>
        <v>0</v>
      </c>
      <c r="K1107" s="121">
        <f>SUMIFS('2024数据'!$BC$3:$BC$152,'2024数据'!$P$3:$P$152,"&gt;="&amp;DATE(2024,6,1),'2024数据'!$P$3:$P$152,"&lt;="&amp;DATE(2024,6,30),'2024数据'!$AE$3:$AE$152,$E1107)/10000</f>
        <v>0</v>
      </c>
      <c r="L1107" s="121">
        <f>SUMIFS('2024数据'!$BC$3:$BC$152,'2024数据'!$P$3:$P$152,"&gt;="&amp;DATE(2024,7,1),'2024数据'!$P$3:$P$152,"&lt;="&amp;DATE(2024,7,31),'2024数据'!$AE$3:$AE$152,$E1107)/10000</f>
        <v>0</v>
      </c>
      <c r="M1107" s="121">
        <f>SUMIFS('2024数据'!$BC$3:$BC$152,'2024数据'!$P$3:$P$152,"&gt;="&amp;DATE(2024,8,1),'2024数据'!$P$3:$P$152,"&lt;="&amp;DATE(2024,8,31),'2024数据'!$AE$3:$AE$152,$E1107)/10000</f>
        <v>0</v>
      </c>
      <c r="N1107" s="121">
        <f>SUMIFS('2024数据'!$BC$3:$BC$152,'2024数据'!$P$3:$P$152,"&gt;="&amp;DATE(2024,9,1),'2024数据'!$P$3:$P$152,"&lt;="&amp;DATE(2024,9,30),'2024数据'!$AE$3:$AE$152,$E1107)/10000</f>
        <v>0</v>
      </c>
      <c r="O1107" s="121">
        <f>SUMIFS('2024数据'!$BC$3:$BC$152,'2024数据'!$P$3:$P$152,"&gt;="&amp;DATE(2024,10,1),'2024数据'!$P$3:$P$152,"&lt;="&amp;DATE(2024,10,31),'2024数据'!$AE$3:$AE$152,$E1107)/10000</f>
        <v>0</v>
      </c>
      <c r="P1107" s="121">
        <f>SUMIFS('2024数据'!$BC$3:$BC$152,'2024数据'!$P$3:$P$152,"&gt;="&amp;DATE(2024,11,1),'2024数据'!$P$3:$P$152,"&lt;="&amp;DATE(2024,11,30),'2024数据'!$AE$3:$AE$152,$E1107)/10000</f>
        <v>0</v>
      </c>
      <c r="Q1107" s="121">
        <f>SUMIFS('2024数据'!$BC$3:$BC$152,'2024数据'!$P$3:$P$152,"&gt;="&amp;DATE(2024,12,1),'2024数据'!$P$3:$P$152,"&lt;="&amp;DATE(2024,12,31),'2024数据'!$AE$3:$AE$152,$E1107)/10000</f>
        <v>0</v>
      </c>
    </row>
    <row r="1108" ht="24" customHeight="1" spans="1:17">
      <c r="A1108" s="99" t="s">
        <v>347</v>
      </c>
      <c r="B1108" s="99" t="s">
        <v>299</v>
      </c>
      <c r="C1108" s="99" t="s">
        <v>336</v>
      </c>
      <c r="D1108" s="47" t="s">
        <v>294</v>
      </c>
      <c r="E1108" s="47" t="s">
        <v>93</v>
      </c>
      <c r="F1108" s="121">
        <f>SUMIFS('2024数据'!$BC$3:$BC$152,'2024数据'!$P$3:$P$152,"&gt;="&amp;DATE(2024,1,1),'2024数据'!$P$3:$P$152,"&lt;="&amp;DATE(2024,1,31),'2024数据'!$B$3:$B$152,$E1108)/10000</f>
        <v>0</v>
      </c>
      <c r="G1108" s="121">
        <f>SUMIFS('2024数据'!$BC$3:$BC$152,'2024数据'!$P$3:$P$152,"&gt;="&amp;DATE(2024,2,1),'2024数据'!$P$3:$P$152,"&lt;="&amp;DATE(2024,2,29),'2024数据'!$B$3:$B$152,$E1108)/10000</f>
        <v>0</v>
      </c>
      <c r="H1108" s="121">
        <f>SUMIFS('2024数据'!$BC$3:$BC$152,'2024数据'!$P$3:$P$152,"&gt;="&amp;DATE(2024,3,1),'2024数据'!$P$3:$P$152,"&lt;="&amp;DATE(2024,3,31),'2024数据'!$B$3:$B$152,$E1108)/10000</f>
        <v>0</v>
      </c>
      <c r="I1108" s="121">
        <f>SUMIFS('2024数据'!$BC$3:$BC$152,'2024数据'!$P$3:$P$152,"&gt;="&amp;DATE(2024,4,1),'2024数据'!$P$3:$P$152,"&lt;="&amp;DATE(2024,4,30),'2024数据'!$B$3:$B$152,$E1108)/10000</f>
        <v>0</v>
      </c>
      <c r="J1108" s="121">
        <f>SUMIFS('2024数据'!$BC$3:$BC$152,'2024数据'!$P$3:$P$152,"&gt;="&amp;DATE(2024,5,1),'2024数据'!$P$3:$P$152,"&lt;="&amp;DATE(2024,5,31),'2024数据'!$B$3:$B$152,$E1108)/10000</f>
        <v>2.939598</v>
      </c>
      <c r="K1108" s="121">
        <f>SUMIFS('2024数据'!$BC$3:$BC$152,'2024数据'!$P$3:$P$152,"&gt;="&amp;DATE(2024,6,1),'2024数据'!$P$3:$P$152,"&lt;="&amp;DATE(2024,6,30),'2024数据'!$B$3:$B$152,$E1108)/10000</f>
        <v>0</v>
      </c>
      <c r="L1108" s="121">
        <f>SUMIFS('2024数据'!$BC$3:$BC$152,'2024数据'!$P$3:$P$152,"&gt;="&amp;DATE(2024,7,1),'2024数据'!$P$3:$P$152,"&lt;="&amp;DATE(2024,7,31),'2024数据'!$B$3:$B$152,$E1108)/10000</f>
        <v>0</v>
      </c>
      <c r="M1108" s="121">
        <f>SUMIFS('2024数据'!$BC$3:$BC$152,'2024数据'!$P$3:$P$152,"&gt;="&amp;DATE(2024,8,1),'2024数据'!$P$3:$P$152,"&lt;="&amp;DATE(2024,8,31),'2024数据'!$B$3:$B$152,$E1108)/10000</f>
        <v>0</v>
      </c>
      <c r="N1108" s="121">
        <f>SUMIFS('2024数据'!$BC$3:$BC$152,'2024数据'!$P$3:$P$152,"&gt;="&amp;DATE(2024,9,1),'2024数据'!$P$3:$P$152,"&lt;="&amp;DATE(2024,9,30),'2024数据'!$B$3:$B$152,$E1108)/10000</f>
        <v>0</v>
      </c>
      <c r="O1108" s="121">
        <f>SUMIFS('2024数据'!$BC$3:$BC$152,'2024数据'!$P$3:$P$152,"&gt;="&amp;DATE(2024,10,1),'2024数据'!$P$3:$P$152,"&lt;="&amp;DATE(2024,10,31),'2024数据'!$B$3:$B$152,$E1108)/10000</f>
        <v>0</v>
      </c>
      <c r="P1108" s="121">
        <f>SUMIFS('2024数据'!$BC$3:$BC$152,'2024数据'!$P$3:$P$152,"&gt;="&amp;DATE(2024,11,1),'2024数据'!$P$3:$P$152,"&lt;="&amp;DATE(2024,11,30),'2024数据'!$B$3:$B$152,$E1108)/10000</f>
        <v>1.770774</v>
      </c>
      <c r="Q1108" s="121">
        <f>SUMIFS('2024数据'!$BC$3:$BC$152,'2024数据'!$P$3:$P$152,"&gt;="&amp;DATE(2024,12,1),'2024数据'!$P$3:$P$152,"&lt;="&amp;DATE(2024,12,31),'2024数据'!$B$3:$B$152,$E1108)/10000</f>
        <v>0</v>
      </c>
    </row>
    <row r="1109" ht="24" customHeight="1" spans="1:17">
      <c r="A1109" s="99" t="s">
        <v>347</v>
      </c>
      <c r="B1109" s="99" t="s">
        <v>299</v>
      </c>
      <c r="C1109" s="99" t="s">
        <v>336</v>
      </c>
      <c r="D1109" s="47" t="s">
        <v>294</v>
      </c>
      <c r="E1109" s="47" t="s">
        <v>85</v>
      </c>
      <c r="F1109" s="121">
        <f>SUMIFS('2024数据'!$BC$3:$BC$152,'2024数据'!$P$3:$P$152,"&gt;="&amp;DATE(2024,1,1),'2024数据'!$P$3:$P$152,"&lt;="&amp;DATE(2024,1,31),'2024数据'!$B$3:$B$152,$E1109)/10000</f>
        <v>0</v>
      </c>
      <c r="G1109" s="121">
        <f>SUMIFS('2024数据'!$BC$3:$BC$152,'2024数据'!$P$3:$P$152,"&gt;="&amp;DATE(2024,2,1),'2024数据'!$P$3:$P$152,"&lt;="&amp;DATE(2024,2,29),'2024数据'!$B$3:$B$152,$E1109)/10000</f>
        <v>0</v>
      </c>
      <c r="H1109" s="121">
        <f>SUMIFS('2024数据'!$BC$3:$BC$152,'2024数据'!$P$3:$P$152,"&gt;="&amp;DATE(2024,3,1),'2024数据'!$P$3:$P$152,"&lt;="&amp;DATE(2024,3,31),'2024数据'!$B$3:$B$152,$E1109)/10000</f>
        <v>0</v>
      </c>
      <c r="I1109" s="121">
        <f>SUMIFS('2024数据'!$BC$3:$BC$152,'2024数据'!$P$3:$P$152,"&gt;="&amp;DATE(2024,4,1),'2024数据'!$P$3:$P$152,"&lt;="&amp;DATE(2024,4,30),'2024数据'!$B$3:$B$152,$E1109)/10000</f>
        <v>0</v>
      </c>
      <c r="J1109" s="121">
        <f>SUMIFS('2024数据'!$BC$3:$BC$152,'2024数据'!$P$3:$P$152,"&gt;="&amp;DATE(2024,5,1),'2024数据'!$P$3:$P$152,"&lt;="&amp;DATE(2024,5,31),'2024数据'!$B$3:$B$152,$E1109)/10000</f>
        <v>0</v>
      </c>
      <c r="K1109" s="121">
        <f>SUMIFS('2024数据'!$BC$3:$BC$152,'2024数据'!$P$3:$P$152,"&gt;="&amp;DATE(2024,6,1),'2024数据'!$P$3:$P$152,"&lt;="&amp;DATE(2024,6,30),'2024数据'!$B$3:$B$152,$E1109)/10000</f>
        <v>0</v>
      </c>
      <c r="L1109" s="121">
        <f>SUMIFS('2024数据'!$BC$3:$BC$152,'2024数据'!$P$3:$P$152,"&gt;="&amp;DATE(2024,7,1),'2024数据'!$P$3:$P$152,"&lt;="&amp;DATE(2024,7,31),'2024数据'!$B$3:$B$152,$E1109)/10000</f>
        <v>0</v>
      </c>
      <c r="M1109" s="121">
        <f>SUMIFS('2024数据'!$BC$3:$BC$152,'2024数据'!$P$3:$P$152,"&gt;="&amp;DATE(2024,8,1),'2024数据'!$P$3:$P$152,"&lt;="&amp;DATE(2024,8,31),'2024数据'!$B$3:$B$152,$E1109)/10000</f>
        <v>0</v>
      </c>
      <c r="N1109" s="121">
        <f>SUMIFS('2024数据'!$BC$3:$BC$152,'2024数据'!$P$3:$P$152,"&gt;="&amp;DATE(2024,9,1),'2024数据'!$P$3:$P$152,"&lt;="&amp;DATE(2024,9,30),'2024数据'!$B$3:$B$152,$E1109)/10000</f>
        <v>0</v>
      </c>
      <c r="O1109" s="121">
        <f>SUMIFS('2024数据'!$BC$3:$BC$152,'2024数据'!$P$3:$P$152,"&gt;="&amp;DATE(2024,10,1),'2024数据'!$P$3:$P$152,"&lt;="&amp;DATE(2024,10,31),'2024数据'!$B$3:$B$152,$E1109)/10000</f>
        <v>0</v>
      </c>
      <c r="P1109" s="121">
        <f>SUMIFS('2024数据'!$BC$3:$BC$152,'2024数据'!$P$3:$P$152,"&gt;="&amp;DATE(2024,11,1),'2024数据'!$P$3:$P$152,"&lt;="&amp;DATE(2024,11,30),'2024数据'!$B$3:$B$152,$E1109)/10000</f>
        <v>0</v>
      </c>
      <c r="Q1109" s="121">
        <f>SUMIFS('2024数据'!$BC$3:$BC$152,'2024数据'!$P$3:$P$152,"&gt;="&amp;DATE(2024,12,1),'2024数据'!$P$3:$P$152,"&lt;="&amp;DATE(2024,12,31),'2024数据'!$B$3:$B$152,$E1109)/10000</f>
        <v>0</v>
      </c>
    </row>
    <row r="1110" ht="24" customHeight="1" spans="1:17">
      <c r="A1110" s="99" t="s">
        <v>347</v>
      </c>
      <c r="B1110" s="99" t="s">
        <v>299</v>
      </c>
      <c r="C1110" s="99" t="s">
        <v>336</v>
      </c>
      <c r="D1110" s="47" t="s">
        <v>294</v>
      </c>
      <c r="E1110" s="47" t="s">
        <v>81</v>
      </c>
      <c r="F1110" s="121">
        <f>SUMIFS('2024数据'!$BC$3:$BC$152,'2024数据'!$P$3:$P$152,"&gt;="&amp;DATE(2024,1,1),'2024数据'!$P$3:$P$152,"&lt;="&amp;DATE(2024,1,31),'2024数据'!$B$3:$B$152,$E1110)/10000</f>
        <v>0</v>
      </c>
      <c r="G1110" s="121">
        <f>SUMIFS('2024数据'!$BC$3:$BC$152,'2024数据'!$P$3:$P$152,"&gt;="&amp;DATE(2024,2,1),'2024数据'!$P$3:$P$152,"&lt;="&amp;DATE(2024,2,29),'2024数据'!$B$3:$B$152,$E1110)/10000</f>
        <v>0</v>
      </c>
      <c r="H1110" s="121">
        <f>SUMIFS('2024数据'!$BC$3:$BC$152,'2024数据'!$P$3:$P$152,"&gt;="&amp;DATE(2024,3,1),'2024数据'!$P$3:$P$152,"&lt;="&amp;DATE(2024,3,31),'2024数据'!$B$3:$B$152,$E1110)/10000</f>
        <v>0</v>
      </c>
      <c r="I1110" s="121">
        <f>SUMIFS('2024数据'!$BC$3:$BC$152,'2024数据'!$P$3:$P$152,"&gt;="&amp;DATE(2024,4,1),'2024数据'!$P$3:$P$152,"&lt;="&amp;DATE(2024,4,30),'2024数据'!$B$3:$B$152,$E1110)/10000</f>
        <v>0.853543</v>
      </c>
      <c r="J1110" s="121">
        <f>SUMIFS('2024数据'!$BC$3:$BC$152,'2024数据'!$P$3:$P$152,"&gt;="&amp;DATE(2024,5,1),'2024数据'!$P$3:$P$152,"&lt;="&amp;DATE(2024,5,31),'2024数据'!$B$3:$B$152,$E1110)/10000</f>
        <v>0</v>
      </c>
      <c r="K1110" s="121">
        <f>SUMIFS('2024数据'!$BC$3:$BC$152,'2024数据'!$P$3:$P$152,"&gt;="&amp;DATE(2024,6,1),'2024数据'!$P$3:$P$152,"&lt;="&amp;DATE(2024,6,30),'2024数据'!$B$3:$B$152,$E1110)/10000</f>
        <v>0</v>
      </c>
      <c r="L1110" s="121">
        <f>SUMIFS('2024数据'!$BC$3:$BC$152,'2024数据'!$P$3:$P$152,"&gt;="&amp;DATE(2024,7,1),'2024数据'!$P$3:$P$152,"&lt;="&amp;DATE(2024,7,31),'2024数据'!$B$3:$B$152,$E1110)/10000</f>
        <v>0</v>
      </c>
      <c r="M1110" s="121">
        <f>SUMIFS('2024数据'!$BC$3:$BC$152,'2024数据'!$P$3:$P$152,"&gt;="&amp;DATE(2024,8,1),'2024数据'!$P$3:$P$152,"&lt;="&amp;DATE(2024,8,31),'2024数据'!$B$3:$B$152,$E1110)/10000</f>
        <v>0</v>
      </c>
      <c r="N1110" s="121">
        <f>SUMIFS('2024数据'!$BC$3:$BC$152,'2024数据'!$P$3:$P$152,"&gt;="&amp;DATE(2024,9,1),'2024数据'!$P$3:$P$152,"&lt;="&amp;DATE(2024,9,30),'2024数据'!$B$3:$B$152,$E1110)/10000</f>
        <v>0</v>
      </c>
      <c r="O1110" s="121">
        <f>SUMIFS('2024数据'!$BC$3:$BC$152,'2024数据'!$P$3:$P$152,"&gt;="&amp;DATE(2024,10,1),'2024数据'!$P$3:$P$152,"&lt;="&amp;DATE(2024,10,31),'2024数据'!$B$3:$B$152,$E1110)/10000</f>
        <v>0</v>
      </c>
      <c r="P1110" s="121">
        <f>SUMIFS('2024数据'!$BC$3:$BC$152,'2024数据'!$P$3:$P$152,"&gt;="&amp;DATE(2024,11,1),'2024数据'!$P$3:$P$152,"&lt;="&amp;DATE(2024,11,30),'2024数据'!$B$3:$B$152,$E1110)/10000</f>
        <v>0</v>
      </c>
      <c r="Q1110" s="121">
        <f>SUMIFS('2024数据'!$BC$3:$BC$152,'2024数据'!$P$3:$P$152,"&gt;="&amp;DATE(2024,12,1),'2024数据'!$P$3:$P$152,"&lt;="&amp;DATE(2024,12,31),'2024数据'!$B$3:$B$152,$E1110)/10000</f>
        <v>0</v>
      </c>
    </row>
    <row r="1111" ht="24" customHeight="1" spans="1:17">
      <c r="A1111" s="99" t="s">
        <v>347</v>
      </c>
      <c r="B1111" s="99" t="s">
        <v>299</v>
      </c>
      <c r="C1111" s="99" t="s">
        <v>336</v>
      </c>
      <c r="D1111" s="47" t="s">
        <v>294</v>
      </c>
      <c r="E1111" s="47" t="s">
        <v>96</v>
      </c>
      <c r="F1111" s="121">
        <f>SUMIFS('2024数据'!$BC$3:$BC$152,'2024数据'!$P$3:$P$152,"&gt;="&amp;DATE(2024,1,1),'2024数据'!$P$3:$P$152,"&lt;="&amp;DATE(2024,1,31),'2024数据'!$B$3:$B$152,$E1111)/10000</f>
        <v>0</v>
      </c>
      <c r="G1111" s="121">
        <f>SUMIFS('2024数据'!$BC$3:$BC$152,'2024数据'!$P$3:$P$152,"&gt;="&amp;DATE(2024,2,1),'2024数据'!$P$3:$P$152,"&lt;="&amp;DATE(2024,2,29),'2024数据'!$B$3:$B$152,$E1111)/10000</f>
        <v>0</v>
      </c>
      <c r="H1111" s="121">
        <f>SUMIFS('2024数据'!$BC$3:$BC$152,'2024数据'!$P$3:$P$152,"&gt;="&amp;DATE(2024,3,1),'2024数据'!$P$3:$P$152,"&lt;="&amp;DATE(2024,3,31),'2024数据'!$B$3:$B$152,$E1111)/10000</f>
        <v>0</v>
      </c>
      <c r="I1111" s="121">
        <f>SUMIFS('2024数据'!$BC$3:$BC$152,'2024数据'!$P$3:$P$152,"&gt;="&amp;DATE(2024,4,1),'2024数据'!$P$3:$P$152,"&lt;="&amp;DATE(2024,4,30),'2024数据'!$B$3:$B$152,$E1111)/10000</f>
        <v>0</v>
      </c>
      <c r="J1111" s="121">
        <f>SUMIFS('2024数据'!$BC$3:$BC$152,'2024数据'!$P$3:$P$152,"&gt;="&amp;DATE(2024,5,1),'2024数据'!$P$3:$P$152,"&lt;="&amp;DATE(2024,5,31),'2024数据'!$B$3:$B$152,$E1111)/10000</f>
        <v>0</v>
      </c>
      <c r="K1111" s="121">
        <f>SUMIFS('2024数据'!$BC$3:$BC$152,'2024数据'!$P$3:$P$152,"&gt;="&amp;DATE(2024,6,1),'2024数据'!$P$3:$P$152,"&lt;="&amp;DATE(2024,6,30),'2024数据'!$B$3:$B$152,$E1111)/10000</f>
        <v>0</v>
      </c>
      <c r="L1111" s="121">
        <f>SUMIFS('2024数据'!$BC$3:$BC$152,'2024数据'!$P$3:$P$152,"&gt;="&amp;DATE(2024,7,1),'2024数据'!$P$3:$P$152,"&lt;="&amp;DATE(2024,7,31),'2024数据'!$B$3:$B$152,$E1111)/10000</f>
        <v>2.757163</v>
      </c>
      <c r="M1111" s="121">
        <f>SUMIFS('2024数据'!$BC$3:$BC$152,'2024数据'!$P$3:$P$152,"&gt;="&amp;DATE(2024,8,1),'2024数据'!$P$3:$P$152,"&lt;="&amp;DATE(2024,8,31),'2024数据'!$B$3:$B$152,$E1111)/10000</f>
        <v>0</v>
      </c>
      <c r="N1111" s="121">
        <f>SUMIFS('2024数据'!$BC$3:$BC$152,'2024数据'!$P$3:$P$152,"&gt;="&amp;DATE(2024,9,1),'2024数据'!$P$3:$P$152,"&lt;="&amp;DATE(2024,9,30),'2024数据'!$B$3:$B$152,$E1111)/10000</f>
        <v>0</v>
      </c>
      <c r="O1111" s="121">
        <f>SUMIFS('2024数据'!$BC$3:$BC$152,'2024数据'!$P$3:$P$152,"&gt;="&amp;DATE(2024,10,1),'2024数据'!$P$3:$P$152,"&lt;="&amp;DATE(2024,10,31),'2024数据'!$B$3:$B$152,$E1111)/10000</f>
        <v>0</v>
      </c>
      <c r="P1111" s="121">
        <f>SUMIFS('2024数据'!$BC$3:$BC$152,'2024数据'!$P$3:$P$152,"&gt;="&amp;DATE(2024,11,1),'2024数据'!$P$3:$P$152,"&lt;="&amp;DATE(2024,11,30),'2024数据'!$B$3:$B$152,$E1111)/10000</f>
        <v>0</v>
      </c>
      <c r="Q1111" s="121">
        <f>SUMIFS('2024数据'!$BC$3:$BC$152,'2024数据'!$P$3:$P$152,"&gt;="&amp;DATE(2024,12,1),'2024数据'!$P$3:$P$152,"&lt;="&amp;DATE(2024,12,31),'2024数据'!$B$3:$B$152,$E1111)/10000</f>
        <v>0</v>
      </c>
    </row>
    <row r="1112" ht="24" customHeight="1" spans="1:17">
      <c r="A1112" s="99" t="s">
        <v>347</v>
      </c>
      <c r="B1112" s="99" t="s">
        <v>299</v>
      </c>
      <c r="C1112" s="99" t="s">
        <v>336</v>
      </c>
      <c r="D1112" s="47" t="s">
        <v>294</v>
      </c>
      <c r="E1112" s="47" t="s">
        <v>160</v>
      </c>
      <c r="F1112" s="121">
        <f t="shared" ref="F1112:Q1112" si="810">SUM(F1102:F1107)-SUM(F1108:F1111)</f>
        <v>0</v>
      </c>
      <c r="G1112" s="121">
        <f t="shared" si="810"/>
        <v>0</v>
      </c>
      <c r="H1112" s="121">
        <f t="shared" si="810"/>
        <v>0</v>
      </c>
      <c r="I1112" s="121">
        <f t="shared" si="810"/>
        <v>0</v>
      </c>
      <c r="J1112" s="121">
        <f t="shared" si="810"/>
        <v>0</v>
      </c>
      <c r="K1112" s="121">
        <f t="shared" si="810"/>
        <v>0</v>
      </c>
      <c r="L1112" s="121">
        <f t="shared" si="810"/>
        <v>0</v>
      </c>
      <c r="M1112" s="121">
        <f t="shared" si="810"/>
        <v>0</v>
      </c>
      <c r="N1112" s="121">
        <f t="shared" si="810"/>
        <v>0</v>
      </c>
      <c r="O1112" s="121">
        <f t="shared" si="810"/>
        <v>0</v>
      </c>
      <c r="P1112" s="121">
        <f t="shared" si="810"/>
        <v>0</v>
      </c>
      <c r="Q1112" s="121">
        <f t="shared" si="810"/>
        <v>0</v>
      </c>
    </row>
    <row r="1113" ht="24" customHeight="1" spans="1:17">
      <c r="A1113" s="99" t="s">
        <v>347</v>
      </c>
      <c r="B1113" s="99" t="s">
        <v>299</v>
      </c>
      <c r="C1113" s="99" t="s">
        <v>333</v>
      </c>
      <c r="D1113" s="114" t="s">
        <v>292</v>
      </c>
      <c r="E1113" s="53" t="s">
        <v>337</v>
      </c>
      <c r="F1113" s="123">
        <f>SUMIFS('2024数据'!$BG$3:$BG$152,'2024数据'!$P$3:$P$152,"&gt;="&amp;DATE(2024,1,1),'2024数据'!$P$3:$P$152,"&lt;="&amp;DATE(2024,1,31),'2024数据'!$BF$3:$BF$152,$E941)/10000</f>
        <v>0</v>
      </c>
      <c r="G1113" s="123">
        <f>SUMIFS('2024数据'!$BG$3:$BG$152,'2024数据'!$P$3:$P$152,"&gt;="&amp;DATE(2024,2,1),'2024数据'!$P$3:$P$152,"&lt;="&amp;DATE(2024,2,29),'2024数据'!$BF$3:$BF$152,$E941)/10000</f>
        <v>0</v>
      </c>
      <c r="H1113" s="123">
        <f>SUMIFS('2024数据'!$BG$3:$BG$152,'2024数据'!$P$3:$P$152,"&gt;="&amp;DATE(2024,3,1),'2024数据'!$P$3:$P$152,"&lt;="&amp;DATE(2024,3,31),'2024数据'!$BF$3:$BF$152,$E941)/10000</f>
        <v>0</v>
      </c>
      <c r="I1113" s="123">
        <f>SUMIFS('2024数据'!$BG$3:$BG$152,'2024数据'!$P$3:$P$152,"&gt;="&amp;DATE(2024,4,1),'2024数据'!$P$3:$P$152,"&lt;="&amp;DATE(2024,4,30),'2024数据'!$BF$3:$BF$152,$E941)/10000</f>
        <v>0.0138210000000001</v>
      </c>
      <c r="J1113" s="123">
        <f>SUMIFS('2024数据'!$BG$3:$BG$152,'2024数据'!$P$3:$P$152,"&gt;="&amp;DATE(2024,5,1),'2024数据'!$P$3:$P$152,"&lt;="&amp;DATE(2024,5,31),'2024数据'!$BF$3:$BF$152,$E941)/10000</f>
        <v>0</v>
      </c>
      <c r="K1113" s="123">
        <f>SUMIFS('2024数据'!$BG$3:$BG$152,'2024数据'!$P$3:$P$152,"&gt;="&amp;DATE(2024,6,1),'2024数据'!$P$3:$P$152,"&lt;="&amp;DATE(2024,6,30),'2024数据'!$BF$3:$BF$152,$E941)/10000</f>
        <v>0</v>
      </c>
      <c r="L1113" s="123">
        <f>SUMIFS('2024数据'!$BG$3:$BG$152,'2024数据'!$P$3:$P$152,"&gt;="&amp;DATE(2024,7,1),'2024数据'!$P$3:$P$152,"&lt;="&amp;DATE(2024,7,31),'2024数据'!$BF$3:$BF$152,$E941)/10000</f>
        <v>0.00480699999999997</v>
      </c>
      <c r="M1113" s="123">
        <f>SUMIFS('2024数据'!$BG$3:$BG$152,'2024数据'!$P$3:$P$152,"&gt;="&amp;DATE(2024,8,1),'2024数据'!$P$3:$P$152,"&lt;="&amp;DATE(2024,8,31),'2024数据'!$BF$3:$BF$152,$E941)/10000</f>
        <v>0</v>
      </c>
      <c r="N1113" s="123">
        <f>SUMIFS('2024数据'!$BG$3:$BG$152,'2024数据'!$P$3:$P$152,"&gt;="&amp;DATE(2024,9,1),'2024数据'!$P$3:$P$152,"&lt;="&amp;DATE(2024,9,30),'2024数据'!$BF$3:$BF$152,$E941)/10000</f>
        <v>0</v>
      </c>
      <c r="O1113" s="123">
        <f>SUMIFS('2024数据'!$BG$3:$BG$152,'2024数据'!$P$3:$P$152,"&gt;="&amp;DATE(2024,10,1),'2024数据'!$P$3:$P$152,"&lt;="&amp;DATE(2024,10,31),'2024数据'!$BF$3:$BF$152,$E941)/10000</f>
        <v>0</v>
      </c>
      <c r="P1113" s="123">
        <f>SUMIFS('2024数据'!$BG$3:$BG$152,'2024数据'!$P$3:$P$152,"&gt;="&amp;DATE(2024,11,1),'2024数据'!$P$3:$P$152,"&lt;="&amp;DATE(2024,11,30),'2024数据'!$BF$3:$BF$152,$E941)/10000</f>
        <v>0</v>
      </c>
      <c r="Q1113" s="123">
        <f>SUMIFS('2024数据'!$BG$3:$BG$152,'2024数据'!$P$3:$P$152,"&gt;="&amp;DATE(2024,12,1),'2024数据'!$P$3:$P$152,"&lt;="&amp;DATE(2024,12,31),'2024数据'!$BF$3:$BF$152,$E941)/10000</f>
        <v>0</v>
      </c>
    </row>
    <row r="1114" ht="24" customHeight="1" spans="1:17">
      <c r="A1114" s="99" t="s">
        <v>347</v>
      </c>
      <c r="B1114" s="99" t="s">
        <v>299</v>
      </c>
      <c r="C1114" s="99" t="s">
        <v>333</v>
      </c>
      <c r="D1114" s="114" t="s">
        <v>292</v>
      </c>
      <c r="E1114" s="53" t="s">
        <v>338</v>
      </c>
      <c r="F1114" s="123">
        <f>SUMIFS('2024数据'!$BG$3:$BG$152,'2024数据'!$P$3:$P$152,"&gt;="&amp;DATE(2024,1,1),'2024数据'!$P$3:$P$152,"&lt;="&amp;DATE(2024,1,31),'2024数据'!$BF$3:$BF$152,$E942)/10000</f>
        <v>0</v>
      </c>
      <c r="G1114" s="123">
        <f>SUMIFS('2024数据'!$BG$3:$BG$152,'2024数据'!$P$3:$P$152,"&gt;="&amp;DATE(2024,2,1),'2024数据'!$P$3:$P$152,"&lt;="&amp;DATE(2024,2,29),'2024数据'!$BF$3:$BF$152,$E942)/10000</f>
        <v>0</v>
      </c>
      <c r="H1114" s="123">
        <f>SUMIFS('2024数据'!$BG$3:$BG$152,'2024数据'!$P$3:$P$152,"&gt;="&amp;DATE(2024,3,1),'2024数据'!$P$3:$P$152,"&lt;="&amp;DATE(2024,3,31),'2024数据'!$BF$3:$BF$152,$E942)/10000</f>
        <v>0</v>
      </c>
      <c r="I1114" s="123">
        <f>SUMIFS('2024数据'!$BG$3:$BG$152,'2024数据'!$P$3:$P$152,"&gt;="&amp;DATE(2024,4,1),'2024数据'!$P$3:$P$152,"&lt;="&amp;DATE(2024,4,30),'2024数据'!$BF$3:$BF$152,$E942)/10000</f>
        <v>0</v>
      </c>
      <c r="J1114" s="123">
        <f>SUMIFS('2024数据'!$BG$3:$BG$152,'2024数据'!$P$3:$P$152,"&gt;="&amp;DATE(2024,5,1),'2024数据'!$P$3:$P$152,"&lt;="&amp;DATE(2024,5,31),'2024数据'!$BF$3:$BF$152,$E942)/10000</f>
        <v>0.00930200000000004</v>
      </c>
      <c r="K1114" s="123">
        <f>SUMIFS('2024数据'!$BG$3:$BG$152,'2024数据'!$P$3:$P$152,"&gt;="&amp;DATE(2024,6,1),'2024数据'!$P$3:$P$152,"&lt;="&amp;DATE(2024,6,30),'2024数据'!$BF$3:$BF$152,$E942)/10000</f>
        <v>0</v>
      </c>
      <c r="L1114" s="123">
        <f>SUMIFS('2024数据'!$BG$3:$BG$152,'2024数据'!$P$3:$P$152,"&gt;="&amp;DATE(2024,7,1),'2024数据'!$P$3:$P$152,"&lt;="&amp;DATE(2024,7,31),'2024数据'!$BF$3:$BF$152,$E942)/10000</f>
        <v>0</v>
      </c>
      <c r="M1114" s="123">
        <f>SUMIFS('2024数据'!$BG$3:$BG$152,'2024数据'!$P$3:$P$152,"&gt;="&amp;DATE(2024,8,1),'2024数据'!$P$3:$P$152,"&lt;="&amp;DATE(2024,8,31),'2024数据'!$BF$3:$BF$152,$E942)/10000</f>
        <v>0</v>
      </c>
      <c r="N1114" s="123">
        <f>SUMIFS('2024数据'!$BG$3:$BG$152,'2024数据'!$P$3:$P$152,"&gt;="&amp;DATE(2024,9,1),'2024数据'!$P$3:$P$152,"&lt;="&amp;DATE(2024,9,30),'2024数据'!$BF$3:$BF$152,$E942)/10000</f>
        <v>0</v>
      </c>
      <c r="O1114" s="123">
        <f>SUMIFS('2024数据'!$BG$3:$BG$152,'2024数据'!$P$3:$P$152,"&gt;="&amp;DATE(2024,10,1),'2024数据'!$P$3:$P$152,"&lt;="&amp;DATE(2024,10,31),'2024数据'!$BF$3:$BF$152,$E942)/10000</f>
        <v>0</v>
      </c>
      <c r="P1114" s="123">
        <f>SUMIFS('2024数据'!$BG$3:$BG$152,'2024数据'!$P$3:$P$152,"&gt;="&amp;DATE(2024,11,1),'2024数据'!$P$3:$P$152,"&lt;="&amp;DATE(2024,11,30),'2024数据'!$BF$3:$BF$152,$E942)/10000</f>
        <v>0</v>
      </c>
      <c r="Q1114" s="123">
        <f>SUMIFS('2024数据'!$BG$3:$BG$152,'2024数据'!$P$3:$P$152,"&gt;="&amp;DATE(2024,12,1),'2024数据'!$P$3:$P$152,"&lt;="&amp;DATE(2024,12,31),'2024数据'!$BF$3:$BF$152,$E942)/10000</f>
        <v>0</v>
      </c>
    </row>
    <row r="1115" ht="24" customHeight="1" spans="1:17">
      <c r="A1115" s="99" t="s">
        <v>347</v>
      </c>
      <c r="B1115" s="99" t="s">
        <v>299</v>
      </c>
      <c r="C1115" s="99" t="s">
        <v>333</v>
      </c>
      <c r="D1115" s="114" t="s">
        <v>292</v>
      </c>
      <c r="E1115" s="53" t="s">
        <v>339</v>
      </c>
      <c r="F1115" s="123">
        <f>SUMIFS('2024数据'!$BG$3:$BG$152,'2024数据'!$P$3:$P$152,"&gt;="&amp;DATE(2024,1,1),'2024数据'!$P$3:$P$152,"&lt;="&amp;DATE(2024,1,31),'2024数据'!$BF$3:$BF$152,$E943)/10000</f>
        <v>0</v>
      </c>
      <c r="G1115" s="123">
        <f>SUMIFS('2024数据'!$BG$3:$BG$152,'2024数据'!$P$3:$P$152,"&gt;="&amp;DATE(2024,2,1),'2024数据'!$P$3:$P$152,"&lt;="&amp;DATE(2024,2,29),'2024数据'!$BF$3:$BF$152,$E943)/10000</f>
        <v>0</v>
      </c>
      <c r="H1115" s="123">
        <f>SUMIFS('2024数据'!$BG$3:$BG$152,'2024数据'!$P$3:$P$152,"&gt;="&amp;DATE(2024,3,1),'2024数据'!$P$3:$P$152,"&lt;="&amp;DATE(2024,3,31),'2024数据'!$BF$3:$BF$152,$E943)/10000</f>
        <v>0</v>
      </c>
      <c r="I1115" s="123">
        <f>SUMIFS('2024数据'!$BG$3:$BG$152,'2024数据'!$P$3:$P$152,"&gt;="&amp;DATE(2024,4,1),'2024数据'!$P$3:$P$152,"&lt;="&amp;DATE(2024,4,30),'2024数据'!$BF$3:$BF$152,$E943)/10000</f>
        <v>0</v>
      </c>
      <c r="J1115" s="123">
        <f>SUMIFS('2024数据'!$BG$3:$BG$152,'2024数据'!$P$3:$P$152,"&gt;="&amp;DATE(2024,5,1),'2024数据'!$P$3:$P$152,"&lt;="&amp;DATE(2024,5,31),'2024数据'!$BF$3:$BF$152,$E943)/10000</f>
        <v>0</v>
      </c>
      <c r="K1115" s="123">
        <f>SUMIFS('2024数据'!$BG$3:$BG$152,'2024数据'!$P$3:$P$152,"&gt;="&amp;DATE(2024,6,1),'2024数据'!$P$3:$P$152,"&lt;="&amp;DATE(2024,6,30),'2024数据'!$BF$3:$BF$152,$E943)/10000</f>
        <v>0</v>
      </c>
      <c r="L1115" s="123">
        <f>SUMIFS('2024数据'!$BG$3:$BG$152,'2024数据'!$P$3:$P$152,"&gt;="&amp;DATE(2024,7,1),'2024数据'!$P$3:$P$152,"&lt;="&amp;DATE(2024,7,31),'2024数据'!$BF$3:$BF$152,$E943)/10000</f>
        <v>0</v>
      </c>
      <c r="M1115" s="123">
        <f>SUMIFS('2024数据'!$BG$3:$BG$152,'2024数据'!$P$3:$P$152,"&gt;="&amp;DATE(2024,8,1),'2024数据'!$P$3:$P$152,"&lt;="&amp;DATE(2024,8,31),'2024数据'!$BF$3:$BF$152,$E943)/10000</f>
        <v>0</v>
      </c>
      <c r="N1115" s="123">
        <f>SUMIFS('2024数据'!$BG$3:$BG$152,'2024数据'!$P$3:$P$152,"&gt;="&amp;DATE(2024,9,1),'2024数据'!$P$3:$P$152,"&lt;="&amp;DATE(2024,9,30),'2024数据'!$BF$3:$BF$152,$E943)/10000</f>
        <v>0</v>
      </c>
      <c r="O1115" s="123">
        <f>SUMIFS('2024数据'!$BG$3:$BG$152,'2024数据'!$P$3:$P$152,"&gt;="&amp;DATE(2024,10,1),'2024数据'!$P$3:$P$152,"&lt;="&amp;DATE(2024,10,31),'2024数据'!$BF$3:$BF$152,$E943)/10000</f>
        <v>0</v>
      </c>
      <c r="P1115" s="123">
        <f>SUMIFS('2024数据'!$BG$3:$BG$152,'2024数据'!$P$3:$P$152,"&gt;="&amp;DATE(2024,11,1),'2024数据'!$P$3:$P$152,"&lt;="&amp;DATE(2024,11,30),'2024数据'!$BF$3:$BF$152,$E943)/10000</f>
        <v>0</v>
      </c>
      <c r="Q1115" s="123">
        <f>SUMIFS('2024数据'!$BG$3:$BG$152,'2024数据'!$P$3:$P$152,"&gt;="&amp;DATE(2024,12,1),'2024数据'!$P$3:$P$152,"&lt;="&amp;DATE(2024,12,31),'2024数据'!$BF$3:$BF$152,$E943)/10000</f>
        <v>0</v>
      </c>
    </row>
    <row r="1116" ht="24" customHeight="1" spans="1:17">
      <c r="A1116" s="99" t="s">
        <v>347</v>
      </c>
      <c r="B1116" s="99" t="s">
        <v>299</v>
      </c>
      <c r="C1116" s="99" t="s">
        <v>333</v>
      </c>
      <c r="D1116" s="53" t="s">
        <v>303</v>
      </c>
      <c r="E1116" s="53" t="s">
        <v>93</v>
      </c>
      <c r="F1116" s="123">
        <f>SUMIFS('2024数据'!$BG$3:$BG$152,'2024数据'!$P$3:$P$152,"&gt;="&amp;DATE(2024,1,1),'2024数据'!$P$3:$P$152,"&lt;="&amp;DATE(2024,1,31),'2024数据'!$BF$3:$BF$152,$E941,'2024数据'!$B$3:$B$152,'2024整理'!$E1096)/10000</f>
        <v>0</v>
      </c>
      <c r="G1116" s="123">
        <f>SUMIFS('2024数据'!$BG$3:$BG$152,'2024数据'!$P$3:$P$152,"&gt;="&amp;DATE(2024,2,1),'2024数据'!$P$3:$P$152,"&lt;="&amp;DATE(2024,2,29),'2024数据'!$BF$3:$BF$152,$E941,'2024数据'!$B$3:$B$152,'2024整理'!$E1096)/10000</f>
        <v>0</v>
      </c>
      <c r="H1116" s="123">
        <f>SUMIFS('2024数据'!$BG$3:$BG$152,'2024数据'!$P$3:$P$152,"&gt;="&amp;DATE(2024,3,1),'2024数据'!$P$3:$P$152,"&lt;="&amp;DATE(2024,3,31),'2024数据'!$BF$3:$BF$152,$E941,'2024数据'!$B$3:$B$152,'2024整理'!$E1096)/10000</f>
        <v>0</v>
      </c>
      <c r="I1116" s="123">
        <f>SUMIFS('2024数据'!$BG$3:$BG$152,'2024数据'!$P$3:$P$152,"&gt;="&amp;DATE(2024,4,1),'2024数据'!$P$3:$P$152,"&lt;="&amp;DATE(2024,4,30),'2024数据'!$BF$3:$BF$152,$E941,'2024数据'!$B$3:$B$152,'2024整理'!$E1096)/10000</f>
        <v>0</v>
      </c>
      <c r="J1116" s="123">
        <f>SUMIFS('2024数据'!$BG$3:$BG$152,'2024数据'!$P$3:$P$152,"&gt;="&amp;DATE(2024,5,1),'2024数据'!$P$3:$P$152,"&lt;="&amp;DATE(2024,5,31),'2024数据'!$BF$3:$BF$152,$E941,'2024数据'!$B$3:$B$152,'2024整理'!$E1096)/10000</f>
        <v>0</v>
      </c>
      <c r="K1116" s="123">
        <f>SUMIFS('2024数据'!$BG$3:$BG$152,'2024数据'!$P$3:$P$152,"&gt;="&amp;DATE(2024,6,1),'2024数据'!$P$3:$P$152,"&lt;="&amp;DATE(2024,6,30),'2024数据'!$BF$3:$BF$152,$E941,'2024数据'!$B$3:$B$152,'2024整理'!$E1096)/10000</f>
        <v>0</v>
      </c>
      <c r="L1116" s="123">
        <f>SUMIFS('2024数据'!$BG$3:$BG$152,'2024数据'!$P$3:$P$152,"&gt;="&amp;DATE(2024,7,1),'2024数据'!$P$3:$P$152,"&lt;="&amp;DATE(2024,7,31),'2024数据'!$BF$3:$BF$152,$E941,'2024数据'!$B$3:$B$152,'2024整理'!$E1096)/10000</f>
        <v>0</v>
      </c>
      <c r="M1116" s="123">
        <f>SUMIFS('2024数据'!$BG$3:$BG$152,'2024数据'!$P$3:$P$152,"&gt;="&amp;DATE(2024,8,1),'2024数据'!$P$3:$P$152,"&lt;="&amp;DATE(2024,8,31),'2024数据'!$BF$3:$BF$152,$E941,'2024数据'!$B$3:$B$152,'2024整理'!$E1096)/10000</f>
        <v>0</v>
      </c>
      <c r="N1116" s="123">
        <f>SUMIFS('2024数据'!$BG$3:$BG$152,'2024数据'!$P$3:$P$152,"&gt;="&amp;DATE(2024,9,1),'2024数据'!$P$3:$P$152,"&lt;="&amp;DATE(2024,9,30),'2024数据'!$BF$3:$BF$152,$E941,'2024数据'!$B$3:$B$152,'2024整理'!$E1096)/10000</f>
        <v>0</v>
      </c>
      <c r="O1116" s="123">
        <f>SUMIFS('2024数据'!$BG$3:$BG$152,'2024数据'!$P$3:$P$152,"&gt;="&amp;DATE(2024,10,1),'2024数据'!$P$3:$P$152,"&lt;="&amp;DATE(2024,10,31),'2024数据'!$BF$3:$BF$152,$E941,'2024数据'!$B$3:$B$152,'2024整理'!$E1096)/10000</f>
        <v>0</v>
      </c>
      <c r="P1116" s="123">
        <f>SUMIFS('2024数据'!$BG$3:$BG$152,'2024数据'!$P$3:$P$152,"&gt;="&amp;DATE(2024,11,1),'2024数据'!$P$3:$P$152,"&lt;="&amp;DATE(2024,11,30),'2024数据'!$BF$3:$BF$152,$E941,'2024数据'!$B$3:$B$152,'2024整理'!$E1096)/10000</f>
        <v>0</v>
      </c>
      <c r="Q1116" s="123">
        <f>SUMIFS('2024数据'!$BG$3:$BG$152,'2024数据'!$P$3:$P$152,"&gt;="&amp;DATE(2024,12,1),'2024数据'!$P$3:$P$152,"&lt;="&amp;DATE(2024,12,31),'2024数据'!$BF$3:$BF$152,$E941,'2024数据'!$B$3:$B$152,'2024整理'!$E1096)/10000</f>
        <v>0</v>
      </c>
    </row>
    <row r="1117" ht="24" customHeight="1" spans="1:17">
      <c r="A1117" s="99" t="s">
        <v>347</v>
      </c>
      <c r="B1117" s="99" t="s">
        <v>299</v>
      </c>
      <c r="C1117" s="99" t="s">
        <v>333</v>
      </c>
      <c r="D1117" s="53" t="s">
        <v>303</v>
      </c>
      <c r="E1117" s="53" t="s">
        <v>85</v>
      </c>
      <c r="F1117" s="123">
        <f>SUMIFS('2024数据'!$BG$3:$BG$152,'2024数据'!$P$3:$P$152,"&gt;="&amp;DATE(2024,1,1),'2024数据'!$P$3:$P$152,"&lt;="&amp;DATE(2024,1,31),'2024数据'!$BF$3:$BF$152,$E941,'2024数据'!$B$3:$B$152,'2024整理'!$E1097)/10000</f>
        <v>0</v>
      </c>
      <c r="G1117" s="123">
        <f>SUMIFS('2024数据'!$BG$3:$BG$152,'2024数据'!$P$3:$P$152,"&gt;="&amp;DATE(2024,2,1),'2024数据'!$P$3:$P$152,"&lt;="&amp;DATE(2024,2,29),'2024数据'!$BF$3:$BF$152,$E941,'2024数据'!$B$3:$B$152,'2024整理'!$E1097)/10000</f>
        <v>0</v>
      </c>
      <c r="H1117" s="123">
        <f>SUMIFS('2024数据'!$BG$3:$BG$152,'2024数据'!$P$3:$P$152,"&gt;="&amp;DATE(2024,3,1),'2024数据'!$P$3:$P$152,"&lt;="&amp;DATE(2024,3,31),'2024数据'!$BF$3:$BF$152,$E941,'2024数据'!$B$3:$B$152,'2024整理'!$E1097)/10000</f>
        <v>0</v>
      </c>
      <c r="I1117" s="123">
        <f>SUMIFS('2024数据'!$BG$3:$BG$152,'2024数据'!$P$3:$P$152,"&gt;="&amp;DATE(2024,4,1),'2024数据'!$P$3:$P$152,"&lt;="&amp;DATE(2024,4,30),'2024数据'!$BF$3:$BF$152,$E941,'2024数据'!$B$3:$B$152,'2024整理'!$E1097)/10000</f>
        <v>0</v>
      </c>
      <c r="J1117" s="123">
        <f>SUMIFS('2024数据'!$BG$3:$BG$152,'2024数据'!$P$3:$P$152,"&gt;="&amp;DATE(2024,5,1),'2024数据'!$P$3:$P$152,"&lt;="&amp;DATE(2024,5,31),'2024数据'!$BF$3:$BF$152,$E941,'2024数据'!$B$3:$B$152,'2024整理'!$E1097)/10000</f>
        <v>0</v>
      </c>
      <c r="K1117" s="123">
        <f>SUMIFS('2024数据'!$BG$3:$BG$152,'2024数据'!$P$3:$P$152,"&gt;="&amp;DATE(2024,6,1),'2024数据'!$P$3:$P$152,"&lt;="&amp;DATE(2024,6,30),'2024数据'!$BF$3:$BF$152,$E941,'2024数据'!$B$3:$B$152,'2024整理'!$E1097)/10000</f>
        <v>0</v>
      </c>
      <c r="L1117" s="123">
        <f>SUMIFS('2024数据'!$BG$3:$BG$152,'2024数据'!$P$3:$P$152,"&gt;="&amp;DATE(2024,7,1),'2024数据'!$P$3:$P$152,"&lt;="&amp;DATE(2024,7,31),'2024数据'!$BF$3:$BF$152,$E941,'2024数据'!$B$3:$B$152,'2024整理'!$E1097)/10000</f>
        <v>0</v>
      </c>
      <c r="M1117" s="123">
        <f>SUMIFS('2024数据'!$BG$3:$BG$152,'2024数据'!$P$3:$P$152,"&gt;="&amp;DATE(2024,8,1),'2024数据'!$P$3:$P$152,"&lt;="&amp;DATE(2024,8,31),'2024数据'!$BF$3:$BF$152,$E941,'2024数据'!$B$3:$B$152,'2024整理'!$E1097)/10000</f>
        <v>0</v>
      </c>
      <c r="N1117" s="123">
        <f>SUMIFS('2024数据'!$BG$3:$BG$152,'2024数据'!$P$3:$P$152,"&gt;="&amp;DATE(2024,9,1),'2024数据'!$P$3:$P$152,"&lt;="&amp;DATE(2024,9,30),'2024数据'!$BF$3:$BF$152,$E941,'2024数据'!$B$3:$B$152,'2024整理'!$E1097)/10000</f>
        <v>0</v>
      </c>
      <c r="O1117" s="123">
        <f>SUMIFS('2024数据'!$BG$3:$BG$152,'2024数据'!$P$3:$P$152,"&gt;="&amp;DATE(2024,10,1),'2024数据'!$P$3:$P$152,"&lt;="&amp;DATE(2024,10,31),'2024数据'!$BF$3:$BF$152,$E941,'2024数据'!$B$3:$B$152,'2024整理'!$E1097)/10000</f>
        <v>0</v>
      </c>
      <c r="P1117" s="123">
        <f>SUMIFS('2024数据'!$BG$3:$BG$152,'2024数据'!$P$3:$P$152,"&gt;="&amp;DATE(2024,11,1),'2024数据'!$P$3:$P$152,"&lt;="&amp;DATE(2024,11,30),'2024数据'!$BF$3:$BF$152,$E941,'2024数据'!$B$3:$B$152,'2024整理'!$E1097)/10000</f>
        <v>0</v>
      </c>
      <c r="Q1117" s="123">
        <f>SUMIFS('2024数据'!$BG$3:$BG$152,'2024数据'!$P$3:$P$152,"&gt;="&amp;DATE(2024,12,1),'2024数据'!$P$3:$P$152,"&lt;="&amp;DATE(2024,12,31),'2024数据'!$BF$3:$BF$152,$E941,'2024数据'!$B$3:$B$152,'2024整理'!$E1097)/10000</f>
        <v>0</v>
      </c>
    </row>
    <row r="1118" ht="24" customHeight="1" spans="1:17">
      <c r="A1118" s="99" t="s">
        <v>347</v>
      </c>
      <c r="B1118" s="99" t="s">
        <v>299</v>
      </c>
      <c r="C1118" s="99" t="s">
        <v>333</v>
      </c>
      <c r="D1118" s="53" t="s">
        <v>303</v>
      </c>
      <c r="E1118" s="53" t="s">
        <v>81</v>
      </c>
      <c r="F1118" s="123">
        <f>SUMIFS('2024数据'!$BG$3:$BG$152,'2024数据'!$P$3:$P$152,"&gt;="&amp;DATE(2024,1,1),'2024数据'!$P$3:$P$152,"&lt;="&amp;DATE(2024,1,31),'2024数据'!$BF$3:$BF$152,$E941,'2024数据'!$B$3:$B$152,'2024整理'!$E1098)/10000</f>
        <v>0</v>
      </c>
      <c r="G1118" s="123">
        <f>SUMIFS('2024数据'!$BG$3:$BG$152,'2024数据'!$P$3:$P$152,"&gt;="&amp;DATE(2024,2,1),'2024数据'!$P$3:$P$152,"&lt;="&amp;DATE(2024,2,29),'2024数据'!$BF$3:$BF$152,$E941,'2024数据'!$B$3:$B$152,'2024整理'!$E1098)/10000</f>
        <v>0</v>
      </c>
      <c r="H1118" s="123">
        <f>SUMIFS('2024数据'!$BG$3:$BG$152,'2024数据'!$P$3:$P$152,"&gt;="&amp;DATE(2024,3,1),'2024数据'!$P$3:$P$152,"&lt;="&amp;DATE(2024,3,31),'2024数据'!$BF$3:$BF$152,$E941,'2024数据'!$B$3:$B$152,'2024整理'!$E1098)/10000</f>
        <v>0</v>
      </c>
      <c r="I1118" s="123">
        <f>SUMIFS('2024数据'!$BG$3:$BG$152,'2024数据'!$P$3:$P$152,"&gt;="&amp;DATE(2024,4,1),'2024数据'!$P$3:$P$152,"&lt;="&amp;DATE(2024,4,30),'2024数据'!$BF$3:$BF$152,$E941,'2024数据'!$B$3:$B$152,'2024整理'!$E1098)/10000</f>
        <v>0.0138210000000001</v>
      </c>
      <c r="J1118" s="123">
        <f>SUMIFS('2024数据'!$BG$3:$BG$152,'2024数据'!$P$3:$P$152,"&gt;="&amp;DATE(2024,5,1),'2024数据'!$P$3:$P$152,"&lt;="&amp;DATE(2024,5,31),'2024数据'!$BF$3:$BF$152,$E941,'2024数据'!$B$3:$B$152,'2024整理'!$E1098)/10000</f>
        <v>0</v>
      </c>
      <c r="K1118" s="123">
        <f>SUMIFS('2024数据'!$BG$3:$BG$152,'2024数据'!$P$3:$P$152,"&gt;="&amp;DATE(2024,6,1),'2024数据'!$P$3:$P$152,"&lt;="&amp;DATE(2024,6,30),'2024数据'!$BF$3:$BF$152,$E941,'2024数据'!$B$3:$B$152,'2024整理'!$E1098)/10000</f>
        <v>0</v>
      </c>
      <c r="L1118" s="123">
        <f>SUMIFS('2024数据'!$BG$3:$BG$152,'2024数据'!$P$3:$P$152,"&gt;="&amp;DATE(2024,7,1),'2024数据'!$P$3:$P$152,"&lt;="&amp;DATE(2024,7,31),'2024数据'!$BF$3:$BF$152,$E941,'2024数据'!$B$3:$B$152,'2024整理'!$E1098)/10000</f>
        <v>0</v>
      </c>
      <c r="M1118" s="123">
        <f>SUMIFS('2024数据'!$BG$3:$BG$152,'2024数据'!$P$3:$P$152,"&gt;="&amp;DATE(2024,8,1),'2024数据'!$P$3:$P$152,"&lt;="&amp;DATE(2024,8,31),'2024数据'!$BF$3:$BF$152,$E941,'2024数据'!$B$3:$B$152,'2024整理'!$E1098)/10000</f>
        <v>0</v>
      </c>
      <c r="N1118" s="123">
        <f>SUMIFS('2024数据'!$BG$3:$BG$152,'2024数据'!$P$3:$P$152,"&gt;="&amp;DATE(2024,9,1),'2024数据'!$P$3:$P$152,"&lt;="&amp;DATE(2024,9,30),'2024数据'!$BF$3:$BF$152,$E941,'2024数据'!$B$3:$B$152,'2024整理'!$E1098)/10000</f>
        <v>0</v>
      </c>
      <c r="O1118" s="123">
        <f>SUMIFS('2024数据'!$BG$3:$BG$152,'2024数据'!$P$3:$P$152,"&gt;="&amp;DATE(2024,10,1),'2024数据'!$P$3:$P$152,"&lt;="&amp;DATE(2024,10,31),'2024数据'!$BF$3:$BF$152,$E941,'2024数据'!$B$3:$B$152,'2024整理'!$E1098)/10000</f>
        <v>0</v>
      </c>
      <c r="P1118" s="123">
        <f>SUMIFS('2024数据'!$BG$3:$BG$152,'2024数据'!$P$3:$P$152,"&gt;="&amp;DATE(2024,11,1),'2024数据'!$P$3:$P$152,"&lt;="&amp;DATE(2024,11,30),'2024数据'!$BF$3:$BF$152,$E941,'2024数据'!$B$3:$B$152,'2024整理'!$E1098)/10000</f>
        <v>0</v>
      </c>
      <c r="Q1118" s="123">
        <f>SUMIFS('2024数据'!$BG$3:$BG$152,'2024数据'!$P$3:$P$152,"&gt;="&amp;DATE(2024,12,1),'2024数据'!$P$3:$P$152,"&lt;="&amp;DATE(2024,12,31),'2024数据'!$BF$3:$BF$152,$E941,'2024数据'!$B$3:$B$152,'2024整理'!$E1098)/10000</f>
        <v>0</v>
      </c>
    </row>
    <row r="1119" ht="24" customHeight="1" spans="1:17">
      <c r="A1119" s="99" t="s">
        <v>347</v>
      </c>
      <c r="B1119" s="99" t="s">
        <v>299</v>
      </c>
      <c r="C1119" s="99" t="s">
        <v>333</v>
      </c>
      <c r="D1119" s="53" t="s">
        <v>303</v>
      </c>
      <c r="E1119" s="53" t="s">
        <v>96</v>
      </c>
      <c r="F1119" s="123">
        <f>SUMIFS('2024数据'!$BG$3:$BG$152,'2024数据'!$P$3:$P$152,"&gt;="&amp;DATE(2024,1,1),'2024数据'!$P$3:$P$152,"&lt;="&amp;DATE(2024,1,31),'2024数据'!$BF$3:$BF$152,$E941,'2024数据'!$B$3:$B$152,'2024整理'!$E1099)/10000</f>
        <v>0</v>
      </c>
      <c r="G1119" s="123">
        <f>SUMIFS('2024数据'!$BG$3:$BG$152,'2024数据'!$P$3:$P$152,"&gt;="&amp;DATE(2024,2,1),'2024数据'!$P$3:$P$152,"&lt;="&amp;DATE(2024,2,29),'2024数据'!$BF$3:$BF$152,$E941,'2024数据'!$B$3:$B$152,'2024整理'!$E1099)/10000</f>
        <v>0</v>
      </c>
      <c r="H1119" s="123">
        <f>SUMIFS('2024数据'!$BG$3:$BG$152,'2024数据'!$P$3:$P$152,"&gt;="&amp;DATE(2024,3,1),'2024数据'!$P$3:$P$152,"&lt;="&amp;DATE(2024,3,31),'2024数据'!$BF$3:$BF$152,$E941,'2024数据'!$B$3:$B$152,'2024整理'!$E1099)/10000</f>
        <v>0</v>
      </c>
      <c r="I1119" s="123">
        <f>SUMIFS('2024数据'!$BG$3:$BG$152,'2024数据'!$P$3:$P$152,"&gt;="&amp;DATE(2024,4,1),'2024数据'!$P$3:$P$152,"&lt;="&amp;DATE(2024,4,30),'2024数据'!$BF$3:$BF$152,$E941,'2024数据'!$B$3:$B$152,'2024整理'!$E1099)/10000</f>
        <v>0</v>
      </c>
      <c r="J1119" s="123">
        <f>SUMIFS('2024数据'!$BG$3:$BG$152,'2024数据'!$P$3:$P$152,"&gt;="&amp;DATE(2024,5,1),'2024数据'!$P$3:$P$152,"&lt;="&amp;DATE(2024,5,31),'2024数据'!$BF$3:$BF$152,$E941,'2024数据'!$B$3:$B$152,'2024整理'!$E1099)/10000</f>
        <v>0</v>
      </c>
      <c r="K1119" s="123">
        <f>SUMIFS('2024数据'!$BG$3:$BG$152,'2024数据'!$P$3:$P$152,"&gt;="&amp;DATE(2024,6,1),'2024数据'!$P$3:$P$152,"&lt;="&amp;DATE(2024,6,30),'2024数据'!$BF$3:$BF$152,$E941,'2024数据'!$B$3:$B$152,'2024整理'!$E1099)/10000</f>
        <v>0</v>
      </c>
      <c r="L1119" s="123">
        <f>SUMIFS('2024数据'!$BG$3:$BG$152,'2024数据'!$P$3:$P$152,"&gt;="&amp;DATE(2024,7,1),'2024数据'!$P$3:$P$152,"&lt;="&amp;DATE(2024,7,31),'2024数据'!$BF$3:$BF$152,$E941,'2024数据'!$B$3:$B$152,'2024整理'!$E1099)/10000</f>
        <v>0.00480699999999997</v>
      </c>
      <c r="M1119" s="123">
        <f>SUMIFS('2024数据'!$BG$3:$BG$152,'2024数据'!$P$3:$P$152,"&gt;="&amp;DATE(2024,8,1),'2024数据'!$P$3:$P$152,"&lt;="&amp;DATE(2024,8,31),'2024数据'!$BF$3:$BF$152,$E941,'2024数据'!$B$3:$B$152,'2024整理'!$E1099)/10000</f>
        <v>0</v>
      </c>
      <c r="N1119" s="123">
        <f>SUMIFS('2024数据'!$BG$3:$BG$152,'2024数据'!$P$3:$P$152,"&gt;="&amp;DATE(2024,9,1),'2024数据'!$P$3:$P$152,"&lt;="&amp;DATE(2024,9,30),'2024数据'!$BF$3:$BF$152,$E941,'2024数据'!$B$3:$B$152,'2024整理'!$E1099)/10000</f>
        <v>0</v>
      </c>
      <c r="O1119" s="123">
        <f>SUMIFS('2024数据'!$BG$3:$BG$152,'2024数据'!$P$3:$P$152,"&gt;="&amp;DATE(2024,10,1),'2024数据'!$P$3:$P$152,"&lt;="&amp;DATE(2024,10,31),'2024数据'!$BF$3:$BF$152,$E941,'2024数据'!$B$3:$B$152,'2024整理'!$E1099)/10000</f>
        <v>0</v>
      </c>
      <c r="P1119" s="123">
        <f>SUMIFS('2024数据'!$BG$3:$BG$152,'2024数据'!$P$3:$P$152,"&gt;="&amp;DATE(2024,11,1),'2024数据'!$P$3:$P$152,"&lt;="&amp;DATE(2024,11,30),'2024数据'!$BF$3:$BF$152,$E941,'2024数据'!$B$3:$B$152,'2024整理'!$E1099)/10000</f>
        <v>0</v>
      </c>
      <c r="Q1119" s="123">
        <f>SUMIFS('2024数据'!$BG$3:$BG$152,'2024数据'!$P$3:$P$152,"&gt;="&amp;DATE(2024,12,1),'2024数据'!$P$3:$P$152,"&lt;="&amp;DATE(2024,12,31),'2024数据'!$BF$3:$BF$152,$E941,'2024数据'!$B$3:$B$152,'2024整理'!$E1099)/10000</f>
        <v>0</v>
      </c>
    </row>
    <row r="1120" ht="24" customHeight="1" spans="1:17">
      <c r="A1120" s="99" t="s">
        <v>347</v>
      </c>
      <c r="B1120" s="99" t="s">
        <v>299</v>
      </c>
      <c r="C1120" s="99" t="s">
        <v>333</v>
      </c>
      <c r="D1120" s="53" t="s">
        <v>303</v>
      </c>
      <c r="E1120" s="53" t="s">
        <v>160</v>
      </c>
      <c r="F1120" s="123">
        <f t="shared" ref="F1120:Q1120" si="811">F1113-SUM(F1116:F1119)</f>
        <v>0</v>
      </c>
      <c r="G1120" s="123">
        <f t="shared" si="811"/>
        <v>0</v>
      </c>
      <c r="H1120" s="123">
        <f t="shared" si="811"/>
        <v>0</v>
      </c>
      <c r="I1120" s="123">
        <f t="shared" si="811"/>
        <v>0</v>
      </c>
      <c r="J1120" s="123">
        <f t="shared" si="811"/>
        <v>0</v>
      </c>
      <c r="K1120" s="123">
        <f t="shared" si="811"/>
        <v>0</v>
      </c>
      <c r="L1120" s="123">
        <f t="shared" si="811"/>
        <v>0</v>
      </c>
      <c r="M1120" s="123">
        <f t="shared" si="811"/>
        <v>0</v>
      </c>
      <c r="N1120" s="123">
        <f t="shared" si="811"/>
        <v>0</v>
      </c>
      <c r="O1120" s="123">
        <f t="shared" si="811"/>
        <v>0</v>
      </c>
      <c r="P1120" s="123">
        <f t="shared" si="811"/>
        <v>0</v>
      </c>
      <c r="Q1120" s="123">
        <f t="shared" si="811"/>
        <v>0</v>
      </c>
    </row>
    <row r="1121" ht="24" customHeight="1" spans="1:17">
      <c r="A1121" s="99" t="s">
        <v>347</v>
      </c>
      <c r="B1121" s="99" t="s">
        <v>299</v>
      </c>
      <c r="C1121" s="99" t="s">
        <v>333</v>
      </c>
      <c r="D1121" s="53" t="s">
        <v>304</v>
      </c>
      <c r="E1121" s="53" t="s">
        <v>93</v>
      </c>
      <c r="F1121" s="123">
        <f>SUMIFS('2024数据'!$BG$3:$BG$152,'2024数据'!$P$3:$P$152,"&gt;="&amp;DATE(2024,1,1),'2024数据'!$P$3:$P$152,"&lt;="&amp;DATE(2024,1,31),'2024数据'!$BF$3:$BF$152,$E942,'2024数据'!$B$3:$B$152,'2024整理'!$E1096)/10000</f>
        <v>0</v>
      </c>
      <c r="G1121" s="123">
        <f>SUMIFS('2024数据'!$BG$3:$BG$152,'2024数据'!$P$3:$P$152,"&gt;="&amp;DATE(2024,2,1),'2024数据'!$P$3:$P$152,"&lt;="&amp;DATE(2024,2,29),'2024数据'!$BF$3:$BF$152,$E942,'2024数据'!$B$3:$B$152,'2024整理'!$E1096)/10000</f>
        <v>0</v>
      </c>
      <c r="H1121" s="123">
        <f>SUMIFS('2024数据'!$BG$3:$BG$152,'2024数据'!$P$3:$P$152,"&gt;="&amp;DATE(2024,3,1),'2024数据'!$P$3:$P$152,"&lt;="&amp;DATE(2024,3,31),'2024数据'!$BF$3:$BF$152,$E942,'2024数据'!$B$3:$B$152,'2024整理'!$E1096)/10000</f>
        <v>0</v>
      </c>
      <c r="I1121" s="123">
        <f>SUMIFS('2024数据'!$BG$3:$BG$152,'2024数据'!$P$3:$P$152,"&gt;="&amp;DATE(2024,4,1),'2024数据'!$P$3:$P$152,"&lt;="&amp;DATE(2024,4,30),'2024数据'!$BF$3:$BF$152,$E942,'2024数据'!$B$3:$B$152,'2024整理'!$E1096)/10000</f>
        <v>0</v>
      </c>
      <c r="J1121" s="123">
        <f>SUMIFS('2024数据'!$BG$3:$BG$152,'2024数据'!$P$3:$P$152,"&gt;="&amp;DATE(2024,5,1),'2024数据'!$P$3:$P$152,"&lt;="&amp;DATE(2024,5,31),'2024数据'!$BF$3:$BF$152,$E942,'2024数据'!$B$3:$B$152,'2024整理'!$E1096)/10000</f>
        <v>0.00930200000000004</v>
      </c>
      <c r="K1121" s="123">
        <f>SUMIFS('2024数据'!$BG$3:$BG$152,'2024数据'!$P$3:$P$152,"&gt;="&amp;DATE(2024,6,1),'2024数据'!$P$3:$P$152,"&lt;="&amp;DATE(2024,6,30),'2024数据'!$BF$3:$BF$152,$E942,'2024数据'!$B$3:$B$152,'2024整理'!$E1096)/10000</f>
        <v>0</v>
      </c>
      <c r="L1121" s="123">
        <f>SUMIFS('2024数据'!$BG$3:$BG$152,'2024数据'!$P$3:$P$152,"&gt;="&amp;DATE(2024,7,1),'2024数据'!$P$3:$P$152,"&lt;="&amp;DATE(2024,7,31),'2024数据'!$BF$3:$BF$152,$E942,'2024数据'!$B$3:$B$152,'2024整理'!$E1096)/10000</f>
        <v>0</v>
      </c>
      <c r="M1121" s="123">
        <f>SUMIFS('2024数据'!$BG$3:$BG$152,'2024数据'!$P$3:$P$152,"&gt;="&amp;DATE(2024,8,1),'2024数据'!$P$3:$P$152,"&lt;="&amp;DATE(2024,8,31),'2024数据'!$BF$3:$BF$152,$E942,'2024数据'!$B$3:$B$152,'2024整理'!$E1096)/10000</f>
        <v>0</v>
      </c>
      <c r="N1121" s="123">
        <f>SUMIFS('2024数据'!$BG$3:$BG$152,'2024数据'!$P$3:$P$152,"&gt;="&amp;DATE(2024,9,1),'2024数据'!$P$3:$P$152,"&lt;="&amp;DATE(2024,9,30),'2024数据'!$BF$3:$BF$152,$E942,'2024数据'!$B$3:$B$152,'2024整理'!$E1096)/10000</f>
        <v>0</v>
      </c>
      <c r="O1121" s="123">
        <f>SUMIFS('2024数据'!$BG$3:$BG$152,'2024数据'!$P$3:$P$152,"&gt;="&amp;DATE(2024,10,1),'2024数据'!$P$3:$P$152,"&lt;="&amp;DATE(2024,10,31),'2024数据'!$BF$3:$BF$152,$E942,'2024数据'!$B$3:$B$152,'2024整理'!$E1096)/10000</f>
        <v>0</v>
      </c>
      <c r="P1121" s="123">
        <f>SUMIFS('2024数据'!$BG$3:$BG$152,'2024数据'!$P$3:$P$152,"&gt;="&amp;DATE(2024,11,1),'2024数据'!$P$3:$P$152,"&lt;="&amp;DATE(2024,11,30),'2024数据'!$BF$3:$BF$152,$E942,'2024数据'!$B$3:$B$152,'2024整理'!$E1096)/10000</f>
        <v>0</v>
      </c>
      <c r="Q1121" s="123">
        <f>SUMIFS('2024数据'!$BG$3:$BG$152,'2024数据'!$P$3:$P$152,"&gt;="&amp;DATE(2024,12,1),'2024数据'!$P$3:$P$152,"&lt;="&amp;DATE(2024,12,31),'2024数据'!$BF$3:$BF$152,$E942,'2024数据'!$B$3:$B$152,'2024整理'!$E1096)/10000</f>
        <v>0</v>
      </c>
    </row>
    <row r="1122" ht="24" customHeight="1" spans="1:17">
      <c r="A1122" s="99" t="s">
        <v>347</v>
      </c>
      <c r="B1122" s="99" t="s">
        <v>299</v>
      </c>
      <c r="C1122" s="99" t="s">
        <v>333</v>
      </c>
      <c r="D1122" s="53" t="s">
        <v>304</v>
      </c>
      <c r="E1122" s="53" t="s">
        <v>85</v>
      </c>
      <c r="F1122" s="123">
        <f>SUMIFS('2024数据'!$BG$3:$BG$152,'2024数据'!$P$3:$P$152,"&gt;="&amp;DATE(2024,1,1),'2024数据'!$P$3:$P$152,"&lt;="&amp;DATE(2024,1,31),'2024数据'!$BF$3:$BF$152,$E942,'2024数据'!$B$3:$B$152,'2024整理'!$E1097)/10000</f>
        <v>0</v>
      </c>
      <c r="G1122" s="123">
        <f>SUMIFS('2024数据'!$BG$3:$BG$152,'2024数据'!$P$3:$P$152,"&gt;="&amp;DATE(2024,2,1),'2024数据'!$P$3:$P$152,"&lt;="&amp;DATE(2024,2,29),'2024数据'!$BF$3:$BF$152,$E942,'2024数据'!$B$3:$B$152,'2024整理'!$E1097)/10000</f>
        <v>0</v>
      </c>
      <c r="H1122" s="123">
        <f>SUMIFS('2024数据'!$BG$3:$BG$152,'2024数据'!$P$3:$P$152,"&gt;="&amp;DATE(2024,3,1),'2024数据'!$P$3:$P$152,"&lt;="&amp;DATE(2024,3,31),'2024数据'!$BF$3:$BF$152,$E942,'2024数据'!$B$3:$B$152,'2024整理'!$E1097)/10000</f>
        <v>0</v>
      </c>
      <c r="I1122" s="123">
        <f>SUMIFS('2024数据'!$BG$3:$BG$152,'2024数据'!$P$3:$P$152,"&gt;="&amp;DATE(2024,4,1),'2024数据'!$P$3:$P$152,"&lt;="&amp;DATE(2024,4,30),'2024数据'!$BF$3:$BF$152,$E942,'2024数据'!$B$3:$B$152,'2024整理'!$E1097)/10000</f>
        <v>0</v>
      </c>
      <c r="J1122" s="123">
        <f>SUMIFS('2024数据'!$BG$3:$BG$152,'2024数据'!$P$3:$P$152,"&gt;="&amp;DATE(2024,5,1),'2024数据'!$P$3:$P$152,"&lt;="&amp;DATE(2024,5,31),'2024数据'!$BF$3:$BF$152,$E942,'2024数据'!$B$3:$B$152,'2024整理'!$E1097)/10000</f>
        <v>0</v>
      </c>
      <c r="K1122" s="123">
        <f>SUMIFS('2024数据'!$BG$3:$BG$152,'2024数据'!$P$3:$P$152,"&gt;="&amp;DATE(2024,6,1),'2024数据'!$P$3:$P$152,"&lt;="&amp;DATE(2024,6,30),'2024数据'!$BF$3:$BF$152,$E942,'2024数据'!$B$3:$B$152,'2024整理'!$E1097)/10000</f>
        <v>0</v>
      </c>
      <c r="L1122" s="123">
        <f>SUMIFS('2024数据'!$BG$3:$BG$152,'2024数据'!$P$3:$P$152,"&gt;="&amp;DATE(2024,7,1),'2024数据'!$P$3:$P$152,"&lt;="&amp;DATE(2024,7,31),'2024数据'!$BF$3:$BF$152,$E942,'2024数据'!$B$3:$B$152,'2024整理'!$E1097)/10000</f>
        <v>0</v>
      </c>
      <c r="M1122" s="123">
        <f>SUMIFS('2024数据'!$BG$3:$BG$152,'2024数据'!$P$3:$P$152,"&gt;="&amp;DATE(2024,8,1),'2024数据'!$P$3:$P$152,"&lt;="&amp;DATE(2024,8,31),'2024数据'!$BF$3:$BF$152,$E942,'2024数据'!$B$3:$B$152,'2024整理'!$E1097)/10000</f>
        <v>0</v>
      </c>
      <c r="N1122" s="123">
        <f>SUMIFS('2024数据'!$BG$3:$BG$152,'2024数据'!$P$3:$P$152,"&gt;="&amp;DATE(2024,9,1),'2024数据'!$P$3:$P$152,"&lt;="&amp;DATE(2024,9,30),'2024数据'!$BF$3:$BF$152,$E942,'2024数据'!$B$3:$B$152,'2024整理'!$E1097)/10000</f>
        <v>0</v>
      </c>
      <c r="O1122" s="123">
        <f>SUMIFS('2024数据'!$BG$3:$BG$152,'2024数据'!$P$3:$P$152,"&gt;="&amp;DATE(2024,10,1),'2024数据'!$P$3:$P$152,"&lt;="&amp;DATE(2024,10,31),'2024数据'!$BF$3:$BF$152,$E942,'2024数据'!$B$3:$B$152,'2024整理'!$E1097)/10000</f>
        <v>0</v>
      </c>
      <c r="P1122" s="123">
        <f>SUMIFS('2024数据'!$BG$3:$BG$152,'2024数据'!$P$3:$P$152,"&gt;="&amp;DATE(2024,11,1),'2024数据'!$P$3:$P$152,"&lt;="&amp;DATE(2024,11,30),'2024数据'!$BF$3:$BF$152,$E942,'2024数据'!$B$3:$B$152,'2024整理'!$E1097)/10000</f>
        <v>0</v>
      </c>
      <c r="Q1122" s="123">
        <f>SUMIFS('2024数据'!$BG$3:$BG$152,'2024数据'!$P$3:$P$152,"&gt;="&amp;DATE(2024,12,1),'2024数据'!$P$3:$P$152,"&lt;="&amp;DATE(2024,12,31),'2024数据'!$BF$3:$BF$152,$E942,'2024数据'!$B$3:$B$152,'2024整理'!$E1097)/10000</f>
        <v>0</v>
      </c>
    </row>
    <row r="1123" ht="24" customHeight="1" spans="1:17">
      <c r="A1123" s="99" t="s">
        <v>347</v>
      </c>
      <c r="B1123" s="99" t="s">
        <v>299</v>
      </c>
      <c r="C1123" s="99" t="s">
        <v>333</v>
      </c>
      <c r="D1123" s="53" t="s">
        <v>304</v>
      </c>
      <c r="E1123" s="53" t="s">
        <v>81</v>
      </c>
      <c r="F1123" s="123">
        <f>SUMIFS('2024数据'!$BG$3:$BG$152,'2024数据'!$P$3:$P$152,"&gt;="&amp;DATE(2024,1,1),'2024数据'!$P$3:$P$152,"&lt;="&amp;DATE(2024,1,31),'2024数据'!$BF$3:$BF$152,$E942,'2024数据'!$B$3:$B$152,'2024整理'!$E1098)/10000</f>
        <v>0</v>
      </c>
      <c r="G1123" s="123">
        <f>SUMIFS('2024数据'!$BG$3:$BG$152,'2024数据'!$P$3:$P$152,"&gt;="&amp;DATE(2024,2,1),'2024数据'!$P$3:$P$152,"&lt;="&amp;DATE(2024,2,29),'2024数据'!$BF$3:$BF$152,$E942,'2024数据'!$B$3:$B$152,'2024整理'!$E1098)/10000</f>
        <v>0</v>
      </c>
      <c r="H1123" s="123">
        <f>SUMIFS('2024数据'!$BG$3:$BG$152,'2024数据'!$P$3:$P$152,"&gt;="&amp;DATE(2024,3,1),'2024数据'!$P$3:$P$152,"&lt;="&amp;DATE(2024,3,31),'2024数据'!$BF$3:$BF$152,$E942,'2024数据'!$B$3:$B$152,'2024整理'!$E1098)/10000</f>
        <v>0</v>
      </c>
      <c r="I1123" s="123">
        <f>SUMIFS('2024数据'!$BG$3:$BG$152,'2024数据'!$P$3:$P$152,"&gt;="&amp;DATE(2024,4,1),'2024数据'!$P$3:$P$152,"&lt;="&amp;DATE(2024,4,30),'2024数据'!$BF$3:$BF$152,$E942,'2024数据'!$B$3:$B$152,'2024整理'!$E1098)/10000</f>
        <v>0</v>
      </c>
      <c r="J1123" s="123">
        <f>SUMIFS('2024数据'!$BG$3:$BG$152,'2024数据'!$P$3:$P$152,"&gt;="&amp;DATE(2024,5,1),'2024数据'!$P$3:$P$152,"&lt;="&amp;DATE(2024,5,31),'2024数据'!$BF$3:$BF$152,$E942,'2024数据'!$B$3:$B$152,'2024整理'!$E1098)/10000</f>
        <v>0</v>
      </c>
      <c r="K1123" s="123">
        <f>SUMIFS('2024数据'!$BG$3:$BG$152,'2024数据'!$P$3:$P$152,"&gt;="&amp;DATE(2024,6,1),'2024数据'!$P$3:$P$152,"&lt;="&amp;DATE(2024,6,30),'2024数据'!$BF$3:$BF$152,$E942,'2024数据'!$B$3:$B$152,'2024整理'!$E1098)/10000</f>
        <v>0</v>
      </c>
      <c r="L1123" s="123">
        <f>SUMIFS('2024数据'!$BG$3:$BG$152,'2024数据'!$P$3:$P$152,"&gt;="&amp;DATE(2024,7,1),'2024数据'!$P$3:$P$152,"&lt;="&amp;DATE(2024,7,31),'2024数据'!$BF$3:$BF$152,$E942,'2024数据'!$B$3:$B$152,'2024整理'!$E1098)/10000</f>
        <v>0</v>
      </c>
      <c r="M1123" s="123">
        <f>SUMIFS('2024数据'!$BG$3:$BG$152,'2024数据'!$P$3:$P$152,"&gt;="&amp;DATE(2024,8,1),'2024数据'!$P$3:$P$152,"&lt;="&amp;DATE(2024,8,31),'2024数据'!$BF$3:$BF$152,$E942,'2024数据'!$B$3:$B$152,'2024整理'!$E1098)/10000</f>
        <v>0</v>
      </c>
      <c r="N1123" s="123">
        <f>SUMIFS('2024数据'!$BG$3:$BG$152,'2024数据'!$P$3:$P$152,"&gt;="&amp;DATE(2024,9,1),'2024数据'!$P$3:$P$152,"&lt;="&amp;DATE(2024,9,30),'2024数据'!$BF$3:$BF$152,$E942,'2024数据'!$B$3:$B$152,'2024整理'!$E1098)/10000</f>
        <v>0</v>
      </c>
      <c r="O1123" s="123">
        <f>SUMIFS('2024数据'!$BG$3:$BG$152,'2024数据'!$P$3:$P$152,"&gt;="&amp;DATE(2024,10,1),'2024数据'!$P$3:$P$152,"&lt;="&amp;DATE(2024,10,31),'2024数据'!$BF$3:$BF$152,$E942,'2024数据'!$B$3:$B$152,'2024整理'!$E1098)/10000</f>
        <v>0</v>
      </c>
      <c r="P1123" s="123">
        <f>SUMIFS('2024数据'!$BG$3:$BG$152,'2024数据'!$P$3:$P$152,"&gt;="&amp;DATE(2024,11,1),'2024数据'!$P$3:$P$152,"&lt;="&amp;DATE(2024,11,30),'2024数据'!$BF$3:$BF$152,$E942,'2024数据'!$B$3:$B$152,'2024整理'!$E1098)/10000</f>
        <v>0</v>
      </c>
      <c r="Q1123" s="123">
        <f>SUMIFS('2024数据'!$BG$3:$BG$152,'2024数据'!$P$3:$P$152,"&gt;="&amp;DATE(2024,12,1),'2024数据'!$P$3:$P$152,"&lt;="&amp;DATE(2024,12,31),'2024数据'!$BF$3:$BF$152,$E942,'2024数据'!$B$3:$B$152,'2024整理'!$E1098)/10000</f>
        <v>0</v>
      </c>
    </row>
    <row r="1124" ht="24" customHeight="1" spans="1:17">
      <c r="A1124" s="99" t="s">
        <v>347</v>
      </c>
      <c r="B1124" s="99" t="s">
        <v>299</v>
      </c>
      <c r="C1124" s="99" t="s">
        <v>333</v>
      </c>
      <c r="D1124" s="53" t="s">
        <v>304</v>
      </c>
      <c r="E1124" s="53" t="s">
        <v>96</v>
      </c>
      <c r="F1124" s="123">
        <f>SUMIFS('2024数据'!$BG$3:$BG$152,'2024数据'!$P$3:$P$152,"&gt;="&amp;DATE(2024,1,1),'2024数据'!$P$3:$P$152,"&lt;="&amp;DATE(2024,1,31),'2024数据'!$BF$3:$BF$152,$E942,'2024数据'!$B$3:$B$152,'2024整理'!$E1099)/10000</f>
        <v>0</v>
      </c>
      <c r="G1124" s="123">
        <f>SUMIFS('2024数据'!$BG$3:$BG$152,'2024数据'!$P$3:$P$152,"&gt;="&amp;DATE(2024,2,1),'2024数据'!$P$3:$P$152,"&lt;="&amp;DATE(2024,2,29),'2024数据'!$BF$3:$BF$152,$E942,'2024数据'!$B$3:$B$152,'2024整理'!$E1099)/10000</f>
        <v>0</v>
      </c>
      <c r="H1124" s="123">
        <f>SUMIFS('2024数据'!$BG$3:$BG$152,'2024数据'!$P$3:$P$152,"&gt;="&amp;DATE(2024,3,1),'2024数据'!$P$3:$P$152,"&lt;="&amp;DATE(2024,3,31),'2024数据'!$BF$3:$BF$152,$E942,'2024数据'!$B$3:$B$152,'2024整理'!$E1099)/10000</f>
        <v>0</v>
      </c>
      <c r="I1124" s="123">
        <f>SUMIFS('2024数据'!$BG$3:$BG$152,'2024数据'!$P$3:$P$152,"&gt;="&amp;DATE(2024,4,1),'2024数据'!$P$3:$P$152,"&lt;="&amp;DATE(2024,4,30),'2024数据'!$BF$3:$BF$152,$E942,'2024数据'!$B$3:$B$152,'2024整理'!$E1099)/10000</f>
        <v>0</v>
      </c>
      <c r="J1124" s="123">
        <f>SUMIFS('2024数据'!$BG$3:$BG$152,'2024数据'!$P$3:$P$152,"&gt;="&amp;DATE(2024,5,1),'2024数据'!$P$3:$P$152,"&lt;="&amp;DATE(2024,5,31),'2024数据'!$BF$3:$BF$152,$E942,'2024数据'!$B$3:$B$152,'2024整理'!$E1099)/10000</f>
        <v>0</v>
      </c>
      <c r="K1124" s="123">
        <f>SUMIFS('2024数据'!$BG$3:$BG$152,'2024数据'!$P$3:$P$152,"&gt;="&amp;DATE(2024,6,1),'2024数据'!$P$3:$P$152,"&lt;="&amp;DATE(2024,6,30),'2024数据'!$BF$3:$BF$152,$E942,'2024数据'!$B$3:$B$152,'2024整理'!$E1099)/10000</f>
        <v>0</v>
      </c>
      <c r="L1124" s="123">
        <f>SUMIFS('2024数据'!$BG$3:$BG$152,'2024数据'!$P$3:$P$152,"&gt;="&amp;DATE(2024,7,1),'2024数据'!$P$3:$P$152,"&lt;="&amp;DATE(2024,7,31),'2024数据'!$BF$3:$BF$152,$E942,'2024数据'!$B$3:$B$152,'2024整理'!$E1099)/10000</f>
        <v>0</v>
      </c>
      <c r="M1124" s="123">
        <f>SUMIFS('2024数据'!$BG$3:$BG$152,'2024数据'!$P$3:$P$152,"&gt;="&amp;DATE(2024,8,1),'2024数据'!$P$3:$P$152,"&lt;="&amp;DATE(2024,8,31),'2024数据'!$BF$3:$BF$152,$E942,'2024数据'!$B$3:$B$152,'2024整理'!$E1099)/10000</f>
        <v>0</v>
      </c>
      <c r="N1124" s="123">
        <f>SUMIFS('2024数据'!$BG$3:$BG$152,'2024数据'!$P$3:$P$152,"&gt;="&amp;DATE(2024,9,1),'2024数据'!$P$3:$P$152,"&lt;="&amp;DATE(2024,9,30),'2024数据'!$BF$3:$BF$152,$E942,'2024数据'!$B$3:$B$152,'2024整理'!$E1099)/10000</f>
        <v>0</v>
      </c>
      <c r="O1124" s="123">
        <f>SUMIFS('2024数据'!$BG$3:$BG$152,'2024数据'!$P$3:$P$152,"&gt;="&amp;DATE(2024,10,1),'2024数据'!$P$3:$P$152,"&lt;="&amp;DATE(2024,10,31),'2024数据'!$BF$3:$BF$152,$E942,'2024数据'!$B$3:$B$152,'2024整理'!$E1099)/10000</f>
        <v>0</v>
      </c>
      <c r="P1124" s="123">
        <f>SUMIFS('2024数据'!$BG$3:$BG$152,'2024数据'!$P$3:$P$152,"&gt;="&amp;DATE(2024,11,1),'2024数据'!$P$3:$P$152,"&lt;="&amp;DATE(2024,11,30),'2024数据'!$BF$3:$BF$152,$E942,'2024数据'!$B$3:$B$152,'2024整理'!$E1099)/10000</f>
        <v>0</v>
      </c>
      <c r="Q1124" s="123">
        <f>SUMIFS('2024数据'!$BG$3:$BG$152,'2024数据'!$P$3:$P$152,"&gt;="&amp;DATE(2024,12,1),'2024数据'!$P$3:$P$152,"&lt;="&amp;DATE(2024,12,31),'2024数据'!$BF$3:$BF$152,$E942,'2024数据'!$B$3:$B$152,'2024整理'!$E1099)/10000</f>
        <v>0</v>
      </c>
    </row>
    <row r="1125" ht="24" customHeight="1" spans="1:17">
      <c r="A1125" s="99" t="s">
        <v>347</v>
      </c>
      <c r="B1125" s="99" t="s">
        <v>299</v>
      </c>
      <c r="C1125" s="99" t="s">
        <v>333</v>
      </c>
      <c r="D1125" s="53" t="s">
        <v>304</v>
      </c>
      <c r="E1125" s="53" t="s">
        <v>160</v>
      </c>
      <c r="F1125" s="123">
        <f t="shared" ref="F1125:Q1125" si="812">F1114-SUM(F1121:F1124)</f>
        <v>0</v>
      </c>
      <c r="G1125" s="123">
        <f t="shared" si="812"/>
        <v>0</v>
      </c>
      <c r="H1125" s="123">
        <f t="shared" si="812"/>
        <v>0</v>
      </c>
      <c r="I1125" s="123">
        <f t="shared" si="812"/>
        <v>0</v>
      </c>
      <c r="J1125" s="123">
        <f t="shared" si="812"/>
        <v>0</v>
      </c>
      <c r="K1125" s="123">
        <f t="shared" si="812"/>
        <v>0</v>
      </c>
      <c r="L1125" s="123">
        <f t="shared" si="812"/>
        <v>0</v>
      </c>
      <c r="M1125" s="123">
        <f t="shared" si="812"/>
        <v>0</v>
      </c>
      <c r="N1125" s="123">
        <f t="shared" si="812"/>
        <v>0</v>
      </c>
      <c r="O1125" s="123">
        <f t="shared" si="812"/>
        <v>0</v>
      </c>
      <c r="P1125" s="123">
        <f t="shared" si="812"/>
        <v>0</v>
      </c>
      <c r="Q1125" s="123">
        <f t="shared" si="812"/>
        <v>0</v>
      </c>
    </row>
    <row r="1126" ht="24" customHeight="1" spans="1:17">
      <c r="A1126" s="99" t="s">
        <v>347</v>
      </c>
      <c r="B1126" s="99" t="s">
        <v>299</v>
      </c>
      <c r="C1126" s="99" t="s">
        <v>336</v>
      </c>
      <c r="D1126" s="114" t="s">
        <v>292</v>
      </c>
      <c r="E1126" s="122" t="s">
        <v>337</v>
      </c>
      <c r="F1126" s="124">
        <f>SUMIFS('2024数据'!$BG$3:$BG$152,'2024数据'!$P$3:$P$152,"&gt;="&amp;DATE(2024,1,1),'2024数据'!$P$3:$P$152,"&lt;="&amp;DATE(2024,1,31),'2024数据'!$BF$3:$BF$152,$E941)/10000</f>
        <v>0</v>
      </c>
      <c r="G1126" s="124">
        <f>SUMIFS('2024数据'!$BG$3:$BG$152,'2024数据'!$P$3:$P$152,"&gt;="&amp;DATE(2024,2,1),'2024数据'!$P$3:$P$152,"&lt;="&amp;DATE(2024,2,29),'2024数据'!$BF$3:$BF$152,$E941)/10000</f>
        <v>0</v>
      </c>
      <c r="H1126" s="124">
        <f>SUMIFS('2024数据'!$BG$3:$BG$152,'2024数据'!$P$3:$P$152,"&gt;="&amp;DATE(2024,3,1),'2024数据'!$P$3:$P$152,"&lt;="&amp;DATE(2024,3,31),'2024数据'!$BF$3:$BF$152,$E941)/10000</f>
        <v>0</v>
      </c>
      <c r="I1126" s="124">
        <f>SUMIFS('2024数据'!$BG$3:$BG$152,'2024数据'!$P$3:$P$152,"&gt;="&amp;DATE(2024,4,1),'2024数据'!$P$3:$P$152,"&lt;="&amp;DATE(2024,4,30),'2024数据'!$BF$3:$BF$152,$E941)/10000</f>
        <v>0.0138210000000001</v>
      </c>
      <c r="J1126" s="124">
        <f>SUMIFS('2024数据'!$BG$3:$BG$152,'2024数据'!$P$3:$P$152,"&gt;="&amp;DATE(2024,5,1),'2024数据'!$P$3:$P$152,"&lt;="&amp;DATE(2024,5,31),'2024数据'!$BF$3:$BF$152,$E941)/10000</f>
        <v>0</v>
      </c>
      <c r="K1126" s="124">
        <f>SUMIFS('2024数据'!$BG$3:$BG$152,'2024数据'!$P$3:$P$152,"&gt;="&amp;DATE(2024,6,1),'2024数据'!$P$3:$P$152,"&lt;="&amp;DATE(2024,6,30),'2024数据'!$BF$3:$BF$152,$E941)/10000</f>
        <v>0</v>
      </c>
      <c r="L1126" s="124">
        <f>SUMIFS('2024数据'!$BG$3:$BG$152,'2024数据'!$P$3:$P$152,"&gt;="&amp;DATE(2024,7,1),'2024数据'!$P$3:$P$152,"&lt;="&amp;DATE(2024,7,31),'2024数据'!$BF$3:$BF$152,$E941)/10000</f>
        <v>0.00480699999999997</v>
      </c>
      <c r="M1126" s="124">
        <f>SUMIFS('2024数据'!$BG$3:$BG$152,'2024数据'!$P$3:$P$152,"&gt;="&amp;DATE(2024,8,1),'2024数据'!$P$3:$P$152,"&lt;="&amp;DATE(2024,8,31),'2024数据'!$BF$3:$BF$152,$E941)/10000</f>
        <v>0</v>
      </c>
      <c r="N1126" s="124">
        <f>SUMIFS('2024数据'!$BG$3:$BG$152,'2024数据'!$P$3:$P$152,"&gt;="&amp;DATE(2024,9,1),'2024数据'!$P$3:$P$152,"&lt;="&amp;DATE(2024,9,30),'2024数据'!$BF$3:$BF$152,$E941)/10000</f>
        <v>0</v>
      </c>
      <c r="O1126" s="124">
        <f>SUMIFS('2024数据'!$BG$3:$BG$152,'2024数据'!$P$3:$P$152,"&gt;="&amp;DATE(2024,10,1),'2024数据'!$P$3:$P$152,"&lt;="&amp;DATE(2024,10,31),'2024数据'!$BF$3:$BF$152,$E941)/10000</f>
        <v>0</v>
      </c>
      <c r="P1126" s="124">
        <f>SUMIFS('2024数据'!$BG$3:$BG$152,'2024数据'!$P$3:$P$152,"&gt;="&amp;DATE(2024,11,1),'2024数据'!$P$3:$P$152,"&lt;="&amp;DATE(2024,11,30),'2024数据'!$BF$3:$BF$152,$E941)/10000</f>
        <v>0</v>
      </c>
      <c r="Q1126" s="124">
        <f>SUMIFS('2024数据'!$BG$3:$BG$152,'2024数据'!$P$3:$P$152,"&gt;="&amp;DATE(2024,12,1),'2024数据'!$P$3:$P$152,"&lt;="&amp;DATE(2024,12,31),'2024数据'!$BF$3:$BF$152,$E941)/10000</f>
        <v>0</v>
      </c>
    </row>
    <row r="1127" ht="24" customHeight="1" spans="1:17">
      <c r="A1127" s="99" t="s">
        <v>347</v>
      </c>
      <c r="B1127" s="99" t="s">
        <v>299</v>
      </c>
      <c r="C1127" s="99" t="s">
        <v>336</v>
      </c>
      <c r="D1127" s="114" t="s">
        <v>292</v>
      </c>
      <c r="E1127" s="122" t="s">
        <v>338</v>
      </c>
      <c r="F1127" s="124">
        <f>SUMIFS('2024数据'!$BG$3:$BG$152,'2024数据'!$P$3:$P$152,"&gt;="&amp;DATE(2024,1,1),'2024数据'!$P$3:$P$152,"&lt;="&amp;DATE(2024,1,31),'2024数据'!$BF$3:$BF$152,$E942)/10000</f>
        <v>0</v>
      </c>
      <c r="G1127" s="124">
        <f>SUMIFS('2024数据'!$BG$3:$BG$152,'2024数据'!$P$3:$P$152,"&gt;="&amp;DATE(2024,2,1),'2024数据'!$P$3:$P$152,"&lt;="&amp;DATE(2024,2,29),'2024数据'!$BF$3:$BF$152,$E942)/10000</f>
        <v>0</v>
      </c>
      <c r="H1127" s="124">
        <f>SUMIFS('2024数据'!$BG$3:$BG$152,'2024数据'!$P$3:$P$152,"&gt;="&amp;DATE(2024,3,1),'2024数据'!$P$3:$P$152,"&lt;="&amp;DATE(2024,3,31),'2024数据'!$BF$3:$BF$152,$E942)/10000</f>
        <v>0</v>
      </c>
      <c r="I1127" s="124">
        <f>SUMIFS('2024数据'!$BG$3:$BG$152,'2024数据'!$P$3:$P$152,"&gt;="&amp;DATE(2024,4,1),'2024数据'!$P$3:$P$152,"&lt;="&amp;DATE(2024,4,30),'2024数据'!$BF$3:$BF$152,$E942)/10000</f>
        <v>0</v>
      </c>
      <c r="J1127" s="124">
        <f>SUMIFS('2024数据'!$BG$3:$BG$152,'2024数据'!$P$3:$P$152,"&gt;="&amp;DATE(2024,5,1),'2024数据'!$P$3:$P$152,"&lt;="&amp;DATE(2024,5,31),'2024数据'!$BF$3:$BF$152,$E942)/10000</f>
        <v>0.00930200000000004</v>
      </c>
      <c r="K1127" s="124">
        <f>SUMIFS('2024数据'!$BG$3:$BG$152,'2024数据'!$P$3:$P$152,"&gt;="&amp;DATE(2024,6,1),'2024数据'!$P$3:$P$152,"&lt;="&amp;DATE(2024,6,30),'2024数据'!$BF$3:$BF$152,$E942)/10000</f>
        <v>0</v>
      </c>
      <c r="L1127" s="124">
        <f>SUMIFS('2024数据'!$BG$3:$BG$152,'2024数据'!$P$3:$P$152,"&gt;="&amp;DATE(2024,7,1),'2024数据'!$P$3:$P$152,"&lt;="&amp;DATE(2024,7,31),'2024数据'!$BF$3:$BF$152,$E942)/10000</f>
        <v>0</v>
      </c>
      <c r="M1127" s="124">
        <f>SUMIFS('2024数据'!$BG$3:$BG$152,'2024数据'!$P$3:$P$152,"&gt;="&amp;DATE(2024,8,1),'2024数据'!$P$3:$P$152,"&lt;="&amp;DATE(2024,8,31),'2024数据'!$BF$3:$BF$152,$E942)/10000</f>
        <v>0</v>
      </c>
      <c r="N1127" s="124">
        <f>SUMIFS('2024数据'!$BG$3:$BG$152,'2024数据'!$P$3:$P$152,"&gt;="&amp;DATE(2024,9,1),'2024数据'!$P$3:$P$152,"&lt;="&amp;DATE(2024,9,30),'2024数据'!$BF$3:$BF$152,$E942)/10000</f>
        <v>0</v>
      </c>
      <c r="O1127" s="124">
        <f>SUMIFS('2024数据'!$BG$3:$BG$152,'2024数据'!$P$3:$P$152,"&gt;="&amp;DATE(2024,10,1),'2024数据'!$P$3:$P$152,"&lt;="&amp;DATE(2024,10,31),'2024数据'!$BF$3:$BF$152,$E942)/10000</f>
        <v>0</v>
      </c>
      <c r="P1127" s="124">
        <f>SUMIFS('2024数据'!$BG$3:$BG$152,'2024数据'!$P$3:$P$152,"&gt;="&amp;DATE(2024,11,1),'2024数据'!$P$3:$P$152,"&lt;="&amp;DATE(2024,11,30),'2024数据'!$BF$3:$BF$152,$E942)/10000</f>
        <v>0</v>
      </c>
      <c r="Q1127" s="124">
        <f>SUMIFS('2024数据'!$BG$3:$BG$152,'2024数据'!$P$3:$P$152,"&gt;="&amp;DATE(2024,12,1),'2024数据'!$P$3:$P$152,"&lt;="&amp;DATE(2024,12,31),'2024数据'!$BF$3:$BF$152,$E942)/10000</f>
        <v>0</v>
      </c>
    </row>
    <row r="1128" ht="24" customHeight="1" spans="1:17">
      <c r="A1128" s="99" t="s">
        <v>347</v>
      </c>
      <c r="B1128" s="99" t="s">
        <v>299</v>
      </c>
      <c r="C1128" s="99" t="s">
        <v>336</v>
      </c>
      <c r="D1128" s="114" t="s">
        <v>292</v>
      </c>
      <c r="E1128" s="122" t="s">
        <v>339</v>
      </c>
      <c r="F1128" s="124">
        <f>SUMIFS('2024数据'!$BG$3:$BG$152,'2024数据'!$P$3:$P$152,"&gt;="&amp;DATE(2024,1,1),'2024数据'!$P$3:$P$152,"&lt;="&amp;DATE(2024,1,31),'2024数据'!$BF$3:$BF$152,$E943)/10000</f>
        <v>0</v>
      </c>
      <c r="G1128" s="124">
        <f>SUMIFS('2024数据'!$BG$3:$BG$152,'2024数据'!$P$3:$P$152,"&gt;="&amp;DATE(2024,2,1),'2024数据'!$P$3:$P$152,"&lt;="&amp;DATE(2024,2,29),'2024数据'!$BF$3:$BF$152,$E943)/10000</f>
        <v>0</v>
      </c>
      <c r="H1128" s="124">
        <f>SUMIFS('2024数据'!$BG$3:$BG$152,'2024数据'!$P$3:$P$152,"&gt;="&amp;DATE(2024,3,1),'2024数据'!$P$3:$P$152,"&lt;="&amp;DATE(2024,3,31),'2024数据'!$BF$3:$BF$152,$E943)/10000</f>
        <v>0</v>
      </c>
      <c r="I1128" s="124">
        <f>SUMIFS('2024数据'!$BG$3:$BG$152,'2024数据'!$P$3:$P$152,"&gt;="&amp;DATE(2024,4,1),'2024数据'!$P$3:$P$152,"&lt;="&amp;DATE(2024,4,30),'2024数据'!$BF$3:$BF$152,$E943)/10000</f>
        <v>0</v>
      </c>
      <c r="J1128" s="124">
        <f>SUMIFS('2024数据'!$BG$3:$BG$152,'2024数据'!$P$3:$P$152,"&gt;="&amp;DATE(2024,5,1),'2024数据'!$P$3:$P$152,"&lt;="&amp;DATE(2024,5,31),'2024数据'!$BF$3:$BF$152,$E943)/10000</f>
        <v>0</v>
      </c>
      <c r="K1128" s="124">
        <f>SUMIFS('2024数据'!$BG$3:$BG$152,'2024数据'!$P$3:$P$152,"&gt;="&amp;DATE(2024,6,1),'2024数据'!$P$3:$P$152,"&lt;="&amp;DATE(2024,6,30),'2024数据'!$BF$3:$BF$152,$E943)/10000</f>
        <v>0</v>
      </c>
      <c r="L1128" s="124">
        <f>SUMIFS('2024数据'!$BG$3:$BG$152,'2024数据'!$P$3:$P$152,"&gt;="&amp;DATE(2024,7,1),'2024数据'!$P$3:$P$152,"&lt;="&amp;DATE(2024,7,31),'2024数据'!$BF$3:$BF$152,$E943)/10000</f>
        <v>0</v>
      </c>
      <c r="M1128" s="124">
        <f>SUMIFS('2024数据'!$BG$3:$BG$152,'2024数据'!$P$3:$P$152,"&gt;="&amp;DATE(2024,8,1),'2024数据'!$P$3:$P$152,"&lt;="&amp;DATE(2024,8,31),'2024数据'!$BF$3:$BF$152,$E943)/10000</f>
        <v>0</v>
      </c>
      <c r="N1128" s="124">
        <f>SUMIFS('2024数据'!$BG$3:$BG$152,'2024数据'!$P$3:$P$152,"&gt;="&amp;DATE(2024,9,1),'2024数据'!$P$3:$P$152,"&lt;="&amp;DATE(2024,9,30),'2024数据'!$BF$3:$BF$152,$E943)/10000</f>
        <v>0</v>
      </c>
      <c r="O1128" s="124">
        <f>SUMIFS('2024数据'!$BG$3:$BG$152,'2024数据'!$P$3:$P$152,"&gt;="&amp;DATE(2024,10,1),'2024数据'!$P$3:$P$152,"&lt;="&amp;DATE(2024,10,31),'2024数据'!$BF$3:$BF$152,$E943)/10000</f>
        <v>0</v>
      </c>
      <c r="P1128" s="124">
        <f>SUMIFS('2024数据'!$BG$3:$BG$152,'2024数据'!$P$3:$P$152,"&gt;="&amp;DATE(2024,11,1),'2024数据'!$P$3:$P$152,"&lt;="&amp;DATE(2024,11,30),'2024数据'!$BF$3:$BF$152,$E943)/10000</f>
        <v>0</v>
      </c>
      <c r="Q1128" s="124">
        <f>SUMIFS('2024数据'!$BG$3:$BG$152,'2024数据'!$P$3:$P$152,"&gt;="&amp;DATE(2024,12,1),'2024数据'!$P$3:$P$152,"&lt;="&amp;DATE(2024,12,31),'2024数据'!$BF$3:$BF$152,$E943)/10000</f>
        <v>0</v>
      </c>
    </row>
    <row r="1129" ht="24" customHeight="1" spans="1:17">
      <c r="A1129" s="99" t="s">
        <v>347</v>
      </c>
      <c r="B1129" s="99" t="s">
        <v>299</v>
      </c>
      <c r="C1129" s="99" t="s">
        <v>336</v>
      </c>
      <c r="D1129" s="122" t="s">
        <v>303</v>
      </c>
      <c r="E1129" s="122" t="s">
        <v>93</v>
      </c>
      <c r="F1129" s="124">
        <f>SUMIFS('2024数据'!$BG$3:$BG$152,'2024数据'!$P$3:$P$152,"&gt;="&amp;DATE(2024,1,1),'2024数据'!$P$3:$P$152,"&lt;="&amp;DATE(2024,1,31),'2024数据'!$BF$3:$BF$152,$E941,'2024数据'!$B$3:$B$152,'2024整理'!$E1108)/10000</f>
        <v>0</v>
      </c>
      <c r="G1129" s="124">
        <f>SUMIFS('2024数据'!$BG$3:$BG$152,'2024数据'!$P$3:$P$152,"&gt;="&amp;DATE(2024,2,1),'2024数据'!$P$3:$P$152,"&lt;="&amp;DATE(2024,2,29),'2024数据'!$BF$3:$BF$152,$E941,'2024数据'!$B$3:$B$152,'2024整理'!$E1108)/10000</f>
        <v>0</v>
      </c>
      <c r="H1129" s="124">
        <f>SUMIFS('2024数据'!$BG$3:$BG$152,'2024数据'!$P$3:$P$152,"&gt;="&amp;DATE(2024,3,1),'2024数据'!$P$3:$P$152,"&lt;="&amp;DATE(2024,3,31),'2024数据'!$BF$3:$BF$152,$E941,'2024数据'!$B$3:$B$152,'2024整理'!$E1108)/10000</f>
        <v>0</v>
      </c>
      <c r="I1129" s="124">
        <f>SUMIFS('2024数据'!$BG$3:$BG$152,'2024数据'!$P$3:$P$152,"&gt;="&amp;DATE(2024,4,1),'2024数据'!$P$3:$P$152,"&lt;="&amp;DATE(2024,4,30),'2024数据'!$BF$3:$BF$152,$E941,'2024数据'!$B$3:$B$152,'2024整理'!$E1108)/10000</f>
        <v>0</v>
      </c>
      <c r="J1129" s="124">
        <f>SUMIFS('2024数据'!$BG$3:$BG$152,'2024数据'!$P$3:$P$152,"&gt;="&amp;DATE(2024,5,1),'2024数据'!$P$3:$P$152,"&lt;="&amp;DATE(2024,5,31),'2024数据'!$BF$3:$BF$152,$E941,'2024数据'!$B$3:$B$152,'2024整理'!$E1108)/10000</f>
        <v>0</v>
      </c>
      <c r="K1129" s="124">
        <f>SUMIFS('2024数据'!$BG$3:$BG$152,'2024数据'!$P$3:$P$152,"&gt;="&amp;DATE(2024,6,1),'2024数据'!$P$3:$P$152,"&lt;="&amp;DATE(2024,6,30),'2024数据'!$BF$3:$BF$152,$E941,'2024数据'!$B$3:$B$152,'2024整理'!$E1108)/10000</f>
        <v>0</v>
      </c>
      <c r="L1129" s="124">
        <f>SUMIFS('2024数据'!$BG$3:$BG$152,'2024数据'!$P$3:$P$152,"&gt;="&amp;DATE(2024,7,1),'2024数据'!$P$3:$P$152,"&lt;="&amp;DATE(2024,7,31),'2024数据'!$BF$3:$BF$152,$E941,'2024数据'!$B$3:$B$152,'2024整理'!$E1108)/10000</f>
        <v>0</v>
      </c>
      <c r="M1129" s="124">
        <f>SUMIFS('2024数据'!$BG$3:$BG$152,'2024数据'!$P$3:$P$152,"&gt;="&amp;DATE(2024,8,1),'2024数据'!$P$3:$P$152,"&lt;="&amp;DATE(2024,8,31),'2024数据'!$BF$3:$BF$152,$E941,'2024数据'!$B$3:$B$152,'2024整理'!$E1108)/10000</f>
        <v>0</v>
      </c>
      <c r="N1129" s="124">
        <f>SUMIFS('2024数据'!$BG$3:$BG$152,'2024数据'!$P$3:$P$152,"&gt;="&amp;DATE(2024,9,1),'2024数据'!$P$3:$P$152,"&lt;="&amp;DATE(2024,9,30),'2024数据'!$BF$3:$BF$152,$E941,'2024数据'!$B$3:$B$152,'2024整理'!$E1108)/10000</f>
        <v>0</v>
      </c>
      <c r="O1129" s="124">
        <f>SUMIFS('2024数据'!$BG$3:$BG$152,'2024数据'!$P$3:$P$152,"&gt;="&amp;DATE(2024,10,1),'2024数据'!$P$3:$P$152,"&lt;="&amp;DATE(2024,10,31),'2024数据'!$BF$3:$BF$152,$E941,'2024数据'!$B$3:$B$152,'2024整理'!$E1108)/10000</f>
        <v>0</v>
      </c>
      <c r="P1129" s="124">
        <f>SUMIFS('2024数据'!$BG$3:$BG$152,'2024数据'!$P$3:$P$152,"&gt;="&amp;DATE(2024,11,1),'2024数据'!$P$3:$P$152,"&lt;="&amp;DATE(2024,11,30),'2024数据'!$BF$3:$BF$152,$E941,'2024数据'!$B$3:$B$152,'2024整理'!$E1108)/10000</f>
        <v>0</v>
      </c>
      <c r="Q1129" s="124">
        <f>SUMIFS('2024数据'!$BG$3:$BG$152,'2024数据'!$P$3:$P$152,"&gt;="&amp;DATE(2024,12,1),'2024数据'!$P$3:$P$152,"&lt;="&amp;DATE(2024,12,31),'2024数据'!$BF$3:$BF$152,$E941,'2024数据'!$B$3:$B$152,'2024整理'!$E1108)/10000</f>
        <v>0</v>
      </c>
    </row>
    <row r="1130" ht="24" customHeight="1" spans="1:17">
      <c r="A1130" s="99" t="s">
        <v>347</v>
      </c>
      <c r="B1130" s="99" t="s">
        <v>299</v>
      </c>
      <c r="C1130" s="99" t="s">
        <v>336</v>
      </c>
      <c r="D1130" s="122" t="s">
        <v>303</v>
      </c>
      <c r="E1130" s="122" t="s">
        <v>85</v>
      </c>
      <c r="F1130" s="124">
        <f>SUMIFS('2024数据'!$BG$3:$BG$152,'2024数据'!$P$3:$P$152,"&gt;="&amp;DATE(2024,1,1),'2024数据'!$P$3:$P$152,"&lt;="&amp;DATE(2024,1,31),'2024数据'!$BF$3:$BF$152,$E941,'2024数据'!$B$3:$B$152,'2024整理'!$E1109)/10000</f>
        <v>0</v>
      </c>
      <c r="G1130" s="124">
        <f>SUMIFS('2024数据'!$BG$3:$BG$152,'2024数据'!$P$3:$P$152,"&gt;="&amp;DATE(2024,2,1),'2024数据'!$P$3:$P$152,"&lt;="&amp;DATE(2024,2,29),'2024数据'!$BF$3:$BF$152,$E941,'2024数据'!$B$3:$B$152,'2024整理'!$E1109)/10000</f>
        <v>0</v>
      </c>
      <c r="H1130" s="124">
        <f>SUMIFS('2024数据'!$BG$3:$BG$152,'2024数据'!$P$3:$P$152,"&gt;="&amp;DATE(2024,3,1),'2024数据'!$P$3:$P$152,"&lt;="&amp;DATE(2024,3,31),'2024数据'!$BF$3:$BF$152,$E941,'2024数据'!$B$3:$B$152,'2024整理'!$E1109)/10000</f>
        <v>0</v>
      </c>
      <c r="I1130" s="124">
        <f>SUMIFS('2024数据'!$BG$3:$BG$152,'2024数据'!$P$3:$P$152,"&gt;="&amp;DATE(2024,4,1),'2024数据'!$P$3:$P$152,"&lt;="&amp;DATE(2024,4,30),'2024数据'!$BF$3:$BF$152,$E941,'2024数据'!$B$3:$B$152,'2024整理'!$E1109)/10000</f>
        <v>0</v>
      </c>
      <c r="J1130" s="124">
        <f>SUMIFS('2024数据'!$BG$3:$BG$152,'2024数据'!$P$3:$P$152,"&gt;="&amp;DATE(2024,5,1),'2024数据'!$P$3:$P$152,"&lt;="&amp;DATE(2024,5,31),'2024数据'!$BF$3:$BF$152,$E941,'2024数据'!$B$3:$B$152,'2024整理'!$E1109)/10000</f>
        <v>0</v>
      </c>
      <c r="K1130" s="124">
        <f>SUMIFS('2024数据'!$BG$3:$BG$152,'2024数据'!$P$3:$P$152,"&gt;="&amp;DATE(2024,6,1),'2024数据'!$P$3:$P$152,"&lt;="&amp;DATE(2024,6,30),'2024数据'!$BF$3:$BF$152,$E941,'2024数据'!$B$3:$B$152,'2024整理'!$E1109)/10000</f>
        <v>0</v>
      </c>
      <c r="L1130" s="124">
        <f>SUMIFS('2024数据'!$BG$3:$BG$152,'2024数据'!$P$3:$P$152,"&gt;="&amp;DATE(2024,7,1),'2024数据'!$P$3:$P$152,"&lt;="&amp;DATE(2024,7,31),'2024数据'!$BF$3:$BF$152,$E941,'2024数据'!$B$3:$B$152,'2024整理'!$E1109)/10000</f>
        <v>0</v>
      </c>
      <c r="M1130" s="124">
        <f>SUMIFS('2024数据'!$BG$3:$BG$152,'2024数据'!$P$3:$P$152,"&gt;="&amp;DATE(2024,8,1),'2024数据'!$P$3:$P$152,"&lt;="&amp;DATE(2024,8,31),'2024数据'!$BF$3:$BF$152,$E941,'2024数据'!$B$3:$B$152,'2024整理'!$E1109)/10000</f>
        <v>0</v>
      </c>
      <c r="N1130" s="124">
        <f>SUMIFS('2024数据'!$BG$3:$BG$152,'2024数据'!$P$3:$P$152,"&gt;="&amp;DATE(2024,9,1),'2024数据'!$P$3:$P$152,"&lt;="&amp;DATE(2024,9,30),'2024数据'!$BF$3:$BF$152,$E941,'2024数据'!$B$3:$B$152,'2024整理'!$E1109)/10000</f>
        <v>0</v>
      </c>
      <c r="O1130" s="124">
        <f>SUMIFS('2024数据'!$BG$3:$BG$152,'2024数据'!$P$3:$P$152,"&gt;="&amp;DATE(2024,10,1),'2024数据'!$P$3:$P$152,"&lt;="&amp;DATE(2024,10,31),'2024数据'!$BF$3:$BF$152,$E941,'2024数据'!$B$3:$B$152,'2024整理'!$E1109)/10000</f>
        <v>0</v>
      </c>
      <c r="P1130" s="124">
        <f>SUMIFS('2024数据'!$BG$3:$BG$152,'2024数据'!$P$3:$P$152,"&gt;="&amp;DATE(2024,11,1),'2024数据'!$P$3:$P$152,"&lt;="&amp;DATE(2024,11,30),'2024数据'!$BF$3:$BF$152,$E941,'2024数据'!$B$3:$B$152,'2024整理'!$E1109)/10000</f>
        <v>0</v>
      </c>
      <c r="Q1130" s="124">
        <f>SUMIFS('2024数据'!$BG$3:$BG$152,'2024数据'!$P$3:$P$152,"&gt;="&amp;DATE(2024,12,1),'2024数据'!$P$3:$P$152,"&lt;="&amp;DATE(2024,12,31),'2024数据'!$BF$3:$BF$152,$E941,'2024数据'!$B$3:$B$152,'2024整理'!$E1109)/10000</f>
        <v>0</v>
      </c>
    </row>
    <row r="1131" ht="24" customHeight="1" spans="1:17">
      <c r="A1131" s="99" t="s">
        <v>347</v>
      </c>
      <c r="B1131" s="99" t="s">
        <v>299</v>
      </c>
      <c r="C1131" s="99" t="s">
        <v>336</v>
      </c>
      <c r="D1131" s="122" t="s">
        <v>303</v>
      </c>
      <c r="E1131" s="122" t="s">
        <v>81</v>
      </c>
      <c r="F1131" s="124">
        <f>SUMIFS('2024数据'!$BG$3:$BG$152,'2024数据'!$P$3:$P$152,"&gt;="&amp;DATE(2024,1,1),'2024数据'!$P$3:$P$152,"&lt;="&amp;DATE(2024,1,31),'2024数据'!$BF$3:$BF$152,$E941,'2024数据'!$B$3:$B$152,'2024整理'!$E1110)/10000</f>
        <v>0</v>
      </c>
      <c r="G1131" s="124">
        <f>SUMIFS('2024数据'!$BG$3:$BG$152,'2024数据'!$P$3:$P$152,"&gt;="&amp;DATE(2024,2,1),'2024数据'!$P$3:$P$152,"&lt;="&amp;DATE(2024,2,29),'2024数据'!$BF$3:$BF$152,$E941,'2024数据'!$B$3:$B$152,'2024整理'!$E1110)/10000</f>
        <v>0</v>
      </c>
      <c r="H1131" s="124">
        <f>SUMIFS('2024数据'!$BG$3:$BG$152,'2024数据'!$P$3:$P$152,"&gt;="&amp;DATE(2024,3,1),'2024数据'!$P$3:$P$152,"&lt;="&amp;DATE(2024,3,31),'2024数据'!$BF$3:$BF$152,$E941,'2024数据'!$B$3:$B$152,'2024整理'!$E1110)/10000</f>
        <v>0</v>
      </c>
      <c r="I1131" s="124">
        <f>SUMIFS('2024数据'!$BG$3:$BG$152,'2024数据'!$P$3:$P$152,"&gt;="&amp;DATE(2024,4,1),'2024数据'!$P$3:$P$152,"&lt;="&amp;DATE(2024,4,30),'2024数据'!$BF$3:$BF$152,$E941,'2024数据'!$B$3:$B$152,'2024整理'!$E1110)/10000</f>
        <v>0.0138210000000001</v>
      </c>
      <c r="J1131" s="124">
        <f>SUMIFS('2024数据'!$BG$3:$BG$152,'2024数据'!$P$3:$P$152,"&gt;="&amp;DATE(2024,5,1),'2024数据'!$P$3:$P$152,"&lt;="&amp;DATE(2024,5,31),'2024数据'!$BF$3:$BF$152,$E941,'2024数据'!$B$3:$B$152,'2024整理'!$E1110)/10000</f>
        <v>0</v>
      </c>
      <c r="K1131" s="124">
        <f>SUMIFS('2024数据'!$BG$3:$BG$152,'2024数据'!$P$3:$P$152,"&gt;="&amp;DATE(2024,6,1),'2024数据'!$P$3:$P$152,"&lt;="&amp;DATE(2024,6,30),'2024数据'!$BF$3:$BF$152,$E941,'2024数据'!$B$3:$B$152,'2024整理'!$E1110)/10000</f>
        <v>0</v>
      </c>
      <c r="L1131" s="124">
        <f>SUMIFS('2024数据'!$BG$3:$BG$152,'2024数据'!$P$3:$P$152,"&gt;="&amp;DATE(2024,7,1),'2024数据'!$P$3:$P$152,"&lt;="&amp;DATE(2024,7,31),'2024数据'!$BF$3:$BF$152,$E941,'2024数据'!$B$3:$B$152,'2024整理'!$E1110)/10000</f>
        <v>0</v>
      </c>
      <c r="M1131" s="124">
        <f>SUMIFS('2024数据'!$BG$3:$BG$152,'2024数据'!$P$3:$P$152,"&gt;="&amp;DATE(2024,8,1),'2024数据'!$P$3:$P$152,"&lt;="&amp;DATE(2024,8,31),'2024数据'!$BF$3:$BF$152,$E941,'2024数据'!$B$3:$B$152,'2024整理'!$E1110)/10000</f>
        <v>0</v>
      </c>
      <c r="N1131" s="124">
        <f>SUMIFS('2024数据'!$BG$3:$BG$152,'2024数据'!$P$3:$P$152,"&gt;="&amp;DATE(2024,9,1),'2024数据'!$P$3:$P$152,"&lt;="&amp;DATE(2024,9,30),'2024数据'!$BF$3:$BF$152,$E941,'2024数据'!$B$3:$B$152,'2024整理'!$E1110)/10000</f>
        <v>0</v>
      </c>
      <c r="O1131" s="124">
        <f>SUMIFS('2024数据'!$BG$3:$BG$152,'2024数据'!$P$3:$P$152,"&gt;="&amp;DATE(2024,10,1),'2024数据'!$P$3:$P$152,"&lt;="&amp;DATE(2024,10,31),'2024数据'!$BF$3:$BF$152,$E941,'2024数据'!$B$3:$B$152,'2024整理'!$E1110)/10000</f>
        <v>0</v>
      </c>
      <c r="P1131" s="124">
        <f>SUMIFS('2024数据'!$BG$3:$BG$152,'2024数据'!$P$3:$P$152,"&gt;="&amp;DATE(2024,11,1),'2024数据'!$P$3:$P$152,"&lt;="&amp;DATE(2024,11,30),'2024数据'!$BF$3:$BF$152,$E941,'2024数据'!$B$3:$B$152,'2024整理'!$E1110)/10000</f>
        <v>0</v>
      </c>
      <c r="Q1131" s="124">
        <f>SUMIFS('2024数据'!$BG$3:$BG$152,'2024数据'!$P$3:$P$152,"&gt;="&amp;DATE(2024,12,1),'2024数据'!$P$3:$P$152,"&lt;="&amp;DATE(2024,12,31),'2024数据'!$BF$3:$BF$152,$E941,'2024数据'!$B$3:$B$152,'2024整理'!$E1110)/10000</f>
        <v>0</v>
      </c>
    </row>
    <row r="1132" ht="24" customHeight="1" spans="1:17">
      <c r="A1132" s="99" t="s">
        <v>347</v>
      </c>
      <c r="B1132" s="99" t="s">
        <v>299</v>
      </c>
      <c r="C1132" s="99" t="s">
        <v>336</v>
      </c>
      <c r="D1132" s="122" t="s">
        <v>303</v>
      </c>
      <c r="E1132" s="122" t="s">
        <v>96</v>
      </c>
      <c r="F1132" s="124">
        <f>SUMIFS('2024数据'!$BG$3:$BG$152,'2024数据'!$P$3:$P$152,"&gt;="&amp;DATE(2024,1,1),'2024数据'!$P$3:$P$152,"&lt;="&amp;DATE(2024,1,31),'2024数据'!$BF$3:$BF$152,$E941,'2024数据'!$B$3:$B$152,'2024整理'!$E1111)/10000</f>
        <v>0</v>
      </c>
      <c r="G1132" s="124">
        <f>SUMIFS('2024数据'!$BG$3:$BG$152,'2024数据'!$P$3:$P$152,"&gt;="&amp;DATE(2024,2,1),'2024数据'!$P$3:$P$152,"&lt;="&amp;DATE(2024,2,29),'2024数据'!$BF$3:$BF$152,$E941,'2024数据'!$B$3:$B$152,'2024整理'!$E1111)/10000</f>
        <v>0</v>
      </c>
      <c r="H1132" s="124">
        <f>SUMIFS('2024数据'!$BG$3:$BG$152,'2024数据'!$P$3:$P$152,"&gt;="&amp;DATE(2024,3,1),'2024数据'!$P$3:$P$152,"&lt;="&amp;DATE(2024,3,31),'2024数据'!$BF$3:$BF$152,$E941,'2024数据'!$B$3:$B$152,'2024整理'!$E1111)/10000</f>
        <v>0</v>
      </c>
      <c r="I1132" s="124">
        <f>SUMIFS('2024数据'!$BG$3:$BG$152,'2024数据'!$P$3:$P$152,"&gt;="&amp;DATE(2024,4,1),'2024数据'!$P$3:$P$152,"&lt;="&amp;DATE(2024,4,30),'2024数据'!$BF$3:$BF$152,$E941,'2024数据'!$B$3:$B$152,'2024整理'!$E1111)/10000</f>
        <v>0</v>
      </c>
      <c r="J1132" s="124">
        <f>SUMIFS('2024数据'!$BG$3:$BG$152,'2024数据'!$P$3:$P$152,"&gt;="&amp;DATE(2024,5,1),'2024数据'!$P$3:$P$152,"&lt;="&amp;DATE(2024,5,31),'2024数据'!$BF$3:$BF$152,$E941,'2024数据'!$B$3:$B$152,'2024整理'!$E1111)/10000</f>
        <v>0</v>
      </c>
      <c r="K1132" s="124">
        <f>SUMIFS('2024数据'!$BG$3:$BG$152,'2024数据'!$P$3:$P$152,"&gt;="&amp;DATE(2024,6,1),'2024数据'!$P$3:$P$152,"&lt;="&amp;DATE(2024,6,30),'2024数据'!$BF$3:$BF$152,$E941,'2024数据'!$B$3:$B$152,'2024整理'!$E1111)/10000</f>
        <v>0</v>
      </c>
      <c r="L1132" s="124">
        <f>SUMIFS('2024数据'!$BG$3:$BG$152,'2024数据'!$P$3:$P$152,"&gt;="&amp;DATE(2024,7,1),'2024数据'!$P$3:$P$152,"&lt;="&amp;DATE(2024,7,31),'2024数据'!$BF$3:$BF$152,$E941,'2024数据'!$B$3:$B$152,'2024整理'!$E1111)/10000</f>
        <v>0.00480699999999997</v>
      </c>
      <c r="M1132" s="124">
        <f>SUMIFS('2024数据'!$BG$3:$BG$152,'2024数据'!$P$3:$P$152,"&gt;="&amp;DATE(2024,8,1),'2024数据'!$P$3:$P$152,"&lt;="&amp;DATE(2024,8,31),'2024数据'!$BF$3:$BF$152,$E941,'2024数据'!$B$3:$B$152,'2024整理'!$E1111)/10000</f>
        <v>0</v>
      </c>
      <c r="N1132" s="124">
        <f>SUMIFS('2024数据'!$BG$3:$BG$152,'2024数据'!$P$3:$P$152,"&gt;="&amp;DATE(2024,9,1),'2024数据'!$P$3:$P$152,"&lt;="&amp;DATE(2024,9,30),'2024数据'!$BF$3:$BF$152,$E941,'2024数据'!$B$3:$B$152,'2024整理'!$E1111)/10000</f>
        <v>0</v>
      </c>
      <c r="O1132" s="124">
        <f>SUMIFS('2024数据'!$BG$3:$BG$152,'2024数据'!$P$3:$P$152,"&gt;="&amp;DATE(2024,10,1),'2024数据'!$P$3:$P$152,"&lt;="&amp;DATE(2024,10,31),'2024数据'!$BF$3:$BF$152,$E941,'2024数据'!$B$3:$B$152,'2024整理'!$E1111)/10000</f>
        <v>0</v>
      </c>
      <c r="P1132" s="124">
        <f>SUMIFS('2024数据'!$BG$3:$BG$152,'2024数据'!$P$3:$P$152,"&gt;="&amp;DATE(2024,11,1),'2024数据'!$P$3:$P$152,"&lt;="&amp;DATE(2024,11,30),'2024数据'!$BF$3:$BF$152,$E941,'2024数据'!$B$3:$B$152,'2024整理'!$E1111)/10000</f>
        <v>0</v>
      </c>
      <c r="Q1132" s="124">
        <f>SUMIFS('2024数据'!$BG$3:$BG$152,'2024数据'!$P$3:$P$152,"&gt;="&amp;DATE(2024,12,1),'2024数据'!$P$3:$P$152,"&lt;="&amp;DATE(2024,12,31),'2024数据'!$BF$3:$BF$152,$E941,'2024数据'!$B$3:$B$152,'2024整理'!$E1111)/10000</f>
        <v>0</v>
      </c>
    </row>
    <row r="1133" ht="24" customHeight="1" spans="1:17">
      <c r="A1133" s="99" t="s">
        <v>347</v>
      </c>
      <c r="B1133" s="99" t="s">
        <v>299</v>
      </c>
      <c r="C1133" s="99" t="s">
        <v>336</v>
      </c>
      <c r="D1133" s="122" t="s">
        <v>303</v>
      </c>
      <c r="E1133" s="122" t="s">
        <v>160</v>
      </c>
      <c r="F1133" s="124">
        <f t="shared" ref="F1133:Q1133" si="813">F1126-SUM(F1129:F1132)</f>
        <v>0</v>
      </c>
      <c r="G1133" s="124">
        <f t="shared" si="813"/>
        <v>0</v>
      </c>
      <c r="H1133" s="124">
        <f t="shared" si="813"/>
        <v>0</v>
      </c>
      <c r="I1133" s="124">
        <f t="shared" si="813"/>
        <v>0</v>
      </c>
      <c r="J1133" s="124">
        <f t="shared" si="813"/>
        <v>0</v>
      </c>
      <c r="K1133" s="124">
        <f t="shared" si="813"/>
        <v>0</v>
      </c>
      <c r="L1133" s="124">
        <f t="shared" si="813"/>
        <v>0</v>
      </c>
      <c r="M1133" s="124">
        <f t="shared" si="813"/>
        <v>0</v>
      </c>
      <c r="N1133" s="124">
        <f t="shared" si="813"/>
        <v>0</v>
      </c>
      <c r="O1133" s="124">
        <f t="shared" si="813"/>
        <v>0</v>
      </c>
      <c r="P1133" s="124">
        <f t="shared" si="813"/>
        <v>0</v>
      </c>
      <c r="Q1133" s="124">
        <f t="shared" si="813"/>
        <v>0</v>
      </c>
    </row>
    <row r="1134" ht="24" customHeight="1" spans="1:17">
      <c r="A1134" s="99" t="s">
        <v>347</v>
      </c>
      <c r="B1134" s="99" t="s">
        <v>299</v>
      </c>
      <c r="C1134" s="99" t="s">
        <v>336</v>
      </c>
      <c r="D1134" s="122" t="s">
        <v>304</v>
      </c>
      <c r="E1134" s="122" t="s">
        <v>93</v>
      </c>
      <c r="F1134" s="124">
        <f>SUMIFS('2024数据'!$BG$3:$BG$152,'2024数据'!$P$3:$P$152,"&gt;="&amp;DATE(2024,1,1),'2024数据'!$P$3:$P$152,"&lt;="&amp;DATE(2024,1,31),'2024数据'!$BF$3:$BF$152,$E942,'2024数据'!$B$3:$B$152,'2024整理'!$E1108)/10000</f>
        <v>0</v>
      </c>
      <c r="G1134" s="124">
        <f>SUMIFS('2024数据'!$BG$3:$BG$152,'2024数据'!$P$3:$P$152,"&gt;="&amp;DATE(2024,2,1),'2024数据'!$P$3:$P$152,"&lt;="&amp;DATE(2024,2,29),'2024数据'!$BF$3:$BF$152,$E942,'2024数据'!$B$3:$B$152,'2024整理'!$E1108)/10000</f>
        <v>0</v>
      </c>
      <c r="H1134" s="124">
        <f>SUMIFS('2024数据'!$BG$3:$BG$152,'2024数据'!$P$3:$P$152,"&gt;="&amp;DATE(2024,3,1),'2024数据'!$P$3:$P$152,"&lt;="&amp;DATE(2024,3,31),'2024数据'!$BF$3:$BF$152,$E942,'2024数据'!$B$3:$B$152,'2024整理'!$E1108)/10000</f>
        <v>0</v>
      </c>
      <c r="I1134" s="124">
        <f>SUMIFS('2024数据'!$BG$3:$BG$152,'2024数据'!$P$3:$P$152,"&gt;="&amp;DATE(2024,4,1),'2024数据'!$P$3:$P$152,"&lt;="&amp;DATE(2024,4,30),'2024数据'!$BF$3:$BF$152,$E942,'2024数据'!$B$3:$B$152,'2024整理'!$E1108)/10000</f>
        <v>0</v>
      </c>
      <c r="J1134" s="124">
        <f>SUMIFS('2024数据'!$BG$3:$BG$152,'2024数据'!$P$3:$P$152,"&gt;="&amp;DATE(2024,5,1),'2024数据'!$P$3:$P$152,"&lt;="&amp;DATE(2024,5,31),'2024数据'!$BF$3:$BF$152,$E942,'2024数据'!$B$3:$B$152,'2024整理'!$E1108)/10000</f>
        <v>0.00930200000000004</v>
      </c>
      <c r="K1134" s="124">
        <f>SUMIFS('2024数据'!$BG$3:$BG$152,'2024数据'!$P$3:$P$152,"&gt;="&amp;DATE(2024,6,1),'2024数据'!$P$3:$P$152,"&lt;="&amp;DATE(2024,6,30),'2024数据'!$BF$3:$BF$152,$E942,'2024数据'!$B$3:$B$152,'2024整理'!$E1108)/10000</f>
        <v>0</v>
      </c>
      <c r="L1134" s="124">
        <f>SUMIFS('2024数据'!$BG$3:$BG$152,'2024数据'!$P$3:$P$152,"&gt;="&amp;DATE(2024,7,1),'2024数据'!$P$3:$P$152,"&lt;="&amp;DATE(2024,7,31),'2024数据'!$BF$3:$BF$152,$E942,'2024数据'!$B$3:$B$152,'2024整理'!$E1108)/10000</f>
        <v>0</v>
      </c>
      <c r="M1134" s="124">
        <f>SUMIFS('2024数据'!$BG$3:$BG$152,'2024数据'!$P$3:$P$152,"&gt;="&amp;DATE(2024,8,1),'2024数据'!$P$3:$P$152,"&lt;="&amp;DATE(2024,8,31),'2024数据'!$BF$3:$BF$152,$E942,'2024数据'!$B$3:$B$152,'2024整理'!$E1108)/10000</f>
        <v>0</v>
      </c>
      <c r="N1134" s="124">
        <f>SUMIFS('2024数据'!$BG$3:$BG$152,'2024数据'!$P$3:$P$152,"&gt;="&amp;DATE(2024,9,1),'2024数据'!$P$3:$P$152,"&lt;="&amp;DATE(2024,9,30),'2024数据'!$BF$3:$BF$152,$E942,'2024数据'!$B$3:$B$152,'2024整理'!$E1108)/10000</f>
        <v>0</v>
      </c>
      <c r="O1134" s="124">
        <f>SUMIFS('2024数据'!$BG$3:$BG$152,'2024数据'!$P$3:$P$152,"&gt;="&amp;DATE(2024,10,1),'2024数据'!$P$3:$P$152,"&lt;="&amp;DATE(2024,10,31),'2024数据'!$BF$3:$BF$152,$E942,'2024数据'!$B$3:$B$152,'2024整理'!$E1108)/10000</f>
        <v>0</v>
      </c>
      <c r="P1134" s="124">
        <f>SUMIFS('2024数据'!$BG$3:$BG$152,'2024数据'!$P$3:$P$152,"&gt;="&amp;DATE(2024,11,1),'2024数据'!$P$3:$P$152,"&lt;="&amp;DATE(2024,11,30),'2024数据'!$BF$3:$BF$152,$E942,'2024数据'!$B$3:$B$152,'2024整理'!$E1108)/10000</f>
        <v>0</v>
      </c>
      <c r="Q1134" s="124">
        <f>SUMIFS('2024数据'!$BG$3:$BG$152,'2024数据'!$P$3:$P$152,"&gt;="&amp;DATE(2024,12,1),'2024数据'!$P$3:$P$152,"&lt;="&amp;DATE(2024,12,31),'2024数据'!$BF$3:$BF$152,$E942,'2024数据'!$B$3:$B$152,'2024整理'!$E1108)/10000</f>
        <v>0</v>
      </c>
    </row>
    <row r="1135" ht="24" customHeight="1" spans="1:17">
      <c r="A1135" s="99" t="s">
        <v>347</v>
      </c>
      <c r="B1135" s="99" t="s">
        <v>299</v>
      </c>
      <c r="C1135" s="99" t="s">
        <v>336</v>
      </c>
      <c r="D1135" s="122" t="s">
        <v>304</v>
      </c>
      <c r="E1135" s="122" t="s">
        <v>85</v>
      </c>
      <c r="F1135" s="124">
        <f>SUMIFS('2024数据'!$BG$3:$BG$152,'2024数据'!$P$3:$P$152,"&gt;="&amp;DATE(2024,1,1),'2024数据'!$P$3:$P$152,"&lt;="&amp;DATE(2024,1,31),'2024数据'!$BF$3:$BF$152,$E942,'2024数据'!$B$3:$B$152,'2024整理'!$E1109)/10000</f>
        <v>0</v>
      </c>
      <c r="G1135" s="124">
        <f>SUMIFS('2024数据'!$BG$3:$BG$152,'2024数据'!$P$3:$P$152,"&gt;="&amp;DATE(2024,2,1),'2024数据'!$P$3:$P$152,"&lt;="&amp;DATE(2024,2,29),'2024数据'!$BF$3:$BF$152,$E942,'2024数据'!$B$3:$B$152,'2024整理'!$E1109)/10000</f>
        <v>0</v>
      </c>
      <c r="H1135" s="124">
        <f>SUMIFS('2024数据'!$BG$3:$BG$152,'2024数据'!$P$3:$P$152,"&gt;="&amp;DATE(2024,3,1),'2024数据'!$P$3:$P$152,"&lt;="&amp;DATE(2024,3,31),'2024数据'!$BF$3:$BF$152,$E942,'2024数据'!$B$3:$B$152,'2024整理'!$E1109)/10000</f>
        <v>0</v>
      </c>
      <c r="I1135" s="124">
        <f>SUMIFS('2024数据'!$BG$3:$BG$152,'2024数据'!$P$3:$P$152,"&gt;="&amp;DATE(2024,4,1),'2024数据'!$P$3:$P$152,"&lt;="&amp;DATE(2024,4,30),'2024数据'!$BF$3:$BF$152,$E942,'2024数据'!$B$3:$B$152,'2024整理'!$E1109)/10000</f>
        <v>0</v>
      </c>
      <c r="J1135" s="124">
        <f>SUMIFS('2024数据'!$BG$3:$BG$152,'2024数据'!$P$3:$P$152,"&gt;="&amp;DATE(2024,5,1),'2024数据'!$P$3:$P$152,"&lt;="&amp;DATE(2024,5,31),'2024数据'!$BF$3:$BF$152,$E942,'2024数据'!$B$3:$B$152,'2024整理'!$E1109)/10000</f>
        <v>0</v>
      </c>
      <c r="K1135" s="124">
        <f>SUMIFS('2024数据'!$BG$3:$BG$152,'2024数据'!$P$3:$P$152,"&gt;="&amp;DATE(2024,6,1),'2024数据'!$P$3:$P$152,"&lt;="&amp;DATE(2024,6,30),'2024数据'!$BF$3:$BF$152,$E942,'2024数据'!$B$3:$B$152,'2024整理'!$E1109)/10000</f>
        <v>0</v>
      </c>
      <c r="L1135" s="124">
        <f>SUMIFS('2024数据'!$BG$3:$BG$152,'2024数据'!$P$3:$P$152,"&gt;="&amp;DATE(2024,7,1),'2024数据'!$P$3:$P$152,"&lt;="&amp;DATE(2024,7,31),'2024数据'!$BF$3:$BF$152,$E942,'2024数据'!$B$3:$B$152,'2024整理'!$E1109)/10000</f>
        <v>0</v>
      </c>
      <c r="M1135" s="124">
        <f>SUMIFS('2024数据'!$BG$3:$BG$152,'2024数据'!$P$3:$P$152,"&gt;="&amp;DATE(2024,8,1),'2024数据'!$P$3:$P$152,"&lt;="&amp;DATE(2024,8,31),'2024数据'!$BF$3:$BF$152,$E942,'2024数据'!$B$3:$B$152,'2024整理'!$E1109)/10000</f>
        <v>0</v>
      </c>
      <c r="N1135" s="124">
        <f>SUMIFS('2024数据'!$BG$3:$BG$152,'2024数据'!$P$3:$P$152,"&gt;="&amp;DATE(2024,9,1),'2024数据'!$P$3:$P$152,"&lt;="&amp;DATE(2024,9,30),'2024数据'!$BF$3:$BF$152,$E942,'2024数据'!$B$3:$B$152,'2024整理'!$E1109)/10000</f>
        <v>0</v>
      </c>
      <c r="O1135" s="124">
        <f>SUMIFS('2024数据'!$BG$3:$BG$152,'2024数据'!$P$3:$P$152,"&gt;="&amp;DATE(2024,10,1),'2024数据'!$P$3:$P$152,"&lt;="&amp;DATE(2024,10,31),'2024数据'!$BF$3:$BF$152,$E942,'2024数据'!$B$3:$B$152,'2024整理'!$E1109)/10000</f>
        <v>0</v>
      </c>
      <c r="P1135" s="124">
        <f>SUMIFS('2024数据'!$BG$3:$BG$152,'2024数据'!$P$3:$P$152,"&gt;="&amp;DATE(2024,11,1),'2024数据'!$P$3:$P$152,"&lt;="&amp;DATE(2024,11,30),'2024数据'!$BF$3:$BF$152,$E942,'2024数据'!$B$3:$B$152,'2024整理'!$E1109)/10000</f>
        <v>0</v>
      </c>
      <c r="Q1135" s="124">
        <f>SUMIFS('2024数据'!$BG$3:$BG$152,'2024数据'!$P$3:$P$152,"&gt;="&amp;DATE(2024,12,1),'2024数据'!$P$3:$P$152,"&lt;="&amp;DATE(2024,12,31),'2024数据'!$BF$3:$BF$152,$E942,'2024数据'!$B$3:$B$152,'2024整理'!$E1109)/10000</f>
        <v>0</v>
      </c>
    </row>
    <row r="1136" ht="24" customHeight="1" spans="1:17">
      <c r="A1136" s="99" t="s">
        <v>347</v>
      </c>
      <c r="B1136" s="99" t="s">
        <v>299</v>
      </c>
      <c r="C1136" s="99" t="s">
        <v>336</v>
      </c>
      <c r="D1136" s="122" t="s">
        <v>304</v>
      </c>
      <c r="E1136" s="122" t="s">
        <v>81</v>
      </c>
      <c r="F1136" s="124">
        <f>SUMIFS('2024数据'!$BG$3:$BG$152,'2024数据'!$P$3:$P$152,"&gt;="&amp;DATE(2024,1,1),'2024数据'!$P$3:$P$152,"&lt;="&amp;DATE(2024,1,31),'2024数据'!$BF$3:$BF$152,$E942,'2024数据'!$B$3:$B$152,'2024整理'!$E1110)/10000</f>
        <v>0</v>
      </c>
      <c r="G1136" s="124">
        <f>SUMIFS('2024数据'!$BG$3:$BG$152,'2024数据'!$P$3:$P$152,"&gt;="&amp;DATE(2024,2,1),'2024数据'!$P$3:$P$152,"&lt;="&amp;DATE(2024,2,29),'2024数据'!$BF$3:$BF$152,$E942,'2024数据'!$B$3:$B$152,'2024整理'!$E1110)/10000</f>
        <v>0</v>
      </c>
      <c r="H1136" s="124">
        <f>SUMIFS('2024数据'!$BG$3:$BG$152,'2024数据'!$P$3:$P$152,"&gt;="&amp;DATE(2024,3,1),'2024数据'!$P$3:$P$152,"&lt;="&amp;DATE(2024,3,31),'2024数据'!$BF$3:$BF$152,$E942,'2024数据'!$B$3:$B$152,'2024整理'!$E1110)/10000</f>
        <v>0</v>
      </c>
      <c r="I1136" s="124">
        <f>SUMIFS('2024数据'!$BG$3:$BG$152,'2024数据'!$P$3:$P$152,"&gt;="&amp;DATE(2024,4,1),'2024数据'!$P$3:$P$152,"&lt;="&amp;DATE(2024,4,30),'2024数据'!$BF$3:$BF$152,$E942,'2024数据'!$B$3:$B$152,'2024整理'!$E1110)/10000</f>
        <v>0</v>
      </c>
      <c r="J1136" s="124">
        <f>SUMIFS('2024数据'!$BG$3:$BG$152,'2024数据'!$P$3:$P$152,"&gt;="&amp;DATE(2024,5,1),'2024数据'!$P$3:$P$152,"&lt;="&amp;DATE(2024,5,31),'2024数据'!$BF$3:$BF$152,$E942,'2024数据'!$B$3:$B$152,'2024整理'!$E1110)/10000</f>
        <v>0</v>
      </c>
      <c r="K1136" s="124">
        <f>SUMIFS('2024数据'!$BG$3:$BG$152,'2024数据'!$P$3:$P$152,"&gt;="&amp;DATE(2024,6,1),'2024数据'!$P$3:$P$152,"&lt;="&amp;DATE(2024,6,30),'2024数据'!$BF$3:$BF$152,$E942,'2024数据'!$B$3:$B$152,'2024整理'!$E1110)/10000</f>
        <v>0</v>
      </c>
      <c r="L1136" s="124">
        <f>SUMIFS('2024数据'!$BG$3:$BG$152,'2024数据'!$P$3:$P$152,"&gt;="&amp;DATE(2024,7,1),'2024数据'!$P$3:$P$152,"&lt;="&amp;DATE(2024,7,31),'2024数据'!$BF$3:$BF$152,$E942,'2024数据'!$B$3:$B$152,'2024整理'!$E1110)/10000</f>
        <v>0</v>
      </c>
      <c r="M1136" s="124">
        <f>SUMIFS('2024数据'!$BG$3:$BG$152,'2024数据'!$P$3:$P$152,"&gt;="&amp;DATE(2024,8,1),'2024数据'!$P$3:$P$152,"&lt;="&amp;DATE(2024,8,31),'2024数据'!$BF$3:$BF$152,$E942,'2024数据'!$B$3:$B$152,'2024整理'!$E1110)/10000</f>
        <v>0</v>
      </c>
      <c r="N1136" s="124">
        <f>SUMIFS('2024数据'!$BG$3:$BG$152,'2024数据'!$P$3:$P$152,"&gt;="&amp;DATE(2024,9,1),'2024数据'!$P$3:$P$152,"&lt;="&amp;DATE(2024,9,30),'2024数据'!$BF$3:$BF$152,$E942,'2024数据'!$B$3:$B$152,'2024整理'!$E1110)/10000</f>
        <v>0</v>
      </c>
      <c r="O1136" s="124">
        <f>SUMIFS('2024数据'!$BG$3:$BG$152,'2024数据'!$P$3:$P$152,"&gt;="&amp;DATE(2024,10,1),'2024数据'!$P$3:$P$152,"&lt;="&amp;DATE(2024,10,31),'2024数据'!$BF$3:$BF$152,$E942,'2024数据'!$B$3:$B$152,'2024整理'!$E1110)/10000</f>
        <v>0</v>
      </c>
      <c r="P1136" s="124">
        <f>SUMIFS('2024数据'!$BG$3:$BG$152,'2024数据'!$P$3:$P$152,"&gt;="&amp;DATE(2024,11,1),'2024数据'!$P$3:$P$152,"&lt;="&amp;DATE(2024,11,30),'2024数据'!$BF$3:$BF$152,$E942,'2024数据'!$B$3:$B$152,'2024整理'!$E1110)/10000</f>
        <v>0</v>
      </c>
      <c r="Q1136" s="124">
        <f>SUMIFS('2024数据'!$BG$3:$BG$152,'2024数据'!$P$3:$P$152,"&gt;="&amp;DATE(2024,12,1),'2024数据'!$P$3:$P$152,"&lt;="&amp;DATE(2024,12,31),'2024数据'!$BF$3:$BF$152,$E942,'2024数据'!$B$3:$B$152,'2024整理'!$E1110)/10000</f>
        <v>0</v>
      </c>
    </row>
    <row r="1137" ht="24" customHeight="1" spans="1:17">
      <c r="A1137" s="99" t="s">
        <v>347</v>
      </c>
      <c r="B1137" s="99" t="s">
        <v>299</v>
      </c>
      <c r="C1137" s="99" t="s">
        <v>336</v>
      </c>
      <c r="D1137" s="122" t="s">
        <v>304</v>
      </c>
      <c r="E1137" s="122" t="s">
        <v>96</v>
      </c>
      <c r="F1137" s="124">
        <f>SUMIFS('2024数据'!$BG$3:$BG$152,'2024数据'!$P$3:$P$152,"&gt;="&amp;DATE(2024,1,1),'2024数据'!$P$3:$P$152,"&lt;="&amp;DATE(2024,1,31),'2024数据'!$BF$3:$BF$152,$E942,'2024数据'!$B$3:$B$152,'2024整理'!$E1111)/10000</f>
        <v>0</v>
      </c>
      <c r="G1137" s="124">
        <f>SUMIFS('2024数据'!$BG$3:$BG$152,'2024数据'!$P$3:$P$152,"&gt;="&amp;DATE(2024,2,1),'2024数据'!$P$3:$P$152,"&lt;="&amp;DATE(2024,2,29),'2024数据'!$BF$3:$BF$152,$E942,'2024数据'!$B$3:$B$152,'2024整理'!$E1111)/10000</f>
        <v>0</v>
      </c>
      <c r="H1137" s="124">
        <f>SUMIFS('2024数据'!$BG$3:$BG$152,'2024数据'!$P$3:$P$152,"&gt;="&amp;DATE(2024,3,1),'2024数据'!$P$3:$P$152,"&lt;="&amp;DATE(2024,3,31),'2024数据'!$BF$3:$BF$152,$E942,'2024数据'!$B$3:$B$152,'2024整理'!$E1111)/10000</f>
        <v>0</v>
      </c>
      <c r="I1137" s="124">
        <f>SUMIFS('2024数据'!$BG$3:$BG$152,'2024数据'!$P$3:$P$152,"&gt;="&amp;DATE(2024,4,1),'2024数据'!$P$3:$P$152,"&lt;="&amp;DATE(2024,4,30),'2024数据'!$BF$3:$BF$152,$E942,'2024数据'!$B$3:$B$152,'2024整理'!$E1111)/10000</f>
        <v>0</v>
      </c>
      <c r="J1137" s="124">
        <f>SUMIFS('2024数据'!$BG$3:$BG$152,'2024数据'!$P$3:$P$152,"&gt;="&amp;DATE(2024,5,1),'2024数据'!$P$3:$P$152,"&lt;="&amp;DATE(2024,5,31),'2024数据'!$BF$3:$BF$152,$E942,'2024数据'!$B$3:$B$152,'2024整理'!$E1111)/10000</f>
        <v>0</v>
      </c>
      <c r="K1137" s="124">
        <f>SUMIFS('2024数据'!$BG$3:$BG$152,'2024数据'!$P$3:$P$152,"&gt;="&amp;DATE(2024,6,1),'2024数据'!$P$3:$P$152,"&lt;="&amp;DATE(2024,6,30),'2024数据'!$BF$3:$BF$152,$E942,'2024数据'!$B$3:$B$152,'2024整理'!$E1111)/10000</f>
        <v>0</v>
      </c>
      <c r="L1137" s="124">
        <f>SUMIFS('2024数据'!$BG$3:$BG$152,'2024数据'!$P$3:$P$152,"&gt;="&amp;DATE(2024,7,1),'2024数据'!$P$3:$P$152,"&lt;="&amp;DATE(2024,7,31),'2024数据'!$BF$3:$BF$152,$E942,'2024数据'!$B$3:$B$152,'2024整理'!$E1111)/10000</f>
        <v>0</v>
      </c>
      <c r="M1137" s="124">
        <f>SUMIFS('2024数据'!$BG$3:$BG$152,'2024数据'!$P$3:$P$152,"&gt;="&amp;DATE(2024,8,1),'2024数据'!$P$3:$P$152,"&lt;="&amp;DATE(2024,8,31),'2024数据'!$BF$3:$BF$152,$E942,'2024数据'!$B$3:$B$152,'2024整理'!$E1111)/10000</f>
        <v>0</v>
      </c>
      <c r="N1137" s="124">
        <f>SUMIFS('2024数据'!$BG$3:$BG$152,'2024数据'!$P$3:$P$152,"&gt;="&amp;DATE(2024,9,1),'2024数据'!$P$3:$P$152,"&lt;="&amp;DATE(2024,9,30),'2024数据'!$BF$3:$BF$152,$E942,'2024数据'!$B$3:$B$152,'2024整理'!$E1111)/10000</f>
        <v>0</v>
      </c>
      <c r="O1137" s="124">
        <f>SUMIFS('2024数据'!$BG$3:$BG$152,'2024数据'!$P$3:$P$152,"&gt;="&amp;DATE(2024,10,1),'2024数据'!$P$3:$P$152,"&lt;="&amp;DATE(2024,10,31),'2024数据'!$BF$3:$BF$152,$E942,'2024数据'!$B$3:$B$152,'2024整理'!$E1111)/10000</f>
        <v>0</v>
      </c>
      <c r="P1137" s="124">
        <f>SUMIFS('2024数据'!$BG$3:$BG$152,'2024数据'!$P$3:$P$152,"&gt;="&amp;DATE(2024,11,1),'2024数据'!$P$3:$P$152,"&lt;="&amp;DATE(2024,11,30),'2024数据'!$BF$3:$BF$152,$E942,'2024数据'!$B$3:$B$152,'2024整理'!$E1111)/10000</f>
        <v>0</v>
      </c>
      <c r="Q1137" s="124">
        <f>SUMIFS('2024数据'!$BG$3:$BG$152,'2024数据'!$P$3:$P$152,"&gt;="&amp;DATE(2024,12,1),'2024数据'!$P$3:$P$152,"&lt;="&amp;DATE(2024,12,31),'2024数据'!$BF$3:$BF$152,$E942,'2024数据'!$B$3:$B$152,'2024整理'!$E1111)/10000</f>
        <v>0</v>
      </c>
    </row>
    <row r="1138" ht="24" customHeight="1" spans="1:17">
      <c r="A1138" s="99" t="s">
        <v>347</v>
      </c>
      <c r="B1138" s="99" t="s">
        <v>299</v>
      </c>
      <c r="C1138" s="99" t="s">
        <v>336</v>
      </c>
      <c r="D1138" s="122" t="s">
        <v>304</v>
      </c>
      <c r="E1138" s="122" t="s">
        <v>160</v>
      </c>
      <c r="F1138" s="124">
        <f t="shared" ref="F1138:Q1138" si="814">F1127-SUM(F1134:F1137)</f>
        <v>0</v>
      </c>
      <c r="G1138" s="124">
        <f t="shared" si="814"/>
        <v>0</v>
      </c>
      <c r="H1138" s="124">
        <f t="shared" si="814"/>
        <v>0</v>
      </c>
      <c r="I1138" s="124">
        <f t="shared" si="814"/>
        <v>0</v>
      </c>
      <c r="J1138" s="124">
        <f t="shared" si="814"/>
        <v>0</v>
      </c>
      <c r="K1138" s="124">
        <f t="shared" si="814"/>
        <v>0</v>
      </c>
      <c r="L1138" s="124">
        <f t="shared" si="814"/>
        <v>0</v>
      </c>
      <c r="M1138" s="124">
        <f t="shared" si="814"/>
        <v>0</v>
      </c>
      <c r="N1138" s="124">
        <f t="shared" si="814"/>
        <v>0</v>
      </c>
      <c r="O1138" s="124">
        <f t="shared" si="814"/>
        <v>0</v>
      </c>
      <c r="P1138" s="124">
        <f t="shared" si="814"/>
        <v>0</v>
      </c>
      <c r="Q1138" s="124">
        <f t="shared" si="814"/>
        <v>0</v>
      </c>
    </row>
    <row r="1139" ht="24" customHeight="1" spans="1:17">
      <c r="A1139" s="99" t="s">
        <v>347</v>
      </c>
      <c r="B1139" s="99" t="s">
        <v>299</v>
      </c>
      <c r="C1139" s="99" t="s">
        <v>343</v>
      </c>
      <c r="D1139" s="114" t="s">
        <v>292</v>
      </c>
      <c r="E1139" s="114" t="s">
        <v>320</v>
      </c>
      <c r="F1139" s="120">
        <f t="shared" ref="F1139:Q1139" si="815">IF(SUM(F1140:F1145)&lt;&gt;SUM(F1152:F1156),"ERR",SUM(F1140:F1145))</f>
        <v>0</v>
      </c>
      <c r="G1139" s="120">
        <f t="shared" si="815"/>
        <v>0</v>
      </c>
      <c r="H1139" s="120">
        <f t="shared" si="815"/>
        <v>0</v>
      </c>
      <c r="I1139" s="120">
        <f t="shared" si="815"/>
        <v>0.840305</v>
      </c>
      <c r="J1139" s="120">
        <f t="shared" si="815"/>
        <v>3.729666</v>
      </c>
      <c r="K1139" s="120">
        <f t="shared" si="815"/>
        <v>3.729666</v>
      </c>
      <c r="L1139" s="120">
        <f t="shared" si="815"/>
        <v>6.436807</v>
      </c>
      <c r="M1139" s="120">
        <f t="shared" si="815"/>
        <v>6.436807</v>
      </c>
      <c r="N1139" s="120">
        <f t="shared" si="815"/>
        <v>6.436807</v>
      </c>
      <c r="O1139" s="120">
        <f t="shared" si="815"/>
        <v>6.436807</v>
      </c>
      <c r="P1139" s="120">
        <f t="shared" si="815"/>
        <v>8.175054</v>
      </c>
      <c r="Q1139" s="120">
        <f t="shared" si="815"/>
        <v>8.175054</v>
      </c>
    </row>
    <row r="1140" ht="24" customHeight="1" spans="1:17">
      <c r="A1140" s="99" t="s">
        <v>347</v>
      </c>
      <c r="B1140" s="99" t="s">
        <v>299</v>
      </c>
      <c r="C1140" s="99" t="s">
        <v>343</v>
      </c>
      <c r="D1140" s="48" t="s">
        <v>31</v>
      </c>
      <c r="E1140" s="48" t="s">
        <v>406</v>
      </c>
      <c r="F1140" s="121">
        <f t="shared" ref="F1140:F1145" si="816">F1090</f>
        <v>0</v>
      </c>
      <c r="G1140" s="121">
        <f t="shared" ref="G1140:Q1140" si="817">F1140+G1090</f>
        <v>0</v>
      </c>
      <c r="H1140" s="121">
        <f t="shared" si="817"/>
        <v>0</v>
      </c>
      <c r="I1140" s="121">
        <f t="shared" si="817"/>
        <v>0.840305</v>
      </c>
      <c r="J1140" s="121">
        <f t="shared" si="817"/>
        <v>0.840305</v>
      </c>
      <c r="K1140" s="121">
        <f t="shared" si="817"/>
        <v>0.840305</v>
      </c>
      <c r="L1140" s="121">
        <f t="shared" si="817"/>
        <v>0.840305</v>
      </c>
      <c r="M1140" s="121">
        <f t="shared" si="817"/>
        <v>0.840305</v>
      </c>
      <c r="N1140" s="121">
        <f t="shared" si="817"/>
        <v>0.840305</v>
      </c>
      <c r="O1140" s="121">
        <f t="shared" si="817"/>
        <v>0.840305</v>
      </c>
      <c r="P1140" s="121">
        <f t="shared" si="817"/>
        <v>0.840305</v>
      </c>
      <c r="Q1140" s="121">
        <f t="shared" si="817"/>
        <v>0.840305</v>
      </c>
    </row>
    <row r="1141" ht="24" customHeight="1" spans="1:17">
      <c r="A1141" s="99" t="s">
        <v>347</v>
      </c>
      <c r="B1141" s="99" t="s">
        <v>299</v>
      </c>
      <c r="C1141" s="99" t="s">
        <v>343</v>
      </c>
      <c r="D1141" s="48" t="s">
        <v>31</v>
      </c>
      <c r="E1141" s="48" t="s">
        <v>82</v>
      </c>
      <c r="F1141" s="121">
        <f t="shared" si="816"/>
        <v>0</v>
      </c>
      <c r="G1141" s="121">
        <f t="shared" ref="G1141:Q1141" si="818">F1141+G1091</f>
        <v>0</v>
      </c>
      <c r="H1141" s="121">
        <f t="shared" si="818"/>
        <v>0</v>
      </c>
      <c r="I1141" s="121">
        <f t="shared" si="818"/>
        <v>0</v>
      </c>
      <c r="J1141" s="121">
        <f t="shared" si="818"/>
        <v>0</v>
      </c>
      <c r="K1141" s="121">
        <f t="shared" si="818"/>
        <v>0</v>
      </c>
      <c r="L1141" s="121">
        <f t="shared" si="818"/>
        <v>0</v>
      </c>
      <c r="M1141" s="121">
        <f t="shared" si="818"/>
        <v>0</v>
      </c>
      <c r="N1141" s="121">
        <f t="shared" si="818"/>
        <v>0</v>
      </c>
      <c r="O1141" s="121">
        <f t="shared" si="818"/>
        <v>0</v>
      </c>
      <c r="P1141" s="121">
        <f t="shared" si="818"/>
        <v>0</v>
      </c>
      <c r="Q1141" s="121">
        <f t="shared" si="818"/>
        <v>0</v>
      </c>
    </row>
    <row r="1142" ht="24" customHeight="1" spans="1:17">
      <c r="A1142" s="99" t="s">
        <v>347</v>
      </c>
      <c r="B1142" s="99" t="s">
        <v>299</v>
      </c>
      <c r="C1142" s="99" t="s">
        <v>343</v>
      </c>
      <c r="D1142" s="48" t="s">
        <v>31</v>
      </c>
      <c r="E1142" s="48" t="s">
        <v>86</v>
      </c>
      <c r="F1142" s="121">
        <f t="shared" si="816"/>
        <v>0</v>
      </c>
      <c r="G1142" s="121">
        <f t="shared" ref="G1142:Q1142" si="819">F1142+G1092</f>
        <v>0</v>
      </c>
      <c r="H1142" s="121">
        <f t="shared" si="819"/>
        <v>0</v>
      </c>
      <c r="I1142" s="121">
        <f t="shared" si="819"/>
        <v>0</v>
      </c>
      <c r="J1142" s="121">
        <f t="shared" si="819"/>
        <v>0</v>
      </c>
      <c r="K1142" s="121">
        <f t="shared" si="819"/>
        <v>0</v>
      </c>
      <c r="L1142" s="121">
        <f t="shared" si="819"/>
        <v>0</v>
      </c>
      <c r="M1142" s="121">
        <f t="shared" si="819"/>
        <v>0</v>
      </c>
      <c r="N1142" s="121">
        <f t="shared" si="819"/>
        <v>0</v>
      </c>
      <c r="O1142" s="121">
        <f t="shared" si="819"/>
        <v>0</v>
      </c>
      <c r="P1142" s="121">
        <f t="shared" si="819"/>
        <v>0</v>
      </c>
      <c r="Q1142" s="121">
        <f t="shared" si="819"/>
        <v>0</v>
      </c>
    </row>
    <row r="1143" ht="24" customHeight="1" spans="1:17">
      <c r="A1143" s="99" t="s">
        <v>347</v>
      </c>
      <c r="B1143" s="99" t="s">
        <v>299</v>
      </c>
      <c r="C1143" s="99" t="s">
        <v>343</v>
      </c>
      <c r="D1143" s="48" t="s">
        <v>31</v>
      </c>
      <c r="E1143" s="48" t="s">
        <v>97</v>
      </c>
      <c r="F1143" s="121">
        <f t="shared" si="816"/>
        <v>0</v>
      </c>
      <c r="G1143" s="121">
        <f t="shared" ref="G1143:Q1143" si="820">F1143+G1093</f>
        <v>0</v>
      </c>
      <c r="H1143" s="121">
        <f t="shared" si="820"/>
        <v>0</v>
      </c>
      <c r="I1143" s="121">
        <f t="shared" si="820"/>
        <v>0</v>
      </c>
      <c r="J1143" s="121">
        <f t="shared" si="820"/>
        <v>2.889361</v>
      </c>
      <c r="K1143" s="121">
        <f t="shared" si="820"/>
        <v>2.889361</v>
      </c>
      <c r="L1143" s="121">
        <f t="shared" si="820"/>
        <v>2.889361</v>
      </c>
      <c r="M1143" s="121">
        <f t="shared" si="820"/>
        <v>2.889361</v>
      </c>
      <c r="N1143" s="121">
        <f t="shared" si="820"/>
        <v>2.889361</v>
      </c>
      <c r="O1143" s="121">
        <f t="shared" si="820"/>
        <v>2.889361</v>
      </c>
      <c r="P1143" s="121">
        <f t="shared" si="820"/>
        <v>2.889361</v>
      </c>
      <c r="Q1143" s="121">
        <f t="shared" si="820"/>
        <v>2.889361</v>
      </c>
    </row>
    <row r="1144" ht="24" customHeight="1" spans="1:17">
      <c r="A1144" s="99" t="s">
        <v>347</v>
      </c>
      <c r="B1144" s="99" t="s">
        <v>299</v>
      </c>
      <c r="C1144" s="99" t="s">
        <v>343</v>
      </c>
      <c r="D1144" s="48" t="s">
        <v>31</v>
      </c>
      <c r="E1144" s="48" t="s">
        <v>87</v>
      </c>
      <c r="F1144" s="121">
        <f t="shared" si="816"/>
        <v>0</v>
      </c>
      <c r="G1144" s="121">
        <f t="shared" ref="G1144:Q1144" si="821">F1144+G1094</f>
        <v>0</v>
      </c>
      <c r="H1144" s="121">
        <f t="shared" si="821"/>
        <v>0</v>
      </c>
      <c r="I1144" s="121">
        <f t="shared" si="821"/>
        <v>0</v>
      </c>
      <c r="J1144" s="121">
        <f t="shared" si="821"/>
        <v>0</v>
      </c>
      <c r="K1144" s="121">
        <f t="shared" si="821"/>
        <v>0</v>
      </c>
      <c r="L1144" s="121">
        <f t="shared" si="821"/>
        <v>2.707141</v>
      </c>
      <c r="M1144" s="121">
        <f t="shared" si="821"/>
        <v>2.707141</v>
      </c>
      <c r="N1144" s="121">
        <f t="shared" si="821"/>
        <v>2.707141</v>
      </c>
      <c r="O1144" s="121">
        <f t="shared" si="821"/>
        <v>2.707141</v>
      </c>
      <c r="P1144" s="121">
        <f t="shared" si="821"/>
        <v>4.445388</v>
      </c>
      <c r="Q1144" s="121">
        <f t="shared" si="821"/>
        <v>4.445388</v>
      </c>
    </row>
    <row r="1145" ht="24" customHeight="1" spans="1:17">
      <c r="A1145" s="99" t="s">
        <v>347</v>
      </c>
      <c r="B1145" s="99" t="s">
        <v>299</v>
      </c>
      <c r="C1145" s="99" t="s">
        <v>343</v>
      </c>
      <c r="D1145" s="48" t="s">
        <v>31</v>
      </c>
      <c r="E1145" s="48" t="s">
        <v>83</v>
      </c>
      <c r="F1145" s="121">
        <f t="shared" si="816"/>
        <v>0</v>
      </c>
      <c r="G1145" s="121">
        <f t="shared" ref="G1145:Q1145" si="822">F1145+G1095</f>
        <v>0</v>
      </c>
      <c r="H1145" s="121">
        <f t="shared" si="822"/>
        <v>0</v>
      </c>
      <c r="I1145" s="121">
        <f t="shared" si="822"/>
        <v>0</v>
      </c>
      <c r="J1145" s="121">
        <f t="shared" si="822"/>
        <v>0</v>
      </c>
      <c r="K1145" s="121">
        <f t="shared" si="822"/>
        <v>0</v>
      </c>
      <c r="L1145" s="121">
        <f t="shared" si="822"/>
        <v>0</v>
      </c>
      <c r="M1145" s="121">
        <f t="shared" si="822"/>
        <v>0</v>
      </c>
      <c r="N1145" s="121">
        <f t="shared" si="822"/>
        <v>0</v>
      </c>
      <c r="O1145" s="121">
        <f t="shared" si="822"/>
        <v>0</v>
      </c>
      <c r="P1145" s="121">
        <f t="shared" si="822"/>
        <v>0</v>
      </c>
      <c r="Q1145" s="121">
        <f t="shared" si="822"/>
        <v>0</v>
      </c>
    </row>
    <row r="1146" ht="24" customHeight="1" spans="1:17">
      <c r="A1146" s="99" t="s">
        <v>347</v>
      </c>
      <c r="B1146" s="99" t="s">
        <v>299</v>
      </c>
      <c r="C1146" s="99" t="s">
        <v>343</v>
      </c>
      <c r="D1146" s="48" t="s">
        <v>321</v>
      </c>
      <c r="E1146" s="48" t="s">
        <v>406</v>
      </c>
      <c r="F1146" s="112" t="str">
        <f t="shared" ref="F1146:Q1146" si="823">IFERROR(F1140/F1139,"-")</f>
        <v>-</v>
      </c>
      <c r="G1146" s="112" t="str">
        <f t="shared" si="823"/>
        <v>-</v>
      </c>
      <c r="H1146" s="112" t="str">
        <f t="shared" si="823"/>
        <v>-</v>
      </c>
      <c r="I1146" s="112">
        <f t="shared" si="823"/>
        <v>1</v>
      </c>
      <c r="J1146" s="112">
        <f t="shared" si="823"/>
        <v>0.225303016409512</v>
      </c>
      <c r="K1146" s="112">
        <f t="shared" si="823"/>
        <v>0.225303016409512</v>
      </c>
      <c r="L1146" s="112">
        <f t="shared" si="823"/>
        <v>0.130546868967797</v>
      </c>
      <c r="M1146" s="112">
        <f t="shared" si="823"/>
        <v>0.130546868967797</v>
      </c>
      <c r="N1146" s="112">
        <f t="shared" si="823"/>
        <v>0.130546868967797</v>
      </c>
      <c r="O1146" s="112">
        <f t="shared" si="823"/>
        <v>0.130546868967797</v>
      </c>
      <c r="P1146" s="112">
        <f t="shared" si="823"/>
        <v>0.102788923473778</v>
      </c>
      <c r="Q1146" s="112">
        <f t="shared" si="823"/>
        <v>0.102788923473778</v>
      </c>
    </row>
    <row r="1147" ht="24" customHeight="1" spans="1:17">
      <c r="A1147" s="99" t="s">
        <v>347</v>
      </c>
      <c r="B1147" s="99" t="s">
        <v>299</v>
      </c>
      <c r="C1147" s="99" t="s">
        <v>343</v>
      </c>
      <c r="D1147" s="48" t="s">
        <v>321</v>
      </c>
      <c r="E1147" s="48" t="s">
        <v>82</v>
      </c>
      <c r="F1147" s="112" t="str">
        <f t="shared" ref="F1147:Q1147" si="824">IFERROR(F1141/F1139,"-")</f>
        <v>-</v>
      </c>
      <c r="G1147" s="112" t="str">
        <f t="shared" si="824"/>
        <v>-</v>
      </c>
      <c r="H1147" s="112" t="str">
        <f t="shared" si="824"/>
        <v>-</v>
      </c>
      <c r="I1147" s="112">
        <f t="shared" si="824"/>
        <v>0</v>
      </c>
      <c r="J1147" s="112">
        <f t="shared" si="824"/>
        <v>0</v>
      </c>
      <c r="K1147" s="112">
        <f t="shared" si="824"/>
        <v>0</v>
      </c>
      <c r="L1147" s="112">
        <f t="shared" si="824"/>
        <v>0</v>
      </c>
      <c r="M1147" s="112">
        <f t="shared" si="824"/>
        <v>0</v>
      </c>
      <c r="N1147" s="112">
        <f t="shared" si="824"/>
        <v>0</v>
      </c>
      <c r="O1147" s="112">
        <f t="shared" si="824"/>
        <v>0</v>
      </c>
      <c r="P1147" s="112">
        <f t="shared" si="824"/>
        <v>0</v>
      </c>
      <c r="Q1147" s="112">
        <f t="shared" si="824"/>
        <v>0</v>
      </c>
    </row>
    <row r="1148" ht="24" customHeight="1" spans="1:17">
      <c r="A1148" s="99" t="s">
        <v>347</v>
      </c>
      <c r="B1148" s="99" t="s">
        <v>299</v>
      </c>
      <c r="C1148" s="99" t="s">
        <v>343</v>
      </c>
      <c r="D1148" s="48" t="s">
        <v>321</v>
      </c>
      <c r="E1148" s="48" t="s">
        <v>86</v>
      </c>
      <c r="F1148" s="112" t="str">
        <f t="shared" ref="F1148:Q1148" si="825">IFERROR(F1142/F1139,"-")</f>
        <v>-</v>
      </c>
      <c r="G1148" s="112" t="str">
        <f t="shared" si="825"/>
        <v>-</v>
      </c>
      <c r="H1148" s="112" t="str">
        <f t="shared" si="825"/>
        <v>-</v>
      </c>
      <c r="I1148" s="112">
        <f t="shared" si="825"/>
        <v>0</v>
      </c>
      <c r="J1148" s="112">
        <f t="shared" si="825"/>
        <v>0</v>
      </c>
      <c r="K1148" s="112">
        <f t="shared" si="825"/>
        <v>0</v>
      </c>
      <c r="L1148" s="112">
        <f t="shared" si="825"/>
        <v>0</v>
      </c>
      <c r="M1148" s="112">
        <f t="shared" si="825"/>
        <v>0</v>
      </c>
      <c r="N1148" s="112">
        <f t="shared" si="825"/>
        <v>0</v>
      </c>
      <c r="O1148" s="112">
        <f t="shared" si="825"/>
        <v>0</v>
      </c>
      <c r="P1148" s="112">
        <f t="shared" si="825"/>
        <v>0</v>
      </c>
      <c r="Q1148" s="112">
        <f t="shared" si="825"/>
        <v>0</v>
      </c>
    </row>
    <row r="1149" ht="24" customHeight="1" spans="1:17">
      <c r="A1149" s="99" t="s">
        <v>347</v>
      </c>
      <c r="B1149" s="99" t="s">
        <v>299</v>
      </c>
      <c r="C1149" s="99" t="s">
        <v>343</v>
      </c>
      <c r="D1149" s="48" t="s">
        <v>321</v>
      </c>
      <c r="E1149" s="48" t="s">
        <v>97</v>
      </c>
      <c r="F1149" s="112" t="str">
        <f t="shared" ref="F1149:Q1149" si="826">IFERROR(F1143/F1139,"-")</f>
        <v>-</v>
      </c>
      <c r="G1149" s="112" t="str">
        <f t="shared" si="826"/>
        <v>-</v>
      </c>
      <c r="H1149" s="112" t="str">
        <f t="shared" si="826"/>
        <v>-</v>
      </c>
      <c r="I1149" s="112">
        <f t="shared" si="826"/>
        <v>0</v>
      </c>
      <c r="J1149" s="112">
        <f t="shared" si="826"/>
        <v>0.774696983590488</v>
      </c>
      <c r="K1149" s="112">
        <f t="shared" si="826"/>
        <v>0.774696983590488</v>
      </c>
      <c r="L1149" s="112">
        <f t="shared" si="826"/>
        <v>0.448881098967236</v>
      </c>
      <c r="M1149" s="112">
        <f t="shared" si="826"/>
        <v>0.448881098967236</v>
      </c>
      <c r="N1149" s="112">
        <f t="shared" si="826"/>
        <v>0.448881098967236</v>
      </c>
      <c r="O1149" s="112">
        <f t="shared" si="826"/>
        <v>0.448881098967236</v>
      </c>
      <c r="P1149" s="112">
        <f t="shared" si="826"/>
        <v>0.353436319809019</v>
      </c>
      <c r="Q1149" s="112">
        <f t="shared" si="826"/>
        <v>0.353436319809019</v>
      </c>
    </row>
    <row r="1150" ht="24" customHeight="1" spans="1:17">
      <c r="A1150" s="99" t="s">
        <v>347</v>
      </c>
      <c r="B1150" s="99" t="s">
        <v>299</v>
      </c>
      <c r="C1150" s="99" t="s">
        <v>343</v>
      </c>
      <c r="D1150" s="48" t="s">
        <v>321</v>
      </c>
      <c r="E1150" s="48" t="s">
        <v>87</v>
      </c>
      <c r="F1150" s="112" t="str">
        <f t="shared" ref="F1150:Q1150" si="827">IFERROR(F1144/F1139,"-")</f>
        <v>-</v>
      </c>
      <c r="G1150" s="112" t="str">
        <f t="shared" si="827"/>
        <v>-</v>
      </c>
      <c r="H1150" s="112" t="str">
        <f t="shared" si="827"/>
        <v>-</v>
      </c>
      <c r="I1150" s="112">
        <f t="shared" si="827"/>
        <v>0</v>
      </c>
      <c r="J1150" s="112">
        <f t="shared" si="827"/>
        <v>0</v>
      </c>
      <c r="K1150" s="112">
        <f t="shared" si="827"/>
        <v>0</v>
      </c>
      <c r="L1150" s="112">
        <f t="shared" si="827"/>
        <v>0.420572032064966</v>
      </c>
      <c r="M1150" s="112">
        <f t="shared" si="827"/>
        <v>0.420572032064966</v>
      </c>
      <c r="N1150" s="112">
        <f t="shared" si="827"/>
        <v>0.420572032064966</v>
      </c>
      <c r="O1150" s="112">
        <f t="shared" si="827"/>
        <v>0.420572032064966</v>
      </c>
      <c r="P1150" s="112">
        <f t="shared" si="827"/>
        <v>0.543774756717203</v>
      </c>
      <c r="Q1150" s="112">
        <f t="shared" si="827"/>
        <v>0.543774756717203</v>
      </c>
    </row>
    <row r="1151" ht="24" customHeight="1" spans="1:17">
      <c r="A1151" s="99" t="s">
        <v>347</v>
      </c>
      <c r="B1151" s="99" t="s">
        <v>299</v>
      </c>
      <c r="C1151" s="99" t="s">
        <v>343</v>
      </c>
      <c r="D1151" s="48" t="s">
        <v>321</v>
      </c>
      <c r="E1151" s="48" t="s">
        <v>83</v>
      </c>
      <c r="F1151" s="112" t="str">
        <f t="shared" ref="F1151:Q1151" si="828">IFERROR(F1145/F1139,"-")</f>
        <v>-</v>
      </c>
      <c r="G1151" s="112" t="str">
        <f t="shared" si="828"/>
        <v>-</v>
      </c>
      <c r="H1151" s="112" t="str">
        <f t="shared" si="828"/>
        <v>-</v>
      </c>
      <c r="I1151" s="112">
        <f t="shared" si="828"/>
        <v>0</v>
      </c>
      <c r="J1151" s="112">
        <f t="shared" si="828"/>
        <v>0</v>
      </c>
      <c r="K1151" s="112">
        <f t="shared" si="828"/>
        <v>0</v>
      </c>
      <c r="L1151" s="112">
        <f t="shared" si="828"/>
        <v>0</v>
      </c>
      <c r="M1151" s="112">
        <f t="shared" si="828"/>
        <v>0</v>
      </c>
      <c r="N1151" s="112">
        <f t="shared" si="828"/>
        <v>0</v>
      </c>
      <c r="O1151" s="112">
        <f t="shared" si="828"/>
        <v>0</v>
      </c>
      <c r="P1151" s="112">
        <f t="shared" si="828"/>
        <v>0</v>
      </c>
      <c r="Q1151" s="112">
        <f t="shared" si="828"/>
        <v>0</v>
      </c>
    </row>
    <row r="1152" ht="24" customHeight="1" spans="1:17">
      <c r="A1152" s="99" t="s">
        <v>347</v>
      </c>
      <c r="B1152" s="99" t="s">
        <v>299</v>
      </c>
      <c r="C1152" s="99" t="s">
        <v>343</v>
      </c>
      <c r="D1152" s="47" t="s">
        <v>294</v>
      </c>
      <c r="E1152" s="47" t="s">
        <v>93</v>
      </c>
      <c r="F1152" s="125">
        <f t="shared" ref="F1152:F1156" si="829">F1096</f>
        <v>0</v>
      </c>
      <c r="G1152" s="125">
        <f t="shared" ref="G1152:Q1152" si="830">F1152+G1096</f>
        <v>0</v>
      </c>
      <c r="H1152" s="125">
        <f t="shared" si="830"/>
        <v>0</v>
      </c>
      <c r="I1152" s="125">
        <f t="shared" si="830"/>
        <v>0</v>
      </c>
      <c r="J1152" s="125">
        <f t="shared" si="830"/>
        <v>2.889361</v>
      </c>
      <c r="K1152" s="125">
        <f t="shared" si="830"/>
        <v>2.889361</v>
      </c>
      <c r="L1152" s="125">
        <f t="shared" si="830"/>
        <v>2.889361</v>
      </c>
      <c r="M1152" s="125">
        <f t="shared" si="830"/>
        <v>2.889361</v>
      </c>
      <c r="N1152" s="125">
        <f t="shared" si="830"/>
        <v>2.889361</v>
      </c>
      <c r="O1152" s="125">
        <f t="shared" si="830"/>
        <v>2.889361</v>
      </c>
      <c r="P1152" s="125">
        <f t="shared" si="830"/>
        <v>4.627608</v>
      </c>
      <c r="Q1152" s="125">
        <f t="shared" si="830"/>
        <v>4.627608</v>
      </c>
    </row>
    <row r="1153" ht="24" customHeight="1" spans="1:17">
      <c r="A1153" s="99" t="s">
        <v>347</v>
      </c>
      <c r="B1153" s="99" t="s">
        <v>299</v>
      </c>
      <c r="C1153" s="99" t="s">
        <v>343</v>
      </c>
      <c r="D1153" s="47" t="s">
        <v>294</v>
      </c>
      <c r="E1153" s="47" t="s">
        <v>85</v>
      </c>
      <c r="F1153" s="125">
        <f t="shared" si="829"/>
        <v>0</v>
      </c>
      <c r="G1153" s="125">
        <f t="shared" ref="G1153:Q1153" si="831">F1153+G1097</f>
        <v>0</v>
      </c>
      <c r="H1153" s="125">
        <f t="shared" si="831"/>
        <v>0</v>
      </c>
      <c r="I1153" s="125">
        <f t="shared" si="831"/>
        <v>0</v>
      </c>
      <c r="J1153" s="125">
        <f t="shared" si="831"/>
        <v>0</v>
      </c>
      <c r="K1153" s="125">
        <f t="shared" si="831"/>
        <v>0</v>
      </c>
      <c r="L1153" s="125">
        <f t="shared" si="831"/>
        <v>0</v>
      </c>
      <c r="M1153" s="125">
        <f t="shared" si="831"/>
        <v>0</v>
      </c>
      <c r="N1153" s="125">
        <f t="shared" si="831"/>
        <v>0</v>
      </c>
      <c r="O1153" s="125">
        <f t="shared" si="831"/>
        <v>0</v>
      </c>
      <c r="P1153" s="125">
        <f t="shared" si="831"/>
        <v>0</v>
      </c>
      <c r="Q1153" s="125">
        <f t="shared" si="831"/>
        <v>0</v>
      </c>
    </row>
    <row r="1154" ht="24" customHeight="1" spans="1:17">
      <c r="A1154" s="99" t="s">
        <v>347</v>
      </c>
      <c r="B1154" s="99" t="s">
        <v>299</v>
      </c>
      <c r="C1154" s="99" t="s">
        <v>343</v>
      </c>
      <c r="D1154" s="47" t="s">
        <v>294</v>
      </c>
      <c r="E1154" s="47" t="s">
        <v>81</v>
      </c>
      <c r="F1154" s="125">
        <f t="shared" si="829"/>
        <v>0</v>
      </c>
      <c r="G1154" s="125">
        <f t="shared" ref="G1154:Q1154" si="832">F1154+G1098</f>
        <v>0</v>
      </c>
      <c r="H1154" s="125">
        <f t="shared" si="832"/>
        <v>0</v>
      </c>
      <c r="I1154" s="125">
        <f t="shared" si="832"/>
        <v>0.840305</v>
      </c>
      <c r="J1154" s="125">
        <f t="shared" si="832"/>
        <v>0.840305</v>
      </c>
      <c r="K1154" s="125">
        <f t="shared" si="832"/>
        <v>0.840305</v>
      </c>
      <c r="L1154" s="125">
        <f t="shared" si="832"/>
        <v>0.840305</v>
      </c>
      <c r="M1154" s="125">
        <f t="shared" si="832"/>
        <v>0.840305</v>
      </c>
      <c r="N1154" s="125">
        <f t="shared" si="832"/>
        <v>0.840305</v>
      </c>
      <c r="O1154" s="125">
        <f t="shared" si="832"/>
        <v>0.840305</v>
      </c>
      <c r="P1154" s="125">
        <f t="shared" si="832"/>
        <v>0.840305</v>
      </c>
      <c r="Q1154" s="125">
        <f t="shared" si="832"/>
        <v>0.840305</v>
      </c>
    </row>
    <row r="1155" ht="24" customHeight="1" spans="1:17">
      <c r="A1155" s="99" t="s">
        <v>347</v>
      </c>
      <c r="B1155" s="99" t="s">
        <v>299</v>
      </c>
      <c r="C1155" s="99" t="s">
        <v>343</v>
      </c>
      <c r="D1155" s="47" t="s">
        <v>294</v>
      </c>
      <c r="E1155" s="47" t="s">
        <v>96</v>
      </c>
      <c r="F1155" s="125">
        <f t="shared" si="829"/>
        <v>0</v>
      </c>
      <c r="G1155" s="125">
        <f t="shared" ref="G1155:Q1155" si="833">F1155+G1099</f>
        <v>0</v>
      </c>
      <c r="H1155" s="125">
        <f t="shared" si="833"/>
        <v>0</v>
      </c>
      <c r="I1155" s="125">
        <f t="shared" si="833"/>
        <v>0</v>
      </c>
      <c r="J1155" s="125">
        <f t="shared" si="833"/>
        <v>0</v>
      </c>
      <c r="K1155" s="125">
        <f t="shared" si="833"/>
        <v>0</v>
      </c>
      <c r="L1155" s="125">
        <f t="shared" si="833"/>
        <v>2.707141</v>
      </c>
      <c r="M1155" s="125">
        <f t="shared" si="833"/>
        <v>2.707141</v>
      </c>
      <c r="N1155" s="125">
        <f t="shared" si="833"/>
        <v>2.707141</v>
      </c>
      <c r="O1155" s="125">
        <f t="shared" si="833"/>
        <v>2.707141</v>
      </c>
      <c r="P1155" s="125">
        <f t="shared" si="833"/>
        <v>2.707141</v>
      </c>
      <c r="Q1155" s="125">
        <f t="shared" si="833"/>
        <v>2.707141</v>
      </c>
    </row>
    <row r="1156" ht="24" customHeight="1" spans="1:17">
      <c r="A1156" s="99" t="s">
        <v>347</v>
      </c>
      <c r="B1156" s="99" t="s">
        <v>299</v>
      </c>
      <c r="C1156" s="99" t="s">
        <v>343</v>
      </c>
      <c r="D1156" s="47" t="s">
        <v>294</v>
      </c>
      <c r="E1156" s="47" t="s">
        <v>160</v>
      </c>
      <c r="F1156" s="125">
        <f t="shared" si="829"/>
        <v>0</v>
      </c>
      <c r="G1156" s="125">
        <f t="shared" ref="G1156:Q1156" si="834">F1156+G1100</f>
        <v>0</v>
      </c>
      <c r="H1156" s="125">
        <f t="shared" si="834"/>
        <v>0</v>
      </c>
      <c r="I1156" s="125">
        <f t="shared" si="834"/>
        <v>0</v>
      </c>
      <c r="J1156" s="125">
        <f t="shared" si="834"/>
        <v>0</v>
      </c>
      <c r="K1156" s="125">
        <f t="shared" si="834"/>
        <v>0</v>
      </c>
      <c r="L1156" s="125">
        <f t="shared" si="834"/>
        <v>0</v>
      </c>
      <c r="M1156" s="125">
        <f t="shared" si="834"/>
        <v>0</v>
      </c>
      <c r="N1156" s="125">
        <f t="shared" si="834"/>
        <v>0</v>
      </c>
      <c r="O1156" s="125">
        <f t="shared" si="834"/>
        <v>0</v>
      </c>
      <c r="P1156" s="125">
        <f t="shared" si="834"/>
        <v>0</v>
      </c>
      <c r="Q1156" s="125">
        <f t="shared" si="834"/>
        <v>0</v>
      </c>
    </row>
    <row r="1157" ht="24" customHeight="1" spans="1:17">
      <c r="A1157" s="99" t="s">
        <v>347</v>
      </c>
      <c r="B1157" s="99" t="s">
        <v>299</v>
      </c>
      <c r="C1157" s="99" t="s">
        <v>343</v>
      </c>
      <c r="D1157" s="47" t="s">
        <v>321</v>
      </c>
      <c r="E1157" s="47" t="s">
        <v>93</v>
      </c>
      <c r="F1157" s="126" t="str">
        <f t="shared" ref="F1157:Q1157" si="835">IFERROR(F1152/F1139,"-")</f>
        <v>-</v>
      </c>
      <c r="G1157" s="126" t="str">
        <f t="shared" si="835"/>
        <v>-</v>
      </c>
      <c r="H1157" s="126" t="str">
        <f t="shared" si="835"/>
        <v>-</v>
      </c>
      <c r="I1157" s="126">
        <f t="shared" si="835"/>
        <v>0</v>
      </c>
      <c r="J1157" s="126">
        <f t="shared" si="835"/>
        <v>0.774696983590488</v>
      </c>
      <c r="K1157" s="126">
        <f t="shared" si="835"/>
        <v>0.774696983590488</v>
      </c>
      <c r="L1157" s="126">
        <f t="shared" si="835"/>
        <v>0.448881098967236</v>
      </c>
      <c r="M1157" s="126">
        <f t="shared" si="835"/>
        <v>0.448881098967236</v>
      </c>
      <c r="N1157" s="126">
        <f t="shared" si="835"/>
        <v>0.448881098967236</v>
      </c>
      <c r="O1157" s="126">
        <f t="shared" si="835"/>
        <v>0.448881098967236</v>
      </c>
      <c r="P1157" s="126">
        <f t="shared" si="835"/>
        <v>0.566064517738965</v>
      </c>
      <c r="Q1157" s="126">
        <f t="shared" si="835"/>
        <v>0.566064517738965</v>
      </c>
    </row>
    <row r="1158" ht="24" customHeight="1" spans="1:17">
      <c r="A1158" s="99" t="s">
        <v>347</v>
      </c>
      <c r="B1158" s="99" t="s">
        <v>299</v>
      </c>
      <c r="C1158" s="99" t="s">
        <v>343</v>
      </c>
      <c r="D1158" s="47" t="s">
        <v>321</v>
      </c>
      <c r="E1158" s="47" t="s">
        <v>85</v>
      </c>
      <c r="F1158" s="126" t="str">
        <f t="shared" ref="F1158:Q1158" si="836">IFERROR(F1153/F1139,"-")</f>
        <v>-</v>
      </c>
      <c r="G1158" s="126" t="str">
        <f t="shared" si="836"/>
        <v>-</v>
      </c>
      <c r="H1158" s="126" t="str">
        <f t="shared" si="836"/>
        <v>-</v>
      </c>
      <c r="I1158" s="126">
        <f t="shared" si="836"/>
        <v>0</v>
      </c>
      <c r="J1158" s="126">
        <f t="shared" si="836"/>
        <v>0</v>
      </c>
      <c r="K1158" s="126">
        <f t="shared" si="836"/>
        <v>0</v>
      </c>
      <c r="L1158" s="126">
        <f t="shared" si="836"/>
        <v>0</v>
      </c>
      <c r="M1158" s="126">
        <f t="shared" si="836"/>
        <v>0</v>
      </c>
      <c r="N1158" s="126">
        <f t="shared" si="836"/>
        <v>0</v>
      </c>
      <c r="O1158" s="126">
        <f t="shared" si="836"/>
        <v>0</v>
      </c>
      <c r="P1158" s="126">
        <f t="shared" si="836"/>
        <v>0</v>
      </c>
      <c r="Q1158" s="126">
        <f t="shared" si="836"/>
        <v>0</v>
      </c>
    </row>
    <row r="1159" ht="24" customHeight="1" spans="1:17">
      <c r="A1159" s="99" t="s">
        <v>347</v>
      </c>
      <c r="B1159" s="99" t="s">
        <v>299</v>
      </c>
      <c r="C1159" s="99" t="s">
        <v>343</v>
      </c>
      <c r="D1159" s="47" t="s">
        <v>321</v>
      </c>
      <c r="E1159" s="47" t="s">
        <v>81</v>
      </c>
      <c r="F1159" s="126" t="str">
        <f t="shared" ref="F1159:Q1159" si="837">IFERROR(F1154/F1139,"-")</f>
        <v>-</v>
      </c>
      <c r="G1159" s="126" t="str">
        <f t="shared" si="837"/>
        <v>-</v>
      </c>
      <c r="H1159" s="126" t="str">
        <f t="shared" si="837"/>
        <v>-</v>
      </c>
      <c r="I1159" s="126">
        <f t="shared" si="837"/>
        <v>1</v>
      </c>
      <c r="J1159" s="126">
        <f t="shared" si="837"/>
        <v>0.225303016409512</v>
      </c>
      <c r="K1159" s="126">
        <f t="shared" si="837"/>
        <v>0.225303016409512</v>
      </c>
      <c r="L1159" s="126">
        <f t="shared" si="837"/>
        <v>0.130546868967797</v>
      </c>
      <c r="M1159" s="126">
        <f t="shared" si="837"/>
        <v>0.130546868967797</v>
      </c>
      <c r="N1159" s="126">
        <f t="shared" si="837"/>
        <v>0.130546868967797</v>
      </c>
      <c r="O1159" s="126">
        <f t="shared" si="837"/>
        <v>0.130546868967797</v>
      </c>
      <c r="P1159" s="126">
        <f t="shared" si="837"/>
        <v>0.102788923473778</v>
      </c>
      <c r="Q1159" s="126">
        <f t="shared" si="837"/>
        <v>0.102788923473778</v>
      </c>
    </row>
    <row r="1160" ht="24" customHeight="1" spans="1:17">
      <c r="A1160" s="99" t="s">
        <v>347</v>
      </c>
      <c r="B1160" s="99" t="s">
        <v>299</v>
      </c>
      <c r="C1160" s="99" t="s">
        <v>343</v>
      </c>
      <c r="D1160" s="47" t="s">
        <v>321</v>
      </c>
      <c r="E1160" s="47" t="s">
        <v>96</v>
      </c>
      <c r="F1160" s="126" t="str">
        <f t="shared" ref="F1160:Q1160" si="838">IFERROR(F1155/F1139,"-")</f>
        <v>-</v>
      </c>
      <c r="G1160" s="126" t="str">
        <f t="shared" si="838"/>
        <v>-</v>
      </c>
      <c r="H1160" s="126" t="str">
        <f t="shared" si="838"/>
        <v>-</v>
      </c>
      <c r="I1160" s="126">
        <f t="shared" si="838"/>
        <v>0</v>
      </c>
      <c r="J1160" s="126">
        <f t="shared" si="838"/>
        <v>0</v>
      </c>
      <c r="K1160" s="126">
        <f t="shared" si="838"/>
        <v>0</v>
      </c>
      <c r="L1160" s="126">
        <f t="shared" si="838"/>
        <v>0.420572032064966</v>
      </c>
      <c r="M1160" s="126">
        <f t="shared" si="838"/>
        <v>0.420572032064966</v>
      </c>
      <c r="N1160" s="126">
        <f t="shared" si="838"/>
        <v>0.420572032064966</v>
      </c>
      <c r="O1160" s="126">
        <f t="shared" si="838"/>
        <v>0.420572032064966</v>
      </c>
      <c r="P1160" s="126">
        <f t="shared" si="838"/>
        <v>0.331146558787257</v>
      </c>
      <c r="Q1160" s="126">
        <f t="shared" si="838"/>
        <v>0.331146558787257</v>
      </c>
    </row>
    <row r="1161" ht="24" customHeight="1" spans="1:17">
      <c r="A1161" s="99" t="s">
        <v>347</v>
      </c>
      <c r="B1161" s="99" t="s">
        <v>299</v>
      </c>
      <c r="C1161" s="99" t="s">
        <v>343</v>
      </c>
      <c r="D1161" s="47" t="s">
        <v>321</v>
      </c>
      <c r="E1161" s="47" t="s">
        <v>160</v>
      </c>
      <c r="F1161" s="126" t="str">
        <f t="shared" ref="F1161:Q1161" si="839">IFERROR(F1156/F1139,"-")</f>
        <v>-</v>
      </c>
      <c r="G1161" s="126" t="str">
        <f t="shared" si="839"/>
        <v>-</v>
      </c>
      <c r="H1161" s="126" t="str">
        <f t="shared" si="839"/>
        <v>-</v>
      </c>
      <c r="I1161" s="126">
        <f t="shared" si="839"/>
        <v>0</v>
      </c>
      <c r="J1161" s="126">
        <f t="shared" si="839"/>
        <v>0</v>
      </c>
      <c r="K1161" s="126">
        <f t="shared" si="839"/>
        <v>0</v>
      </c>
      <c r="L1161" s="126">
        <f t="shared" si="839"/>
        <v>0</v>
      </c>
      <c r="M1161" s="126">
        <f t="shared" si="839"/>
        <v>0</v>
      </c>
      <c r="N1161" s="126">
        <f t="shared" si="839"/>
        <v>0</v>
      </c>
      <c r="O1161" s="126">
        <f t="shared" si="839"/>
        <v>0</v>
      </c>
      <c r="P1161" s="126">
        <f t="shared" si="839"/>
        <v>0</v>
      </c>
      <c r="Q1161" s="126">
        <f t="shared" si="839"/>
        <v>0</v>
      </c>
    </row>
    <row r="1162" ht="24" customHeight="1" spans="1:17">
      <c r="A1162" s="99" t="s">
        <v>347</v>
      </c>
      <c r="B1162" s="99" t="s">
        <v>299</v>
      </c>
      <c r="C1162" s="99" t="s">
        <v>344</v>
      </c>
      <c r="D1162" s="114" t="s">
        <v>292</v>
      </c>
      <c r="E1162" s="114" t="s">
        <v>320</v>
      </c>
      <c r="F1162" s="120">
        <f t="shared" ref="F1162:Q1162" si="840">IF(SUM(F1163:F1168)&lt;&gt;SUM(F1175:F1179),"ERR",SUM(F1163:F1168))</f>
        <v>0</v>
      </c>
      <c r="G1162" s="120">
        <f t="shared" si="840"/>
        <v>0</v>
      </c>
      <c r="H1162" s="120">
        <f t="shared" si="840"/>
        <v>0</v>
      </c>
      <c r="I1162" s="120">
        <f t="shared" si="840"/>
        <v>0.853543</v>
      </c>
      <c r="J1162" s="120">
        <f t="shared" si="840"/>
        <v>3.793141</v>
      </c>
      <c r="K1162" s="120">
        <f t="shared" si="840"/>
        <v>3.793141</v>
      </c>
      <c r="L1162" s="120">
        <f t="shared" si="840"/>
        <v>6.550304</v>
      </c>
      <c r="M1162" s="120">
        <f t="shared" si="840"/>
        <v>6.550304</v>
      </c>
      <c r="N1162" s="120">
        <f t="shared" si="840"/>
        <v>6.550304</v>
      </c>
      <c r="O1162" s="120">
        <f t="shared" si="840"/>
        <v>6.550304</v>
      </c>
      <c r="P1162" s="120">
        <f t="shared" si="840"/>
        <v>8.321078</v>
      </c>
      <c r="Q1162" s="120">
        <f t="shared" si="840"/>
        <v>8.321078</v>
      </c>
    </row>
    <row r="1163" ht="24" customHeight="1" spans="1:17">
      <c r="A1163" s="99" t="s">
        <v>347</v>
      </c>
      <c r="B1163" s="99" t="s">
        <v>299</v>
      </c>
      <c r="C1163" s="99" t="s">
        <v>344</v>
      </c>
      <c r="D1163" s="48" t="s">
        <v>31</v>
      </c>
      <c r="E1163" s="48" t="s">
        <v>406</v>
      </c>
      <c r="F1163" s="121">
        <f t="shared" ref="F1163:F1168" si="841">F1102</f>
        <v>0</v>
      </c>
      <c r="G1163" s="121">
        <f t="shared" ref="G1163:Q1163" si="842">F1163+G1102</f>
        <v>0</v>
      </c>
      <c r="H1163" s="121">
        <f t="shared" si="842"/>
        <v>0</v>
      </c>
      <c r="I1163" s="121">
        <f t="shared" si="842"/>
        <v>0.853543</v>
      </c>
      <c r="J1163" s="121">
        <f t="shared" si="842"/>
        <v>0.853543</v>
      </c>
      <c r="K1163" s="121">
        <f t="shared" si="842"/>
        <v>0.853543</v>
      </c>
      <c r="L1163" s="121">
        <f t="shared" si="842"/>
        <v>0.853543</v>
      </c>
      <c r="M1163" s="121">
        <f t="shared" si="842"/>
        <v>0.853543</v>
      </c>
      <c r="N1163" s="121">
        <f t="shared" si="842"/>
        <v>0.853543</v>
      </c>
      <c r="O1163" s="121">
        <f t="shared" si="842"/>
        <v>0.853543</v>
      </c>
      <c r="P1163" s="121">
        <f t="shared" si="842"/>
        <v>0.853543</v>
      </c>
      <c r="Q1163" s="121">
        <f t="shared" si="842"/>
        <v>0.853543</v>
      </c>
    </row>
    <row r="1164" ht="24" customHeight="1" spans="1:17">
      <c r="A1164" s="99" t="s">
        <v>347</v>
      </c>
      <c r="B1164" s="99" t="s">
        <v>299</v>
      </c>
      <c r="C1164" s="99" t="s">
        <v>344</v>
      </c>
      <c r="D1164" s="48" t="s">
        <v>31</v>
      </c>
      <c r="E1164" s="48" t="s">
        <v>82</v>
      </c>
      <c r="F1164" s="121">
        <f t="shared" si="841"/>
        <v>0</v>
      </c>
      <c r="G1164" s="121">
        <f t="shared" ref="G1164:Q1164" si="843">F1164+G1103</f>
        <v>0</v>
      </c>
      <c r="H1164" s="121">
        <f t="shared" si="843"/>
        <v>0</v>
      </c>
      <c r="I1164" s="121">
        <f t="shared" si="843"/>
        <v>0</v>
      </c>
      <c r="J1164" s="121">
        <f t="shared" si="843"/>
        <v>0</v>
      </c>
      <c r="K1164" s="121">
        <f t="shared" si="843"/>
        <v>0</v>
      </c>
      <c r="L1164" s="121">
        <f t="shared" si="843"/>
        <v>0</v>
      </c>
      <c r="M1164" s="121">
        <f t="shared" si="843"/>
        <v>0</v>
      </c>
      <c r="N1164" s="121">
        <f t="shared" si="843"/>
        <v>0</v>
      </c>
      <c r="O1164" s="121">
        <f t="shared" si="843"/>
        <v>0</v>
      </c>
      <c r="P1164" s="121">
        <f t="shared" si="843"/>
        <v>0</v>
      </c>
      <c r="Q1164" s="121">
        <f t="shared" si="843"/>
        <v>0</v>
      </c>
    </row>
    <row r="1165" ht="24" customHeight="1" spans="1:17">
      <c r="A1165" s="99" t="s">
        <v>347</v>
      </c>
      <c r="B1165" s="99" t="s">
        <v>299</v>
      </c>
      <c r="C1165" s="99" t="s">
        <v>344</v>
      </c>
      <c r="D1165" s="48" t="s">
        <v>31</v>
      </c>
      <c r="E1165" s="48" t="s">
        <v>86</v>
      </c>
      <c r="F1165" s="121">
        <f t="shared" si="841"/>
        <v>0</v>
      </c>
      <c r="G1165" s="121">
        <f t="shared" ref="G1165:Q1165" si="844">F1165+G1104</f>
        <v>0</v>
      </c>
      <c r="H1165" s="121">
        <f t="shared" si="844"/>
        <v>0</v>
      </c>
      <c r="I1165" s="121">
        <f t="shared" si="844"/>
        <v>0</v>
      </c>
      <c r="J1165" s="121">
        <f t="shared" si="844"/>
        <v>0</v>
      </c>
      <c r="K1165" s="121">
        <f t="shared" si="844"/>
        <v>0</v>
      </c>
      <c r="L1165" s="121">
        <f t="shared" si="844"/>
        <v>0</v>
      </c>
      <c r="M1165" s="121">
        <f t="shared" si="844"/>
        <v>0</v>
      </c>
      <c r="N1165" s="121">
        <f t="shared" si="844"/>
        <v>0</v>
      </c>
      <c r="O1165" s="121">
        <f t="shared" si="844"/>
        <v>0</v>
      </c>
      <c r="P1165" s="121">
        <f t="shared" si="844"/>
        <v>0</v>
      </c>
      <c r="Q1165" s="121">
        <f t="shared" si="844"/>
        <v>0</v>
      </c>
    </row>
    <row r="1166" ht="24" customHeight="1" spans="1:17">
      <c r="A1166" s="99" t="s">
        <v>347</v>
      </c>
      <c r="B1166" s="99" t="s">
        <v>299</v>
      </c>
      <c r="C1166" s="99" t="s">
        <v>344</v>
      </c>
      <c r="D1166" s="48" t="s">
        <v>31</v>
      </c>
      <c r="E1166" s="48" t="s">
        <v>97</v>
      </c>
      <c r="F1166" s="121">
        <f t="shared" si="841"/>
        <v>0</v>
      </c>
      <c r="G1166" s="121">
        <f t="shared" ref="G1166:Q1166" si="845">F1166+G1105</f>
        <v>0</v>
      </c>
      <c r="H1166" s="121">
        <f t="shared" si="845"/>
        <v>0</v>
      </c>
      <c r="I1166" s="121">
        <f t="shared" si="845"/>
        <v>0</v>
      </c>
      <c r="J1166" s="121">
        <f t="shared" si="845"/>
        <v>2.939598</v>
      </c>
      <c r="K1166" s="121">
        <f t="shared" si="845"/>
        <v>2.939598</v>
      </c>
      <c r="L1166" s="121">
        <f t="shared" si="845"/>
        <v>2.939598</v>
      </c>
      <c r="M1166" s="121">
        <f t="shared" si="845"/>
        <v>2.939598</v>
      </c>
      <c r="N1166" s="121">
        <f t="shared" si="845"/>
        <v>2.939598</v>
      </c>
      <c r="O1166" s="121">
        <f t="shared" si="845"/>
        <v>2.939598</v>
      </c>
      <c r="P1166" s="121">
        <f t="shared" si="845"/>
        <v>2.939598</v>
      </c>
      <c r="Q1166" s="121">
        <f t="shared" si="845"/>
        <v>2.939598</v>
      </c>
    </row>
    <row r="1167" ht="24" customHeight="1" spans="1:17">
      <c r="A1167" s="99" t="s">
        <v>347</v>
      </c>
      <c r="B1167" s="99" t="s">
        <v>299</v>
      </c>
      <c r="C1167" s="99" t="s">
        <v>344</v>
      </c>
      <c r="D1167" s="48" t="s">
        <v>31</v>
      </c>
      <c r="E1167" s="48" t="s">
        <v>87</v>
      </c>
      <c r="F1167" s="121">
        <f t="shared" si="841"/>
        <v>0</v>
      </c>
      <c r="G1167" s="121">
        <f t="shared" ref="G1167:Q1167" si="846">F1167+G1106</f>
        <v>0</v>
      </c>
      <c r="H1167" s="121">
        <f t="shared" si="846"/>
        <v>0</v>
      </c>
      <c r="I1167" s="121">
        <f t="shared" si="846"/>
        <v>0</v>
      </c>
      <c r="J1167" s="121">
        <f t="shared" si="846"/>
        <v>0</v>
      </c>
      <c r="K1167" s="121">
        <f t="shared" si="846"/>
        <v>0</v>
      </c>
      <c r="L1167" s="121">
        <f t="shared" si="846"/>
        <v>2.757163</v>
      </c>
      <c r="M1167" s="121">
        <f t="shared" si="846"/>
        <v>2.757163</v>
      </c>
      <c r="N1167" s="121">
        <f t="shared" si="846"/>
        <v>2.757163</v>
      </c>
      <c r="O1167" s="121">
        <f t="shared" si="846"/>
        <v>2.757163</v>
      </c>
      <c r="P1167" s="121">
        <f t="shared" si="846"/>
        <v>4.527937</v>
      </c>
      <c r="Q1167" s="121">
        <f t="shared" si="846"/>
        <v>4.527937</v>
      </c>
    </row>
    <row r="1168" ht="24" customHeight="1" spans="1:17">
      <c r="A1168" s="99" t="s">
        <v>347</v>
      </c>
      <c r="B1168" s="99" t="s">
        <v>299</v>
      </c>
      <c r="C1168" s="99" t="s">
        <v>344</v>
      </c>
      <c r="D1168" s="48" t="s">
        <v>31</v>
      </c>
      <c r="E1168" s="48" t="s">
        <v>83</v>
      </c>
      <c r="F1168" s="121">
        <f t="shared" si="841"/>
        <v>0</v>
      </c>
      <c r="G1168" s="121">
        <f t="shared" ref="G1168:Q1168" si="847">F1168+G1107</f>
        <v>0</v>
      </c>
      <c r="H1168" s="121">
        <f t="shared" si="847"/>
        <v>0</v>
      </c>
      <c r="I1168" s="121">
        <f t="shared" si="847"/>
        <v>0</v>
      </c>
      <c r="J1168" s="121">
        <f t="shared" si="847"/>
        <v>0</v>
      </c>
      <c r="K1168" s="121">
        <f t="shared" si="847"/>
        <v>0</v>
      </c>
      <c r="L1168" s="121">
        <f t="shared" si="847"/>
        <v>0</v>
      </c>
      <c r="M1168" s="121">
        <f t="shared" si="847"/>
        <v>0</v>
      </c>
      <c r="N1168" s="121">
        <f t="shared" si="847"/>
        <v>0</v>
      </c>
      <c r="O1168" s="121">
        <f t="shared" si="847"/>
        <v>0</v>
      </c>
      <c r="P1168" s="121">
        <f t="shared" si="847"/>
        <v>0</v>
      </c>
      <c r="Q1168" s="121">
        <f t="shared" si="847"/>
        <v>0</v>
      </c>
    </row>
    <row r="1169" ht="24" customHeight="1" spans="1:17">
      <c r="A1169" s="99" t="s">
        <v>347</v>
      </c>
      <c r="B1169" s="99" t="s">
        <v>299</v>
      </c>
      <c r="C1169" s="99" t="s">
        <v>344</v>
      </c>
      <c r="D1169" s="48" t="s">
        <v>321</v>
      </c>
      <c r="E1169" s="48" t="s">
        <v>406</v>
      </c>
      <c r="F1169" s="112" t="str">
        <f t="shared" ref="F1169:Q1169" si="848">IFERROR(F1163/F1162,"-")</f>
        <v>-</v>
      </c>
      <c r="G1169" s="112" t="str">
        <f t="shared" si="848"/>
        <v>-</v>
      </c>
      <c r="H1169" s="112" t="str">
        <f t="shared" si="848"/>
        <v>-</v>
      </c>
      <c r="I1169" s="112">
        <f t="shared" si="848"/>
        <v>1</v>
      </c>
      <c r="J1169" s="112">
        <f t="shared" si="848"/>
        <v>0.225022745002097</v>
      </c>
      <c r="K1169" s="112">
        <f t="shared" si="848"/>
        <v>0.225022745002097</v>
      </c>
      <c r="L1169" s="112">
        <f t="shared" si="848"/>
        <v>0.130305860613492</v>
      </c>
      <c r="M1169" s="112">
        <f t="shared" si="848"/>
        <v>0.130305860613492</v>
      </c>
      <c r="N1169" s="112">
        <f t="shared" si="848"/>
        <v>0.130305860613492</v>
      </c>
      <c r="O1169" s="112">
        <f t="shared" si="848"/>
        <v>0.130305860613492</v>
      </c>
      <c r="P1169" s="112">
        <f t="shared" si="848"/>
        <v>0.102576012386857</v>
      </c>
      <c r="Q1169" s="112">
        <f t="shared" si="848"/>
        <v>0.102576012386857</v>
      </c>
    </row>
    <row r="1170" ht="24" customHeight="1" spans="1:17">
      <c r="A1170" s="99" t="s">
        <v>347</v>
      </c>
      <c r="B1170" s="99" t="s">
        <v>299</v>
      </c>
      <c r="C1170" s="99" t="s">
        <v>344</v>
      </c>
      <c r="D1170" s="48" t="s">
        <v>321</v>
      </c>
      <c r="E1170" s="48" t="s">
        <v>82</v>
      </c>
      <c r="F1170" s="112" t="str">
        <f t="shared" ref="F1170:Q1170" si="849">IFERROR(F1164/F1162,"-")</f>
        <v>-</v>
      </c>
      <c r="G1170" s="112" t="str">
        <f t="shared" si="849"/>
        <v>-</v>
      </c>
      <c r="H1170" s="112" t="str">
        <f t="shared" si="849"/>
        <v>-</v>
      </c>
      <c r="I1170" s="112">
        <f t="shared" si="849"/>
        <v>0</v>
      </c>
      <c r="J1170" s="112">
        <f t="shared" si="849"/>
        <v>0</v>
      </c>
      <c r="K1170" s="112">
        <f t="shared" si="849"/>
        <v>0</v>
      </c>
      <c r="L1170" s="112">
        <f t="shared" si="849"/>
        <v>0</v>
      </c>
      <c r="M1170" s="112">
        <f t="shared" si="849"/>
        <v>0</v>
      </c>
      <c r="N1170" s="112">
        <f t="shared" si="849"/>
        <v>0</v>
      </c>
      <c r="O1170" s="112">
        <f t="shared" si="849"/>
        <v>0</v>
      </c>
      <c r="P1170" s="112">
        <f t="shared" si="849"/>
        <v>0</v>
      </c>
      <c r="Q1170" s="112">
        <f t="shared" si="849"/>
        <v>0</v>
      </c>
    </row>
    <row r="1171" ht="24" customHeight="1" spans="1:17">
      <c r="A1171" s="99" t="s">
        <v>347</v>
      </c>
      <c r="B1171" s="99" t="s">
        <v>299</v>
      </c>
      <c r="C1171" s="99" t="s">
        <v>344</v>
      </c>
      <c r="D1171" s="48" t="s">
        <v>321</v>
      </c>
      <c r="E1171" s="48" t="s">
        <v>86</v>
      </c>
      <c r="F1171" s="112" t="str">
        <f t="shared" ref="F1171:Q1171" si="850">IFERROR(F1165/F1162,"-")</f>
        <v>-</v>
      </c>
      <c r="G1171" s="112" t="str">
        <f t="shared" si="850"/>
        <v>-</v>
      </c>
      <c r="H1171" s="112" t="str">
        <f t="shared" si="850"/>
        <v>-</v>
      </c>
      <c r="I1171" s="112">
        <f t="shared" si="850"/>
        <v>0</v>
      </c>
      <c r="J1171" s="112">
        <f t="shared" si="850"/>
        <v>0</v>
      </c>
      <c r="K1171" s="112">
        <f t="shared" si="850"/>
        <v>0</v>
      </c>
      <c r="L1171" s="112">
        <f t="shared" si="850"/>
        <v>0</v>
      </c>
      <c r="M1171" s="112">
        <f t="shared" si="850"/>
        <v>0</v>
      </c>
      <c r="N1171" s="112">
        <f t="shared" si="850"/>
        <v>0</v>
      </c>
      <c r="O1171" s="112">
        <f t="shared" si="850"/>
        <v>0</v>
      </c>
      <c r="P1171" s="112">
        <f t="shared" si="850"/>
        <v>0</v>
      </c>
      <c r="Q1171" s="112">
        <f t="shared" si="850"/>
        <v>0</v>
      </c>
    </row>
    <row r="1172" ht="24" customHeight="1" spans="1:17">
      <c r="A1172" s="99" t="s">
        <v>347</v>
      </c>
      <c r="B1172" s="99" t="s">
        <v>299</v>
      </c>
      <c r="C1172" s="99" t="s">
        <v>344</v>
      </c>
      <c r="D1172" s="48" t="s">
        <v>321</v>
      </c>
      <c r="E1172" s="48" t="s">
        <v>97</v>
      </c>
      <c r="F1172" s="112" t="str">
        <f t="shared" ref="F1172:Q1172" si="851">IFERROR(F1166/F1162,"-")</f>
        <v>-</v>
      </c>
      <c r="G1172" s="112" t="str">
        <f t="shared" si="851"/>
        <v>-</v>
      </c>
      <c r="H1172" s="112" t="str">
        <f t="shared" si="851"/>
        <v>-</v>
      </c>
      <c r="I1172" s="112">
        <f t="shared" si="851"/>
        <v>0</v>
      </c>
      <c r="J1172" s="112">
        <f t="shared" si="851"/>
        <v>0.774977254997903</v>
      </c>
      <c r="K1172" s="112">
        <f t="shared" si="851"/>
        <v>0.774977254997903</v>
      </c>
      <c r="L1172" s="112">
        <f t="shared" si="851"/>
        <v>0.448772759249036</v>
      </c>
      <c r="M1172" s="112">
        <f t="shared" si="851"/>
        <v>0.448772759249036</v>
      </c>
      <c r="N1172" s="112">
        <f t="shared" si="851"/>
        <v>0.448772759249036</v>
      </c>
      <c r="O1172" s="112">
        <f t="shared" si="851"/>
        <v>0.448772759249036</v>
      </c>
      <c r="P1172" s="112">
        <f t="shared" si="851"/>
        <v>0.353271294897128</v>
      </c>
      <c r="Q1172" s="112">
        <f t="shared" si="851"/>
        <v>0.353271294897128</v>
      </c>
    </row>
    <row r="1173" ht="24" customHeight="1" spans="1:17">
      <c r="A1173" s="99" t="s">
        <v>347</v>
      </c>
      <c r="B1173" s="99" t="s">
        <v>299</v>
      </c>
      <c r="C1173" s="99" t="s">
        <v>344</v>
      </c>
      <c r="D1173" s="48" t="s">
        <v>321</v>
      </c>
      <c r="E1173" s="48" t="s">
        <v>87</v>
      </c>
      <c r="F1173" s="112" t="str">
        <f t="shared" ref="F1173:Q1173" si="852">IFERROR(F1167/F1162,"-")</f>
        <v>-</v>
      </c>
      <c r="G1173" s="112" t="str">
        <f t="shared" si="852"/>
        <v>-</v>
      </c>
      <c r="H1173" s="112" t="str">
        <f t="shared" si="852"/>
        <v>-</v>
      </c>
      <c r="I1173" s="112">
        <f t="shared" si="852"/>
        <v>0</v>
      </c>
      <c r="J1173" s="112">
        <f t="shared" si="852"/>
        <v>0</v>
      </c>
      <c r="K1173" s="112">
        <f t="shared" si="852"/>
        <v>0</v>
      </c>
      <c r="L1173" s="112">
        <f t="shared" si="852"/>
        <v>0.420921380137471</v>
      </c>
      <c r="M1173" s="112">
        <f t="shared" si="852"/>
        <v>0.420921380137471</v>
      </c>
      <c r="N1173" s="112">
        <f t="shared" si="852"/>
        <v>0.420921380137471</v>
      </c>
      <c r="O1173" s="112">
        <f t="shared" si="852"/>
        <v>0.420921380137471</v>
      </c>
      <c r="P1173" s="112">
        <f t="shared" si="852"/>
        <v>0.544152692716016</v>
      </c>
      <c r="Q1173" s="112">
        <f t="shared" si="852"/>
        <v>0.544152692716016</v>
      </c>
    </row>
    <row r="1174" ht="24" customHeight="1" spans="1:17">
      <c r="A1174" s="99" t="s">
        <v>347</v>
      </c>
      <c r="B1174" s="99" t="s">
        <v>299</v>
      </c>
      <c r="C1174" s="99" t="s">
        <v>344</v>
      </c>
      <c r="D1174" s="48" t="s">
        <v>321</v>
      </c>
      <c r="E1174" s="48" t="s">
        <v>83</v>
      </c>
      <c r="F1174" s="112" t="str">
        <f t="shared" ref="F1174:Q1174" si="853">IFERROR(F1168/F1162,"-")</f>
        <v>-</v>
      </c>
      <c r="G1174" s="112" t="str">
        <f t="shared" si="853"/>
        <v>-</v>
      </c>
      <c r="H1174" s="112" t="str">
        <f t="shared" si="853"/>
        <v>-</v>
      </c>
      <c r="I1174" s="112">
        <f t="shared" si="853"/>
        <v>0</v>
      </c>
      <c r="J1174" s="112">
        <f t="shared" si="853"/>
        <v>0</v>
      </c>
      <c r="K1174" s="112">
        <f t="shared" si="853"/>
        <v>0</v>
      </c>
      <c r="L1174" s="112">
        <f t="shared" si="853"/>
        <v>0</v>
      </c>
      <c r="M1174" s="112">
        <f t="shared" si="853"/>
        <v>0</v>
      </c>
      <c r="N1174" s="112">
        <f t="shared" si="853"/>
        <v>0</v>
      </c>
      <c r="O1174" s="112">
        <f t="shared" si="853"/>
        <v>0</v>
      </c>
      <c r="P1174" s="112">
        <f t="shared" si="853"/>
        <v>0</v>
      </c>
      <c r="Q1174" s="112">
        <f t="shared" si="853"/>
        <v>0</v>
      </c>
    </row>
    <row r="1175" ht="24" customHeight="1" spans="1:17">
      <c r="A1175" s="99" t="s">
        <v>347</v>
      </c>
      <c r="B1175" s="99" t="s">
        <v>299</v>
      </c>
      <c r="C1175" s="99" t="s">
        <v>344</v>
      </c>
      <c r="D1175" s="47" t="s">
        <v>294</v>
      </c>
      <c r="E1175" s="47" t="s">
        <v>93</v>
      </c>
      <c r="F1175" s="125">
        <f t="shared" ref="F1175:F1179" si="854">F1108</f>
        <v>0</v>
      </c>
      <c r="G1175" s="125">
        <f t="shared" ref="G1175:Q1175" si="855">F1175+G1108</f>
        <v>0</v>
      </c>
      <c r="H1175" s="125">
        <f t="shared" si="855"/>
        <v>0</v>
      </c>
      <c r="I1175" s="125">
        <f t="shared" si="855"/>
        <v>0</v>
      </c>
      <c r="J1175" s="125">
        <f t="shared" si="855"/>
        <v>2.939598</v>
      </c>
      <c r="K1175" s="125">
        <f t="shared" si="855"/>
        <v>2.939598</v>
      </c>
      <c r="L1175" s="125">
        <f t="shared" si="855"/>
        <v>2.939598</v>
      </c>
      <c r="M1175" s="125">
        <f t="shared" si="855"/>
        <v>2.939598</v>
      </c>
      <c r="N1175" s="125">
        <f t="shared" si="855"/>
        <v>2.939598</v>
      </c>
      <c r="O1175" s="125">
        <f t="shared" si="855"/>
        <v>2.939598</v>
      </c>
      <c r="P1175" s="125">
        <f t="shared" si="855"/>
        <v>4.710372</v>
      </c>
      <c r="Q1175" s="125">
        <f t="shared" si="855"/>
        <v>4.710372</v>
      </c>
    </row>
    <row r="1176" ht="24" customHeight="1" spans="1:17">
      <c r="A1176" s="99" t="s">
        <v>347</v>
      </c>
      <c r="B1176" s="99" t="s">
        <v>299</v>
      </c>
      <c r="C1176" s="99" t="s">
        <v>344</v>
      </c>
      <c r="D1176" s="47" t="s">
        <v>294</v>
      </c>
      <c r="E1176" s="47" t="s">
        <v>85</v>
      </c>
      <c r="F1176" s="125">
        <f t="shared" si="854"/>
        <v>0</v>
      </c>
      <c r="G1176" s="125">
        <f t="shared" ref="G1176:Q1176" si="856">F1176+G1109</f>
        <v>0</v>
      </c>
      <c r="H1176" s="125">
        <f t="shared" si="856"/>
        <v>0</v>
      </c>
      <c r="I1176" s="125">
        <f t="shared" si="856"/>
        <v>0</v>
      </c>
      <c r="J1176" s="125">
        <f t="shared" si="856"/>
        <v>0</v>
      </c>
      <c r="K1176" s="125">
        <f t="shared" si="856"/>
        <v>0</v>
      </c>
      <c r="L1176" s="125">
        <f t="shared" si="856"/>
        <v>0</v>
      </c>
      <c r="M1176" s="125">
        <f t="shared" si="856"/>
        <v>0</v>
      </c>
      <c r="N1176" s="125">
        <f t="shared" si="856"/>
        <v>0</v>
      </c>
      <c r="O1176" s="125">
        <f t="shared" si="856"/>
        <v>0</v>
      </c>
      <c r="P1176" s="125">
        <f t="shared" si="856"/>
        <v>0</v>
      </c>
      <c r="Q1176" s="125">
        <f t="shared" si="856"/>
        <v>0</v>
      </c>
    </row>
    <row r="1177" ht="24" customHeight="1" spans="1:17">
      <c r="A1177" s="99" t="s">
        <v>347</v>
      </c>
      <c r="B1177" s="99" t="s">
        <v>299</v>
      </c>
      <c r="C1177" s="99" t="s">
        <v>344</v>
      </c>
      <c r="D1177" s="47" t="s">
        <v>294</v>
      </c>
      <c r="E1177" s="47" t="s">
        <v>81</v>
      </c>
      <c r="F1177" s="125">
        <f t="shared" si="854"/>
        <v>0</v>
      </c>
      <c r="G1177" s="125">
        <f t="shared" ref="G1177:Q1177" si="857">F1177+G1110</f>
        <v>0</v>
      </c>
      <c r="H1177" s="125">
        <f t="shared" si="857"/>
        <v>0</v>
      </c>
      <c r="I1177" s="125">
        <f t="shared" si="857"/>
        <v>0.853543</v>
      </c>
      <c r="J1177" s="125">
        <f t="shared" si="857"/>
        <v>0.853543</v>
      </c>
      <c r="K1177" s="125">
        <f t="shared" si="857"/>
        <v>0.853543</v>
      </c>
      <c r="L1177" s="125">
        <f t="shared" si="857"/>
        <v>0.853543</v>
      </c>
      <c r="M1177" s="125">
        <f t="shared" si="857"/>
        <v>0.853543</v>
      </c>
      <c r="N1177" s="125">
        <f t="shared" si="857"/>
        <v>0.853543</v>
      </c>
      <c r="O1177" s="125">
        <f t="shared" si="857"/>
        <v>0.853543</v>
      </c>
      <c r="P1177" s="125">
        <f t="shared" si="857"/>
        <v>0.853543</v>
      </c>
      <c r="Q1177" s="125">
        <f t="shared" si="857"/>
        <v>0.853543</v>
      </c>
    </row>
    <row r="1178" ht="24" customHeight="1" spans="1:17">
      <c r="A1178" s="99" t="s">
        <v>347</v>
      </c>
      <c r="B1178" s="99" t="s">
        <v>299</v>
      </c>
      <c r="C1178" s="99" t="s">
        <v>344</v>
      </c>
      <c r="D1178" s="47" t="s">
        <v>294</v>
      </c>
      <c r="E1178" s="47" t="s">
        <v>96</v>
      </c>
      <c r="F1178" s="125">
        <f t="shared" si="854"/>
        <v>0</v>
      </c>
      <c r="G1178" s="125">
        <f t="shared" ref="G1178:Q1178" si="858">F1178+G1111</f>
        <v>0</v>
      </c>
      <c r="H1178" s="125">
        <f t="shared" si="858"/>
        <v>0</v>
      </c>
      <c r="I1178" s="125">
        <f t="shared" si="858"/>
        <v>0</v>
      </c>
      <c r="J1178" s="125">
        <f t="shared" si="858"/>
        <v>0</v>
      </c>
      <c r="K1178" s="125">
        <f t="shared" si="858"/>
        <v>0</v>
      </c>
      <c r="L1178" s="125">
        <f t="shared" si="858"/>
        <v>2.757163</v>
      </c>
      <c r="M1178" s="125">
        <f t="shared" si="858"/>
        <v>2.757163</v>
      </c>
      <c r="N1178" s="125">
        <f t="shared" si="858"/>
        <v>2.757163</v>
      </c>
      <c r="O1178" s="125">
        <f t="shared" si="858"/>
        <v>2.757163</v>
      </c>
      <c r="P1178" s="125">
        <f t="shared" si="858"/>
        <v>2.757163</v>
      </c>
      <c r="Q1178" s="125">
        <f t="shared" si="858"/>
        <v>2.757163</v>
      </c>
    </row>
    <row r="1179" ht="24" customHeight="1" spans="1:17">
      <c r="A1179" s="99" t="s">
        <v>347</v>
      </c>
      <c r="B1179" s="99" t="s">
        <v>299</v>
      </c>
      <c r="C1179" s="99" t="s">
        <v>344</v>
      </c>
      <c r="D1179" s="47" t="s">
        <v>294</v>
      </c>
      <c r="E1179" s="47" t="s">
        <v>160</v>
      </c>
      <c r="F1179" s="125">
        <f t="shared" si="854"/>
        <v>0</v>
      </c>
      <c r="G1179" s="125">
        <f t="shared" ref="G1179:Q1179" si="859">F1179+G1112</f>
        <v>0</v>
      </c>
      <c r="H1179" s="125">
        <f t="shared" si="859"/>
        <v>0</v>
      </c>
      <c r="I1179" s="125">
        <f t="shared" si="859"/>
        <v>0</v>
      </c>
      <c r="J1179" s="125">
        <f t="shared" si="859"/>
        <v>0</v>
      </c>
      <c r="K1179" s="125">
        <f t="shared" si="859"/>
        <v>0</v>
      </c>
      <c r="L1179" s="125">
        <f t="shared" si="859"/>
        <v>0</v>
      </c>
      <c r="M1179" s="125">
        <f t="shared" si="859"/>
        <v>0</v>
      </c>
      <c r="N1179" s="125">
        <f t="shared" si="859"/>
        <v>0</v>
      </c>
      <c r="O1179" s="125">
        <f t="shared" si="859"/>
        <v>0</v>
      </c>
      <c r="P1179" s="125">
        <f t="shared" si="859"/>
        <v>0</v>
      </c>
      <c r="Q1179" s="125">
        <f t="shared" si="859"/>
        <v>0</v>
      </c>
    </row>
    <row r="1180" ht="24" customHeight="1" spans="1:17">
      <c r="A1180" s="99" t="s">
        <v>347</v>
      </c>
      <c r="B1180" s="99" t="s">
        <v>299</v>
      </c>
      <c r="C1180" s="99" t="s">
        <v>344</v>
      </c>
      <c r="D1180" s="47" t="s">
        <v>321</v>
      </c>
      <c r="E1180" s="47" t="s">
        <v>93</v>
      </c>
      <c r="F1180" s="126" t="str">
        <f t="shared" ref="F1180:Q1180" si="860">IFERROR(F1175/F1162,"-")</f>
        <v>-</v>
      </c>
      <c r="G1180" s="126" t="str">
        <f t="shared" si="860"/>
        <v>-</v>
      </c>
      <c r="H1180" s="126" t="str">
        <f t="shared" si="860"/>
        <v>-</v>
      </c>
      <c r="I1180" s="126">
        <f t="shared" si="860"/>
        <v>0</v>
      </c>
      <c r="J1180" s="126">
        <f t="shared" si="860"/>
        <v>0.774977254997903</v>
      </c>
      <c r="K1180" s="126">
        <f t="shared" si="860"/>
        <v>0.774977254997903</v>
      </c>
      <c r="L1180" s="126">
        <f t="shared" si="860"/>
        <v>0.448772759249036</v>
      </c>
      <c r="M1180" s="126">
        <f t="shared" si="860"/>
        <v>0.448772759249036</v>
      </c>
      <c r="N1180" s="126">
        <f t="shared" si="860"/>
        <v>0.448772759249036</v>
      </c>
      <c r="O1180" s="126">
        <f t="shared" si="860"/>
        <v>0.448772759249036</v>
      </c>
      <c r="P1180" s="126">
        <f t="shared" si="860"/>
        <v>0.566077135678815</v>
      </c>
      <c r="Q1180" s="126">
        <f t="shared" si="860"/>
        <v>0.566077135678815</v>
      </c>
    </row>
    <row r="1181" ht="24" customHeight="1" spans="1:17">
      <c r="A1181" s="99" t="s">
        <v>347</v>
      </c>
      <c r="B1181" s="99" t="s">
        <v>299</v>
      </c>
      <c r="C1181" s="99" t="s">
        <v>344</v>
      </c>
      <c r="D1181" s="47" t="s">
        <v>321</v>
      </c>
      <c r="E1181" s="47" t="s">
        <v>85</v>
      </c>
      <c r="F1181" s="126" t="str">
        <f t="shared" ref="F1181:Q1181" si="861">IFERROR(F1176/F1162,"-")</f>
        <v>-</v>
      </c>
      <c r="G1181" s="126" t="str">
        <f t="shared" si="861"/>
        <v>-</v>
      </c>
      <c r="H1181" s="126" t="str">
        <f t="shared" si="861"/>
        <v>-</v>
      </c>
      <c r="I1181" s="126">
        <f t="shared" si="861"/>
        <v>0</v>
      </c>
      <c r="J1181" s="126">
        <f t="shared" si="861"/>
        <v>0</v>
      </c>
      <c r="K1181" s="126">
        <f t="shared" si="861"/>
        <v>0</v>
      </c>
      <c r="L1181" s="126">
        <f t="shared" si="861"/>
        <v>0</v>
      </c>
      <c r="M1181" s="126">
        <f t="shared" si="861"/>
        <v>0</v>
      </c>
      <c r="N1181" s="126">
        <f t="shared" si="861"/>
        <v>0</v>
      </c>
      <c r="O1181" s="126">
        <f t="shared" si="861"/>
        <v>0</v>
      </c>
      <c r="P1181" s="126">
        <f t="shared" si="861"/>
        <v>0</v>
      </c>
      <c r="Q1181" s="126">
        <f t="shared" si="861"/>
        <v>0</v>
      </c>
    </row>
    <row r="1182" ht="24" customHeight="1" spans="1:17">
      <c r="A1182" s="99" t="s">
        <v>347</v>
      </c>
      <c r="B1182" s="99" t="s">
        <v>299</v>
      </c>
      <c r="C1182" s="99" t="s">
        <v>344</v>
      </c>
      <c r="D1182" s="47" t="s">
        <v>321</v>
      </c>
      <c r="E1182" s="47" t="s">
        <v>81</v>
      </c>
      <c r="F1182" s="126" t="str">
        <f t="shared" ref="F1182:Q1182" si="862">IFERROR(F1177/F1162,"-")</f>
        <v>-</v>
      </c>
      <c r="G1182" s="126" t="str">
        <f t="shared" si="862"/>
        <v>-</v>
      </c>
      <c r="H1182" s="126" t="str">
        <f t="shared" si="862"/>
        <v>-</v>
      </c>
      <c r="I1182" s="126">
        <f t="shared" si="862"/>
        <v>1</v>
      </c>
      <c r="J1182" s="126">
        <f t="shared" si="862"/>
        <v>0.225022745002097</v>
      </c>
      <c r="K1182" s="126">
        <f t="shared" si="862"/>
        <v>0.225022745002097</v>
      </c>
      <c r="L1182" s="126">
        <f t="shared" si="862"/>
        <v>0.130305860613492</v>
      </c>
      <c r="M1182" s="126">
        <f t="shared" si="862"/>
        <v>0.130305860613492</v>
      </c>
      <c r="N1182" s="126">
        <f t="shared" si="862"/>
        <v>0.130305860613492</v>
      </c>
      <c r="O1182" s="126">
        <f t="shared" si="862"/>
        <v>0.130305860613492</v>
      </c>
      <c r="P1182" s="126">
        <f t="shared" si="862"/>
        <v>0.102576012386857</v>
      </c>
      <c r="Q1182" s="126">
        <f t="shared" si="862"/>
        <v>0.102576012386857</v>
      </c>
    </row>
    <row r="1183" ht="24" customHeight="1" spans="1:17">
      <c r="A1183" s="99" t="s">
        <v>347</v>
      </c>
      <c r="B1183" s="99" t="s">
        <v>299</v>
      </c>
      <c r="C1183" s="99" t="s">
        <v>344</v>
      </c>
      <c r="D1183" s="47" t="s">
        <v>321</v>
      </c>
      <c r="E1183" s="47" t="s">
        <v>96</v>
      </c>
      <c r="F1183" s="126" t="str">
        <f t="shared" ref="F1183:Q1183" si="863">IFERROR(F1178/F1162,"-")</f>
        <v>-</v>
      </c>
      <c r="G1183" s="126" t="str">
        <f t="shared" si="863"/>
        <v>-</v>
      </c>
      <c r="H1183" s="126" t="str">
        <f t="shared" si="863"/>
        <v>-</v>
      </c>
      <c r="I1183" s="126">
        <f t="shared" si="863"/>
        <v>0</v>
      </c>
      <c r="J1183" s="126">
        <f t="shared" si="863"/>
        <v>0</v>
      </c>
      <c r="K1183" s="126">
        <f t="shared" si="863"/>
        <v>0</v>
      </c>
      <c r="L1183" s="126">
        <f t="shared" si="863"/>
        <v>0.420921380137471</v>
      </c>
      <c r="M1183" s="126">
        <f t="shared" si="863"/>
        <v>0.420921380137471</v>
      </c>
      <c r="N1183" s="126">
        <f t="shared" si="863"/>
        <v>0.420921380137471</v>
      </c>
      <c r="O1183" s="126">
        <f t="shared" si="863"/>
        <v>0.420921380137471</v>
      </c>
      <c r="P1183" s="126">
        <f t="shared" si="863"/>
        <v>0.331346851934329</v>
      </c>
      <c r="Q1183" s="126">
        <f t="shared" si="863"/>
        <v>0.331346851934329</v>
      </c>
    </row>
    <row r="1184" ht="24" customHeight="1" spans="1:17">
      <c r="A1184" s="99" t="s">
        <v>347</v>
      </c>
      <c r="B1184" s="99" t="s">
        <v>299</v>
      </c>
      <c r="C1184" s="99" t="s">
        <v>344</v>
      </c>
      <c r="D1184" s="47" t="s">
        <v>321</v>
      </c>
      <c r="E1184" s="47" t="s">
        <v>160</v>
      </c>
      <c r="F1184" s="126" t="str">
        <f t="shared" ref="F1184:Q1184" si="864">IFERROR(F1179/F1162,"-")</f>
        <v>-</v>
      </c>
      <c r="G1184" s="126" t="str">
        <f t="shared" si="864"/>
        <v>-</v>
      </c>
      <c r="H1184" s="126" t="str">
        <f t="shared" si="864"/>
        <v>-</v>
      </c>
      <c r="I1184" s="126">
        <f t="shared" si="864"/>
        <v>0</v>
      </c>
      <c r="J1184" s="126">
        <f t="shared" si="864"/>
        <v>0</v>
      </c>
      <c r="K1184" s="126">
        <f t="shared" si="864"/>
        <v>0</v>
      </c>
      <c r="L1184" s="126">
        <f t="shared" si="864"/>
        <v>0</v>
      </c>
      <c r="M1184" s="126">
        <f t="shared" si="864"/>
        <v>0</v>
      </c>
      <c r="N1184" s="126">
        <f t="shared" si="864"/>
        <v>0</v>
      </c>
      <c r="O1184" s="126">
        <f t="shared" si="864"/>
        <v>0</v>
      </c>
      <c r="P1184" s="126">
        <f t="shared" si="864"/>
        <v>0</v>
      </c>
      <c r="Q1184" s="126">
        <f t="shared" si="864"/>
        <v>0</v>
      </c>
    </row>
    <row r="1185" ht="24" customHeight="1" spans="1:17">
      <c r="A1185" s="99" t="s">
        <v>347</v>
      </c>
      <c r="B1185" s="99" t="s">
        <v>299</v>
      </c>
      <c r="C1185" s="99" t="s">
        <v>343</v>
      </c>
      <c r="D1185" s="114" t="s">
        <v>292</v>
      </c>
      <c r="E1185" s="53" t="s">
        <v>326</v>
      </c>
      <c r="F1185" s="123">
        <f t="shared" ref="F1185:F1210" si="865">F1113</f>
        <v>0</v>
      </c>
      <c r="G1185" s="123">
        <f t="shared" ref="G1185:Q1185" si="866">F1185+G1113</f>
        <v>0</v>
      </c>
      <c r="H1185" s="123">
        <f t="shared" si="866"/>
        <v>0</v>
      </c>
      <c r="I1185" s="123">
        <f t="shared" si="866"/>
        <v>0.0138210000000001</v>
      </c>
      <c r="J1185" s="123">
        <f t="shared" si="866"/>
        <v>0.0138210000000001</v>
      </c>
      <c r="K1185" s="123">
        <f t="shared" si="866"/>
        <v>0.0138210000000001</v>
      </c>
      <c r="L1185" s="123">
        <f t="shared" si="866"/>
        <v>0.0186280000000001</v>
      </c>
      <c r="M1185" s="123">
        <f t="shared" si="866"/>
        <v>0.0186280000000001</v>
      </c>
      <c r="N1185" s="123">
        <f t="shared" si="866"/>
        <v>0.0186280000000001</v>
      </c>
      <c r="O1185" s="123">
        <f t="shared" si="866"/>
        <v>0.0186280000000001</v>
      </c>
      <c r="P1185" s="123">
        <f t="shared" si="866"/>
        <v>0.0186280000000001</v>
      </c>
      <c r="Q1185" s="123">
        <f t="shared" si="866"/>
        <v>0.0186280000000001</v>
      </c>
    </row>
    <row r="1186" ht="24" customHeight="1" spans="1:17">
      <c r="A1186" s="99" t="s">
        <v>347</v>
      </c>
      <c r="B1186" s="99" t="s">
        <v>299</v>
      </c>
      <c r="C1186" s="99" t="s">
        <v>343</v>
      </c>
      <c r="D1186" s="114" t="s">
        <v>292</v>
      </c>
      <c r="E1186" s="53" t="s">
        <v>327</v>
      </c>
      <c r="F1186" s="123">
        <f t="shared" si="865"/>
        <v>0</v>
      </c>
      <c r="G1186" s="123">
        <f t="shared" ref="G1186:Q1186" si="867">F1186+G1114</f>
        <v>0</v>
      </c>
      <c r="H1186" s="123">
        <f t="shared" si="867"/>
        <v>0</v>
      </c>
      <c r="I1186" s="123">
        <f t="shared" si="867"/>
        <v>0</v>
      </c>
      <c r="J1186" s="123">
        <f t="shared" si="867"/>
        <v>0.00930200000000004</v>
      </c>
      <c r="K1186" s="123">
        <f t="shared" si="867"/>
        <v>0.00930200000000004</v>
      </c>
      <c r="L1186" s="123">
        <f t="shared" si="867"/>
        <v>0.00930200000000004</v>
      </c>
      <c r="M1186" s="123">
        <f t="shared" si="867"/>
        <v>0.00930200000000004</v>
      </c>
      <c r="N1186" s="123">
        <f t="shared" si="867"/>
        <v>0.00930200000000004</v>
      </c>
      <c r="O1186" s="123">
        <f t="shared" si="867"/>
        <v>0.00930200000000004</v>
      </c>
      <c r="P1186" s="123">
        <f t="shared" si="867"/>
        <v>0.00930200000000004</v>
      </c>
      <c r="Q1186" s="123">
        <f t="shared" si="867"/>
        <v>0.00930200000000004</v>
      </c>
    </row>
    <row r="1187" ht="24" customHeight="1" spans="1:17">
      <c r="A1187" s="99" t="s">
        <v>347</v>
      </c>
      <c r="B1187" s="99" t="s">
        <v>299</v>
      </c>
      <c r="C1187" s="99" t="s">
        <v>343</v>
      </c>
      <c r="D1187" s="114" t="s">
        <v>292</v>
      </c>
      <c r="E1187" s="53" t="s">
        <v>328</v>
      </c>
      <c r="F1187" s="123">
        <f t="shared" si="865"/>
        <v>0</v>
      </c>
      <c r="G1187" s="123">
        <f t="shared" ref="G1187:Q1187" si="868">F1187+G1115</f>
        <v>0</v>
      </c>
      <c r="H1187" s="123">
        <f t="shared" si="868"/>
        <v>0</v>
      </c>
      <c r="I1187" s="123">
        <f t="shared" si="868"/>
        <v>0</v>
      </c>
      <c r="J1187" s="123">
        <f t="shared" si="868"/>
        <v>0</v>
      </c>
      <c r="K1187" s="123">
        <f t="shared" si="868"/>
        <v>0</v>
      </c>
      <c r="L1187" s="123">
        <f t="shared" si="868"/>
        <v>0</v>
      </c>
      <c r="M1187" s="123">
        <f t="shared" si="868"/>
        <v>0</v>
      </c>
      <c r="N1187" s="123">
        <f t="shared" si="868"/>
        <v>0</v>
      </c>
      <c r="O1187" s="123">
        <f t="shared" si="868"/>
        <v>0</v>
      </c>
      <c r="P1187" s="123">
        <f t="shared" si="868"/>
        <v>0</v>
      </c>
      <c r="Q1187" s="123">
        <f t="shared" si="868"/>
        <v>0</v>
      </c>
    </row>
    <row r="1188" ht="24" customHeight="1" spans="1:17">
      <c r="A1188" s="99" t="s">
        <v>347</v>
      </c>
      <c r="B1188" s="99" t="s">
        <v>299</v>
      </c>
      <c r="C1188" s="99" t="s">
        <v>343</v>
      </c>
      <c r="D1188" s="53" t="s">
        <v>326</v>
      </c>
      <c r="E1188" s="53" t="s">
        <v>93</v>
      </c>
      <c r="F1188" s="123">
        <f t="shared" si="865"/>
        <v>0</v>
      </c>
      <c r="G1188" s="123">
        <f t="shared" ref="G1188:Q1188" si="869">F1188+G1116</f>
        <v>0</v>
      </c>
      <c r="H1188" s="123">
        <f t="shared" si="869"/>
        <v>0</v>
      </c>
      <c r="I1188" s="123">
        <f t="shared" si="869"/>
        <v>0</v>
      </c>
      <c r="J1188" s="123">
        <f t="shared" si="869"/>
        <v>0</v>
      </c>
      <c r="K1188" s="123">
        <f t="shared" si="869"/>
        <v>0</v>
      </c>
      <c r="L1188" s="123">
        <f t="shared" si="869"/>
        <v>0</v>
      </c>
      <c r="M1188" s="123">
        <f t="shared" si="869"/>
        <v>0</v>
      </c>
      <c r="N1188" s="123">
        <f t="shared" si="869"/>
        <v>0</v>
      </c>
      <c r="O1188" s="123">
        <f t="shared" si="869"/>
        <v>0</v>
      </c>
      <c r="P1188" s="123">
        <f t="shared" si="869"/>
        <v>0</v>
      </c>
      <c r="Q1188" s="123">
        <f t="shared" si="869"/>
        <v>0</v>
      </c>
    </row>
    <row r="1189" ht="24" customHeight="1" spans="1:17">
      <c r="A1189" s="99" t="s">
        <v>347</v>
      </c>
      <c r="B1189" s="99" t="s">
        <v>299</v>
      </c>
      <c r="C1189" s="99" t="s">
        <v>343</v>
      </c>
      <c r="D1189" s="53" t="s">
        <v>326</v>
      </c>
      <c r="E1189" s="53" t="s">
        <v>85</v>
      </c>
      <c r="F1189" s="123">
        <f t="shared" si="865"/>
        <v>0</v>
      </c>
      <c r="G1189" s="123">
        <f t="shared" ref="G1189:Q1189" si="870">F1189+G1117</f>
        <v>0</v>
      </c>
      <c r="H1189" s="123">
        <f t="shared" si="870"/>
        <v>0</v>
      </c>
      <c r="I1189" s="123">
        <f t="shared" si="870"/>
        <v>0</v>
      </c>
      <c r="J1189" s="123">
        <f t="shared" si="870"/>
        <v>0</v>
      </c>
      <c r="K1189" s="123">
        <f t="shared" si="870"/>
        <v>0</v>
      </c>
      <c r="L1189" s="123">
        <f t="shared" si="870"/>
        <v>0</v>
      </c>
      <c r="M1189" s="123">
        <f t="shared" si="870"/>
        <v>0</v>
      </c>
      <c r="N1189" s="123">
        <f t="shared" si="870"/>
        <v>0</v>
      </c>
      <c r="O1189" s="123">
        <f t="shared" si="870"/>
        <v>0</v>
      </c>
      <c r="P1189" s="123">
        <f t="shared" si="870"/>
        <v>0</v>
      </c>
      <c r="Q1189" s="123">
        <f t="shared" si="870"/>
        <v>0</v>
      </c>
    </row>
    <row r="1190" ht="24" customHeight="1" spans="1:17">
      <c r="A1190" s="99" t="s">
        <v>347</v>
      </c>
      <c r="B1190" s="99" t="s">
        <v>299</v>
      </c>
      <c r="C1190" s="99" t="s">
        <v>343</v>
      </c>
      <c r="D1190" s="53" t="s">
        <v>326</v>
      </c>
      <c r="E1190" s="53" t="s">
        <v>81</v>
      </c>
      <c r="F1190" s="123">
        <f t="shared" si="865"/>
        <v>0</v>
      </c>
      <c r="G1190" s="123">
        <f t="shared" ref="G1190:Q1190" si="871">F1190+G1118</f>
        <v>0</v>
      </c>
      <c r="H1190" s="123">
        <f t="shared" si="871"/>
        <v>0</v>
      </c>
      <c r="I1190" s="123">
        <f t="shared" si="871"/>
        <v>0.0138210000000001</v>
      </c>
      <c r="J1190" s="123">
        <f t="shared" si="871"/>
        <v>0.0138210000000001</v>
      </c>
      <c r="K1190" s="123">
        <f t="shared" si="871"/>
        <v>0.0138210000000001</v>
      </c>
      <c r="L1190" s="123">
        <f t="shared" si="871"/>
        <v>0.0138210000000001</v>
      </c>
      <c r="M1190" s="123">
        <f t="shared" si="871"/>
        <v>0.0138210000000001</v>
      </c>
      <c r="N1190" s="123">
        <f t="shared" si="871"/>
        <v>0.0138210000000001</v>
      </c>
      <c r="O1190" s="123">
        <f t="shared" si="871"/>
        <v>0.0138210000000001</v>
      </c>
      <c r="P1190" s="123">
        <f t="shared" si="871"/>
        <v>0.0138210000000001</v>
      </c>
      <c r="Q1190" s="123">
        <f t="shared" si="871"/>
        <v>0.0138210000000001</v>
      </c>
    </row>
    <row r="1191" ht="24" customHeight="1" spans="1:17">
      <c r="A1191" s="99" t="s">
        <v>347</v>
      </c>
      <c r="B1191" s="99" t="s">
        <v>299</v>
      </c>
      <c r="C1191" s="99" t="s">
        <v>343</v>
      </c>
      <c r="D1191" s="53" t="s">
        <v>326</v>
      </c>
      <c r="E1191" s="53" t="s">
        <v>96</v>
      </c>
      <c r="F1191" s="123">
        <f t="shared" si="865"/>
        <v>0</v>
      </c>
      <c r="G1191" s="123">
        <f t="shared" ref="G1191:Q1191" si="872">F1191+G1119</f>
        <v>0</v>
      </c>
      <c r="H1191" s="123">
        <f t="shared" si="872"/>
        <v>0</v>
      </c>
      <c r="I1191" s="123">
        <f t="shared" si="872"/>
        <v>0</v>
      </c>
      <c r="J1191" s="123">
        <f t="shared" si="872"/>
        <v>0</v>
      </c>
      <c r="K1191" s="123">
        <f t="shared" si="872"/>
        <v>0</v>
      </c>
      <c r="L1191" s="123">
        <f t="shared" si="872"/>
        <v>0.00480699999999997</v>
      </c>
      <c r="M1191" s="123">
        <f t="shared" si="872"/>
        <v>0.00480699999999997</v>
      </c>
      <c r="N1191" s="123">
        <f t="shared" si="872"/>
        <v>0.00480699999999997</v>
      </c>
      <c r="O1191" s="123">
        <f t="shared" si="872"/>
        <v>0.00480699999999997</v>
      </c>
      <c r="P1191" s="123">
        <f t="shared" si="872"/>
        <v>0.00480699999999997</v>
      </c>
      <c r="Q1191" s="123">
        <f t="shared" si="872"/>
        <v>0.00480699999999997</v>
      </c>
    </row>
    <row r="1192" ht="24" customHeight="1" spans="1:17">
      <c r="A1192" s="99" t="s">
        <v>347</v>
      </c>
      <c r="B1192" s="99" t="s">
        <v>299</v>
      </c>
      <c r="C1192" s="99" t="s">
        <v>343</v>
      </c>
      <c r="D1192" s="53" t="s">
        <v>326</v>
      </c>
      <c r="E1192" s="53" t="s">
        <v>160</v>
      </c>
      <c r="F1192" s="123">
        <f t="shared" si="865"/>
        <v>0</v>
      </c>
      <c r="G1192" s="123">
        <f t="shared" ref="G1192:Q1192" si="873">F1192+G1120</f>
        <v>0</v>
      </c>
      <c r="H1192" s="123">
        <f t="shared" si="873"/>
        <v>0</v>
      </c>
      <c r="I1192" s="123">
        <f t="shared" si="873"/>
        <v>0</v>
      </c>
      <c r="J1192" s="123">
        <f t="shared" si="873"/>
        <v>0</v>
      </c>
      <c r="K1192" s="123">
        <f t="shared" si="873"/>
        <v>0</v>
      </c>
      <c r="L1192" s="123">
        <f t="shared" si="873"/>
        <v>0</v>
      </c>
      <c r="M1192" s="123">
        <f t="shared" si="873"/>
        <v>0</v>
      </c>
      <c r="N1192" s="123">
        <f t="shared" si="873"/>
        <v>0</v>
      </c>
      <c r="O1192" s="123">
        <f t="shared" si="873"/>
        <v>0</v>
      </c>
      <c r="P1192" s="123">
        <f t="shared" si="873"/>
        <v>0</v>
      </c>
      <c r="Q1192" s="123">
        <f t="shared" si="873"/>
        <v>0</v>
      </c>
    </row>
    <row r="1193" ht="24" customHeight="1" spans="1:17">
      <c r="A1193" s="99" t="s">
        <v>347</v>
      </c>
      <c r="B1193" s="99" t="s">
        <v>299</v>
      </c>
      <c r="C1193" s="99" t="s">
        <v>343</v>
      </c>
      <c r="D1193" s="53" t="s">
        <v>327</v>
      </c>
      <c r="E1193" s="53" t="s">
        <v>93</v>
      </c>
      <c r="F1193" s="123">
        <f t="shared" si="865"/>
        <v>0</v>
      </c>
      <c r="G1193" s="123">
        <f t="shared" ref="G1193:Q1193" si="874">F1193+G1121</f>
        <v>0</v>
      </c>
      <c r="H1193" s="123">
        <f t="shared" si="874"/>
        <v>0</v>
      </c>
      <c r="I1193" s="123">
        <f t="shared" si="874"/>
        <v>0</v>
      </c>
      <c r="J1193" s="123">
        <f t="shared" si="874"/>
        <v>0.00930200000000004</v>
      </c>
      <c r="K1193" s="123">
        <f t="shared" si="874"/>
        <v>0.00930200000000004</v>
      </c>
      <c r="L1193" s="123">
        <f t="shared" si="874"/>
        <v>0.00930200000000004</v>
      </c>
      <c r="M1193" s="123">
        <f t="shared" si="874"/>
        <v>0.00930200000000004</v>
      </c>
      <c r="N1193" s="123">
        <f t="shared" si="874"/>
        <v>0.00930200000000004</v>
      </c>
      <c r="O1193" s="123">
        <f t="shared" si="874"/>
        <v>0.00930200000000004</v>
      </c>
      <c r="P1193" s="123">
        <f t="shared" si="874"/>
        <v>0.00930200000000004</v>
      </c>
      <c r="Q1193" s="123">
        <f t="shared" si="874"/>
        <v>0.00930200000000004</v>
      </c>
    </row>
    <row r="1194" ht="24" customHeight="1" spans="1:17">
      <c r="A1194" s="99" t="s">
        <v>347</v>
      </c>
      <c r="B1194" s="99" t="s">
        <v>299</v>
      </c>
      <c r="C1194" s="99" t="s">
        <v>343</v>
      </c>
      <c r="D1194" s="53" t="s">
        <v>327</v>
      </c>
      <c r="E1194" s="53" t="s">
        <v>85</v>
      </c>
      <c r="F1194" s="123">
        <f t="shared" si="865"/>
        <v>0</v>
      </c>
      <c r="G1194" s="123">
        <f t="shared" ref="G1194:Q1194" si="875">F1194+G1122</f>
        <v>0</v>
      </c>
      <c r="H1194" s="123">
        <f t="shared" si="875"/>
        <v>0</v>
      </c>
      <c r="I1194" s="123">
        <f t="shared" si="875"/>
        <v>0</v>
      </c>
      <c r="J1194" s="123">
        <f t="shared" si="875"/>
        <v>0</v>
      </c>
      <c r="K1194" s="123">
        <f t="shared" si="875"/>
        <v>0</v>
      </c>
      <c r="L1194" s="123">
        <f t="shared" si="875"/>
        <v>0</v>
      </c>
      <c r="M1194" s="123">
        <f t="shared" si="875"/>
        <v>0</v>
      </c>
      <c r="N1194" s="123">
        <f t="shared" si="875"/>
        <v>0</v>
      </c>
      <c r="O1194" s="123">
        <f t="shared" si="875"/>
        <v>0</v>
      </c>
      <c r="P1194" s="123">
        <f t="shared" si="875"/>
        <v>0</v>
      </c>
      <c r="Q1194" s="123">
        <f t="shared" si="875"/>
        <v>0</v>
      </c>
    </row>
    <row r="1195" ht="24" customHeight="1" spans="1:17">
      <c r="A1195" s="99" t="s">
        <v>347</v>
      </c>
      <c r="B1195" s="99" t="s">
        <v>299</v>
      </c>
      <c r="C1195" s="99" t="s">
        <v>343</v>
      </c>
      <c r="D1195" s="53" t="s">
        <v>327</v>
      </c>
      <c r="E1195" s="53" t="s">
        <v>81</v>
      </c>
      <c r="F1195" s="123">
        <f t="shared" si="865"/>
        <v>0</v>
      </c>
      <c r="G1195" s="123">
        <f t="shared" ref="G1195:Q1195" si="876">F1195+G1123</f>
        <v>0</v>
      </c>
      <c r="H1195" s="123">
        <f t="shared" si="876"/>
        <v>0</v>
      </c>
      <c r="I1195" s="123">
        <f t="shared" si="876"/>
        <v>0</v>
      </c>
      <c r="J1195" s="123">
        <f t="shared" si="876"/>
        <v>0</v>
      </c>
      <c r="K1195" s="123">
        <f t="shared" si="876"/>
        <v>0</v>
      </c>
      <c r="L1195" s="123">
        <f t="shared" si="876"/>
        <v>0</v>
      </c>
      <c r="M1195" s="123">
        <f t="shared" si="876"/>
        <v>0</v>
      </c>
      <c r="N1195" s="123">
        <f t="shared" si="876"/>
        <v>0</v>
      </c>
      <c r="O1195" s="123">
        <f t="shared" si="876"/>
        <v>0</v>
      </c>
      <c r="P1195" s="123">
        <f t="shared" si="876"/>
        <v>0</v>
      </c>
      <c r="Q1195" s="123">
        <f t="shared" si="876"/>
        <v>0</v>
      </c>
    </row>
    <row r="1196" ht="24" customHeight="1" spans="1:17">
      <c r="A1196" s="99" t="s">
        <v>347</v>
      </c>
      <c r="B1196" s="99" t="s">
        <v>299</v>
      </c>
      <c r="C1196" s="99" t="s">
        <v>343</v>
      </c>
      <c r="D1196" s="53" t="s">
        <v>327</v>
      </c>
      <c r="E1196" s="53" t="s">
        <v>96</v>
      </c>
      <c r="F1196" s="123">
        <f t="shared" si="865"/>
        <v>0</v>
      </c>
      <c r="G1196" s="123">
        <f t="shared" ref="G1196:Q1196" si="877">F1196+G1124</f>
        <v>0</v>
      </c>
      <c r="H1196" s="123">
        <f t="shared" si="877"/>
        <v>0</v>
      </c>
      <c r="I1196" s="123">
        <f t="shared" si="877"/>
        <v>0</v>
      </c>
      <c r="J1196" s="123">
        <f t="shared" si="877"/>
        <v>0</v>
      </c>
      <c r="K1196" s="123">
        <f t="shared" si="877"/>
        <v>0</v>
      </c>
      <c r="L1196" s="123">
        <f t="shared" si="877"/>
        <v>0</v>
      </c>
      <c r="M1196" s="123">
        <f t="shared" si="877"/>
        <v>0</v>
      </c>
      <c r="N1196" s="123">
        <f t="shared" si="877"/>
        <v>0</v>
      </c>
      <c r="O1196" s="123">
        <f t="shared" si="877"/>
        <v>0</v>
      </c>
      <c r="P1196" s="123">
        <f t="shared" si="877"/>
        <v>0</v>
      </c>
      <c r="Q1196" s="123">
        <f t="shared" si="877"/>
        <v>0</v>
      </c>
    </row>
    <row r="1197" ht="24" customHeight="1" spans="1:17">
      <c r="A1197" s="99" t="s">
        <v>347</v>
      </c>
      <c r="B1197" s="99" t="s">
        <v>299</v>
      </c>
      <c r="C1197" s="99" t="s">
        <v>343</v>
      </c>
      <c r="D1197" s="53" t="s">
        <v>327</v>
      </c>
      <c r="E1197" s="53" t="s">
        <v>160</v>
      </c>
      <c r="F1197" s="123">
        <f t="shared" si="865"/>
        <v>0</v>
      </c>
      <c r="G1197" s="123">
        <f t="shared" ref="G1197:Q1197" si="878">F1197+G1125</f>
        <v>0</v>
      </c>
      <c r="H1197" s="123">
        <f t="shared" si="878"/>
        <v>0</v>
      </c>
      <c r="I1197" s="123">
        <f t="shared" si="878"/>
        <v>0</v>
      </c>
      <c r="J1197" s="123">
        <f t="shared" si="878"/>
        <v>0</v>
      </c>
      <c r="K1197" s="123">
        <f t="shared" si="878"/>
        <v>0</v>
      </c>
      <c r="L1197" s="123">
        <f t="shared" si="878"/>
        <v>0</v>
      </c>
      <c r="M1197" s="123">
        <f t="shared" si="878"/>
        <v>0</v>
      </c>
      <c r="N1197" s="123">
        <f t="shared" si="878"/>
        <v>0</v>
      </c>
      <c r="O1197" s="123">
        <f t="shared" si="878"/>
        <v>0</v>
      </c>
      <c r="P1197" s="123">
        <f t="shared" si="878"/>
        <v>0</v>
      </c>
      <c r="Q1197" s="123">
        <f t="shared" si="878"/>
        <v>0</v>
      </c>
    </row>
    <row r="1198" ht="24" customHeight="1" spans="1:17">
      <c r="A1198" s="99" t="s">
        <v>347</v>
      </c>
      <c r="B1198" s="99" t="s">
        <v>299</v>
      </c>
      <c r="C1198" s="99" t="s">
        <v>344</v>
      </c>
      <c r="D1198" s="114" t="s">
        <v>292</v>
      </c>
      <c r="E1198" s="122" t="s">
        <v>326</v>
      </c>
      <c r="F1198" s="124">
        <f t="shared" si="865"/>
        <v>0</v>
      </c>
      <c r="G1198" s="124">
        <f t="shared" ref="G1198:Q1198" si="879">F1198+G1126</f>
        <v>0</v>
      </c>
      <c r="H1198" s="124">
        <f t="shared" si="879"/>
        <v>0</v>
      </c>
      <c r="I1198" s="124">
        <f t="shared" si="879"/>
        <v>0.0138210000000001</v>
      </c>
      <c r="J1198" s="124">
        <f t="shared" si="879"/>
        <v>0.0138210000000001</v>
      </c>
      <c r="K1198" s="124">
        <f t="shared" si="879"/>
        <v>0.0138210000000001</v>
      </c>
      <c r="L1198" s="124">
        <f t="shared" si="879"/>
        <v>0.0186280000000001</v>
      </c>
      <c r="M1198" s="124">
        <f t="shared" si="879"/>
        <v>0.0186280000000001</v>
      </c>
      <c r="N1198" s="124">
        <f t="shared" si="879"/>
        <v>0.0186280000000001</v>
      </c>
      <c r="O1198" s="124">
        <f t="shared" si="879"/>
        <v>0.0186280000000001</v>
      </c>
      <c r="P1198" s="124">
        <f t="shared" si="879"/>
        <v>0.0186280000000001</v>
      </c>
      <c r="Q1198" s="124">
        <f t="shared" si="879"/>
        <v>0.0186280000000001</v>
      </c>
    </row>
    <row r="1199" ht="24" customHeight="1" spans="1:17">
      <c r="A1199" s="99" t="s">
        <v>347</v>
      </c>
      <c r="B1199" s="99" t="s">
        <v>299</v>
      </c>
      <c r="C1199" s="99" t="s">
        <v>344</v>
      </c>
      <c r="D1199" s="114" t="s">
        <v>292</v>
      </c>
      <c r="E1199" s="122" t="s">
        <v>327</v>
      </c>
      <c r="F1199" s="124">
        <f t="shared" si="865"/>
        <v>0</v>
      </c>
      <c r="G1199" s="124">
        <f t="shared" ref="G1199:Q1199" si="880">F1199+G1127</f>
        <v>0</v>
      </c>
      <c r="H1199" s="124">
        <f t="shared" si="880"/>
        <v>0</v>
      </c>
      <c r="I1199" s="124">
        <f t="shared" si="880"/>
        <v>0</v>
      </c>
      <c r="J1199" s="124">
        <f t="shared" si="880"/>
        <v>0.00930200000000004</v>
      </c>
      <c r="K1199" s="124">
        <f t="shared" si="880"/>
        <v>0.00930200000000004</v>
      </c>
      <c r="L1199" s="124">
        <f t="shared" si="880"/>
        <v>0.00930200000000004</v>
      </c>
      <c r="M1199" s="124">
        <f t="shared" si="880"/>
        <v>0.00930200000000004</v>
      </c>
      <c r="N1199" s="124">
        <f t="shared" si="880"/>
        <v>0.00930200000000004</v>
      </c>
      <c r="O1199" s="124">
        <f t="shared" si="880"/>
        <v>0.00930200000000004</v>
      </c>
      <c r="P1199" s="124">
        <f t="shared" si="880"/>
        <v>0.00930200000000004</v>
      </c>
      <c r="Q1199" s="124">
        <f t="shared" si="880"/>
        <v>0.00930200000000004</v>
      </c>
    </row>
    <row r="1200" ht="24" customHeight="1" spans="1:17">
      <c r="A1200" s="99" t="s">
        <v>347</v>
      </c>
      <c r="B1200" s="99" t="s">
        <v>299</v>
      </c>
      <c r="C1200" s="99" t="s">
        <v>344</v>
      </c>
      <c r="D1200" s="114" t="s">
        <v>292</v>
      </c>
      <c r="E1200" s="122" t="s">
        <v>328</v>
      </c>
      <c r="F1200" s="124">
        <f t="shared" si="865"/>
        <v>0</v>
      </c>
      <c r="G1200" s="124">
        <f t="shared" ref="G1200:Q1200" si="881">F1200+G1128</f>
        <v>0</v>
      </c>
      <c r="H1200" s="124">
        <f t="shared" si="881"/>
        <v>0</v>
      </c>
      <c r="I1200" s="124">
        <f t="shared" si="881"/>
        <v>0</v>
      </c>
      <c r="J1200" s="124">
        <f t="shared" si="881"/>
        <v>0</v>
      </c>
      <c r="K1200" s="124">
        <f t="shared" si="881"/>
        <v>0</v>
      </c>
      <c r="L1200" s="124">
        <f t="shared" si="881"/>
        <v>0</v>
      </c>
      <c r="M1200" s="124">
        <f t="shared" si="881"/>
        <v>0</v>
      </c>
      <c r="N1200" s="124">
        <f t="shared" si="881"/>
        <v>0</v>
      </c>
      <c r="O1200" s="124">
        <f t="shared" si="881"/>
        <v>0</v>
      </c>
      <c r="P1200" s="124">
        <f t="shared" si="881"/>
        <v>0</v>
      </c>
      <c r="Q1200" s="124">
        <f t="shared" si="881"/>
        <v>0</v>
      </c>
    </row>
    <row r="1201" ht="24" customHeight="1" spans="1:17">
      <c r="A1201" s="99" t="s">
        <v>347</v>
      </c>
      <c r="B1201" s="99" t="s">
        <v>299</v>
      </c>
      <c r="C1201" s="99" t="s">
        <v>344</v>
      </c>
      <c r="D1201" s="122" t="s">
        <v>326</v>
      </c>
      <c r="E1201" s="122" t="s">
        <v>93</v>
      </c>
      <c r="F1201" s="124">
        <f t="shared" si="865"/>
        <v>0</v>
      </c>
      <c r="G1201" s="124">
        <f t="shared" ref="G1201:Q1201" si="882">F1201+G1129</f>
        <v>0</v>
      </c>
      <c r="H1201" s="124">
        <f t="shared" si="882"/>
        <v>0</v>
      </c>
      <c r="I1201" s="124">
        <f t="shared" si="882"/>
        <v>0</v>
      </c>
      <c r="J1201" s="124">
        <f t="shared" si="882"/>
        <v>0</v>
      </c>
      <c r="K1201" s="124">
        <f t="shared" si="882"/>
        <v>0</v>
      </c>
      <c r="L1201" s="124">
        <f t="shared" si="882"/>
        <v>0</v>
      </c>
      <c r="M1201" s="124">
        <f t="shared" si="882"/>
        <v>0</v>
      </c>
      <c r="N1201" s="124">
        <f t="shared" si="882"/>
        <v>0</v>
      </c>
      <c r="O1201" s="124">
        <f t="shared" si="882"/>
        <v>0</v>
      </c>
      <c r="P1201" s="124">
        <f t="shared" si="882"/>
        <v>0</v>
      </c>
      <c r="Q1201" s="124">
        <f t="shared" si="882"/>
        <v>0</v>
      </c>
    </row>
    <row r="1202" ht="24" customHeight="1" spans="1:17">
      <c r="A1202" s="99" t="s">
        <v>347</v>
      </c>
      <c r="B1202" s="99" t="s">
        <v>299</v>
      </c>
      <c r="C1202" s="99" t="s">
        <v>344</v>
      </c>
      <c r="D1202" s="122" t="s">
        <v>326</v>
      </c>
      <c r="E1202" s="122" t="s">
        <v>85</v>
      </c>
      <c r="F1202" s="124">
        <f t="shared" si="865"/>
        <v>0</v>
      </c>
      <c r="G1202" s="124">
        <f t="shared" ref="G1202:Q1202" si="883">F1202+G1130</f>
        <v>0</v>
      </c>
      <c r="H1202" s="124">
        <f t="shared" si="883"/>
        <v>0</v>
      </c>
      <c r="I1202" s="124">
        <f t="shared" si="883"/>
        <v>0</v>
      </c>
      <c r="J1202" s="124">
        <f t="shared" si="883"/>
        <v>0</v>
      </c>
      <c r="K1202" s="124">
        <f t="shared" si="883"/>
        <v>0</v>
      </c>
      <c r="L1202" s="124">
        <f t="shared" si="883"/>
        <v>0</v>
      </c>
      <c r="M1202" s="124">
        <f t="shared" si="883"/>
        <v>0</v>
      </c>
      <c r="N1202" s="124">
        <f t="shared" si="883"/>
        <v>0</v>
      </c>
      <c r="O1202" s="124">
        <f t="shared" si="883"/>
        <v>0</v>
      </c>
      <c r="P1202" s="124">
        <f t="shared" si="883"/>
        <v>0</v>
      </c>
      <c r="Q1202" s="124">
        <f t="shared" si="883"/>
        <v>0</v>
      </c>
    </row>
    <row r="1203" ht="24" customHeight="1" spans="1:17">
      <c r="A1203" s="99" t="s">
        <v>347</v>
      </c>
      <c r="B1203" s="99" t="s">
        <v>299</v>
      </c>
      <c r="C1203" s="99" t="s">
        <v>344</v>
      </c>
      <c r="D1203" s="122" t="s">
        <v>326</v>
      </c>
      <c r="E1203" s="122" t="s">
        <v>81</v>
      </c>
      <c r="F1203" s="124">
        <f t="shared" si="865"/>
        <v>0</v>
      </c>
      <c r="G1203" s="124">
        <f t="shared" ref="G1203:Q1203" si="884">F1203+G1131</f>
        <v>0</v>
      </c>
      <c r="H1203" s="124">
        <f t="shared" si="884"/>
        <v>0</v>
      </c>
      <c r="I1203" s="124">
        <f t="shared" si="884"/>
        <v>0.0138210000000001</v>
      </c>
      <c r="J1203" s="124">
        <f t="shared" si="884"/>
        <v>0.0138210000000001</v>
      </c>
      <c r="K1203" s="124">
        <f t="shared" si="884"/>
        <v>0.0138210000000001</v>
      </c>
      <c r="L1203" s="124">
        <f t="shared" si="884"/>
        <v>0.0138210000000001</v>
      </c>
      <c r="M1203" s="124">
        <f t="shared" si="884"/>
        <v>0.0138210000000001</v>
      </c>
      <c r="N1203" s="124">
        <f t="shared" si="884"/>
        <v>0.0138210000000001</v>
      </c>
      <c r="O1203" s="124">
        <f t="shared" si="884"/>
        <v>0.0138210000000001</v>
      </c>
      <c r="P1203" s="124">
        <f t="shared" si="884"/>
        <v>0.0138210000000001</v>
      </c>
      <c r="Q1203" s="124">
        <f t="shared" si="884"/>
        <v>0.0138210000000001</v>
      </c>
    </row>
    <row r="1204" ht="24" customHeight="1" spans="1:17">
      <c r="A1204" s="99" t="s">
        <v>347</v>
      </c>
      <c r="B1204" s="99" t="s">
        <v>299</v>
      </c>
      <c r="C1204" s="99" t="s">
        <v>344</v>
      </c>
      <c r="D1204" s="122" t="s">
        <v>326</v>
      </c>
      <c r="E1204" s="122" t="s">
        <v>96</v>
      </c>
      <c r="F1204" s="124">
        <f t="shared" si="865"/>
        <v>0</v>
      </c>
      <c r="G1204" s="124">
        <f t="shared" ref="G1204:Q1204" si="885">F1204+G1132</f>
        <v>0</v>
      </c>
      <c r="H1204" s="124">
        <f t="shared" si="885"/>
        <v>0</v>
      </c>
      <c r="I1204" s="124">
        <f t="shared" si="885"/>
        <v>0</v>
      </c>
      <c r="J1204" s="124">
        <f t="shared" si="885"/>
        <v>0</v>
      </c>
      <c r="K1204" s="124">
        <f t="shared" si="885"/>
        <v>0</v>
      </c>
      <c r="L1204" s="124">
        <f t="shared" si="885"/>
        <v>0.00480699999999997</v>
      </c>
      <c r="M1204" s="124">
        <f t="shared" si="885"/>
        <v>0.00480699999999997</v>
      </c>
      <c r="N1204" s="124">
        <f t="shared" si="885"/>
        <v>0.00480699999999997</v>
      </c>
      <c r="O1204" s="124">
        <f t="shared" si="885"/>
        <v>0.00480699999999997</v>
      </c>
      <c r="P1204" s="124">
        <f t="shared" si="885"/>
        <v>0.00480699999999997</v>
      </c>
      <c r="Q1204" s="124">
        <f t="shared" si="885"/>
        <v>0.00480699999999997</v>
      </c>
    </row>
    <row r="1205" ht="24" customHeight="1" spans="1:17">
      <c r="A1205" s="99" t="s">
        <v>347</v>
      </c>
      <c r="B1205" s="99" t="s">
        <v>299</v>
      </c>
      <c r="C1205" s="99" t="s">
        <v>344</v>
      </c>
      <c r="D1205" s="122" t="s">
        <v>326</v>
      </c>
      <c r="E1205" s="122" t="s">
        <v>160</v>
      </c>
      <c r="F1205" s="124">
        <f t="shared" si="865"/>
        <v>0</v>
      </c>
      <c r="G1205" s="124">
        <f t="shared" ref="G1205:Q1205" si="886">F1205+G1133</f>
        <v>0</v>
      </c>
      <c r="H1205" s="124">
        <f t="shared" si="886"/>
        <v>0</v>
      </c>
      <c r="I1205" s="124">
        <f t="shared" si="886"/>
        <v>0</v>
      </c>
      <c r="J1205" s="124">
        <f t="shared" si="886"/>
        <v>0</v>
      </c>
      <c r="K1205" s="124">
        <f t="shared" si="886"/>
        <v>0</v>
      </c>
      <c r="L1205" s="124">
        <f t="shared" si="886"/>
        <v>0</v>
      </c>
      <c r="M1205" s="124">
        <f t="shared" si="886"/>
        <v>0</v>
      </c>
      <c r="N1205" s="124">
        <f t="shared" si="886"/>
        <v>0</v>
      </c>
      <c r="O1205" s="124">
        <f t="shared" si="886"/>
        <v>0</v>
      </c>
      <c r="P1205" s="124">
        <f t="shared" si="886"/>
        <v>0</v>
      </c>
      <c r="Q1205" s="124">
        <f t="shared" si="886"/>
        <v>0</v>
      </c>
    </row>
    <row r="1206" ht="24" customHeight="1" spans="1:17">
      <c r="A1206" s="99" t="s">
        <v>347</v>
      </c>
      <c r="B1206" s="99" t="s">
        <v>299</v>
      </c>
      <c r="C1206" s="99" t="s">
        <v>344</v>
      </c>
      <c r="D1206" s="122" t="s">
        <v>327</v>
      </c>
      <c r="E1206" s="122" t="s">
        <v>93</v>
      </c>
      <c r="F1206" s="124">
        <f t="shared" si="865"/>
        <v>0</v>
      </c>
      <c r="G1206" s="124">
        <f t="shared" ref="G1206:Q1206" si="887">F1206+G1134</f>
        <v>0</v>
      </c>
      <c r="H1206" s="124">
        <f t="shared" si="887"/>
        <v>0</v>
      </c>
      <c r="I1206" s="124">
        <f t="shared" si="887"/>
        <v>0</v>
      </c>
      <c r="J1206" s="124">
        <f t="shared" si="887"/>
        <v>0.00930200000000004</v>
      </c>
      <c r="K1206" s="124">
        <f t="shared" si="887"/>
        <v>0.00930200000000004</v>
      </c>
      <c r="L1206" s="124">
        <f t="shared" si="887"/>
        <v>0.00930200000000004</v>
      </c>
      <c r="M1206" s="124">
        <f t="shared" si="887"/>
        <v>0.00930200000000004</v>
      </c>
      <c r="N1206" s="124">
        <f t="shared" si="887"/>
        <v>0.00930200000000004</v>
      </c>
      <c r="O1206" s="124">
        <f t="shared" si="887"/>
        <v>0.00930200000000004</v>
      </c>
      <c r="P1206" s="124">
        <f t="shared" si="887"/>
        <v>0.00930200000000004</v>
      </c>
      <c r="Q1206" s="124">
        <f t="shared" si="887"/>
        <v>0.00930200000000004</v>
      </c>
    </row>
    <row r="1207" ht="24" customHeight="1" spans="1:17">
      <c r="A1207" s="99" t="s">
        <v>347</v>
      </c>
      <c r="B1207" s="99" t="s">
        <v>299</v>
      </c>
      <c r="C1207" s="99" t="s">
        <v>344</v>
      </c>
      <c r="D1207" s="122" t="s">
        <v>327</v>
      </c>
      <c r="E1207" s="122" t="s">
        <v>85</v>
      </c>
      <c r="F1207" s="124">
        <f t="shared" si="865"/>
        <v>0</v>
      </c>
      <c r="G1207" s="124">
        <f t="shared" ref="G1207:Q1207" si="888">F1207+G1135</f>
        <v>0</v>
      </c>
      <c r="H1207" s="124">
        <f t="shared" si="888"/>
        <v>0</v>
      </c>
      <c r="I1207" s="124">
        <f t="shared" si="888"/>
        <v>0</v>
      </c>
      <c r="J1207" s="124">
        <f t="shared" si="888"/>
        <v>0</v>
      </c>
      <c r="K1207" s="124">
        <f t="shared" si="888"/>
        <v>0</v>
      </c>
      <c r="L1207" s="124">
        <f t="shared" si="888"/>
        <v>0</v>
      </c>
      <c r="M1207" s="124">
        <f t="shared" si="888"/>
        <v>0</v>
      </c>
      <c r="N1207" s="124">
        <f t="shared" si="888"/>
        <v>0</v>
      </c>
      <c r="O1207" s="124">
        <f t="shared" si="888"/>
        <v>0</v>
      </c>
      <c r="P1207" s="124">
        <f t="shared" si="888"/>
        <v>0</v>
      </c>
      <c r="Q1207" s="124">
        <f t="shared" si="888"/>
        <v>0</v>
      </c>
    </row>
    <row r="1208" ht="24" customHeight="1" spans="1:17">
      <c r="A1208" s="99" t="s">
        <v>347</v>
      </c>
      <c r="B1208" s="99" t="s">
        <v>299</v>
      </c>
      <c r="C1208" s="99" t="s">
        <v>344</v>
      </c>
      <c r="D1208" s="122" t="s">
        <v>327</v>
      </c>
      <c r="E1208" s="122" t="s">
        <v>81</v>
      </c>
      <c r="F1208" s="124">
        <f t="shared" si="865"/>
        <v>0</v>
      </c>
      <c r="G1208" s="124">
        <f t="shared" ref="G1208:Q1208" si="889">F1208+G1136</f>
        <v>0</v>
      </c>
      <c r="H1208" s="124">
        <f t="shared" si="889"/>
        <v>0</v>
      </c>
      <c r="I1208" s="124">
        <f t="shared" si="889"/>
        <v>0</v>
      </c>
      <c r="J1208" s="124">
        <f t="shared" si="889"/>
        <v>0</v>
      </c>
      <c r="K1208" s="124">
        <f t="shared" si="889"/>
        <v>0</v>
      </c>
      <c r="L1208" s="124">
        <f t="shared" si="889"/>
        <v>0</v>
      </c>
      <c r="M1208" s="124">
        <f t="shared" si="889"/>
        <v>0</v>
      </c>
      <c r="N1208" s="124">
        <f t="shared" si="889"/>
        <v>0</v>
      </c>
      <c r="O1208" s="124">
        <f t="shared" si="889"/>
        <v>0</v>
      </c>
      <c r="P1208" s="124">
        <f t="shared" si="889"/>
        <v>0</v>
      </c>
      <c r="Q1208" s="124">
        <f t="shared" si="889"/>
        <v>0</v>
      </c>
    </row>
    <row r="1209" ht="24" customHeight="1" spans="1:17">
      <c r="A1209" s="99" t="s">
        <v>347</v>
      </c>
      <c r="B1209" s="99" t="s">
        <v>299</v>
      </c>
      <c r="C1209" s="99" t="s">
        <v>344</v>
      </c>
      <c r="D1209" s="122" t="s">
        <v>327</v>
      </c>
      <c r="E1209" s="122" t="s">
        <v>96</v>
      </c>
      <c r="F1209" s="124">
        <f t="shared" si="865"/>
        <v>0</v>
      </c>
      <c r="G1209" s="124">
        <f t="shared" ref="G1209:Q1209" si="890">F1209+G1137</f>
        <v>0</v>
      </c>
      <c r="H1209" s="124">
        <f t="shared" si="890"/>
        <v>0</v>
      </c>
      <c r="I1209" s="124">
        <f t="shared" si="890"/>
        <v>0</v>
      </c>
      <c r="J1209" s="124">
        <f t="shared" si="890"/>
        <v>0</v>
      </c>
      <c r="K1209" s="124">
        <f t="shared" si="890"/>
        <v>0</v>
      </c>
      <c r="L1209" s="124">
        <f t="shared" si="890"/>
        <v>0</v>
      </c>
      <c r="M1209" s="124">
        <f t="shared" si="890"/>
        <v>0</v>
      </c>
      <c r="N1209" s="124">
        <f t="shared" si="890"/>
        <v>0</v>
      </c>
      <c r="O1209" s="124">
        <f t="shared" si="890"/>
        <v>0</v>
      </c>
      <c r="P1209" s="124">
        <f t="shared" si="890"/>
        <v>0</v>
      </c>
      <c r="Q1209" s="124">
        <f t="shared" si="890"/>
        <v>0</v>
      </c>
    </row>
    <row r="1210" ht="24" customHeight="1" spans="1:17">
      <c r="A1210" s="99" t="s">
        <v>347</v>
      </c>
      <c r="B1210" s="99" t="s">
        <v>299</v>
      </c>
      <c r="C1210" s="99" t="s">
        <v>344</v>
      </c>
      <c r="D1210" s="122" t="s">
        <v>327</v>
      </c>
      <c r="E1210" s="122" t="s">
        <v>160</v>
      </c>
      <c r="F1210" s="124">
        <f t="shared" si="865"/>
        <v>0</v>
      </c>
      <c r="G1210" s="124">
        <f t="shared" ref="G1210:Q1210" si="891">F1210+G1138</f>
        <v>0</v>
      </c>
      <c r="H1210" s="124">
        <f t="shared" si="891"/>
        <v>0</v>
      </c>
      <c r="I1210" s="124">
        <f t="shared" si="891"/>
        <v>0</v>
      </c>
      <c r="J1210" s="124">
        <f t="shared" si="891"/>
        <v>0</v>
      </c>
      <c r="K1210" s="124">
        <f t="shared" si="891"/>
        <v>0</v>
      </c>
      <c r="L1210" s="124">
        <f t="shared" si="891"/>
        <v>0</v>
      </c>
      <c r="M1210" s="124">
        <f t="shared" si="891"/>
        <v>0</v>
      </c>
      <c r="N1210" s="124">
        <f t="shared" si="891"/>
        <v>0</v>
      </c>
      <c r="O1210" s="124">
        <f t="shared" si="891"/>
        <v>0</v>
      </c>
      <c r="P1210" s="124">
        <f t="shared" si="891"/>
        <v>0</v>
      </c>
      <c r="Q1210" s="124">
        <f t="shared" si="891"/>
        <v>0</v>
      </c>
    </row>
    <row r="1211" ht="24" customHeight="1" spans="1:35">
      <c r="A1211" s="99" t="s">
        <v>348</v>
      </c>
      <c r="B1211" s="99" t="s">
        <v>290</v>
      </c>
      <c r="C1211" s="99" t="s">
        <v>291</v>
      </c>
      <c r="D1211" s="100" t="s">
        <v>292</v>
      </c>
      <c r="E1211" s="100" t="s">
        <v>293</v>
      </c>
      <c r="F1211" s="104">
        <f t="shared" ref="F1211:Q1211" si="892">IF((SUM(F1212:F1217)-MAX(F1223,F1227))&lt;0,"ERR",SUM(F1212:F1217))</f>
        <v>5</v>
      </c>
      <c r="G1211" s="104">
        <f t="shared" si="892"/>
        <v>4</v>
      </c>
      <c r="H1211" s="104">
        <f t="shared" si="892"/>
        <v>9</v>
      </c>
      <c r="I1211" s="104">
        <f t="shared" si="892"/>
        <v>4</v>
      </c>
      <c r="J1211" s="104">
        <f t="shared" si="892"/>
        <v>3</v>
      </c>
      <c r="K1211" s="104">
        <f t="shared" si="892"/>
        <v>5</v>
      </c>
      <c r="L1211" s="104">
        <f t="shared" si="892"/>
        <v>3</v>
      </c>
      <c r="M1211" s="104">
        <f t="shared" si="892"/>
        <v>1</v>
      </c>
      <c r="N1211" s="104">
        <f t="shared" si="892"/>
        <v>3</v>
      </c>
      <c r="O1211" s="104">
        <f t="shared" si="892"/>
        <v>5</v>
      </c>
      <c r="P1211" s="104">
        <f t="shared" si="892"/>
        <v>6</v>
      </c>
      <c r="Q1211" s="104">
        <f t="shared" si="892"/>
        <v>1</v>
      </c>
      <c r="S1211" s="108" t="s">
        <v>272</v>
      </c>
      <c r="T1211" s="108" t="s">
        <v>273</v>
      </c>
      <c r="U1211" s="108" t="s">
        <v>274</v>
      </c>
      <c r="V1211" s="98" t="s">
        <v>275</v>
      </c>
      <c r="W1211" s="98" t="s">
        <v>276</v>
      </c>
      <c r="X1211" s="102" t="s">
        <v>277</v>
      </c>
      <c r="Y1211" s="103" t="s">
        <v>278</v>
      </c>
      <c r="Z1211" s="102" t="s">
        <v>279</v>
      </c>
      <c r="AA1211" s="103" t="s">
        <v>280</v>
      </c>
      <c r="AB1211" s="102" t="s">
        <v>281</v>
      </c>
      <c r="AC1211" s="103" t="s">
        <v>282</v>
      </c>
      <c r="AD1211" s="102" t="s">
        <v>283</v>
      </c>
      <c r="AE1211" s="103" t="s">
        <v>284</v>
      </c>
      <c r="AF1211" s="102" t="s">
        <v>285</v>
      </c>
      <c r="AG1211" s="103" t="s">
        <v>286</v>
      </c>
      <c r="AH1211" s="102" t="s">
        <v>287</v>
      </c>
      <c r="AI1211" s="107" t="s">
        <v>288</v>
      </c>
    </row>
    <row r="1212" ht="24" customHeight="1" spans="1:17">
      <c r="A1212" s="99" t="s">
        <v>348</v>
      </c>
      <c r="B1212" s="99" t="s">
        <v>290</v>
      </c>
      <c r="C1212" s="99" t="s">
        <v>291</v>
      </c>
      <c r="D1212" s="48" t="s">
        <v>31</v>
      </c>
      <c r="E1212" s="48" t="s">
        <v>406</v>
      </c>
      <c r="F1212" s="105">
        <f>COUNTIFS('2024数据'!$S$3:$S$152,"&gt;="&amp;DATE(2023,1,1),'2024数据'!$S$3:$S$152,"&lt;="&amp;DATE(2024,1,31),'2024数据'!$AE$3:$AE$152,$E1212)</f>
        <v>2</v>
      </c>
      <c r="G1212" s="105">
        <f>COUNTIFS('2024数据'!$S$3:$S$152,"&gt;="&amp;DATE(2024,2,1),'2024数据'!$S$3:$S$152,"&lt;="&amp;DATE(2024,2,29),'2024数据'!$AE$3:$AE$152,$E1212)</f>
        <v>2</v>
      </c>
      <c r="H1212" s="105">
        <f>COUNTIFS('2024数据'!$S$3:$S$152,"&gt;="&amp;DATE(2024,3,1),'2024数据'!$S$3:$S$152,"&lt;="&amp;DATE(2024,3,31),'2024数据'!$AE$3:$AE$152,$E1212)</f>
        <v>3</v>
      </c>
      <c r="I1212" s="105">
        <f>COUNTIFS('2024数据'!$S$3:$S$152,"&gt;="&amp;DATE(2024,4,1),'2024数据'!$S$3:$S$152,"&lt;="&amp;DATE(2024,4,30),'2024数据'!$AE$3:$AE$152,$E1212)</f>
        <v>1</v>
      </c>
      <c r="J1212" s="105">
        <f>COUNTIFS('2024数据'!$S$3:$S$152,"&gt;="&amp;DATE(2024,5,1),'2024数据'!$S$3:$S$152,"&lt;="&amp;DATE(2024,5,31),'2024数据'!$AE$3:$AE$152,$E1212)</f>
        <v>0</v>
      </c>
      <c r="K1212" s="105">
        <f>COUNTIFS('2024数据'!$S$3:$S$152,"&gt;="&amp;DATE(2024,6,1),'2024数据'!$S$3:$S$152,"&lt;="&amp;DATE(2024,6,30),'2024数据'!$AE$3:$AE$152,$E1212)</f>
        <v>4</v>
      </c>
      <c r="L1212" s="105">
        <f>COUNTIFS('2024数据'!$S$3:$S$152,"&gt;="&amp;DATE(2024,7,1),'2024数据'!$S$3:$S$152,"&lt;="&amp;DATE(2024,7,31),'2024数据'!$AE$3:$AE$152,$E1212)</f>
        <v>0</v>
      </c>
      <c r="M1212" s="105">
        <f>COUNTIFS('2024数据'!$S$3:$S$152,"&gt;="&amp;DATE(2024,8,1),'2024数据'!$S$3:$S$152,"&lt;="&amp;DATE(2024,8,31),'2024数据'!$AE$3:$AE$152,$E1212)</f>
        <v>0</v>
      </c>
      <c r="N1212" s="105">
        <f>COUNTIFS('2024数据'!$S$3:$S$152,"&gt;="&amp;DATE(2024,9,1),'2024数据'!$S$3:$S$152,"&lt;="&amp;DATE(2024,9,30),'2024数据'!$AE$3:$AE$152,$E1212)</f>
        <v>1</v>
      </c>
      <c r="O1212" s="105">
        <f>COUNTIFS('2024数据'!$S$3:$S$152,"&gt;="&amp;DATE(2024,10,1),'2024数据'!$S$3:$S$152,"&lt;="&amp;DATE(2024,10,31),'2024数据'!$AE$3:$AE$152,$E1212)</f>
        <v>0</v>
      </c>
      <c r="P1212" s="105">
        <f>COUNTIFS('2024数据'!$S$3:$S$152,"&gt;="&amp;DATE(2024,11,1),'2024数据'!$S$3:$S$152,"&lt;="&amp;DATE(2024,11,30),'2024数据'!$AE$3:$AE$152,$E1212)</f>
        <v>2</v>
      </c>
      <c r="Q1212" s="105">
        <f>COUNTIFS('2024数据'!$S$3:$S$152,"&gt;="&amp;DATE(2024,12,1),'2024数据'!$S$3:$S$152,"&lt;="&amp;DATE(2024,12,31),'2024数据'!$AE$3:$AE$152,$E1212)</f>
        <v>1</v>
      </c>
    </row>
    <row r="1213" ht="24" customHeight="1" spans="1:17">
      <c r="A1213" s="99" t="s">
        <v>348</v>
      </c>
      <c r="B1213" s="99" t="s">
        <v>290</v>
      </c>
      <c r="C1213" s="99" t="s">
        <v>291</v>
      </c>
      <c r="D1213" s="48" t="s">
        <v>31</v>
      </c>
      <c r="E1213" s="48" t="s">
        <v>82</v>
      </c>
      <c r="F1213" s="105">
        <f>COUNTIFS('2024数据'!$S$3:$S$152,"&gt;="&amp;DATE(2023,1,1),'2024数据'!$S$3:$S$152,"&lt;="&amp;DATE(2024,1,31),'2024数据'!$AE$3:$AE$152,$E1213)</f>
        <v>1</v>
      </c>
      <c r="G1213" s="105">
        <f>COUNTIFS('2024数据'!$S$3:$S$152,"&gt;="&amp;DATE(2024,2,1),'2024数据'!$S$3:$S$152,"&lt;="&amp;DATE(2024,2,29),'2024数据'!$AE$3:$AE$152,$E1213)</f>
        <v>2</v>
      </c>
      <c r="H1213" s="105">
        <f>COUNTIFS('2024数据'!$S$3:$S$152,"&gt;="&amp;DATE(2024,3,1),'2024数据'!$S$3:$S$152,"&lt;="&amp;DATE(2024,3,31),'2024数据'!$AE$3:$AE$152,$E1213)</f>
        <v>2</v>
      </c>
      <c r="I1213" s="105">
        <f>COUNTIFS('2024数据'!$S$3:$S$152,"&gt;="&amp;DATE(2024,4,1),'2024数据'!$S$3:$S$152,"&lt;="&amp;DATE(2024,4,30),'2024数据'!$AE$3:$AE$152,$E1213)</f>
        <v>3</v>
      </c>
      <c r="J1213" s="105">
        <f>COUNTIFS('2024数据'!$S$3:$S$152,"&gt;="&amp;DATE(2024,5,1),'2024数据'!$S$3:$S$152,"&lt;="&amp;DATE(2024,5,31),'2024数据'!$AE$3:$AE$152,$E1213)</f>
        <v>0</v>
      </c>
      <c r="K1213" s="105">
        <f>COUNTIFS('2024数据'!$S$3:$S$152,"&gt;="&amp;DATE(2024,6,1),'2024数据'!$S$3:$S$152,"&lt;="&amp;DATE(2024,6,30),'2024数据'!$AE$3:$AE$152,$E1213)</f>
        <v>1</v>
      </c>
      <c r="L1213" s="105">
        <f>COUNTIFS('2024数据'!$S$3:$S$152,"&gt;="&amp;DATE(2024,7,1),'2024数据'!$S$3:$S$152,"&lt;="&amp;DATE(2024,7,31),'2024数据'!$AE$3:$AE$152,$E1213)</f>
        <v>1</v>
      </c>
      <c r="M1213" s="105">
        <f>COUNTIFS('2024数据'!$S$3:$S$152,"&gt;="&amp;DATE(2024,8,1),'2024数据'!$S$3:$S$152,"&lt;="&amp;DATE(2024,8,31),'2024数据'!$AE$3:$AE$152,$E1213)</f>
        <v>0</v>
      </c>
      <c r="N1213" s="105">
        <f>COUNTIFS('2024数据'!$S$3:$S$152,"&gt;="&amp;DATE(2024,9,1),'2024数据'!$S$3:$S$152,"&lt;="&amp;DATE(2024,9,30),'2024数据'!$AE$3:$AE$152,$E1213)</f>
        <v>1</v>
      </c>
      <c r="O1213" s="105">
        <f>COUNTIFS('2024数据'!$S$3:$S$152,"&gt;="&amp;DATE(2024,10,1),'2024数据'!$S$3:$S$152,"&lt;="&amp;DATE(2024,10,31),'2024数据'!$AE$3:$AE$152,$E1213)</f>
        <v>2</v>
      </c>
      <c r="P1213" s="105">
        <f>COUNTIFS('2024数据'!$S$3:$S$152,"&gt;="&amp;DATE(2024,11,1),'2024数据'!$S$3:$S$152,"&lt;="&amp;DATE(2024,11,30),'2024数据'!$AE$3:$AE$152,$E1213)</f>
        <v>0</v>
      </c>
      <c r="Q1213" s="105">
        <f>COUNTIFS('2024数据'!$S$3:$S$152,"&gt;="&amp;DATE(2024,12,1),'2024数据'!$S$3:$S$152,"&lt;="&amp;DATE(2024,12,31),'2024数据'!$AE$3:$AE$152,$E1213)</f>
        <v>0</v>
      </c>
    </row>
    <row r="1214" ht="24" customHeight="1" spans="1:17">
      <c r="A1214" s="99" t="s">
        <v>348</v>
      </c>
      <c r="B1214" s="99" t="s">
        <v>290</v>
      </c>
      <c r="C1214" s="99" t="s">
        <v>291</v>
      </c>
      <c r="D1214" s="48" t="s">
        <v>31</v>
      </c>
      <c r="E1214" s="48" t="s">
        <v>86</v>
      </c>
      <c r="F1214" s="105">
        <f>COUNTIFS('2024数据'!$S$3:$S$152,"&gt;="&amp;DATE(2023,1,1),'2024数据'!$S$3:$S$152,"&lt;="&amp;DATE(2024,1,31),'2024数据'!$AE$3:$AE$152,$E1214)</f>
        <v>0</v>
      </c>
      <c r="G1214" s="105">
        <f>COUNTIFS('2024数据'!$S$3:$S$152,"&gt;="&amp;DATE(2024,2,1),'2024数据'!$S$3:$S$152,"&lt;="&amp;DATE(2024,2,29),'2024数据'!$AE$3:$AE$152,$E1214)</f>
        <v>0</v>
      </c>
      <c r="H1214" s="105">
        <f>COUNTIFS('2024数据'!$S$3:$S$152,"&gt;="&amp;DATE(2024,3,1),'2024数据'!$S$3:$S$152,"&lt;="&amp;DATE(2024,3,31),'2024数据'!$AE$3:$AE$152,$E1214)</f>
        <v>2</v>
      </c>
      <c r="I1214" s="105">
        <f>COUNTIFS('2024数据'!$S$3:$S$152,"&gt;="&amp;DATE(2024,4,1),'2024数据'!$S$3:$S$152,"&lt;="&amp;DATE(2024,4,30),'2024数据'!$AE$3:$AE$152,$E1214)</f>
        <v>0</v>
      </c>
      <c r="J1214" s="105">
        <f>COUNTIFS('2024数据'!$S$3:$S$152,"&gt;="&amp;DATE(2024,5,1),'2024数据'!$S$3:$S$152,"&lt;="&amp;DATE(2024,5,31),'2024数据'!$AE$3:$AE$152,$E1214)</f>
        <v>2</v>
      </c>
      <c r="K1214" s="105">
        <f>COUNTIFS('2024数据'!$S$3:$S$152,"&gt;="&amp;DATE(2024,6,1),'2024数据'!$S$3:$S$152,"&lt;="&amp;DATE(2024,6,30),'2024数据'!$AE$3:$AE$152,$E1214)</f>
        <v>0</v>
      </c>
      <c r="L1214" s="105">
        <f>COUNTIFS('2024数据'!$S$3:$S$152,"&gt;="&amp;DATE(2024,7,1),'2024数据'!$S$3:$S$152,"&lt;="&amp;DATE(2024,7,31),'2024数据'!$AE$3:$AE$152,$E1214)</f>
        <v>1</v>
      </c>
      <c r="M1214" s="105">
        <f>COUNTIFS('2024数据'!$S$3:$S$152,"&gt;="&amp;DATE(2024,8,1),'2024数据'!$S$3:$S$152,"&lt;="&amp;DATE(2024,8,31),'2024数据'!$AE$3:$AE$152,$E1214)</f>
        <v>1</v>
      </c>
      <c r="N1214" s="105">
        <f>COUNTIFS('2024数据'!$S$3:$S$152,"&gt;="&amp;DATE(2024,9,1),'2024数据'!$S$3:$S$152,"&lt;="&amp;DATE(2024,9,30),'2024数据'!$AE$3:$AE$152,$E1214)</f>
        <v>1</v>
      </c>
      <c r="O1214" s="105">
        <f>COUNTIFS('2024数据'!$S$3:$S$152,"&gt;="&amp;DATE(2024,10,1),'2024数据'!$S$3:$S$152,"&lt;="&amp;DATE(2024,10,31),'2024数据'!$AE$3:$AE$152,$E1214)</f>
        <v>2</v>
      </c>
      <c r="P1214" s="105">
        <f>COUNTIFS('2024数据'!$S$3:$S$152,"&gt;="&amp;DATE(2024,11,1),'2024数据'!$S$3:$S$152,"&lt;="&amp;DATE(2024,11,30),'2024数据'!$AE$3:$AE$152,$E1214)</f>
        <v>1</v>
      </c>
      <c r="Q1214" s="105">
        <f>COUNTIFS('2024数据'!$S$3:$S$152,"&gt;="&amp;DATE(2024,12,1),'2024数据'!$S$3:$S$152,"&lt;="&amp;DATE(2024,12,31),'2024数据'!$AE$3:$AE$152,$E1214)</f>
        <v>0</v>
      </c>
    </row>
    <row r="1215" ht="24" customHeight="1" spans="1:17">
      <c r="A1215" s="99" t="s">
        <v>348</v>
      </c>
      <c r="B1215" s="99" t="s">
        <v>290</v>
      </c>
      <c r="C1215" s="99" t="s">
        <v>291</v>
      </c>
      <c r="D1215" s="48" t="s">
        <v>31</v>
      </c>
      <c r="E1215" s="48" t="s">
        <v>97</v>
      </c>
      <c r="F1215" s="105">
        <f>COUNTIFS('2024数据'!$S$3:$S$152,"&gt;="&amp;DATE(2023,1,1),'2024数据'!$S$3:$S$152,"&lt;="&amp;DATE(2024,1,31),'2024数据'!$AE$3:$AE$152,$E1215)</f>
        <v>1</v>
      </c>
      <c r="G1215" s="105">
        <f>COUNTIFS('2024数据'!$S$3:$S$152,"&gt;="&amp;DATE(2024,2,1),'2024数据'!$S$3:$S$152,"&lt;="&amp;DATE(2024,2,29),'2024数据'!$AE$3:$AE$152,$E1215)</f>
        <v>0</v>
      </c>
      <c r="H1215" s="105">
        <f>COUNTIFS('2024数据'!$S$3:$S$152,"&gt;="&amp;DATE(2024,3,1),'2024数据'!$S$3:$S$152,"&lt;="&amp;DATE(2024,3,31),'2024数据'!$AE$3:$AE$152,$E1215)</f>
        <v>1</v>
      </c>
      <c r="I1215" s="105">
        <f>COUNTIFS('2024数据'!$S$3:$S$152,"&gt;="&amp;DATE(2024,4,1),'2024数据'!$S$3:$S$152,"&lt;="&amp;DATE(2024,4,30),'2024数据'!$AE$3:$AE$152,$E1215)</f>
        <v>0</v>
      </c>
      <c r="J1215" s="105">
        <f>COUNTIFS('2024数据'!$S$3:$S$152,"&gt;="&amp;DATE(2024,5,1),'2024数据'!$S$3:$S$152,"&lt;="&amp;DATE(2024,5,31),'2024数据'!$AE$3:$AE$152,$E1215)</f>
        <v>1</v>
      </c>
      <c r="K1215" s="105">
        <f>COUNTIFS('2024数据'!$S$3:$S$152,"&gt;="&amp;DATE(2024,6,1),'2024数据'!$S$3:$S$152,"&lt;="&amp;DATE(2024,6,30),'2024数据'!$AE$3:$AE$152,$E1215)</f>
        <v>0</v>
      </c>
      <c r="L1215" s="105">
        <f>COUNTIFS('2024数据'!$S$3:$S$152,"&gt;="&amp;DATE(2024,7,1),'2024数据'!$S$3:$S$152,"&lt;="&amp;DATE(2024,7,31),'2024数据'!$AE$3:$AE$152,$E1215)</f>
        <v>1</v>
      </c>
      <c r="M1215" s="105">
        <f>COUNTIFS('2024数据'!$S$3:$S$152,"&gt;="&amp;DATE(2024,8,1),'2024数据'!$S$3:$S$152,"&lt;="&amp;DATE(2024,8,31),'2024数据'!$AE$3:$AE$152,$E1215)</f>
        <v>0</v>
      </c>
      <c r="N1215" s="105">
        <f>COUNTIFS('2024数据'!$S$3:$S$152,"&gt;="&amp;DATE(2024,9,1),'2024数据'!$S$3:$S$152,"&lt;="&amp;DATE(2024,9,30),'2024数据'!$AE$3:$AE$152,$E1215)</f>
        <v>0</v>
      </c>
      <c r="O1215" s="105">
        <f>COUNTIFS('2024数据'!$S$3:$S$152,"&gt;="&amp;DATE(2024,10,1),'2024数据'!$S$3:$S$152,"&lt;="&amp;DATE(2024,10,31),'2024数据'!$AE$3:$AE$152,$E1215)</f>
        <v>1</v>
      </c>
      <c r="P1215" s="105">
        <f>COUNTIFS('2024数据'!$S$3:$S$152,"&gt;="&amp;DATE(2024,11,1),'2024数据'!$S$3:$S$152,"&lt;="&amp;DATE(2024,11,30),'2024数据'!$AE$3:$AE$152,$E1215)</f>
        <v>0</v>
      </c>
      <c r="Q1215" s="105">
        <f>COUNTIFS('2024数据'!$S$3:$S$152,"&gt;="&amp;DATE(2024,12,1),'2024数据'!$S$3:$S$152,"&lt;="&amp;DATE(2024,12,31),'2024数据'!$AE$3:$AE$152,$E1215)</f>
        <v>0</v>
      </c>
    </row>
    <row r="1216" ht="24" customHeight="1" spans="1:17">
      <c r="A1216" s="99" t="s">
        <v>348</v>
      </c>
      <c r="B1216" s="99" t="s">
        <v>290</v>
      </c>
      <c r="C1216" s="99" t="s">
        <v>291</v>
      </c>
      <c r="D1216" s="48" t="s">
        <v>31</v>
      </c>
      <c r="E1216" s="48" t="s">
        <v>87</v>
      </c>
      <c r="F1216" s="105">
        <f>COUNTIFS('2024数据'!$S$3:$S$152,"&gt;="&amp;DATE(2023,1,1),'2024数据'!$S$3:$S$152,"&lt;="&amp;DATE(2024,1,31),'2024数据'!$AE$3:$AE$152,$E1216)</f>
        <v>1</v>
      </c>
      <c r="G1216" s="105">
        <f>COUNTIFS('2024数据'!$S$3:$S$152,"&gt;="&amp;DATE(2024,2,1),'2024数据'!$S$3:$S$152,"&lt;="&amp;DATE(2024,2,29),'2024数据'!$AE$3:$AE$152,$E1216)</f>
        <v>0</v>
      </c>
      <c r="H1216" s="105">
        <f>COUNTIFS('2024数据'!$S$3:$S$152,"&gt;="&amp;DATE(2024,3,1),'2024数据'!$S$3:$S$152,"&lt;="&amp;DATE(2024,3,31),'2024数据'!$AE$3:$AE$152,$E1216)</f>
        <v>1</v>
      </c>
      <c r="I1216" s="105">
        <f>COUNTIFS('2024数据'!$S$3:$S$152,"&gt;="&amp;DATE(2024,4,1),'2024数据'!$S$3:$S$152,"&lt;="&amp;DATE(2024,4,30),'2024数据'!$AE$3:$AE$152,$E1216)</f>
        <v>0</v>
      </c>
      <c r="J1216" s="105">
        <f>COUNTIFS('2024数据'!$S$3:$S$152,"&gt;="&amp;DATE(2024,5,1),'2024数据'!$S$3:$S$152,"&lt;="&amp;DATE(2024,5,31),'2024数据'!$AE$3:$AE$152,$E1216)</f>
        <v>0</v>
      </c>
      <c r="K1216" s="105">
        <f>COUNTIFS('2024数据'!$S$3:$S$152,"&gt;="&amp;DATE(2024,6,1),'2024数据'!$S$3:$S$152,"&lt;="&amp;DATE(2024,6,30),'2024数据'!$AE$3:$AE$152,$E1216)</f>
        <v>0</v>
      </c>
      <c r="L1216" s="105">
        <f>COUNTIFS('2024数据'!$S$3:$S$152,"&gt;="&amp;DATE(2024,7,1),'2024数据'!$S$3:$S$152,"&lt;="&amp;DATE(2024,7,31),'2024数据'!$AE$3:$AE$152,$E1216)</f>
        <v>0</v>
      </c>
      <c r="M1216" s="105">
        <f>COUNTIFS('2024数据'!$S$3:$S$152,"&gt;="&amp;DATE(2024,8,1),'2024数据'!$S$3:$S$152,"&lt;="&amp;DATE(2024,8,31),'2024数据'!$AE$3:$AE$152,$E1216)</f>
        <v>0</v>
      </c>
      <c r="N1216" s="105">
        <f>COUNTIFS('2024数据'!$S$3:$S$152,"&gt;="&amp;DATE(2024,9,1),'2024数据'!$S$3:$S$152,"&lt;="&amp;DATE(2024,9,30),'2024数据'!$AE$3:$AE$152,$E1216)</f>
        <v>0</v>
      </c>
      <c r="O1216" s="105">
        <f>COUNTIFS('2024数据'!$S$3:$S$152,"&gt;="&amp;DATE(2024,10,1),'2024数据'!$S$3:$S$152,"&lt;="&amp;DATE(2024,10,31),'2024数据'!$AE$3:$AE$152,$E1216)</f>
        <v>0</v>
      </c>
      <c r="P1216" s="105">
        <f>COUNTIFS('2024数据'!$S$3:$S$152,"&gt;="&amp;DATE(2024,11,1),'2024数据'!$S$3:$S$152,"&lt;="&amp;DATE(2024,11,30),'2024数据'!$AE$3:$AE$152,$E1216)</f>
        <v>2</v>
      </c>
      <c r="Q1216" s="105">
        <f>COUNTIFS('2024数据'!$S$3:$S$152,"&gt;="&amp;DATE(2024,12,1),'2024数据'!$S$3:$S$152,"&lt;="&amp;DATE(2024,12,31),'2024数据'!$AE$3:$AE$152,$E1216)</f>
        <v>0</v>
      </c>
    </row>
    <row r="1217" ht="24" customHeight="1" spans="1:17">
      <c r="A1217" s="99" t="s">
        <v>348</v>
      </c>
      <c r="B1217" s="99" t="s">
        <v>290</v>
      </c>
      <c r="C1217" s="99" t="s">
        <v>291</v>
      </c>
      <c r="D1217" s="48" t="s">
        <v>31</v>
      </c>
      <c r="E1217" s="48" t="s">
        <v>83</v>
      </c>
      <c r="F1217" s="105">
        <f>COUNTIFS('2024数据'!$S$3:$S$152,"&gt;="&amp;DATE(2023,1,1),'2024数据'!$S$3:$S$152,"&lt;="&amp;DATE(2024,1,31),'2024数据'!$AE$3:$AE$152,$E1217)</f>
        <v>0</v>
      </c>
      <c r="G1217" s="105">
        <f>COUNTIFS('2024数据'!$S$3:$S$152,"&gt;="&amp;DATE(2024,2,1),'2024数据'!$S$3:$S$152,"&lt;="&amp;DATE(2024,2,29),'2024数据'!$AE$3:$AE$152,$E1217)</f>
        <v>0</v>
      </c>
      <c r="H1217" s="105">
        <f>COUNTIFS('2024数据'!$S$3:$S$152,"&gt;="&amp;DATE(2024,3,1),'2024数据'!$S$3:$S$152,"&lt;="&amp;DATE(2024,3,31),'2024数据'!$AE$3:$AE$152,$E1217)</f>
        <v>0</v>
      </c>
      <c r="I1217" s="105">
        <f>COUNTIFS('2024数据'!$S$3:$S$152,"&gt;="&amp;DATE(2024,4,1),'2024数据'!$S$3:$S$152,"&lt;="&amp;DATE(2024,4,30),'2024数据'!$AE$3:$AE$152,$E1217)</f>
        <v>0</v>
      </c>
      <c r="J1217" s="105">
        <f>COUNTIFS('2024数据'!$S$3:$S$152,"&gt;="&amp;DATE(2024,5,1),'2024数据'!$S$3:$S$152,"&lt;="&amp;DATE(2024,5,31),'2024数据'!$AE$3:$AE$152,$E1217)</f>
        <v>0</v>
      </c>
      <c r="K1217" s="105">
        <f>COUNTIFS('2024数据'!$S$3:$S$152,"&gt;="&amp;DATE(2024,6,1),'2024数据'!$S$3:$S$152,"&lt;="&amp;DATE(2024,6,30),'2024数据'!$AE$3:$AE$152,$E1217)</f>
        <v>0</v>
      </c>
      <c r="L1217" s="105">
        <f>COUNTIFS('2024数据'!$S$3:$S$152,"&gt;="&amp;DATE(2024,7,1),'2024数据'!$S$3:$S$152,"&lt;="&amp;DATE(2024,7,31),'2024数据'!$AE$3:$AE$152,$E1217)</f>
        <v>0</v>
      </c>
      <c r="M1217" s="105">
        <f>COUNTIFS('2024数据'!$S$3:$S$152,"&gt;="&amp;DATE(2024,8,1),'2024数据'!$S$3:$S$152,"&lt;="&amp;DATE(2024,8,31),'2024数据'!$AE$3:$AE$152,$E1217)</f>
        <v>0</v>
      </c>
      <c r="N1217" s="105">
        <f>COUNTIFS('2024数据'!$S$3:$S$152,"&gt;="&amp;DATE(2024,9,1),'2024数据'!$S$3:$S$152,"&lt;="&amp;DATE(2024,9,30),'2024数据'!$AE$3:$AE$152,$E1217)</f>
        <v>0</v>
      </c>
      <c r="O1217" s="105">
        <f>COUNTIFS('2024数据'!$S$3:$S$152,"&gt;="&amp;DATE(2024,10,1),'2024数据'!$S$3:$S$152,"&lt;="&amp;DATE(2024,10,31),'2024数据'!$AE$3:$AE$152,$E1217)</f>
        <v>0</v>
      </c>
      <c r="P1217" s="105">
        <f>COUNTIFS('2024数据'!$S$3:$S$152,"&gt;="&amp;DATE(2024,11,1),'2024数据'!$S$3:$S$152,"&lt;="&amp;DATE(2024,11,30),'2024数据'!$AE$3:$AE$152,$E1217)</f>
        <v>1</v>
      </c>
      <c r="Q1217" s="105">
        <f>COUNTIFS('2024数据'!$S$3:$S$152,"&gt;="&amp;DATE(2024,12,1),'2024数据'!$S$3:$S$152,"&lt;="&amp;DATE(2024,12,31),'2024数据'!$AE$3:$AE$152,$E1217)</f>
        <v>0</v>
      </c>
    </row>
    <row r="1218" ht="24" customHeight="1" spans="1:17">
      <c r="A1218" s="99" t="s">
        <v>348</v>
      </c>
      <c r="B1218" s="99" t="s">
        <v>290</v>
      </c>
      <c r="C1218" s="99" t="s">
        <v>291</v>
      </c>
      <c r="D1218" s="47" t="s">
        <v>294</v>
      </c>
      <c r="E1218" s="47" t="s">
        <v>93</v>
      </c>
      <c r="F1218" s="106">
        <f>COUNTIFS('2024数据'!$S$3:$S$152,"&gt;="&amp;DATE(2023,1,1),'2024数据'!$S$3:$S$152,"&lt;="&amp;DATE(2024,1,31),'2024数据'!$B$3:$B$152,$E1218)</f>
        <v>2</v>
      </c>
      <c r="G1218" s="106">
        <f>COUNTIFS('2024数据'!$S$3:$S$152,"&gt;="&amp;DATE(2024,2,1),'2024数据'!$S$3:$S$152,"&lt;="&amp;DATE(2024,2,29),'2024数据'!$B$3:$B$152,$E1218)</f>
        <v>1</v>
      </c>
      <c r="H1218" s="106">
        <f>COUNTIFS('2024数据'!$S$3:$S$152,"&gt;="&amp;DATE(2024,3,1),'2024数据'!$S$3:$S$152,"&lt;="&amp;DATE(2024,3,31),'2024数据'!$B$3:$B$152,$E1218)</f>
        <v>3</v>
      </c>
      <c r="I1218" s="106">
        <f>COUNTIFS('2024数据'!$S$3:$S$152,"&gt;="&amp;DATE(2024,4,1),'2024数据'!$S$3:$S$152,"&lt;="&amp;DATE(2024,4,30),'2024数据'!$B$3:$B$152,$E1218)</f>
        <v>4</v>
      </c>
      <c r="J1218" s="106">
        <f>COUNTIFS('2024数据'!$S$3:$S$152,"&gt;="&amp;DATE(2024,5,1),'2024数据'!$S$3:$S$152,"&lt;="&amp;DATE(2024,5,31),'2024数据'!$B$3:$B$152,$E1218)</f>
        <v>1</v>
      </c>
      <c r="K1218" s="106">
        <f>COUNTIFS('2024数据'!$S$3:$S$152,"&gt;="&amp;DATE(2024,6,1),'2024数据'!$S$3:$S$152,"&lt;="&amp;DATE(2024,6,30),'2024数据'!$B$3:$B$152,$E1218)</f>
        <v>2</v>
      </c>
      <c r="L1218" s="106">
        <f>COUNTIFS('2024数据'!$S$3:$S$152,"&gt;="&amp;DATE(2024,7,1),'2024数据'!$S$3:$S$152,"&lt;="&amp;DATE(2024,7,31),'2024数据'!$B$3:$B$152,$E1218)</f>
        <v>2</v>
      </c>
      <c r="M1218" s="106">
        <f>COUNTIFS('2024数据'!$S$3:$S$152,"&gt;="&amp;DATE(2024,8,1),'2024数据'!$S$3:$S$152,"&lt;="&amp;DATE(2024,8,31),'2024数据'!$B$3:$B$152,$E1218)</f>
        <v>1</v>
      </c>
      <c r="N1218" s="106">
        <f>COUNTIFS('2024数据'!$S$3:$S$152,"&gt;="&amp;DATE(2024,9,1),'2024数据'!$S$3:$S$152,"&lt;="&amp;DATE(2024,9,30),'2024数据'!$B$3:$B$152,$E1218)</f>
        <v>1</v>
      </c>
      <c r="O1218" s="106">
        <f>COUNTIFS('2024数据'!$S$3:$S$152,"&gt;="&amp;DATE(2024,10,1),'2024数据'!$S$3:$S$152,"&lt;="&amp;DATE(2024,10,31),'2024数据'!$B$3:$B$152,$E1218)</f>
        <v>4</v>
      </c>
      <c r="P1218" s="106">
        <f>COUNTIFS('2024数据'!$S$3:$S$152,"&gt;="&amp;DATE(2024,11,1),'2024数据'!$S$3:$S$152,"&lt;="&amp;DATE(2024,11,30),'2024数据'!$B$3:$B$152,$E1218)</f>
        <v>1</v>
      </c>
      <c r="Q1218" s="106">
        <f>COUNTIFS('2024数据'!$S$3:$S$152,"&gt;="&amp;DATE(2024,12,1),'2024数据'!$S$3:$S$152,"&lt;="&amp;DATE(2024,12,31),'2024数据'!$B$3:$B$152,$E1218)</f>
        <v>0</v>
      </c>
    </row>
    <row r="1219" ht="24" customHeight="1" spans="1:17">
      <c r="A1219" s="99" t="s">
        <v>348</v>
      </c>
      <c r="B1219" s="99" t="s">
        <v>290</v>
      </c>
      <c r="C1219" s="99" t="s">
        <v>291</v>
      </c>
      <c r="D1219" s="47" t="s">
        <v>294</v>
      </c>
      <c r="E1219" s="47" t="s">
        <v>85</v>
      </c>
      <c r="F1219" s="106">
        <f>COUNTIFS('2024数据'!$S$3:$S$152,"&gt;="&amp;DATE(2023,1,1),'2024数据'!$S$3:$S$152,"&lt;="&amp;DATE(2024,1,31),'2024数据'!$B$3:$B$152,$E1219)</f>
        <v>2</v>
      </c>
      <c r="G1219" s="106">
        <f>COUNTIFS('2024数据'!$S$3:$S$152,"&gt;="&amp;DATE(2024,2,1),'2024数据'!$S$3:$S$152,"&lt;="&amp;DATE(2024,2,29),'2024数据'!$B$3:$B$152,$E1219)</f>
        <v>3</v>
      </c>
      <c r="H1219" s="106">
        <f>COUNTIFS('2024数据'!$S$3:$S$152,"&gt;="&amp;DATE(2024,3,1),'2024数据'!$S$3:$S$152,"&lt;="&amp;DATE(2024,3,31),'2024数据'!$B$3:$B$152,$E1219)</f>
        <v>2</v>
      </c>
      <c r="I1219" s="106">
        <f>COUNTIFS('2024数据'!$S$3:$S$152,"&gt;="&amp;DATE(2024,4,1),'2024数据'!$S$3:$S$152,"&lt;="&amp;DATE(2024,4,30),'2024数据'!$B$3:$B$152,$E1219)</f>
        <v>0</v>
      </c>
      <c r="J1219" s="106">
        <f>COUNTIFS('2024数据'!$S$3:$S$152,"&gt;="&amp;DATE(2024,5,1),'2024数据'!$S$3:$S$152,"&lt;="&amp;DATE(2024,5,31),'2024数据'!$B$3:$B$152,$E1219)</f>
        <v>2</v>
      </c>
      <c r="K1219" s="106">
        <f>COUNTIFS('2024数据'!$S$3:$S$152,"&gt;="&amp;DATE(2024,6,1),'2024数据'!$S$3:$S$152,"&lt;="&amp;DATE(2024,6,30),'2024数据'!$B$3:$B$152,$E1219)</f>
        <v>1</v>
      </c>
      <c r="L1219" s="106">
        <f>COUNTIFS('2024数据'!$S$3:$S$152,"&gt;="&amp;DATE(2024,7,1),'2024数据'!$S$3:$S$152,"&lt;="&amp;DATE(2024,7,31),'2024数据'!$B$3:$B$152,$E1219)</f>
        <v>0</v>
      </c>
      <c r="M1219" s="106">
        <f>COUNTIFS('2024数据'!$S$3:$S$152,"&gt;="&amp;DATE(2024,8,1),'2024数据'!$S$3:$S$152,"&lt;="&amp;DATE(2024,8,31),'2024数据'!$B$3:$B$152,$E1219)</f>
        <v>0</v>
      </c>
      <c r="N1219" s="106">
        <f>COUNTIFS('2024数据'!$S$3:$S$152,"&gt;="&amp;DATE(2024,9,1),'2024数据'!$S$3:$S$152,"&lt;="&amp;DATE(2024,9,30),'2024数据'!$B$3:$B$152,$E1219)</f>
        <v>1</v>
      </c>
      <c r="O1219" s="106">
        <f>COUNTIFS('2024数据'!$S$3:$S$152,"&gt;="&amp;DATE(2024,10,1),'2024数据'!$S$3:$S$152,"&lt;="&amp;DATE(2024,10,31),'2024数据'!$B$3:$B$152,$E1219)</f>
        <v>1</v>
      </c>
      <c r="P1219" s="106">
        <f>COUNTIFS('2024数据'!$S$3:$S$152,"&gt;="&amp;DATE(2024,11,1),'2024数据'!$S$3:$S$152,"&lt;="&amp;DATE(2024,11,30),'2024数据'!$B$3:$B$152,$E1219)</f>
        <v>3</v>
      </c>
      <c r="Q1219" s="106">
        <f>COUNTIFS('2024数据'!$S$3:$S$152,"&gt;="&amp;DATE(2024,12,1),'2024数据'!$S$3:$S$152,"&lt;="&amp;DATE(2024,12,31),'2024数据'!$B$3:$B$152,$E1219)</f>
        <v>1</v>
      </c>
    </row>
    <row r="1220" ht="24" customHeight="1" spans="1:17">
      <c r="A1220" s="99" t="s">
        <v>348</v>
      </c>
      <c r="B1220" s="99" t="s">
        <v>290</v>
      </c>
      <c r="C1220" s="99" t="s">
        <v>291</v>
      </c>
      <c r="D1220" s="47" t="s">
        <v>294</v>
      </c>
      <c r="E1220" s="47" t="s">
        <v>81</v>
      </c>
      <c r="F1220" s="106">
        <f>COUNTIFS('2024数据'!$S$3:$S$152,"&gt;="&amp;DATE(2023,1,1),'2024数据'!$S$3:$S$152,"&lt;="&amp;DATE(2024,1,31),'2024数据'!$B$3:$B$152,$E1220)</f>
        <v>1</v>
      </c>
      <c r="G1220" s="106">
        <f>COUNTIFS('2024数据'!$S$3:$S$152,"&gt;="&amp;DATE(2024,2,1),'2024数据'!$S$3:$S$152,"&lt;="&amp;DATE(2024,2,29),'2024数据'!$B$3:$B$152,$E1220)</f>
        <v>0</v>
      </c>
      <c r="H1220" s="106">
        <f>COUNTIFS('2024数据'!$S$3:$S$152,"&gt;="&amp;DATE(2024,3,1),'2024数据'!$S$3:$S$152,"&lt;="&amp;DATE(2024,3,31),'2024数据'!$B$3:$B$152,$E1220)</f>
        <v>2</v>
      </c>
      <c r="I1220" s="106">
        <f>COUNTIFS('2024数据'!$S$3:$S$152,"&gt;="&amp;DATE(2024,4,1),'2024数据'!$S$3:$S$152,"&lt;="&amp;DATE(2024,4,30),'2024数据'!$B$3:$B$152,$E1220)</f>
        <v>0</v>
      </c>
      <c r="J1220" s="106">
        <f>COUNTIFS('2024数据'!$S$3:$S$152,"&gt;="&amp;DATE(2024,5,1),'2024数据'!$S$3:$S$152,"&lt;="&amp;DATE(2024,5,31),'2024数据'!$B$3:$B$152,$E1220)</f>
        <v>0</v>
      </c>
      <c r="K1220" s="106">
        <f>COUNTIFS('2024数据'!$S$3:$S$152,"&gt;="&amp;DATE(2024,6,1),'2024数据'!$S$3:$S$152,"&lt;="&amp;DATE(2024,6,30),'2024数据'!$B$3:$B$152,$E1220)</f>
        <v>1</v>
      </c>
      <c r="L1220" s="106">
        <f>COUNTIFS('2024数据'!$S$3:$S$152,"&gt;="&amp;DATE(2024,7,1),'2024数据'!$S$3:$S$152,"&lt;="&amp;DATE(2024,7,31),'2024数据'!$B$3:$B$152,$E1220)</f>
        <v>1</v>
      </c>
      <c r="M1220" s="106">
        <f>COUNTIFS('2024数据'!$S$3:$S$152,"&gt;="&amp;DATE(2024,8,1),'2024数据'!$S$3:$S$152,"&lt;="&amp;DATE(2024,8,31),'2024数据'!$B$3:$B$152,$E1220)</f>
        <v>0</v>
      </c>
      <c r="N1220" s="106">
        <f>COUNTIFS('2024数据'!$S$3:$S$152,"&gt;="&amp;DATE(2024,9,1),'2024数据'!$S$3:$S$152,"&lt;="&amp;DATE(2024,9,30),'2024数据'!$B$3:$B$152,$E1220)</f>
        <v>1</v>
      </c>
      <c r="O1220" s="106">
        <f>COUNTIFS('2024数据'!$S$3:$S$152,"&gt;="&amp;DATE(2024,10,1),'2024数据'!$S$3:$S$152,"&lt;="&amp;DATE(2024,10,31),'2024数据'!$B$3:$B$152,$E1220)</f>
        <v>0</v>
      </c>
      <c r="P1220" s="106">
        <f>COUNTIFS('2024数据'!$S$3:$S$152,"&gt;="&amp;DATE(2024,11,1),'2024数据'!$S$3:$S$152,"&lt;="&amp;DATE(2024,11,30),'2024数据'!$B$3:$B$152,$E1220)</f>
        <v>1</v>
      </c>
      <c r="Q1220" s="106">
        <f>COUNTIFS('2024数据'!$S$3:$S$152,"&gt;="&amp;DATE(2024,12,1),'2024数据'!$S$3:$S$152,"&lt;="&amp;DATE(2024,12,31),'2024数据'!$B$3:$B$152,$E1220)</f>
        <v>0</v>
      </c>
    </row>
    <row r="1221" ht="24" customHeight="1" spans="1:17">
      <c r="A1221" s="99" t="s">
        <v>348</v>
      </c>
      <c r="B1221" s="99" t="s">
        <v>290</v>
      </c>
      <c r="C1221" s="99" t="s">
        <v>291</v>
      </c>
      <c r="D1221" s="47" t="s">
        <v>294</v>
      </c>
      <c r="E1221" s="47" t="s">
        <v>96</v>
      </c>
      <c r="F1221" s="106">
        <f>COUNTIFS('2024数据'!$S$3:$S$152,"&gt;="&amp;DATE(2023,1,1),'2024数据'!$S$3:$S$152,"&lt;="&amp;DATE(2024,1,31),'2024数据'!$B$3:$B$152,$E1221)</f>
        <v>0</v>
      </c>
      <c r="G1221" s="106">
        <f>COUNTIFS('2024数据'!$S$3:$S$152,"&gt;="&amp;DATE(2024,2,1),'2024数据'!$S$3:$S$152,"&lt;="&amp;DATE(2024,2,29),'2024数据'!$B$3:$B$152,$E1221)</f>
        <v>0</v>
      </c>
      <c r="H1221" s="106">
        <f>COUNTIFS('2024数据'!$S$3:$S$152,"&gt;="&amp;DATE(2024,3,1),'2024数据'!$S$3:$S$152,"&lt;="&amp;DATE(2024,3,31),'2024数据'!$B$3:$B$152,$E1221)</f>
        <v>2</v>
      </c>
      <c r="I1221" s="106">
        <f>COUNTIFS('2024数据'!$S$3:$S$152,"&gt;="&amp;DATE(2024,4,1),'2024数据'!$S$3:$S$152,"&lt;="&amp;DATE(2024,4,30),'2024数据'!$B$3:$B$152,$E1221)</f>
        <v>0</v>
      </c>
      <c r="J1221" s="106">
        <f>COUNTIFS('2024数据'!$S$3:$S$152,"&gt;="&amp;DATE(2024,5,1),'2024数据'!$S$3:$S$152,"&lt;="&amp;DATE(2024,5,31),'2024数据'!$B$3:$B$152,$E1221)</f>
        <v>0</v>
      </c>
      <c r="K1221" s="106">
        <f>COUNTIFS('2024数据'!$S$3:$S$152,"&gt;="&amp;DATE(2024,6,1),'2024数据'!$S$3:$S$152,"&lt;="&amp;DATE(2024,6,30),'2024数据'!$B$3:$B$152,$E1221)</f>
        <v>1</v>
      </c>
      <c r="L1221" s="106">
        <f>COUNTIFS('2024数据'!$S$3:$S$152,"&gt;="&amp;DATE(2024,7,1),'2024数据'!$S$3:$S$152,"&lt;="&amp;DATE(2024,7,31),'2024数据'!$B$3:$B$152,$E1221)</f>
        <v>0</v>
      </c>
      <c r="M1221" s="106">
        <f>COUNTIFS('2024数据'!$S$3:$S$152,"&gt;="&amp;DATE(2024,8,1),'2024数据'!$S$3:$S$152,"&lt;="&amp;DATE(2024,8,31),'2024数据'!$B$3:$B$152,$E1221)</f>
        <v>0</v>
      </c>
      <c r="N1221" s="106">
        <f>COUNTIFS('2024数据'!$S$3:$S$152,"&gt;="&amp;DATE(2024,9,1),'2024数据'!$S$3:$S$152,"&lt;="&amp;DATE(2024,9,30),'2024数据'!$B$3:$B$152,$E1221)</f>
        <v>0</v>
      </c>
      <c r="O1221" s="106">
        <f>COUNTIFS('2024数据'!$S$3:$S$152,"&gt;="&amp;DATE(2024,10,1),'2024数据'!$S$3:$S$152,"&lt;="&amp;DATE(2024,10,31),'2024数据'!$B$3:$B$152,$E1221)</f>
        <v>0</v>
      </c>
      <c r="P1221" s="106">
        <f>COUNTIFS('2024数据'!$S$3:$S$152,"&gt;="&amp;DATE(2024,11,1),'2024数据'!$S$3:$S$152,"&lt;="&amp;DATE(2024,11,30),'2024数据'!$B$3:$B$152,$E1221)</f>
        <v>1</v>
      </c>
      <c r="Q1221" s="106">
        <f>COUNTIFS('2024数据'!$S$3:$S$152,"&gt;="&amp;DATE(2024,12,1),'2024数据'!$S$3:$S$152,"&lt;="&amp;DATE(2024,12,31),'2024数据'!$B$3:$B$152,$E1221)</f>
        <v>0</v>
      </c>
    </row>
    <row r="1222" ht="24" customHeight="1" spans="1:17">
      <c r="A1222" s="99" t="s">
        <v>348</v>
      </c>
      <c r="B1222" s="99" t="s">
        <v>290</v>
      </c>
      <c r="C1222" s="99" t="s">
        <v>291</v>
      </c>
      <c r="D1222" s="47" t="s">
        <v>294</v>
      </c>
      <c r="E1222" s="47" t="s">
        <v>160</v>
      </c>
      <c r="F1222" s="106">
        <f t="shared" ref="F1222:Q1222" si="893">SUM(F1212:F1217)-SUM(F1218:F1221)</f>
        <v>0</v>
      </c>
      <c r="G1222" s="106">
        <f t="shared" si="893"/>
        <v>0</v>
      </c>
      <c r="H1222" s="106">
        <f t="shared" si="893"/>
        <v>0</v>
      </c>
      <c r="I1222" s="106">
        <f t="shared" si="893"/>
        <v>0</v>
      </c>
      <c r="J1222" s="106">
        <f t="shared" si="893"/>
        <v>0</v>
      </c>
      <c r="K1222" s="106">
        <f t="shared" si="893"/>
        <v>0</v>
      </c>
      <c r="L1222" s="106">
        <f t="shared" si="893"/>
        <v>0</v>
      </c>
      <c r="M1222" s="106">
        <f t="shared" si="893"/>
        <v>0</v>
      </c>
      <c r="N1222" s="106">
        <f t="shared" si="893"/>
        <v>0</v>
      </c>
      <c r="O1222" s="106">
        <f t="shared" si="893"/>
        <v>0</v>
      </c>
      <c r="P1222" s="106">
        <f t="shared" si="893"/>
        <v>0</v>
      </c>
      <c r="Q1222" s="106">
        <f t="shared" si="893"/>
        <v>0</v>
      </c>
    </row>
    <row r="1223" ht="24" customHeight="1" spans="1:17">
      <c r="A1223" s="99" t="s">
        <v>348</v>
      </c>
      <c r="B1223" s="99" t="s">
        <v>290</v>
      </c>
      <c r="C1223" s="99" t="s">
        <v>291</v>
      </c>
      <c r="D1223" s="100" t="s">
        <v>292</v>
      </c>
      <c r="E1223" s="100" t="s">
        <v>295</v>
      </c>
      <c r="F1223" s="104">
        <f t="shared" ref="F1223:Q1223" si="894">SUM(F1224:F1226)</f>
        <v>3</v>
      </c>
      <c r="G1223" s="104">
        <f t="shared" si="894"/>
        <v>4</v>
      </c>
      <c r="H1223" s="104">
        <f t="shared" si="894"/>
        <v>7</v>
      </c>
      <c r="I1223" s="104">
        <f t="shared" si="894"/>
        <v>4</v>
      </c>
      <c r="J1223" s="104">
        <f t="shared" si="894"/>
        <v>2</v>
      </c>
      <c r="K1223" s="104">
        <f t="shared" si="894"/>
        <v>5</v>
      </c>
      <c r="L1223" s="104">
        <f t="shared" si="894"/>
        <v>3</v>
      </c>
      <c r="M1223" s="104">
        <f t="shared" si="894"/>
        <v>1</v>
      </c>
      <c r="N1223" s="104">
        <f t="shared" si="894"/>
        <v>3</v>
      </c>
      <c r="O1223" s="104">
        <f t="shared" si="894"/>
        <v>4</v>
      </c>
      <c r="P1223" s="104">
        <f t="shared" si="894"/>
        <v>6</v>
      </c>
      <c r="Q1223" s="104">
        <f t="shared" si="894"/>
        <v>1</v>
      </c>
    </row>
    <row r="1224" ht="24" customHeight="1" spans="1:17">
      <c r="A1224" s="99" t="s">
        <v>348</v>
      </c>
      <c r="B1224" s="99" t="s">
        <v>290</v>
      </c>
      <c r="C1224" s="99" t="s">
        <v>291</v>
      </c>
      <c r="D1224" s="48" t="s">
        <v>296</v>
      </c>
      <c r="E1224" s="48" t="s">
        <v>406</v>
      </c>
      <c r="F1224" s="105">
        <f>COUNTIFS('2024数据'!$S$3:$S$152,"&gt;="&amp;DATE(2023,1,1),'2024数据'!$S$3:$S$152,"&lt;="&amp;DATE(2024,1,31),'2024数据'!$AF$3:$AF$152,$E1224)</f>
        <v>2</v>
      </c>
      <c r="G1224" s="105">
        <f>COUNTIFS('2024数据'!$S$3:$S$152,"&gt;="&amp;DATE(2024,2,1),'2024数据'!$S$3:$S$152,"&lt;="&amp;DATE(2024,2,29),'2024数据'!$AF$3:$AF$152,$E1224)</f>
        <v>2</v>
      </c>
      <c r="H1224" s="105">
        <f>COUNTIFS('2024数据'!$S$3:$S$152,"&gt;="&amp;DATE(2024,3,1),'2024数据'!$S$3:$S$152,"&lt;="&amp;DATE(2024,3,31),'2024数据'!$AF$3:$AF$152,$E1224)</f>
        <v>3</v>
      </c>
      <c r="I1224" s="105">
        <f>COUNTIFS('2024数据'!$S$3:$S$152,"&gt;="&amp;DATE(2024,4,1),'2024数据'!$S$3:$S$152,"&lt;="&amp;DATE(2024,4,30),'2024数据'!$AF$3:$AF$152,$E1224)</f>
        <v>1</v>
      </c>
      <c r="J1224" s="105">
        <f>COUNTIFS('2024数据'!$S$3:$S$152,"&gt;="&amp;DATE(2024,5,1),'2024数据'!$S$3:$S$152,"&lt;="&amp;DATE(2024,5,31),'2024数据'!$AF$3:$AF$152,$E1224)</f>
        <v>0</v>
      </c>
      <c r="K1224" s="105">
        <f>COUNTIFS('2024数据'!$S$3:$S$152,"&gt;="&amp;DATE(2024,6,1),'2024数据'!$S$3:$S$152,"&lt;="&amp;DATE(2024,6,30),'2024数据'!$AF$3:$AF$152,$E1224)</f>
        <v>4</v>
      </c>
      <c r="L1224" s="105">
        <f>COUNTIFS('2024数据'!$S$3:$S$152,"&gt;="&amp;DATE(2024,7,1),'2024数据'!$S$3:$S$152,"&lt;="&amp;DATE(2024,7,31),'2024数据'!$AF$3:$AF$152,$E1224)</f>
        <v>0</v>
      </c>
      <c r="M1224" s="105">
        <f>COUNTIFS('2024数据'!$S$3:$S$152,"&gt;="&amp;DATE(2024,8,1),'2024数据'!$S$3:$S$152,"&lt;="&amp;DATE(2024,8,31),'2024数据'!$AF$3:$AF$152,$E1224)</f>
        <v>0</v>
      </c>
      <c r="N1224" s="105">
        <f>COUNTIFS('2024数据'!$S$3:$S$152,"&gt;="&amp;DATE(2024,9,1),'2024数据'!$S$3:$S$152,"&lt;="&amp;DATE(2024,9,30),'2024数据'!$AF$3:$AF$152,$E1224)</f>
        <v>1</v>
      </c>
      <c r="O1224" s="105">
        <f>COUNTIFS('2024数据'!$S$3:$S$152,"&gt;="&amp;DATE(2024,10,1),'2024数据'!$S$3:$S$152,"&lt;="&amp;DATE(2024,10,31),'2024数据'!$AF$3:$AF$152,$E1224)</f>
        <v>0</v>
      </c>
      <c r="P1224" s="105">
        <f>COUNTIFS('2024数据'!$S$3:$S$152,"&gt;="&amp;DATE(2024,11,1),'2024数据'!$S$3:$S$152,"&lt;="&amp;DATE(2024,11,30),'2024数据'!$AF$3:$AF$152,$E1224)</f>
        <v>4</v>
      </c>
      <c r="Q1224" s="105">
        <f>COUNTIFS('2024数据'!$S$3:$S$152,"&gt;="&amp;DATE(2024,12,1),'2024数据'!$S$3:$S$152,"&lt;="&amp;DATE(2024,12,31),'2024数据'!$AF$3:$AF$152,$E1224)</f>
        <v>1</v>
      </c>
    </row>
    <row r="1225" ht="24" customHeight="1" spans="1:17">
      <c r="A1225" s="99" t="s">
        <v>348</v>
      </c>
      <c r="B1225" s="99" t="s">
        <v>290</v>
      </c>
      <c r="C1225" s="99" t="s">
        <v>291</v>
      </c>
      <c r="D1225" s="48" t="s">
        <v>296</v>
      </c>
      <c r="E1225" s="48" t="s">
        <v>82</v>
      </c>
      <c r="F1225" s="105">
        <f>COUNTIFS('2024数据'!$S$3:$S$152,"&gt;="&amp;DATE(2023,1,1),'2024数据'!$S$3:$S$152,"&lt;="&amp;DATE(2024,1,31),'2024数据'!$AF$3:$AF$152,$E1225)</f>
        <v>1</v>
      </c>
      <c r="G1225" s="105">
        <f>COUNTIFS('2024数据'!$S$3:$S$152,"&gt;="&amp;DATE(2024,2,1),'2024数据'!$S$3:$S$152,"&lt;="&amp;DATE(2024,2,29),'2024数据'!$AF$3:$AF$152,$E1225)</f>
        <v>2</v>
      </c>
      <c r="H1225" s="105">
        <f>COUNTIFS('2024数据'!$S$3:$S$152,"&gt;="&amp;DATE(2024,3,1),'2024数据'!$S$3:$S$152,"&lt;="&amp;DATE(2024,3,31),'2024数据'!$AF$3:$AF$152,$E1225)</f>
        <v>2</v>
      </c>
      <c r="I1225" s="105">
        <f>COUNTIFS('2024数据'!$S$3:$S$152,"&gt;="&amp;DATE(2024,4,1),'2024数据'!$S$3:$S$152,"&lt;="&amp;DATE(2024,4,30),'2024数据'!$AF$3:$AF$152,$E1225)</f>
        <v>3</v>
      </c>
      <c r="J1225" s="105">
        <f>COUNTIFS('2024数据'!$S$3:$S$152,"&gt;="&amp;DATE(2024,5,1),'2024数据'!$S$3:$S$152,"&lt;="&amp;DATE(2024,5,31),'2024数据'!$AF$3:$AF$152,$E1225)</f>
        <v>0</v>
      </c>
      <c r="K1225" s="105">
        <f>COUNTIFS('2024数据'!$S$3:$S$152,"&gt;="&amp;DATE(2024,6,1),'2024数据'!$S$3:$S$152,"&lt;="&amp;DATE(2024,6,30),'2024数据'!$AF$3:$AF$152,$E1225)</f>
        <v>1</v>
      </c>
      <c r="L1225" s="105">
        <f>COUNTIFS('2024数据'!$S$3:$S$152,"&gt;="&amp;DATE(2024,7,1),'2024数据'!$S$3:$S$152,"&lt;="&amp;DATE(2024,7,31),'2024数据'!$AF$3:$AF$152,$E1225)</f>
        <v>2</v>
      </c>
      <c r="M1225" s="105">
        <f>COUNTIFS('2024数据'!$S$3:$S$152,"&gt;="&amp;DATE(2024,8,1),'2024数据'!$S$3:$S$152,"&lt;="&amp;DATE(2024,8,31),'2024数据'!$AF$3:$AF$152,$E1225)</f>
        <v>0</v>
      </c>
      <c r="N1225" s="105">
        <f>COUNTIFS('2024数据'!$S$3:$S$152,"&gt;="&amp;DATE(2024,9,1),'2024数据'!$S$3:$S$152,"&lt;="&amp;DATE(2024,9,30),'2024数据'!$AF$3:$AF$152,$E1225)</f>
        <v>1</v>
      </c>
      <c r="O1225" s="105">
        <f>COUNTIFS('2024数据'!$S$3:$S$152,"&gt;="&amp;DATE(2024,10,1),'2024数据'!$S$3:$S$152,"&lt;="&amp;DATE(2024,10,31),'2024数据'!$AF$3:$AF$152,$E1225)</f>
        <v>2</v>
      </c>
      <c r="P1225" s="105">
        <f>COUNTIFS('2024数据'!$S$3:$S$152,"&gt;="&amp;DATE(2024,11,1),'2024数据'!$S$3:$S$152,"&lt;="&amp;DATE(2024,11,30),'2024数据'!$AF$3:$AF$152,$E1225)</f>
        <v>1</v>
      </c>
      <c r="Q1225" s="105">
        <f>COUNTIFS('2024数据'!$S$3:$S$152,"&gt;="&amp;DATE(2024,12,1),'2024数据'!$S$3:$S$152,"&lt;="&amp;DATE(2024,12,31),'2024数据'!$AF$3:$AF$152,$E1225)</f>
        <v>0</v>
      </c>
    </row>
    <row r="1226" ht="24" customHeight="1" spans="1:17">
      <c r="A1226" s="99" t="s">
        <v>348</v>
      </c>
      <c r="B1226" s="99" t="s">
        <v>290</v>
      </c>
      <c r="C1226" s="99" t="s">
        <v>291</v>
      </c>
      <c r="D1226" s="48" t="s">
        <v>296</v>
      </c>
      <c r="E1226" s="48" t="s">
        <v>86</v>
      </c>
      <c r="F1226" s="105">
        <f>COUNTIFS('2024数据'!$S$3:$S$152,"&gt;="&amp;DATE(2023,1,1),'2024数据'!$S$3:$S$152,"&lt;="&amp;DATE(2024,1,31),'2024数据'!$AF$3:$AF$152,$E1226)</f>
        <v>0</v>
      </c>
      <c r="G1226" s="105">
        <f>COUNTIFS('2024数据'!$S$3:$S$152,"&gt;="&amp;DATE(2024,2,1),'2024数据'!$S$3:$S$152,"&lt;="&amp;DATE(2024,2,29),'2024数据'!$AF$3:$AF$152,$E1226)</f>
        <v>0</v>
      </c>
      <c r="H1226" s="105">
        <f>COUNTIFS('2024数据'!$S$3:$S$152,"&gt;="&amp;DATE(2024,3,1),'2024数据'!$S$3:$S$152,"&lt;="&amp;DATE(2024,3,31),'2024数据'!$AF$3:$AF$152,$E1226)</f>
        <v>2</v>
      </c>
      <c r="I1226" s="105">
        <f>COUNTIFS('2024数据'!$S$3:$S$152,"&gt;="&amp;DATE(2024,4,1),'2024数据'!$S$3:$S$152,"&lt;="&amp;DATE(2024,4,30),'2024数据'!$AF$3:$AF$152,$E1226)</f>
        <v>0</v>
      </c>
      <c r="J1226" s="105">
        <f>COUNTIFS('2024数据'!$S$3:$S$152,"&gt;="&amp;DATE(2024,5,1),'2024数据'!$S$3:$S$152,"&lt;="&amp;DATE(2024,5,31),'2024数据'!$AF$3:$AF$152,$E1226)</f>
        <v>2</v>
      </c>
      <c r="K1226" s="105">
        <f>COUNTIFS('2024数据'!$S$3:$S$152,"&gt;="&amp;DATE(2024,6,1),'2024数据'!$S$3:$S$152,"&lt;="&amp;DATE(2024,6,30),'2024数据'!$AF$3:$AF$152,$E1226)</f>
        <v>0</v>
      </c>
      <c r="L1226" s="105">
        <f>COUNTIFS('2024数据'!$S$3:$S$152,"&gt;="&amp;DATE(2024,7,1),'2024数据'!$S$3:$S$152,"&lt;="&amp;DATE(2024,7,31),'2024数据'!$AF$3:$AF$152,$E1226)</f>
        <v>1</v>
      </c>
      <c r="M1226" s="105">
        <f>COUNTIFS('2024数据'!$S$3:$S$152,"&gt;="&amp;DATE(2024,8,1),'2024数据'!$S$3:$S$152,"&lt;="&amp;DATE(2024,8,31),'2024数据'!$AF$3:$AF$152,$E1226)</f>
        <v>1</v>
      </c>
      <c r="N1226" s="105">
        <f>COUNTIFS('2024数据'!$S$3:$S$152,"&gt;="&amp;DATE(2024,9,1),'2024数据'!$S$3:$S$152,"&lt;="&amp;DATE(2024,9,30),'2024数据'!$AF$3:$AF$152,$E1226)</f>
        <v>1</v>
      </c>
      <c r="O1226" s="105">
        <f>COUNTIFS('2024数据'!$S$3:$S$152,"&gt;="&amp;DATE(2024,10,1),'2024数据'!$S$3:$S$152,"&lt;="&amp;DATE(2024,10,31),'2024数据'!$AF$3:$AF$152,$E1226)</f>
        <v>2</v>
      </c>
      <c r="P1226" s="105">
        <f>COUNTIFS('2024数据'!$S$3:$S$152,"&gt;="&amp;DATE(2024,11,1),'2024数据'!$S$3:$S$152,"&lt;="&amp;DATE(2024,11,30),'2024数据'!$AF$3:$AF$152,$E1226)</f>
        <v>1</v>
      </c>
      <c r="Q1226" s="105">
        <f>COUNTIFS('2024数据'!$S$3:$S$152,"&gt;="&amp;DATE(2024,12,1),'2024数据'!$S$3:$S$152,"&lt;="&amp;DATE(2024,12,31),'2024数据'!$AF$3:$AF$152,$E1226)</f>
        <v>0</v>
      </c>
    </row>
    <row r="1227" ht="24" customHeight="1" spans="1:17">
      <c r="A1227" s="99" t="s">
        <v>348</v>
      </c>
      <c r="B1227" s="99" t="s">
        <v>290</v>
      </c>
      <c r="C1227" s="99" t="s">
        <v>291</v>
      </c>
      <c r="D1227" s="100" t="s">
        <v>292</v>
      </c>
      <c r="E1227" s="100" t="s">
        <v>297</v>
      </c>
      <c r="F1227" s="104">
        <f t="shared" ref="F1227:Q1227" si="895">SUM(F1228:F1230)</f>
        <v>4</v>
      </c>
      <c r="G1227" s="104">
        <f t="shared" si="895"/>
        <v>1</v>
      </c>
      <c r="H1227" s="104">
        <f t="shared" si="895"/>
        <v>5</v>
      </c>
      <c r="I1227" s="104">
        <f t="shared" si="895"/>
        <v>2</v>
      </c>
      <c r="J1227" s="104">
        <f t="shared" si="895"/>
        <v>1</v>
      </c>
      <c r="K1227" s="104">
        <f t="shared" si="895"/>
        <v>2</v>
      </c>
      <c r="L1227" s="104">
        <f t="shared" si="895"/>
        <v>1</v>
      </c>
      <c r="M1227" s="104">
        <f t="shared" si="895"/>
        <v>0</v>
      </c>
      <c r="N1227" s="104">
        <f t="shared" si="895"/>
        <v>1</v>
      </c>
      <c r="O1227" s="104">
        <f t="shared" si="895"/>
        <v>4</v>
      </c>
      <c r="P1227" s="104">
        <f t="shared" si="895"/>
        <v>3</v>
      </c>
      <c r="Q1227" s="104">
        <f t="shared" si="895"/>
        <v>1</v>
      </c>
    </row>
    <row r="1228" ht="24" customHeight="1" spans="1:17">
      <c r="A1228" s="99" t="s">
        <v>348</v>
      </c>
      <c r="B1228" s="99" t="s">
        <v>290</v>
      </c>
      <c r="C1228" s="99" t="s">
        <v>291</v>
      </c>
      <c r="D1228" s="48" t="s">
        <v>298</v>
      </c>
      <c r="E1228" s="48" t="s">
        <v>97</v>
      </c>
      <c r="F1228" s="105">
        <f>COUNTIFS('2024数据'!$S$3:$S$152,"&gt;="&amp;DATE(2023,1,1),'2024数据'!$S$3:$S$152,"&lt;="&amp;DATE(2024,1,31),'2024数据'!$AG$3:$AG$152,$E1228)</f>
        <v>2</v>
      </c>
      <c r="G1228" s="105">
        <f>COUNTIFS('2024数据'!$S$3:$S$152,"&gt;="&amp;DATE(2024,2,1),'2024数据'!$S$3:$S$152,"&lt;="&amp;DATE(2024,2,29),'2024数据'!$AG$3:$AG$152,$E1228)</f>
        <v>0</v>
      </c>
      <c r="H1228" s="105">
        <f>COUNTIFS('2024数据'!$S$3:$S$152,"&gt;="&amp;DATE(2024,3,1),'2024数据'!$S$3:$S$152,"&lt;="&amp;DATE(2024,3,31),'2024数据'!$AG$3:$AG$152,$E1228)</f>
        <v>2</v>
      </c>
      <c r="I1228" s="105">
        <f>COUNTIFS('2024数据'!$S$3:$S$152,"&gt;="&amp;DATE(2024,4,1),'2024数据'!$S$3:$S$152,"&lt;="&amp;DATE(2024,4,30),'2024数据'!$AG$3:$AG$152,$E1228)</f>
        <v>2</v>
      </c>
      <c r="J1228" s="105">
        <f>COUNTIFS('2024数据'!$S$3:$S$152,"&gt;="&amp;DATE(2024,5,1),'2024数据'!$S$3:$S$152,"&lt;="&amp;DATE(2024,5,31),'2024数据'!$AG$3:$AG$152,$E1228)</f>
        <v>1</v>
      </c>
      <c r="K1228" s="105">
        <f>COUNTIFS('2024数据'!$S$3:$S$152,"&gt;="&amp;DATE(2024,6,1),'2024数据'!$S$3:$S$152,"&lt;="&amp;DATE(2024,6,30),'2024数据'!$AG$3:$AG$152,$E1228)</f>
        <v>2</v>
      </c>
      <c r="L1228" s="105">
        <f>COUNTIFS('2024数据'!$S$3:$S$152,"&gt;="&amp;DATE(2024,7,1),'2024数据'!$S$3:$S$152,"&lt;="&amp;DATE(2024,7,31),'2024数据'!$AG$3:$AG$152,$E1228)</f>
        <v>1</v>
      </c>
      <c r="M1228" s="105">
        <f>COUNTIFS('2024数据'!$S$3:$S$152,"&gt;="&amp;DATE(2024,8,1),'2024数据'!$S$3:$S$152,"&lt;="&amp;DATE(2024,8,31),'2024数据'!$AG$3:$AG$152,$E1228)</f>
        <v>0</v>
      </c>
      <c r="N1228" s="105">
        <f>COUNTIFS('2024数据'!$S$3:$S$152,"&gt;="&amp;DATE(2024,9,1),'2024数据'!$S$3:$S$152,"&lt;="&amp;DATE(2024,9,30),'2024数据'!$AG$3:$AG$152,$E1228)</f>
        <v>0</v>
      </c>
      <c r="O1228" s="105">
        <f>COUNTIFS('2024数据'!$S$3:$S$152,"&gt;="&amp;DATE(2024,10,1),'2024数据'!$S$3:$S$152,"&lt;="&amp;DATE(2024,10,31),'2024数据'!$AG$3:$AG$152,$E1228)</f>
        <v>3</v>
      </c>
      <c r="P1228" s="105">
        <f>COUNTIFS('2024数据'!$S$3:$S$152,"&gt;="&amp;DATE(2024,11,1),'2024数据'!$S$3:$S$152,"&lt;="&amp;DATE(2024,11,30),'2024数据'!$AG$3:$AG$152,$E1228)</f>
        <v>0</v>
      </c>
      <c r="Q1228" s="105">
        <f>COUNTIFS('2024数据'!$S$3:$S$152,"&gt;="&amp;DATE(2024,12,1),'2024数据'!$S$3:$S$152,"&lt;="&amp;DATE(2024,12,31),'2024数据'!$AG$3:$AG$152,$E1228)</f>
        <v>1</v>
      </c>
    </row>
    <row r="1229" ht="24" customHeight="1" spans="1:17">
      <c r="A1229" s="99" t="s">
        <v>348</v>
      </c>
      <c r="B1229" s="99" t="s">
        <v>290</v>
      </c>
      <c r="C1229" s="99" t="s">
        <v>291</v>
      </c>
      <c r="D1229" s="48" t="s">
        <v>298</v>
      </c>
      <c r="E1229" s="48" t="s">
        <v>87</v>
      </c>
      <c r="F1229" s="105">
        <f>COUNTIFS('2024数据'!$S$3:$S$152,"&gt;="&amp;DATE(2023,1,1),'2024数据'!$S$3:$S$152,"&lt;="&amp;DATE(2024,1,31),'2024数据'!$AG$3:$AG$152,$E1229)</f>
        <v>2</v>
      </c>
      <c r="G1229" s="105">
        <f>COUNTIFS('2024数据'!$S$3:$S$152,"&gt;="&amp;DATE(2024,2,1),'2024数据'!$S$3:$S$152,"&lt;="&amp;DATE(2024,2,29),'2024数据'!$AG$3:$AG$152,$E1229)</f>
        <v>1</v>
      </c>
      <c r="H1229" s="105">
        <f>COUNTIFS('2024数据'!$S$3:$S$152,"&gt;="&amp;DATE(2024,3,1),'2024数据'!$S$3:$S$152,"&lt;="&amp;DATE(2024,3,31),'2024数据'!$AG$3:$AG$152,$E1229)</f>
        <v>3</v>
      </c>
      <c r="I1229" s="105">
        <f>COUNTIFS('2024数据'!$S$3:$S$152,"&gt;="&amp;DATE(2024,4,1),'2024数据'!$S$3:$S$152,"&lt;="&amp;DATE(2024,4,30),'2024数据'!$AG$3:$AG$152,$E1229)</f>
        <v>0</v>
      </c>
      <c r="J1229" s="105">
        <f>COUNTIFS('2024数据'!$S$3:$S$152,"&gt;="&amp;DATE(2024,5,1),'2024数据'!$S$3:$S$152,"&lt;="&amp;DATE(2024,5,31),'2024数据'!$AG$3:$AG$152,$E1229)</f>
        <v>0</v>
      </c>
      <c r="K1229" s="105">
        <f>COUNTIFS('2024数据'!$S$3:$S$152,"&gt;="&amp;DATE(2024,6,1),'2024数据'!$S$3:$S$152,"&lt;="&amp;DATE(2024,6,30),'2024数据'!$AG$3:$AG$152,$E1229)</f>
        <v>0</v>
      </c>
      <c r="L1229" s="105">
        <f>COUNTIFS('2024数据'!$S$3:$S$152,"&gt;="&amp;DATE(2024,7,1),'2024数据'!$S$3:$S$152,"&lt;="&amp;DATE(2024,7,31),'2024数据'!$AG$3:$AG$152,$E1229)</f>
        <v>0</v>
      </c>
      <c r="M1229" s="105">
        <f>COUNTIFS('2024数据'!$S$3:$S$152,"&gt;="&amp;DATE(2024,8,1),'2024数据'!$S$3:$S$152,"&lt;="&amp;DATE(2024,8,31),'2024数据'!$AG$3:$AG$152,$E1229)</f>
        <v>0</v>
      </c>
      <c r="N1229" s="105">
        <f>COUNTIFS('2024数据'!$S$3:$S$152,"&gt;="&amp;DATE(2024,9,1),'2024数据'!$S$3:$S$152,"&lt;="&amp;DATE(2024,9,30),'2024数据'!$AG$3:$AG$152,$E1229)</f>
        <v>1</v>
      </c>
      <c r="O1229" s="105">
        <f>COUNTIFS('2024数据'!$S$3:$S$152,"&gt;="&amp;DATE(2024,10,1),'2024数据'!$S$3:$S$152,"&lt;="&amp;DATE(2024,10,31),'2024数据'!$AG$3:$AG$152,$E1229)</f>
        <v>0</v>
      </c>
      <c r="P1229" s="105">
        <f>COUNTIFS('2024数据'!$S$3:$S$152,"&gt;="&amp;DATE(2024,11,1),'2024数据'!$S$3:$S$152,"&lt;="&amp;DATE(2024,11,30),'2024数据'!$AG$3:$AG$152,$E1229)</f>
        <v>2</v>
      </c>
      <c r="Q1229" s="105">
        <f>COUNTIFS('2024数据'!$S$3:$S$152,"&gt;="&amp;DATE(2024,12,1),'2024数据'!$S$3:$S$152,"&lt;="&amp;DATE(2024,12,31),'2024数据'!$AG$3:$AG$152,$E1229)</f>
        <v>0</v>
      </c>
    </row>
    <row r="1230" ht="24" customHeight="1" spans="1:17">
      <c r="A1230" s="99" t="s">
        <v>348</v>
      </c>
      <c r="B1230" s="99" t="s">
        <v>290</v>
      </c>
      <c r="C1230" s="99" t="s">
        <v>291</v>
      </c>
      <c r="D1230" s="48" t="s">
        <v>298</v>
      </c>
      <c r="E1230" s="48" t="s">
        <v>83</v>
      </c>
      <c r="F1230" s="105">
        <f>COUNTIFS('2024数据'!$S$3:$S$152,"&gt;="&amp;DATE(2023,1,1),'2024数据'!$S$3:$S$152,"&lt;="&amp;DATE(2024,1,31),'2024数据'!$AG$3:$AG$152,$E1230)</f>
        <v>0</v>
      </c>
      <c r="G1230" s="105">
        <f>COUNTIFS('2024数据'!$S$3:$S$152,"&gt;="&amp;DATE(2024,2,1),'2024数据'!$S$3:$S$152,"&lt;="&amp;DATE(2024,2,29),'2024数据'!$AG$3:$AG$152,$E1230)</f>
        <v>0</v>
      </c>
      <c r="H1230" s="105">
        <f>COUNTIFS('2024数据'!$S$3:$S$152,"&gt;="&amp;DATE(2024,3,1),'2024数据'!$S$3:$S$152,"&lt;="&amp;DATE(2024,3,31),'2024数据'!$AG$3:$AG$152,$E1230)</f>
        <v>0</v>
      </c>
      <c r="I1230" s="105">
        <f>COUNTIFS('2024数据'!$S$3:$S$152,"&gt;="&amp;DATE(2024,4,1),'2024数据'!$S$3:$S$152,"&lt;="&amp;DATE(2024,4,30),'2024数据'!$AG$3:$AG$152,$E1230)</f>
        <v>0</v>
      </c>
      <c r="J1230" s="105">
        <f>COUNTIFS('2024数据'!$S$3:$S$152,"&gt;="&amp;DATE(2024,5,1),'2024数据'!$S$3:$S$152,"&lt;="&amp;DATE(2024,5,31),'2024数据'!$AG$3:$AG$152,$E1230)</f>
        <v>0</v>
      </c>
      <c r="K1230" s="105">
        <f>COUNTIFS('2024数据'!$S$3:$S$152,"&gt;="&amp;DATE(2024,6,1),'2024数据'!$S$3:$S$152,"&lt;="&amp;DATE(2024,6,30),'2024数据'!$AG$3:$AG$152,$E1230)</f>
        <v>0</v>
      </c>
      <c r="L1230" s="105">
        <f>COUNTIFS('2024数据'!$S$3:$S$152,"&gt;="&amp;DATE(2024,7,1),'2024数据'!$S$3:$S$152,"&lt;="&amp;DATE(2024,7,31),'2024数据'!$AG$3:$AG$152,$E1230)</f>
        <v>0</v>
      </c>
      <c r="M1230" s="105">
        <f>COUNTIFS('2024数据'!$S$3:$S$152,"&gt;="&amp;DATE(2024,8,1),'2024数据'!$S$3:$S$152,"&lt;="&amp;DATE(2024,8,31),'2024数据'!$AG$3:$AG$152,$E1230)</f>
        <v>0</v>
      </c>
      <c r="N1230" s="105">
        <f>COUNTIFS('2024数据'!$S$3:$S$152,"&gt;="&amp;DATE(2024,9,1),'2024数据'!$S$3:$S$152,"&lt;="&amp;DATE(2024,9,30),'2024数据'!$AG$3:$AG$152,$E1230)</f>
        <v>0</v>
      </c>
      <c r="O1230" s="105">
        <f>COUNTIFS('2024数据'!$S$3:$S$152,"&gt;="&amp;DATE(2024,10,1),'2024数据'!$S$3:$S$152,"&lt;="&amp;DATE(2024,10,31),'2024数据'!$AG$3:$AG$152,$E1230)</f>
        <v>1</v>
      </c>
      <c r="P1230" s="105">
        <f>COUNTIFS('2024数据'!$S$3:$S$152,"&gt;="&amp;DATE(2024,11,1),'2024数据'!$S$3:$S$152,"&lt;="&amp;DATE(2024,11,30),'2024数据'!$AG$3:$AG$152,$E1230)</f>
        <v>1</v>
      </c>
      <c r="Q1230" s="105">
        <f>COUNTIFS('2024数据'!$S$3:$S$152,"&gt;="&amp;DATE(2024,12,1),'2024数据'!$S$3:$S$152,"&lt;="&amp;DATE(2024,12,31),'2024数据'!$AG$3:$AG$152,$E1230)</f>
        <v>0</v>
      </c>
    </row>
    <row r="1231" ht="24" customHeight="1" spans="1:17">
      <c r="A1231" s="99" t="s">
        <v>348</v>
      </c>
      <c r="B1231" s="99" t="s">
        <v>299</v>
      </c>
      <c r="C1231" s="99" t="s">
        <v>291</v>
      </c>
      <c r="D1231" s="100" t="s">
        <v>292</v>
      </c>
      <c r="E1231" s="100" t="s">
        <v>300</v>
      </c>
      <c r="F1231" s="104">
        <f t="shared" ref="F1231:Q1231" si="896">IF((SUM(F1232:F1237)-MAX(F1261,F1265))&lt;0,"ERR",SUM(F1232:F1237))</f>
        <v>2</v>
      </c>
      <c r="G1231" s="104">
        <f t="shared" si="896"/>
        <v>3</v>
      </c>
      <c r="H1231" s="104">
        <f t="shared" si="896"/>
        <v>5</v>
      </c>
      <c r="I1231" s="104">
        <f t="shared" si="896"/>
        <v>6</v>
      </c>
      <c r="J1231" s="104">
        <f t="shared" si="896"/>
        <v>6</v>
      </c>
      <c r="K1231" s="104">
        <f t="shared" si="896"/>
        <v>6</v>
      </c>
      <c r="L1231" s="104">
        <f t="shared" si="896"/>
        <v>4</v>
      </c>
      <c r="M1231" s="104">
        <f t="shared" si="896"/>
        <v>2</v>
      </c>
      <c r="N1231" s="104">
        <f t="shared" si="896"/>
        <v>1</v>
      </c>
      <c r="O1231" s="104">
        <f t="shared" si="896"/>
        <v>3</v>
      </c>
      <c r="P1231" s="104">
        <f t="shared" si="896"/>
        <v>4</v>
      </c>
      <c r="Q1231" s="104">
        <f t="shared" si="896"/>
        <v>7</v>
      </c>
    </row>
    <row r="1232" ht="24" customHeight="1" spans="1:17">
      <c r="A1232" s="99" t="s">
        <v>348</v>
      </c>
      <c r="B1232" s="99" t="s">
        <v>299</v>
      </c>
      <c r="C1232" s="99" t="s">
        <v>291</v>
      </c>
      <c r="D1232" s="48" t="s">
        <v>31</v>
      </c>
      <c r="E1232" s="48" t="s">
        <v>406</v>
      </c>
      <c r="F1232" s="105">
        <f>COUNTIFS('2024数据'!$T$3:$T$152,"&gt;="&amp;DATE(2024,1,1),'2024数据'!$T$3:$T$152,"&lt;="&amp;DATE(2024,1,31),'2024数据'!$AE$3:$AE$152,$E1232)</f>
        <v>0</v>
      </c>
      <c r="G1232" s="105">
        <f>COUNTIFS('2024数据'!$T$3:$T$152,"&gt;="&amp;DATE(2024,2,1),'2024数据'!$T$3:$T$152,"&lt;="&amp;DATE(2024,2,29),'2024数据'!$AE$3:$AE$152,$E1232)</f>
        <v>2</v>
      </c>
      <c r="H1232" s="105">
        <f>COUNTIFS('2024数据'!$T$3:$T$152,"&gt;="&amp;DATE(2024,3,1),'2024数据'!$T$3:$T$152,"&lt;="&amp;DATE(2024,3,31),'2024数据'!$AE$3:$AE$152,$E1232)</f>
        <v>2</v>
      </c>
      <c r="I1232" s="105">
        <f>COUNTIFS('2024数据'!$T$3:$T$152,"&gt;="&amp;DATE(2024,4,1),'2024数据'!$T$3:$T$152,"&lt;="&amp;DATE(2024,4,30),'2024数据'!$AE$3:$AE$152,$E1232)</f>
        <v>2</v>
      </c>
      <c r="J1232" s="105">
        <f>COUNTIFS('2024数据'!$T$3:$T$152,"&gt;="&amp;DATE(2024,5,1),'2024数据'!$T$3:$T$152,"&lt;="&amp;DATE(2024,5,31),'2024数据'!$AE$3:$AE$152,$E1232)</f>
        <v>2</v>
      </c>
      <c r="K1232" s="105">
        <f>COUNTIFS('2024数据'!$T$3:$T$152,"&gt;="&amp;DATE(2024,6,1),'2024数据'!$T$3:$T$152,"&lt;="&amp;DATE(2024,6,30),'2024数据'!$AE$3:$AE$152,$E1232)</f>
        <v>3</v>
      </c>
      <c r="L1232" s="105">
        <f>COUNTIFS('2024数据'!$T$3:$T$152,"&gt;="&amp;DATE(2024,7,1),'2024数据'!$T$3:$T$152,"&lt;="&amp;DATE(2024,7,31),'2024数据'!$AE$3:$AE$152,$E1232)</f>
        <v>1</v>
      </c>
      <c r="M1232" s="105">
        <f>COUNTIFS('2024数据'!$T$3:$T$152,"&gt;="&amp;DATE(2024,8,1),'2024数据'!$T$3:$T$152,"&lt;="&amp;DATE(2024,8,31),'2024数据'!$AE$3:$AE$152,$E1232)</f>
        <v>0</v>
      </c>
      <c r="N1232" s="105">
        <f>COUNTIFS('2024数据'!$T$3:$T$152,"&gt;="&amp;DATE(2024,9,1),'2024数据'!$T$3:$T$152,"&lt;="&amp;DATE(2024,9,30),'2024数据'!$AE$3:$AE$152,$E1232)</f>
        <v>1</v>
      </c>
      <c r="O1232" s="105">
        <f>COUNTIFS('2024数据'!$T$3:$T$152,"&gt;="&amp;DATE(2024,10,1),'2024数据'!$T$3:$T$152,"&lt;="&amp;DATE(2024,10,31),'2024数据'!$AE$3:$AE$152,$E1232)</f>
        <v>0</v>
      </c>
      <c r="P1232" s="105">
        <f>COUNTIFS('2024数据'!$T$3:$T$152,"&gt;="&amp;DATE(2024,11,1),'2024数据'!$T$3:$T$152,"&lt;="&amp;DATE(2024,11,30),'2024数据'!$AE$3:$AE$152,$E1232)</f>
        <v>0</v>
      </c>
      <c r="Q1232" s="105">
        <f>COUNTIFS('2024数据'!$T$3:$T$152,"&gt;="&amp;DATE(2024,12,1),'2024数据'!$T$3:$T$152,"&lt;="&amp;DATE(2024,12,31),'2024数据'!$AE$3:$AE$152,$E1232)</f>
        <v>3</v>
      </c>
    </row>
    <row r="1233" ht="24" customHeight="1" spans="1:17">
      <c r="A1233" s="99" t="s">
        <v>348</v>
      </c>
      <c r="B1233" s="99" t="s">
        <v>299</v>
      </c>
      <c r="C1233" s="99" t="s">
        <v>291</v>
      </c>
      <c r="D1233" s="48" t="s">
        <v>31</v>
      </c>
      <c r="E1233" s="48" t="s">
        <v>82</v>
      </c>
      <c r="F1233" s="105">
        <f>COUNTIFS('2024数据'!$T$3:$T$152,"&gt;="&amp;DATE(2024,1,1),'2024数据'!$T$3:$T$152,"&lt;="&amp;DATE(2024,1,31),'2024数据'!$AE$3:$AE$152,$E1233)</f>
        <v>1</v>
      </c>
      <c r="G1233" s="105">
        <f>COUNTIFS('2024数据'!$T$3:$T$152,"&gt;="&amp;DATE(2024,2,1),'2024数据'!$T$3:$T$152,"&lt;="&amp;DATE(2024,2,29),'2024数据'!$AE$3:$AE$152,$E1233)</f>
        <v>0</v>
      </c>
      <c r="H1233" s="105">
        <f>COUNTIFS('2024数据'!$T$3:$T$152,"&gt;="&amp;DATE(2024,3,1),'2024数据'!$T$3:$T$152,"&lt;="&amp;DATE(2024,3,31),'2024数据'!$AE$3:$AE$152,$E1233)</f>
        <v>2</v>
      </c>
      <c r="I1233" s="105">
        <f>COUNTIFS('2024数据'!$T$3:$T$152,"&gt;="&amp;DATE(2024,4,1),'2024数据'!$T$3:$T$152,"&lt;="&amp;DATE(2024,4,30),'2024数据'!$AE$3:$AE$152,$E1233)</f>
        <v>1</v>
      </c>
      <c r="J1233" s="105">
        <f>COUNTIFS('2024数据'!$T$3:$T$152,"&gt;="&amp;DATE(2024,5,1),'2024数据'!$T$3:$T$152,"&lt;="&amp;DATE(2024,5,31),'2024数据'!$AE$3:$AE$152,$E1233)</f>
        <v>3</v>
      </c>
      <c r="K1233" s="105">
        <f>COUNTIFS('2024数据'!$T$3:$T$152,"&gt;="&amp;DATE(2024,6,1),'2024数据'!$T$3:$T$152,"&lt;="&amp;DATE(2024,6,30),'2024数据'!$AE$3:$AE$152,$E1233)</f>
        <v>1</v>
      </c>
      <c r="L1233" s="105">
        <f>COUNTIFS('2024数据'!$T$3:$T$152,"&gt;="&amp;DATE(2024,7,1),'2024数据'!$T$3:$T$152,"&lt;="&amp;DATE(2024,7,31),'2024数据'!$AE$3:$AE$152,$E1233)</f>
        <v>2</v>
      </c>
      <c r="M1233" s="105">
        <f>COUNTIFS('2024数据'!$T$3:$T$152,"&gt;="&amp;DATE(2024,8,1),'2024数据'!$T$3:$T$152,"&lt;="&amp;DATE(2024,8,31),'2024数据'!$AE$3:$AE$152,$E1233)</f>
        <v>0</v>
      </c>
      <c r="N1233" s="105">
        <f>COUNTIFS('2024数据'!$T$3:$T$152,"&gt;="&amp;DATE(2024,9,1),'2024数据'!$T$3:$T$152,"&lt;="&amp;DATE(2024,9,30),'2024数据'!$AE$3:$AE$152,$E1233)</f>
        <v>0</v>
      </c>
      <c r="O1233" s="105">
        <f>COUNTIFS('2024数据'!$T$3:$T$152,"&gt;="&amp;DATE(2024,10,1),'2024数据'!$T$3:$T$152,"&lt;="&amp;DATE(2024,10,31),'2024数据'!$AE$3:$AE$152,$E1233)</f>
        <v>1</v>
      </c>
      <c r="P1233" s="105">
        <f>COUNTIFS('2024数据'!$T$3:$T$152,"&gt;="&amp;DATE(2024,11,1),'2024数据'!$T$3:$T$152,"&lt;="&amp;DATE(2024,11,30),'2024数据'!$AE$3:$AE$152,$E1233)</f>
        <v>2</v>
      </c>
      <c r="Q1233" s="105">
        <f>COUNTIFS('2024数据'!$T$3:$T$152,"&gt;="&amp;DATE(2024,12,1),'2024数据'!$T$3:$T$152,"&lt;="&amp;DATE(2024,12,31),'2024数据'!$AE$3:$AE$152,$E1233)</f>
        <v>0</v>
      </c>
    </row>
    <row r="1234" ht="24" customHeight="1" spans="1:17">
      <c r="A1234" s="99" t="s">
        <v>348</v>
      </c>
      <c r="B1234" s="99" t="s">
        <v>299</v>
      </c>
      <c r="C1234" s="99" t="s">
        <v>291</v>
      </c>
      <c r="D1234" s="48" t="s">
        <v>31</v>
      </c>
      <c r="E1234" s="48" t="s">
        <v>86</v>
      </c>
      <c r="F1234" s="105">
        <f>COUNTIFS('2024数据'!$T$3:$T$152,"&gt;="&amp;DATE(2024,1,1),'2024数据'!$T$3:$T$152,"&lt;="&amp;DATE(2024,1,31),'2024数据'!$AE$3:$AE$152,$E1234)</f>
        <v>0</v>
      </c>
      <c r="G1234" s="105">
        <f>COUNTIFS('2024数据'!$T$3:$T$152,"&gt;="&amp;DATE(2024,2,1),'2024数据'!$T$3:$T$152,"&lt;="&amp;DATE(2024,2,29),'2024数据'!$AE$3:$AE$152,$E1234)</f>
        <v>0</v>
      </c>
      <c r="H1234" s="105">
        <f>COUNTIFS('2024数据'!$T$3:$T$152,"&gt;="&amp;DATE(2024,3,1),'2024数据'!$T$3:$T$152,"&lt;="&amp;DATE(2024,3,31),'2024数据'!$AE$3:$AE$152,$E1234)</f>
        <v>1</v>
      </c>
      <c r="I1234" s="105">
        <f>COUNTIFS('2024数据'!$T$3:$T$152,"&gt;="&amp;DATE(2024,4,1),'2024数据'!$T$3:$T$152,"&lt;="&amp;DATE(2024,4,30),'2024数据'!$AE$3:$AE$152,$E1234)</f>
        <v>1</v>
      </c>
      <c r="J1234" s="105">
        <f>COUNTIFS('2024数据'!$T$3:$T$152,"&gt;="&amp;DATE(2024,5,1),'2024数据'!$T$3:$T$152,"&lt;="&amp;DATE(2024,5,31),'2024数据'!$AE$3:$AE$152,$E1234)</f>
        <v>1</v>
      </c>
      <c r="K1234" s="105">
        <f>COUNTIFS('2024数据'!$T$3:$T$152,"&gt;="&amp;DATE(2024,6,1),'2024数据'!$T$3:$T$152,"&lt;="&amp;DATE(2024,6,30),'2024数据'!$AE$3:$AE$152,$E1234)</f>
        <v>1</v>
      </c>
      <c r="L1234" s="105">
        <f>COUNTIFS('2024数据'!$T$3:$T$152,"&gt;="&amp;DATE(2024,7,1),'2024数据'!$T$3:$T$152,"&lt;="&amp;DATE(2024,7,31),'2024数据'!$AE$3:$AE$152,$E1234)</f>
        <v>0</v>
      </c>
      <c r="M1234" s="105">
        <f>COUNTIFS('2024数据'!$T$3:$T$152,"&gt;="&amp;DATE(2024,8,1),'2024数据'!$T$3:$T$152,"&lt;="&amp;DATE(2024,8,31),'2024数据'!$AE$3:$AE$152,$E1234)</f>
        <v>2</v>
      </c>
      <c r="N1234" s="105">
        <f>COUNTIFS('2024数据'!$T$3:$T$152,"&gt;="&amp;DATE(2024,9,1),'2024数据'!$T$3:$T$152,"&lt;="&amp;DATE(2024,9,30),'2024数据'!$AE$3:$AE$152,$E1234)</f>
        <v>0</v>
      </c>
      <c r="O1234" s="105">
        <f>COUNTIFS('2024数据'!$T$3:$T$152,"&gt;="&amp;DATE(2024,10,1),'2024数据'!$T$3:$T$152,"&lt;="&amp;DATE(2024,10,31),'2024数据'!$AE$3:$AE$152,$E1234)</f>
        <v>2</v>
      </c>
      <c r="P1234" s="105">
        <f>COUNTIFS('2024数据'!$T$3:$T$152,"&gt;="&amp;DATE(2024,11,1),'2024数据'!$T$3:$T$152,"&lt;="&amp;DATE(2024,11,30),'2024数据'!$AE$3:$AE$152,$E1234)</f>
        <v>1</v>
      </c>
      <c r="Q1234" s="105">
        <f>COUNTIFS('2024数据'!$T$3:$T$152,"&gt;="&amp;DATE(2024,12,1),'2024数据'!$T$3:$T$152,"&lt;="&amp;DATE(2024,12,31),'2024数据'!$AE$3:$AE$152,$E1234)</f>
        <v>1</v>
      </c>
    </row>
    <row r="1235" ht="24" customHeight="1" spans="1:17">
      <c r="A1235" s="99" t="s">
        <v>348</v>
      </c>
      <c r="B1235" s="99" t="s">
        <v>299</v>
      </c>
      <c r="C1235" s="99" t="s">
        <v>291</v>
      </c>
      <c r="D1235" s="48" t="s">
        <v>31</v>
      </c>
      <c r="E1235" s="48" t="s">
        <v>97</v>
      </c>
      <c r="F1235" s="105">
        <f>COUNTIFS('2024数据'!$T$3:$T$152,"&gt;="&amp;DATE(2024,1,1),'2024数据'!$T$3:$T$152,"&lt;="&amp;DATE(2024,1,31),'2024数据'!$AE$3:$AE$152,$E1235)</f>
        <v>1</v>
      </c>
      <c r="G1235" s="105">
        <f>COUNTIFS('2024数据'!$T$3:$T$152,"&gt;="&amp;DATE(2024,2,1),'2024数据'!$T$3:$T$152,"&lt;="&amp;DATE(2024,2,29),'2024数据'!$AE$3:$AE$152,$E1235)</f>
        <v>0</v>
      </c>
      <c r="H1235" s="105">
        <f>COUNTIFS('2024数据'!$T$3:$T$152,"&gt;="&amp;DATE(2024,3,1),'2024数据'!$T$3:$T$152,"&lt;="&amp;DATE(2024,3,31),'2024数据'!$AE$3:$AE$152,$E1235)</f>
        <v>0</v>
      </c>
      <c r="I1235" s="105">
        <f>COUNTIFS('2024数据'!$T$3:$T$152,"&gt;="&amp;DATE(2024,4,1),'2024数据'!$T$3:$T$152,"&lt;="&amp;DATE(2024,4,30),'2024数据'!$AE$3:$AE$152,$E1235)</f>
        <v>1</v>
      </c>
      <c r="J1235" s="105">
        <f>COUNTIFS('2024数据'!$T$3:$T$152,"&gt;="&amp;DATE(2024,5,1),'2024数据'!$T$3:$T$152,"&lt;="&amp;DATE(2024,5,31),'2024数据'!$AE$3:$AE$152,$E1235)</f>
        <v>0</v>
      </c>
      <c r="K1235" s="105">
        <f>COUNTIFS('2024数据'!$T$3:$T$152,"&gt;="&amp;DATE(2024,6,1),'2024数据'!$T$3:$T$152,"&lt;="&amp;DATE(2024,6,30),'2024数据'!$AE$3:$AE$152,$E1235)</f>
        <v>1</v>
      </c>
      <c r="L1235" s="105">
        <f>COUNTIFS('2024数据'!$T$3:$T$152,"&gt;="&amp;DATE(2024,7,1),'2024数据'!$T$3:$T$152,"&lt;="&amp;DATE(2024,7,31),'2024数据'!$AE$3:$AE$152,$E1235)</f>
        <v>1</v>
      </c>
      <c r="M1235" s="105">
        <f>COUNTIFS('2024数据'!$T$3:$T$152,"&gt;="&amp;DATE(2024,8,1),'2024数据'!$T$3:$T$152,"&lt;="&amp;DATE(2024,8,31),'2024数据'!$AE$3:$AE$152,$E1235)</f>
        <v>0</v>
      </c>
      <c r="N1235" s="105">
        <f>COUNTIFS('2024数据'!$T$3:$T$152,"&gt;="&amp;DATE(2024,9,1),'2024数据'!$T$3:$T$152,"&lt;="&amp;DATE(2024,9,30),'2024数据'!$AE$3:$AE$152,$E1235)</f>
        <v>0</v>
      </c>
      <c r="O1235" s="105">
        <f>COUNTIFS('2024数据'!$T$3:$T$152,"&gt;="&amp;DATE(2024,10,1),'2024数据'!$T$3:$T$152,"&lt;="&amp;DATE(2024,10,31),'2024数据'!$AE$3:$AE$152,$E1235)</f>
        <v>0</v>
      </c>
      <c r="P1235" s="105">
        <f>COUNTIFS('2024数据'!$T$3:$T$152,"&gt;="&amp;DATE(2024,11,1),'2024数据'!$T$3:$T$152,"&lt;="&amp;DATE(2024,11,30),'2024数据'!$AE$3:$AE$152,$E1235)</f>
        <v>1</v>
      </c>
      <c r="Q1235" s="105">
        <f>COUNTIFS('2024数据'!$T$3:$T$152,"&gt;="&amp;DATE(2024,12,1),'2024数据'!$T$3:$T$152,"&lt;="&amp;DATE(2024,12,31),'2024数据'!$AE$3:$AE$152,$E1235)</f>
        <v>0</v>
      </c>
    </row>
    <row r="1236" ht="24" customHeight="1" spans="1:17">
      <c r="A1236" s="99" t="s">
        <v>348</v>
      </c>
      <c r="B1236" s="99" t="s">
        <v>299</v>
      </c>
      <c r="C1236" s="99" t="s">
        <v>291</v>
      </c>
      <c r="D1236" s="48" t="s">
        <v>31</v>
      </c>
      <c r="E1236" s="48" t="s">
        <v>87</v>
      </c>
      <c r="F1236" s="105">
        <f>COUNTIFS('2024数据'!$T$3:$T$152,"&gt;="&amp;DATE(2024,1,1),'2024数据'!$T$3:$T$152,"&lt;="&amp;DATE(2024,1,31),'2024数据'!$AE$3:$AE$152,$E1236)</f>
        <v>0</v>
      </c>
      <c r="G1236" s="105">
        <f>COUNTIFS('2024数据'!$T$3:$T$152,"&gt;="&amp;DATE(2024,2,1),'2024数据'!$T$3:$T$152,"&lt;="&amp;DATE(2024,2,29),'2024数据'!$AE$3:$AE$152,$E1236)</f>
        <v>1</v>
      </c>
      <c r="H1236" s="105">
        <f>COUNTIFS('2024数据'!$T$3:$T$152,"&gt;="&amp;DATE(2024,3,1),'2024数据'!$T$3:$T$152,"&lt;="&amp;DATE(2024,3,31),'2024数据'!$AE$3:$AE$152,$E1236)</f>
        <v>0</v>
      </c>
      <c r="I1236" s="105">
        <f>COUNTIFS('2024数据'!$T$3:$T$152,"&gt;="&amp;DATE(2024,4,1),'2024数据'!$T$3:$T$152,"&lt;="&amp;DATE(2024,4,30),'2024数据'!$AE$3:$AE$152,$E1236)</f>
        <v>1</v>
      </c>
      <c r="J1236" s="105">
        <f>COUNTIFS('2024数据'!$T$3:$T$152,"&gt;="&amp;DATE(2024,5,1),'2024数据'!$T$3:$T$152,"&lt;="&amp;DATE(2024,5,31),'2024数据'!$AE$3:$AE$152,$E1236)</f>
        <v>0</v>
      </c>
      <c r="K1236" s="105">
        <f>COUNTIFS('2024数据'!$T$3:$T$152,"&gt;="&amp;DATE(2024,6,1),'2024数据'!$T$3:$T$152,"&lt;="&amp;DATE(2024,6,30),'2024数据'!$AE$3:$AE$152,$E1236)</f>
        <v>0</v>
      </c>
      <c r="L1236" s="105">
        <f>COUNTIFS('2024数据'!$T$3:$T$152,"&gt;="&amp;DATE(2024,7,1),'2024数据'!$T$3:$T$152,"&lt;="&amp;DATE(2024,7,31),'2024数据'!$AE$3:$AE$152,$E1236)</f>
        <v>0</v>
      </c>
      <c r="M1236" s="105">
        <f>COUNTIFS('2024数据'!$T$3:$T$152,"&gt;="&amp;DATE(2024,8,1),'2024数据'!$T$3:$T$152,"&lt;="&amp;DATE(2024,8,31),'2024数据'!$AE$3:$AE$152,$E1236)</f>
        <v>0</v>
      </c>
      <c r="N1236" s="105">
        <f>COUNTIFS('2024数据'!$T$3:$T$152,"&gt;="&amp;DATE(2024,9,1),'2024数据'!$T$3:$T$152,"&lt;="&amp;DATE(2024,9,30),'2024数据'!$AE$3:$AE$152,$E1236)</f>
        <v>0</v>
      </c>
      <c r="O1236" s="105">
        <f>COUNTIFS('2024数据'!$T$3:$T$152,"&gt;="&amp;DATE(2024,10,1),'2024数据'!$T$3:$T$152,"&lt;="&amp;DATE(2024,10,31),'2024数据'!$AE$3:$AE$152,$E1236)</f>
        <v>0</v>
      </c>
      <c r="P1236" s="105">
        <f>COUNTIFS('2024数据'!$T$3:$T$152,"&gt;="&amp;DATE(2024,11,1),'2024数据'!$T$3:$T$152,"&lt;="&amp;DATE(2024,11,30),'2024数据'!$AE$3:$AE$152,$E1236)</f>
        <v>0</v>
      </c>
      <c r="Q1236" s="105">
        <f>COUNTIFS('2024数据'!$T$3:$T$152,"&gt;="&amp;DATE(2024,12,1),'2024数据'!$T$3:$T$152,"&lt;="&amp;DATE(2024,12,31),'2024数据'!$AE$3:$AE$152,$E1236)</f>
        <v>2</v>
      </c>
    </row>
    <row r="1237" ht="24" customHeight="1" spans="1:17">
      <c r="A1237" s="99" t="s">
        <v>348</v>
      </c>
      <c r="B1237" s="99" t="s">
        <v>299</v>
      </c>
      <c r="C1237" s="99" t="s">
        <v>291</v>
      </c>
      <c r="D1237" s="48" t="s">
        <v>31</v>
      </c>
      <c r="E1237" s="48" t="s">
        <v>83</v>
      </c>
      <c r="F1237" s="105">
        <f>COUNTIFS('2024数据'!$T$3:$T$152,"&gt;="&amp;DATE(2024,1,1),'2024数据'!$T$3:$T$152,"&lt;="&amp;DATE(2024,1,31),'2024数据'!$AE$3:$AE$152,$E1237)</f>
        <v>0</v>
      </c>
      <c r="G1237" s="105">
        <f>COUNTIFS('2024数据'!$T$3:$T$152,"&gt;="&amp;DATE(2024,2,1),'2024数据'!$T$3:$T$152,"&lt;="&amp;DATE(2024,2,29),'2024数据'!$AE$3:$AE$152,$E1237)</f>
        <v>0</v>
      </c>
      <c r="H1237" s="105">
        <f>COUNTIFS('2024数据'!$T$3:$T$152,"&gt;="&amp;DATE(2024,3,1),'2024数据'!$T$3:$T$152,"&lt;="&amp;DATE(2024,3,31),'2024数据'!$AE$3:$AE$152,$E1237)</f>
        <v>0</v>
      </c>
      <c r="I1237" s="105">
        <f>COUNTIFS('2024数据'!$T$3:$T$152,"&gt;="&amp;DATE(2024,4,1),'2024数据'!$T$3:$T$152,"&lt;="&amp;DATE(2024,4,30),'2024数据'!$AE$3:$AE$152,$E1237)</f>
        <v>0</v>
      </c>
      <c r="J1237" s="105">
        <f>COUNTIFS('2024数据'!$T$3:$T$152,"&gt;="&amp;DATE(2024,5,1),'2024数据'!$T$3:$T$152,"&lt;="&amp;DATE(2024,5,31),'2024数据'!$AE$3:$AE$152,$E1237)</f>
        <v>0</v>
      </c>
      <c r="K1237" s="105">
        <f>COUNTIFS('2024数据'!$T$3:$T$152,"&gt;="&amp;DATE(2024,6,1),'2024数据'!$T$3:$T$152,"&lt;="&amp;DATE(2024,6,30),'2024数据'!$AE$3:$AE$152,$E1237)</f>
        <v>0</v>
      </c>
      <c r="L1237" s="105">
        <f>COUNTIFS('2024数据'!$T$3:$T$152,"&gt;="&amp;DATE(2024,7,1),'2024数据'!$T$3:$T$152,"&lt;="&amp;DATE(2024,7,31),'2024数据'!$AE$3:$AE$152,$E1237)</f>
        <v>0</v>
      </c>
      <c r="M1237" s="105">
        <f>COUNTIFS('2024数据'!$T$3:$T$152,"&gt;="&amp;DATE(2024,8,1),'2024数据'!$T$3:$T$152,"&lt;="&amp;DATE(2024,8,31),'2024数据'!$AE$3:$AE$152,$E1237)</f>
        <v>0</v>
      </c>
      <c r="N1237" s="105">
        <f>COUNTIFS('2024数据'!$T$3:$T$152,"&gt;="&amp;DATE(2024,9,1),'2024数据'!$T$3:$T$152,"&lt;="&amp;DATE(2024,9,30),'2024数据'!$AE$3:$AE$152,$E1237)</f>
        <v>0</v>
      </c>
      <c r="O1237" s="105">
        <f>COUNTIFS('2024数据'!$T$3:$T$152,"&gt;="&amp;DATE(2024,10,1),'2024数据'!$T$3:$T$152,"&lt;="&amp;DATE(2024,10,31),'2024数据'!$AE$3:$AE$152,$E1237)</f>
        <v>0</v>
      </c>
      <c r="P1237" s="105">
        <f>COUNTIFS('2024数据'!$T$3:$T$152,"&gt;="&amp;DATE(2024,11,1),'2024数据'!$T$3:$T$152,"&lt;="&amp;DATE(2024,11,30),'2024数据'!$AE$3:$AE$152,$E1237)</f>
        <v>0</v>
      </c>
      <c r="Q1237" s="105">
        <f>COUNTIFS('2024数据'!$T$3:$T$152,"&gt;="&amp;DATE(2024,12,1),'2024数据'!$T$3:$T$152,"&lt;="&amp;DATE(2024,12,31),'2024数据'!$AE$3:$AE$152,$E1237)</f>
        <v>1</v>
      </c>
    </row>
    <row r="1238" ht="24" customHeight="1" spans="1:17">
      <c r="A1238" s="99" t="s">
        <v>348</v>
      </c>
      <c r="B1238" s="99" t="s">
        <v>299</v>
      </c>
      <c r="C1238" s="99" t="s">
        <v>291</v>
      </c>
      <c r="D1238" s="47" t="s">
        <v>294</v>
      </c>
      <c r="E1238" s="47" t="s">
        <v>93</v>
      </c>
      <c r="F1238" s="106">
        <f>COUNTIFS('2024数据'!$T$3:$T$152,"&gt;="&amp;DATE(2024,1,1),'2024数据'!$T$3:$T$152,"&lt;="&amp;DATE(2024,1,31),'2024数据'!$B$3:$B$152,$E1238)</f>
        <v>1</v>
      </c>
      <c r="G1238" s="106">
        <f>COUNTIFS('2024数据'!$T$3:$T$152,"&gt;="&amp;DATE(2024,2,1),'2024数据'!$T$3:$T$152,"&lt;="&amp;DATE(2024,2,29),'2024数据'!$B$3:$B$152,$E1238)</f>
        <v>2</v>
      </c>
      <c r="H1238" s="106">
        <f>COUNTIFS('2024数据'!$T$3:$T$152,"&gt;="&amp;DATE(2024,3,1),'2024数据'!$T$3:$T$152,"&lt;="&amp;DATE(2024,3,31),'2024数据'!$B$3:$B$152,$E1238)</f>
        <v>1</v>
      </c>
      <c r="I1238" s="106">
        <f>COUNTIFS('2024数据'!$T$3:$T$152,"&gt;="&amp;DATE(2024,4,1),'2024数据'!$T$3:$T$152,"&lt;="&amp;DATE(2024,4,30),'2024数据'!$B$3:$B$152,$E1238)</f>
        <v>2</v>
      </c>
      <c r="J1238" s="106">
        <f>COUNTIFS('2024数据'!$T$3:$T$152,"&gt;="&amp;DATE(2024,5,1),'2024数据'!$T$3:$T$152,"&lt;="&amp;DATE(2024,5,31),'2024数据'!$B$3:$B$152,$E1238)</f>
        <v>3</v>
      </c>
      <c r="K1238" s="106">
        <f>COUNTIFS('2024数据'!$T$3:$T$152,"&gt;="&amp;DATE(2024,6,1),'2024数据'!$T$3:$T$152,"&lt;="&amp;DATE(2024,6,30),'2024数据'!$B$3:$B$152,$E1238)</f>
        <v>3</v>
      </c>
      <c r="L1238" s="106">
        <f>COUNTIFS('2024数据'!$T$3:$T$152,"&gt;="&amp;DATE(2024,7,1),'2024数据'!$T$3:$T$152,"&lt;="&amp;DATE(2024,7,31),'2024数据'!$B$3:$B$152,$E1238)</f>
        <v>3</v>
      </c>
      <c r="M1238" s="106">
        <f>COUNTIFS('2024数据'!$T$3:$T$152,"&gt;="&amp;DATE(2024,8,1),'2024数据'!$T$3:$T$152,"&lt;="&amp;DATE(2024,8,31),'2024数据'!$B$3:$B$152,$E1238)</f>
        <v>1</v>
      </c>
      <c r="N1238" s="106">
        <f>COUNTIFS('2024数据'!$T$3:$T$152,"&gt;="&amp;DATE(2024,9,1),'2024数据'!$T$3:$T$152,"&lt;="&amp;DATE(2024,9,30),'2024数据'!$B$3:$B$152,$E1238)</f>
        <v>0</v>
      </c>
      <c r="O1238" s="106">
        <f>COUNTIFS('2024数据'!$T$3:$T$152,"&gt;="&amp;DATE(2024,10,1),'2024数据'!$T$3:$T$152,"&lt;="&amp;DATE(2024,10,31),'2024数据'!$B$3:$B$152,$E1238)</f>
        <v>2</v>
      </c>
      <c r="P1238" s="106">
        <f>COUNTIFS('2024数据'!$T$3:$T$152,"&gt;="&amp;DATE(2024,11,1),'2024数据'!$T$3:$T$152,"&lt;="&amp;DATE(2024,11,30),'2024数据'!$B$3:$B$152,$E1238)</f>
        <v>3</v>
      </c>
      <c r="Q1238" s="106">
        <f>COUNTIFS('2024数据'!$T$3:$T$152,"&gt;="&amp;DATE(2024,12,1),'2024数据'!$T$3:$T$152,"&lt;="&amp;DATE(2024,12,31),'2024数据'!$B$3:$B$152,$E1238)</f>
        <v>1</v>
      </c>
    </row>
    <row r="1239" ht="24" customHeight="1" spans="1:17">
      <c r="A1239" s="99" t="s">
        <v>348</v>
      </c>
      <c r="B1239" s="99" t="s">
        <v>299</v>
      </c>
      <c r="C1239" s="99" t="s">
        <v>291</v>
      </c>
      <c r="D1239" s="47" t="s">
        <v>294</v>
      </c>
      <c r="E1239" s="47" t="s">
        <v>85</v>
      </c>
      <c r="F1239" s="106">
        <f>COUNTIFS('2024数据'!$T$3:$T$152,"&gt;="&amp;DATE(2024,1,1),'2024数据'!$T$3:$T$152,"&lt;="&amp;DATE(2024,1,31),'2024数据'!$B$3:$B$152,$E1239)</f>
        <v>1</v>
      </c>
      <c r="G1239" s="106">
        <f>COUNTIFS('2024数据'!$T$3:$T$152,"&gt;="&amp;DATE(2024,2,1),'2024数据'!$T$3:$T$152,"&lt;="&amp;DATE(2024,2,29),'2024数据'!$B$3:$B$152,$E1239)</f>
        <v>1</v>
      </c>
      <c r="H1239" s="106">
        <f>COUNTIFS('2024数据'!$T$3:$T$152,"&gt;="&amp;DATE(2024,3,1),'2024数据'!$T$3:$T$152,"&lt;="&amp;DATE(2024,3,31),'2024数据'!$B$3:$B$152,$E1239)</f>
        <v>3</v>
      </c>
      <c r="I1239" s="106">
        <f>COUNTIFS('2024数据'!$T$3:$T$152,"&gt;="&amp;DATE(2024,4,1),'2024数据'!$T$3:$T$152,"&lt;="&amp;DATE(2024,4,30),'2024数据'!$B$3:$B$152,$E1239)</f>
        <v>2</v>
      </c>
      <c r="J1239" s="106">
        <f>COUNTIFS('2024数据'!$T$3:$T$152,"&gt;="&amp;DATE(2024,5,1),'2024数据'!$T$3:$T$152,"&lt;="&amp;DATE(2024,5,31),'2024数据'!$B$3:$B$152,$E1239)</f>
        <v>1</v>
      </c>
      <c r="K1239" s="106">
        <f>COUNTIFS('2024数据'!$T$3:$T$152,"&gt;="&amp;DATE(2024,6,1),'2024数据'!$T$3:$T$152,"&lt;="&amp;DATE(2024,6,30),'2024数据'!$B$3:$B$152,$E1239)</f>
        <v>1</v>
      </c>
      <c r="L1239" s="106">
        <f>COUNTIFS('2024数据'!$T$3:$T$152,"&gt;="&amp;DATE(2024,7,1),'2024数据'!$T$3:$T$152,"&lt;="&amp;DATE(2024,7,31),'2024数据'!$B$3:$B$152,$E1239)</f>
        <v>1</v>
      </c>
      <c r="M1239" s="106">
        <f>COUNTIFS('2024数据'!$T$3:$T$152,"&gt;="&amp;DATE(2024,8,1),'2024数据'!$T$3:$T$152,"&lt;="&amp;DATE(2024,8,31),'2024数据'!$B$3:$B$152,$E1239)</f>
        <v>0</v>
      </c>
      <c r="N1239" s="106">
        <f>COUNTIFS('2024数据'!$T$3:$T$152,"&gt;="&amp;DATE(2024,9,1),'2024数据'!$T$3:$T$152,"&lt;="&amp;DATE(2024,9,30),'2024数据'!$B$3:$B$152,$E1239)</f>
        <v>0</v>
      </c>
      <c r="O1239" s="106">
        <f>COUNTIFS('2024数据'!$T$3:$T$152,"&gt;="&amp;DATE(2024,10,1),'2024数据'!$T$3:$T$152,"&lt;="&amp;DATE(2024,10,31),'2024数据'!$B$3:$B$152,$E1239)</f>
        <v>1</v>
      </c>
      <c r="P1239" s="106">
        <f>COUNTIFS('2024数据'!$T$3:$T$152,"&gt;="&amp;DATE(2024,11,1),'2024数据'!$T$3:$T$152,"&lt;="&amp;DATE(2024,11,30),'2024数据'!$B$3:$B$152,$E1239)</f>
        <v>1</v>
      </c>
      <c r="Q1239" s="106">
        <f>COUNTIFS('2024数据'!$T$3:$T$152,"&gt;="&amp;DATE(2024,12,1),'2024数据'!$T$3:$T$152,"&lt;="&amp;DATE(2024,12,31),'2024数据'!$B$3:$B$152,$E1239)</f>
        <v>4</v>
      </c>
    </row>
    <row r="1240" ht="24" customHeight="1" spans="1:17">
      <c r="A1240" s="99" t="s">
        <v>348</v>
      </c>
      <c r="B1240" s="99" t="s">
        <v>299</v>
      </c>
      <c r="C1240" s="99" t="s">
        <v>291</v>
      </c>
      <c r="D1240" s="47" t="s">
        <v>294</v>
      </c>
      <c r="E1240" s="47" t="s">
        <v>81</v>
      </c>
      <c r="F1240" s="106">
        <f>COUNTIFS('2024数据'!$T$3:$T$152,"&gt;="&amp;DATE(2024,1,1),'2024数据'!$T$3:$T$152,"&lt;="&amp;DATE(2024,1,31),'2024数据'!$B$3:$B$152,$E1240)</f>
        <v>0</v>
      </c>
      <c r="G1240" s="106">
        <f>COUNTIFS('2024数据'!$T$3:$T$152,"&gt;="&amp;DATE(2024,2,1),'2024数据'!$T$3:$T$152,"&lt;="&amp;DATE(2024,2,29),'2024数据'!$B$3:$B$152,$E1240)</f>
        <v>0</v>
      </c>
      <c r="H1240" s="106">
        <f>COUNTIFS('2024数据'!$T$3:$T$152,"&gt;="&amp;DATE(2024,3,1),'2024数据'!$T$3:$T$152,"&lt;="&amp;DATE(2024,3,31),'2024数据'!$B$3:$B$152,$E1240)</f>
        <v>0</v>
      </c>
      <c r="I1240" s="106">
        <f>COUNTIFS('2024数据'!$T$3:$T$152,"&gt;="&amp;DATE(2024,4,1),'2024数据'!$T$3:$T$152,"&lt;="&amp;DATE(2024,4,30),'2024数据'!$B$3:$B$152,$E1240)</f>
        <v>1</v>
      </c>
      <c r="J1240" s="106">
        <f>COUNTIFS('2024数据'!$T$3:$T$152,"&gt;="&amp;DATE(2024,5,1),'2024数据'!$T$3:$T$152,"&lt;="&amp;DATE(2024,5,31),'2024数据'!$B$3:$B$152,$E1240)</f>
        <v>2</v>
      </c>
      <c r="K1240" s="106">
        <f>COUNTIFS('2024数据'!$T$3:$T$152,"&gt;="&amp;DATE(2024,6,1),'2024数据'!$T$3:$T$152,"&lt;="&amp;DATE(2024,6,30),'2024数据'!$B$3:$B$152,$E1240)</f>
        <v>1</v>
      </c>
      <c r="L1240" s="106">
        <f>COUNTIFS('2024数据'!$T$3:$T$152,"&gt;="&amp;DATE(2024,7,1),'2024数据'!$T$3:$T$152,"&lt;="&amp;DATE(2024,7,31),'2024数据'!$B$3:$B$152,$E1240)</f>
        <v>0</v>
      </c>
      <c r="M1240" s="106">
        <f>COUNTIFS('2024数据'!$T$3:$T$152,"&gt;="&amp;DATE(2024,8,1),'2024数据'!$T$3:$T$152,"&lt;="&amp;DATE(2024,8,31),'2024数据'!$B$3:$B$152,$E1240)</f>
        <v>1</v>
      </c>
      <c r="N1240" s="106">
        <f>COUNTIFS('2024数据'!$T$3:$T$152,"&gt;="&amp;DATE(2024,9,1),'2024数据'!$T$3:$T$152,"&lt;="&amp;DATE(2024,9,30),'2024数据'!$B$3:$B$152,$E1240)</f>
        <v>1</v>
      </c>
      <c r="O1240" s="106">
        <f>COUNTIFS('2024数据'!$T$3:$T$152,"&gt;="&amp;DATE(2024,10,1),'2024数据'!$T$3:$T$152,"&lt;="&amp;DATE(2024,10,31),'2024数据'!$B$3:$B$152,$E1240)</f>
        <v>0</v>
      </c>
      <c r="P1240" s="106">
        <f>COUNTIFS('2024数据'!$T$3:$T$152,"&gt;="&amp;DATE(2024,11,1),'2024数据'!$T$3:$T$152,"&lt;="&amp;DATE(2024,11,30),'2024数据'!$B$3:$B$152,$E1240)</f>
        <v>0</v>
      </c>
      <c r="Q1240" s="106">
        <f>COUNTIFS('2024数据'!$T$3:$T$152,"&gt;="&amp;DATE(2024,12,1),'2024数据'!$T$3:$T$152,"&lt;="&amp;DATE(2024,12,31),'2024数据'!$B$3:$B$152,$E1240)</f>
        <v>1</v>
      </c>
    </row>
    <row r="1241" ht="24" customHeight="1" spans="1:17">
      <c r="A1241" s="99" t="s">
        <v>348</v>
      </c>
      <c r="B1241" s="99" t="s">
        <v>299</v>
      </c>
      <c r="C1241" s="99" t="s">
        <v>291</v>
      </c>
      <c r="D1241" s="47" t="s">
        <v>294</v>
      </c>
      <c r="E1241" s="47" t="s">
        <v>96</v>
      </c>
      <c r="F1241" s="106">
        <f>COUNTIFS('2024数据'!$T$3:$T$152,"&gt;="&amp;DATE(2024,1,1),'2024数据'!$T$3:$T$152,"&lt;="&amp;DATE(2024,1,31),'2024数据'!$B$3:$B$152,$E1241)</f>
        <v>0</v>
      </c>
      <c r="G1241" s="106">
        <f>COUNTIFS('2024数据'!$T$3:$T$152,"&gt;="&amp;DATE(2024,2,1),'2024数据'!$T$3:$T$152,"&lt;="&amp;DATE(2024,2,29),'2024数据'!$B$3:$B$152,$E1241)</f>
        <v>0</v>
      </c>
      <c r="H1241" s="106">
        <f>COUNTIFS('2024数据'!$T$3:$T$152,"&gt;="&amp;DATE(2024,3,1),'2024数据'!$T$3:$T$152,"&lt;="&amp;DATE(2024,3,31),'2024数据'!$B$3:$B$152,$E1241)</f>
        <v>1</v>
      </c>
      <c r="I1241" s="106">
        <f>COUNTIFS('2024数据'!$T$3:$T$152,"&gt;="&amp;DATE(2024,4,1),'2024数据'!$T$3:$T$152,"&lt;="&amp;DATE(2024,4,30),'2024数据'!$B$3:$B$152,$E1241)</f>
        <v>1</v>
      </c>
      <c r="J1241" s="106">
        <f>COUNTIFS('2024数据'!$T$3:$T$152,"&gt;="&amp;DATE(2024,5,1),'2024数据'!$T$3:$T$152,"&lt;="&amp;DATE(2024,5,31),'2024数据'!$B$3:$B$152,$E1241)</f>
        <v>0</v>
      </c>
      <c r="K1241" s="106">
        <f>COUNTIFS('2024数据'!$T$3:$T$152,"&gt;="&amp;DATE(2024,6,1),'2024数据'!$T$3:$T$152,"&lt;="&amp;DATE(2024,6,30),'2024数据'!$B$3:$B$152,$E1241)</f>
        <v>1</v>
      </c>
      <c r="L1241" s="106">
        <f>COUNTIFS('2024数据'!$T$3:$T$152,"&gt;="&amp;DATE(2024,7,1),'2024数据'!$T$3:$T$152,"&lt;="&amp;DATE(2024,7,31),'2024数据'!$B$3:$B$152,$E1241)</f>
        <v>0</v>
      </c>
      <c r="M1241" s="106">
        <f>COUNTIFS('2024数据'!$T$3:$T$152,"&gt;="&amp;DATE(2024,8,1),'2024数据'!$T$3:$T$152,"&lt;="&amp;DATE(2024,8,31),'2024数据'!$B$3:$B$152,$E1241)</f>
        <v>0</v>
      </c>
      <c r="N1241" s="106">
        <f>COUNTIFS('2024数据'!$T$3:$T$152,"&gt;="&amp;DATE(2024,9,1),'2024数据'!$T$3:$T$152,"&lt;="&amp;DATE(2024,9,30),'2024数据'!$B$3:$B$152,$E1241)</f>
        <v>0</v>
      </c>
      <c r="O1241" s="106">
        <f>COUNTIFS('2024数据'!$T$3:$T$152,"&gt;="&amp;DATE(2024,10,1),'2024数据'!$T$3:$T$152,"&lt;="&amp;DATE(2024,10,31),'2024数据'!$B$3:$B$152,$E1241)</f>
        <v>0</v>
      </c>
      <c r="P1241" s="106">
        <f>COUNTIFS('2024数据'!$T$3:$T$152,"&gt;="&amp;DATE(2024,11,1),'2024数据'!$T$3:$T$152,"&lt;="&amp;DATE(2024,11,30),'2024数据'!$B$3:$B$152,$E1241)</f>
        <v>0</v>
      </c>
      <c r="Q1241" s="106">
        <f>COUNTIFS('2024数据'!$T$3:$T$152,"&gt;="&amp;DATE(2024,12,1),'2024数据'!$T$3:$T$152,"&lt;="&amp;DATE(2024,12,31),'2024数据'!$B$3:$B$152,$E1241)</f>
        <v>1</v>
      </c>
    </row>
    <row r="1242" ht="24" customHeight="1" spans="1:17">
      <c r="A1242" s="99" t="s">
        <v>348</v>
      </c>
      <c r="B1242" s="99" t="s">
        <v>299</v>
      </c>
      <c r="C1242" s="99" t="s">
        <v>291</v>
      </c>
      <c r="D1242" s="47" t="s">
        <v>294</v>
      </c>
      <c r="E1242" s="47" t="s">
        <v>160</v>
      </c>
      <c r="F1242" s="106">
        <f t="shared" ref="F1242:Q1242" si="897">SUM(F1232:F1237)-SUM(F1238:F1241)</f>
        <v>0</v>
      </c>
      <c r="G1242" s="106">
        <f t="shared" si="897"/>
        <v>0</v>
      </c>
      <c r="H1242" s="106">
        <f t="shared" si="897"/>
        <v>0</v>
      </c>
      <c r="I1242" s="106">
        <f t="shared" si="897"/>
        <v>0</v>
      </c>
      <c r="J1242" s="106">
        <f t="shared" si="897"/>
        <v>0</v>
      </c>
      <c r="K1242" s="106">
        <f t="shared" si="897"/>
        <v>0</v>
      </c>
      <c r="L1242" s="106">
        <f t="shared" si="897"/>
        <v>0</v>
      </c>
      <c r="M1242" s="106">
        <f t="shared" si="897"/>
        <v>0</v>
      </c>
      <c r="N1242" s="106">
        <f t="shared" si="897"/>
        <v>0</v>
      </c>
      <c r="O1242" s="106">
        <f t="shared" si="897"/>
        <v>0</v>
      </c>
      <c r="P1242" s="106">
        <f t="shared" si="897"/>
        <v>0</v>
      </c>
      <c r="Q1242" s="106">
        <f t="shared" si="897"/>
        <v>0</v>
      </c>
    </row>
    <row r="1243" ht="24" customHeight="1" spans="1:17">
      <c r="A1243" s="99" t="s">
        <v>348</v>
      </c>
      <c r="B1243" s="99" t="s">
        <v>299</v>
      </c>
      <c r="C1243" s="99" t="s">
        <v>291</v>
      </c>
      <c r="D1243" s="100" t="s">
        <v>292</v>
      </c>
      <c r="E1243" s="110" t="s">
        <v>301</v>
      </c>
      <c r="F1243" s="111">
        <f>COUNTIFS('2024数据'!$T$3:$T$152,"&gt;="&amp;DATE(2024,1,1),'2024数据'!$T$3:$T$152,"&lt;="&amp;DATE(2024,1,31),'2024数据'!$BL$3:$BL$152,$E1243)</f>
        <v>2</v>
      </c>
      <c r="G1243" s="111">
        <f>COUNTIFS('2024数据'!$T$3:$T$152,"&gt;="&amp;DATE(2024,2,1),'2024数据'!$T$3:$T$152,"&lt;="&amp;DATE(2024,2,29),'2024数据'!$BL$3:$BL$152,$E1243)</f>
        <v>3</v>
      </c>
      <c r="H1243" s="111">
        <f>COUNTIFS('2024数据'!$T$3:$T$152,"&gt;="&amp;DATE(2024,3,1),'2024数据'!$T$3:$T$152,"&lt;="&amp;DATE(2024,3,31),'2024数据'!$BL$3:$BL$152,$E1243)</f>
        <v>5</v>
      </c>
      <c r="I1243" s="111">
        <f>COUNTIFS('2024数据'!$T$3:$T$152,"&gt;="&amp;DATE(2024,4,1),'2024数据'!$T$3:$T$152,"&lt;="&amp;DATE(2024,4,30),'2024数据'!$BL$3:$BL$152,$E1243)</f>
        <v>4</v>
      </c>
      <c r="J1243" s="111">
        <f>COUNTIFS('2024数据'!$T$3:$T$152,"&gt;="&amp;DATE(2024,5,1),'2024数据'!$T$3:$T$152,"&lt;="&amp;DATE(2024,5,31),'2024数据'!$BL$3:$BL$152,$E1243)</f>
        <v>2</v>
      </c>
      <c r="K1243" s="111">
        <f>COUNTIFS('2024数据'!$T$3:$T$152,"&gt;="&amp;DATE(2024,6,1),'2024数据'!$T$3:$T$152,"&lt;="&amp;DATE(2024,6,30),'2024数据'!$BL$3:$BL$152,$E1243)</f>
        <v>5</v>
      </c>
      <c r="L1243" s="111">
        <f>COUNTIFS('2024数据'!$T$3:$T$152,"&gt;="&amp;DATE(2024,7,1),'2024数据'!$T$3:$T$152,"&lt;="&amp;DATE(2024,7,31),'2024数据'!$BL$3:$BL$152,$E1243)</f>
        <v>1</v>
      </c>
      <c r="M1243" s="111">
        <f>COUNTIFS('2024数据'!$T$3:$T$152,"&gt;="&amp;DATE(2024,8,1),'2024数据'!$T$3:$T$152,"&lt;="&amp;DATE(2024,8,31),'2024数据'!$BL$3:$BL$152,$E1243)</f>
        <v>2</v>
      </c>
      <c r="N1243" s="111">
        <f>COUNTIFS('2024数据'!$T$3:$T$152,"&gt;="&amp;DATE(2024,9,1),'2024数据'!$T$3:$T$152,"&lt;="&amp;DATE(2024,9,30),'2024数据'!$BL$3:$BL$152,$E1243)</f>
        <v>1</v>
      </c>
      <c r="O1243" s="111">
        <f>COUNTIFS('2024数据'!$T$3:$T$152,"&gt;="&amp;DATE(2024,10,1),'2024数据'!$T$3:$T$152,"&lt;="&amp;DATE(2024,10,31),'2024数据'!$BL$3:$BL$152,$E1243)</f>
        <v>2</v>
      </c>
      <c r="P1243" s="111">
        <f>COUNTIFS('2024数据'!$T$3:$T$152,"&gt;="&amp;DATE(2024,11,1),'2024数据'!$T$3:$T$152,"&lt;="&amp;DATE(2024,11,30),'2024数据'!$BL$3:$BL$152,$E1243)</f>
        <v>4</v>
      </c>
      <c r="Q1243" s="111">
        <f>COUNTIFS('2024数据'!$T$3:$T$152,"&gt;="&amp;DATE(2024,12,1),'2024数据'!$T$3:$T$152,"&lt;="&amp;DATE(2024,12,31),'2024数据'!$BL$3:$BL$152,$E1243)</f>
        <v>5</v>
      </c>
    </row>
    <row r="1244" ht="24" customHeight="1" spans="1:17">
      <c r="A1244" s="99" t="s">
        <v>348</v>
      </c>
      <c r="B1244" s="99" t="s">
        <v>299</v>
      </c>
      <c r="C1244" s="99" t="s">
        <v>291</v>
      </c>
      <c r="D1244" s="100" t="s">
        <v>292</v>
      </c>
      <c r="E1244" s="110" t="s">
        <v>302</v>
      </c>
      <c r="F1244" s="111">
        <f>COUNTIFS('2024数据'!$T$3:$T$152,"&gt;="&amp;DATE(2024,1,1),'2024数据'!$T$3:$T$152,"&lt;="&amp;DATE(2024,1,31),'2024数据'!$BL$3:$BL$152,$E1244)</f>
        <v>0</v>
      </c>
      <c r="G1244" s="111">
        <f>COUNTIFS('2024数据'!$T$3:$T$152,"&gt;="&amp;DATE(2024,2,1),'2024数据'!$T$3:$T$152,"&lt;="&amp;DATE(2024,2,29),'2024数据'!$BL$3:$BL$152,$E1244)</f>
        <v>0</v>
      </c>
      <c r="H1244" s="111">
        <f>COUNTIFS('2024数据'!$T$3:$T$152,"&gt;="&amp;DATE(2024,3,1),'2024数据'!$T$3:$T$152,"&lt;="&amp;DATE(2024,3,31),'2024数据'!$BL$3:$BL$152,$E1244)</f>
        <v>0</v>
      </c>
      <c r="I1244" s="111">
        <f>COUNTIFS('2024数据'!$T$3:$T$152,"&gt;="&amp;DATE(2024,4,1),'2024数据'!$T$3:$T$152,"&lt;="&amp;DATE(2024,4,30),'2024数据'!$BL$3:$BL$152,$E1244)</f>
        <v>2</v>
      </c>
      <c r="J1244" s="111">
        <f>COUNTIFS('2024数据'!$T$3:$T$152,"&gt;="&amp;DATE(2024,5,1),'2024数据'!$T$3:$T$152,"&lt;="&amp;DATE(2024,5,31),'2024数据'!$BL$3:$BL$152,$E1244)</f>
        <v>4</v>
      </c>
      <c r="K1244" s="111">
        <f>COUNTIFS('2024数据'!$T$3:$T$152,"&gt;="&amp;DATE(2024,6,1),'2024数据'!$T$3:$T$152,"&lt;="&amp;DATE(2024,6,30),'2024数据'!$BL$3:$BL$152,$E1244)</f>
        <v>1</v>
      </c>
      <c r="L1244" s="111">
        <f>COUNTIFS('2024数据'!$T$3:$T$152,"&gt;="&amp;DATE(2024,7,1),'2024数据'!$T$3:$T$152,"&lt;="&amp;DATE(2024,7,31),'2024数据'!$BL$3:$BL$152,$E1244)</f>
        <v>2</v>
      </c>
      <c r="M1244" s="111">
        <f>COUNTIFS('2024数据'!$T$3:$T$152,"&gt;="&amp;DATE(2024,8,1),'2024数据'!$T$3:$T$152,"&lt;="&amp;DATE(2024,8,31),'2024数据'!$BL$3:$BL$152,$E1244)</f>
        <v>0</v>
      </c>
      <c r="N1244" s="111">
        <f>COUNTIFS('2024数据'!$T$3:$T$152,"&gt;="&amp;DATE(2024,9,1),'2024数据'!$T$3:$T$152,"&lt;="&amp;DATE(2024,9,30),'2024数据'!$BL$3:$BL$152,$E1244)</f>
        <v>0</v>
      </c>
      <c r="O1244" s="111">
        <f>COUNTIFS('2024数据'!$T$3:$T$152,"&gt;="&amp;DATE(2024,10,1),'2024数据'!$T$3:$T$152,"&lt;="&amp;DATE(2024,10,31),'2024数据'!$BL$3:$BL$152,$E1244)</f>
        <v>1</v>
      </c>
      <c r="P1244" s="111">
        <f>COUNTIFS('2024数据'!$T$3:$T$152,"&gt;="&amp;DATE(2024,11,1),'2024数据'!$T$3:$T$152,"&lt;="&amp;DATE(2024,11,30),'2024数据'!$BL$3:$BL$152,$E1244)</f>
        <v>0</v>
      </c>
      <c r="Q1244" s="111">
        <f>COUNTIFS('2024数据'!$T$3:$T$152,"&gt;="&amp;DATE(2024,12,1),'2024数据'!$T$3:$T$152,"&lt;="&amp;DATE(2024,12,31),'2024数据'!$BL$3:$BL$152,$E1244)</f>
        <v>1</v>
      </c>
    </row>
    <row r="1245" ht="24" customHeight="1" spans="1:17">
      <c r="A1245" s="99" t="s">
        <v>348</v>
      </c>
      <c r="B1245" s="99" t="s">
        <v>299</v>
      </c>
      <c r="C1245" s="99" t="s">
        <v>291</v>
      </c>
      <c r="D1245" s="100" t="s">
        <v>292</v>
      </c>
      <c r="E1245" s="110" t="s">
        <v>150</v>
      </c>
      <c r="F1245" s="111">
        <f>COUNTIFS('2024数据'!$T$3:$T$152,"&gt;="&amp;DATE(2024,1,1),'2024数据'!$T$3:$T$152,"&lt;="&amp;DATE(2024,1,31),'2024数据'!$BL$3:$BL$152,$E1245)</f>
        <v>0</v>
      </c>
      <c r="G1245" s="111">
        <f>COUNTIFS('2024数据'!$T$3:$T$152,"&gt;="&amp;DATE(2024,2,1),'2024数据'!$T$3:$T$152,"&lt;="&amp;DATE(2024,2,29),'2024数据'!$BL$3:$BL$152,$E1245)</f>
        <v>0</v>
      </c>
      <c r="H1245" s="111">
        <f>COUNTIFS('2024数据'!$T$3:$T$152,"&gt;="&amp;DATE(2024,3,1),'2024数据'!$T$3:$T$152,"&lt;="&amp;DATE(2024,3,31),'2024数据'!$BL$3:$BL$152,$E1245)</f>
        <v>0</v>
      </c>
      <c r="I1245" s="111">
        <f>COUNTIFS('2024数据'!$T$3:$T$152,"&gt;="&amp;DATE(2024,4,1),'2024数据'!$T$3:$T$152,"&lt;="&amp;DATE(2024,4,30),'2024数据'!$BL$3:$BL$152,$E1245)</f>
        <v>0</v>
      </c>
      <c r="J1245" s="111">
        <f>COUNTIFS('2024数据'!$T$3:$T$152,"&gt;="&amp;DATE(2024,5,1),'2024数据'!$T$3:$T$152,"&lt;="&amp;DATE(2024,5,31),'2024数据'!$BL$3:$BL$152,$E1245)</f>
        <v>0</v>
      </c>
      <c r="K1245" s="111">
        <f>COUNTIFS('2024数据'!$T$3:$T$152,"&gt;="&amp;DATE(2024,6,1),'2024数据'!$T$3:$T$152,"&lt;="&amp;DATE(2024,6,30),'2024数据'!$BL$3:$BL$152,$E1245)</f>
        <v>0</v>
      </c>
      <c r="L1245" s="111">
        <f>COUNTIFS('2024数据'!$T$3:$T$152,"&gt;="&amp;DATE(2024,7,1),'2024数据'!$T$3:$T$152,"&lt;="&amp;DATE(2024,7,31),'2024数据'!$BL$3:$BL$152,$E1245)</f>
        <v>1</v>
      </c>
      <c r="M1245" s="111">
        <f>COUNTIFS('2024数据'!$T$3:$T$152,"&gt;="&amp;DATE(2024,8,1),'2024数据'!$T$3:$T$152,"&lt;="&amp;DATE(2024,8,31),'2024数据'!$BL$3:$BL$152,$E1245)</f>
        <v>0</v>
      </c>
      <c r="N1245" s="111">
        <f>COUNTIFS('2024数据'!$T$3:$T$152,"&gt;="&amp;DATE(2024,9,1),'2024数据'!$T$3:$T$152,"&lt;="&amp;DATE(2024,9,30),'2024数据'!$BL$3:$BL$152,$E1245)</f>
        <v>0</v>
      </c>
      <c r="O1245" s="111">
        <f>COUNTIFS('2024数据'!$T$3:$T$152,"&gt;="&amp;DATE(2024,10,1),'2024数据'!$T$3:$T$152,"&lt;="&amp;DATE(2024,10,31),'2024数据'!$BL$3:$BL$152,$E1245)</f>
        <v>0</v>
      </c>
      <c r="P1245" s="111">
        <f>COUNTIFS('2024数据'!$T$3:$T$152,"&gt;="&amp;DATE(2024,11,1),'2024数据'!$T$3:$T$152,"&lt;="&amp;DATE(2024,11,30),'2024数据'!$BL$3:$BL$152,$E1245)</f>
        <v>0</v>
      </c>
      <c r="Q1245" s="111">
        <f>COUNTIFS('2024数据'!$T$3:$T$152,"&gt;="&amp;DATE(2024,12,1),'2024数据'!$T$3:$T$152,"&lt;="&amp;DATE(2024,12,31),'2024数据'!$BL$3:$BL$152,$E1245)</f>
        <v>1</v>
      </c>
    </row>
    <row r="1246" ht="24" customHeight="1" spans="1:17">
      <c r="A1246" s="99" t="s">
        <v>348</v>
      </c>
      <c r="B1246" s="99" t="s">
        <v>299</v>
      </c>
      <c r="C1246" s="99" t="s">
        <v>291</v>
      </c>
      <c r="D1246" s="53" t="s">
        <v>303</v>
      </c>
      <c r="E1246" s="53" t="s">
        <v>93</v>
      </c>
      <c r="F1246" s="111">
        <f>COUNTIFS('2024数据'!$T$3:$T$152,"&gt;="&amp;DATE(2024,1,1),'2024数据'!$T$3:$T$152,"&lt;="&amp;DATE(2024,1,31),'2024数据'!$BL$3:$BL$152,$E$35,'2024数据'!$B$3:$B$152,'2024整理'!$E1238)</f>
        <v>1</v>
      </c>
      <c r="G1246" s="111">
        <f>COUNTIFS('2024数据'!$T$3:$T$152,"&gt;="&amp;DATE(2024,2,1),'2024数据'!$T$3:$T$152,"&lt;="&amp;DATE(2024,2,29),'2024数据'!$BL$3:$BL$152,$E$35,'2024数据'!$B$3:$B$152,'2024整理'!$E1238)</f>
        <v>2</v>
      </c>
      <c r="H1246" s="111">
        <f>COUNTIFS('2024数据'!$T$3:$T$152,"&gt;="&amp;DATE(2024,3,1),'2024数据'!$T$3:$T$152,"&lt;="&amp;DATE(2024,3,31),'2024数据'!$BL$3:$BL$152,$E$35,'2024数据'!$B$3:$B$152,'2024整理'!$E1238)</f>
        <v>1</v>
      </c>
      <c r="I1246" s="111">
        <f>COUNTIFS('2024数据'!$T$3:$T$152,"&gt;="&amp;DATE(2024,4,1),'2024数据'!$T$3:$T$152,"&lt;="&amp;DATE(2024,4,30),'2024数据'!$BL$3:$BL$152,$E$35,'2024数据'!$B$3:$B$152,'2024整理'!$E1238)</f>
        <v>1</v>
      </c>
      <c r="J1246" s="111">
        <f>COUNTIFS('2024数据'!$T$3:$T$152,"&gt;="&amp;DATE(2024,5,1),'2024数据'!$T$3:$T$152,"&lt;="&amp;DATE(2024,5,31),'2024数据'!$BL$3:$BL$152,$E$35,'2024数据'!$B$3:$B$152,'2024整理'!$E1238)</f>
        <v>1</v>
      </c>
      <c r="K1246" s="111">
        <f>COUNTIFS('2024数据'!$T$3:$T$152,"&gt;="&amp;DATE(2024,6,1),'2024数据'!$T$3:$T$152,"&lt;="&amp;DATE(2024,6,30),'2024数据'!$BL$3:$BL$152,$E$35,'2024数据'!$B$3:$B$152,'2024整理'!$E1238)</f>
        <v>3</v>
      </c>
      <c r="L1246" s="111">
        <f>COUNTIFS('2024数据'!$T$3:$T$152,"&gt;="&amp;DATE(2024,7,1),'2024数据'!$T$3:$T$152,"&lt;="&amp;DATE(2024,7,31),'2024数据'!$BL$3:$BL$152,$E$35,'2024数据'!$B$3:$B$152,'2024整理'!$E1238)</f>
        <v>1</v>
      </c>
      <c r="M1246" s="111">
        <f>COUNTIFS('2024数据'!$T$3:$T$152,"&gt;="&amp;DATE(2024,8,1),'2024数据'!$T$3:$T$152,"&lt;="&amp;DATE(2024,8,31),'2024数据'!$BL$3:$BL$152,$E$35,'2024数据'!$B$3:$B$152,'2024整理'!$E1238)</f>
        <v>1</v>
      </c>
      <c r="N1246" s="111">
        <f>COUNTIFS('2024数据'!$T$3:$T$152,"&gt;="&amp;DATE(2024,9,1),'2024数据'!$T$3:$T$152,"&lt;="&amp;DATE(2024,9,30),'2024数据'!$BL$3:$BL$152,$E$35,'2024数据'!$B$3:$B$152,'2024整理'!$E1238)</f>
        <v>0</v>
      </c>
      <c r="O1246" s="111">
        <f>COUNTIFS('2024数据'!$T$3:$T$152,"&gt;="&amp;DATE(2024,10,1),'2024数据'!$T$3:$T$152,"&lt;="&amp;DATE(2024,10,31),'2024数据'!$BL$3:$BL$152,$E$35,'2024数据'!$B$3:$B$152,'2024整理'!$E1238)</f>
        <v>2</v>
      </c>
      <c r="P1246" s="111">
        <f>COUNTIFS('2024数据'!$T$3:$T$152,"&gt;="&amp;DATE(2024,11,1),'2024数据'!$T$3:$T$152,"&lt;="&amp;DATE(2024,11,30),'2024数据'!$BL$3:$BL$152,$E$35,'2024数据'!$B$3:$B$152,'2024整理'!$E1238)</f>
        <v>3</v>
      </c>
      <c r="Q1246" s="111">
        <f>COUNTIFS('2024数据'!$T$3:$T$152,"&gt;="&amp;DATE(2024,12,1),'2024数据'!$T$3:$T$152,"&lt;="&amp;DATE(2024,12,31),'2024数据'!$BL$3:$BL$152,$E$35,'2024数据'!$B$3:$B$152,'2024整理'!$E1238)</f>
        <v>1</v>
      </c>
    </row>
    <row r="1247" ht="24" customHeight="1" spans="1:17">
      <c r="A1247" s="99" t="s">
        <v>348</v>
      </c>
      <c r="B1247" s="99" t="s">
        <v>299</v>
      </c>
      <c r="C1247" s="99" t="s">
        <v>291</v>
      </c>
      <c r="D1247" s="53" t="s">
        <v>303</v>
      </c>
      <c r="E1247" s="53" t="s">
        <v>85</v>
      </c>
      <c r="F1247" s="111">
        <f>COUNTIFS('2024数据'!$T$3:$T$152,"&gt;="&amp;DATE(2024,1,1),'2024数据'!$T$3:$T$152,"&lt;="&amp;DATE(2024,1,31),'2024数据'!$BL$3:$BL$152,$E$35,'2024数据'!$B$3:$B$152,'2024整理'!$E1239)</f>
        <v>1</v>
      </c>
      <c r="G1247" s="111">
        <f>COUNTIFS('2024数据'!$T$3:$T$152,"&gt;="&amp;DATE(2024,2,1),'2024数据'!$T$3:$T$152,"&lt;="&amp;DATE(2024,2,29),'2024数据'!$BL$3:$BL$152,$E$35,'2024数据'!$B$3:$B$152,'2024整理'!$E1239)</f>
        <v>1</v>
      </c>
      <c r="H1247" s="111">
        <f>COUNTIFS('2024数据'!$T$3:$T$152,"&gt;="&amp;DATE(2024,3,1),'2024数据'!$T$3:$T$152,"&lt;="&amp;DATE(2024,3,31),'2024数据'!$BL$3:$BL$152,$E$35,'2024数据'!$B$3:$B$152,'2024整理'!$E1239)</f>
        <v>3</v>
      </c>
      <c r="I1247" s="111">
        <f>COUNTIFS('2024数据'!$T$3:$T$152,"&gt;="&amp;DATE(2024,4,1),'2024数据'!$T$3:$T$152,"&lt;="&amp;DATE(2024,4,30),'2024数据'!$BL$3:$BL$152,$E$35,'2024数据'!$B$3:$B$152,'2024整理'!$E1239)</f>
        <v>2</v>
      </c>
      <c r="J1247" s="111">
        <f>COUNTIFS('2024数据'!$T$3:$T$152,"&gt;="&amp;DATE(2024,5,1),'2024数据'!$T$3:$T$152,"&lt;="&amp;DATE(2024,5,31),'2024数据'!$BL$3:$BL$152,$E$35,'2024数据'!$B$3:$B$152,'2024整理'!$E1239)</f>
        <v>1</v>
      </c>
      <c r="K1247" s="111">
        <f>COUNTIFS('2024数据'!$T$3:$T$152,"&gt;="&amp;DATE(2024,6,1),'2024数据'!$T$3:$T$152,"&lt;="&amp;DATE(2024,6,30),'2024数据'!$BL$3:$BL$152,$E$35,'2024数据'!$B$3:$B$152,'2024整理'!$E1239)</f>
        <v>1</v>
      </c>
      <c r="L1247" s="111">
        <f>COUNTIFS('2024数据'!$T$3:$T$152,"&gt;="&amp;DATE(2024,7,1),'2024数据'!$T$3:$T$152,"&lt;="&amp;DATE(2024,7,31),'2024数据'!$BL$3:$BL$152,$E$35,'2024数据'!$B$3:$B$152,'2024整理'!$E1239)</f>
        <v>0</v>
      </c>
      <c r="M1247" s="111">
        <f>COUNTIFS('2024数据'!$T$3:$T$152,"&gt;="&amp;DATE(2024,8,1),'2024数据'!$T$3:$T$152,"&lt;="&amp;DATE(2024,8,31),'2024数据'!$BL$3:$BL$152,$E$35,'2024数据'!$B$3:$B$152,'2024整理'!$E1239)</f>
        <v>0</v>
      </c>
      <c r="N1247" s="111">
        <f>COUNTIFS('2024数据'!$T$3:$T$152,"&gt;="&amp;DATE(2024,9,1),'2024数据'!$T$3:$T$152,"&lt;="&amp;DATE(2024,9,30),'2024数据'!$BL$3:$BL$152,$E$35,'2024数据'!$B$3:$B$152,'2024整理'!$E1239)</f>
        <v>0</v>
      </c>
      <c r="O1247" s="111">
        <f>COUNTIFS('2024数据'!$T$3:$T$152,"&gt;="&amp;DATE(2024,10,1),'2024数据'!$T$3:$T$152,"&lt;="&amp;DATE(2024,10,31),'2024数据'!$BL$3:$BL$152,$E$35,'2024数据'!$B$3:$B$152,'2024整理'!$E1239)</f>
        <v>0</v>
      </c>
      <c r="P1247" s="111">
        <f>COUNTIFS('2024数据'!$T$3:$T$152,"&gt;="&amp;DATE(2024,11,1),'2024数据'!$T$3:$T$152,"&lt;="&amp;DATE(2024,11,30),'2024数据'!$BL$3:$BL$152,$E$35,'2024数据'!$B$3:$B$152,'2024整理'!$E1239)</f>
        <v>1</v>
      </c>
      <c r="Q1247" s="111">
        <f>COUNTIFS('2024数据'!$T$3:$T$152,"&gt;="&amp;DATE(2024,12,1),'2024数据'!$T$3:$T$152,"&lt;="&amp;DATE(2024,12,31),'2024数据'!$BL$3:$BL$152,$E$35,'2024数据'!$B$3:$B$152,'2024整理'!$E1239)</f>
        <v>3</v>
      </c>
    </row>
    <row r="1248" ht="24" customHeight="1" spans="1:17">
      <c r="A1248" s="99" t="s">
        <v>348</v>
      </c>
      <c r="B1248" s="99" t="s">
        <v>299</v>
      </c>
      <c r="C1248" s="99" t="s">
        <v>291</v>
      </c>
      <c r="D1248" s="53" t="s">
        <v>303</v>
      </c>
      <c r="E1248" s="53" t="s">
        <v>81</v>
      </c>
      <c r="F1248" s="111">
        <f>COUNTIFS('2024数据'!$T$3:$T$152,"&gt;="&amp;DATE(2024,1,1),'2024数据'!$T$3:$T$152,"&lt;="&amp;DATE(2024,1,31),'2024数据'!$BL$3:$BL$152,$E$35,'2024数据'!$B$3:$B$152,'2024整理'!$E1240)</f>
        <v>0</v>
      </c>
      <c r="G1248" s="111">
        <f>COUNTIFS('2024数据'!$T$3:$T$152,"&gt;="&amp;DATE(2024,2,1),'2024数据'!$T$3:$T$152,"&lt;="&amp;DATE(2024,2,29),'2024数据'!$BL$3:$BL$152,$E$35,'2024数据'!$B$3:$B$152,'2024整理'!$E1240)</f>
        <v>0</v>
      </c>
      <c r="H1248" s="111">
        <f>COUNTIFS('2024数据'!$T$3:$T$152,"&gt;="&amp;DATE(2024,3,1),'2024数据'!$T$3:$T$152,"&lt;="&amp;DATE(2024,3,31),'2024数据'!$BL$3:$BL$152,$E$35,'2024数据'!$B$3:$B$152,'2024整理'!$E1240)</f>
        <v>0</v>
      </c>
      <c r="I1248" s="111">
        <f>COUNTIFS('2024数据'!$T$3:$T$152,"&gt;="&amp;DATE(2024,4,1),'2024数据'!$T$3:$T$152,"&lt;="&amp;DATE(2024,4,30),'2024数据'!$BL$3:$BL$152,$E$35,'2024数据'!$B$3:$B$152,'2024整理'!$E1240)</f>
        <v>0</v>
      </c>
      <c r="J1248" s="111">
        <f>COUNTIFS('2024数据'!$T$3:$T$152,"&gt;="&amp;DATE(2024,5,1),'2024数据'!$T$3:$T$152,"&lt;="&amp;DATE(2024,5,31),'2024数据'!$BL$3:$BL$152,$E$35,'2024数据'!$B$3:$B$152,'2024整理'!$E1240)</f>
        <v>0</v>
      </c>
      <c r="K1248" s="111">
        <f>COUNTIFS('2024数据'!$T$3:$T$152,"&gt;="&amp;DATE(2024,6,1),'2024数据'!$T$3:$T$152,"&lt;="&amp;DATE(2024,6,30),'2024数据'!$BL$3:$BL$152,$E$35,'2024数据'!$B$3:$B$152,'2024整理'!$E1240)</f>
        <v>0</v>
      </c>
      <c r="L1248" s="111">
        <f>COUNTIFS('2024数据'!$T$3:$T$152,"&gt;="&amp;DATE(2024,7,1),'2024数据'!$T$3:$T$152,"&lt;="&amp;DATE(2024,7,31),'2024数据'!$BL$3:$BL$152,$E$35,'2024数据'!$B$3:$B$152,'2024整理'!$E1240)</f>
        <v>0</v>
      </c>
      <c r="M1248" s="111">
        <f>COUNTIFS('2024数据'!$T$3:$T$152,"&gt;="&amp;DATE(2024,8,1),'2024数据'!$T$3:$T$152,"&lt;="&amp;DATE(2024,8,31),'2024数据'!$BL$3:$BL$152,$E$35,'2024数据'!$B$3:$B$152,'2024整理'!$E1240)</f>
        <v>1</v>
      </c>
      <c r="N1248" s="111">
        <f>COUNTIFS('2024数据'!$T$3:$T$152,"&gt;="&amp;DATE(2024,9,1),'2024数据'!$T$3:$T$152,"&lt;="&amp;DATE(2024,9,30),'2024数据'!$BL$3:$BL$152,$E$35,'2024数据'!$B$3:$B$152,'2024整理'!$E1240)</f>
        <v>1</v>
      </c>
      <c r="O1248" s="111">
        <f>COUNTIFS('2024数据'!$T$3:$T$152,"&gt;="&amp;DATE(2024,10,1),'2024数据'!$T$3:$T$152,"&lt;="&amp;DATE(2024,10,31),'2024数据'!$BL$3:$BL$152,$E$35,'2024数据'!$B$3:$B$152,'2024整理'!$E1240)</f>
        <v>0</v>
      </c>
      <c r="P1248" s="111">
        <f>COUNTIFS('2024数据'!$T$3:$T$152,"&gt;="&amp;DATE(2024,11,1),'2024数据'!$T$3:$T$152,"&lt;="&amp;DATE(2024,11,30),'2024数据'!$BL$3:$BL$152,$E$35,'2024数据'!$B$3:$B$152,'2024整理'!$E1240)</f>
        <v>0</v>
      </c>
      <c r="Q1248" s="111">
        <f>COUNTIFS('2024数据'!$T$3:$T$152,"&gt;="&amp;DATE(2024,12,1),'2024数据'!$T$3:$T$152,"&lt;="&amp;DATE(2024,12,31),'2024数据'!$BL$3:$BL$152,$E$35,'2024数据'!$B$3:$B$152,'2024整理'!$E1240)</f>
        <v>1</v>
      </c>
    </row>
    <row r="1249" ht="24" customHeight="1" spans="1:17">
      <c r="A1249" s="99" t="s">
        <v>348</v>
      </c>
      <c r="B1249" s="99" t="s">
        <v>299</v>
      </c>
      <c r="C1249" s="99" t="s">
        <v>291</v>
      </c>
      <c r="D1249" s="53" t="s">
        <v>303</v>
      </c>
      <c r="E1249" s="53" t="s">
        <v>96</v>
      </c>
      <c r="F1249" s="111">
        <f>COUNTIFS('2024数据'!$T$3:$T$152,"&gt;="&amp;DATE(2024,1,1),'2024数据'!$T$3:$T$152,"&lt;="&amp;DATE(2024,1,31),'2024数据'!$BL$3:$BL$152,$E$35,'2024数据'!$B$3:$B$152,'2024整理'!$E1241)</f>
        <v>0</v>
      </c>
      <c r="G1249" s="111">
        <f>COUNTIFS('2024数据'!$T$3:$T$152,"&gt;="&amp;DATE(2024,2,1),'2024数据'!$T$3:$T$152,"&lt;="&amp;DATE(2024,2,29),'2024数据'!$BL$3:$BL$152,$E$35,'2024数据'!$B$3:$B$152,'2024整理'!$E1241)</f>
        <v>0</v>
      </c>
      <c r="H1249" s="111">
        <f>COUNTIFS('2024数据'!$T$3:$T$152,"&gt;="&amp;DATE(2024,3,1),'2024数据'!$T$3:$T$152,"&lt;="&amp;DATE(2024,3,31),'2024数据'!$BL$3:$BL$152,$E$35,'2024数据'!$B$3:$B$152,'2024整理'!$E1241)</f>
        <v>1</v>
      </c>
      <c r="I1249" s="111">
        <f>COUNTIFS('2024数据'!$T$3:$T$152,"&gt;="&amp;DATE(2024,4,1),'2024数据'!$T$3:$T$152,"&lt;="&amp;DATE(2024,4,30),'2024数据'!$BL$3:$BL$152,$E$35,'2024数据'!$B$3:$B$152,'2024整理'!$E1241)</f>
        <v>1</v>
      </c>
      <c r="J1249" s="111">
        <f>COUNTIFS('2024数据'!$T$3:$T$152,"&gt;="&amp;DATE(2024,5,1),'2024数据'!$T$3:$T$152,"&lt;="&amp;DATE(2024,5,31),'2024数据'!$BL$3:$BL$152,$E$35,'2024数据'!$B$3:$B$152,'2024整理'!$E1241)</f>
        <v>0</v>
      </c>
      <c r="K1249" s="111">
        <f>COUNTIFS('2024数据'!$T$3:$T$152,"&gt;="&amp;DATE(2024,6,1),'2024数据'!$T$3:$T$152,"&lt;="&amp;DATE(2024,6,30),'2024数据'!$BL$3:$BL$152,$E$35,'2024数据'!$B$3:$B$152,'2024整理'!$E1241)</f>
        <v>1</v>
      </c>
      <c r="L1249" s="111">
        <f>COUNTIFS('2024数据'!$T$3:$T$152,"&gt;="&amp;DATE(2024,7,1),'2024数据'!$T$3:$T$152,"&lt;="&amp;DATE(2024,7,31),'2024数据'!$BL$3:$BL$152,$E$35,'2024数据'!$B$3:$B$152,'2024整理'!$E1241)</f>
        <v>0</v>
      </c>
      <c r="M1249" s="111">
        <f>COUNTIFS('2024数据'!$T$3:$T$152,"&gt;="&amp;DATE(2024,8,1),'2024数据'!$T$3:$T$152,"&lt;="&amp;DATE(2024,8,31),'2024数据'!$BL$3:$BL$152,$E$35,'2024数据'!$B$3:$B$152,'2024整理'!$E1241)</f>
        <v>0</v>
      </c>
      <c r="N1249" s="111">
        <f>COUNTIFS('2024数据'!$T$3:$T$152,"&gt;="&amp;DATE(2024,9,1),'2024数据'!$T$3:$T$152,"&lt;="&amp;DATE(2024,9,30),'2024数据'!$BL$3:$BL$152,$E$35,'2024数据'!$B$3:$B$152,'2024整理'!$E1241)</f>
        <v>0</v>
      </c>
      <c r="O1249" s="111">
        <f>COUNTIFS('2024数据'!$T$3:$T$152,"&gt;="&amp;DATE(2024,10,1),'2024数据'!$T$3:$T$152,"&lt;="&amp;DATE(2024,10,31),'2024数据'!$BL$3:$BL$152,$E$35,'2024数据'!$B$3:$B$152,'2024整理'!$E1241)</f>
        <v>0</v>
      </c>
      <c r="P1249" s="111">
        <f>COUNTIFS('2024数据'!$T$3:$T$152,"&gt;="&amp;DATE(2024,11,1),'2024数据'!$T$3:$T$152,"&lt;="&amp;DATE(2024,11,30),'2024数据'!$BL$3:$BL$152,$E$35,'2024数据'!$B$3:$B$152,'2024整理'!$E1241)</f>
        <v>0</v>
      </c>
      <c r="Q1249" s="111">
        <f>COUNTIFS('2024数据'!$T$3:$T$152,"&gt;="&amp;DATE(2024,12,1),'2024数据'!$T$3:$T$152,"&lt;="&amp;DATE(2024,12,31),'2024数据'!$BL$3:$BL$152,$E$35,'2024数据'!$B$3:$B$152,'2024整理'!$E1241)</f>
        <v>0</v>
      </c>
    </row>
    <row r="1250" ht="24" customHeight="1" spans="1:17">
      <c r="A1250" s="99" t="s">
        <v>348</v>
      </c>
      <c r="B1250" s="99" t="s">
        <v>299</v>
      </c>
      <c r="C1250" s="99" t="s">
        <v>291</v>
      </c>
      <c r="D1250" s="53" t="s">
        <v>303</v>
      </c>
      <c r="E1250" s="53" t="s">
        <v>160</v>
      </c>
      <c r="F1250" s="111">
        <f>COUNTIFS('2024数据'!$T$3:$T$152,"&gt;="&amp;DATE(2024,1,1),'2024数据'!$T$3:$T$152,"&lt;="&amp;DATE(2024,1,31),'2024数据'!$BL$3:$BL$152,$E$35,'2024数据'!$B$3:$B$152,'2024整理'!$E1242)</f>
        <v>0</v>
      </c>
      <c r="G1250" s="111">
        <f>COUNTIFS('2024数据'!$T$3:$T$152,"&gt;="&amp;DATE(2024,2,1),'2024数据'!$T$3:$T$152,"&lt;="&amp;DATE(2024,2,29),'2024数据'!$BL$3:$BL$152,$E$35,'2024数据'!$B$3:$B$152,'2024整理'!$E1242)</f>
        <v>0</v>
      </c>
      <c r="H1250" s="111">
        <f>COUNTIFS('2024数据'!$T$3:$T$152,"&gt;="&amp;DATE(2024,3,1),'2024数据'!$T$3:$T$152,"&lt;="&amp;DATE(2024,3,31),'2024数据'!$BL$3:$BL$152,$E$35,'2024数据'!$B$3:$B$152,'2024整理'!$E1242)</f>
        <v>0</v>
      </c>
      <c r="I1250" s="111">
        <f>COUNTIFS('2024数据'!$T$3:$T$152,"&gt;="&amp;DATE(2024,4,1),'2024数据'!$T$3:$T$152,"&lt;="&amp;DATE(2024,4,30),'2024数据'!$BL$3:$BL$152,$E$35,'2024数据'!$B$3:$B$152,'2024整理'!$E1242)</f>
        <v>0</v>
      </c>
      <c r="J1250" s="111">
        <f>COUNTIFS('2024数据'!$T$3:$T$152,"&gt;="&amp;DATE(2024,5,1),'2024数据'!$T$3:$T$152,"&lt;="&amp;DATE(2024,5,31),'2024数据'!$BL$3:$BL$152,$E$35,'2024数据'!$B$3:$B$152,'2024整理'!$E1242)</f>
        <v>0</v>
      </c>
      <c r="K1250" s="111">
        <f>COUNTIFS('2024数据'!$T$3:$T$152,"&gt;="&amp;DATE(2024,6,1),'2024数据'!$T$3:$T$152,"&lt;="&amp;DATE(2024,6,30),'2024数据'!$BL$3:$BL$152,$E$35,'2024数据'!$B$3:$B$152,'2024整理'!$E1242)</f>
        <v>0</v>
      </c>
      <c r="L1250" s="111">
        <f>COUNTIFS('2024数据'!$T$3:$T$152,"&gt;="&amp;DATE(2024,7,1),'2024数据'!$T$3:$T$152,"&lt;="&amp;DATE(2024,7,31),'2024数据'!$BL$3:$BL$152,$E$35,'2024数据'!$B$3:$B$152,'2024整理'!$E1242)</f>
        <v>0</v>
      </c>
      <c r="M1250" s="111">
        <f>COUNTIFS('2024数据'!$T$3:$T$152,"&gt;="&amp;DATE(2024,8,1),'2024数据'!$T$3:$T$152,"&lt;="&amp;DATE(2024,8,31),'2024数据'!$BL$3:$BL$152,$E$35,'2024数据'!$B$3:$B$152,'2024整理'!$E1242)</f>
        <v>0</v>
      </c>
      <c r="N1250" s="111">
        <f>COUNTIFS('2024数据'!$T$3:$T$152,"&gt;="&amp;DATE(2024,9,1),'2024数据'!$T$3:$T$152,"&lt;="&amp;DATE(2024,9,30),'2024数据'!$BL$3:$BL$152,$E$35,'2024数据'!$B$3:$B$152,'2024整理'!$E1242)</f>
        <v>0</v>
      </c>
      <c r="O1250" s="111">
        <f>COUNTIFS('2024数据'!$T$3:$T$152,"&gt;="&amp;DATE(2024,10,1),'2024数据'!$T$3:$T$152,"&lt;="&amp;DATE(2024,10,31),'2024数据'!$BL$3:$BL$152,$E$35,'2024数据'!$B$3:$B$152,'2024整理'!$E1242)</f>
        <v>0</v>
      </c>
      <c r="P1250" s="111">
        <f>COUNTIFS('2024数据'!$T$3:$T$152,"&gt;="&amp;DATE(2024,11,1),'2024数据'!$T$3:$T$152,"&lt;="&amp;DATE(2024,11,30),'2024数据'!$BL$3:$BL$152,$E$35,'2024数据'!$B$3:$B$152,'2024整理'!$E1242)</f>
        <v>0</v>
      </c>
      <c r="Q1250" s="111">
        <f>COUNTIFS('2024数据'!$T$3:$T$152,"&gt;="&amp;DATE(2024,12,1),'2024数据'!$T$3:$T$152,"&lt;="&amp;DATE(2024,12,31),'2024数据'!$BL$3:$BL$152,$E$35,'2024数据'!$B$3:$B$152,'2024整理'!$E1242)</f>
        <v>0</v>
      </c>
    </row>
    <row r="1251" ht="24" customHeight="1" spans="1:17">
      <c r="A1251" s="99" t="s">
        <v>348</v>
      </c>
      <c r="B1251" s="99" t="s">
        <v>299</v>
      </c>
      <c r="C1251" s="99" t="s">
        <v>291</v>
      </c>
      <c r="D1251" s="53" t="s">
        <v>304</v>
      </c>
      <c r="E1251" s="53" t="s">
        <v>93</v>
      </c>
      <c r="F1251" s="111">
        <f>COUNTIFS('2024数据'!$T$3:$T$152,"&gt;="&amp;DATE(2024,1,1),'2024数据'!$T$3:$T$152,"&lt;="&amp;DATE(2024,1,31),'2024数据'!$BL$3:$BL$152,$E$36,'2024数据'!$B$3:$B$152,'2024整理'!$E1238)</f>
        <v>0</v>
      </c>
      <c r="G1251" s="111">
        <f>COUNTIFS('2024数据'!$T$3:$T$152,"&gt;="&amp;DATE(2024,2,1),'2024数据'!$T$3:$T$152,"&lt;="&amp;DATE(2024,2,29),'2024数据'!$BL$3:$BL$152,$E$36,'2024数据'!$B$3:$B$152,'2024整理'!$E1238)</f>
        <v>0</v>
      </c>
      <c r="H1251" s="111">
        <f>COUNTIFS('2024数据'!$T$3:$T$152,"&gt;="&amp;DATE(2024,3,1),'2024数据'!$T$3:$T$152,"&lt;="&amp;DATE(2024,3,31),'2024数据'!$BL$3:$BL$152,$E$36,'2024数据'!$B$3:$B$152,'2024整理'!$E1238)</f>
        <v>0</v>
      </c>
      <c r="I1251" s="111">
        <f>COUNTIFS('2024数据'!$T$3:$T$152,"&gt;="&amp;DATE(2024,4,1),'2024数据'!$T$3:$T$152,"&lt;="&amp;DATE(2024,4,30),'2024数据'!$BL$3:$BL$152,$E$36,'2024数据'!$B$3:$B$152,'2024整理'!$E1238)</f>
        <v>1</v>
      </c>
      <c r="J1251" s="111">
        <f>COUNTIFS('2024数据'!$T$3:$T$152,"&gt;="&amp;DATE(2024,5,1),'2024数据'!$T$3:$T$152,"&lt;="&amp;DATE(2024,5,31),'2024数据'!$BL$3:$BL$152,$E$36,'2024数据'!$B$3:$B$152,'2024整理'!$E1238)</f>
        <v>2</v>
      </c>
      <c r="K1251" s="111">
        <f>COUNTIFS('2024数据'!$T$3:$T$152,"&gt;="&amp;DATE(2024,6,1),'2024数据'!$T$3:$T$152,"&lt;="&amp;DATE(2024,6,30),'2024数据'!$BL$3:$BL$152,$E$36,'2024数据'!$B$3:$B$152,'2024整理'!$E1238)</f>
        <v>0</v>
      </c>
      <c r="L1251" s="111">
        <f>COUNTIFS('2024数据'!$T$3:$T$152,"&gt;="&amp;DATE(2024,7,1),'2024数据'!$T$3:$T$152,"&lt;="&amp;DATE(2024,7,31),'2024数据'!$BL$3:$BL$152,$E$36,'2024数据'!$B$3:$B$152,'2024整理'!$E1238)</f>
        <v>1</v>
      </c>
      <c r="M1251" s="111">
        <f>COUNTIFS('2024数据'!$T$3:$T$152,"&gt;="&amp;DATE(2024,8,1),'2024数据'!$T$3:$T$152,"&lt;="&amp;DATE(2024,8,31),'2024数据'!$BL$3:$BL$152,$E$36,'2024数据'!$B$3:$B$152,'2024整理'!$E1238)</f>
        <v>0</v>
      </c>
      <c r="N1251" s="111">
        <f>COUNTIFS('2024数据'!$T$3:$T$152,"&gt;="&amp;DATE(2024,9,1),'2024数据'!$T$3:$T$152,"&lt;="&amp;DATE(2024,9,30),'2024数据'!$BL$3:$BL$152,$E$36,'2024数据'!$B$3:$B$152,'2024整理'!$E1238)</f>
        <v>0</v>
      </c>
      <c r="O1251" s="111">
        <f>COUNTIFS('2024数据'!$T$3:$T$152,"&gt;="&amp;DATE(2024,10,1),'2024数据'!$T$3:$T$152,"&lt;="&amp;DATE(2024,10,31),'2024数据'!$BL$3:$BL$152,$E$36,'2024数据'!$B$3:$B$152,'2024整理'!$E1238)</f>
        <v>0</v>
      </c>
      <c r="P1251" s="111">
        <f>COUNTIFS('2024数据'!$T$3:$T$152,"&gt;="&amp;DATE(2024,11,1),'2024数据'!$T$3:$T$152,"&lt;="&amp;DATE(2024,11,30),'2024数据'!$BL$3:$BL$152,$E$36,'2024数据'!$B$3:$B$152,'2024整理'!$E1238)</f>
        <v>0</v>
      </c>
      <c r="Q1251" s="111">
        <f>COUNTIFS('2024数据'!$T$3:$T$152,"&gt;="&amp;DATE(2024,12,1),'2024数据'!$T$3:$T$152,"&lt;="&amp;DATE(2024,12,31),'2024数据'!$BL$3:$BL$152,$E$36,'2024数据'!$B$3:$B$152,'2024整理'!$E1238)</f>
        <v>0</v>
      </c>
    </row>
    <row r="1252" ht="24" customHeight="1" spans="1:17">
      <c r="A1252" s="99" t="s">
        <v>348</v>
      </c>
      <c r="B1252" s="99" t="s">
        <v>299</v>
      </c>
      <c r="C1252" s="99" t="s">
        <v>291</v>
      </c>
      <c r="D1252" s="53" t="s">
        <v>304</v>
      </c>
      <c r="E1252" s="53" t="s">
        <v>85</v>
      </c>
      <c r="F1252" s="111">
        <f>COUNTIFS('2024数据'!$T$3:$T$152,"&gt;="&amp;DATE(2024,1,1),'2024数据'!$T$3:$T$152,"&lt;="&amp;DATE(2024,1,31),'2024数据'!$BL$3:$BL$152,$E$36,'2024数据'!$B$3:$B$152,'2024整理'!$E1239)</f>
        <v>0</v>
      </c>
      <c r="G1252" s="111">
        <f>COUNTIFS('2024数据'!$T$3:$T$152,"&gt;="&amp;DATE(2024,2,1),'2024数据'!$T$3:$T$152,"&lt;="&amp;DATE(2024,2,29),'2024数据'!$BL$3:$BL$152,$E$36,'2024数据'!$B$3:$B$152,'2024整理'!$E1239)</f>
        <v>0</v>
      </c>
      <c r="H1252" s="111">
        <f>COUNTIFS('2024数据'!$T$3:$T$152,"&gt;="&amp;DATE(2024,3,1),'2024数据'!$T$3:$T$152,"&lt;="&amp;DATE(2024,3,31),'2024数据'!$BL$3:$BL$152,$E$36,'2024数据'!$B$3:$B$152,'2024整理'!$E1239)</f>
        <v>0</v>
      </c>
      <c r="I1252" s="111">
        <f>COUNTIFS('2024数据'!$T$3:$T$152,"&gt;="&amp;DATE(2024,4,1),'2024数据'!$T$3:$T$152,"&lt;="&amp;DATE(2024,4,30),'2024数据'!$BL$3:$BL$152,$E$36,'2024数据'!$B$3:$B$152,'2024整理'!$E1239)</f>
        <v>0</v>
      </c>
      <c r="J1252" s="111">
        <f>COUNTIFS('2024数据'!$T$3:$T$152,"&gt;="&amp;DATE(2024,5,1),'2024数据'!$T$3:$T$152,"&lt;="&amp;DATE(2024,5,31),'2024数据'!$BL$3:$BL$152,$E$36,'2024数据'!$B$3:$B$152,'2024整理'!$E1239)</f>
        <v>0</v>
      </c>
      <c r="K1252" s="111">
        <f>COUNTIFS('2024数据'!$T$3:$T$152,"&gt;="&amp;DATE(2024,6,1),'2024数据'!$T$3:$T$152,"&lt;="&amp;DATE(2024,6,30),'2024数据'!$BL$3:$BL$152,$E$36,'2024数据'!$B$3:$B$152,'2024整理'!$E1239)</f>
        <v>0</v>
      </c>
      <c r="L1252" s="111">
        <f>COUNTIFS('2024数据'!$T$3:$T$152,"&gt;="&amp;DATE(2024,7,1),'2024数据'!$T$3:$T$152,"&lt;="&amp;DATE(2024,7,31),'2024数据'!$BL$3:$BL$152,$E$36,'2024数据'!$B$3:$B$152,'2024整理'!$E1239)</f>
        <v>1</v>
      </c>
      <c r="M1252" s="111">
        <f>COUNTIFS('2024数据'!$T$3:$T$152,"&gt;="&amp;DATE(2024,8,1),'2024数据'!$T$3:$T$152,"&lt;="&amp;DATE(2024,8,31),'2024数据'!$BL$3:$BL$152,$E$36,'2024数据'!$B$3:$B$152,'2024整理'!$E1239)</f>
        <v>0</v>
      </c>
      <c r="N1252" s="111">
        <f>COUNTIFS('2024数据'!$T$3:$T$152,"&gt;="&amp;DATE(2024,9,1),'2024数据'!$T$3:$T$152,"&lt;="&amp;DATE(2024,9,30),'2024数据'!$BL$3:$BL$152,$E$36,'2024数据'!$B$3:$B$152,'2024整理'!$E1239)</f>
        <v>0</v>
      </c>
      <c r="O1252" s="111">
        <f>COUNTIFS('2024数据'!$T$3:$T$152,"&gt;="&amp;DATE(2024,10,1),'2024数据'!$T$3:$T$152,"&lt;="&amp;DATE(2024,10,31),'2024数据'!$BL$3:$BL$152,$E$36,'2024数据'!$B$3:$B$152,'2024整理'!$E1239)</f>
        <v>1</v>
      </c>
      <c r="P1252" s="111">
        <f>COUNTIFS('2024数据'!$T$3:$T$152,"&gt;="&amp;DATE(2024,11,1),'2024数据'!$T$3:$T$152,"&lt;="&amp;DATE(2024,11,30),'2024数据'!$BL$3:$BL$152,$E$36,'2024数据'!$B$3:$B$152,'2024整理'!$E1239)</f>
        <v>0</v>
      </c>
      <c r="Q1252" s="111">
        <f>COUNTIFS('2024数据'!$T$3:$T$152,"&gt;="&amp;DATE(2024,12,1),'2024数据'!$T$3:$T$152,"&lt;="&amp;DATE(2024,12,31),'2024数据'!$BL$3:$BL$152,$E$36,'2024数据'!$B$3:$B$152,'2024整理'!$E1239)</f>
        <v>1</v>
      </c>
    </row>
    <row r="1253" ht="24" customHeight="1" spans="1:17">
      <c r="A1253" s="99" t="s">
        <v>348</v>
      </c>
      <c r="B1253" s="99" t="s">
        <v>299</v>
      </c>
      <c r="C1253" s="99" t="s">
        <v>291</v>
      </c>
      <c r="D1253" s="53" t="s">
        <v>304</v>
      </c>
      <c r="E1253" s="53" t="s">
        <v>81</v>
      </c>
      <c r="F1253" s="111">
        <f>COUNTIFS('2024数据'!$T$3:$T$152,"&gt;="&amp;DATE(2024,1,1),'2024数据'!$T$3:$T$152,"&lt;="&amp;DATE(2024,1,31),'2024数据'!$BL$3:$BL$152,$E$36,'2024数据'!$B$3:$B$152,'2024整理'!$E1240)</f>
        <v>0</v>
      </c>
      <c r="G1253" s="111">
        <f>COUNTIFS('2024数据'!$T$3:$T$152,"&gt;="&amp;DATE(2024,2,1),'2024数据'!$T$3:$T$152,"&lt;="&amp;DATE(2024,2,29),'2024数据'!$BL$3:$BL$152,$E$36,'2024数据'!$B$3:$B$152,'2024整理'!$E1240)</f>
        <v>0</v>
      </c>
      <c r="H1253" s="111">
        <f>COUNTIFS('2024数据'!$T$3:$T$152,"&gt;="&amp;DATE(2024,3,1),'2024数据'!$T$3:$T$152,"&lt;="&amp;DATE(2024,3,31),'2024数据'!$BL$3:$BL$152,$E$36,'2024数据'!$B$3:$B$152,'2024整理'!$E1240)</f>
        <v>0</v>
      </c>
      <c r="I1253" s="111">
        <f>COUNTIFS('2024数据'!$T$3:$T$152,"&gt;="&amp;DATE(2024,4,1),'2024数据'!$T$3:$T$152,"&lt;="&amp;DATE(2024,4,30),'2024数据'!$BL$3:$BL$152,$E$36,'2024数据'!$B$3:$B$152,'2024整理'!$E1240)</f>
        <v>1</v>
      </c>
      <c r="J1253" s="111">
        <f>COUNTIFS('2024数据'!$T$3:$T$152,"&gt;="&amp;DATE(2024,5,1),'2024数据'!$T$3:$T$152,"&lt;="&amp;DATE(2024,5,31),'2024数据'!$BL$3:$BL$152,$E$36,'2024数据'!$B$3:$B$152,'2024整理'!$E1240)</f>
        <v>2</v>
      </c>
      <c r="K1253" s="111">
        <f>COUNTIFS('2024数据'!$T$3:$T$152,"&gt;="&amp;DATE(2024,6,1),'2024数据'!$T$3:$T$152,"&lt;="&amp;DATE(2024,6,30),'2024数据'!$BL$3:$BL$152,$E$36,'2024数据'!$B$3:$B$152,'2024整理'!$E1240)</f>
        <v>1</v>
      </c>
      <c r="L1253" s="111">
        <f>COUNTIFS('2024数据'!$T$3:$T$152,"&gt;="&amp;DATE(2024,7,1),'2024数据'!$T$3:$T$152,"&lt;="&amp;DATE(2024,7,31),'2024数据'!$BL$3:$BL$152,$E$36,'2024数据'!$B$3:$B$152,'2024整理'!$E1240)</f>
        <v>0</v>
      </c>
      <c r="M1253" s="111">
        <f>COUNTIFS('2024数据'!$T$3:$T$152,"&gt;="&amp;DATE(2024,8,1),'2024数据'!$T$3:$T$152,"&lt;="&amp;DATE(2024,8,31),'2024数据'!$BL$3:$BL$152,$E$36,'2024数据'!$B$3:$B$152,'2024整理'!$E1240)</f>
        <v>0</v>
      </c>
      <c r="N1253" s="111">
        <f>COUNTIFS('2024数据'!$T$3:$T$152,"&gt;="&amp;DATE(2024,9,1),'2024数据'!$T$3:$T$152,"&lt;="&amp;DATE(2024,9,30),'2024数据'!$BL$3:$BL$152,$E$36,'2024数据'!$B$3:$B$152,'2024整理'!$E1240)</f>
        <v>0</v>
      </c>
      <c r="O1253" s="111">
        <f>COUNTIFS('2024数据'!$T$3:$T$152,"&gt;="&amp;DATE(2024,10,1),'2024数据'!$T$3:$T$152,"&lt;="&amp;DATE(2024,10,31),'2024数据'!$BL$3:$BL$152,$E$36,'2024数据'!$B$3:$B$152,'2024整理'!$E1240)</f>
        <v>0</v>
      </c>
      <c r="P1253" s="111">
        <f>COUNTIFS('2024数据'!$T$3:$T$152,"&gt;="&amp;DATE(2024,11,1),'2024数据'!$T$3:$T$152,"&lt;="&amp;DATE(2024,11,30),'2024数据'!$BL$3:$BL$152,$E$36,'2024数据'!$B$3:$B$152,'2024整理'!$E1240)</f>
        <v>0</v>
      </c>
      <c r="Q1253" s="111">
        <f>COUNTIFS('2024数据'!$T$3:$T$152,"&gt;="&amp;DATE(2024,12,1),'2024数据'!$T$3:$T$152,"&lt;="&amp;DATE(2024,12,31),'2024数据'!$BL$3:$BL$152,$E$36,'2024数据'!$B$3:$B$152,'2024整理'!$E1240)</f>
        <v>0</v>
      </c>
    </row>
    <row r="1254" ht="24" customHeight="1" spans="1:17">
      <c r="A1254" s="99" t="s">
        <v>348</v>
      </c>
      <c r="B1254" s="99" t="s">
        <v>299</v>
      </c>
      <c r="C1254" s="99" t="s">
        <v>291</v>
      </c>
      <c r="D1254" s="53" t="s">
        <v>304</v>
      </c>
      <c r="E1254" s="53" t="s">
        <v>96</v>
      </c>
      <c r="F1254" s="111">
        <f>COUNTIFS('2024数据'!$T$3:$T$152,"&gt;="&amp;DATE(2024,1,1),'2024数据'!$T$3:$T$152,"&lt;="&amp;DATE(2024,1,31),'2024数据'!$BL$3:$BL$152,$E$36,'2024数据'!$B$3:$B$152,'2024整理'!$E1241)</f>
        <v>0</v>
      </c>
      <c r="G1254" s="111">
        <f>COUNTIFS('2024数据'!$T$3:$T$152,"&gt;="&amp;DATE(2024,2,1),'2024数据'!$T$3:$T$152,"&lt;="&amp;DATE(2024,2,29),'2024数据'!$BL$3:$BL$152,$E$36,'2024数据'!$B$3:$B$152,'2024整理'!$E1241)</f>
        <v>0</v>
      </c>
      <c r="H1254" s="111">
        <f>COUNTIFS('2024数据'!$T$3:$T$152,"&gt;="&amp;DATE(2024,3,1),'2024数据'!$T$3:$T$152,"&lt;="&amp;DATE(2024,3,31),'2024数据'!$BL$3:$BL$152,$E$36,'2024数据'!$B$3:$B$152,'2024整理'!$E1241)</f>
        <v>0</v>
      </c>
      <c r="I1254" s="111">
        <f>COUNTIFS('2024数据'!$T$3:$T$152,"&gt;="&amp;DATE(2024,4,1),'2024数据'!$T$3:$T$152,"&lt;="&amp;DATE(2024,4,30),'2024数据'!$BL$3:$BL$152,$E$36,'2024数据'!$B$3:$B$152,'2024整理'!$E1241)</f>
        <v>0</v>
      </c>
      <c r="J1254" s="111">
        <f>COUNTIFS('2024数据'!$T$3:$T$152,"&gt;="&amp;DATE(2024,5,1),'2024数据'!$T$3:$T$152,"&lt;="&amp;DATE(2024,5,31),'2024数据'!$BL$3:$BL$152,$E$36,'2024数据'!$B$3:$B$152,'2024整理'!$E1241)</f>
        <v>0</v>
      </c>
      <c r="K1254" s="111">
        <f>COUNTIFS('2024数据'!$T$3:$T$152,"&gt;="&amp;DATE(2024,6,1),'2024数据'!$T$3:$T$152,"&lt;="&amp;DATE(2024,6,30),'2024数据'!$BL$3:$BL$152,$E$36,'2024数据'!$B$3:$B$152,'2024整理'!$E1241)</f>
        <v>0</v>
      </c>
      <c r="L1254" s="111">
        <f>COUNTIFS('2024数据'!$T$3:$T$152,"&gt;="&amp;DATE(2024,7,1),'2024数据'!$T$3:$T$152,"&lt;="&amp;DATE(2024,7,31),'2024数据'!$BL$3:$BL$152,$E$36,'2024数据'!$B$3:$B$152,'2024整理'!$E1241)</f>
        <v>0</v>
      </c>
      <c r="M1254" s="111">
        <f>COUNTIFS('2024数据'!$T$3:$T$152,"&gt;="&amp;DATE(2024,8,1),'2024数据'!$T$3:$T$152,"&lt;="&amp;DATE(2024,8,31),'2024数据'!$BL$3:$BL$152,$E$36,'2024数据'!$B$3:$B$152,'2024整理'!$E1241)</f>
        <v>0</v>
      </c>
      <c r="N1254" s="111">
        <f>COUNTIFS('2024数据'!$T$3:$T$152,"&gt;="&amp;DATE(2024,9,1),'2024数据'!$T$3:$T$152,"&lt;="&amp;DATE(2024,9,30),'2024数据'!$BL$3:$BL$152,$E$36,'2024数据'!$B$3:$B$152,'2024整理'!$E1241)</f>
        <v>0</v>
      </c>
      <c r="O1254" s="111">
        <f>COUNTIFS('2024数据'!$T$3:$T$152,"&gt;="&amp;DATE(2024,10,1),'2024数据'!$T$3:$T$152,"&lt;="&amp;DATE(2024,10,31),'2024数据'!$BL$3:$BL$152,$E$36,'2024数据'!$B$3:$B$152,'2024整理'!$E1241)</f>
        <v>0</v>
      </c>
      <c r="P1254" s="111">
        <f>COUNTIFS('2024数据'!$T$3:$T$152,"&gt;="&amp;DATE(2024,11,1),'2024数据'!$T$3:$T$152,"&lt;="&amp;DATE(2024,11,30),'2024数据'!$BL$3:$BL$152,$E$36,'2024数据'!$B$3:$B$152,'2024整理'!$E1241)</f>
        <v>0</v>
      </c>
      <c r="Q1254" s="111">
        <f>COUNTIFS('2024数据'!$T$3:$T$152,"&gt;="&amp;DATE(2024,12,1),'2024数据'!$T$3:$T$152,"&lt;="&amp;DATE(2024,12,31),'2024数据'!$BL$3:$BL$152,$E$36,'2024数据'!$B$3:$B$152,'2024整理'!$E1241)</f>
        <v>0</v>
      </c>
    </row>
    <row r="1255" ht="24" customHeight="1" spans="1:17">
      <c r="A1255" s="99" t="s">
        <v>348</v>
      </c>
      <c r="B1255" s="99" t="s">
        <v>299</v>
      </c>
      <c r="C1255" s="99" t="s">
        <v>291</v>
      </c>
      <c r="D1255" s="53" t="s">
        <v>304</v>
      </c>
      <c r="E1255" s="53" t="s">
        <v>160</v>
      </c>
      <c r="F1255" s="111">
        <f>COUNTIFS('2024数据'!$T$3:$T$152,"&gt;="&amp;DATE(2024,1,1),'2024数据'!$T$3:$T$152,"&lt;="&amp;DATE(2024,1,31),'2024数据'!$BL$3:$BL$152,$E$36,'2024数据'!$B$3:$B$152,'2024整理'!$E1242)</f>
        <v>0</v>
      </c>
      <c r="G1255" s="111">
        <f>COUNTIFS('2024数据'!$T$3:$T$152,"&gt;="&amp;DATE(2024,2,1),'2024数据'!$T$3:$T$152,"&lt;="&amp;DATE(2024,2,29),'2024数据'!$BL$3:$BL$152,$E$36,'2024数据'!$B$3:$B$152,'2024整理'!$E1242)</f>
        <v>0</v>
      </c>
      <c r="H1255" s="111">
        <f>COUNTIFS('2024数据'!$T$3:$T$152,"&gt;="&amp;DATE(2024,3,1),'2024数据'!$T$3:$T$152,"&lt;="&amp;DATE(2024,3,31),'2024数据'!$BL$3:$BL$152,$E$36,'2024数据'!$B$3:$B$152,'2024整理'!$E1242)</f>
        <v>0</v>
      </c>
      <c r="I1255" s="111">
        <f>COUNTIFS('2024数据'!$T$3:$T$152,"&gt;="&amp;DATE(2024,4,1),'2024数据'!$T$3:$T$152,"&lt;="&amp;DATE(2024,4,30),'2024数据'!$BL$3:$BL$152,$E$36,'2024数据'!$B$3:$B$152,'2024整理'!$E1242)</f>
        <v>0</v>
      </c>
      <c r="J1255" s="111">
        <f>COUNTIFS('2024数据'!$T$3:$T$152,"&gt;="&amp;DATE(2024,5,1),'2024数据'!$T$3:$T$152,"&lt;="&amp;DATE(2024,5,31),'2024数据'!$BL$3:$BL$152,$E$36,'2024数据'!$B$3:$B$152,'2024整理'!$E1242)</f>
        <v>0</v>
      </c>
      <c r="K1255" s="111">
        <f>COUNTIFS('2024数据'!$T$3:$T$152,"&gt;="&amp;DATE(2024,6,1),'2024数据'!$T$3:$T$152,"&lt;="&amp;DATE(2024,6,30),'2024数据'!$BL$3:$BL$152,$E$36,'2024数据'!$B$3:$B$152,'2024整理'!$E1242)</f>
        <v>0</v>
      </c>
      <c r="L1255" s="111">
        <f>COUNTIFS('2024数据'!$T$3:$T$152,"&gt;="&amp;DATE(2024,7,1),'2024数据'!$T$3:$T$152,"&lt;="&amp;DATE(2024,7,31),'2024数据'!$BL$3:$BL$152,$E$36,'2024数据'!$B$3:$B$152,'2024整理'!$E1242)</f>
        <v>0</v>
      </c>
      <c r="M1255" s="111">
        <f>COUNTIFS('2024数据'!$T$3:$T$152,"&gt;="&amp;DATE(2024,8,1),'2024数据'!$T$3:$T$152,"&lt;="&amp;DATE(2024,8,31),'2024数据'!$BL$3:$BL$152,$E$36,'2024数据'!$B$3:$B$152,'2024整理'!$E1242)</f>
        <v>0</v>
      </c>
      <c r="N1255" s="111">
        <f>COUNTIFS('2024数据'!$T$3:$T$152,"&gt;="&amp;DATE(2024,9,1),'2024数据'!$T$3:$T$152,"&lt;="&amp;DATE(2024,9,30),'2024数据'!$BL$3:$BL$152,$E$36,'2024数据'!$B$3:$B$152,'2024整理'!$E1242)</f>
        <v>0</v>
      </c>
      <c r="O1255" s="111">
        <f>COUNTIFS('2024数据'!$T$3:$T$152,"&gt;="&amp;DATE(2024,10,1),'2024数据'!$T$3:$T$152,"&lt;="&amp;DATE(2024,10,31),'2024数据'!$BL$3:$BL$152,$E$36,'2024数据'!$B$3:$B$152,'2024整理'!$E1242)</f>
        <v>0</v>
      </c>
      <c r="P1255" s="111">
        <f>COUNTIFS('2024数据'!$T$3:$T$152,"&gt;="&amp;DATE(2024,11,1),'2024数据'!$T$3:$T$152,"&lt;="&amp;DATE(2024,11,30),'2024数据'!$BL$3:$BL$152,$E$36,'2024数据'!$B$3:$B$152,'2024整理'!$E1242)</f>
        <v>0</v>
      </c>
      <c r="Q1255" s="111">
        <f>COUNTIFS('2024数据'!$T$3:$T$152,"&gt;="&amp;DATE(2024,12,1),'2024数据'!$T$3:$T$152,"&lt;="&amp;DATE(2024,12,31),'2024数据'!$BL$3:$BL$152,$E$36,'2024数据'!$B$3:$B$152,'2024整理'!$E1242)</f>
        <v>0</v>
      </c>
    </row>
    <row r="1256" ht="24" customHeight="1" spans="1:17">
      <c r="A1256" s="99" t="s">
        <v>348</v>
      </c>
      <c r="B1256" s="99" t="s">
        <v>299</v>
      </c>
      <c r="C1256" s="99" t="s">
        <v>291</v>
      </c>
      <c r="D1256" s="53" t="s">
        <v>305</v>
      </c>
      <c r="E1256" s="53" t="s">
        <v>93</v>
      </c>
      <c r="F1256" s="111">
        <f>COUNTIFS('2024数据'!$T$3:$T$152,"&gt;="&amp;DATE(2024,1,1),'2024数据'!$T$3:$T$152,"&lt;="&amp;DATE(2024,1,31),'2024数据'!$BL$3:$BL$152,$E$37,'2024数据'!$B$3:$B$152,'2024整理'!$E1238)</f>
        <v>0</v>
      </c>
      <c r="G1256" s="111">
        <f>COUNTIFS('2024数据'!$T$3:$T$152,"&gt;="&amp;DATE(2024,2,1),'2024数据'!$T$3:$T$152,"&lt;="&amp;DATE(2024,2,29),'2024数据'!$BL$3:$BL$152,$E$37,'2024数据'!$B$3:$B$152,'2024整理'!$E1238)</f>
        <v>0</v>
      </c>
      <c r="H1256" s="111">
        <f>COUNTIFS('2024数据'!$T$3:$T$152,"&gt;="&amp;DATE(2024,3,1),'2024数据'!$T$3:$T$152,"&lt;="&amp;DATE(2024,3,31),'2024数据'!$BL$3:$BL$152,$E$37,'2024数据'!$B$3:$B$152,'2024整理'!$E1238)</f>
        <v>0</v>
      </c>
      <c r="I1256" s="111">
        <f>COUNTIFS('2024数据'!$T$3:$T$152,"&gt;="&amp;DATE(2024,4,1),'2024数据'!$T$3:$T$152,"&lt;="&amp;DATE(2024,4,30),'2024数据'!$BL$3:$BL$152,$E$37,'2024数据'!$B$3:$B$152,'2024整理'!$E1238)</f>
        <v>0</v>
      </c>
      <c r="J1256" s="111">
        <f>COUNTIFS('2024数据'!$T$3:$T$152,"&gt;="&amp;DATE(2024,5,1),'2024数据'!$T$3:$T$152,"&lt;="&amp;DATE(2024,5,31),'2024数据'!$BL$3:$BL$152,$E$37,'2024数据'!$B$3:$B$152,'2024整理'!$E1238)</f>
        <v>0</v>
      </c>
      <c r="K1256" s="111">
        <f>COUNTIFS('2024数据'!$T$3:$T$152,"&gt;="&amp;DATE(2024,6,1),'2024数据'!$T$3:$T$152,"&lt;="&amp;DATE(2024,6,30),'2024数据'!$BL$3:$BL$152,$E$37,'2024数据'!$B$3:$B$152,'2024整理'!$E1238)</f>
        <v>0</v>
      </c>
      <c r="L1256" s="111">
        <f>COUNTIFS('2024数据'!$T$3:$T$152,"&gt;="&amp;DATE(2024,7,1),'2024数据'!$T$3:$T$152,"&lt;="&amp;DATE(2024,7,31),'2024数据'!$BL$3:$BL$152,$E$37,'2024数据'!$B$3:$B$152,'2024整理'!$E1238)</f>
        <v>1</v>
      </c>
      <c r="M1256" s="111">
        <f>COUNTIFS('2024数据'!$T$3:$T$152,"&gt;="&amp;DATE(2024,8,1),'2024数据'!$T$3:$T$152,"&lt;="&amp;DATE(2024,8,31),'2024数据'!$BL$3:$BL$152,$E$37,'2024数据'!$B$3:$B$152,'2024整理'!$E1238)</f>
        <v>0</v>
      </c>
      <c r="N1256" s="111">
        <f>COUNTIFS('2024数据'!$T$3:$T$152,"&gt;="&amp;DATE(2024,9,1),'2024数据'!$T$3:$T$152,"&lt;="&amp;DATE(2024,9,30),'2024数据'!$BL$3:$BL$152,$E$37,'2024数据'!$B$3:$B$152,'2024整理'!$E1238)</f>
        <v>0</v>
      </c>
      <c r="O1256" s="111">
        <f>COUNTIFS('2024数据'!$T$3:$T$152,"&gt;="&amp;DATE(2024,10,1),'2024数据'!$T$3:$T$152,"&lt;="&amp;DATE(2024,10,31),'2024数据'!$BL$3:$BL$152,$E$37,'2024数据'!$B$3:$B$152,'2024整理'!$E1238)</f>
        <v>0</v>
      </c>
      <c r="P1256" s="111">
        <f>COUNTIFS('2024数据'!$T$3:$T$152,"&gt;="&amp;DATE(2024,11,1),'2024数据'!$T$3:$T$152,"&lt;="&amp;DATE(2024,11,30),'2024数据'!$BL$3:$BL$152,$E$37,'2024数据'!$B$3:$B$152,'2024整理'!$E1238)</f>
        <v>0</v>
      </c>
      <c r="Q1256" s="111">
        <f>COUNTIFS('2024数据'!$T$3:$T$152,"&gt;="&amp;DATE(2024,12,1),'2024数据'!$T$3:$T$152,"&lt;="&amp;DATE(2024,12,31),'2024数据'!$BL$3:$BL$152,$E$37,'2024数据'!$B$3:$B$152,'2024整理'!$E1238)</f>
        <v>0</v>
      </c>
    </row>
    <row r="1257" ht="24" customHeight="1" spans="1:17">
      <c r="A1257" s="99" t="s">
        <v>348</v>
      </c>
      <c r="B1257" s="99" t="s">
        <v>299</v>
      </c>
      <c r="C1257" s="99" t="s">
        <v>291</v>
      </c>
      <c r="D1257" s="53" t="s">
        <v>305</v>
      </c>
      <c r="E1257" s="53" t="s">
        <v>85</v>
      </c>
      <c r="F1257" s="111">
        <f>COUNTIFS('2024数据'!$T$3:$T$152,"&gt;="&amp;DATE(2024,1,1),'2024数据'!$T$3:$T$152,"&lt;="&amp;DATE(2024,1,31),'2024数据'!$BL$3:$BL$152,$E$37,'2024数据'!$B$3:$B$152,'2024整理'!$E1239)</f>
        <v>0</v>
      </c>
      <c r="G1257" s="111">
        <f>COUNTIFS('2024数据'!$T$3:$T$152,"&gt;="&amp;DATE(2024,2,1),'2024数据'!$T$3:$T$152,"&lt;="&amp;DATE(2024,2,29),'2024数据'!$BL$3:$BL$152,$E$37,'2024数据'!$B$3:$B$152,'2024整理'!$E1239)</f>
        <v>0</v>
      </c>
      <c r="H1257" s="111">
        <f>COUNTIFS('2024数据'!$T$3:$T$152,"&gt;="&amp;DATE(2024,3,1),'2024数据'!$T$3:$T$152,"&lt;="&amp;DATE(2024,3,31),'2024数据'!$BL$3:$BL$152,$E$37,'2024数据'!$B$3:$B$152,'2024整理'!$E1239)</f>
        <v>0</v>
      </c>
      <c r="I1257" s="111">
        <f>COUNTIFS('2024数据'!$T$3:$T$152,"&gt;="&amp;DATE(2024,4,1),'2024数据'!$T$3:$T$152,"&lt;="&amp;DATE(2024,4,30),'2024数据'!$BL$3:$BL$152,$E$37,'2024数据'!$B$3:$B$152,'2024整理'!$E1239)</f>
        <v>0</v>
      </c>
      <c r="J1257" s="111">
        <f>COUNTIFS('2024数据'!$T$3:$T$152,"&gt;="&amp;DATE(2024,5,1),'2024数据'!$T$3:$T$152,"&lt;="&amp;DATE(2024,5,31),'2024数据'!$BL$3:$BL$152,$E$37,'2024数据'!$B$3:$B$152,'2024整理'!$E1239)</f>
        <v>0</v>
      </c>
      <c r="K1257" s="111">
        <f>COUNTIFS('2024数据'!$T$3:$T$152,"&gt;="&amp;DATE(2024,6,1),'2024数据'!$T$3:$T$152,"&lt;="&amp;DATE(2024,6,30),'2024数据'!$BL$3:$BL$152,$E$37,'2024数据'!$B$3:$B$152,'2024整理'!$E1239)</f>
        <v>0</v>
      </c>
      <c r="L1257" s="111">
        <f>COUNTIFS('2024数据'!$T$3:$T$152,"&gt;="&amp;DATE(2024,7,1),'2024数据'!$T$3:$T$152,"&lt;="&amp;DATE(2024,7,31),'2024数据'!$BL$3:$BL$152,$E$37,'2024数据'!$B$3:$B$152,'2024整理'!$E1239)</f>
        <v>0</v>
      </c>
      <c r="M1257" s="111">
        <f>COUNTIFS('2024数据'!$T$3:$T$152,"&gt;="&amp;DATE(2024,8,1),'2024数据'!$T$3:$T$152,"&lt;="&amp;DATE(2024,8,31),'2024数据'!$BL$3:$BL$152,$E$37,'2024数据'!$B$3:$B$152,'2024整理'!$E1239)</f>
        <v>0</v>
      </c>
      <c r="N1257" s="111">
        <f>COUNTIFS('2024数据'!$T$3:$T$152,"&gt;="&amp;DATE(2024,9,1),'2024数据'!$T$3:$T$152,"&lt;="&amp;DATE(2024,9,30),'2024数据'!$BL$3:$BL$152,$E$37,'2024数据'!$B$3:$B$152,'2024整理'!$E1239)</f>
        <v>0</v>
      </c>
      <c r="O1257" s="111">
        <f>COUNTIFS('2024数据'!$T$3:$T$152,"&gt;="&amp;DATE(2024,10,1),'2024数据'!$T$3:$T$152,"&lt;="&amp;DATE(2024,10,31),'2024数据'!$BL$3:$BL$152,$E$37,'2024数据'!$B$3:$B$152,'2024整理'!$E1239)</f>
        <v>0</v>
      </c>
      <c r="P1257" s="111">
        <f>COUNTIFS('2024数据'!$T$3:$T$152,"&gt;="&amp;DATE(2024,11,1),'2024数据'!$T$3:$T$152,"&lt;="&amp;DATE(2024,11,30),'2024数据'!$BL$3:$BL$152,$E$37,'2024数据'!$B$3:$B$152,'2024整理'!$E1239)</f>
        <v>0</v>
      </c>
      <c r="Q1257" s="111">
        <f>COUNTIFS('2024数据'!$T$3:$T$152,"&gt;="&amp;DATE(2024,12,1),'2024数据'!$T$3:$T$152,"&lt;="&amp;DATE(2024,12,31),'2024数据'!$BL$3:$BL$152,$E$37,'2024数据'!$B$3:$B$152,'2024整理'!$E1239)</f>
        <v>0</v>
      </c>
    </row>
    <row r="1258" ht="24" customHeight="1" spans="1:17">
      <c r="A1258" s="99" t="s">
        <v>348</v>
      </c>
      <c r="B1258" s="99" t="s">
        <v>299</v>
      </c>
      <c r="C1258" s="99" t="s">
        <v>291</v>
      </c>
      <c r="D1258" s="53" t="s">
        <v>305</v>
      </c>
      <c r="E1258" s="53" t="s">
        <v>81</v>
      </c>
      <c r="F1258" s="111">
        <f>COUNTIFS('2024数据'!$T$3:$T$152,"&gt;="&amp;DATE(2024,1,1),'2024数据'!$T$3:$T$152,"&lt;="&amp;DATE(2024,1,31),'2024数据'!$BL$3:$BL$152,$E$37,'2024数据'!$B$3:$B$152,'2024整理'!$E1240)</f>
        <v>0</v>
      </c>
      <c r="G1258" s="111">
        <f>COUNTIFS('2024数据'!$T$3:$T$152,"&gt;="&amp;DATE(2024,2,1),'2024数据'!$T$3:$T$152,"&lt;="&amp;DATE(2024,2,29),'2024数据'!$BL$3:$BL$152,$E$37,'2024数据'!$B$3:$B$152,'2024整理'!$E1240)</f>
        <v>0</v>
      </c>
      <c r="H1258" s="111">
        <f>COUNTIFS('2024数据'!$T$3:$T$152,"&gt;="&amp;DATE(2024,3,1),'2024数据'!$T$3:$T$152,"&lt;="&amp;DATE(2024,3,31),'2024数据'!$BL$3:$BL$152,$E$37,'2024数据'!$B$3:$B$152,'2024整理'!$E1240)</f>
        <v>0</v>
      </c>
      <c r="I1258" s="111">
        <f>COUNTIFS('2024数据'!$T$3:$T$152,"&gt;="&amp;DATE(2024,4,1),'2024数据'!$T$3:$T$152,"&lt;="&amp;DATE(2024,4,30),'2024数据'!$BL$3:$BL$152,$E$37,'2024数据'!$B$3:$B$152,'2024整理'!$E1240)</f>
        <v>0</v>
      </c>
      <c r="J1258" s="111">
        <f>COUNTIFS('2024数据'!$T$3:$T$152,"&gt;="&amp;DATE(2024,5,1),'2024数据'!$T$3:$T$152,"&lt;="&amp;DATE(2024,5,31),'2024数据'!$BL$3:$BL$152,$E$37,'2024数据'!$B$3:$B$152,'2024整理'!$E1240)</f>
        <v>0</v>
      </c>
      <c r="K1258" s="111">
        <f>COUNTIFS('2024数据'!$T$3:$T$152,"&gt;="&amp;DATE(2024,6,1),'2024数据'!$T$3:$T$152,"&lt;="&amp;DATE(2024,6,30),'2024数据'!$BL$3:$BL$152,$E$37,'2024数据'!$B$3:$B$152,'2024整理'!$E1240)</f>
        <v>0</v>
      </c>
      <c r="L1258" s="111">
        <f>COUNTIFS('2024数据'!$T$3:$T$152,"&gt;="&amp;DATE(2024,7,1),'2024数据'!$T$3:$T$152,"&lt;="&amp;DATE(2024,7,31),'2024数据'!$BL$3:$BL$152,$E$37,'2024数据'!$B$3:$B$152,'2024整理'!$E1240)</f>
        <v>0</v>
      </c>
      <c r="M1258" s="111">
        <f>COUNTIFS('2024数据'!$T$3:$T$152,"&gt;="&amp;DATE(2024,8,1),'2024数据'!$T$3:$T$152,"&lt;="&amp;DATE(2024,8,31),'2024数据'!$BL$3:$BL$152,$E$37,'2024数据'!$B$3:$B$152,'2024整理'!$E1240)</f>
        <v>0</v>
      </c>
      <c r="N1258" s="111">
        <f>COUNTIFS('2024数据'!$T$3:$T$152,"&gt;="&amp;DATE(2024,9,1),'2024数据'!$T$3:$T$152,"&lt;="&amp;DATE(2024,9,30),'2024数据'!$BL$3:$BL$152,$E$37,'2024数据'!$B$3:$B$152,'2024整理'!$E1240)</f>
        <v>0</v>
      </c>
      <c r="O1258" s="111">
        <f>COUNTIFS('2024数据'!$T$3:$T$152,"&gt;="&amp;DATE(2024,10,1),'2024数据'!$T$3:$T$152,"&lt;="&amp;DATE(2024,10,31),'2024数据'!$BL$3:$BL$152,$E$37,'2024数据'!$B$3:$B$152,'2024整理'!$E1240)</f>
        <v>0</v>
      </c>
      <c r="P1258" s="111">
        <f>COUNTIFS('2024数据'!$T$3:$T$152,"&gt;="&amp;DATE(2024,11,1),'2024数据'!$T$3:$T$152,"&lt;="&amp;DATE(2024,11,30),'2024数据'!$BL$3:$BL$152,$E$37,'2024数据'!$B$3:$B$152,'2024整理'!$E1240)</f>
        <v>0</v>
      </c>
      <c r="Q1258" s="111">
        <f>COUNTIFS('2024数据'!$T$3:$T$152,"&gt;="&amp;DATE(2024,12,1),'2024数据'!$T$3:$T$152,"&lt;="&amp;DATE(2024,12,31),'2024数据'!$BL$3:$BL$152,$E$37,'2024数据'!$B$3:$B$152,'2024整理'!$E1240)</f>
        <v>0</v>
      </c>
    </row>
    <row r="1259" ht="24" customHeight="1" spans="1:17">
      <c r="A1259" s="99" t="s">
        <v>348</v>
      </c>
      <c r="B1259" s="99" t="s">
        <v>299</v>
      </c>
      <c r="C1259" s="99" t="s">
        <v>291</v>
      </c>
      <c r="D1259" s="53" t="s">
        <v>305</v>
      </c>
      <c r="E1259" s="53" t="s">
        <v>96</v>
      </c>
      <c r="F1259" s="111">
        <f>COUNTIFS('2024数据'!$T$3:$T$152,"&gt;="&amp;DATE(2024,1,1),'2024数据'!$T$3:$T$152,"&lt;="&amp;DATE(2024,1,31),'2024数据'!$BL$3:$BL$152,$E$37,'2024数据'!$B$3:$B$152,'2024整理'!$E1241)</f>
        <v>0</v>
      </c>
      <c r="G1259" s="111">
        <f>COUNTIFS('2024数据'!$T$3:$T$152,"&gt;="&amp;DATE(2024,2,1),'2024数据'!$T$3:$T$152,"&lt;="&amp;DATE(2024,2,29),'2024数据'!$BL$3:$BL$152,$E$37,'2024数据'!$B$3:$B$152,'2024整理'!$E1241)</f>
        <v>0</v>
      </c>
      <c r="H1259" s="111">
        <f>COUNTIFS('2024数据'!$T$3:$T$152,"&gt;="&amp;DATE(2024,3,1),'2024数据'!$T$3:$T$152,"&lt;="&amp;DATE(2024,3,31),'2024数据'!$BL$3:$BL$152,$E$37,'2024数据'!$B$3:$B$152,'2024整理'!$E1241)</f>
        <v>0</v>
      </c>
      <c r="I1259" s="111">
        <f>COUNTIFS('2024数据'!$T$3:$T$152,"&gt;="&amp;DATE(2024,4,1),'2024数据'!$T$3:$T$152,"&lt;="&amp;DATE(2024,4,30),'2024数据'!$BL$3:$BL$152,$E$37,'2024数据'!$B$3:$B$152,'2024整理'!$E1241)</f>
        <v>0</v>
      </c>
      <c r="J1259" s="111">
        <f>COUNTIFS('2024数据'!$T$3:$T$152,"&gt;="&amp;DATE(2024,5,1),'2024数据'!$T$3:$T$152,"&lt;="&amp;DATE(2024,5,31),'2024数据'!$BL$3:$BL$152,$E$37,'2024数据'!$B$3:$B$152,'2024整理'!$E1241)</f>
        <v>0</v>
      </c>
      <c r="K1259" s="111">
        <f>COUNTIFS('2024数据'!$T$3:$T$152,"&gt;="&amp;DATE(2024,6,1),'2024数据'!$T$3:$T$152,"&lt;="&amp;DATE(2024,6,30),'2024数据'!$BL$3:$BL$152,$E$37,'2024数据'!$B$3:$B$152,'2024整理'!$E1241)</f>
        <v>0</v>
      </c>
      <c r="L1259" s="111">
        <f>COUNTIFS('2024数据'!$T$3:$T$152,"&gt;="&amp;DATE(2024,7,1),'2024数据'!$T$3:$T$152,"&lt;="&amp;DATE(2024,7,31),'2024数据'!$BL$3:$BL$152,$E$37,'2024数据'!$B$3:$B$152,'2024整理'!$E1241)</f>
        <v>0</v>
      </c>
      <c r="M1259" s="111">
        <f>COUNTIFS('2024数据'!$T$3:$T$152,"&gt;="&amp;DATE(2024,8,1),'2024数据'!$T$3:$T$152,"&lt;="&amp;DATE(2024,8,31),'2024数据'!$BL$3:$BL$152,$E$37,'2024数据'!$B$3:$B$152,'2024整理'!$E1241)</f>
        <v>0</v>
      </c>
      <c r="N1259" s="111">
        <f>COUNTIFS('2024数据'!$T$3:$T$152,"&gt;="&amp;DATE(2024,9,1),'2024数据'!$T$3:$T$152,"&lt;="&amp;DATE(2024,9,30),'2024数据'!$BL$3:$BL$152,$E$37,'2024数据'!$B$3:$B$152,'2024整理'!$E1241)</f>
        <v>0</v>
      </c>
      <c r="O1259" s="111">
        <f>COUNTIFS('2024数据'!$T$3:$T$152,"&gt;="&amp;DATE(2024,10,1),'2024数据'!$T$3:$T$152,"&lt;="&amp;DATE(2024,10,31),'2024数据'!$BL$3:$BL$152,$E$37,'2024数据'!$B$3:$B$152,'2024整理'!$E1241)</f>
        <v>0</v>
      </c>
      <c r="P1259" s="111">
        <f>COUNTIFS('2024数据'!$T$3:$T$152,"&gt;="&amp;DATE(2024,11,1),'2024数据'!$T$3:$T$152,"&lt;="&amp;DATE(2024,11,30),'2024数据'!$BL$3:$BL$152,$E$37,'2024数据'!$B$3:$B$152,'2024整理'!$E1241)</f>
        <v>0</v>
      </c>
      <c r="Q1259" s="111">
        <f>COUNTIFS('2024数据'!$T$3:$T$152,"&gt;="&amp;DATE(2024,12,1),'2024数据'!$T$3:$T$152,"&lt;="&amp;DATE(2024,12,31),'2024数据'!$BL$3:$BL$152,$E$37,'2024数据'!$B$3:$B$152,'2024整理'!$E1241)</f>
        <v>1</v>
      </c>
    </row>
    <row r="1260" ht="24" customHeight="1" spans="1:17">
      <c r="A1260" s="99" t="s">
        <v>348</v>
      </c>
      <c r="B1260" s="99" t="s">
        <v>299</v>
      </c>
      <c r="C1260" s="99" t="s">
        <v>291</v>
      </c>
      <c r="D1260" s="53" t="s">
        <v>305</v>
      </c>
      <c r="E1260" s="53" t="s">
        <v>160</v>
      </c>
      <c r="F1260" s="111">
        <f>COUNTIFS('2024数据'!$T$3:$T$152,"&gt;="&amp;DATE(2024,1,1),'2024数据'!$T$3:$T$152,"&lt;="&amp;DATE(2024,1,31),'2024数据'!$BL$3:$BL$152,$E$37,'2024数据'!$B$3:$B$152,'2024整理'!$E1242)</f>
        <v>0</v>
      </c>
      <c r="G1260" s="111">
        <f>COUNTIFS('2024数据'!$T$3:$T$152,"&gt;="&amp;DATE(2024,2,1),'2024数据'!$T$3:$T$152,"&lt;="&amp;DATE(2024,2,29),'2024数据'!$BL$3:$BL$152,$E$37,'2024数据'!$B$3:$B$152,'2024整理'!$E1242)</f>
        <v>0</v>
      </c>
      <c r="H1260" s="111">
        <f>COUNTIFS('2024数据'!$T$3:$T$152,"&gt;="&amp;DATE(2024,3,1),'2024数据'!$T$3:$T$152,"&lt;="&amp;DATE(2024,3,31),'2024数据'!$BL$3:$BL$152,$E$37,'2024数据'!$B$3:$B$152,'2024整理'!$E1242)</f>
        <v>0</v>
      </c>
      <c r="I1260" s="111">
        <f>COUNTIFS('2024数据'!$T$3:$T$152,"&gt;="&amp;DATE(2024,4,1),'2024数据'!$T$3:$T$152,"&lt;="&amp;DATE(2024,4,30),'2024数据'!$BL$3:$BL$152,$E$37,'2024数据'!$B$3:$B$152,'2024整理'!$E1242)</f>
        <v>0</v>
      </c>
      <c r="J1260" s="111">
        <f>COUNTIFS('2024数据'!$T$3:$T$152,"&gt;="&amp;DATE(2024,5,1),'2024数据'!$T$3:$T$152,"&lt;="&amp;DATE(2024,5,31),'2024数据'!$BL$3:$BL$152,$E$37,'2024数据'!$B$3:$B$152,'2024整理'!$E1242)</f>
        <v>0</v>
      </c>
      <c r="K1260" s="111">
        <f>COUNTIFS('2024数据'!$T$3:$T$152,"&gt;="&amp;DATE(2024,6,1),'2024数据'!$T$3:$T$152,"&lt;="&amp;DATE(2024,6,30),'2024数据'!$BL$3:$BL$152,$E$37,'2024数据'!$B$3:$B$152,'2024整理'!$E1242)</f>
        <v>0</v>
      </c>
      <c r="L1260" s="111">
        <f>COUNTIFS('2024数据'!$T$3:$T$152,"&gt;="&amp;DATE(2024,7,1),'2024数据'!$T$3:$T$152,"&lt;="&amp;DATE(2024,7,31),'2024数据'!$BL$3:$BL$152,$E$37,'2024数据'!$B$3:$B$152,'2024整理'!$E1242)</f>
        <v>0</v>
      </c>
      <c r="M1260" s="111">
        <f>COUNTIFS('2024数据'!$T$3:$T$152,"&gt;="&amp;DATE(2024,8,1),'2024数据'!$T$3:$T$152,"&lt;="&amp;DATE(2024,8,31),'2024数据'!$BL$3:$BL$152,$E$37,'2024数据'!$B$3:$B$152,'2024整理'!$E1242)</f>
        <v>0</v>
      </c>
      <c r="N1260" s="111">
        <f>COUNTIFS('2024数据'!$T$3:$T$152,"&gt;="&amp;DATE(2024,9,1),'2024数据'!$T$3:$T$152,"&lt;="&amp;DATE(2024,9,30),'2024数据'!$BL$3:$BL$152,$E$37,'2024数据'!$B$3:$B$152,'2024整理'!$E1242)</f>
        <v>0</v>
      </c>
      <c r="O1260" s="111">
        <f>COUNTIFS('2024数据'!$T$3:$T$152,"&gt;="&amp;DATE(2024,10,1),'2024数据'!$T$3:$T$152,"&lt;="&amp;DATE(2024,10,31),'2024数据'!$BL$3:$BL$152,$E$37,'2024数据'!$B$3:$B$152,'2024整理'!$E1242)</f>
        <v>0</v>
      </c>
      <c r="P1260" s="111">
        <f>COUNTIFS('2024数据'!$T$3:$T$152,"&gt;="&amp;DATE(2024,11,1),'2024数据'!$T$3:$T$152,"&lt;="&amp;DATE(2024,11,30),'2024数据'!$BL$3:$BL$152,$E$37,'2024数据'!$B$3:$B$152,'2024整理'!$E1242)</f>
        <v>0</v>
      </c>
      <c r="Q1260" s="111">
        <f>COUNTIFS('2024数据'!$T$3:$T$152,"&gt;="&amp;DATE(2024,12,1),'2024数据'!$T$3:$T$152,"&lt;="&amp;DATE(2024,12,31),'2024数据'!$BL$3:$BL$152,$E$37,'2024数据'!$B$3:$B$152,'2024整理'!$E1242)</f>
        <v>0</v>
      </c>
    </row>
    <row r="1261" ht="24" customHeight="1" spans="1:17">
      <c r="A1261" s="99" t="s">
        <v>348</v>
      </c>
      <c r="B1261" s="99" t="s">
        <v>299</v>
      </c>
      <c r="C1261" s="99" t="s">
        <v>291</v>
      </c>
      <c r="D1261" s="100" t="s">
        <v>292</v>
      </c>
      <c r="E1261" s="100" t="s">
        <v>306</v>
      </c>
      <c r="F1261" s="104">
        <f t="shared" ref="F1261:Q1261" si="898">SUM(F1262:F1264)</f>
        <v>1</v>
      </c>
      <c r="G1261" s="104">
        <f t="shared" si="898"/>
        <v>2</v>
      </c>
      <c r="H1261" s="104">
        <f t="shared" si="898"/>
        <v>5</v>
      </c>
      <c r="I1261" s="104">
        <f t="shared" si="898"/>
        <v>4</v>
      </c>
      <c r="J1261" s="104">
        <f t="shared" si="898"/>
        <v>6</v>
      </c>
      <c r="K1261" s="104">
        <f t="shared" si="898"/>
        <v>5</v>
      </c>
      <c r="L1261" s="104">
        <f t="shared" si="898"/>
        <v>4</v>
      </c>
      <c r="M1261" s="104">
        <f t="shared" si="898"/>
        <v>2</v>
      </c>
      <c r="N1261" s="104">
        <f t="shared" si="898"/>
        <v>1</v>
      </c>
      <c r="O1261" s="104">
        <f t="shared" si="898"/>
        <v>3</v>
      </c>
      <c r="P1261" s="104">
        <f t="shared" si="898"/>
        <v>3</v>
      </c>
      <c r="Q1261" s="104">
        <f t="shared" si="898"/>
        <v>7</v>
      </c>
    </row>
    <row r="1262" ht="24" customHeight="1" spans="1:17">
      <c r="A1262" s="99" t="s">
        <v>348</v>
      </c>
      <c r="B1262" s="99" t="s">
        <v>299</v>
      </c>
      <c r="C1262" s="99" t="s">
        <v>291</v>
      </c>
      <c r="D1262" s="48" t="s">
        <v>296</v>
      </c>
      <c r="E1262" s="48" t="s">
        <v>406</v>
      </c>
      <c r="F1262" s="105">
        <f>COUNTIFS('2024数据'!$T$3:$T$152,"&gt;="&amp;DATE(2024,1,1),'2024数据'!$T$3:$T$152,"&lt;="&amp;DATE(2024,1,31),'2024数据'!$AF$3:$AF$152,$E1262)</f>
        <v>0</v>
      </c>
      <c r="G1262" s="105">
        <f>COUNTIFS('2024数据'!$T$3:$T$152,"&gt;="&amp;DATE(2024,2,1),'2024数据'!$T$3:$T$152,"&lt;="&amp;DATE(2024,2,29),'2024数据'!$AF$3:$AF$152,$E1262)</f>
        <v>2</v>
      </c>
      <c r="H1262" s="105">
        <f>COUNTIFS('2024数据'!$T$3:$T$152,"&gt;="&amp;DATE(2024,3,1),'2024数据'!$T$3:$T$152,"&lt;="&amp;DATE(2024,3,31),'2024数据'!$AF$3:$AF$152,$E1262)</f>
        <v>2</v>
      </c>
      <c r="I1262" s="105">
        <f>COUNTIFS('2024数据'!$T$3:$T$152,"&gt;="&amp;DATE(2024,4,1),'2024数据'!$T$3:$T$152,"&lt;="&amp;DATE(2024,4,30),'2024数据'!$AF$3:$AF$152,$E1262)</f>
        <v>2</v>
      </c>
      <c r="J1262" s="105">
        <f>COUNTIFS('2024数据'!$T$3:$T$152,"&gt;="&amp;DATE(2024,5,1),'2024数据'!$T$3:$T$152,"&lt;="&amp;DATE(2024,5,31),'2024数据'!$AF$3:$AF$152,$E1262)</f>
        <v>2</v>
      </c>
      <c r="K1262" s="105">
        <f>COUNTIFS('2024数据'!$T$3:$T$152,"&gt;="&amp;DATE(2024,6,1),'2024数据'!$T$3:$T$152,"&lt;="&amp;DATE(2024,6,30),'2024数据'!$AF$3:$AF$152,$E1262)</f>
        <v>3</v>
      </c>
      <c r="L1262" s="105">
        <f>COUNTIFS('2024数据'!$T$3:$T$152,"&gt;="&amp;DATE(2024,7,1),'2024数据'!$T$3:$T$152,"&lt;="&amp;DATE(2024,7,31),'2024数据'!$AF$3:$AF$152,$E1262)</f>
        <v>1</v>
      </c>
      <c r="M1262" s="105">
        <f>COUNTIFS('2024数据'!$T$3:$T$152,"&gt;="&amp;DATE(2024,8,1),'2024数据'!$T$3:$T$152,"&lt;="&amp;DATE(2024,8,31),'2024数据'!$AF$3:$AF$152,$E1262)</f>
        <v>0</v>
      </c>
      <c r="N1262" s="105">
        <f>COUNTIFS('2024数据'!$T$3:$T$152,"&gt;="&amp;DATE(2024,9,1),'2024数据'!$T$3:$T$152,"&lt;="&amp;DATE(2024,9,30),'2024数据'!$AF$3:$AF$152,$E1262)</f>
        <v>1</v>
      </c>
      <c r="O1262" s="105">
        <f>COUNTIFS('2024数据'!$T$3:$T$152,"&gt;="&amp;DATE(2024,10,1),'2024数据'!$T$3:$T$152,"&lt;="&amp;DATE(2024,10,31),'2024数据'!$AF$3:$AF$152,$E1262)</f>
        <v>0</v>
      </c>
      <c r="P1262" s="105">
        <f>COUNTIFS('2024数据'!$T$3:$T$152,"&gt;="&amp;DATE(2024,11,1),'2024数据'!$T$3:$T$152,"&lt;="&amp;DATE(2024,11,30),'2024数据'!$AF$3:$AF$152,$E1262)</f>
        <v>0</v>
      </c>
      <c r="Q1262" s="105">
        <f>COUNTIFS('2024数据'!$T$3:$T$152,"&gt;="&amp;DATE(2024,12,1),'2024数据'!$T$3:$T$152,"&lt;="&amp;DATE(2024,12,31),'2024数据'!$AF$3:$AF$152,$E1262)</f>
        <v>5</v>
      </c>
    </row>
    <row r="1263" ht="24" customHeight="1" spans="1:17">
      <c r="A1263" s="99" t="s">
        <v>348</v>
      </c>
      <c r="B1263" s="99" t="s">
        <v>299</v>
      </c>
      <c r="C1263" s="99" t="s">
        <v>291</v>
      </c>
      <c r="D1263" s="48" t="s">
        <v>296</v>
      </c>
      <c r="E1263" s="48" t="s">
        <v>82</v>
      </c>
      <c r="F1263" s="105">
        <f>COUNTIFS('2024数据'!$T$3:$T$152,"&gt;="&amp;DATE(2024,1,1),'2024数据'!$T$3:$T$152,"&lt;="&amp;DATE(2024,1,31),'2024数据'!$AF$3:$AF$152,$E1263)</f>
        <v>1</v>
      </c>
      <c r="G1263" s="105">
        <f>COUNTIFS('2024数据'!$T$3:$T$152,"&gt;="&amp;DATE(2024,2,1),'2024数据'!$T$3:$T$152,"&lt;="&amp;DATE(2024,2,29),'2024数据'!$AF$3:$AF$152,$E1263)</f>
        <v>0</v>
      </c>
      <c r="H1263" s="105">
        <f>COUNTIFS('2024数据'!$T$3:$T$152,"&gt;="&amp;DATE(2024,3,1),'2024数据'!$T$3:$T$152,"&lt;="&amp;DATE(2024,3,31),'2024数据'!$AF$3:$AF$152,$E1263)</f>
        <v>2</v>
      </c>
      <c r="I1263" s="105">
        <f>COUNTIFS('2024数据'!$T$3:$T$152,"&gt;="&amp;DATE(2024,4,1),'2024数据'!$T$3:$T$152,"&lt;="&amp;DATE(2024,4,30),'2024数据'!$AF$3:$AF$152,$E1263)</f>
        <v>1</v>
      </c>
      <c r="J1263" s="105">
        <f>COUNTIFS('2024数据'!$T$3:$T$152,"&gt;="&amp;DATE(2024,5,1),'2024数据'!$T$3:$T$152,"&lt;="&amp;DATE(2024,5,31),'2024数据'!$AF$3:$AF$152,$E1263)</f>
        <v>3</v>
      </c>
      <c r="K1263" s="105">
        <f>COUNTIFS('2024数据'!$T$3:$T$152,"&gt;="&amp;DATE(2024,6,1),'2024数据'!$T$3:$T$152,"&lt;="&amp;DATE(2024,6,30),'2024数据'!$AF$3:$AF$152,$E1263)</f>
        <v>1</v>
      </c>
      <c r="L1263" s="105">
        <f>COUNTIFS('2024数据'!$T$3:$T$152,"&gt;="&amp;DATE(2024,7,1),'2024数据'!$T$3:$T$152,"&lt;="&amp;DATE(2024,7,31),'2024数据'!$AF$3:$AF$152,$E1263)</f>
        <v>3</v>
      </c>
      <c r="M1263" s="105">
        <f>COUNTIFS('2024数据'!$T$3:$T$152,"&gt;="&amp;DATE(2024,8,1),'2024数据'!$T$3:$T$152,"&lt;="&amp;DATE(2024,8,31),'2024数据'!$AF$3:$AF$152,$E1263)</f>
        <v>0</v>
      </c>
      <c r="N1263" s="105">
        <f>COUNTIFS('2024数据'!$T$3:$T$152,"&gt;="&amp;DATE(2024,9,1),'2024数据'!$T$3:$T$152,"&lt;="&amp;DATE(2024,9,30),'2024数据'!$AF$3:$AF$152,$E1263)</f>
        <v>0</v>
      </c>
      <c r="O1263" s="105">
        <f>COUNTIFS('2024数据'!$T$3:$T$152,"&gt;="&amp;DATE(2024,10,1),'2024数据'!$T$3:$T$152,"&lt;="&amp;DATE(2024,10,31),'2024数据'!$AF$3:$AF$152,$E1263)</f>
        <v>1</v>
      </c>
      <c r="P1263" s="105">
        <f>COUNTIFS('2024数据'!$T$3:$T$152,"&gt;="&amp;DATE(2024,11,1),'2024数据'!$T$3:$T$152,"&lt;="&amp;DATE(2024,11,30),'2024数据'!$AF$3:$AF$152,$E1263)</f>
        <v>2</v>
      </c>
      <c r="Q1263" s="105">
        <f>COUNTIFS('2024数据'!$T$3:$T$152,"&gt;="&amp;DATE(2024,12,1),'2024数据'!$T$3:$T$152,"&lt;="&amp;DATE(2024,12,31),'2024数据'!$AF$3:$AF$152,$E1263)</f>
        <v>1</v>
      </c>
    </row>
    <row r="1264" ht="24" customHeight="1" spans="1:17">
      <c r="A1264" s="99" t="s">
        <v>348</v>
      </c>
      <c r="B1264" s="99" t="s">
        <v>299</v>
      </c>
      <c r="C1264" s="99" t="s">
        <v>291</v>
      </c>
      <c r="D1264" s="48" t="s">
        <v>296</v>
      </c>
      <c r="E1264" s="48" t="s">
        <v>86</v>
      </c>
      <c r="F1264" s="105">
        <f>COUNTIFS('2024数据'!$T$3:$T$152,"&gt;="&amp;DATE(2024,1,1),'2024数据'!$T$3:$T$152,"&lt;="&amp;DATE(2024,1,31),'2024数据'!$AF$3:$AF$152,$E1264)</f>
        <v>0</v>
      </c>
      <c r="G1264" s="105">
        <f>COUNTIFS('2024数据'!$T$3:$T$152,"&gt;="&amp;DATE(2024,2,1),'2024数据'!$T$3:$T$152,"&lt;="&amp;DATE(2024,2,29),'2024数据'!$AF$3:$AF$152,$E1264)</f>
        <v>0</v>
      </c>
      <c r="H1264" s="105">
        <f>COUNTIFS('2024数据'!$T$3:$T$152,"&gt;="&amp;DATE(2024,3,1),'2024数据'!$T$3:$T$152,"&lt;="&amp;DATE(2024,3,31),'2024数据'!$AF$3:$AF$152,$E1264)</f>
        <v>1</v>
      </c>
      <c r="I1264" s="105">
        <f>COUNTIFS('2024数据'!$T$3:$T$152,"&gt;="&amp;DATE(2024,4,1),'2024数据'!$T$3:$T$152,"&lt;="&amp;DATE(2024,4,30),'2024数据'!$AF$3:$AF$152,$E1264)</f>
        <v>1</v>
      </c>
      <c r="J1264" s="105">
        <f>COUNTIFS('2024数据'!$T$3:$T$152,"&gt;="&amp;DATE(2024,5,1),'2024数据'!$T$3:$T$152,"&lt;="&amp;DATE(2024,5,31),'2024数据'!$AF$3:$AF$152,$E1264)</f>
        <v>1</v>
      </c>
      <c r="K1264" s="105">
        <f>COUNTIFS('2024数据'!$T$3:$T$152,"&gt;="&amp;DATE(2024,6,1),'2024数据'!$T$3:$T$152,"&lt;="&amp;DATE(2024,6,30),'2024数据'!$AF$3:$AF$152,$E1264)</f>
        <v>1</v>
      </c>
      <c r="L1264" s="105">
        <f>COUNTIFS('2024数据'!$T$3:$T$152,"&gt;="&amp;DATE(2024,7,1),'2024数据'!$T$3:$T$152,"&lt;="&amp;DATE(2024,7,31),'2024数据'!$AF$3:$AF$152,$E1264)</f>
        <v>0</v>
      </c>
      <c r="M1264" s="105">
        <f>COUNTIFS('2024数据'!$T$3:$T$152,"&gt;="&amp;DATE(2024,8,1),'2024数据'!$T$3:$T$152,"&lt;="&amp;DATE(2024,8,31),'2024数据'!$AF$3:$AF$152,$E1264)</f>
        <v>2</v>
      </c>
      <c r="N1264" s="105">
        <f>COUNTIFS('2024数据'!$T$3:$T$152,"&gt;="&amp;DATE(2024,9,1),'2024数据'!$T$3:$T$152,"&lt;="&amp;DATE(2024,9,30),'2024数据'!$AF$3:$AF$152,$E1264)</f>
        <v>0</v>
      </c>
      <c r="O1264" s="105">
        <f>COUNTIFS('2024数据'!$T$3:$T$152,"&gt;="&amp;DATE(2024,10,1),'2024数据'!$T$3:$T$152,"&lt;="&amp;DATE(2024,10,31),'2024数据'!$AF$3:$AF$152,$E1264)</f>
        <v>2</v>
      </c>
      <c r="P1264" s="105">
        <f>COUNTIFS('2024数据'!$T$3:$T$152,"&gt;="&amp;DATE(2024,11,1),'2024数据'!$T$3:$T$152,"&lt;="&amp;DATE(2024,11,30),'2024数据'!$AF$3:$AF$152,$E1264)</f>
        <v>1</v>
      </c>
      <c r="Q1264" s="105">
        <f>COUNTIFS('2024数据'!$T$3:$T$152,"&gt;="&amp;DATE(2024,12,1),'2024数据'!$T$3:$T$152,"&lt;="&amp;DATE(2024,12,31),'2024数据'!$AF$3:$AF$152,$E1264)</f>
        <v>1</v>
      </c>
    </row>
    <row r="1265" ht="24" customHeight="1" spans="1:17">
      <c r="A1265" s="99" t="s">
        <v>348</v>
      </c>
      <c r="B1265" s="99" t="s">
        <v>299</v>
      </c>
      <c r="C1265" s="99" t="s">
        <v>291</v>
      </c>
      <c r="D1265" s="100" t="s">
        <v>292</v>
      </c>
      <c r="E1265" s="100" t="s">
        <v>307</v>
      </c>
      <c r="F1265" s="104">
        <f t="shared" ref="F1265:Q1265" si="899">SUM(F1266:F1268)</f>
        <v>2</v>
      </c>
      <c r="G1265" s="104">
        <f t="shared" si="899"/>
        <v>1</v>
      </c>
      <c r="H1265" s="104">
        <f t="shared" si="899"/>
        <v>1</v>
      </c>
      <c r="I1265" s="104">
        <f t="shared" si="899"/>
        <v>4</v>
      </c>
      <c r="J1265" s="104">
        <f t="shared" si="899"/>
        <v>3</v>
      </c>
      <c r="K1265" s="104">
        <f t="shared" si="899"/>
        <v>4</v>
      </c>
      <c r="L1265" s="104">
        <f t="shared" si="899"/>
        <v>1</v>
      </c>
      <c r="M1265" s="104">
        <f t="shared" si="899"/>
        <v>0</v>
      </c>
      <c r="N1265" s="104">
        <f t="shared" si="899"/>
        <v>0</v>
      </c>
      <c r="O1265" s="104">
        <f t="shared" si="899"/>
        <v>2</v>
      </c>
      <c r="P1265" s="104">
        <f t="shared" si="899"/>
        <v>3</v>
      </c>
      <c r="Q1265" s="104">
        <f t="shared" si="899"/>
        <v>4</v>
      </c>
    </row>
    <row r="1266" ht="24" customHeight="1" spans="1:17">
      <c r="A1266" s="99" t="s">
        <v>348</v>
      </c>
      <c r="B1266" s="99" t="s">
        <v>299</v>
      </c>
      <c r="C1266" s="99" t="s">
        <v>291</v>
      </c>
      <c r="D1266" s="48" t="s">
        <v>298</v>
      </c>
      <c r="E1266" s="48" t="s">
        <v>97</v>
      </c>
      <c r="F1266" s="105">
        <f>COUNTIFS('2024数据'!$T$3:$T$152,"&gt;="&amp;DATE(2024,1,1),'2024数据'!$T$3:$T$152,"&lt;="&amp;DATE(2024,1,31),'2024数据'!$AG$3:$AG$152,$E1266)</f>
        <v>1</v>
      </c>
      <c r="G1266" s="105">
        <f>COUNTIFS('2024数据'!$T$3:$T$152,"&gt;="&amp;DATE(2024,2,1),'2024数据'!$T$3:$T$152,"&lt;="&amp;DATE(2024,2,29),'2024数据'!$AG$3:$AG$152,$E1266)</f>
        <v>0</v>
      </c>
      <c r="H1266" s="105">
        <f>COUNTIFS('2024数据'!$T$3:$T$152,"&gt;="&amp;DATE(2024,3,1),'2024数据'!$T$3:$T$152,"&lt;="&amp;DATE(2024,3,31),'2024数据'!$AG$3:$AG$152,$E1266)</f>
        <v>1</v>
      </c>
      <c r="I1266" s="105">
        <f>COUNTIFS('2024数据'!$T$3:$T$152,"&gt;="&amp;DATE(2024,4,1),'2024数据'!$T$3:$T$152,"&lt;="&amp;DATE(2024,4,30),'2024数据'!$AG$3:$AG$152,$E1266)</f>
        <v>1</v>
      </c>
      <c r="J1266" s="105">
        <f>COUNTIFS('2024数据'!$T$3:$T$152,"&gt;="&amp;DATE(2024,5,1),'2024数据'!$T$3:$T$152,"&lt;="&amp;DATE(2024,5,31),'2024数据'!$AG$3:$AG$152,$E1266)</f>
        <v>2</v>
      </c>
      <c r="K1266" s="105">
        <f>COUNTIFS('2024数据'!$T$3:$T$152,"&gt;="&amp;DATE(2024,6,1),'2024数据'!$T$3:$T$152,"&lt;="&amp;DATE(2024,6,30),'2024数据'!$AG$3:$AG$152,$E1266)</f>
        <v>4</v>
      </c>
      <c r="L1266" s="105">
        <f>COUNTIFS('2024数据'!$T$3:$T$152,"&gt;="&amp;DATE(2024,7,1),'2024数据'!$T$3:$T$152,"&lt;="&amp;DATE(2024,7,31),'2024数据'!$AG$3:$AG$152,$E1266)</f>
        <v>1</v>
      </c>
      <c r="M1266" s="105">
        <f>COUNTIFS('2024数据'!$T$3:$T$152,"&gt;="&amp;DATE(2024,8,1),'2024数据'!$T$3:$T$152,"&lt;="&amp;DATE(2024,8,31),'2024数据'!$AG$3:$AG$152,$E1266)</f>
        <v>0</v>
      </c>
      <c r="N1266" s="105">
        <f>COUNTIFS('2024数据'!$T$3:$T$152,"&gt;="&amp;DATE(2024,9,1),'2024数据'!$T$3:$T$152,"&lt;="&amp;DATE(2024,9,30),'2024数据'!$AG$3:$AG$152,$E1266)</f>
        <v>0</v>
      </c>
      <c r="O1266" s="105">
        <f>COUNTIFS('2024数据'!$T$3:$T$152,"&gt;="&amp;DATE(2024,10,1),'2024数据'!$T$3:$T$152,"&lt;="&amp;DATE(2024,10,31),'2024数据'!$AG$3:$AG$152,$E1266)</f>
        <v>1</v>
      </c>
      <c r="P1266" s="105">
        <f>COUNTIFS('2024数据'!$T$3:$T$152,"&gt;="&amp;DATE(2024,11,1),'2024数据'!$T$3:$T$152,"&lt;="&amp;DATE(2024,11,30),'2024数据'!$AG$3:$AG$152,$E1266)</f>
        <v>2</v>
      </c>
      <c r="Q1266" s="105">
        <f>COUNTIFS('2024数据'!$T$3:$T$152,"&gt;="&amp;DATE(2024,12,1),'2024数据'!$T$3:$T$152,"&lt;="&amp;DATE(2024,12,31),'2024数据'!$AG$3:$AG$152,$E1266)</f>
        <v>1</v>
      </c>
    </row>
    <row r="1267" ht="24" customHeight="1" spans="1:17">
      <c r="A1267" s="99" t="s">
        <v>348</v>
      </c>
      <c r="B1267" s="99" t="s">
        <v>299</v>
      </c>
      <c r="C1267" s="99" t="s">
        <v>291</v>
      </c>
      <c r="D1267" s="48" t="s">
        <v>298</v>
      </c>
      <c r="E1267" s="48" t="s">
        <v>87</v>
      </c>
      <c r="F1267" s="105">
        <f>COUNTIFS('2024数据'!$T$3:$T$152,"&gt;="&amp;DATE(2024,1,1),'2024数据'!$T$3:$T$152,"&lt;="&amp;DATE(2024,1,31),'2024数据'!$AG$3:$AG$152,$E1267)</f>
        <v>1</v>
      </c>
      <c r="G1267" s="105">
        <f>COUNTIFS('2024数据'!$T$3:$T$152,"&gt;="&amp;DATE(2024,2,1),'2024数据'!$T$3:$T$152,"&lt;="&amp;DATE(2024,2,29),'2024数据'!$AG$3:$AG$152,$E1267)</f>
        <v>1</v>
      </c>
      <c r="H1267" s="105">
        <f>COUNTIFS('2024数据'!$T$3:$T$152,"&gt;="&amp;DATE(2024,3,1),'2024数据'!$T$3:$T$152,"&lt;="&amp;DATE(2024,3,31),'2024数据'!$AG$3:$AG$152,$E1267)</f>
        <v>0</v>
      </c>
      <c r="I1267" s="105">
        <f>COUNTIFS('2024数据'!$T$3:$T$152,"&gt;="&amp;DATE(2024,4,1),'2024数据'!$T$3:$T$152,"&lt;="&amp;DATE(2024,4,30),'2024数据'!$AG$3:$AG$152,$E1267)</f>
        <v>3</v>
      </c>
      <c r="J1267" s="105">
        <f>COUNTIFS('2024数据'!$T$3:$T$152,"&gt;="&amp;DATE(2024,5,1),'2024数据'!$T$3:$T$152,"&lt;="&amp;DATE(2024,5,31),'2024数据'!$AG$3:$AG$152,$E1267)</f>
        <v>1</v>
      </c>
      <c r="K1267" s="105">
        <f>COUNTIFS('2024数据'!$T$3:$T$152,"&gt;="&amp;DATE(2024,6,1),'2024数据'!$T$3:$T$152,"&lt;="&amp;DATE(2024,6,30),'2024数据'!$AG$3:$AG$152,$E1267)</f>
        <v>0</v>
      </c>
      <c r="L1267" s="105">
        <f>COUNTIFS('2024数据'!$T$3:$T$152,"&gt;="&amp;DATE(2024,7,1),'2024数据'!$T$3:$T$152,"&lt;="&amp;DATE(2024,7,31),'2024数据'!$AG$3:$AG$152,$E1267)</f>
        <v>0</v>
      </c>
      <c r="M1267" s="105">
        <f>COUNTIFS('2024数据'!$T$3:$T$152,"&gt;="&amp;DATE(2024,8,1),'2024数据'!$T$3:$T$152,"&lt;="&amp;DATE(2024,8,31),'2024数据'!$AG$3:$AG$152,$E1267)</f>
        <v>0</v>
      </c>
      <c r="N1267" s="105">
        <f>COUNTIFS('2024数据'!$T$3:$T$152,"&gt;="&amp;DATE(2024,9,1),'2024数据'!$T$3:$T$152,"&lt;="&amp;DATE(2024,9,30),'2024数据'!$AG$3:$AG$152,$E1267)</f>
        <v>0</v>
      </c>
      <c r="O1267" s="105">
        <f>COUNTIFS('2024数据'!$T$3:$T$152,"&gt;="&amp;DATE(2024,10,1),'2024数据'!$T$3:$T$152,"&lt;="&amp;DATE(2024,10,31),'2024数据'!$AG$3:$AG$152,$E1267)</f>
        <v>1</v>
      </c>
      <c r="P1267" s="105">
        <f>COUNTIFS('2024数据'!$T$3:$T$152,"&gt;="&amp;DATE(2024,11,1),'2024数据'!$T$3:$T$152,"&lt;="&amp;DATE(2024,11,30),'2024数据'!$AG$3:$AG$152,$E1267)</f>
        <v>0</v>
      </c>
      <c r="Q1267" s="105">
        <f>COUNTIFS('2024数据'!$T$3:$T$152,"&gt;="&amp;DATE(2024,12,1),'2024数据'!$T$3:$T$152,"&lt;="&amp;DATE(2024,12,31),'2024数据'!$AG$3:$AG$152,$E1267)</f>
        <v>2</v>
      </c>
    </row>
    <row r="1268" ht="24" customHeight="1" spans="1:17">
      <c r="A1268" s="99" t="s">
        <v>348</v>
      </c>
      <c r="B1268" s="99" t="s">
        <v>299</v>
      </c>
      <c r="C1268" s="99" t="s">
        <v>291</v>
      </c>
      <c r="D1268" s="48" t="s">
        <v>298</v>
      </c>
      <c r="E1268" s="48" t="s">
        <v>83</v>
      </c>
      <c r="F1268" s="105">
        <f>COUNTIFS('2024数据'!$T$3:$T$152,"&gt;="&amp;DATE(2024,1,1),'2024数据'!$T$3:$T$152,"&lt;="&amp;DATE(2024,1,31),'2024数据'!$AG$3:$AG$152,$E1268)</f>
        <v>0</v>
      </c>
      <c r="G1268" s="105">
        <f>COUNTIFS('2024数据'!$T$3:$T$152,"&gt;="&amp;DATE(2024,2,1),'2024数据'!$T$3:$T$152,"&lt;="&amp;DATE(2024,2,29),'2024数据'!$AG$3:$AG$152,$E1268)</f>
        <v>0</v>
      </c>
      <c r="H1268" s="105">
        <f>COUNTIFS('2024数据'!$T$3:$T$152,"&gt;="&amp;DATE(2024,3,1),'2024数据'!$T$3:$T$152,"&lt;="&amp;DATE(2024,3,31),'2024数据'!$AG$3:$AG$152,$E1268)</f>
        <v>0</v>
      </c>
      <c r="I1268" s="105">
        <f>COUNTIFS('2024数据'!$T$3:$T$152,"&gt;="&amp;DATE(2024,4,1),'2024数据'!$T$3:$T$152,"&lt;="&amp;DATE(2024,4,30),'2024数据'!$AG$3:$AG$152,$E1268)</f>
        <v>0</v>
      </c>
      <c r="J1268" s="105">
        <f>COUNTIFS('2024数据'!$T$3:$T$152,"&gt;="&amp;DATE(2024,5,1),'2024数据'!$T$3:$T$152,"&lt;="&amp;DATE(2024,5,31),'2024数据'!$AG$3:$AG$152,$E1268)</f>
        <v>0</v>
      </c>
      <c r="K1268" s="105">
        <f>COUNTIFS('2024数据'!$T$3:$T$152,"&gt;="&amp;DATE(2024,6,1),'2024数据'!$T$3:$T$152,"&lt;="&amp;DATE(2024,6,30),'2024数据'!$AG$3:$AG$152,$E1268)</f>
        <v>0</v>
      </c>
      <c r="L1268" s="105">
        <f>COUNTIFS('2024数据'!$T$3:$T$152,"&gt;="&amp;DATE(2024,7,1),'2024数据'!$T$3:$T$152,"&lt;="&amp;DATE(2024,7,31),'2024数据'!$AG$3:$AG$152,$E1268)</f>
        <v>0</v>
      </c>
      <c r="M1268" s="105">
        <f>COUNTIFS('2024数据'!$T$3:$T$152,"&gt;="&amp;DATE(2024,8,1),'2024数据'!$T$3:$T$152,"&lt;="&amp;DATE(2024,8,31),'2024数据'!$AG$3:$AG$152,$E1268)</f>
        <v>0</v>
      </c>
      <c r="N1268" s="105">
        <f>COUNTIFS('2024数据'!$T$3:$T$152,"&gt;="&amp;DATE(2024,9,1),'2024数据'!$T$3:$T$152,"&lt;="&amp;DATE(2024,9,30),'2024数据'!$AG$3:$AG$152,$E1268)</f>
        <v>0</v>
      </c>
      <c r="O1268" s="105">
        <f>COUNTIFS('2024数据'!$T$3:$T$152,"&gt;="&amp;DATE(2024,10,1),'2024数据'!$T$3:$T$152,"&lt;="&amp;DATE(2024,10,31),'2024数据'!$AG$3:$AG$152,$E1268)</f>
        <v>0</v>
      </c>
      <c r="P1268" s="105">
        <f>COUNTIFS('2024数据'!$T$3:$T$152,"&gt;="&amp;DATE(2024,11,1),'2024数据'!$T$3:$T$152,"&lt;="&amp;DATE(2024,11,30),'2024数据'!$AG$3:$AG$152,$E1268)</f>
        <v>1</v>
      </c>
      <c r="Q1268" s="105">
        <f>COUNTIFS('2024数据'!$T$3:$T$152,"&gt;="&amp;DATE(2024,12,1),'2024数据'!$T$3:$T$152,"&lt;="&amp;DATE(2024,12,31),'2024数据'!$AG$3:$AG$152,$E1268)</f>
        <v>1</v>
      </c>
    </row>
    <row r="1269" ht="24" customHeight="1" spans="1:17">
      <c r="A1269" s="99" t="s">
        <v>348</v>
      </c>
      <c r="B1269" s="99" t="s">
        <v>308</v>
      </c>
      <c r="C1269" s="99" t="s">
        <v>309</v>
      </c>
      <c r="D1269" s="100" t="s">
        <v>292</v>
      </c>
      <c r="E1269" s="100" t="s">
        <v>310</v>
      </c>
      <c r="F1269" s="104">
        <f t="shared" ref="F1269:Q1269" si="900">IF((SUM(F1270:F1275)-MAX(F1287,F1294))&lt;0,"ERR",SUM(F1270:F1275))</f>
        <v>3</v>
      </c>
      <c r="G1269" s="104">
        <f t="shared" si="900"/>
        <v>4</v>
      </c>
      <c r="H1269" s="104">
        <f t="shared" si="900"/>
        <v>8</v>
      </c>
      <c r="I1269" s="104">
        <f t="shared" si="900"/>
        <v>6</v>
      </c>
      <c r="J1269" s="104">
        <f t="shared" si="900"/>
        <v>3</v>
      </c>
      <c r="K1269" s="104">
        <f t="shared" si="900"/>
        <v>2</v>
      </c>
      <c r="L1269" s="104">
        <f t="shared" si="900"/>
        <v>1</v>
      </c>
      <c r="M1269" s="104">
        <f t="shared" si="900"/>
        <v>0</v>
      </c>
      <c r="N1269" s="104">
        <f t="shared" si="900"/>
        <v>2</v>
      </c>
      <c r="O1269" s="104">
        <f t="shared" si="900"/>
        <v>4</v>
      </c>
      <c r="P1269" s="104">
        <f t="shared" si="900"/>
        <v>6</v>
      </c>
      <c r="Q1269" s="104">
        <f t="shared" si="900"/>
        <v>0</v>
      </c>
    </row>
    <row r="1270" ht="24" customHeight="1" spans="1:17">
      <c r="A1270" s="99" t="s">
        <v>348</v>
      </c>
      <c r="B1270" s="99" t="s">
        <v>308</v>
      </c>
      <c r="C1270" s="99" t="s">
        <v>309</v>
      </c>
      <c r="D1270" s="48" t="s">
        <v>31</v>
      </c>
      <c r="E1270" s="48" t="s">
        <v>406</v>
      </c>
      <c r="F1270" s="105">
        <f t="shared" ref="F1270:Q1270" si="901">F1302-F1322</f>
        <v>2</v>
      </c>
      <c r="G1270" s="105">
        <f t="shared" si="901"/>
        <v>2</v>
      </c>
      <c r="H1270" s="105">
        <f t="shared" si="901"/>
        <v>3</v>
      </c>
      <c r="I1270" s="105">
        <f t="shared" si="901"/>
        <v>2</v>
      </c>
      <c r="J1270" s="105">
        <f t="shared" si="901"/>
        <v>0</v>
      </c>
      <c r="K1270" s="105">
        <f t="shared" si="901"/>
        <v>1</v>
      </c>
      <c r="L1270" s="105">
        <f t="shared" si="901"/>
        <v>0</v>
      </c>
      <c r="M1270" s="105">
        <f t="shared" si="901"/>
        <v>0</v>
      </c>
      <c r="N1270" s="105">
        <f t="shared" si="901"/>
        <v>0</v>
      </c>
      <c r="O1270" s="105">
        <f t="shared" si="901"/>
        <v>0</v>
      </c>
      <c r="P1270" s="105">
        <f t="shared" si="901"/>
        <v>2</v>
      </c>
      <c r="Q1270" s="105">
        <f t="shared" si="901"/>
        <v>0</v>
      </c>
    </row>
    <row r="1271" ht="24" customHeight="1" spans="1:17">
      <c r="A1271" s="99" t="s">
        <v>348</v>
      </c>
      <c r="B1271" s="99" t="s">
        <v>308</v>
      </c>
      <c r="C1271" s="99" t="s">
        <v>309</v>
      </c>
      <c r="D1271" s="48" t="s">
        <v>31</v>
      </c>
      <c r="E1271" s="48" t="s">
        <v>82</v>
      </c>
      <c r="F1271" s="105">
        <f t="shared" ref="F1271:Q1271" si="902">F1303-F1323</f>
        <v>0</v>
      </c>
      <c r="G1271" s="105">
        <f t="shared" si="902"/>
        <v>2</v>
      </c>
      <c r="H1271" s="105">
        <f t="shared" si="902"/>
        <v>2</v>
      </c>
      <c r="I1271" s="105">
        <f t="shared" si="902"/>
        <v>4</v>
      </c>
      <c r="J1271" s="105">
        <f t="shared" si="902"/>
        <v>1</v>
      </c>
      <c r="K1271" s="105">
        <f t="shared" si="902"/>
        <v>1</v>
      </c>
      <c r="L1271" s="105">
        <f t="shared" si="902"/>
        <v>0</v>
      </c>
      <c r="M1271" s="105">
        <f t="shared" si="902"/>
        <v>0</v>
      </c>
      <c r="N1271" s="105">
        <f t="shared" si="902"/>
        <v>1</v>
      </c>
      <c r="O1271" s="105">
        <f t="shared" si="902"/>
        <v>2</v>
      </c>
      <c r="P1271" s="105">
        <f t="shared" si="902"/>
        <v>0</v>
      </c>
      <c r="Q1271" s="105">
        <f t="shared" si="902"/>
        <v>0</v>
      </c>
    </row>
    <row r="1272" ht="24" customHeight="1" spans="1:17">
      <c r="A1272" s="99" t="s">
        <v>348</v>
      </c>
      <c r="B1272" s="99" t="s">
        <v>308</v>
      </c>
      <c r="C1272" s="99" t="s">
        <v>309</v>
      </c>
      <c r="D1272" s="48" t="s">
        <v>31</v>
      </c>
      <c r="E1272" s="48" t="s">
        <v>86</v>
      </c>
      <c r="F1272" s="105">
        <f t="shared" ref="F1272:Q1272" si="903">F1304-F1324</f>
        <v>0</v>
      </c>
      <c r="G1272" s="105">
        <f t="shared" si="903"/>
        <v>0</v>
      </c>
      <c r="H1272" s="105">
        <f t="shared" si="903"/>
        <v>1</v>
      </c>
      <c r="I1272" s="105">
        <f t="shared" si="903"/>
        <v>0</v>
      </c>
      <c r="J1272" s="105">
        <f t="shared" si="903"/>
        <v>1</v>
      </c>
      <c r="K1272" s="105">
        <f t="shared" si="903"/>
        <v>0</v>
      </c>
      <c r="L1272" s="105">
        <f t="shared" si="903"/>
        <v>1</v>
      </c>
      <c r="M1272" s="105">
        <f t="shared" si="903"/>
        <v>0</v>
      </c>
      <c r="N1272" s="105">
        <f t="shared" si="903"/>
        <v>1</v>
      </c>
      <c r="O1272" s="105">
        <f t="shared" si="903"/>
        <v>1</v>
      </c>
      <c r="P1272" s="105">
        <f t="shared" si="903"/>
        <v>1</v>
      </c>
      <c r="Q1272" s="105">
        <f t="shared" si="903"/>
        <v>0</v>
      </c>
    </row>
    <row r="1273" ht="24" customHeight="1" spans="1:17">
      <c r="A1273" s="99" t="s">
        <v>348</v>
      </c>
      <c r="B1273" s="99" t="s">
        <v>308</v>
      </c>
      <c r="C1273" s="99" t="s">
        <v>309</v>
      </c>
      <c r="D1273" s="48" t="s">
        <v>31</v>
      </c>
      <c r="E1273" s="48" t="s">
        <v>97</v>
      </c>
      <c r="F1273" s="105">
        <f t="shared" ref="F1273:Q1273" si="904">F1305-F1325</f>
        <v>0</v>
      </c>
      <c r="G1273" s="105">
        <f t="shared" si="904"/>
        <v>0</v>
      </c>
      <c r="H1273" s="105">
        <f t="shared" si="904"/>
        <v>1</v>
      </c>
      <c r="I1273" s="105">
        <f t="shared" si="904"/>
        <v>0</v>
      </c>
      <c r="J1273" s="105">
        <f t="shared" si="904"/>
        <v>1</v>
      </c>
      <c r="K1273" s="105">
        <f t="shared" si="904"/>
        <v>0</v>
      </c>
      <c r="L1273" s="105">
        <f t="shared" si="904"/>
        <v>0</v>
      </c>
      <c r="M1273" s="105">
        <f t="shared" si="904"/>
        <v>0</v>
      </c>
      <c r="N1273" s="105">
        <f t="shared" si="904"/>
        <v>0</v>
      </c>
      <c r="O1273" s="105">
        <f t="shared" si="904"/>
        <v>1</v>
      </c>
      <c r="P1273" s="105">
        <f t="shared" si="904"/>
        <v>0</v>
      </c>
      <c r="Q1273" s="105">
        <f t="shared" si="904"/>
        <v>0</v>
      </c>
    </row>
    <row r="1274" ht="24" customHeight="1" spans="1:17">
      <c r="A1274" s="99" t="s">
        <v>348</v>
      </c>
      <c r="B1274" s="99" t="s">
        <v>308</v>
      </c>
      <c r="C1274" s="99" t="s">
        <v>309</v>
      </c>
      <c r="D1274" s="48" t="s">
        <v>31</v>
      </c>
      <c r="E1274" s="48" t="s">
        <v>87</v>
      </c>
      <c r="F1274" s="105">
        <f t="shared" ref="F1274:Q1274" si="905">F1306-F1326</f>
        <v>1</v>
      </c>
      <c r="G1274" s="105">
        <f t="shared" si="905"/>
        <v>0</v>
      </c>
      <c r="H1274" s="105">
        <f t="shared" si="905"/>
        <v>1</v>
      </c>
      <c r="I1274" s="105">
        <f t="shared" si="905"/>
        <v>0</v>
      </c>
      <c r="J1274" s="105">
        <f t="shared" si="905"/>
        <v>0</v>
      </c>
      <c r="K1274" s="105">
        <f t="shared" si="905"/>
        <v>0</v>
      </c>
      <c r="L1274" s="105">
        <f t="shared" si="905"/>
        <v>0</v>
      </c>
      <c r="M1274" s="105">
        <f t="shared" si="905"/>
        <v>0</v>
      </c>
      <c r="N1274" s="105">
        <f t="shared" si="905"/>
        <v>0</v>
      </c>
      <c r="O1274" s="105">
        <f t="shared" si="905"/>
        <v>0</v>
      </c>
      <c r="P1274" s="105">
        <f t="shared" si="905"/>
        <v>2</v>
      </c>
      <c r="Q1274" s="105">
        <f t="shared" si="905"/>
        <v>0</v>
      </c>
    </row>
    <row r="1275" ht="24" customHeight="1" spans="1:17">
      <c r="A1275" s="99" t="s">
        <v>348</v>
      </c>
      <c r="B1275" s="99" t="s">
        <v>308</v>
      </c>
      <c r="C1275" s="99" t="s">
        <v>309</v>
      </c>
      <c r="D1275" s="48" t="s">
        <v>31</v>
      </c>
      <c r="E1275" s="48" t="s">
        <v>83</v>
      </c>
      <c r="F1275" s="105">
        <f t="shared" ref="F1275:Q1275" si="906">F1307-F1327</f>
        <v>0</v>
      </c>
      <c r="G1275" s="105">
        <f t="shared" si="906"/>
        <v>0</v>
      </c>
      <c r="H1275" s="105">
        <f t="shared" si="906"/>
        <v>0</v>
      </c>
      <c r="I1275" s="105">
        <f t="shared" si="906"/>
        <v>0</v>
      </c>
      <c r="J1275" s="105">
        <f t="shared" si="906"/>
        <v>0</v>
      </c>
      <c r="K1275" s="105">
        <f t="shared" si="906"/>
        <v>0</v>
      </c>
      <c r="L1275" s="105">
        <f t="shared" si="906"/>
        <v>0</v>
      </c>
      <c r="M1275" s="105">
        <f t="shared" si="906"/>
        <v>0</v>
      </c>
      <c r="N1275" s="105">
        <f t="shared" si="906"/>
        <v>0</v>
      </c>
      <c r="O1275" s="105">
        <f t="shared" si="906"/>
        <v>0</v>
      </c>
      <c r="P1275" s="105">
        <f t="shared" si="906"/>
        <v>1</v>
      </c>
      <c r="Q1275" s="105">
        <f t="shared" si="906"/>
        <v>0</v>
      </c>
    </row>
    <row r="1276" ht="24" customHeight="1" spans="1:17">
      <c r="A1276" s="99" t="s">
        <v>348</v>
      </c>
      <c r="B1276" s="99" t="s">
        <v>308</v>
      </c>
      <c r="C1276" s="99" t="s">
        <v>309</v>
      </c>
      <c r="D1276" s="48" t="s">
        <v>311</v>
      </c>
      <c r="E1276" s="48" t="s">
        <v>406</v>
      </c>
      <c r="F1276" s="112">
        <f t="shared" ref="F1276:Q1276" si="907">IFERROR(F1270/F1269,"-")</f>
        <v>0.666666666666667</v>
      </c>
      <c r="G1276" s="112">
        <f t="shared" si="907"/>
        <v>0.5</v>
      </c>
      <c r="H1276" s="112">
        <f t="shared" si="907"/>
        <v>0.375</v>
      </c>
      <c r="I1276" s="112">
        <f t="shared" si="907"/>
        <v>0.333333333333333</v>
      </c>
      <c r="J1276" s="112">
        <f t="shared" si="907"/>
        <v>0</v>
      </c>
      <c r="K1276" s="112">
        <f t="shared" si="907"/>
        <v>0.5</v>
      </c>
      <c r="L1276" s="112">
        <f t="shared" si="907"/>
        <v>0</v>
      </c>
      <c r="M1276" s="112" t="str">
        <f t="shared" si="907"/>
        <v>-</v>
      </c>
      <c r="N1276" s="112">
        <f t="shared" si="907"/>
        <v>0</v>
      </c>
      <c r="O1276" s="112">
        <f t="shared" si="907"/>
        <v>0</v>
      </c>
      <c r="P1276" s="112">
        <f t="shared" si="907"/>
        <v>0.333333333333333</v>
      </c>
      <c r="Q1276" s="112" t="str">
        <f t="shared" si="907"/>
        <v>-</v>
      </c>
    </row>
    <row r="1277" ht="24" customHeight="1" spans="1:17">
      <c r="A1277" s="99" t="s">
        <v>348</v>
      </c>
      <c r="B1277" s="99" t="s">
        <v>308</v>
      </c>
      <c r="C1277" s="99" t="s">
        <v>309</v>
      </c>
      <c r="D1277" s="48" t="s">
        <v>311</v>
      </c>
      <c r="E1277" s="48" t="s">
        <v>82</v>
      </c>
      <c r="F1277" s="112">
        <f t="shared" ref="F1277:Q1277" si="908">IFERROR(F1271/F1269,"-")</f>
        <v>0</v>
      </c>
      <c r="G1277" s="112">
        <f t="shared" si="908"/>
        <v>0.5</v>
      </c>
      <c r="H1277" s="112">
        <f t="shared" si="908"/>
        <v>0.25</v>
      </c>
      <c r="I1277" s="112">
        <f t="shared" si="908"/>
        <v>0.666666666666667</v>
      </c>
      <c r="J1277" s="112">
        <f t="shared" si="908"/>
        <v>0.333333333333333</v>
      </c>
      <c r="K1277" s="112">
        <f t="shared" si="908"/>
        <v>0.5</v>
      </c>
      <c r="L1277" s="112">
        <f t="shared" si="908"/>
        <v>0</v>
      </c>
      <c r="M1277" s="112" t="str">
        <f t="shared" si="908"/>
        <v>-</v>
      </c>
      <c r="N1277" s="112">
        <f t="shared" si="908"/>
        <v>0.5</v>
      </c>
      <c r="O1277" s="112">
        <f t="shared" si="908"/>
        <v>0.5</v>
      </c>
      <c r="P1277" s="112">
        <f t="shared" si="908"/>
        <v>0</v>
      </c>
      <c r="Q1277" s="112" t="str">
        <f t="shared" si="908"/>
        <v>-</v>
      </c>
    </row>
    <row r="1278" ht="24" customHeight="1" spans="1:17">
      <c r="A1278" s="99" t="s">
        <v>348</v>
      </c>
      <c r="B1278" s="99" t="s">
        <v>308</v>
      </c>
      <c r="C1278" s="99" t="s">
        <v>309</v>
      </c>
      <c r="D1278" s="48" t="s">
        <v>311</v>
      </c>
      <c r="E1278" s="48" t="s">
        <v>86</v>
      </c>
      <c r="F1278" s="112">
        <f t="shared" ref="F1278:Q1278" si="909">IFERROR(F1272/F1269,"-")</f>
        <v>0</v>
      </c>
      <c r="G1278" s="112">
        <f t="shared" si="909"/>
        <v>0</v>
      </c>
      <c r="H1278" s="112">
        <f t="shared" si="909"/>
        <v>0.125</v>
      </c>
      <c r="I1278" s="112">
        <f t="shared" si="909"/>
        <v>0</v>
      </c>
      <c r="J1278" s="112">
        <f t="shared" si="909"/>
        <v>0.333333333333333</v>
      </c>
      <c r="K1278" s="112">
        <f t="shared" si="909"/>
        <v>0</v>
      </c>
      <c r="L1278" s="112">
        <f t="shared" si="909"/>
        <v>1</v>
      </c>
      <c r="M1278" s="112" t="str">
        <f t="shared" si="909"/>
        <v>-</v>
      </c>
      <c r="N1278" s="112">
        <f t="shared" si="909"/>
        <v>0.5</v>
      </c>
      <c r="O1278" s="112">
        <f t="shared" si="909"/>
        <v>0.25</v>
      </c>
      <c r="P1278" s="112">
        <f t="shared" si="909"/>
        <v>0.166666666666667</v>
      </c>
      <c r="Q1278" s="112" t="str">
        <f t="shared" si="909"/>
        <v>-</v>
      </c>
    </row>
    <row r="1279" ht="24" customHeight="1" spans="1:17">
      <c r="A1279" s="99" t="s">
        <v>348</v>
      </c>
      <c r="B1279" s="99" t="s">
        <v>308</v>
      </c>
      <c r="C1279" s="99" t="s">
        <v>309</v>
      </c>
      <c r="D1279" s="48" t="s">
        <v>311</v>
      </c>
      <c r="E1279" s="48" t="s">
        <v>97</v>
      </c>
      <c r="F1279" s="112">
        <f t="shared" ref="F1279:Q1279" si="910">IFERROR(F1273/F1269,"-")</f>
        <v>0</v>
      </c>
      <c r="G1279" s="112">
        <f t="shared" si="910"/>
        <v>0</v>
      </c>
      <c r="H1279" s="112">
        <f t="shared" si="910"/>
        <v>0.125</v>
      </c>
      <c r="I1279" s="112">
        <f t="shared" si="910"/>
        <v>0</v>
      </c>
      <c r="J1279" s="112">
        <f t="shared" si="910"/>
        <v>0.333333333333333</v>
      </c>
      <c r="K1279" s="112">
        <f t="shared" si="910"/>
        <v>0</v>
      </c>
      <c r="L1279" s="112">
        <f t="shared" si="910"/>
        <v>0</v>
      </c>
      <c r="M1279" s="112" t="str">
        <f t="shared" si="910"/>
        <v>-</v>
      </c>
      <c r="N1279" s="112">
        <f t="shared" si="910"/>
        <v>0</v>
      </c>
      <c r="O1279" s="112">
        <f t="shared" si="910"/>
        <v>0.25</v>
      </c>
      <c r="P1279" s="112">
        <f t="shared" si="910"/>
        <v>0</v>
      </c>
      <c r="Q1279" s="112" t="str">
        <f t="shared" si="910"/>
        <v>-</v>
      </c>
    </row>
    <row r="1280" ht="24" customHeight="1" spans="1:17">
      <c r="A1280" s="99" t="s">
        <v>348</v>
      </c>
      <c r="B1280" s="99" t="s">
        <v>308</v>
      </c>
      <c r="C1280" s="99" t="s">
        <v>309</v>
      </c>
      <c r="D1280" s="48" t="s">
        <v>311</v>
      </c>
      <c r="E1280" s="48" t="s">
        <v>87</v>
      </c>
      <c r="F1280" s="112">
        <f t="shared" ref="F1280:Q1280" si="911">IFERROR(F1274/F1269,"-")</f>
        <v>0.333333333333333</v>
      </c>
      <c r="G1280" s="112">
        <f t="shared" si="911"/>
        <v>0</v>
      </c>
      <c r="H1280" s="112">
        <f t="shared" si="911"/>
        <v>0.125</v>
      </c>
      <c r="I1280" s="112">
        <f t="shared" si="911"/>
        <v>0</v>
      </c>
      <c r="J1280" s="112">
        <f t="shared" si="911"/>
        <v>0</v>
      </c>
      <c r="K1280" s="112">
        <f t="shared" si="911"/>
        <v>0</v>
      </c>
      <c r="L1280" s="112">
        <f t="shared" si="911"/>
        <v>0</v>
      </c>
      <c r="M1280" s="112" t="str">
        <f t="shared" si="911"/>
        <v>-</v>
      </c>
      <c r="N1280" s="112">
        <f t="shared" si="911"/>
        <v>0</v>
      </c>
      <c r="O1280" s="112">
        <f t="shared" si="911"/>
        <v>0</v>
      </c>
      <c r="P1280" s="112">
        <f t="shared" si="911"/>
        <v>0.333333333333333</v>
      </c>
      <c r="Q1280" s="112" t="str">
        <f t="shared" si="911"/>
        <v>-</v>
      </c>
    </row>
    <row r="1281" ht="24" customHeight="1" spans="1:17">
      <c r="A1281" s="99" t="s">
        <v>348</v>
      </c>
      <c r="B1281" s="99" t="s">
        <v>308</v>
      </c>
      <c r="C1281" s="99" t="s">
        <v>309</v>
      </c>
      <c r="D1281" s="48" t="s">
        <v>311</v>
      </c>
      <c r="E1281" s="48" t="s">
        <v>83</v>
      </c>
      <c r="F1281" s="112">
        <f t="shared" ref="F1281:Q1281" si="912">IFERROR(F1275/F1269,"-")</f>
        <v>0</v>
      </c>
      <c r="G1281" s="112">
        <f t="shared" si="912"/>
        <v>0</v>
      </c>
      <c r="H1281" s="112">
        <f t="shared" si="912"/>
        <v>0</v>
      </c>
      <c r="I1281" s="112">
        <f t="shared" si="912"/>
        <v>0</v>
      </c>
      <c r="J1281" s="112">
        <f t="shared" si="912"/>
        <v>0</v>
      </c>
      <c r="K1281" s="112">
        <f t="shared" si="912"/>
        <v>0</v>
      </c>
      <c r="L1281" s="112">
        <f t="shared" si="912"/>
        <v>0</v>
      </c>
      <c r="M1281" s="112" t="str">
        <f t="shared" si="912"/>
        <v>-</v>
      </c>
      <c r="N1281" s="112">
        <f t="shared" si="912"/>
        <v>0</v>
      </c>
      <c r="O1281" s="112">
        <f t="shared" si="912"/>
        <v>0</v>
      </c>
      <c r="P1281" s="112">
        <f t="shared" si="912"/>
        <v>0.166666666666667</v>
      </c>
      <c r="Q1281" s="112" t="str">
        <f t="shared" si="912"/>
        <v>-</v>
      </c>
    </row>
    <row r="1282" ht="24" customHeight="1" spans="1:17">
      <c r="A1282" s="99" t="s">
        <v>348</v>
      </c>
      <c r="B1282" s="99" t="s">
        <v>308</v>
      </c>
      <c r="C1282" s="99" t="s">
        <v>309</v>
      </c>
      <c r="D1282" s="47" t="s">
        <v>294</v>
      </c>
      <c r="E1282" s="47" t="s">
        <v>93</v>
      </c>
      <c r="F1282" s="106">
        <f t="shared" ref="F1282:Q1282" si="913">F1308-F1334</f>
        <v>1</v>
      </c>
      <c r="G1282" s="106">
        <f t="shared" si="913"/>
        <v>0</v>
      </c>
      <c r="H1282" s="106">
        <f t="shared" si="913"/>
        <v>2</v>
      </c>
      <c r="I1282" s="106">
        <f t="shared" si="913"/>
        <v>4</v>
      </c>
      <c r="J1282" s="106">
        <f t="shared" si="913"/>
        <v>2</v>
      </c>
      <c r="K1282" s="106">
        <f t="shared" si="913"/>
        <v>1</v>
      </c>
      <c r="L1282" s="106">
        <f t="shared" si="913"/>
        <v>0</v>
      </c>
      <c r="M1282" s="106">
        <f t="shared" si="913"/>
        <v>0</v>
      </c>
      <c r="N1282" s="106">
        <f t="shared" si="913"/>
        <v>1</v>
      </c>
      <c r="O1282" s="106">
        <f t="shared" si="913"/>
        <v>3</v>
      </c>
      <c r="P1282" s="106">
        <f t="shared" si="913"/>
        <v>1</v>
      </c>
      <c r="Q1282" s="106">
        <f t="shared" si="913"/>
        <v>0</v>
      </c>
    </row>
    <row r="1283" ht="24" customHeight="1" spans="1:17">
      <c r="A1283" s="99" t="s">
        <v>348</v>
      </c>
      <c r="B1283" s="99" t="s">
        <v>308</v>
      </c>
      <c r="C1283" s="99" t="s">
        <v>309</v>
      </c>
      <c r="D1283" s="47" t="s">
        <v>294</v>
      </c>
      <c r="E1283" s="47" t="s">
        <v>85</v>
      </c>
      <c r="F1283" s="106">
        <f t="shared" ref="F1283:Q1283" si="914">F1309-F1335</f>
        <v>1</v>
      </c>
      <c r="G1283" s="106">
        <f t="shared" si="914"/>
        <v>3</v>
      </c>
      <c r="H1283" s="106">
        <f t="shared" si="914"/>
        <v>2</v>
      </c>
      <c r="I1283" s="106">
        <f t="shared" si="914"/>
        <v>0</v>
      </c>
      <c r="J1283" s="106">
        <f t="shared" si="914"/>
        <v>1</v>
      </c>
      <c r="K1283" s="106">
        <f t="shared" si="914"/>
        <v>1</v>
      </c>
      <c r="L1283" s="106">
        <f t="shared" si="914"/>
        <v>0</v>
      </c>
      <c r="M1283" s="106">
        <f t="shared" si="914"/>
        <v>0</v>
      </c>
      <c r="N1283" s="106">
        <f t="shared" si="914"/>
        <v>1</v>
      </c>
      <c r="O1283" s="106">
        <f t="shared" si="914"/>
        <v>1</v>
      </c>
      <c r="P1283" s="106">
        <f t="shared" si="914"/>
        <v>3</v>
      </c>
      <c r="Q1283" s="106">
        <f t="shared" si="914"/>
        <v>0</v>
      </c>
    </row>
    <row r="1284" ht="24" customHeight="1" spans="1:17">
      <c r="A1284" s="99" t="s">
        <v>348</v>
      </c>
      <c r="B1284" s="99" t="s">
        <v>308</v>
      </c>
      <c r="C1284" s="99" t="s">
        <v>309</v>
      </c>
      <c r="D1284" s="47" t="s">
        <v>294</v>
      </c>
      <c r="E1284" s="47" t="s">
        <v>81</v>
      </c>
      <c r="F1284" s="106">
        <f t="shared" ref="F1284:Q1284" si="915">F1310-F1336</f>
        <v>1</v>
      </c>
      <c r="G1284" s="106">
        <f t="shared" si="915"/>
        <v>1</v>
      </c>
      <c r="H1284" s="106">
        <f t="shared" si="915"/>
        <v>3</v>
      </c>
      <c r="I1284" s="106">
        <f t="shared" si="915"/>
        <v>2</v>
      </c>
      <c r="J1284" s="106">
        <f t="shared" si="915"/>
        <v>0</v>
      </c>
      <c r="K1284" s="106">
        <f t="shared" si="915"/>
        <v>0</v>
      </c>
      <c r="L1284" s="106">
        <f t="shared" si="915"/>
        <v>1</v>
      </c>
      <c r="M1284" s="106">
        <f t="shared" si="915"/>
        <v>0</v>
      </c>
      <c r="N1284" s="106">
        <f t="shared" si="915"/>
        <v>0</v>
      </c>
      <c r="O1284" s="106">
        <f t="shared" si="915"/>
        <v>0</v>
      </c>
      <c r="P1284" s="106">
        <f t="shared" si="915"/>
        <v>1</v>
      </c>
      <c r="Q1284" s="106">
        <f t="shared" si="915"/>
        <v>0</v>
      </c>
    </row>
    <row r="1285" ht="24" customHeight="1" spans="1:17">
      <c r="A1285" s="99" t="s">
        <v>348</v>
      </c>
      <c r="B1285" s="99" t="s">
        <v>308</v>
      </c>
      <c r="C1285" s="99" t="s">
        <v>309</v>
      </c>
      <c r="D1285" s="47" t="s">
        <v>294</v>
      </c>
      <c r="E1285" s="47" t="s">
        <v>96</v>
      </c>
      <c r="F1285" s="106">
        <f t="shared" ref="F1285:Q1285" si="916">F1311-F1337</f>
        <v>0</v>
      </c>
      <c r="G1285" s="106">
        <f t="shared" si="916"/>
        <v>0</v>
      </c>
      <c r="H1285" s="106">
        <f t="shared" si="916"/>
        <v>1</v>
      </c>
      <c r="I1285" s="106">
        <f t="shared" si="916"/>
        <v>0</v>
      </c>
      <c r="J1285" s="106">
        <f t="shared" si="916"/>
        <v>0</v>
      </c>
      <c r="K1285" s="106">
        <f t="shared" si="916"/>
        <v>0</v>
      </c>
      <c r="L1285" s="106">
        <f t="shared" si="916"/>
        <v>0</v>
      </c>
      <c r="M1285" s="106">
        <f t="shared" si="916"/>
        <v>0</v>
      </c>
      <c r="N1285" s="106">
        <f t="shared" si="916"/>
        <v>0</v>
      </c>
      <c r="O1285" s="106">
        <f t="shared" si="916"/>
        <v>0</v>
      </c>
      <c r="P1285" s="106">
        <f t="shared" si="916"/>
        <v>1</v>
      </c>
      <c r="Q1285" s="106">
        <f t="shared" si="916"/>
        <v>0</v>
      </c>
    </row>
    <row r="1286" ht="24" customHeight="1" spans="1:17">
      <c r="A1286" s="99" t="s">
        <v>348</v>
      </c>
      <c r="B1286" s="99" t="s">
        <v>308</v>
      </c>
      <c r="C1286" s="99" t="s">
        <v>309</v>
      </c>
      <c r="D1286" s="47" t="s">
        <v>294</v>
      </c>
      <c r="E1286" s="47" t="s">
        <v>160</v>
      </c>
      <c r="F1286" s="106">
        <f t="shared" ref="F1286:Q1286" si="917">F1312-F1338</f>
        <v>0</v>
      </c>
      <c r="G1286" s="106">
        <f t="shared" si="917"/>
        <v>0</v>
      </c>
      <c r="H1286" s="106">
        <f t="shared" si="917"/>
        <v>0</v>
      </c>
      <c r="I1286" s="106">
        <f t="shared" si="917"/>
        <v>0</v>
      </c>
      <c r="J1286" s="106">
        <f t="shared" si="917"/>
        <v>0</v>
      </c>
      <c r="K1286" s="106">
        <f t="shared" si="917"/>
        <v>0</v>
      </c>
      <c r="L1286" s="106">
        <f t="shared" si="917"/>
        <v>0</v>
      </c>
      <c r="M1286" s="106">
        <f t="shared" si="917"/>
        <v>0</v>
      </c>
      <c r="N1286" s="106">
        <f t="shared" si="917"/>
        <v>0</v>
      </c>
      <c r="O1286" s="106">
        <f t="shared" si="917"/>
        <v>0</v>
      </c>
      <c r="P1286" s="106">
        <f t="shared" si="917"/>
        <v>0</v>
      </c>
      <c r="Q1286" s="106">
        <f t="shared" si="917"/>
        <v>0</v>
      </c>
    </row>
    <row r="1287" ht="24" customHeight="1" spans="1:17">
      <c r="A1287" s="99" t="s">
        <v>348</v>
      </c>
      <c r="B1287" s="99" t="s">
        <v>308</v>
      </c>
      <c r="C1287" s="99" t="s">
        <v>309</v>
      </c>
      <c r="D1287" s="100" t="s">
        <v>292</v>
      </c>
      <c r="E1287" s="100" t="s">
        <v>312</v>
      </c>
      <c r="F1287" s="104">
        <f t="shared" ref="F1287:Q1287" si="918">SUM(F1288:F1290)</f>
        <v>2</v>
      </c>
      <c r="G1287" s="104">
        <f t="shared" si="918"/>
        <v>4</v>
      </c>
      <c r="H1287" s="104">
        <f t="shared" si="918"/>
        <v>6</v>
      </c>
      <c r="I1287" s="104">
        <f t="shared" si="918"/>
        <v>6</v>
      </c>
      <c r="J1287" s="104">
        <f t="shared" si="918"/>
        <v>2</v>
      </c>
      <c r="K1287" s="104">
        <f t="shared" si="918"/>
        <v>2</v>
      </c>
      <c r="L1287" s="104">
        <f t="shared" si="918"/>
        <v>1</v>
      </c>
      <c r="M1287" s="104">
        <f t="shared" si="918"/>
        <v>0</v>
      </c>
      <c r="N1287" s="104">
        <f t="shared" si="918"/>
        <v>2</v>
      </c>
      <c r="O1287" s="104">
        <f t="shared" si="918"/>
        <v>3</v>
      </c>
      <c r="P1287" s="104">
        <f t="shared" si="918"/>
        <v>6</v>
      </c>
      <c r="Q1287" s="104">
        <f t="shared" si="918"/>
        <v>0</v>
      </c>
    </row>
    <row r="1288" ht="24" customHeight="1" spans="1:17">
      <c r="A1288" s="99" t="s">
        <v>348</v>
      </c>
      <c r="B1288" s="99" t="s">
        <v>308</v>
      </c>
      <c r="C1288" s="99" t="s">
        <v>309</v>
      </c>
      <c r="D1288" s="48" t="s">
        <v>296</v>
      </c>
      <c r="E1288" s="48" t="s">
        <v>406</v>
      </c>
      <c r="F1288" s="105">
        <f t="shared" ref="F1288:Q1288" si="919">F1314-F1340</f>
        <v>2</v>
      </c>
      <c r="G1288" s="105">
        <f t="shared" si="919"/>
        <v>2</v>
      </c>
      <c r="H1288" s="105">
        <f t="shared" si="919"/>
        <v>3</v>
      </c>
      <c r="I1288" s="105">
        <f t="shared" si="919"/>
        <v>2</v>
      </c>
      <c r="J1288" s="105">
        <f t="shared" si="919"/>
        <v>0</v>
      </c>
      <c r="K1288" s="105">
        <f t="shared" si="919"/>
        <v>1</v>
      </c>
      <c r="L1288" s="105">
        <f t="shared" si="919"/>
        <v>0</v>
      </c>
      <c r="M1288" s="105">
        <f t="shared" si="919"/>
        <v>0</v>
      </c>
      <c r="N1288" s="105">
        <f t="shared" si="919"/>
        <v>0</v>
      </c>
      <c r="O1288" s="105">
        <f t="shared" si="919"/>
        <v>0</v>
      </c>
      <c r="P1288" s="105">
        <f t="shared" si="919"/>
        <v>4</v>
      </c>
      <c r="Q1288" s="105">
        <f t="shared" si="919"/>
        <v>0</v>
      </c>
    </row>
    <row r="1289" ht="24" customHeight="1" spans="1:17">
      <c r="A1289" s="99" t="s">
        <v>348</v>
      </c>
      <c r="B1289" s="99" t="s">
        <v>308</v>
      </c>
      <c r="C1289" s="99" t="s">
        <v>309</v>
      </c>
      <c r="D1289" s="48" t="s">
        <v>296</v>
      </c>
      <c r="E1289" s="48" t="s">
        <v>82</v>
      </c>
      <c r="F1289" s="105">
        <f t="shared" ref="F1289:Q1289" si="920">F1315-F1341</f>
        <v>0</v>
      </c>
      <c r="G1289" s="105">
        <f t="shared" si="920"/>
        <v>2</v>
      </c>
      <c r="H1289" s="105">
        <f t="shared" si="920"/>
        <v>2</v>
      </c>
      <c r="I1289" s="105">
        <f t="shared" si="920"/>
        <v>4</v>
      </c>
      <c r="J1289" s="105">
        <f t="shared" si="920"/>
        <v>1</v>
      </c>
      <c r="K1289" s="105">
        <f t="shared" si="920"/>
        <v>1</v>
      </c>
      <c r="L1289" s="105">
        <f t="shared" si="920"/>
        <v>0</v>
      </c>
      <c r="M1289" s="105">
        <f t="shared" si="920"/>
        <v>0</v>
      </c>
      <c r="N1289" s="105">
        <f t="shared" si="920"/>
        <v>1</v>
      </c>
      <c r="O1289" s="105">
        <f t="shared" si="920"/>
        <v>2</v>
      </c>
      <c r="P1289" s="105">
        <f t="shared" si="920"/>
        <v>1</v>
      </c>
      <c r="Q1289" s="105">
        <f t="shared" si="920"/>
        <v>0</v>
      </c>
    </row>
    <row r="1290" ht="24" customHeight="1" spans="1:17">
      <c r="A1290" s="99" t="s">
        <v>348</v>
      </c>
      <c r="B1290" s="99" t="s">
        <v>308</v>
      </c>
      <c r="C1290" s="99" t="s">
        <v>309</v>
      </c>
      <c r="D1290" s="48" t="s">
        <v>296</v>
      </c>
      <c r="E1290" s="48" t="s">
        <v>86</v>
      </c>
      <c r="F1290" s="105">
        <f t="shared" ref="F1290:Q1290" si="921">F1316-F1342</f>
        <v>0</v>
      </c>
      <c r="G1290" s="105">
        <f t="shared" si="921"/>
        <v>0</v>
      </c>
      <c r="H1290" s="105">
        <f t="shared" si="921"/>
        <v>1</v>
      </c>
      <c r="I1290" s="105">
        <f t="shared" si="921"/>
        <v>0</v>
      </c>
      <c r="J1290" s="105">
        <f t="shared" si="921"/>
        <v>1</v>
      </c>
      <c r="K1290" s="105">
        <f t="shared" si="921"/>
        <v>0</v>
      </c>
      <c r="L1290" s="105">
        <f t="shared" si="921"/>
        <v>1</v>
      </c>
      <c r="M1290" s="105">
        <f t="shared" si="921"/>
        <v>0</v>
      </c>
      <c r="N1290" s="105">
        <f t="shared" si="921"/>
        <v>1</v>
      </c>
      <c r="O1290" s="105">
        <f t="shared" si="921"/>
        <v>1</v>
      </c>
      <c r="P1290" s="105">
        <f t="shared" si="921"/>
        <v>1</v>
      </c>
      <c r="Q1290" s="105">
        <f t="shared" si="921"/>
        <v>0</v>
      </c>
    </row>
    <row r="1291" ht="24" customHeight="1" spans="1:17">
      <c r="A1291" s="99" t="s">
        <v>348</v>
      </c>
      <c r="B1291" s="99" t="s">
        <v>308</v>
      </c>
      <c r="C1291" s="99" t="s">
        <v>309</v>
      </c>
      <c r="D1291" s="48" t="s">
        <v>313</v>
      </c>
      <c r="E1291" s="48" t="s">
        <v>406</v>
      </c>
      <c r="F1291" s="112">
        <f t="shared" ref="F1291:Q1291" si="922">F1288/F$79</f>
        <v>0.285714285714286</v>
      </c>
      <c r="G1291" s="112">
        <f t="shared" si="922"/>
        <v>0.25</v>
      </c>
      <c r="H1291" s="112">
        <f t="shared" si="922"/>
        <v>0.25</v>
      </c>
      <c r="I1291" s="112">
        <f t="shared" si="922"/>
        <v>0.285714285714286</v>
      </c>
      <c r="J1291" s="112">
        <f t="shared" si="922"/>
        <v>0</v>
      </c>
      <c r="K1291" s="112">
        <f t="shared" si="922"/>
        <v>0.333333333333333</v>
      </c>
      <c r="L1291" s="112">
        <f t="shared" si="922"/>
        <v>0</v>
      </c>
      <c r="M1291" s="112">
        <f t="shared" si="922"/>
        <v>0</v>
      </c>
      <c r="N1291" s="112">
        <f t="shared" si="922"/>
        <v>0</v>
      </c>
      <c r="O1291" s="112">
        <f t="shared" si="922"/>
        <v>0</v>
      </c>
      <c r="P1291" s="112">
        <f t="shared" si="922"/>
        <v>2</v>
      </c>
      <c r="Q1291" s="112" t="e">
        <f t="shared" si="922"/>
        <v>#DIV/0!</v>
      </c>
    </row>
    <row r="1292" ht="24" customHeight="1" spans="1:17">
      <c r="A1292" s="99" t="s">
        <v>348</v>
      </c>
      <c r="B1292" s="99" t="s">
        <v>308</v>
      </c>
      <c r="C1292" s="99" t="s">
        <v>309</v>
      </c>
      <c r="D1292" s="48" t="s">
        <v>313</v>
      </c>
      <c r="E1292" s="48" t="s">
        <v>82</v>
      </c>
      <c r="F1292" s="112">
        <f t="shared" ref="F1292:Q1292" si="923">F1289/F$79</f>
        <v>0</v>
      </c>
      <c r="G1292" s="112">
        <f t="shared" si="923"/>
        <v>0.25</v>
      </c>
      <c r="H1292" s="112">
        <f t="shared" si="923"/>
        <v>0.166666666666667</v>
      </c>
      <c r="I1292" s="112">
        <f t="shared" si="923"/>
        <v>0.571428571428571</v>
      </c>
      <c r="J1292" s="112">
        <f t="shared" si="923"/>
        <v>0.333333333333333</v>
      </c>
      <c r="K1292" s="112">
        <f t="shared" si="923"/>
        <v>0.333333333333333</v>
      </c>
      <c r="L1292" s="112">
        <f t="shared" si="923"/>
        <v>0</v>
      </c>
      <c r="M1292" s="112">
        <f t="shared" si="923"/>
        <v>0</v>
      </c>
      <c r="N1292" s="112">
        <f t="shared" si="923"/>
        <v>1</v>
      </c>
      <c r="O1292" s="112">
        <f t="shared" si="923"/>
        <v>2</v>
      </c>
      <c r="P1292" s="112">
        <f t="shared" si="923"/>
        <v>0.5</v>
      </c>
      <c r="Q1292" s="112" t="e">
        <f t="shared" si="923"/>
        <v>#DIV/0!</v>
      </c>
    </row>
    <row r="1293" ht="24" customHeight="1" spans="1:17">
      <c r="A1293" s="99" t="s">
        <v>348</v>
      </c>
      <c r="B1293" s="99" t="s">
        <v>308</v>
      </c>
      <c r="C1293" s="99" t="s">
        <v>309</v>
      </c>
      <c r="D1293" s="48" t="s">
        <v>313</v>
      </c>
      <c r="E1293" s="48" t="s">
        <v>86</v>
      </c>
      <c r="F1293" s="112">
        <f t="shared" ref="F1293:Q1293" si="924">F1290/F$79</f>
        <v>0</v>
      </c>
      <c r="G1293" s="112">
        <f t="shared" si="924"/>
        <v>0</v>
      </c>
      <c r="H1293" s="112">
        <f t="shared" si="924"/>
        <v>0.0833333333333333</v>
      </c>
      <c r="I1293" s="112">
        <f t="shared" si="924"/>
        <v>0</v>
      </c>
      <c r="J1293" s="112">
        <f t="shared" si="924"/>
        <v>0.333333333333333</v>
      </c>
      <c r="K1293" s="112">
        <f t="shared" si="924"/>
        <v>0</v>
      </c>
      <c r="L1293" s="112">
        <f t="shared" si="924"/>
        <v>0.333333333333333</v>
      </c>
      <c r="M1293" s="112">
        <f t="shared" si="924"/>
        <v>0</v>
      </c>
      <c r="N1293" s="112">
        <f t="shared" si="924"/>
        <v>1</v>
      </c>
      <c r="O1293" s="112">
        <f t="shared" si="924"/>
        <v>1</v>
      </c>
      <c r="P1293" s="112">
        <f t="shared" si="924"/>
        <v>0.5</v>
      </c>
      <c r="Q1293" s="112" t="e">
        <f t="shared" si="924"/>
        <v>#DIV/0!</v>
      </c>
    </row>
    <row r="1294" ht="24" customHeight="1" spans="1:17">
      <c r="A1294" s="99" t="s">
        <v>348</v>
      </c>
      <c r="B1294" s="99" t="s">
        <v>308</v>
      </c>
      <c r="C1294" s="99" t="s">
        <v>309</v>
      </c>
      <c r="D1294" s="100" t="s">
        <v>292</v>
      </c>
      <c r="E1294" s="100" t="s">
        <v>314</v>
      </c>
      <c r="F1294" s="104">
        <f t="shared" ref="F1294:Q1294" si="925">SUM(F1295:F1297)</f>
        <v>2</v>
      </c>
      <c r="G1294" s="104">
        <f t="shared" si="925"/>
        <v>2</v>
      </c>
      <c r="H1294" s="104">
        <f t="shared" si="925"/>
        <v>6</v>
      </c>
      <c r="I1294" s="104">
        <f t="shared" si="925"/>
        <v>4</v>
      </c>
      <c r="J1294" s="104">
        <f t="shared" si="925"/>
        <v>2</v>
      </c>
      <c r="K1294" s="104">
        <f t="shared" si="925"/>
        <v>0</v>
      </c>
      <c r="L1294" s="104">
        <f t="shared" si="925"/>
        <v>0</v>
      </c>
      <c r="M1294" s="104">
        <f t="shared" si="925"/>
        <v>0</v>
      </c>
      <c r="N1294" s="104">
        <f t="shared" si="925"/>
        <v>1</v>
      </c>
      <c r="O1294" s="104">
        <f t="shared" si="925"/>
        <v>3</v>
      </c>
      <c r="P1294" s="104">
        <f t="shared" si="925"/>
        <v>3</v>
      </c>
      <c r="Q1294" s="104">
        <f t="shared" si="925"/>
        <v>0</v>
      </c>
    </row>
    <row r="1295" ht="24" customHeight="1" spans="1:17">
      <c r="A1295" s="99" t="s">
        <v>348</v>
      </c>
      <c r="B1295" s="99" t="s">
        <v>308</v>
      </c>
      <c r="C1295" s="99" t="s">
        <v>309</v>
      </c>
      <c r="D1295" s="48" t="s">
        <v>298</v>
      </c>
      <c r="E1295" s="48" t="s">
        <v>97</v>
      </c>
      <c r="F1295" s="105">
        <f t="shared" ref="F1295:Q1295" si="926">F1318-F1347</f>
        <v>1</v>
      </c>
      <c r="G1295" s="105">
        <f t="shared" si="926"/>
        <v>1</v>
      </c>
      <c r="H1295" s="105">
        <f t="shared" si="926"/>
        <v>2</v>
      </c>
      <c r="I1295" s="105">
        <f t="shared" si="926"/>
        <v>3</v>
      </c>
      <c r="J1295" s="105">
        <f t="shared" si="926"/>
        <v>2</v>
      </c>
      <c r="K1295" s="105">
        <f t="shared" si="926"/>
        <v>0</v>
      </c>
      <c r="L1295" s="105">
        <f t="shared" si="926"/>
        <v>0</v>
      </c>
      <c r="M1295" s="105">
        <f t="shared" si="926"/>
        <v>0</v>
      </c>
      <c r="N1295" s="105">
        <f t="shared" si="926"/>
        <v>0</v>
      </c>
      <c r="O1295" s="105">
        <f t="shared" si="926"/>
        <v>2</v>
      </c>
      <c r="P1295" s="105">
        <f t="shared" si="926"/>
        <v>0</v>
      </c>
      <c r="Q1295" s="105">
        <f t="shared" si="926"/>
        <v>0</v>
      </c>
    </row>
    <row r="1296" ht="24" customHeight="1" spans="1:17">
      <c r="A1296" s="99" t="s">
        <v>348</v>
      </c>
      <c r="B1296" s="99" t="s">
        <v>308</v>
      </c>
      <c r="C1296" s="99" t="s">
        <v>309</v>
      </c>
      <c r="D1296" s="48" t="s">
        <v>298</v>
      </c>
      <c r="E1296" s="48" t="s">
        <v>87</v>
      </c>
      <c r="F1296" s="105">
        <f t="shared" ref="F1296:Q1296" si="927">F1319-F1348</f>
        <v>1</v>
      </c>
      <c r="G1296" s="105">
        <f t="shared" si="927"/>
        <v>1</v>
      </c>
      <c r="H1296" s="105">
        <f t="shared" si="927"/>
        <v>4</v>
      </c>
      <c r="I1296" s="105">
        <f t="shared" si="927"/>
        <v>1</v>
      </c>
      <c r="J1296" s="105">
        <f t="shared" si="927"/>
        <v>0</v>
      </c>
      <c r="K1296" s="105">
        <f t="shared" si="927"/>
        <v>0</v>
      </c>
      <c r="L1296" s="105">
        <f t="shared" si="927"/>
        <v>0</v>
      </c>
      <c r="M1296" s="105">
        <f t="shared" si="927"/>
        <v>0</v>
      </c>
      <c r="N1296" s="105">
        <f t="shared" si="927"/>
        <v>1</v>
      </c>
      <c r="O1296" s="105">
        <f t="shared" si="927"/>
        <v>0</v>
      </c>
      <c r="P1296" s="105">
        <f t="shared" si="927"/>
        <v>2</v>
      </c>
      <c r="Q1296" s="105">
        <f t="shared" si="927"/>
        <v>0</v>
      </c>
    </row>
    <row r="1297" ht="24" customHeight="1" spans="1:17">
      <c r="A1297" s="99" t="s">
        <v>348</v>
      </c>
      <c r="B1297" s="99" t="s">
        <v>308</v>
      </c>
      <c r="C1297" s="99" t="s">
        <v>309</v>
      </c>
      <c r="D1297" s="48" t="s">
        <v>298</v>
      </c>
      <c r="E1297" s="48" t="s">
        <v>83</v>
      </c>
      <c r="F1297" s="105">
        <f t="shared" ref="F1297:Q1297" si="928">F1320-F1349</f>
        <v>0</v>
      </c>
      <c r="G1297" s="105">
        <f t="shared" si="928"/>
        <v>0</v>
      </c>
      <c r="H1297" s="105">
        <f t="shared" si="928"/>
        <v>0</v>
      </c>
      <c r="I1297" s="105">
        <f t="shared" si="928"/>
        <v>0</v>
      </c>
      <c r="J1297" s="105">
        <f t="shared" si="928"/>
        <v>0</v>
      </c>
      <c r="K1297" s="105">
        <f t="shared" si="928"/>
        <v>0</v>
      </c>
      <c r="L1297" s="105">
        <f t="shared" si="928"/>
        <v>0</v>
      </c>
      <c r="M1297" s="105">
        <f t="shared" si="928"/>
        <v>0</v>
      </c>
      <c r="N1297" s="105">
        <f t="shared" si="928"/>
        <v>0</v>
      </c>
      <c r="O1297" s="105">
        <f t="shared" si="928"/>
        <v>1</v>
      </c>
      <c r="P1297" s="105">
        <f t="shared" si="928"/>
        <v>1</v>
      </c>
      <c r="Q1297" s="105">
        <f t="shared" si="928"/>
        <v>0</v>
      </c>
    </row>
    <row r="1298" ht="24" customHeight="1" spans="1:17">
      <c r="A1298" s="99" t="s">
        <v>348</v>
      </c>
      <c r="B1298" s="99" t="s">
        <v>308</v>
      </c>
      <c r="C1298" s="99" t="s">
        <v>309</v>
      </c>
      <c r="D1298" s="48" t="s">
        <v>315</v>
      </c>
      <c r="E1298" s="48" t="s">
        <v>97</v>
      </c>
      <c r="F1298" s="112">
        <f t="shared" ref="F1298:Q1298" si="929">F1295/F$86</f>
        <v>0.142857142857143</v>
      </c>
      <c r="G1298" s="112">
        <f t="shared" si="929"/>
        <v>0.125</v>
      </c>
      <c r="H1298" s="112">
        <f t="shared" si="929"/>
        <v>0.166666666666667</v>
      </c>
      <c r="I1298" s="112">
        <f t="shared" si="929"/>
        <v>0.375</v>
      </c>
      <c r="J1298" s="112">
        <f t="shared" si="929"/>
        <v>1</v>
      </c>
      <c r="K1298" s="112">
        <f t="shared" si="929"/>
        <v>0</v>
      </c>
      <c r="L1298" s="112">
        <f t="shared" si="929"/>
        <v>0</v>
      </c>
      <c r="M1298" s="112">
        <f t="shared" si="929"/>
        <v>0</v>
      </c>
      <c r="N1298" s="112">
        <f t="shared" si="929"/>
        <v>0</v>
      </c>
      <c r="O1298" s="112">
        <f t="shared" si="929"/>
        <v>1</v>
      </c>
      <c r="P1298" s="112">
        <f t="shared" si="929"/>
        <v>0</v>
      </c>
      <c r="Q1298" s="112">
        <f t="shared" si="929"/>
        <v>0</v>
      </c>
    </row>
    <row r="1299" ht="24" customHeight="1" spans="1:17">
      <c r="A1299" s="99" t="s">
        <v>348</v>
      </c>
      <c r="B1299" s="99" t="s">
        <v>308</v>
      </c>
      <c r="C1299" s="99" t="s">
        <v>309</v>
      </c>
      <c r="D1299" s="48" t="s">
        <v>315</v>
      </c>
      <c r="E1299" s="48" t="s">
        <v>87</v>
      </c>
      <c r="F1299" s="112">
        <f t="shared" ref="F1299:Q1299" si="930">F1296/F$86</f>
        <v>0.142857142857143</v>
      </c>
      <c r="G1299" s="112">
        <f t="shared" si="930"/>
        <v>0.125</v>
      </c>
      <c r="H1299" s="112">
        <f t="shared" si="930"/>
        <v>0.333333333333333</v>
      </c>
      <c r="I1299" s="112">
        <f t="shared" si="930"/>
        <v>0.125</v>
      </c>
      <c r="J1299" s="112">
        <f t="shared" si="930"/>
        <v>0</v>
      </c>
      <c r="K1299" s="112">
        <f t="shared" si="930"/>
        <v>0</v>
      </c>
      <c r="L1299" s="112">
        <f t="shared" si="930"/>
        <v>0</v>
      </c>
      <c r="M1299" s="112">
        <f t="shared" si="930"/>
        <v>0</v>
      </c>
      <c r="N1299" s="112">
        <f t="shared" si="930"/>
        <v>0.333333333333333</v>
      </c>
      <c r="O1299" s="112">
        <f t="shared" si="930"/>
        <v>0</v>
      </c>
      <c r="P1299" s="112">
        <f t="shared" si="930"/>
        <v>0.666666666666667</v>
      </c>
      <c r="Q1299" s="112">
        <f t="shared" si="930"/>
        <v>0</v>
      </c>
    </row>
    <row r="1300" ht="24" customHeight="1" spans="1:17">
      <c r="A1300" s="99" t="s">
        <v>348</v>
      </c>
      <c r="B1300" s="99" t="s">
        <v>308</v>
      </c>
      <c r="C1300" s="99" t="s">
        <v>309</v>
      </c>
      <c r="D1300" s="48" t="s">
        <v>315</v>
      </c>
      <c r="E1300" s="48" t="s">
        <v>83</v>
      </c>
      <c r="F1300" s="112">
        <f t="shared" ref="F1300:Q1300" si="931">F1297/F$86</f>
        <v>0</v>
      </c>
      <c r="G1300" s="112">
        <f t="shared" si="931"/>
        <v>0</v>
      </c>
      <c r="H1300" s="112">
        <f t="shared" si="931"/>
        <v>0</v>
      </c>
      <c r="I1300" s="112">
        <f t="shared" si="931"/>
        <v>0</v>
      </c>
      <c r="J1300" s="112">
        <f t="shared" si="931"/>
        <v>0</v>
      </c>
      <c r="K1300" s="112">
        <f t="shared" si="931"/>
        <v>0</v>
      </c>
      <c r="L1300" s="112">
        <f t="shared" si="931"/>
        <v>0</v>
      </c>
      <c r="M1300" s="112">
        <f t="shared" si="931"/>
        <v>0</v>
      </c>
      <c r="N1300" s="112">
        <f t="shared" si="931"/>
        <v>0</v>
      </c>
      <c r="O1300" s="112">
        <f t="shared" si="931"/>
        <v>0.5</v>
      </c>
      <c r="P1300" s="112">
        <f t="shared" si="931"/>
        <v>0.333333333333333</v>
      </c>
      <c r="Q1300" s="112">
        <f t="shared" si="931"/>
        <v>0</v>
      </c>
    </row>
    <row r="1301" ht="24" customHeight="1" spans="1:17">
      <c r="A1301" s="99" t="s">
        <v>348</v>
      </c>
      <c r="B1301" s="99" t="s">
        <v>290</v>
      </c>
      <c r="C1301" s="99" t="s">
        <v>316</v>
      </c>
      <c r="D1301" s="100" t="s">
        <v>292</v>
      </c>
      <c r="E1301" s="100" t="s">
        <v>317</v>
      </c>
      <c r="F1301" s="104">
        <f t="shared" ref="F1301:Q1301" si="932">IF((SUM(F1302:F1307)-MAX(F1313,F1317))&lt;0,"ERR",SUM(F1302:F1307))</f>
        <v>5</v>
      </c>
      <c r="G1301" s="104">
        <f t="shared" si="932"/>
        <v>9</v>
      </c>
      <c r="H1301" s="104">
        <f t="shared" si="932"/>
        <v>18</v>
      </c>
      <c r="I1301" s="104">
        <f t="shared" si="932"/>
        <v>22</v>
      </c>
      <c r="J1301" s="104">
        <f t="shared" si="932"/>
        <v>25</v>
      </c>
      <c r="K1301" s="104">
        <f t="shared" si="932"/>
        <v>30</v>
      </c>
      <c r="L1301" s="104">
        <f t="shared" si="932"/>
        <v>33</v>
      </c>
      <c r="M1301" s="104">
        <f t="shared" si="932"/>
        <v>34</v>
      </c>
      <c r="N1301" s="104">
        <f t="shared" si="932"/>
        <v>37</v>
      </c>
      <c r="O1301" s="104">
        <f t="shared" si="932"/>
        <v>42</v>
      </c>
      <c r="P1301" s="104">
        <f t="shared" si="932"/>
        <v>48</v>
      </c>
      <c r="Q1301" s="104">
        <f t="shared" si="932"/>
        <v>49</v>
      </c>
    </row>
    <row r="1302" ht="24" customHeight="1" spans="1:17">
      <c r="A1302" s="99" t="s">
        <v>348</v>
      </c>
      <c r="B1302" s="99" t="s">
        <v>290</v>
      </c>
      <c r="C1302" s="99" t="s">
        <v>316</v>
      </c>
      <c r="D1302" s="48" t="s">
        <v>31</v>
      </c>
      <c r="E1302" s="48" t="s">
        <v>406</v>
      </c>
      <c r="F1302" s="105">
        <f t="shared" ref="F1302:F1312" si="933">F1212</f>
        <v>2</v>
      </c>
      <c r="G1302" s="105">
        <f t="shared" ref="G1302:Q1302" si="934">G1212+F1302</f>
        <v>4</v>
      </c>
      <c r="H1302" s="105">
        <f t="shared" si="934"/>
        <v>7</v>
      </c>
      <c r="I1302" s="105">
        <f t="shared" si="934"/>
        <v>8</v>
      </c>
      <c r="J1302" s="105">
        <f t="shared" si="934"/>
        <v>8</v>
      </c>
      <c r="K1302" s="105">
        <f t="shared" si="934"/>
        <v>12</v>
      </c>
      <c r="L1302" s="105">
        <f t="shared" si="934"/>
        <v>12</v>
      </c>
      <c r="M1302" s="105">
        <f t="shared" si="934"/>
        <v>12</v>
      </c>
      <c r="N1302" s="105">
        <f t="shared" si="934"/>
        <v>13</v>
      </c>
      <c r="O1302" s="105">
        <f t="shared" si="934"/>
        <v>13</v>
      </c>
      <c r="P1302" s="105">
        <f t="shared" si="934"/>
        <v>15</v>
      </c>
      <c r="Q1302" s="105">
        <f t="shared" si="934"/>
        <v>16</v>
      </c>
    </row>
    <row r="1303" ht="24" customHeight="1" spans="1:17">
      <c r="A1303" s="99" t="s">
        <v>348</v>
      </c>
      <c r="B1303" s="99" t="s">
        <v>290</v>
      </c>
      <c r="C1303" s="99" t="s">
        <v>316</v>
      </c>
      <c r="D1303" s="48" t="s">
        <v>31</v>
      </c>
      <c r="E1303" s="48" t="s">
        <v>82</v>
      </c>
      <c r="F1303" s="105">
        <f t="shared" si="933"/>
        <v>1</v>
      </c>
      <c r="G1303" s="105">
        <f t="shared" ref="G1303:Q1303" si="935">G1213+F1303</f>
        <v>3</v>
      </c>
      <c r="H1303" s="105">
        <f t="shared" si="935"/>
        <v>5</v>
      </c>
      <c r="I1303" s="105">
        <f t="shared" si="935"/>
        <v>8</v>
      </c>
      <c r="J1303" s="105">
        <f t="shared" si="935"/>
        <v>8</v>
      </c>
      <c r="K1303" s="105">
        <f t="shared" si="935"/>
        <v>9</v>
      </c>
      <c r="L1303" s="105">
        <f t="shared" si="935"/>
        <v>10</v>
      </c>
      <c r="M1303" s="105">
        <f t="shared" si="935"/>
        <v>10</v>
      </c>
      <c r="N1303" s="105">
        <f t="shared" si="935"/>
        <v>11</v>
      </c>
      <c r="O1303" s="105">
        <f t="shared" si="935"/>
        <v>13</v>
      </c>
      <c r="P1303" s="105">
        <f t="shared" si="935"/>
        <v>13</v>
      </c>
      <c r="Q1303" s="105">
        <f t="shared" si="935"/>
        <v>13</v>
      </c>
    </row>
    <row r="1304" ht="24" customHeight="1" spans="1:17">
      <c r="A1304" s="99" t="s">
        <v>348</v>
      </c>
      <c r="B1304" s="99" t="s">
        <v>290</v>
      </c>
      <c r="C1304" s="99" t="s">
        <v>316</v>
      </c>
      <c r="D1304" s="48" t="s">
        <v>31</v>
      </c>
      <c r="E1304" s="48" t="s">
        <v>86</v>
      </c>
      <c r="F1304" s="105">
        <f t="shared" si="933"/>
        <v>0</v>
      </c>
      <c r="G1304" s="105">
        <f t="shared" ref="G1304:Q1304" si="936">G1214+F1304</f>
        <v>0</v>
      </c>
      <c r="H1304" s="105">
        <f t="shared" si="936"/>
        <v>2</v>
      </c>
      <c r="I1304" s="105">
        <f t="shared" si="936"/>
        <v>2</v>
      </c>
      <c r="J1304" s="105">
        <f t="shared" si="936"/>
        <v>4</v>
      </c>
      <c r="K1304" s="105">
        <f t="shared" si="936"/>
        <v>4</v>
      </c>
      <c r="L1304" s="105">
        <f t="shared" si="936"/>
        <v>5</v>
      </c>
      <c r="M1304" s="105">
        <f t="shared" si="936"/>
        <v>6</v>
      </c>
      <c r="N1304" s="105">
        <f t="shared" si="936"/>
        <v>7</v>
      </c>
      <c r="O1304" s="105">
        <f t="shared" si="936"/>
        <v>9</v>
      </c>
      <c r="P1304" s="105">
        <f t="shared" si="936"/>
        <v>10</v>
      </c>
      <c r="Q1304" s="105">
        <f t="shared" si="936"/>
        <v>10</v>
      </c>
    </row>
    <row r="1305" ht="24" customHeight="1" spans="1:17">
      <c r="A1305" s="99" t="s">
        <v>348</v>
      </c>
      <c r="B1305" s="99" t="s">
        <v>290</v>
      </c>
      <c r="C1305" s="99" t="s">
        <v>316</v>
      </c>
      <c r="D1305" s="48" t="s">
        <v>31</v>
      </c>
      <c r="E1305" s="48" t="s">
        <v>97</v>
      </c>
      <c r="F1305" s="105">
        <f t="shared" si="933"/>
        <v>1</v>
      </c>
      <c r="G1305" s="105">
        <f t="shared" ref="G1305:Q1305" si="937">G1215+F1305</f>
        <v>1</v>
      </c>
      <c r="H1305" s="105">
        <f t="shared" si="937"/>
        <v>2</v>
      </c>
      <c r="I1305" s="105">
        <f t="shared" si="937"/>
        <v>2</v>
      </c>
      <c r="J1305" s="105">
        <f t="shared" si="937"/>
        <v>3</v>
      </c>
      <c r="K1305" s="105">
        <f t="shared" si="937"/>
        <v>3</v>
      </c>
      <c r="L1305" s="105">
        <f t="shared" si="937"/>
        <v>4</v>
      </c>
      <c r="M1305" s="105">
        <f t="shared" si="937"/>
        <v>4</v>
      </c>
      <c r="N1305" s="105">
        <f t="shared" si="937"/>
        <v>4</v>
      </c>
      <c r="O1305" s="105">
        <f t="shared" si="937"/>
        <v>5</v>
      </c>
      <c r="P1305" s="105">
        <f t="shared" si="937"/>
        <v>5</v>
      </c>
      <c r="Q1305" s="105">
        <f t="shared" si="937"/>
        <v>5</v>
      </c>
    </row>
    <row r="1306" ht="24" customHeight="1" spans="1:17">
      <c r="A1306" s="99" t="s">
        <v>348</v>
      </c>
      <c r="B1306" s="99" t="s">
        <v>290</v>
      </c>
      <c r="C1306" s="99" t="s">
        <v>316</v>
      </c>
      <c r="D1306" s="48" t="s">
        <v>31</v>
      </c>
      <c r="E1306" s="48" t="s">
        <v>87</v>
      </c>
      <c r="F1306" s="105">
        <f t="shared" si="933"/>
        <v>1</v>
      </c>
      <c r="G1306" s="105">
        <f t="shared" ref="G1306:Q1306" si="938">G1216+F1306</f>
        <v>1</v>
      </c>
      <c r="H1306" s="105">
        <f t="shared" si="938"/>
        <v>2</v>
      </c>
      <c r="I1306" s="105">
        <f t="shared" si="938"/>
        <v>2</v>
      </c>
      <c r="J1306" s="105">
        <f t="shared" si="938"/>
        <v>2</v>
      </c>
      <c r="K1306" s="105">
        <f t="shared" si="938"/>
        <v>2</v>
      </c>
      <c r="L1306" s="105">
        <f t="shared" si="938"/>
        <v>2</v>
      </c>
      <c r="M1306" s="105">
        <f t="shared" si="938"/>
        <v>2</v>
      </c>
      <c r="N1306" s="105">
        <f t="shared" si="938"/>
        <v>2</v>
      </c>
      <c r="O1306" s="105">
        <f t="shared" si="938"/>
        <v>2</v>
      </c>
      <c r="P1306" s="105">
        <f t="shared" si="938"/>
        <v>4</v>
      </c>
      <c r="Q1306" s="105">
        <f t="shared" si="938"/>
        <v>4</v>
      </c>
    </row>
    <row r="1307" ht="24" customHeight="1" spans="1:17">
      <c r="A1307" s="99" t="s">
        <v>348</v>
      </c>
      <c r="B1307" s="99" t="s">
        <v>290</v>
      </c>
      <c r="C1307" s="99" t="s">
        <v>316</v>
      </c>
      <c r="D1307" s="48" t="s">
        <v>31</v>
      </c>
      <c r="E1307" s="48" t="s">
        <v>83</v>
      </c>
      <c r="F1307" s="105">
        <f t="shared" si="933"/>
        <v>0</v>
      </c>
      <c r="G1307" s="105">
        <f t="shared" ref="G1307:Q1307" si="939">G1217+F1307</f>
        <v>0</v>
      </c>
      <c r="H1307" s="105">
        <f t="shared" si="939"/>
        <v>0</v>
      </c>
      <c r="I1307" s="105">
        <f t="shared" si="939"/>
        <v>0</v>
      </c>
      <c r="J1307" s="105">
        <f t="shared" si="939"/>
        <v>0</v>
      </c>
      <c r="K1307" s="105">
        <f t="shared" si="939"/>
        <v>0</v>
      </c>
      <c r="L1307" s="105">
        <f t="shared" si="939"/>
        <v>0</v>
      </c>
      <c r="M1307" s="105">
        <f t="shared" si="939"/>
        <v>0</v>
      </c>
      <c r="N1307" s="105">
        <f t="shared" si="939"/>
        <v>0</v>
      </c>
      <c r="O1307" s="105">
        <f t="shared" si="939"/>
        <v>0</v>
      </c>
      <c r="P1307" s="105">
        <f t="shared" si="939"/>
        <v>1</v>
      </c>
      <c r="Q1307" s="105">
        <f t="shared" si="939"/>
        <v>1</v>
      </c>
    </row>
    <row r="1308" ht="24" customHeight="1" spans="1:17">
      <c r="A1308" s="99" t="s">
        <v>348</v>
      </c>
      <c r="B1308" s="99" t="s">
        <v>290</v>
      </c>
      <c r="C1308" s="99" t="s">
        <v>316</v>
      </c>
      <c r="D1308" s="47" t="s">
        <v>294</v>
      </c>
      <c r="E1308" s="47" t="s">
        <v>93</v>
      </c>
      <c r="F1308" s="106">
        <f t="shared" si="933"/>
        <v>2</v>
      </c>
      <c r="G1308" s="106">
        <f t="shared" ref="G1308:Q1308" si="940">G1218+F1308</f>
        <v>3</v>
      </c>
      <c r="H1308" s="106">
        <f t="shared" si="940"/>
        <v>6</v>
      </c>
      <c r="I1308" s="106">
        <f t="shared" si="940"/>
        <v>10</v>
      </c>
      <c r="J1308" s="106">
        <f t="shared" si="940"/>
        <v>11</v>
      </c>
      <c r="K1308" s="106">
        <f t="shared" si="940"/>
        <v>13</v>
      </c>
      <c r="L1308" s="106">
        <f t="shared" si="940"/>
        <v>15</v>
      </c>
      <c r="M1308" s="106">
        <f t="shared" si="940"/>
        <v>16</v>
      </c>
      <c r="N1308" s="106">
        <f t="shared" si="940"/>
        <v>17</v>
      </c>
      <c r="O1308" s="106">
        <f t="shared" si="940"/>
        <v>21</v>
      </c>
      <c r="P1308" s="106">
        <f t="shared" si="940"/>
        <v>22</v>
      </c>
      <c r="Q1308" s="106">
        <f t="shared" si="940"/>
        <v>22</v>
      </c>
    </row>
    <row r="1309" ht="24" customHeight="1" spans="1:17">
      <c r="A1309" s="99" t="s">
        <v>348</v>
      </c>
      <c r="B1309" s="99" t="s">
        <v>290</v>
      </c>
      <c r="C1309" s="99" t="s">
        <v>316</v>
      </c>
      <c r="D1309" s="47" t="s">
        <v>294</v>
      </c>
      <c r="E1309" s="47" t="s">
        <v>85</v>
      </c>
      <c r="F1309" s="106">
        <f t="shared" si="933"/>
        <v>2</v>
      </c>
      <c r="G1309" s="106">
        <f t="shared" ref="G1309:Q1309" si="941">G1219+F1309</f>
        <v>5</v>
      </c>
      <c r="H1309" s="106">
        <f t="shared" si="941"/>
        <v>7</v>
      </c>
      <c r="I1309" s="106">
        <f t="shared" si="941"/>
        <v>7</v>
      </c>
      <c r="J1309" s="106">
        <f t="shared" si="941"/>
        <v>9</v>
      </c>
      <c r="K1309" s="106">
        <f t="shared" si="941"/>
        <v>10</v>
      </c>
      <c r="L1309" s="106">
        <f t="shared" si="941"/>
        <v>10</v>
      </c>
      <c r="M1309" s="106">
        <f t="shared" si="941"/>
        <v>10</v>
      </c>
      <c r="N1309" s="106">
        <f t="shared" si="941"/>
        <v>11</v>
      </c>
      <c r="O1309" s="106">
        <f t="shared" si="941"/>
        <v>12</v>
      </c>
      <c r="P1309" s="106">
        <f t="shared" si="941"/>
        <v>15</v>
      </c>
      <c r="Q1309" s="106">
        <f t="shared" si="941"/>
        <v>16</v>
      </c>
    </row>
    <row r="1310" ht="24" customHeight="1" spans="1:17">
      <c r="A1310" s="99" t="s">
        <v>348</v>
      </c>
      <c r="B1310" s="99" t="s">
        <v>290</v>
      </c>
      <c r="C1310" s="99" t="s">
        <v>316</v>
      </c>
      <c r="D1310" s="47" t="s">
        <v>294</v>
      </c>
      <c r="E1310" s="47" t="s">
        <v>81</v>
      </c>
      <c r="F1310" s="106">
        <f t="shared" si="933"/>
        <v>1</v>
      </c>
      <c r="G1310" s="106">
        <f t="shared" ref="G1310:Q1310" si="942">G1220+F1310</f>
        <v>1</v>
      </c>
      <c r="H1310" s="106">
        <f t="shared" si="942"/>
        <v>3</v>
      </c>
      <c r="I1310" s="106">
        <f t="shared" si="942"/>
        <v>3</v>
      </c>
      <c r="J1310" s="106">
        <f t="shared" si="942"/>
        <v>3</v>
      </c>
      <c r="K1310" s="106">
        <f t="shared" si="942"/>
        <v>4</v>
      </c>
      <c r="L1310" s="106">
        <f t="shared" si="942"/>
        <v>5</v>
      </c>
      <c r="M1310" s="106">
        <f t="shared" si="942"/>
        <v>5</v>
      </c>
      <c r="N1310" s="106">
        <f t="shared" si="942"/>
        <v>6</v>
      </c>
      <c r="O1310" s="106">
        <f t="shared" si="942"/>
        <v>6</v>
      </c>
      <c r="P1310" s="106">
        <f t="shared" si="942"/>
        <v>7</v>
      </c>
      <c r="Q1310" s="106">
        <f t="shared" si="942"/>
        <v>7</v>
      </c>
    </row>
    <row r="1311" ht="24" customHeight="1" spans="1:17">
      <c r="A1311" s="99" t="s">
        <v>348</v>
      </c>
      <c r="B1311" s="99" t="s">
        <v>290</v>
      </c>
      <c r="C1311" s="99" t="s">
        <v>316</v>
      </c>
      <c r="D1311" s="47" t="s">
        <v>294</v>
      </c>
      <c r="E1311" s="47" t="s">
        <v>96</v>
      </c>
      <c r="F1311" s="106">
        <f t="shared" si="933"/>
        <v>0</v>
      </c>
      <c r="G1311" s="106">
        <f t="shared" ref="G1311:Q1311" si="943">G1221+F1311</f>
        <v>0</v>
      </c>
      <c r="H1311" s="106">
        <f t="shared" si="943"/>
        <v>2</v>
      </c>
      <c r="I1311" s="106">
        <f t="shared" si="943"/>
        <v>2</v>
      </c>
      <c r="J1311" s="106">
        <f t="shared" si="943"/>
        <v>2</v>
      </c>
      <c r="K1311" s="106">
        <f t="shared" si="943"/>
        <v>3</v>
      </c>
      <c r="L1311" s="106">
        <f t="shared" si="943"/>
        <v>3</v>
      </c>
      <c r="M1311" s="106">
        <f t="shared" si="943"/>
        <v>3</v>
      </c>
      <c r="N1311" s="106">
        <f t="shared" si="943"/>
        <v>3</v>
      </c>
      <c r="O1311" s="106">
        <f t="shared" si="943"/>
        <v>3</v>
      </c>
      <c r="P1311" s="106">
        <f t="shared" si="943"/>
        <v>4</v>
      </c>
      <c r="Q1311" s="106">
        <f t="shared" si="943"/>
        <v>4</v>
      </c>
    </row>
    <row r="1312" ht="24" customHeight="1" spans="1:17">
      <c r="A1312" s="99" t="s">
        <v>348</v>
      </c>
      <c r="B1312" s="99" t="s">
        <v>290</v>
      </c>
      <c r="C1312" s="99" t="s">
        <v>316</v>
      </c>
      <c r="D1312" s="47" t="s">
        <v>294</v>
      </c>
      <c r="E1312" s="47" t="s">
        <v>160</v>
      </c>
      <c r="F1312" s="106">
        <f t="shared" si="933"/>
        <v>0</v>
      </c>
      <c r="G1312" s="106">
        <f t="shared" ref="G1312:Q1312" si="944">G1222+F1312</f>
        <v>0</v>
      </c>
      <c r="H1312" s="106">
        <f t="shared" si="944"/>
        <v>0</v>
      </c>
      <c r="I1312" s="106">
        <f t="shared" si="944"/>
        <v>0</v>
      </c>
      <c r="J1312" s="106">
        <f t="shared" si="944"/>
        <v>0</v>
      </c>
      <c r="K1312" s="106">
        <f t="shared" si="944"/>
        <v>0</v>
      </c>
      <c r="L1312" s="106">
        <f t="shared" si="944"/>
        <v>0</v>
      </c>
      <c r="M1312" s="106">
        <f t="shared" si="944"/>
        <v>0</v>
      </c>
      <c r="N1312" s="106">
        <f t="shared" si="944"/>
        <v>0</v>
      </c>
      <c r="O1312" s="106">
        <f t="shared" si="944"/>
        <v>0</v>
      </c>
      <c r="P1312" s="106">
        <f t="shared" si="944"/>
        <v>0</v>
      </c>
      <c r="Q1312" s="106">
        <f t="shared" si="944"/>
        <v>0</v>
      </c>
    </row>
    <row r="1313" ht="24" customHeight="1" spans="1:17">
      <c r="A1313" s="99" t="s">
        <v>348</v>
      </c>
      <c r="B1313" s="99" t="s">
        <v>290</v>
      </c>
      <c r="C1313" s="99" t="s">
        <v>316</v>
      </c>
      <c r="D1313" s="100" t="s">
        <v>292</v>
      </c>
      <c r="E1313" s="100" t="s">
        <v>318</v>
      </c>
      <c r="F1313" s="104">
        <f t="shared" ref="F1313:Q1313" si="945">SUM(F1314:F1316)</f>
        <v>3</v>
      </c>
      <c r="G1313" s="104">
        <f t="shared" si="945"/>
        <v>7</v>
      </c>
      <c r="H1313" s="104">
        <f t="shared" si="945"/>
        <v>14</v>
      </c>
      <c r="I1313" s="104">
        <f t="shared" si="945"/>
        <v>18</v>
      </c>
      <c r="J1313" s="104">
        <f t="shared" si="945"/>
        <v>20</v>
      </c>
      <c r="K1313" s="104">
        <f t="shared" si="945"/>
        <v>25</v>
      </c>
      <c r="L1313" s="104">
        <f t="shared" si="945"/>
        <v>28</v>
      </c>
      <c r="M1313" s="104">
        <f t="shared" si="945"/>
        <v>29</v>
      </c>
      <c r="N1313" s="104">
        <f t="shared" si="945"/>
        <v>32</v>
      </c>
      <c r="O1313" s="104">
        <f t="shared" si="945"/>
        <v>36</v>
      </c>
      <c r="P1313" s="104">
        <f t="shared" si="945"/>
        <v>42</v>
      </c>
      <c r="Q1313" s="104">
        <f t="shared" si="945"/>
        <v>43</v>
      </c>
    </row>
    <row r="1314" ht="24" customHeight="1" spans="1:17">
      <c r="A1314" s="99" t="s">
        <v>348</v>
      </c>
      <c r="B1314" s="99" t="s">
        <v>290</v>
      </c>
      <c r="C1314" s="99" t="s">
        <v>316</v>
      </c>
      <c r="D1314" s="48" t="s">
        <v>296</v>
      </c>
      <c r="E1314" s="48" t="s">
        <v>406</v>
      </c>
      <c r="F1314" s="105">
        <f t="shared" ref="F1314:F1316" si="946">F1224</f>
        <v>2</v>
      </c>
      <c r="G1314" s="105">
        <f t="shared" ref="G1314:Q1314" si="947">G1224+F1314</f>
        <v>4</v>
      </c>
      <c r="H1314" s="105">
        <f t="shared" si="947"/>
        <v>7</v>
      </c>
      <c r="I1314" s="105">
        <f t="shared" si="947"/>
        <v>8</v>
      </c>
      <c r="J1314" s="105">
        <f t="shared" si="947"/>
        <v>8</v>
      </c>
      <c r="K1314" s="105">
        <f t="shared" si="947"/>
        <v>12</v>
      </c>
      <c r="L1314" s="105">
        <f t="shared" si="947"/>
        <v>12</v>
      </c>
      <c r="M1314" s="105">
        <f t="shared" si="947"/>
        <v>12</v>
      </c>
      <c r="N1314" s="105">
        <f t="shared" si="947"/>
        <v>13</v>
      </c>
      <c r="O1314" s="105">
        <f t="shared" si="947"/>
        <v>13</v>
      </c>
      <c r="P1314" s="105">
        <f t="shared" si="947"/>
        <v>17</v>
      </c>
      <c r="Q1314" s="105">
        <f t="shared" si="947"/>
        <v>18</v>
      </c>
    </row>
    <row r="1315" ht="24" customHeight="1" spans="1:17">
      <c r="A1315" s="99" t="s">
        <v>348</v>
      </c>
      <c r="B1315" s="99" t="s">
        <v>290</v>
      </c>
      <c r="C1315" s="99" t="s">
        <v>316</v>
      </c>
      <c r="D1315" s="48" t="s">
        <v>296</v>
      </c>
      <c r="E1315" s="48" t="s">
        <v>82</v>
      </c>
      <c r="F1315" s="105">
        <f t="shared" si="946"/>
        <v>1</v>
      </c>
      <c r="G1315" s="105">
        <f t="shared" ref="G1315:Q1315" si="948">G1225+F1315</f>
        <v>3</v>
      </c>
      <c r="H1315" s="105">
        <f t="shared" si="948"/>
        <v>5</v>
      </c>
      <c r="I1315" s="105">
        <f t="shared" si="948"/>
        <v>8</v>
      </c>
      <c r="J1315" s="105">
        <f t="shared" si="948"/>
        <v>8</v>
      </c>
      <c r="K1315" s="105">
        <f t="shared" si="948"/>
        <v>9</v>
      </c>
      <c r="L1315" s="105">
        <f t="shared" si="948"/>
        <v>11</v>
      </c>
      <c r="M1315" s="105">
        <f t="shared" si="948"/>
        <v>11</v>
      </c>
      <c r="N1315" s="105">
        <f t="shared" si="948"/>
        <v>12</v>
      </c>
      <c r="O1315" s="105">
        <f t="shared" si="948"/>
        <v>14</v>
      </c>
      <c r="P1315" s="105">
        <f t="shared" si="948"/>
        <v>15</v>
      </c>
      <c r="Q1315" s="105">
        <f t="shared" si="948"/>
        <v>15</v>
      </c>
    </row>
    <row r="1316" ht="24" customHeight="1" spans="1:17">
      <c r="A1316" s="99" t="s">
        <v>348</v>
      </c>
      <c r="B1316" s="99" t="s">
        <v>290</v>
      </c>
      <c r="C1316" s="99" t="s">
        <v>316</v>
      </c>
      <c r="D1316" s="48" t="s">
        <v>296</v>
      </c>
      <c r="E1316" s="48" t="s">
        <v>86</v>
      </c>
      <c r="F1316" s="105">
        <f t="shared" si="946"/>
        <v>0</v>
      </c>
      <c r="G1316" s="105">
        <f t="shared" ref="G1316:Q1316" si="949">G1226+F1316</f>
        <v>0</v>
      </c>
      <c r="H1316" s="105">
        <f t="shared" si="949"/>
        <v>2</v>
      </c>
      <c r="I1316" s="105">
        <f t="shared" si="949"/>
        <v>2</v>
      </c>
      <c r="J1316" s="105">
        <f t="shared" si="949"/>
        <v>4</v>
      </c>
      <c r="K1316" s="105">
        <f t="shared" si="949"/>
        <v>4</v>
      </c>
      <c r="L1316" s="105">
        <f t="shared" si="949"/>
        <v>5</v>
      </c>
      <c r="M1316" s="105">
        <f t="shared" si="949"/>
        <v>6</v>
      </c>
      <c r="N1316" s="105">
        <f t="shared" si="949"/>
        <v>7</v>
      </c>
      <c r="O1316" s="105">
        <f t="shared" si="949"/>
        <v>9</v>
      </c>
      <c r="P1316" s="105">
        <f t="shared" si="949"/>
        <v>10</v>
      </c>
      <c r="Q1316" s="105">
        <f t="shared" si="949"/>
        <v>10</v>
      </c>
    </row>
    <row r="1317" ht="24" customHeight="1" spans="1:17">
      <c r="A1317" s="99" t="s">
        <v>348</v>
      </c>
      <c r="B1317" s="99" t="s">
        <v>290</v>
      </c>
      <c r="C1317" s="99" t="s">
        <v>316</v>
      </c>
      <c r="D1317" s="100" t="s">
        <v>292</v>
      </c>
      <c r="E1317" s="100" t="s">
        <v>319</v>
      </c>
      <c r="F1317" s="104">
        <f t="shared" ref="F1317:Q1317" si="950">SUM(F1318:F1320)</f>
        <v>4</v>
      </c>
      <c r="G1317" s="104">
        <f t="shared" si="950"/>
        <v>5</v>
      </c>
      <c r="H1317" s="104">
        <f t="shared" si="950"/>
        <v>10</v>
      </c>
      <c r="I1317" s="104">
        <f t="shared" si="950"/>
        <v>12</v>
      </c>
      <c r="J1317" s="104">
        <f t="shared" si="950"/>
        <v>13</v>
      </c>
      <c r="K1317" s="104">
        <f t="shared" si="950"/>
        <v>15</v>
      </c>
      <c r="L1317" s="104">
        <f t="shared" si="950"/>
        <v>16</v>
      </c>
      <c r="M1317" s="104">
        <f t="shared" si="950"/>
        <v>16</v>
      </c>
      <c r="N1317" s="104">
        <f t="shared" si="950"/>
        <v>17</v>
      </c>
      <c r="O1317" s="104">
        <f t="shared" si="950"/>
        <v>21</v>
      </c>
      <c r="P1317" s="104">
        <f t="shared" si="950"/>
        <v>24</v>
      </c>
      <c r="Q1317" s="104">
        <f t="shared" si="950"/>
        <v>25</v>
      </c>
    </row>
    <row r="1318" ht="24" customHeight="1" spans="1:17">
      <c r="A1318" s="99" t="s">
        <v>348</v>
      </c>
      <c r="B1318" s="99" t="s">
        <v>290</v>
      </c>
      <c r="C1318" s="99" t="s">
        <v>316</v>
      </c>
      <c r="D1318" s="48" t="s">
        <v>298</v>
      </c>
      <c r="E1318" s="48" t="s">
        <v>97</v>
      </c>
      <c r="F1318" s="105">
        <f t="shared" ref="F1318:F1320" si="951">F1228</f>
        <v>2</v>
      </c>
      <c r="G1318" s="105">
        <f t="shared" ref="G1318:Q1318" si="952">G1228+F1318</f>
        <v>2</v>
      </c>
      <c r="H1318" s="105">
        <f t="shared" si="952"/>
        <v>4</v>
      </c>
      <c r="I1318" s="105">
        <f t="shared" si="952"/>
        <v>6</v>
      </c>
      <c r="J1318" s="105">
        <f t="shared" si="952"/>
        <v>7</v>
      </c>
      <c r="K1318" s="105">
        <f t="shared" si="952"/>
        <v>9</v>
      </c>
      <c r="L1318" s="105">
        <f t="shared" si="952"/>
        <v>10</v>
      </c>
      <c r="M1318" s="105">
        <f t="shared" si="952"/>
        <v>10</v>
      </c>
      <c r="N1318" s="105">
        <f t="shared" si="952"/>
        <v>10</v>
      </c>
      <c r="O1318" s="105">
        <f t="shared" si="952"/>
        <v>13</v>
      </c>
      <c r="P1318" s="105">
        <f t="shared" si="952"/>
        <v>13</v>
      </c>
      <c r="Q1318" s="105">
        <f t="shared" si="952"/>
        <v>14</v>
      </c>
    </row>
    <row r="1319" ht="24" customHeight="1" spans="1:17">
      <c r="A1319" s="99" t="s">
        <v>348</v>
      </c>
      <c r="B1319" s="99" t="s">
        <v>290</v>
      </c>
      <c r="C1319" s="99" t="s">
        <v>316</v>
      </c>
      <c r="D1319" s="48" t="s">
        <v>298</v>
      </c>
      <c r="E1319" s="48" t="s">
        <v>87</v>
      </c>
      <c r="F1319" s="105">
        <f t="shared" si="951"/>
        <v>2</v>
      </c>
      <c r="G1319" s="105">
        <f t="shared" ref="G1319:Q1319" si="953">G1229+F1319</f>
        <v>3</v>
      </c>
      <c r="H1319" s="105">
        <f t="shared" si="953"/>
        <v>6</v>
      </c>
      <c r="I1319" s="105">
        <f t="shared" si="953"/>
        <v>6</v>
      </c>
      <c r="J1319" s="105">
        <f t="shared" si="953"/>
        <v>6</v>
      </c>
      <c r="K1319" s="105">
        <f t="shared" si="953"/>
        <v>6</v>
      </c>
      <c r="L1319" s="105">
        <f t="shared" si="953"/>
        <v>6</v>
      </c>
      <c r="M1319" s="105">
        <f t="shared" si="953"/>
        <v>6</v>
      </c>
      <c r="N1319" s="105">
        <f t="shared" si="953"/>
        <v>7</v>
      </c>
      <c r="O1319" s="105">
        <f t="shared" si="953"/>
        <v>7</v>
      </c>
      <c r="P1319" s="105">
        <f t="shared" si="953"/>
        <v>9</v>
      </c>
      <c r="Q1319" s="105">
        <f t="shared" si="953"/>
        <v>9</v>
      </c>
    </row>
    <row r="1320" ht="24" customHeight="1" spans="1:17">
      <c r="A1320" s="99" t="s">
        <v>348</v>
      </c>
      <c r="B1320" s="99" t="s">
        <v>290</v>
      </c>
      <c r="C1320" s="99" t="s">
        <v>316</v>
      </c>
      <c r="D1320" s="48" t="s">
        <v>298</v>
      </c>
      <c r="E1320" s="48" t="s">
        <v>83</v>
      </c>
      <c r="F1320" s="105">
        <f t="shared" si="951"/>
        <v>0</v>
      </c>
      <c r="G1320" s="105">
        <f t="shared" ref="G1320:Q1320" si="954">G1230+F1320</f>
        <v>0</v>
      </c>
      <c r="H1320" s="105">
        <f t="shared" si="954"/>
        <v>0</v>
      </c>
      <c r="I1320" s="105">
        <f t="shared" si="954"/>
        <v>0</v>
      </c>
      <c r="J1320" s="105">
        <f t="shared" si="954"/>
        <v>0</v>
      </c>
      <c r="K1320" s="105">
        <f t="shared" si="954"/>
        <v>0</v>
      </c>
      <c r="L1320" s="105">
        <f t="shared" si="954"/>
        <v>0</v>
      </c>
      <c r="M1320" s="105">
        <f t="shared" si="954"/>
        <v>0</v>
      </c>
      <c r="N1320" s="105">
        <f t="shared" si="954"/>
        <v>0</v>
      </c>
      <c r="O1320" s="105">
        <f t="shared" si="954"/>
        <v>1</v>
      </c>
      <c r="P1320" s="105">
        <f t="shared" si="954"/>
        <v>2</v>
      </c>
      <c r="Q1320" s="105">
        <f t="shared" si="954"/>
        <v>2</v>
      </c>
    </row>
    <row r="1321" ht="24" customHeight="1" spans="1:17">
      <c r="A1321" s="99" t="s">
        <v>348</v>
      </c>
      <c r="B1321" s="99" t="s">
        <v>299</v>
      </c>
      <c r="C1321" s="99" t="s">
        <v>316</v>
      </c>
      <c r="D1321" s="100" t="s">
        <v>292</v>
      </c>
      <c r="E1321" s="100" t="s">
        <v>320</v>
      </c>
      <c r="F1321" s="104">
        <f t="shared" ref="F1321:Q1321" si="955">IF((SUM(F1322:F1327)-MAX(F1339,F1346))&lt;0,"ERR",SUM(F1322:F1327))</f>
        <v>2</v>
      </c>
      <c r="G1321" s="104">
        <f t="shared" si="955"/>
        <v>5</v>
      </c>
      <c r="H1321" s="104">
        <f t="shared" si="955"/>
        <v>10</v>
      </c>
      <c r="I1321" s="104">
        <f t="shared" si="955"/>
        <v>16</v>
      </c>
      <c r="J1321" s="104">
        <f t="shared" si="955"/>
        <v>22</v>
      </c>
      <c r="K1321" s="104">
        <f t="shared" si="955"/>
        <v>28</v>
      </c>
      <c r="L1321" s="104">
        <f t="shared" si="955"/>
        <v>32</v>
      </c>
      <c r="M1321" s="104">
        <f t="shared" si="955"/>
        <v>34</v>
      </c>
      <c r="N1321" s="104">
        <f t="shared" si="955"/>
        <v>35</v>
      </c>
      <c r="O1321" s="104">
        <f t="shared" si="955"/>
        <v>38</v>
      </c>
      <c r="P1321" s="104">
        <f t="shared" si="955"/>
        <v>42</v>
      </c>
      <c r="Q1321" s="104">
        <f t="shared" si="955"/>
        <v>49</v>
      </c>
    </row>
    <row r="1322" ht="24" customHeight="1" spans="1:17">
      <c r="A1322" s="99" t="s">
        <v>348</v>
      </c>
      <c r="B1322" s="99" t="s">
        <v>299</v>
      </c>
      <c r="C1322" s="99" t="s">
        <v>316</v>
      </c>
      <c r="D1322" s="48" t="s">
        <v>31</v>
      </c>
      <c r="E1322" s="48" t="s">
        <v>406</v>
      </c>
      <c r="F1322" s="105">
        <f t="shared" ref="F1322:F1327" si="956">F1232</f>
        <v>0</v>
      </c>
      <c r="G1322" s="105">
        <f t="shared" ref="G1322:Q1322" si="957">G1232+F1322</f>
        <v>2</v>
      </c>
      <c r="H1322" s="105">
        <f t="shared" si="957"/>
        <v>4</v>
      </c>
      <c r="I1322" s="105">
        <f t="shared" si="957"/>
        <v>6</v>
      </c>
      <c r="J1322" s="105">
        <f t="shared" si="957"/>
        <v>8</v>
      </c>
      <c r="K1322" s="105">
        <f t="shared" si="957"/>
        <v>11</v>
      </c>
      <c r="L1322" s="105">
        <f t="shared" si="957"/>
        <v>12</v>
      </c>
      <c r="M1322" s="105">
        <f t="shared" si="957"/>
        <v>12</v>
      </c>
      <c r="N1322" s="105">
        <f t="shared" si="957"/>
        <v>13</v>
      </c>
      <c r="O1322" s="105">
        <f t="shared" si="957"/>
        <v>13</v>
      </c>
      <c r="P1322" s="105">
        <f t="shared" si="957"/>
        <v>13</v>
      </c>
      <c r="Q1322" s="105">
        <f t="shared" si="957"/>
        <v>16</v>
      </c>
    </row>
    <row r="1323" ht="24" customHeight="1" spans="1:17">
      <c r="A1323" s="99" t="s">
        <v>348</v>
      </c>
      <c r="B1323" s="99" t="s">
        <v>299</v>
      </c>
      <c r="C1323" s="99" t="s">
        <v>316</v>
      </c>
      <c r="D1323" s="48" t="s">
        <v>31</v>
      </c>
      <c r="E1323" s="48" t="s">
        <v>82</v>
      </c>
      <c r="F1323" s="105">
        <f t="shared" si="956"/>
        <v>1</v>
      </c>
      <c r="G1323" s="105">
        <f t="shared" ref="G1323:Q1323" si="958">G1233+F1323</f>
        <v>1</v>
      </c>
      <c r="H1323" s="105">
        <f t="shared" si="958"/>
        <v>3</v>
      </c>
      <c r="I1323" s="105">
        <f t="shared" si="958"/>
        <v>4</v>
      </c>
      <c r="J1323" s="105">
        <f t="shared" si="958"/>
        <v>7</v>
      </c>
      <c r="K1323" s="105">
        <f t="shared" si="958"/>
        <v>8</v>
      </c>
      <c r="L1323" s="105">
        <f t="shared" si="958"/>
        <v>10</v>
      </c>
      <c r="M1323" s="105">
        <f t="shared" si="958"/>
        <v>10</v>
      </c>
      <c r="N1323" s="105">
        <f t="shared" si="958"/>
        <v>10</v>
      </c>
      <c r="O1323" s="105">
        <f t="shared" si="958"/>
        <v>11</v>
      </c>
      <c r="P1323" s="105">
        <f t="shared" si="958"/>
        <v>13</v>
      </c>
      <c r="Q1323" s="105">
        <f t="shared" si="958"/>
        <v>13</v>
      </c>
    </row>
    <row r="1324" ht="24" customHeight="1" spans="1:17">
      <c r="A1324" s="99" t="s">
        <v>348</v>
      </c>
      <c r="B1324" s="99" t="s">
        <v>299</v>
      </c>
      <c r="C1324" s="99" t="s">
        <v>316</v>
      </c>
      <c r="D1324" s="48" t="s">
        <v>31</v>
      </c>
      <c r="E1324" s="48" t="s">
        <v>86</v>
      </c>
      <c r="F1324" s="105">
        <f t="shared" si="956"/>
        <v>0</v>
      </c>
      <c r="G1324" s="105">
        <f t="shared" ref="G1324:Q1324" si="959">G1234+F1324</f>
        <v>0</v>
      </c>
      <c r="H1324" s="105">
        <f t="shared" si="959"/>
        <v>1</v>
      </c>
      <c r="I1324" s="105">
        <f t="shared" si="959"/>
        <v>2</v>
      </c>
      <c r="J1324" s="105">
        <f t="shared" si="959"/>
        <v>3</v>
      </c>
      <c r="K1324" s="105">
        <f t="shared" si="959"/>
        <v>4</v>
      </c>
      <c r="L1324" s="105">
        <f t="shared" si="959"/>
        <v>4</v>
      </c>
      <c r="M1324" s="105">
        <f t="shared" si="959"/>
        <v>6</v>
      </c>
      <c r="N1324" s="105">
        <f t="shared" si="959"/>
        <v>6</v>
      </c>
      <c r="O1324" s="105">
        <f t="shared" si="959"/>
        <v>8</v>
      </c>
      <c r="P1324" s="105">
        <f t="shared" si="959"/>
        <v>9</v>
      </c>
      <c r="Q1324" s="105">
        <f t="shared" si="959"/>
        <v>10</v>
      </c>
    </row>
    <row r="1325" ht="24" customHeight="1" spans="1:17">
      <c r="A1325" s="99" t="s">
        <v>348</v>
      </c>
      <c r="B1325" s="99" t="s">
        <v>299</v>
      </c>
      <c r="C1325" s="99" t="s">
        <v>316</v>
      </c>
      <c r="D1325" s="48" t="s">
        <v>31</v>
      </c>
      <c r="E1325" s="48" t="s">
        <v>97</v>
      </c>
      <c r="F1325" s="105">
        <f t="shared" si="956"/>
        <v>1</v>
      </c>
      <c r="G1325" s="105">
        <f t="shared" ref="G1325:Q1325" si="960">G1235+F1325</f>
        <v>1</v>
      </c>
      <c r="H1325" s="105">
        <f t="shared" si="960"/>
        <v>1</v>
      </c>
      <c r="I1325" s="105">
        <f t="shared" si="960"/>
        <v>2</v>
      </c>
      <c r="J1325" s="105">
        <f t="shared" si="960"/>
        <v>2</v>
      </c>
      <c r="K1325" s="105">
        <f t="shared" si="960"/>
        <v>3</v>
      </c>
      <c r="L1325" s="105">
        <f t="shared" si="960"/>
        <v>4</v>
      </c>
      <c r="M1325" s="105">
        <f t="shared" si="960"/>
        <v>4</v>
      </c>
      <c r="N1325" s="105">
        <f t="shared" si="960"/>
        <v>4</v>
      </c>
      <c r="O1325" s="105">
        <f t="shared" si="960"/>
        <v>4</v>
      </c>
      <c r="P1325" s="105">
        <f t="shared" si="960"/>
        <v>5</v>
      </c>
      <c r="Q1325" s="105">
        <f t="shared" si="960"/>
        <v>5</v>
      </c>
    </row>
    <row r="1326" ht="24" customHeight="1" spans="1:17">
      <c r="A1326" s="99" t="s">
        <v>348</v>
      </c>
      <c r="B1326" s="99" t="s">
        <v>299</v>
      </c>
      <c r="C1326" s="99" t="s">
        <v>316</v>
      </c>
      <c r="D1326" s="48" t="s">
        <v>31</v>
      </c>
      <c r="E1326" s="48" t="s">
        <v>87</v>
      </c>
      <c r="F1326" s="105">
        <f t="shared" si="956"/>
        <v>0</v>
      </c>
      <c r="G1326" s="105">
        <f t="shared" ref="G1326:Q1326" si="961">G1236+F1326</f>
        <v>1</v>
      </c>
      <c r="H1326" s="105">
        <f t="shared" si="961"/>
        <v>1</v>
      </c>
      <c r="I1326" s="105">
        <f t="shared" si="961"/>
        <v>2</v>
      </c>
      <c r="J1326" s="105">
        <f t="shared" si="961"/>
        <v>2</v>
      </c>
      <c r="K1326" s="105">
        <f t="shared" si="961"/>
        <v>2</v>
      </c>
      <c r="L1326" s="105">
        <f t="shared" si="961"/>
        <v>2</v>
      </c>
      <c r="M1326" s="105">
        <f t="shared" si="961"/>
        <v>2</v>
      </c>
      <c r="N1326" s="105">
        <f t="shared" si="961"/>
        <v>2</v>
      </c>
      <c r="O1326" s="105">
        <f t="shared" si="961"/>
        <v>2</v>
      </c>
      <c r="P1326" s="105">
        <f t="shared" si="961"/>
        <v>2</v>
      </c>
      <c r="Q1326" s="105">
        <f t="shared" si="961"/>
        <v>4</v>
      </c>
    </row>
    <row r="1327" ht="24" customHeight="1" spans="1:17">
      <c r="A1327" s="99" t="s">
        <v>348</v>
      </c>
      <c r="B1327" s="99" t="s">
        <v>299</v>
      </c>
      <c r="C1327" s="99" t="s">
        <v>316</v>
      </c>
      <c r="D1327" s="48" t="s">
        <v>31</v>
      </c>
      <c r="E1327" s="48" t="s">
        <v>83</v>
      </c>
      <c r="F1327" s="105">
        <f t="shared" si="956"/>
        <v>0</v>
      </c>
      <c r="G1327" s="105">
        <f t="shared" ref="G1327:Q1327" si="962">G1237+F1327</f>
        <v>0</v>
      </c>
      <c r="H1327" s="105">
        <f t="shared" si="962"/>
        <v>0</v>
      </c>
      <c r="I1327" s="105">
        <f t="shared" si="962"/>
        <v>0</v>
      </c>
      <c r="J1327" s="105">
        <f t="shared" si="962"/>
        <v>0</v>
      </c>
      <c r="K1327" s="105">
        <f t="shared" si="962"/>
        <v>0</v>
      </c>
      <c r="L1327" s="105">
        <f t="shared" si="962"/>
        <v>0</v>
      </c>
      <c r="M1327" s="105">
        <f t="shared" si="962"/>
        <v>0</v>
      </c>
      <c r="N1327" s="105">
        <f t="shared" si="962"/>
        <v>0</v>
      </c>
      <c r="O1327" s="105">
        <f t="shared" si="962"/>
        <v>0</v>
      </c>
      <c r="P1327" s="105">
        <f t="shared" si="962"/>
        <v>0</v>
      </c>
      <c r="Q1327" s="105">
        <f t="shared" si="962"/>
        <v>1</v>
      </c>
    </row>
    <row r="1328" ht="24" customHeight="1" spans="1:17">
      <c r="A1328" s="99" t="s">
        <v>348</v>
      </c>
      <c r="B1328" s="99" t="s">
        <v>299</v>
      </c>
      <c r="C1328" s="99" t="s">
        <v>316</v>
      </c>
      <c r="D1328" s="48" t="s">
        <v>321</v>
      </c>
      <c r="E1328" s="48" t="s">
        <v>406</v>
      </c>
      <c r="F1328" s="112">
        <f t="shared" ref="F1328:Q1328" si="963">IFERROR(F1322/F1321,"-")</f>
        <v>0</v>
      </c>
      <c r="G1328" s="112">
        <f t="shared" si="963"/>
        <v>0.4</v>
      </c>
      <c r="H1328" s="112">
        <f t="shared" si="963"/>
        <v>0.4</v>
      </c>
      <c r="I1328" s="112">
        <f t="shared" si="963"/>
        <v>0.375</v>
      </c>
      <c r="J1328" s="112">
        <f t="shared" si="963"/>
        <v>0.363636363636364</v>
      </c>
      <c r="K1328" s="112">
        <f t="shared" si="963"/>
        <v>0.392857142857143</v>
      </c>
      <c r="L1328" s="112">
        <f t="shared" si="963"/>
        <v>0.375</v>
      </c>
      <c r="M1328" s="112">
        <f t="shared" si="963"/>
        <v>0.352941176470588</v>
      </c>
      <c r="N1328" s="112">
        <f t="shared" si="963"/>
        <v>0.371428571428571</v>
      </c>
      <c r="O1328" s="112">
        <f t="shared" si="963"/>
        <v>0.342105263157895</v>
      </c>
      <c r="P1328" s="112">
        <f t="shared" si="963"/>
        <v>0.30952380952381</v>
      </c>
      <c r="Q1328" s="112">
        <f t="shared" si="963"/>
        <v>0.326530612244898</v>
      </c>
    </row>
    <row r="1329" ht="24" customHeight="1" spans="1:17">
      <c r="A1329" s="99" t="s">
        <v>348</v>
      </c>
      <c r="B1329" s="99" t="s">
        <v>299</v>
      </c>
      <c r="C1329" s="99" t="s">
        <v>316</v>
      </c>
      <c r="D1329" s="48" t="s">
        <v>321</v>
      </c>
      <c r="E1329" s="48" t="s">
        <v>82</v>
      </c>
      <c r="F1329" s="112">
        <f t="shared" ref="F1329:Q1329" si="964">IFERROR(F1323/F1321,"-")</f>
        <v>0.5</v>
      </c>
      <c r="G1329" s="112">
        <f t="shared" si="964"/>
        <v>0.2</v>
      </c>
      <c r="H1329" s="112">
        <f t="shared" si="964"/>
        <v>0.3</v>
      </c>
      <c r="I1329" s="112">
        <f t="shared" si="964"/>
        <v>0.25</v>
      </c>
      <c r="J1329" s="112">
        <f t="shared" si="964"/>
        <v>0.318181818181818</v>
      </c>
      <c r="K1329" s="112">
        <f t="shared" si="964"/>
        <v>0.285714285714286</v>
      </c>
      <c r="L1329" s="112">
        <f t="shared" si="964"/>
        <v>0.3125</v>
      </c>
      <c r="M1329" s="112">
        <f t="shared" si="964"/>
        <v>0.294117647058824</v>
      </c>
      <c r="N1329" s="112">
        <f t="shared" si="964"/>
        <v>0.285714285714286</v>
      </c>
      <c r="O1329" s="112">
        <f t="shared" si="964"/>
        <v>0.289473684210526</v>
      </c>
      <c r="P1329" s="112">
        <f t="shared" si="964"/>
        <v>0.30952380952381</v>
      </c>
      <c r="Q1329" s="112">
        <f t="shared" si="964"/>
        <v>0.26530612244898</v>
      </c>
    </row>
    <row r="1330" ht="24" customHeight="1" spans="1:17">
      <c r="A1330" s="99" t="s">
        <v>348</v>
      </c>
      <c r="B1330" s="99" t="s">
        <v>299</v>
      </c>
      <c r="C1330" s="99" t="s">
        <v>316</v>
      </c>
      <c r="D1330" s="48" t="s">
        <v>321</v>
      </c>
      <c r="E1330" s="48" t="s">
        <v>86</v>
      </c>
      <c r="F1330" s="112">
        <f t="shared" ref="F1330:Q1330" si="965">IFERROR(F1324/F1321,"-")</f>
        <v>0</v>
      </c>
      <c r="G1330" s="112">
        <f t="shared" si="965"/>
        <v>0</v>
      </c>
      <c r="H1330" s="112">
        <f t="shared" si="965"/>
        <v>0.1</v>
      </c>
      <c r="I1330" s="112">
        <f t="shared" si="965"/>
        <v>0.125</v>
      </c>
      <c r="J1330" s="112">
        <f t="shared" si="965"/>
        <v>0.136363636363636</v>
      </c>
      <c r="K1330" s="112">
        <f t="shared" si="965"/>
        <v>0.142857142857143</v>
      </c>
      <c r="L1330" s="112">
        <f t="shared" si="965"/>
        <v>0.125</v>
      </c>
      <c r="M1330" s="112">
        <f t="shared" si="965"/>
        <v>0.176470588235294</v>
      </c>
      <c r="N1330" s="112">
        <f t="shared" si="965"/>
        <v>0.171428571428571</v>
      </c>
      <c r="O1330" s="112">
        <f t="shared" si="965"/>
        <v>0.210526315789474</v>
      </c>
      <c r="P1330" s="112">
        <f t="shared" si="965"/>
        <v>0.214285714285714</v>
      </c>
      <c r="Q1330" s="112">
        <f t="shared" si="965"/>
        <v>0.204081632653061</v>
      </c>
    </row>
    <row r="1331" ht="24" customHeight="1" spans="1:17">
      <c r="A1331" s="99" t="s">
        <v>348</v>
      </c>
      <c r="B1331" s="99" t="s">
        <v>299</v>
      </c>
      <c r="C1331" s="99" t="s">
        <v>316</v>
      </c>
      <c r="D1331" s="48" t="s">
        <v>321</v>
      </c>
      <c r="E1331" s="48" t="s">
        <v>97</v>
      </c>
      <c r="F1331" s="112">
        <f t="shared" ref="F1331:Q1331" si="966">IFERROR(F1325/F1321,"-")</f>
        <v>0.5</v>
      </c>
      <c r="G1331" s="112">
        <f t="shared" si="966"/>
        <v>0.2</v>
      </c>
      <c r="H1331" s="112">
        <f t="shared" si="966"/>
        <v>0.1</v>
      </c>
      <c r="I1331" s="112">
        <f t="shared" si="966"/>
        <v>0.125</v>
      </c>
      <c r="J1331" s="112">
        <f t="shared" si="966"/>
        <v>0.0909090909090909</v>
      </c>
      <c r="K1331" s="112">
        <f t="shared" si="966"/>
        <v>0.107142857142857</v>
      </c>
      <c r="L1331" s="112">
        <f t="shared" si="966"/>
        <v>0.125</v>
      </c>
      <c r="M1331" s="112">
        <f t="shared" si="966"/>
        <v>0.117647058823529</v>
      </c>
      <c r="N1331" s="112">
        <f t="shared" si="966"/>
        <v>0.114285714285714</v>
      </c>
      <c r="O1331" s="112">
        <f t="shared" si="966"/>
        <v>0.105263157894737</v>
      </c>
      <c r="P1331" s="112">
        <f t="shared" si="966"/>
        <v>0.119047619047619</v>
      </c>
      <c r="Q1331" s="112">
        <f t="shared" si="966"/>
        <v>0.102040816326531</v>
      </c>
    </row>
    <row r="1332" ht="24" customHeight="1" spans="1:17">
      <c r="A1332" s="99" t="s">
        <v>348</v>
      </c>
      <c r="B1332" s="99" t="s">
        <v>299</v>
      </c>
      <c r="C1332" s="99" t="s">
        <v>316</v>
      </c>
      <c r="D1332" s="48" t="s">
        <v>321</v>
      </c>
      <c r="E1332" s="48" t="s">
        <v>87</v>
      </c>
      <c r="F1332" s="112">
        <f t="shared" ref="F1332:Q1332" si="967">IFERROR(F1326/F1321,"-")</f>
        <v>0</v>
      </c>
      <c r="G1332" s="112">
        <f t="shared" si="967"/>
        <v>0.2</v>
      </c>
      <c r="H1332" s="112">
        <f t="shared" si="967"/>
        <v>0.1</v>
      </c>
      <c r="I1332" s="112">
        <f t="shared" si="967"/>
        <v>0.125</v>
      </c>
      <c r="J1332" s="112">
        <f t="shared" si="967"/>
        <v>0.0909090909090909</v>
      </c>
      <c r="K1332" s="112">
        <f t="shared" si="967"/>
        <v>0.0714285714285714</v>
      </c>
      <c r="L1332" s="112">
        <f t="shared" si="967"/>
        <v>0.0625</v>
      </c>
      <c r="M1332" s="112">
        <f t="shared" si="967"/>
        <v>0.0588235294117647</v>
      </c>
      <c r="N1332" s="112">
        <f t="shared" si="967"/>
        <v>0.0571428571428571</v>
      </c>
      <c r="O1332" s="112">
        <f t="shared" si="967"/>
        <v>0.0526315789473684</v>
      </c>
      <c r="P1332" s="112">
        <f t="shared" si="967"/>
        <v>0.0476190476190476</v>
      </c>
      <c r="Q1332" s="112">
        <f t="shared" si="967"/>
        <v>0.0816326530612245</v>
      </c>
    </row>
    <row r="1333" ht="24" customHeight="1" spans="1:17">
      <c r="A1333" s="99" t="s">
        <v>348</v>
      </c>
      <c r="B1333" s="99" t="s">
        <v>299</v>
      </c>
      <c r="C1333" s="99" t="s">
        <v>316</v>
      </c>
      <c r="D1333" s="48" t="s">
        <v>321</v>
      </c>
      <c r="E1333" s="48" t="s">
        <v>83</v>
      </c>
      <c r="F1333" s="112">
        <f t="shared" ref="F1333:Q1333" si="968">IFERROR(F1327/F1321,"-")</f>
        <v>0</v>
      </c>
      <c r="G1333" s="112">
        <f t="shared" si="968"/>
        <v>0</v>
      </c>
      <c r="H1333" s="112">
        <f t="shared" si="968"/>
        <v>0</v>
      </c>
      <c r="I1333" s="112">
        <f t="shared" si="968"/>
        <v>0</v>
      </c>
      <c r="J1333" s="112">
        <f t="shared" si="968"/>
        <v>0</v>
      </c>
      <c r="K1333" s="112">
        <f t="shared" si="968"/>
        <v>0</v>
      </c>
      <c r="L1333" s="112">
        <f t="shared" si="968"/>
        <v>0</v>
      </c>
      <c r="M1333" s="112">
        <f t="shared" si="968"/>
        <v>0</v>
      </c>
      <c r="N1333" s="112">
        <f t="shared" si="968"/>
        <v>0</v>
      </c>
      <c r="O1333" s="112">
        <f t="shared" si="968"/>
        <v>0</v>
      </c>
      <c r="P1333" s="112">
        <f t="shared" si="968"/>
        <v>0</v>
      </c>
      <c r="Q1333" s="112">
        <f t="shared" si="968"/>
        <v>0.0204081632653061</v>
      </c>
    </row>
    <row r="1334" ht="24" customHeight="1" spans="1:17">
      <c r="A1334" s="99" t="s">
        <v>348</v>
      </c>
      <c r="B1334" s="99" t="s">
        <v>299</v>
      </c>
      <c r="C1334" s="99" t="s">
        <v>316</v>
      </c>
      <c r="D1334" s="47" t="s">
        <v>294</v>
      </c>
      <c r="E1334" s="47" t="s">
        <v>93</v>
      </c>
      <c r="F1334" s="106">
        <f t="shared" ref="F1334:F1338" si="969">F1238</f>
        <v>1</v>
      </c>
      <c r="G1334" s="106">
        <f t="shared" ref="G1334:Q1334" si="970">G1238+F1334</f>
        <v>3</v>
      </c>
      <c r="H1334" s="106">
        <f t="shared" si="970"/>
        <v>4</v>
      </c>
      <c r="I1334" s="106">
        <f t="shared" si="970"/>
        <v>6</v>
      </c>
      <c r="J1334" s="106">
        <f t="shared" si="970"/>
        <v>9</v>
      </c>
      <c r="K1334" s="106">
        <f t="shared" si="970"/>
        <v>12</v>
      </c>
      <c r="L1334" s="106">
        <f t="shared" si="970"/>
        <v>15</v>
      </c>
      <c r="M1334" s="106">
        <f t="shared" si="970"/>
        <v>16</v>
      </c>
      <c r="N1334" s="106">
        <f t="shared" si="970"/>
        <v>16</v>
      </c>
      <c r="O1334" s="106">
        <f t="shared" si="970"/>
        <v>18</v>
      </c>
      <c r="P1334" s="106">
        <f t="shared" si="970"/>
        <v>21</v>
      </c>
      <c r="Q1334" s="106">
        <f t="shared" si="970"/>
        <v>22</v>
      </c>
    </row>
    <row r="1335" ht="24" customHeight="1" spans="1:17">
      <c r="A1335" s="99" t="s">
        <v>348</v>
      </c>
      <c r="B1335" s="99" t="s">
        <v>299</v>
      </c>
      <c r="C1335" s="99" t="s">
        <v>316</v>
      </c>
      <c r="D1335" s="47" t="s">
        <v>294</v>
      </c>
      <c r="E1335" s="47" t="s">
        <v>85</v>
      </c>
      <c r="F1335" s="106">
        <f t="shared" si="969"/>
        <v>1</v>
      </c>
      <c r="G1335" s="106">
        <f t="shared" ref="G1335:Q1335" si="971">G1239+F1335</f>
        <v>2</v>
      </c>
      <c r="H1335" s="106">
        <f t="shared" si="971"/>
        <v>5</v>
      </c>
      <c r="I1335" s="106">
        <f t="shared" si="971"/>
        <v>7</v>
      </c>
      <c r="J1335" s="106">
        <f t="shared" si="971"/>
        <v>8</v>
      </c>
      <c r="K1335" s="106">
        <f t="shared" si="971"/>
        <v>9</v>
      </c>
      <c r="L1335" s="106">
        <f t="shared" si="971"/>
        <v>10</v>
      </c>
      <c r="M1335" s="106">
        <f t="shared" si="971"/>
        <v>10</v>
      </c>
      <c r="N1335" s="106">
        <f t="shared" si="971"/>
        <v>10</v>
      </c>
      <c r="O1335" s="106">
        <f t="shared" si="971"/>
        <v>11</v>
      </c>
      <c r="P1335" s="106">
        <f t="shared" si="971"/>
        <v>12</v>
      </c>
      <c r="Q1335" s="106">
        <f t="shared" si="971"/>
        <v>16</v>
      </c>
    </row>
    <row r="1336" ht="24" customHeight="1" spans="1:17">
      <c r="A1336" s="99" t="s">
        <v>348</v>
      </c>
      <c r="B1336" s="99" t="s">
        <v>299</v>
      </c>
      <c r="C1336" s="99" t="s">
        <v>316</v>
      </c>
      <c r="D1336" s="47" t="s">
        <v>294</v>
      </c>
      <c r="E1336" s="47" t="s">
        <v>81</v>
      </c>
      <c r="F1336" s="106">
        <f t="shared" si="969"/>
        <v>0</v>
      </c>
      <c r="G1336" s="106">
        <f t="shared" ref="G1336:Q1336" si="972">G1240+F1336</f>
        <v>0</v>
      </c>
      <c r="H1336" s="106">
        <f t="shared" si="972"/>
        <v>0</v>
      </c>
      <c r="I1336" s="106">
        <f t="shared" si="972"/>
        <v>1</v>
      </c>
      <c r="J1336" s="106">
        <f t="shared" si="972"/>
        <v>3</v>
      </c>
      <c r="K1336" s="106">
        <f t="shared" si="972"/>
        <v>4</v>
      </c>
      <c r="L1336" s="106">
        <f t="shared" si="972"/>
        <v>4</v>
      </c>
      <c r="M1336" s="106">
        <f t="shared" si="972"/>
        <v>5</v>
      </c>
      <c r="N1336" s="106">
        <f t="shared" si="972"/>
        <v>6</v>
      </c>
      <c r="O1336" s="106">
        <f t="shared" si="972"/>
        <v>6</v>
      </c>
      <c r="P1336" s="106">
        <f t="shared" si="972"/>
        <v>6</v>
      </c>
      <c r="Q1336" s="106">
        <f t="shared" si="972"/>
        <v>7</v>
      </c>
    </row>
    <row r="1337" ht="24" customHeight="1" spans="1:17">
      <c r="A1337" s="99" t="s">
        <v>348</v>
      </c>
      <c r="B1337" s="99" t="s">
        <v>299</v>
      </c>
      <c r="C1337" s="99" t="s">
        <v>316</v>
      </c>
      <c r="D1337" s="47" t="s">
        <v>294</v>
      </c>
      <c r="E1337" s="47" t="s">
        <v>96</v>
      </c>
      <c r="F1337" s="106">
        <f t="shared" si="969"/>
        <v>0</v>
      </c>
      <c r="G1337" s="106">
        <f t="shared" ref="G1337:Q1337" si="973">G1241+F1337</f>
        <v>0</v>
      </c>
      <c r="H1337" s="106">
        <f t="shared" si="973"/>
        <v>1</v>
      </c>
      <c r="I1337" s="106">
        <f t="shared" si="973"/>
        <v>2</v>
      </c>
      <c r="J1337" s="106">
        <f t="shared" si="973"/>
        <v>2</v>
      </c>
      <c r="K1337" s="106">
        <f t="shared" si="973"/>
        <v>3</v>
      </c>
      <c r="L1337" s="106">
        <f t="shared" si="973"/>
        <v>3</v>
      </c>
      <c r="M1337" s="106">
        <f t="shared" si="973"/>
        <v>3</v>
      </c>
      <c r="N1337" s="106">
        <f t="shared" si="973"/>
        <v>3</v>
      </c>
      <c r="O1337" s="106">
        <f t="shared" si="973"/>
        <v>3</v>
      </c>
      <c r="P1337" s="106">
        <f t="shared" si="973"/>
        <v>3</v>
      </c>
      <c r="Q1337" s="106">
        <f t="shared" si="973"/>
        <v>4</v>
      </c>
    </row>
    <row r="1338" ht="24" customHeight="1" spans="1:17">
      <c r="A1338" s="99" t="s">
        <v>348</v>
      </c>
      <c r="B1338" s="99" t="s">
        <v>299</v>
      </c>
      <c r="C1338" s="99" t="s">
        <v>316</v>
      </c>
      <c r="D1338" s="47" t="s">
        <v>294</v>
      </c>
      <c r="E1338" s="47" t="s">
        <v>160</v>
      </c>
      <c r="F1338" s="106">
        <f t="shared" si="969"/>
        <v>0</v>
      </c>
      <c r="G1338" s="106">
        <f t="shared" ref="G1338:Q1338" si="974">G1242+F1338</f>
        <v>0</v>
      </c>
      <c r="H1338" s="106">
        <f t="shared" si="974"/>
        <v>0</v>
      </c>
      <c r="I1338" s="106">
        <f t="shared" si="974"/>
        <v>0</v>
      </c>
      <c r="J1338" s="106">
        <f t="shared" si="974"/>
        <v>0</v>
      </c>
      <c r="K1338" s="106">
        <f t="shared" si="974"/>
        <v>0</v>
      </c>
      <c r="L1338" s="106">
        <f t="shared" si="974"/>
        <v>0</v>
      </c>
      <c r="M1338" s="106">
        <f t="shared" si="974"/>
        <v>0</v>
      </c>
      <c r="N1338" s="106">
        <f t="shared" si="974"/>
        <v>0</v>
      </c>
      <c r="O1338" s="106">
        <f t="shared" si="974"/>
        <v>0</v>
      </c>
      <c r="P1338" s="106">
        <f t="shared" si="974"/>
        <v>0</v>
      </c>
      <c r="Q1338" s="106">
        <f t="shared" si="974"/>
        <v>0</v>
      </c>
    </row>
    <row r="1339" ht="24" customHeight="1" spans="1:17">
      <c r="A1339" s="99" t="s">
        <v>348</v>
      </c>
      <c r="B1339" s="99" t="s">
        <v>299</v>
      </c>
      <c r="C1339" s="99" t="s">
        <v>316</v>
      </c>
      <c r="D1339" s="100" t="s">
        <v>292</v>
      </c>
      <c r="E1339" s="100" t="s">
        <v>322</v>
      </c>
      <c r="F1339" s="104">
        <f t="shared" ref="F1339:Q1339" si="975">SUM(F1340:F1342)</f>
        <v>1</v>
      </c>
      <c r="G1339" s="104">
        <f t="shared" si="975"/>
        <v>3</v>
      </c>
      <c r="H1339" s="104">
        <f t="shared" si="975"/>
        <v>8</v>
      </c>
      <c r="I1339" s="104">
        <f t="shared" si="975"/>
        <v>12</v>
      </c>
      <c r="J1339" s="104">
        <f t="shared" si="975"/>
        <v>18</v>
      </c>
      <c r="K1339" s="104">
        <f t="shared" si="975"/>
        <v>23</v>
      </c>
      <c r="L1339" s="104">
        <f t="shared" si="975"/>
        <v>27</v>
      </c>
      <c r="M1339" s="104">
        <f t="shared" si="975"/>
        <v>29</v>
      </c>
      <c r="N1339" s="104">
        <f t="shared" si="975"/>
        <v>30</v>
      </c>
      <c r="O1339" s="104">
        <f t="shared" si="975"/>
        <v>33</v>
      </c>
      <c r="P1339" s="104">
        <f t="shared" si="975"/>
        <v>36</v>
      </c>
      <c r="Q1339" s="104">
        <f t="shared" si="975"/>
        <v>43</v>
      </c>
    </row>
    <row r="1340" ht="24" customHeight="1" spans="1:17">
      <c r="A1340" s="99" t="s">
        <v>348</v>
      </c>
      <c r="B1340" s="99" t="s">
        <v>299</v>
      </c>
      <c r="C1340" s="99" t="s">
        <v>316</v>
      </c>
      <c r="D1340" s="48" t="s">
        <v>296</v>
      </c>
      <c r="E1340" s="48" t="s">
        <v>406</v>
      </c>
      <c r="F1340" s="105">
        <f t="shared" ref="F1340:F1342" si="976">F1262</f>
        <v>0</v>
      </c>
      <c r="G1340" s="105">
        <f t="shared" ref="G1340:Q1340" si="977">G1262+F1340</f>
        <v>2</v>
      </c>
      <c r="H1340" s="105">
        <f t="shared" si="977"/>
        <v>4</v>
      </c>
      <c r="I1340" s="105">
        <f t="shared" si="977"/>
        <v>6</v>
      </c>
      <c r="J1340" s="105">
        <f t="shared" si="977"/>
        <v>8</v>
      </c>
      <c r="K1340" s="105">
        <f t="shared" si="977"/>
        <v>11</v>
      </c>
      <c r="L1340" s="105">
        <f t="shared" si="977"/>
        <v>12</v>
      </c>
      <c r="M1340" s="105">
        <f t="shared" si="977"/>
        <v>12</v>
      </c>
      <c r="N1340" s="105">
        <f t="shared" si="977"/>
        <v>13</v>
      </c>
      <c r="O1340" s="105">
        <f t="shared" si="977"/>
        <v>13</v>
      </c>
      <c r="P1340" s="105">
        <f t="shared" si="977"/>
        <v>13</v>
      </c>
      <c r="Q1340" s="105">
        <f t="shared" si="977"/>
        <v>18</v>
      </c>
    </row>
    <row r="1341" ht="24" customHeight="1" spans="1:17">
      <c r="A1341" s="99" t="s">
        <v>348</v>
      </c>
      <c r="B1341" s="99" t="s">
        <v>299</v>
      </c>
      <c r="C1341" s="99" t="s">
        <v>316</v>
      </c>
      <c r="D1341" s="48" t="s">
        <v>296</v>
      </c>
      <c r="E1341" s="48" t="s">
        <v>82</v>
      </c>
      <c r="F1341" s="105">
        <f t="shared" si="976"/>
        <v>1</v>
      </c>
      <c r="G1341" s="105">
        <f t="shared" ref="G1341:Q1341" si="978">G1263+F1341</f>
        <v>1</v>
      </c>
      <c r="H1341" s="105">
        <f t="shared" si="978"/>
        <v>3</v>
      </c>
      <c r="I1341" s="105">
        <f t="shared" si="978"/>
        <v>4</v>
      </c>
      <c r="J1341" s="105">
        <f t="shared" si="978"/>
        <v>7</v>
      </c>
      <c r="K1341" s="105">
        <f t="shared" si="978"/>
        <v>8</v>
      </c>
      <c r="L1341" s="105">
        <f t="shared" si="978"/>
        <v>11</v>
      </c>
      <c r="M1341" s="105">
        <f t="shared" si="978"/>
        <v>11</v>
      </c>
      <c r="N1341" s="105">
        <f t="shared" si="978"/>
        <v>11</v>
      </c>
      <c r="O1341" s="105">
        <f t="shared" si="978"/>
        <v>12</v>
      </c>
      <c r="P1341" s="105">
        <f t="shared" si="978"/>
        <v>14</v>
      </c>
      <c r="Q1341" s="105">
        <f t="shared" si="978"/>
        <v>15</v>
      </c>
    </row>
    <row r="1342" ht="24" customHeight="1" spans="1:17">
      <c r="A1342" s="99" t="s">
        <v>348</v>
      </c>
      <c r="B1342" s="99" t="s">
        <v>299</v>
      </c>
      <c r="C1342" s="99" t="s">
        <v>316</v>
      </c>
      <c r="D1342" s="48" t="s">
        <v>296</v>
      </c>
      <c r="E1342" s="48" t="s">
        <v>86</v>
      </c>
      <c r="F1342" s="105">
        <f t="shared" si="976"/>
        <v>0</v>
      </c>
      <c r="G1342" s="105">
        <f t="shared" ref="G1342:Q1342" si="979">G1264+F1342</f>
        <v>0</v>
      </c>
      <c r="H1342" s="105">
        <f t="shared" si="979"/>
        <v>1</v>
      </c>
      <c r="I1342" s="105">
        <f t="shared" si="979"/>
        <v>2</v>
      </c>
      <c r="J1342" s="105">
        <f t="shared" si="979"/>
        <v>3</v>
      </c>
      <c r="K1342" s="105">
        <f t="shared" si="979"/>
        <v>4</v>
      </c>
      <c r="L1342" s="105">
        <f t="shared" si="979"/>
        <v>4</v>
      </c>
      <c r="M1342" s="105">
        <f t="shared" si="979"/>
        <v>6</v>
      </c>
      <c r="N1342" s="105">
        <f t="shared" si="979"/>
        <v>6</v>
      </c>
      <c r="O1342" s="105">
        <f t="shared" si="979"/>
        <v>8</v>
      </c>
      <c r="P1342" s="105">
        <f t="shared" si="979"/>
        <v>9</v>
      </c>
      <c r="Q1342" s="105">
        <f t="shared" si="979"/>
        <v>10</v>
      </c>
    </row>
    <row r="1343" ht="24" customHeight="1" spans="1:17">
      <c r="A1343" s="99" t="s">
        <v>348</v>
      </c>
      <c r="B1343" s="99" t="s">
        <v>299</v>
      </c>
      <c r="C1343" s="99" t="s">
        <v>316</v>
      </c>
      <c r="D1343" s="48" t="s">
        <v>323</v>
      </c>
      <c r="E1343" s="48" t="s">
        <v>406</v>
      </c>
      <c r="F1343" s="112">
        <f t="shared" ref="F1343:Q1343" si="980">IFERROR(F1340/F1339,"-")</f>
        <v>0</v>
      </c>
      <c r="G1343" s="112">
        <f t="shared" si="980"/>
        <v>0.666666666666667</v>
      </c>
      <c r="H1343" s="112">
        <f t="shared" si="980"/>
        <v>0.5</v>
      </c>
      <c r="I1343" s="112">
        <f t="shared" si="980"/>
        <v>0.5</v>
      </c>
      <c r="J1343" s="112">
        <f t="shared" si="980"/>
        <v>0.444444444444444</v>
      </c>
      <c r="K1343" s="112">
        <f t="shared" si="980"/>
        <v>0.478260869565217</v>
      </c>
      <c r="L1343" s="112">
        <f t="shared" si="980"/>
        <v>0.444444444444444</v>
      </c>
      <c r="M1343" s="112">
        <f t="shared" si="980"/>
        <v>0.413793103448276</v>
      </c>
      <c r="N1343" s="112">
        <f t="shared" si="980"/>
        <v>0.433333333333333</v>
      </c>
      <c r="O1343" s="112">
        <f t="shared" si="980"/>
        <v>0.393939393939394</v>
      </c>
      <c r="P1343" s="112">
        <f t="shared" si="980"/>
        <v>0.361111111111111</v>
      </c>
      <c r="Q1343" s="112">
        <f t="shared" si="980"/>
        <v>0.418604651162791</v>
      </c>
    </row>
    <row r="1344" ht="24" customHeight="1" spans="1:17">
      <c r="A1344" s="99" t="s">
        <v>348</v>
      </c>
      <c r="B1344" s="99" t="s">
        <v>299</v>
      </c>
      <c r="C1344" s="99" t="s">
        <v>316</v>
      </c>
      <c r="D1344" s="48" t="s">
        <v>323</v>
      </c>
      <c r="E1344" s="48" t="s">
        <v>82</v>
      </c>
      <c r="F1344" s="112">
        <f t="shared" ref="F1344:Q1344" si="981">IFERROR(F1341/F1339,"-")</f>
        <v>1</v>
      </c>
      <c r="G1344" s="112">
        <f t="shared" si="981"/>
        <v>0.333333333333333</v>
      </c>
      <c r="H1344" s="112">
        <f t="shared" si="981"/>
        <v>0.375</v>
      </c>
      <c r="I1344" s="112">
        <f t="shared" si="981"/>
        <v>0.333333333333333</v>
      </c>
      <c r="J1344" s="112">
        <f t="shared" si="981"/>
        <v>0.388888888888889</v>
      </c>
      <c r="K1344" s="112">
        <f t="shared" si="981"/>
        <v>0.347826086956522</v>
      </c>
      <c r="L1344" s="112">
        <f t="shared" si="981"/>
        <v>0.407407407407407</v>
      </c>
      <c r="M1344" s="112">
        <f t="shared" si="981"/>
        <v>0.379310344827586</v>
      </c>
      <c r="N1344" s="112">
        <f t="shared" si="981"/>
        <v>0.366666666666667</v>
      </c>
      <c r="O1344" s="112">
        <f t="shared" si="981"/>
        <v>0.363636363636364</v>
      </c>
      <c r="P1344" s="112">
        <f t="shared" si="981"/>
        <v>0.388888888888889</v>
      </c>
      <c r="Q1344" s="112">
        <f t="shared" si="981"/>
        <v>0.348837209302326</v>
      </c>
    </row>
    <row r="1345" ht="24" customHeight="1" spans="1:17">
      <c r="A1345" s="99" t="s">
        <v>348</v>
      </c>
      <c r="B1345" s="99" t="s">
        <v>299</v>
      </c>
      <c r="C1345" s="99" t="s">
        <v>316</v>
      </c>
      <c r="D1345" s="48" t="s">
        <v>323</v>
      </c>
      <c r="E1345" s="48" t="s">
        <v>86</v>
      </c>
      <c r="F1345" s="112">
        <f t="shared" ref="F1345:Q1345" si="982">IFERROR(F1342/F1339,"-")</f>
        <v>0</v>
      </c>
      <c r="G1345" s="112">
        <f t="shared" si="982"/>
        <v>0</v>
      </c>
      <c r="H1345" s="112">
        <f t="shared" si="982"/>
        <v>0.125</v>
      </c>
      <c r="I1345" s="112">
        <f t="shared" si="982"/>
        <v>0.166666666666667</v>
      </c>
      <c r="J1345" s="112">
        <f t="shared" si="982"/>
        <v>0.166666666666667</v>
      </c>
      <c r="K1345" s="112">
        <f t="shared" si="982"/>
        <v>0.173913043478261</v>
      </c>
      <c r="L1345" s="112">
        <f t="shared" si="982"/>
        <v>0.148148148148148</v>
      </c>
      <c r="M1345" s="112">
        <f t="shared" si="982"/>
        <v>0.206896551724138</v>
      </c>
      <c r="N1345" s="112">
        <f t="shared" si="982"/>
        <v>0.2</v>
      </c>
      <c r="O1345" s="112">
        <f t="shared" si="982"/>
        <v>0.242424242424242</v>
      </c>
      <c r="P1345" s="112">
        <f t="shared" si="982"/>
        <v>0.25</v>
      </c>
      <c r="Q1345" s="112">
        <f t="shared" si="982"/>
        <v>0.232558139534884</v>
      </c>
    </row>
    <row r="1346" ht="24" customHeight="1" spans="1:17">
      <c r="A1346" s="99" t="s">
        <v>348</v>
      </c>
      <c r="B1346" s="99" t="s">
        <v>299</v>
      </c>
      <c r="C1346" s="99" t="s">
        <v>316</v>
      </c>
      <c r="D1346" s="100" t="s">
        <v>292</v>
      </c>
      <c r="E1346" s="100" t="s">
        <v>324</v>
      </c>
      <c r="F1346" s="104">
        <f t="shared" ref="F1346:Q1346" si="983">SUM(F1347:F1349)</f>
        <v>2</v>
      </c>
      <c r="G1346" s="104">
        <f t="shared" si="983"/>
        <v>3</v>
      </c>
      <c r="H1346" s="104">
        <f t="shared" si="983"/>
        <v>4</v>
      </c>
      <c r="I1346" s="104">
        <f t="shared" si="983"/>
        <v>8</v>
      </c>
      <c r="J1346" s="104">
        <f t="shared" si="983"/>
        <v>11</v>
      </c>
      <c r="K1346" s="104">
        <f t="shared" si="983"/>
        <v>15</v>
      </c>
      <c r="L1346" s="104">
        <f t="shared" si="983"/>
        <v>16</v>
      </c>
      <c r="M1346" s="104">
        <f t="shared" si="983"/>
        <v>16</v>
      </c>
      <c r="N1346" s="104">
        <f t="shared" si="983"/>
        <v>16</v>
      </c>
      <c r="O1346" s="104">
        <f t="shared" si="983"/>
        <v>18</v>
      </c>
      <c r="P1346" s="104">
        <f t="shared" si="983"/>
        <v>21</v>
      </c>
      <c r="Q1346" s="104">
        <f t="shared" si="983"/>
        <v>25</v>
      </c>
    </row>
    <row r="1347" ht="24" customHeight="1" spans="1:17">
      <c r="A1347" s="99" t="s">
        <v>348</v>
      </c>
      <c r="B1347" s="99" t="s">
        <v>299</v>
      </c>
      <c r="C1347" s="99" t="s">
        <v>316</v>
      </c>
      <c r="D1347" s="48" t="s">
        <v>298</v>
      </c>
      <c r="E1347" s="48" t="s">
        <v>97</v>
      </c>
      <c r="F1347" s="105">
        <f t="shared" ref="F1347:F1349" si="984">F1266</f>
        <v>1</v>
      </c>
      <c r="G1347" s="105">
        <f t="shared" ref="G1347:Q1347" si="985">G1266+F1347</f>
        <v>1</v>
      </c>
      <c r="H1347" s="105">
        <f t="shared" si="985"/>
        <v>2</v>
      </c>
      <c r="I1347" s="105">
        <f t="shared" si="985"/>
        <v>3</v>
      </c>
      <c r="J1347" s="105">
        <f t="shared" si="985"/>
        <v>5</v>
      </c>
      <c r="K1347" s="105">
        <f t="shared" si="985"/>
        <v>9</v>
      </c>
      <c r="L1347" s="105">
        <f t="shared" si="985"/>
        <v>10</v>
      </c>
      <c r="M1347" s="105">
        <f t="shared" si="985"/>
        <v>10</v>
      </c>
      <c r="N1347" s="105">
        <f t="shared" si="985"/>
        <v>10</v>
      </c>
      <c r="O1347" s="105">
        <f t="shared" si="985"/>
        <v>11</v>
      </c>
      <c r="P1347" s="105">
        <f t="shared" si="985"/>
        <v>13</v>
      </c>
      <c r="Q1347" s="105">
        <f t="shared" si="985"/>
        <v>14</v>
      </c>
    </row>
    <row r="1348" ht="24" customHeight="1" spans="1:17">
      <c r="A1348" s="99" t="s">
        <v>348</v>
      </c>
      <c r="B1348" s="99" t="s">
        <v>299</v>
      </c>
      <c r="C1348" s="99" t="s">
        <v>316</v>
      </c>
      <c r="D1348" s="48" t="s">
        <v>298</v>
      </c>
      <c r="E1348" s="48" t="s">
        <v>87</v>
      </c>
      <c r="F1348" s="105">
        <f t="shared" si="984"/>
        <v>1</v>
      </c>
      <c r="G1348" s="105">
        <f t="shared" ref="G1348:Q1348" si="986">G1267+F1348</f>
        <v>2</v>
      </c>
      <c r="H1348" s="105">
        <f t="shared" si="986"/>
        <v>2</v>
      </c>
      <c r="I1348" s="105">
        <f t="shared" si="986"/>
        <v>5</v>
      </c>
      <c r="J1348" s="105">
        <f t="shared" si="986"/>
        <v>6</v>
      </c>
      <c r="K1348" s="105">
        <f t="shared" si="986"/>
        <v>6</v>
      </c>
      <c r="L1348" s="105">
        <f t="shared" si="986"/>
        <v>6</v>
      </c>
      <c r="M1348" s="105">
        <f t="shared" si="986"/>
        <v>6</v>
      </c>
      <c r="N1348" s="105">
        <f t="shared" si="986"/>
        <v>6</v>
      </c>
      <c r="O1348" s="105">
        <f t="shared" si="986"/>
        <v>7</v>
      </c>
      <c r="P1348" s="105">
        <f t="shared" si="986"/>
        <v>7</v>
      </c>
      <c r="Q1348" s="105">
        <f t="shared" si="986"/>
        <v>9</v>
      </c>
    </row>
    <row r="1349" ht="24" customHeight="1" spans="1:17">
      <c r="A1349" s="99" t="s">
        <v>348</v>
      </c>
      <c r="B1349" s="99" t="s">
        <v>299</v>
      </c>
      <c r="C1349" s="99" t="s">
        <v>316</v>
      </c>
      <c r="D1349" s="48" t="s">
        <v>298</v>
      </c>
      <c r="E1349" s="48" t="s">
        <v>83</v>
      </c>
      <c r="F1349" s="105">
        <f t="shared" si="984"/>
        <v>0</v>
      </c>
      <c r="G1349" s="105">
        <f t="shared" ref="G1349:Q1349" si="987">G1268+F1349</f>
        <v>0</v>
      </c>
      <c r="H1349" s="105">
        <f t="shared" si="987"/>
        <v>0</v>
      </c>
      <c r="I1349" s="105">
        <f t="shared" si="987"/>
        <v>0</v>
      </c>
      <c r="J1349" s="105">
        <f t="shared" si="987"/>
        <v>0</v>
      </c>
      <c r="K1349" s="105">
        <f t="shared" si="987"/>
        <v>0</v>
      </c>
      <c r="L1349" s="105">
        <f t="shared" si="987"/>
        <v>0</v>
      </c>
      <c r="M1349" s="105">
        <f t="shared" si="987"/>
        <v>0</v>
      </c>
      <c r="N1349" s="105">
        <f t="shared" si="987"/>
        <v>0</v>
      </c>
      <c r="O1349" s="105">
        <f t="shared" si="987"/>
        <v>0</v>
      </c>
      <c r="P1349" s="105">
        <f t="shared" si="987"/>
        <v>1</v>
      </c>
      <c r="Q1349" s="105">
        <f t="shared" si="987"/>
        <v>2</v>
      </c>
    </row>
    <row r="1350" ht="24" customHeight="1" spans="1:17">
      <c r="A1350" s="99" t="s">
        <v>348</v>
      </c>
      <c r="B1350" s="99" t="s">
        <v>299</v>
      </c>
      <c r="C1350" s="99" t="s">
        <v>316</v>
      </c>
      <c r="D1350" s="48" t="s">
        <v>325</v>
      </c>
      <c r="E1350" s="48" t="s">
        <v>97</v>
      </c>
      <c r="F1350" s="112">
        <f t="shared" ref="F1350:Q1350" si="988">IFERROR(F1347/F1346,"-")</f>
        <v>0.5</v>
      </c>
      <c r="G1350" s="112">
        <f t="shared" si="988"/>
        <v>0.333333333333333</v>
      </c>
      <c r="H1350" s="112">
        <f t="shared" si="988"/>
        <v>0.5</v>
      </c>
      <c r="I1350" s="112">
        <f t="shared" si="988"/>
        <v>0.375</v>
      </c>
      <c r="J1350" s="112">
        <f t="shared" si="988"/>
        <v>0.454545454545455</v>
      </c>
      <c r="K1350" s="112">
        <f t="shared" si="988"/>
        <v>0.6</v>
      </c>
      <c r="L1350" s="112">
        <f t="shared" si="988"/>
        <v>0.625</v>
      </c>
      <c r="M1350" s="112">
        <f t="shared" si="988"/>
        <v>0.625</v>
      </c>
      <c r="N1350" s="112">
        <f t="shared" si="988"/>
        <v>0.625</v>
      </c>
      <c r="O1350" s="112">
        <f t="shared" si="988"/>
        <v>0.611111111111111</v>
      </c>
      <c r="P1350" s="112">
        <f t="shared" si="988"/>
        <v>0.619047619047619</v>
      </c>
      <c r="Q1350" s="112">
        <f t="shared" si="988"/>
        <v>0.56</v>
      </c>
    </row>
    <row r="1351" ht="24" customHeight="1" spans="1:17">
      <c r="A1351" s="99" t="s">
        <v>348</v>
      </c>
      <c r="B1351" s="99" t="s">
        <v>299</v>
      </c>
      <c r="C1351" s="99" t="s">
        <v>316</v>
      </c>
      <c r="D1351" s="48" t="s">
        <v>325</v>
      </c>
      <c r="E1351" s="48" t="s">
        <v>87</v>
      </c>
      <c r="F1351" s="112">
        <f t="shared" ref="F1351:Q1351" si="989">IFERROR(F1348/F1346,"-")</f>
        <v>0.5</v>
      </c>
      <c r="G1351" s="112">
        <f t="shared" si="989"/>
        <v>0.666666666666667</v>
      </c>
      <c r="H1351" s="112">
        <f t="shared" si="989"/>
        <v>0.5</v>
      </c>
      <c r="I1351" s="112">
        <f t="shared" si="989"/>
        <v>0.625</v>
      </c>
      <c r="J1351" s="112">
        <f t="shared" si="989"/>
        <v>0.545454545454545</v>
      </c>
      <c r="K1351" s="112">
        <f t="shared" si="989"/>
        <v>0.4</v>
      </c>
      <c r="L1351" s="112">
        <f t="shared" si="989"/>
        <v>0.375</v>
      </c>
      <c r="M1351" s="112">
        <f t="shared" si="989"/>
        <v>0.375</v>
      </c>
      <c r="N1351" s="112">
        <f t="shared" si="989"/>
        <v>0.375</v>
      </c>
      <c r="O1351" s="112">
        <f t="shared" si="989"/>
        <v>0.388888888888889</v>
      </c>
      <c r="P1351" s="112">
        <f t="shared" si="989"/>
        <v>0.333333333333333</v>
      </c>
      <c r="Q1351" s="112">
        <f t="shared" si="989"/>
        <v>0.36</v>
      </c>
    </row>
    <row r="1352" ht="24" customHeight="1" spans="1:17">
      <c r="A1352" s="99" t="s">
        <v>348</v>
      </c>
      <c r="B1352" s="99" t="s">
        <v>299</v>
      </c>
      <c r="C1352" s="99" t="s">
        <v>316</v>
      </c>
      <c r="D1352" s="48" t="s">
        <v>325</v>
      </c>
      <c r="E1352" s="48" t="s">
        <v>83</v>
      </c>
      <c r="F1352" s="112">
        <f t="shared" ref="F1352:Q1352" si="990">IFERROR(F1349/F1346,"-")</f>
        <v>0</v>
      </c>
      <c r="G1352" s="112">
        <f t="shared" si="990"/>
        <v>0</v>
      </c>
      <c r="H1352" s="112">
        <f t="shared" si="990"/>
        <v>0</v>
      </c>
      <c r="I1352" s="112">
        <f t="shared" si="990"/>
        <v>0</v>
      </c>
      <c r="J1352" s="112">
        <f t="shared" si="990"/>
        <v>0</v>
      </c>
      <c r="K1352" s="112">
        <f t="shared" si="990"/>
        <v>0</v>
      </c>
      <c r="L1352" s="112">
        <f t="shared" si="990"/>
        <v>0</v>
      </c>
      <c r="M1352" s="112">
        <f t="shared" si="990"/>
        <v>0</v>
      </c>
      <c r="N1352" s="112">
        <f t="shared" si="990"/>
        <v>0</v>
      </c>
      <c r="O1352" s="112">
        <f t="shared" si="990"/>
        <v>0</v>
      </c>
      <c r="P1352" s="112">
        <f t="shared" si="990"/>
        <v>0.0476190476190476</v>
      </c>
      <c r="Q1352" s="112">
        <f t="shared" si="990"/>
        <v>0.08</v>
      </c>
    </row>
    <row r="1353" ht="24" customHeight="1" spans="1:17">
      <c r="A1353" s="99" t="s">
        <v>348</v>
      </c>
      <c r="B1353" s="99" t="s">
        <v>299</v>
      </c>
      <c r="C1353" s="99" t="s">
        <v>316</v>
      </c>
      <c r="D1353" s="100" t="s">
        <v>292</v>
      </c>
      <c r="E1353" s="53" t="s">
        <v>326</v>
      </c>
      <c r="F1353" s="111">
        <f>IF((F1243-F1356-F1357-F1358-F1359-F1360)&lt;&gt;0,"ERR",F1243)</f>
        <v>2</v>
      </c>
      <c r="G1353" s="111">
        <f t="shared" ref="G1353:Q1353" si="991">IF((G1243+F1353-G1356-G1357-G1358-G1359-G1360)&lt;&gt;0,"ERR",G1243+F1353)</f>
        <v>5</v>
      </c>
      <c r="H1353" s="111">
        <f t="shared" si="991"/>
        <v>10</v>
      </c>
      <c r="I1353" s="111">
        <f t="shared" si="991"/>
        <v>14</v>
      </c>
      <c r="J1353" s="111">
        <f t="shared" si="991"/>
        <v>16</v>
      </c>
      <c r="K1353" s="111">
        <f t="shared" si="991"/>
        <v>21</v>
      </c>
      <c r="L1353" s="111">
        <f t="shared" si="991"/>
        <v>22</v>
      </c>
      <c r="M1353" s="111">
        <f t="shared" si="991"/>
        <v>24</v>
      </c>
      <c r="N1353" s="111">
        <f t="shared" si="991"/>
        <v>25</v>
      </c>
      <c r="O1353" s="111">
        <f t="shared" si="991"/>
        <v>27</v>
      </c>
      <c r="P1353" s="111">
        <f t="shared" si="991"/>
        <v>31</v>
      </c>
      <c r="Q1353" s="111">
        <f t="shared" si="991"/>
        <v>36</v>
      </c>
    </row>
    <row r="1354" ht="24" customHeight="1" spans="1:17">
      <c r="A1354" s="99" t="s">
        <v>348</v>
      </c>
      <c r="B1354" s="99" t="s">
        <v>299</v>
      </c>
      <c r="C1354" s="99" t="s">
        <v>316</v>
      </c>
      <c r="D1354" s="100" t="s">
        <v>292</v>
      </c>
      <c r="E1354" s="53" t="s">
        <v>327</v>
      </c>
      <c r="F1354" s="111">
        <f>IF((F1244-F1361-F1362-F1363-F1364-F1365)&lt;&gt;0,"ERR",F1244)</f>
        <v>0</v>
      </c>
      <c r="G1354" s="111">
        <f t="shared" ref="G1354:Q1354" si="992">IF((G1244+F1354-G1361-G1362-G1363-G1364-G1365)&lt;&gt;0,"ERR",G1244+F1354)</f>
        <v>0</v>
      </c>
      <c r="H1354" s="111">
        <f t="shared" si="992"/>
        <v>0</v>
      </c>
      <c r="I1354" s="111">
        <f t="shared" si="992"/>
        <v>2</v>
      </c>
      <c r="J1354" s="111">
        <f t="shared" si="992"/>
        <v>6</v>
      </c>
      <c r="K1354" s="111">
        <f t="shared" si="992"/>
        <v>7</v>
      </c>
      <c r="L1354" s="111">
        <f t="shared" si="992"/>
        <v>9</v>
      </c>
      <c r="M1354" s="111">
        <f t="shared" si="992"/>
        <v>9</v>
      </c>
      <c r="N1354" s="111">
        <f t="shared" si="992"/>
        <v>9</v>
      </c>
      <c r="O1354" s="111">
        <f t="shared" si="992"/>
        <v>10</v>
      </c>
      <c r="P1354" s="111">
        <f t="shared" si="992"/>
        <v>10</v>
      </c>
      <c r="Q1354" s="111">
        <f t="shared" si="992"/>
        <v>11</v>
      </c>
    </row>
    <row r="1355" ht="24" customHeight="1" spans="1:17">
      <c r="A1355" s="99" t="s">
        <v>348</v>
      </c>
      <c r="B1355" s="99" t="s">
        <v>299</v>
      </c>
      <c r="C1355" s="99" t="s">
        <v>316</v>
      </c>
      <c r="D1355" s="100" t="s">
        <v>292</v>
      </c>
      <c r="E1355" s="53" t="s">
        <v>328</v>
      </c>
      <c r="F1355" s="111">
        <f>IF((F1245-F1366-F1367-F1368-F1369-F1370)&lt;&gt;0,"ERR",F1245)</f>
        <v>0</v>
      </c>
      <c r="G1355" s="111">
        <f t="shared" ref="G1355:Q1355" si="993">IF((G1245+F1355-G1366-G1367-G1368-G1369-G1370)&lt;&gt;0,"ERR",G1245+F1355)</f>
        <v>0</v>
      </c>
      <c r="H1355" s="111">
        <f t="shared" si="993"/>
        <v>0</v>
      </c>
      <c r="I1355" s="111">
        <f t="shared" si="993"/>
        <v>0</v>
      </c>
      <c r="J1355" s="111">
        <f t="shared" si="993"/>
        <v>0</v>
      </c>
      <c r="K1355" s="111">
        <f t="shared" si="993"/>
        <v>0</v>
      </c>
      <c r="L1355" s="111">
        <f t="shared" si="993"/>
        <v>1</v>
      </c>
      <c r="M1355" s="111">
        <f t="shared" si="993"/>
        <v>1</v>
      </c>
      <c r="N1355" s="111">
        <f t="shared" si="993"/>
        <v>1</v>
      </c>
      <c r="O1355" s="111">
        <f t="shared" si="993"/>
        <v>1</v>
      </c>
      <c r="P1355" s="111">
        <f t="shared" si="993"/>
        <v>1</v>
      </c>
      <c r="Q1355" s="111">
        <f t="shared" si="993"/>
        <v>2</v>
      </c>
    </row>
    <row r="1356" ht="24" customHeight="1" spans="1:17">
      <c r="A1356" s="99" t="s">
        <v>348</v>
      </c>
      <c r="B1356" s="99" t="s">
        <v>299</v>
      </c>
      <c r="C1356" s="99" t="s">
        <v>316</v>
      </c>
      <c r="D1356" s="53" t="s">
        <v>326</v>
      </c>
      <c r="E1356" s="53" t="s">
        <v>93</v>
      </c>
      <c r="F1356" s="111">
        <f t="shared" ref="F1356:F1370" si="994">F1246</f>
        <v>1</v>
      </c>
      <c r="G1356" s="111">
        <f t="shared" ref="G1356:Q1356" si="995">G1246+F1356</f>
        <v>3</v>
      </c>
      <c r="H1356" s="111">
        <f t="shared" si="995"/>
        <v>4</v>
      </c>
      <c r="I1356" s="111">
        <f t="shared" si="995"/>
        <v>5</v>
      </c>
      <c r="J1356" s="111">
        <f t="shared" si="995"/>
        <v>6</v>
      </c>
      <c r="K1356" s="111">
        <f t="shared" si="995"/>
        <v>9</v>
      </c>
      <c r="L1356" s="111">
        <f t="shared" si="995"/>
        <v>10</v>
      </c>
      <c r="M1356" s="111">
        <f t="shared" si="995"/>
        <v>11</v>
      </c>
      <c r="N1356" s="111">
        <f t="shared" si="995"/>
        <v>11</v>
      </c>
      <c r="O1356" s="111">
        <f t="shared" si="995"/>
        <v>13</v>
      </c>
      <c r="P1356" s="111">
        <f t="shared" si="995"/>
        <v>16</v>
      </c>
      <c r="Q1356" s="111">
        <f t="shared" si="995"/>
        <v>17</v>
      </c>
    </row>
    <row r="1357" ht="24" customHeight="1" spans="1:17">
      <c r="A1357" s="99" t="s">
        <v>348</v>
      </c>
      <c r="B1357" s="99" t="s">
        <v>299</v>
      </c>
      <c r="C1357" s="99" t="s">
        <v>316</v>
      </c>
      <c r="D1357" s="53" t="s">
        <v>326</v>
      </c>
      <c r="E1357" s="53" t="s">
        <v>85</v>
      </c>
      <c r="F1357" s="111">
        <f t="shared" si="994"/>
        <v>1</v>
      </c>
      <c r="G1357" s="111">
        <f t="shared" ref="G1357:Q1357" si="996">G1247+F1357</f>
        <v>2</v>
      </c>
      <c r="H1357" s="111">
        <f t="shared" si="996"/>
        <v>5</v>
      </c>
      <c r="I1357" s="111">
        <f t="shared" si="996"/>
        <v>7</v>
      </c>
      <c r="J1357" s="111">
        <f t="shared" si="996"/>
        <v>8</v>
      </c>
      <c r="K1357" s="111">
        <f t="shared" si="996"/>
        <v>9</v>
      </c>
      <c r="L1357" s="111">
        <f t="shared" si="996"/>
        <v>9</v>
      </c>
      <c r="M1357" s="111">
        <f t="shared" si="996"/>
        <v>9</v>
      </c>
      <c r="N1357" s="111">
        <f t="shared" si="996"/>
        <v>9</v>
      </c>
      <c r="O1357" s="111">
        <f t="shared" si="996"/>
        <v>9</v>
      </c>
      <c r="P1357" s="111">
        <f t="shared" si="996"/>
        <v>10</v>
      </c>
      <c r="Q1357" s="111">
        <f t="shared" si="996"/>
        <v>13</v>
      </c>
    </row>
    <row r="1358" ht="24" customHeight="1" spans="1:17">
      <c r="A1358" s="99" t="s">
        <v>348</v>
      </c>
      <c r="B1358" s="99" t="s">
        <v>299</v>
      </c>
      <c r="C1358" s="99" t="s">
        <v>316</v>
      </c>
      <c r="D1358" s="53" t="s">
        <v>326</v>
      </c>
      <c r="E1358" s="53" t="s">
        <v>81</v>
      </c>
      <c r="F1358" s="111">
        <f t="shared" si="994"/>
        <v>0</v>
      </c>
      <c r="G1358" s="111">
        <f t="shared" ref="G1358:Q1358" si="997">G1248+F1358</f>
        <v>0</v>
      </c>
      <c r="H1358" s="111">
        <f t="shared" si="997"/>
        <v>0</v>
      </c>
      <c r="I1358" s="111">
        <f t="shared" si="997"/>
        <v>0</v>
      </c>
      <c r="J1358" s="111">
        <f t="shared" si="997"/>
        <v>0</v>
      </c>
      <c r="K1358" s="111">
        <f t="shared" si="997"/>
        <v>0</v>
      </c>
      <c r="L1358" s="111">
        <f t="shared" si="997"/>
        <v>0</v>
      </c>
      <c r="M1358" s="111">
        <f t="shared" si="997"/>
        <v>1</v>
      </c>
      <c r="N1358" s="111">
        <f t="shared" si="997"/>
        <v>2</v>
      </c>
      <c r="O1358" s="111">
        <f t="shared" si="997"/>
        <v>2</v>
      </c>
      <c r="P1358" s="111">
        <f t="shared" si="997"/>
        <v>2</v>
      </c>
      <c r="Q1358" s="111">
        <f t="shared" si="997"/>
        <v>3</v>
      </c>
    </row>
    <row r="1359" ht="24" customHeight="1" spans="1:17">
      <c r="A1359" s="99" t="s">
        <v>348</v>
      </c>
      <c r="B1359" s="99" t="s">
        <v>299</v>
      </c>
      <c r="C1359" s="99" t="s">
        <v>316</v>
      </c>
      <c r="D1359" s="53" t="s">
        <v>326</v>
      </c>
      <c r="E1359" s="53" t="s">
        <v>96</v>
      </c>
      <c r="F1359" s="111">
        <f t="shared" si="994"/>
        <v>0</v>
      </c>
      <c r="G1359" s="111">
        <f t="shared" ref="G1359:Q1359" si="998">G1249+F1359</f>
        <v>0</v>
      </c>
      <c r="H1359" s="111">
        <f t="shared" si="998"/>
        <v>1</v>
      </c>
      <c r="I1359" s="111">
        <f t="shared" si="998"/>
        <v>2</v>
      </c>
      <c r="J1359" s="111">
        <f t="shared" si="998"/>
        <v>2</v>
      </c>
      <c r="K1359" s="111">
        <f t="shared" si="998"/>
        <v>3</v>
      </c>
      <c r="L1359" s="111">
        <f t="shared" si="998"/>
        <v>3</v>
      </c>
      <c r="M1359" s="111">
        <f t="shared" si="998"/>
        <v>3</v>
      </c>
      <c r="N1359" s="111">
        <f t="shared" si="998"/>
        <v>3</v>
      </c>
      <c r="O1359" s="111">
        <f t="shared" si="998"/>
        <v>3</v>
      </c>
      <c r="P1359" s="111">
        <f t="shared" si="998"/>
        <v>3</v>
      </c>
      <c r="Q1359" s="111">
        <f t="shared" si="998"/>
        <v>3</v>
      </c>
    </row>
    <row r="1360" ht="24" customHeight="1" spans="1:17">
      <c r="A1360" s="99" t="s">
        <v>348</v>
      </c>
      <c r="B1360" s="99" t="s">
        <v>299</v>
      </c>
      <c r="C1360" s="99" t="s">
        <v>316</v>
      </c>
      <c r="D1360" s="53" t="s">
        <v>326</v>
      </c>
      <c r="E1360" s="53" t="s">
        <v>160</v>
      </c>
      <c r="F1360" s="111">
        <f t="shared" si="994"/>
        <v>0</v>
      </c>
      <c r="G1360" s="111">
        <f t="shared" ref="G1360:Q1360" si="999">G1250+F1360</f>
        <v>0</v>
      </c>
      <c r="H1360" s="111">
        <f t="shared" si="999"/>
        <v>0</v>
      </c>
      <c r="I1360" s="111">
        <f t="shared" si="999"/>
        <v>0</v>
      </c>
      <c r="J1360" s="111">
        <f t="shared" si="999"/>
        <v>0</v>
      </c>
      <c r="K1360" s="111">
        <f t="shared" si="999"/>
        <v>0</v>
      </c>
      <c r="L1360" s="111">
        <f t="shared" si="999"/>
        <v>0</v>
      </c>
      <c r="M1360" s="111">
        <f t="shared" si="999"/>
        <v>0</v>
      </c>
      <c r="N1360" s="111">
        <f t="shared" si="999"/>
        <v>0</v>
      </c>
      <c r="O1360" s="111">
        <f t="shared" si="999"/>
        <v>0</v>
      </c>
      <c r="P1360" s="111">
        <f t="shared" si="999"/>
        <v>0</v>
      </c>
      <c r="Q1360" s="111">
        <f t="shared" si="999"/>
        <v>0</v>
      </c>
    </row>
    <row r="1361" ht="24" customHeight="1" spans="1:17">
      <c r="A1361" s="99" t="s">
        <v>348</v>
      </c>
      <c r="B1361" s="99" t="s">
        <v>299</v>
      </c>
      <c r="C1361" s="99" t="s">
        <v>316</v>
      </c>
      <c r="D1361" s="53" t="s">
        <v>327</v>
      </c>
      <c r="E1361" s="53" t="s">
        <v>93</v>
      </c>
      <c r="F1361" s="111">
        <f t="shared" si="994"/>
        <v>0</v>
      </c>
      <c r="G1361" s="111">
        <f t="shared" ref="G1361:Q1361" si="1000">G1251+F1361</f>
        <v>0</v>
      </c>
      <c r="H1361" s="111">
        <f t="shared" si="1000"/>
        <v>0</v>
      </c>
      <c r="I1361" s="111">
        <f t="shared" si="1000"/>
        <v>1</v>
      </c>
      <c r="J1361" s="111">
        <f t="shared" si="1000"/>
        <v>3</v>
      </c>
      <c r="K1361" s="111">
        <f t="shared" si="1000"/>
        <v>3</v>
      </c>
      <c r="L1361" s="111">
        <f t="shared" si="1000"/>
        <v>4</v>
      </c>
      <c r="M1361" s="111">
        <f t="shared" si="1000"/>
        <v>4</v>
      </c>
      <c r="N1361" s="111">
        <f t="shared" si="1000"/>
        <v>4</v>
      </c>
      <c r="O1361" s="111">
        <f t="shared" si="1000"/>
        <v>4</v>
      </c>
      <c r="P1361" s="111">
        <f t="shared" si="1000"/>
        <v>4</v>
      </c>
      <c r="Q1361" s="111">
        <f t="shared" si="1000"/>
        <v>4</v>
      </c>
    </row>
    <row r="1362" ht="24" customHeight="1" spans="1:17">
      <c r="A1362" s="99" t="s">
        <v>348</v>
      </c>
      <c r="B1362" s="99" t="s">
        <v>299</v>
      </c>
      <c r="C1362" s="99" t="s">
        <v>316</v>
      </c>
      <c r="D1362" s="53" t="s">
        <v>327</v>
      </c>
      <c r="E1362" s="53" t="s">
        <v>85</v>
      </c>
      <c r="F1362" s="111">
        <f t="shared" si="994"/>
        <v>0</v>
      </c>
      <c r="G1362" s="111">
        <f t="shared" ref="G1362:Q1362" si="1001">G1252+F1362</f>
        <v>0</v>
      </c>
      <c r="H1362" s="111">
        <f t="shared" si="1001"/>
        <v>0</v>
      </c>
      <c r="I1362" s="111">
        <f t="shared" si="1001"/>
        <v>0</v>
      </c>
      <c r="J1362" s="111">
        <f t="shared" si="1001"/>
        <v>0</v>
      </c>
      <c r="K1362" s="111">
        <f t="shared" si="1001"/>
        <v>0</v>
      </c>
      <c r="L1362" s="111">
        <f t="shared" si="1001"/>
        <v>1</v>
      </c>
      <c r="M1362" s="111">
        <f t="shared" si="1001"/>
        <v>1</v>
      </c>
      <c r="N1362" s="111">
        <f t="shared" si="1001"/>
        <v>1</v>
      </c>
      <c r="O1362" s="111">
        <f t="shared" si="1001"/>
        <v>2</v>
      </c>
      <c r="P1362" s="111">
        <f t="shared" si="1001"/>
        <v>2</v>
      </c>
      <c r="Q1362" s="111">
        <f t="shared" si="1001"/>
        <v>3</v>
      </c>
    </row>
    <row r="1363" ht="24" customHeight="1" spans="1:17">
      <c r="A1363" s="99" t="s">
        <v>348</v>
      </c>
      <c r="B1363" s="99" t="s">
        <v>299</v>
      </c>
      <c r="C1363" s="99" t="s">
        <v>316</v>
      </c>
      <c r="D1363" s="53" t="s">
        <v>327</v>
      </c>
      <c r="E1363" s="53" t="s">
        <v>81</v>
      </c>
      <c r="F1363" s="111">
        <f t="shared" si="994"/>
        <v>0</v>
      </c>
      <c r="G1363" s="111">
        <f t="shared" ref="G1363:Q1363" si="1002">G1253+F1363</f>
        <v>0</v>
      </c>
      <c r="H1363" s="111">
        <f t="shared" si="1002"/>
        <v>0</v>
      </c>
      <c r="I1363" s="111">
        <f t="shared" si="1002"/>
        <v>1</v>
      </c>
      <c r="J1363" s="111">
        <f t="shared" si="1002"/>
        <v>3</v>
      </c>
      <c r="K1363" s="111">
        <f t="shared" si="1002"/>
        <v>4</v>
      </c>
      <c r="L1363" s="111">
        <f t="shared" si="1002"/>
        <v>4</v>
      </c>
      <c r="M1363" s="111">
        <f t="shared" si="1002"/>
        <v>4</v>
      </c>
      <c r="N1363" s="111">
        <f t="shared" si="1002"/>
        <v>4</v>
      </c>
      <c r="O1363" s="111">
        <f t="shared" si="1002"/>
        <v>4</v>
      </c>
      <c r="P1363" s="111">
        <f t="shared" si="1002"/>
        <v>4</v>
      </c>
      <c r="Q1363" s="111">
        <f t="shared" si="1002"/>
        <v>4</v>
      </c>
    </row>
    <row r="1364" ht="24" customHeight="1" spans="1:17">
      <c r="A1364" s="99" t="s">
        <v>348</v>
      </c>
      <c r="B1364" s="99" t="s">
        <v>299</v>
      </c>
      <c r="C1364" s="99" t="s">
        <v>316</v>
      </c>
      <c r="D1364" s="53" t="s">
        <v>327</v>
      </c>
      <c r="E1364" s="53" t="s">
        <v>96</v>
      </c>
      <c r="F1364" s="111">
        <f t="shared" si="994"/>
        <v>0</v>
      </c>
      <c r="G1364" s="111">
        <f t="shared" ref="G1364:Q1364" si="1003">G1254+F1364</f>
        <v>0</v>
      </c>
      <c r="H1364" s="111">
        <f t="shared" si="1003"/>
        <v>0</v>
      </c>
      <c r="I1364" s="111">
        <f t="shared" si="1003"/>
        <v>0</v>
      </c>
      <c r="J1364" s="111">
        <f t="shared" si="1003"/>
        <v>0</v>
      </c>
      <c r="K1364" s="111">
        <f t="shared" si="1003"/>
        <v>0</v>
      </c>
      <c r="L1364" s="111">
        <f t="shared" si="1003"/>
        <v>0</v>
      </c>
      <c r="M1364" s="111">
        <f t="shared" si="1003"/>
        <v>0</v>
      </c>
      <c r="N1364" s="111">
        <f t="shared" si="1003"/>
        <v>0</v>
      </c>
      <c r="O1364" s="111">
        <f t="shared" si="1003"/>
        <v>0</v>
      </c>
      <c r="P1364" s="111">
        <f t="shared" si="1003"/>
        <v>0</v>
      </c>
      <c r="Q1364" s="111">
        <f t="shared" si="1003"/>
        <v>0</v>
      </c>
    </row>
    <row r="1365" ht="24" customHeight="1" spans="1:17">
      <c r="A1365" s="99" t="s">
        <v>348</v>
      </c>
      <c r="B1365" s="99" t="s">
        <v>299</v>
      </c>
      <c r="C1365" s="99" t="s">
        <v>316</v>
      </c>
      <c r="D1365" s="53" t="s">
        <v>327</v>
      </c>
      <c r="E1365" s="53" t="s">
        <v>160</v>
      </c>
      <c r="F1365" s="111">
        <f t="shared" si="994"/>
        <v>0</v>
      </c>
      <c r="G1365" s="111">
        <f t="shared" ref="G1365:Q1365" si="1004">G1255+F1365</f>
        <v>0</v>
      </c>
      <c r="H1365" s="111">
        <f t="shared" si="1004"/>
        <v>0</v>
      </c>
      <c r="I1365" s="111">
        <f t="shared" si="1004"/>
        <v>0</v>
      </c>
      <c r="J1365" s="111">
        <f t="shared" si="1004"/>
        <v>0</v>
      </c>
      <c r="K1365" s="111">
        <f t="shared" si="1004"/>
        <v>0</v>
      </c>
      <c r="L1365" s="111">
        <f t="shared" si="1004"/>
        <v>0</v>
      </c>
      <c r="M1365" s="111">
        <f t="shared" si="1004"/>
        <v>0</v>
      </c>
      <c r="N1365" s="111">
        <f t="shared" si="1004"/>
        <v>0</v>
      </c>
      <c r="O1365" s="111">
        <f t="shared" si="1004"/>
        <v>0</v>
      </c>
      <c r="P1365" s="111">
        <f t="shared" si="1004"/>
        <v>0</v>
      </c>
      <c r="Q1365" s="111">
        <f t="shared" si="1004"/>
        <v>0</v>
      </c>
    </row>
    <row r="1366" ht="24" customHeight="1" spans="1:17">
      <c r="A1366" s="99" t="s">
        <v>348</v>
      </c>
      <c r="B1366" s="99" t="s">
        <v>299</v>
      </c>
      <c r="C1366" s="99" t="s">
        <v>316</v>
      </c>
      <c r="D1366" s="53" t="s">
        <v>328</v>
      </c>
      <c r="E1366" s="53" t="s">
        <v>93</v>
      </c>
      <c r="F1366" s="111">
        <f t="shared" si="994"/>
        <v>0</v>
      </c>
      <c r="G1366" s="111">
        <f t="shared" ref="G1366:Q1366" si="1005">G1256+F1366</f>
        <v>0</v>
      </c>
      <c r="H1366" s="111">
        <f t="shared" si="1005"/>
        <v>0</v>
      </c>
      <c r="I1366" s="111">
        <f t="shared" si="1005"/>
        <v>0</v>
      </c>
      <c r="J1366" s="111">
        <f t="shared" si="1005"/>
        <v>0</v>
      </c>
      <c r="K1366" s="111">
        <f t="shared" si="1005"/>
        <v>0</v>
      </c>
      <c r="L1366" s="111">
        <f t="shared" si="1005"/>
        <v>1</v>
      </c>
      <c r="M1366" s="111">
        <f t="shared" si="1005"/>
        <v>1</v>
      </c>
      <c r="N1366" s="111">
        <f t="shared" si="1005"/>
        <v>1</v>
      </c>
      <c r="O1366" s="111">
        <f t="shared" si="1005"/>
        <v>1</v>
      </c>
      <c r="P1366" s="111">
        <f t="shared" si="1005"/>
        <v>1</v>
      </c>
      <c r="Q1366" s="111">
        <f t="shared" si="1005"/>
        <v>1</v>
      </c>
    </row>
    <row r="1367" ht="24" customHeight="1" spans="1:17">
      <c r="A1367" s="99" t="s">
        <v>348</v>
      </c>
      <c r="B1367" s="99" t="s">
        <v>299</v>
      </c>
      <c r="C1367" s="99" t="s">
        <v>316</v>
      </c>
      <c r="D1367" s="53" t="s">
        <v>328</v>
      </c>
      <c r="E1367" s="53" t="s">
        <v>85</v>
      </c>
      <c r="F1367" s="111">
        <f t="shared" si="994"/>
        <v>0</v>
      </c>
      <c r="G1367" s="111">
        <f t="shared" ref="G1367:Q1367" si="1006">G1257+F1367</f>
        <v>0</v>
      </c>
      <c r="H1367" s="111">
        <f t="shared" si="1006"/>
        <v>0</v>
      </c>
      <c r="I1367" s="111">
        <f t="shared" si="1006"/>
        <v>0</v>
      </c>
      <c r="J1367" s="111">
        <f t="shared" si="1006"/>
        <v>0</v>
      </c>
      <c r="K1367" s="111">
        <f t="shared" si="1006"/>
        <v>0</v>
      </c>
      <c r="L1367" s="111">
        <f t="shared" si="1006"/>
        <v>0</v>
      </c>
      <c r="M1367" s="111">
        <f t="shared" si="1006"/>
        <v>0</v>
      </c>
      <c r="N1367" s="111">
        <f t="shared" si="1006"/>
        <v>0</v>
      </c>
      <c r="O1367" s="111">
        <f t="shared" si="1006"/>
        <v>0</v>
      </c>
      <c r="P1367" s="111">
        <f t="shared" si="1006"/>
        <v>0</v>
      </c>
      <c r="Q1367" s="111">
        <f t="shared" si="1006"/>
        <v>0</v>
      </c>
    </row>
    <row r="1368" ht="24" customHeight="1" spans="1:17">
      <c r="A1368" s="99" t="s">
        <v>348</v>
      </c>
      <c r="B1368" s="99" t="s">
        <v>299</v>
      </c>
      <c r="C1368" s="99" t="s">
        <v>316</v>
      </c>
      <c r="D1368" s="53" t="s">
        <v>328</v>
      </c>
      <c r="E1368" s="53" t="s">
        <v>81</v>
      </c>
      <c r="F1368" s="111">
        <f t="shared" si="994"/>
        <v>0</v>
      </c>
      <c r="G1368" s="111">
        <f t="shared" ref="G1368:Q1368" si="1007">G1258+F1368</f>
        <v>0</v>
      </c>
      <c r="H1368" s="111">
        <f t="shared" si="1007"/>
        <v>0</v>
      </c>
      <c r="I1368" s="111">
        <f t="shared" si="1007"/>
        <v>0</v>
      </c>
      <c r="J1368" s="111">
        <f t="shared" si="1007"/>
        <v>0</v>
      </c>
      <c r="K1368" s="111">
        <f t="shared" si="1007"/>
        <v>0</v>
      </c>
      <c r="L1368" s="111">
        <f t="shared" si="1007"/>
        <v>0</v>
      </c>
      <c r="M1368" s="111">
        <f t="shared" si="1007"/>
        <v>0</v>
      </c>
      <c r="N1368" s="111">
        <f t="shared" si="1007"/>
        <v>0</v>
      </c>
      <c r="O1368" s="111">
        <f t="shared" si="1007"/>
        <v>0</v>
      </c>
      <c r="P1368" s="111">
        <f t="shared" si="1007"/>
        <v>0</v>
      </c>
      <c r="Q1368" s="111">
        <f t="shared" si="1007"/>
        <v>0</v>
      </c>
    </row>
    <row r="1369" ht="24" customHeight="1" spans="1:17">
      <c r="A1369" s="99" t="s">
        <v>348</v>
      </c>
      <c r="B1369" s="99" t="s">
        <v>299</v>
      </c>
      <c r="C1369" s="99" t="s">
        <v>316</v>
      </c>
      <c r="D1369" s="53" t="s">
        <v>328</v>
      </c>
      <c r="E1369" s="53" t="s">
        <v>96</v>
      </c>
      <c r="F1369" s="111">
        <f t="shared" si="994"/>
        <v>0</v>
      </c>
      <c r="G1369" s="111">
        <f t="shared" ref="G1369:Q1369" si="1008">G1259+F1369</f>
        <v>0</v>
      </c>
      <c r="H1369" s="111">
        <f t="shared" si="1008"/>
        <v>0</v>
      </c>
      <c r="I1369" s="111">
        <f t="shared" si="1008"/>
        <v>0</v>
      </c>
      <c r="J1369" s="111">
        <f t="shared" si="1008"/>
        <v>0</v>
      </c>
      <c r="K1369" s="111">
        <f t="shared" si="1008"/>
        <v>0</v>
      </c>
      <c r="L1369" s="111">
        <f t="shared" si="1008"/>
        <v>0</v>
      </c>
      <c r="M1369" s="111">
        <f t="shared" si="1008"/>
        <v>0</v>
      </c>
      <c r="N1369" s="111">
        <f t="shared" si="1008"/>
        <v>0</v>
      </c>
      <c r="O1369" s="111">
        <f t="shared" si="1008"/>
        <v>0</v>
      </c>
      <c r="P1369" s="111">
        <f t="shared" si="1008"/>
        <v>0</v>
      </c>
      <c r="Q1369" s="111">
        <f t="shared" si="1008"/>
        <v>1</v>
      </c>
    </row>
    <row r="1370" ht="24" customHeight="1" spans="1:17">
      <c r="A1370" s="99" t="s">
        <v>348</v>
      </c>
      <c r="B1370" s="99" t="s">
        <v>299</v>
      </c>
      <c r="C1370" s="99" t="s">
        <v>316</v>
      </c>
      <c r="D1370" s="53" t="s">
        <v>328</v>
      </c>
      <c r="E1370" s="53" t="s">
        <v>160</v>
      </c>
      <c r="F1370" s="111">
        <f t="shared" si="994"/>
        <v>0</v>
      </c>
      <c r="G1370" s="111">
        <f t="shared" ref="G1370:Q1370" si="1009">G1260+F1370</f>
        <v>0</v>
      </c>
      <c r="H1370" s="111">
        <f t="shared" si="1009"/>
        <v>0</v>
      </c>
      <c r="I1370" s="111">
        <f t="shared" si="1009"/>
        <v>0</v>
      </c>
      <c r="J1370" s="111">
        <f t="shared" si="1009"/>
        <v>0</v>
      </c>
      <c r="K1370" s="111">
        <f t="shared" si="1009"/>
        <v>0</v>
      </c>
      <c r="L1370" s="111">
        <f t="shared" si="1009"/>
        <v>0</v>
      </c>
      <c r="M1370" s="111">
        <f t="shared" si="1009"/>
        <v>0</v>
      </c>
      <c r="N1370" s="111">
        <f t="shared" si="1009"/>
        <v>0</v>
      </c>
      <c r="O1370" s="111">
        <f t="shared" si="1009"/>
        <v>0</v>
      </c>
      <c r="P1370" s="111">
        <f t="shared" si="1009"/>
        <v>0</v>
      </c>
      <c r="Q1370" s="111">
        <f t="shared" si="1009"/>
        <v>0</v>
      </c>
    </row>
    <row r="1371" ht="24" customHeight="1" spans="1:17">
      <c r="A1371" s="99" t="s">
        <v>348</v>
      </c>
      <c r="B1371" s="99" t="s">
        <v>299</v>
      </c>
      <c r="C1371" s="99" t="s">
        <v>329</v>
      </c>
      <c r="D1371" s="113" t="s">
        <v>292</v>
      </c>
      <c r="E1371" s="113" t="s">
        <v>330</v>
      </c>
      <c r="F1371" s="115">
        <f t="shared" ref="F1371:Q1371" si="1010">IF(F1301=0,"",F1321/F1301)</f>
        <v>0.4</v>
      </c>
      <c r="G1371" s="115">
        <f t="shared" si="1010"/>
        <v>0.555555555555556</v>
      </c>
      <c r="H1371" s="115">
        <f t="shared" si="1010"/>
        <v>0.555555555555556</v>
      </c>
      <c r="I1371" s="115">
        <f t="shared" si="1010"/>
        <v>0.727272727272727</v>
      </c>
      <c r="J1371" s="115">
        <f t="shared" si="1010"/>
        <v>0.88</v>
      </c>
      <c r="K1371" s="115">
        <f t="shared" si="1010"/>
        <v>0.933333333333333</v>
      </c>
      <c r="L1371" s="115">
        <f t="shared" si="1010"/>
        <v>0.96969696969697</v>
      </c>
      <c r="M1371" s="115">
        <f t="shared" si="1010"/>
        <v>1</v>
      </c>
      <c r="N1371" s="115">
        <f t="shared" si="1010"/>
        <v>0.945945945945946</v>
      </c>
      <c r="O1371" s="115">
        <f t="shared" si="1010"/>
        <v>0.904761904761905</v>
      </c>
      <c r="P1371" s="115">
        <f t="shared" si="1010"/>
        <v>0.875</v>
      </c>
      <c r="Q1371" s="115">
        <f t="shared" si="1010"/>
        <v>1</v>
      </c>
    </row>
    <row r="1372" ht="24" customHeight="1" spans="1:17">
      <c r="A1372" s="99" t="s">
        <v>348</v>
      </c>
      <c r="B1372" s="99" t="s">
        <v>299</v>
      </c>
      <c r="C1372" s="99" t="s">
        <v>329</v>
      </c>
      <c r="D1372" s="48" t="s">
        <v>296</v>
      </c>
      <c r="E1372" s="116" t="s">
        <v>406</v>
      </c>
      <c r="F1372" s="117">
        <f t="shared" ref="F1372:Q1372" si="1011">IF(F1302=0,"",F1322/F1302)</f>
        <v>0</v>
      </c>
      <c r="G1372" s="117">
        <f t="shared" si="1011"/>
        <v>0.5</v>
      </c>
      <c r="H1372" s="117">
        <f t="shared" si="1011"/>
        <v>0.571428571428571</v>
      </c>
      <c r="I1372" s="117">
        <f t="shared" si="1011"/>
        <v>0.75</v>
      </c>
      <c r="J1372" s="117">
        <f t="shared" si="1011"/>
        <v>1</v>
      </c>
      <c r="K1372" s="117">
        <f t="shared" si="1011"/>
        <v>0.916666666666667</v>
      </c>
      <c r="L1372" s="117">
        <f t="shared" si="1011"/>
        <v>1</v>
      </c>
      <c r="M1372" s="117">
        <f t="shared" si="1011"/>
        <v>1</v>
      </c>
      <c r="N1372" s="117">
        <f t="shared" si="1011"/>
        <v>1</v>
      </c>
      <c r="O1372" s="117">
        <f t="shared" si="1011"/>
        <v>1</v>
      </c>
      <c r="P1372" s="117">
        <f t="shared" si="1011"/>
        <v>0.866666666666667</v>
      </c>
      <c r="Q1372" s="117">
        <f t="shared" si="1011"/>
        <v>1</v>
      </c>
    </row>
    <row r="1373" ht="24" customHeight="1" spans="1:17">
      <c r="A1373" s="99" t="s">
        <v>348</v>
      </c>
      <c r="B1373" s="99" t="s">
        <v>299</v>
      </c>
      <c r="C1373" s="99" t="s">
        <v>329</v>
      </c>
      <c r="D1373" s="48" t="s">
        <v>296</v>
      </c>
      <c r="E1373" s="116" t="s">
        <v>82</v>
      </c>
      <c r="F1373" s="117">
        <f t="shared" ref="F1373:Q1373" si="1012">IF(F1303=0,"",F1323/F1303)</f>
        <v>1</v>
      </c>
      <c r="G1373" s="117">
        <f t="shared" si="1012"/>
        <v>0.333333333333333</v>
      </c>
      <c r="H1373" s="117">
        <f t="shared" si="1012"/>
        <v>0.6</v>
      </c>
      <c r="I1373" s="117">
        <f t="shared" si="1012"/>
        <v>0.5</v>
      </c>
      <c r="J1373" s="117">
        <f t="shared" si="1012"/>
        <v>0.875</v>
      </c>
      <c r="K1373" s="117">
        <f t="shared" si="1012"/>
        <v>0.888888888888889</v>
      </c>
      <c r="L1373" s="117">
        <f t="shared" si="1012"/>
        <v>1</v>
      </c>
      <c r="M1373" s="117">
        <f t="shared" si="1012"/>
        <v>1</v>
      </c>
      <c r="N1373" s="117">
        <f t="shared" si="1012"/>
        <v>0.909090909090909</v>
      </c>
      <c r="O1373" s="117">
        <f t="shared" si="1012"/>
        <v>0.846153846153846</v>
      </c>
      <c r="P1373" s="117">
        <f t="shared" si="1012"/>
        <v>1</v>
      </c>
      <c r="Q1373" s="117">
        <f t="shared" si="1012"/>
        <v>1</v>
      </c>
    </row>
    <row r="1374" ht="24" customHeight="1" spans="1:17">
      <c r="A1374" s="99" t="s">
        <v>348</v>
      </c>
      <c r="B1374" s="99" t="s">
        <v>299</v>
      </c>
      <c r="C1374" s="99" t="s">
        <v>329</v>
      </c>
      <c r="D1374" s="48" t="s">
        <v>296</v>
      </c>
      <c r="E1374" s="116" t="s">
        <v>86</v>
      </c>
      <c r="F1374" s="117" t="str">
        <f t="shared" ref="F1374:Q1374" si="1013">IF(F1304=0,"",F1324/F1304)</f>
        <v/>
      </c>
      <c r="G1374" s="117" t="str">
        <f t="shared" si="1013"/>
        <v/>
      </c>
      <c r="H1374" s="117">
        <f t="shared" si="1013"/>
        <v>0.5</v>
      </c>
      <c r="I1374" s="117">
        <f t="shared" si="1013"/>
        <v>1</v>
      </c>
      <c r="J1374" s="117">
        <f t="shared" si="1013"/>
        <v>0.75</v>
      </c>
      <c r="K1374" s="117">
        <f t="shared" si="1013"/>
        <v>1</v>
      </c>
      <c r="L1374" s="117">
        <f t="shared" si="1013"/>
        <v>0.8</v>
      </c>
      <c r="M1374" s="117">
        <f t="shared" si="1013"/>
        <v>1</v>
      </c>
      <c r="N1374" s="117">
        <f t="shared" si="1013"/>
        <v>0.857142857142857</v>
      </c>
      <c r="O1374" s="117">
        <f t="shared" si="1013"/>
        <v>0.888888888888889</v>
      </c>
      <c r="P1374" s="117">
        <f t="shared" si="1013"/>
        <v>0.9</v>
      </c>
      <c r="Q1374" s="117">
        <f t="shared" si="1013"/>
        <v>1</v>
      </c>
    </row>
    <row r="1375" ht="24" customHeight="1" spans="1:17">
      <c r="A1375" s="99" t="s">
        <v>348</v>
      </c>
      <c r="B1375" s="99" t="s">
        <v>299</v>
      </c>
      <c r="C1375" s="99" t="s">
        <v>329</v>
      </c>
      <c r="D1375" s="48" t="s">
        <v>298</v>
      </c>
      <c r="E1375" s="116" t="s">
        <v>97</v>
      </c>
      <c r="F1375" s="117">
        <f t="shared" ref="F1375:Q1375" si="1014">IF(F1305=0,"",F1325/F1305)</f>
        <v>1</v>
      </c>
      <c r="G1375" s="117">
        <f t="shared" si="1014"/>
        <v>1</v>
      </c>
      <c r="H1375" s="117">
        <f t="shared" si="1014"/>
        <v>0.5</v>
      </c>
      <c r="I1375" s="117">
        <f t="shared" si="1014"/>
        <v>1</v>
      </c>
      <c r="J1375" s="117">
        <f t="shared" si="1014"/>
        <v>0.666666666666667</v>
      </c>
      <c r="K1375" s="117">
        <f t="shared" si="1014"/>
        <v>1</v>
      </c>
      <c r="L1375" s="117">
        <f t="shared" si="1014"/>
        <v>1</v>
      </c>
      <c r="M1375" s="117">
        <f t="shared" si="1014"/>
        <v>1</v>
      </c>
      <c r="N1375" s="117">
        <f t="shared" si="1014"/>
        <v>1</v>
      </c>
      <c r="O1375" s="117">
        <f t="shared" si="1014"/>
        <v>0.8</v>
      </c>
      <c r="P1375" s="117">
        <f t="shared" si="1014"/>
        <v>1</v>
      </c>
      <c r="Q1375" s="117">
        <f t="shared" si="1014"/>
        <v>1</v>
      </c>
    </row>
    <row r="1376" ht="24" customHeight="1" spans="1:17">
      <c r="A1376" s="99" t="s">
        <v>348</v>
      </c>
      <c r="B1376" s="99" t="s">
        <v>299</v>
      </c>
      <c r="C1376" s="99" t="s">
        <v>329</v>
      </c>
      <c r="D1376" s="48" t="s">
        <v>298</v>
      </c>
      <c r="E1376" s="116" t="s">
        <v>87</v>
      </c>
      <c r="F1376" s="117">
        <f t="shared" ref="F1376:Q1376" si="1015">IF(F1306=0,"",F1326/F1306)</f>
        <v>0</v>
      </c>
      <c r="G1376" s="117">
        <f t="shared" si="1015"/>
        <v>1</v>
      </c>
      <c r="H1376" s="117">
        <f t="shared" si="1015"/>
        <v>0.5</v>
      </c>
      <c r="I1376" s="117">
        <f t="shared" si="1015"/>
        <v>1</v>
      </c>
      <c r="J1376" s="117">
        <f t="shared" si="1015"/>
        <v>1</v>
      </c>
      <c r="K1376" s="117">
        <f t="shared" si="1015"/>
        <v>1</v>
      </c>
      <c r="L1376" s="117">
        <f t="shared" si="1015"/>
        <v>1</v>
      </c>
      <c r="M1376" s="117">
        <f t="shared" si="1015"/>
        <v>1</v>
      </c>
      <c r="N1376" s="117">
        <f t="shared" si="1015"/>
        <v>1</v>
      </c>
      <c r="O1376" s="117">
        <f t="shared" si="1015"/>
        <v>1</v>
      </c>
      <c r="P1376" s="117">
        <f t="shared" si="1015"/>
        <v>0.5</v>
      </c>
      <c r="Q1376" s="117">
        <f t="shared" si="1015"/>
        <v>1</v>
      </c>
    </row>
    <row r="1377" ht="24" customHeight="1" spans="1:17">
      <c r="A1377" s="99" t="s">
        <v>348</v>
      </c>
      <c r="B1377" s="99" t="s">
        <v>299</v>
      </c>
      <c r="C1377" s="99" t="s">
        <v>329</v>
      </c>
      <c r="D1377" s="48" t="s">
        <v>298</v>
      </c>
      <c r="E1377" s="116" t="s">
        <v>83</v>
      </c>
      <c r="F1377" s="117" t="str">
        <f t="shared" ref="F1377:Q1377" si="1016">IF(F1307=0,"",F1327/F1307)</f>
        <v/>
      </c>
      <c r="G1377" s="117" t="str">
        <f t="shared" si="1016"/>
        <v/>
      </c>
      <c r="H1377" s="117" t="str">
        <f t="shared" si="1016"/>
        <v/>
      </c>
      <c r="I1377" s="117" t="str">
        <f t="shared" si="1016"/>
        <v/>
      </c>
      <c r="J1377" s="117" t="str">
        <f t="shared" si="1016"/>
        <v/>
      </c>
      <c r="K1377" s="117" t="str">
        <f t="shared" si="1016"/>
        <v/>
      </c>
      <c r="L1377" s="117" t="str">
        <f t="shared" si="1016"/>
        <v/>
      </c>
      <c r="M1377" s="117" t="str">
        <f t="shared" si="1016"/>
        <v/>
      </c>
      <c r="N1377" s="117" t="str">
        <f t="shared" si="1016"/>
        <v/>
      </c>
      <c r="O1377" s="117" t="str">
        <f t="shared" si="1016"/>
        <v/>
      </c>
      <c r="P1377" s="117">
        <f t="shared" si="1016"/>
        <v>0</v>
      </c>
      <c r="Q1377" s="117">
        <f t="shared" si="1016"/>
        <v>1</v>
      </c>
    </row>
    <row r="1378" ht="24" customHeight="1" spans="1:17">
      <c r="A1378" s="99" t="s">
        <v>348</v>
      </c>
      <c r="B1378" s="99" t="s">
        <v>299</v>
      </c>
      <c r="C1378" s="99" t="s">
        <v>329</v>
      </c>
      <c r="D1378" s="47" t="s">
        <v>294</v>
      </c>
      <c r="E1378" s="118" t="s">
        <v>93</v>
      </c>
      <c r="F1378" s="119">
        <f t="shared" ref="F1378:Q1378" si="1017">IF(F1308=0,"",F1334/F1308)</f>
        <v>0.5</v>
      </c>
      <c r="G1378" s="119">
        <f t="shared" si="1017"/>
        <v>1</v>
      </c>
      <c r="H1378" s="119">
        <f t="shared" si="1017"/>
        <v>0.666666666666667</v>
      </c>
      <c r="I1378" s="119">
        <f t="shared" si="1017"/>
        <v>0.6</v>
      </c>
      <c r="J1378" s="119">
        <f t="shared" si="1017"/>
        <v>0.818181818181818</v>
      </c>
      <c r="K1378" s="119">
        <f t="shared" si="1017"/>
        <v>0.923076923076923</v>
      </c>
      <c r="L1378" s="119">
        <f t="shared" si="1017"/>
        <v>1</v>
      </c>
      <c r="M1378" s="119">
        <f t="shared" si="1017"/>
        <v>1</v>
      </c>
      <c r="N1378" s="119">
        <f t="shared" si="1017"/>
        <v>0.941176470588235</v>
      </c>
      <c r="O1378" s="119">
        <f t="shared" si="1017"/>
        <v>0.857142857142857</v>
      </c>
      <c r="P1378" s="119">
        <f t="shared" si="1017"/>
        <v>0.954545454545455</v>
      </c>
      <c r="Q1378" s="119">
        <f t="shared" si="1017"/>
        <v>1</v>
      </c>
    </row>
    <row r="1379" ht="24" customHeight="1" spans="1:17">
      <c r="A1379" s="99" t="s">
        <v>348</v>
      </c>
      <c r="B1379" s="99" t="s">
        <v>299</v>
      </c>
      <c r="C1379" s="99" t="s">
        <v>329</v>
      </c>
      <c r="D1379" s="47" t="s">
        <v>294</v>
      </c>
      <c r="E1379" s="118" t="s">
        <v>85</v>
      </c>
      <c r="F1379" s="119">
        <f t="shared" ref="F1379:Q1379" si="1018">IF(F1309=0,"",F1335/F1309)</f>
        <v>0.5</v>
      </c>
      <c r="G1379" s="119">
        <f t="shared" si="1018"/>
        <v>0.4</v>
      </c>
      <c r="H1379" s="119">
        <f t="shared" si="1018"/>
        <v>0.714285714285714</v>
      </c>
      <c r="I1379" s="119">
        <f t="shared" si="1018"/>
        <v>1</v>
      </c>
      <c r="J1379" s="119">
        <f t="shared" si="1018"/>
        <v>0.888888888888889</v>
      </c>
      <c r="K1379" s="119">
        <f t="shared" si="1018"/>
        <v>0.9</v>
      </c>
      <c r="L1379" s="119">
        <f t="shared" si="1018"/>
        <v>1</v>
      </c>
      <c r="M1379" s="119">
        <f t="shared" si="1018"/>
        <v>1</v>
      </c>
      <c r="N1379" s="119">
        <f t="shared" si="1018"/>
        <v>0.909090909090909</v>
      </c>
      <c r="O1379" s="119">
        <f t="shared" si="1018"/>
        <v>0.916666666666667</v>
      </c>
      <c r="P1379" s="119">
        <f t="shared" si="1018"/>
        <v>0.8</v>
      </c>
      <c r="Q1379" s="119">
        <f t="shared" si="1018"/>
        <v>1</v>
      </c>
    </row>
    <row r="1380" ht="24" customHeight="1" spans="1:17">
      <c r="A1380" s="99" t="s">
        <v>348</v>
      </c>
      <c r="B1380" s="99" t="s">
        <v>299</v>
      </c>
      <c r="C1380" s="99" t="s">
        <v>329</v>
      </c>
      <c r="D1380" s="47" t="s">
        <v>294</v>
      </c>
      <c r="E1380" s="118" t="s">
        <v>81</v>
      </c>
      <c r="F1380" s="119">
        <f t="shared" ref="F1380:Q1380" si="1019">IF(F1310=0,"",F1336/F1310)</f>
        <v>0</v>
      </c>
      <c r="G1380" s="119">
        <f t="shared" si="1019"/>
        <v>0</v>
      </c>
      <c r="H1380" s="119">
        <f t="shared" si="1019"/>
        <v>0</v>
      </c>
      <c r="I1380" s="119">
        <f t="shared" si="1019"/>
        <v>0.333333333333333</v>
      </c>
      <c r="J1380" s="119">
        <f t="shared" si="1019"/>
        <v>1</v>
      </c>
      <c r="K1380" s="119">
        <f t="shared" si="1019"/>
        <v>1</v>
      </c>
      <c r="L1380" s="119">
        <f t="shared" si="1019"/>
        <v>0.8</v>
      </c>
      <c r="M1380" s="119">
        <f t="shared" si="1019"/>
        <v>1</v>
      </c>
      <c r="N1380" s="119">
        <f t="shared" si="1019"/>
        <v>1</v>
      </c>
      <c r="O1380" s="119">
        <f t="shared" si="1019"/>
        <v>1</v>
      </c>
      <c r="P1380" s="119">
        <f t="shared" si="1019"/>
        <v>0.857142857142857</v>
      </c>
      <c r="Q1380" s="119">
        <f t="shared" si="1019"/>
        <v>1</v>
      </c>
    </row>
    <row r="1381" ht="24" customHeight="1" spans="1:17">
      <c r="A1381" s="99" t="s">
        <v>348</v>
      </c>
      <c r="B1381" s="99" t="s">
        <v>299</v>
      </c>
      <c r="C1381" s="99" t="s">
        <v>329</v>
      </c>
      <c r="D1381" s="47" t="s">
        <v>294</v>
      </c>
      <c r="E1381" s="118" t="s">
        <v>96</v>
      </c>
      <c r="F1381" s="119" t="str">
        <f t="shared" ref="F1381:Q1381" si="1020">IF(F1311=0,"",F1337/F1311)</f>
        <v/>
      </c>
      <c r="G1381" s="119" t="str">
        <f t="shared" si="1020"/>
        <v/>
      </c>
      <c r="H1381" s="119">
        <f t="shared" si="1020"/>
        <v>0.5</v>
      </c>
      <c r="I1381" s="119">
        <f t="shared" si="1020"/>
        <v>1</v>
      </c>
      <c r="J1381" s="119">
        <f t="shared" si="1020"/>
        <v>1</v>
      </c>
      <c r="K1381" s="119">
        <f t="shared" si="1020"/>
        <v>1</v>
      </c>
      <c r="L1381" s="119">
        <f t="shared" si="1020"/>
        <v>1</v>
      </c>
      <c r="M1381" s="119">
        <f t="shared" si="1020"/>
        <v>1</v>
      </c>
      <c r="N1381" s="119">
        <f t="shared" si="1020"/>
        <v>1</v>
      </c>
      <c r="O1381" s="119">
        <f t="shared" si="1020"/>
        <v>1</v>
      </c>
      <c r="P1381" s="119">
        <f t="shared" si="1020"/>
        <v>0.75</v>
      </c>
      <c r="Q1381" s="119">
        <f t="shared" si="1020"/>
        <v>1</v>
      </c>
    </row>
    <row r="1382" ht="24" customHeight="1" spans="1:17">
      <c r="A1382" s="99" t="s">
        <v>348</v>
      </c>
      <c r="B1382" s="99" t="s">
        <v>299</v>
      </c>
      <c r="C1382" s="99" t="s">
        <v>329</v>
      </c>
      <c r="D1382" s="47" t="s">
        <v>294</v>
      </c>
      <c r="E1382" s="118" t="s">
        <v>160</v>
      </c>
      <c r="F1382" s="119" t="str">
        <f t="shared" ref="F1382:Q1382" si="1021">IF(F1312=0,"",F1338/F1312)</f>
        <v/>
      </c>
      <c r="G1382" s="119" t="str">
        <f t="shared" si="1021"/>
        <v/>
      </c>
      <c r="H1382" s="119" t="str">
        <f t="shared" si="1021"/>
        <v/>
      </c>
      <c r="I1382" s="119" t="str">
        <f t="shared" si="1021"/>
        <v/>
      </c>
      <c r="J1382" s="119" t="str">
        <f t="shared" si="1021"/>
        <v/>
      </c>
      <c r="K1382" s="119" t="str">
        <f t="shared" si="1021"/>
        <v/>
      </c>
      <c r="L1382" s="119" t="str">
        <f t="shared" si="1021"/>
        <v/>
      </c>
      <c r="M1382" s="119" t="str">
        <f t="shared" si="1021"/>
        <v/>
      </c>
      <c r="N1382" s="119" t="str">
        <f t="shared" si="1021"/>
        <v/>
      </c>
      <c r="O1382" s="119" t="str">
        <f t="shared" si="1021"/>
        <v/>
      </c>
      <c r="P1382" s="119" t="str">
        <f t="shared" si="1021"/>
        <v/>
      </c>
      <c r="Q1382" s="119" t="str">
        <f t="shared" si="1021"/>
        <v/>
      </c>
    </row>
    <row r="1383" ht="24" customHeight="1" spans="1:17">
      <c r="A1383" s="99" t="s">
        <v>348</v>
      </c>
      <c r="B1383" s="99" t="s">
        <v>299</v>
      </c>
      <c r="C1383" s="99" t="s">
        <v>329</v>
      </c>
      <c r="D1383" s="113" t="s">
        <v>292</v>
      </c>
      <c r="E1383" s="113" t="s">
        <v>331</v>
      </c>
      <c r="F1383" s="115">
        <f t="shared" ref="F1383:Q1383" si="1022">IF(F1313=0,"",F1339/F1313)</f>
        <v>0.333333333333333</v>
      </c>
      <c r="G1383" s="115">
        <f t="shared" si="1022"/>
        <v>0.428571428571429</v>
      </c>
      <c r="H1383" s="115">
        <f t="shared" si="1022"/>
        <v>0.571428571428571</v>
      </c>
      <c r="I1383" s="115">
        <f t="shared" si="1022"/>
        <v>0.666666666666667</v>
      </c>
      <c r="J1383" s="115">
        <f t="shared" si="1022"/>
        <v>0.9</v>
      </c>
      <c r="K1383" s="115">
        <f t="shared" si="1022"/>
        <v>0.92</v>
      </c>
      <c r="L1383" s="115">
        <f t="shared" si="1022"/>
        <v>0.964285714285714</v>
      </c>
      <c r="M1383" s="115">
        <f t="shared" si="1022"/>
        <v>1</v>
      </c>
      <c r="N1383" s="115">
        <f t="shared" si="1022"/>
        <v>0.9375</v>
      </c>
      <c r="O1383" s="115">
        <f t="shared" si="1022"/>
        <v>0.916666666666667</v>
      </c>
      <c r="P1383" s="115">
        <f t="shared" si="1022"/>
        <v>0.857142857142857</v>
      </c>
      <c r="Q1383" s="115">
        <f t="shared" si="1022"/>
        <v>1</v>
      </c>
    </row>
    <row r="1384" ht="24" customHeight="1" spans="1:17">
      <c r="A1384" s="99" t="s">
        <v>348</v>
      </c>
      <c r="B1384" s="99" t="s">
        <v>299</v>
      </c>
      <c r="C1384" s="99" t="s">
        <v>329</v>
      </c>
      <c r="D1384" s="48" t="s">
        <v>296</v>
      </c>
      <c r="E1384" s="116" t="s">
        <v>406</v>
      </c>
      <c r="F1384" s="117">
        <f t="shared" ref="F1384:Q1384" si="1023">IF(F1314=0,"",F1340/F1314)</f>
        <v>0</v>
      </c>
      <c r="G1384" s="117">
        <f t="shared" si="1023"/>
        <v>0.5</v>
      </c>
      <c r="H1384" s="117">
        <f t="shared" si="1023"/>
        <v>0.571428571428571</v>
      </c>
      <c r="I1384" s="117">
        <f t="shared" si="1023"/>
        <v>0.75</v>
      </c>
      <c r="J1384" s="117">
        <f t="shared" si="1023"/>
        <v>1</v>
      </c>
      <c r="K1384" s="117">
        <f t="shared" si="1023"/>
        <v>0.916666666666667</v>
      </c>
      <c r="L1384" s="117">
        <f t="shared" si="1023"/>
        <v>1</v>
      </c>
      <c r="M1384" s="117">
        <f t="shared" si="1023"/>
        <v>1</v>
      </c>
      <c r="N1384" s="117">
        <f t="shared" si="1023"/>
        <v>1</v>
      </c>
      <c r="O1384" s="117">
        <f t="shared" si="1023"/>
        <v>1</v>
      </c>
      <c r="P1384" s="117">
        <f t="shared" si="1023"/>
        <v>0.764705882352941</v>
      </c>
      <c r="Q1384" s="117">
        <f t="shared" si="1023"/>
        <v>1</v>
      </c>
    </row>
    <row r="1385" ht="24" customHeight="1" spans="1:17">
      <c r="A1385" s="99" t="s">
        <v>348</v>
      </c>
      <c r="B1385" s="99" t="s">
        <v>299</v>
      </c>
      <c r="C1385" s="99" t="s">
        <v>329</v>
      </c>
      <c r="D1385" s="48" t="s">
        <v>296</v>
      </c>
      <c r="E1385" s="116" t="s">
        <v>82</v>
      </c>
      <c r="F1385" s="117">
        <f t="shared" ref="F1385:Q1385" si="1024">IF(F1315=0,"",F1341/F1315)</f>
        <v>1</v>
      </c>
      <c r="G1385" s="117">
        <f t="shared" si="1024"/>
        <v>0.333333333333333</v>
      </c>
      <c r="H1385" s="117">
        <f t="shared" si="1024"/>
        <v>0.6</v>
      </c>
      <c r="I1385" s="117">
        <f t="shared" si="1024"/>
        <v>0.5</v>
      </c>
      <c r="J1385" s="117">
        <f t="shared" si="1024"/>
        <v>0.875</v>
      </c>
      <c r="K1385" s="117">
        <f t="shared" si="1024"/>
        <v>0.888888888888889</v>
      </c>
      <c r="L1385" s="117">
        <f t="shared" si="1024"/>
        <v>1</v>
      </c>
      <c r="M1385" s="117">
        <f t="shared" si="1024"/>
        <v>1</v>
      </c>
      <c r="N1385" s="117">
        <f t="shared" si="1024"/>
        <v>0.916666666666667</v>
      </c>
      <c r="O1385" s="117">
        <f t="shared" si="1024"/>
        <v>0.857142857142857</v>
      </c>
      <c r="P1385" s="117">
        <f t="shared" si="1024"/>
        <v>0.933333333333333</v>
      </c>
      <c r="Q1385" s="117">
        <f t="shared" si="1024"/>
        <v>1</v>
      </c>
    </row>
    <row r="1386" ht="24" customHeight="1" spans="1:17">
      <c r="A1386" s="99" t="s">
        <v>348</v>
      </c>
      <c r="B1386" s="99" t="s">
        <v>299</v>
      </c>
      <c r="C1386" s="99" t="s">
        <v>329</v>
      </c>
      <c r="D1386" s="48" t="s">
        <v>296</v>
      </c>
      <c r="E1386" s="116" t="s">
        <v>86</v>
      </c>
      <c r="F1386" s="117" t="str">
        <f t="shared" ref="F1386:Q1386" si="1025">IF(F1316=0,"",F1342/F1316)</f>
        <v/>
      </c>
      <c r="G1386" s="117" t="str">
        <f t="shared" si="1025"/>
        <v/>
      </c>
      <c r="H1386" s="117">
        <f t="shared" si="1025"/>
        <v>0.5</v>
      </c>
      <c r="I1386" s="117">
        <f t="shared" si="1025"/>
        <v>1</v>
      </c>
      <c r="J1386" s="117">
        <f t="shared" si="1025"/>
        <v>0.75</v>
      </c>
      <c r="K1386" s="117">
        <f t="shared" si="1025"/>
        <v>1</v>
      </c>
      <c r="L1386" s="117">
        <f t="shared" si="1025"/>
        <v>0.8</v>
      </c>
      <c r="M1386" s="117">
        <f t="shared" si="1025"/>
        <v>1</v>
      </c>
      <c r="N1386" s="117">
        <f t="shared" si="1025"/>
        <v>0.857142857142857</v>
      </c>
      <c r="O1386" s="117">
        <f t="shared" si="1025"/>
        <v>0.888888888888889</v>
      </c>
      <c r="P1386" s="117">
        <f t="shared" si="1025"/>
        <v>0.9</v>
      </c>
      <c r="Q1386" s="117">
        <f t="shared" si="1025"/>
        <v>1</v>
      </c>
    </row>
    <row r="1387" ht="24" customHeight="1" spans="1:17">
      <c r="A1387" s="99" t="s">
        <v>348</v>
      </c>
      <c r="B1387" s="99" t="s">
        <v>299</v>
      </c>
      <c r="C1387" s="99" t="s">
        <v>329</v>
      </c>
      <c r="D1387" s="113" t="s">
        <v>292</v>
      </c>
      <c r="E1387" s="113" t="s">
        <v>332</v>
      </c>
      <c r="F1387" s="115">
        <f t="shared" ref="F1387:Q1387" si="1026">IF(F1317=0,"",F1346/F1317)</f>
        <v>0.5</v>
      </c>
      <c r="G1387" s="115">
        <f t="shared" si="1026"/>
        <v>0.6</v>
      </c>
      <c r="H1387" s="115">
        <f t="shared" si="1026"/>
        <v>0.4</v>
      </c>
      <c r="I1387" s="115">
        <f t="shared" si="1026"/>
        <v>0.666666666666667</v>
      </c>
      <c r="J1387" s="115">
        <f t="shared" si="1026"/>
        <v>0.846153846153846</v>
      </c>
      <c r="K1387" s="115">
        <f t="shared" si="1026"/>
        <v>1</v>
      </c>
      <c r="L1387" s="115">
        <f t="shared" si="1026"/>
        <v>1</v>
      </c>
      <c r="M1387" s="115">
        <f t="shared" si="1026"/>
        <v>1</v>
      </c>
      <c r="N1387" s="115">
        <f t="shared" si="1026"/>
        <v>0.941176470588235</v>
      </c>
      <c r="O1387" s="115">
        <f t="shared" si="1026"/>
        <v>0.857142857142857</v>
      </c>
      <c r="P1387" s="115">
        <f t="shared" si="1026"/>
        <v>0.875</v>
      </c>
      <c r="Q1387" s="115">
        <f t="shared" si="1026"/>
        <v>1</v>
      </c>
    </row>
    <row r="1388" ht="24" customHeight="1" spans="1:17">
      <c r="A1388" s="99" t="s">
        <v>348</v>
      </c>
      <c r="B1388" s="99" t="s">
        <v>299</v>
      </c>
      <c r="C1388" s="99" t="s">
        <v>329</v>
      </c>
      <c r="D1388" s="48" t="s">
        <v>298</v>
      </c>
      <c r="E1388" s="116" t="s">
        <v>97</v>
      </c>
      <c r="F1388" s="117">
        <f t="shared" ref="F1388:Q1388" si="1027">IF(F1318=0,"",F1347/F1318)</f>
        <v>0.5</v>
      </c>
      <c r="G1388" s="117">
        <f t="shared" si="1027"/>
        <v>0.5</v>
      </c>
      <c r="H1388" s="117">
        <f t="shared" si="1027"/>
        <v>0.5</v>
      </c>
      <c r="I1388" s="117">
        <f t="shared" si="1027"/>
        <v>0.5</v>
      </c>
      <c r="J1388" s="117">
        <f t="shared" si="1027"/>
        <v>0.714285714285714</v>
      </c>
      <c r="K1388" s="117">
        <f t="shared" si="1027"/>
        <v>1</v>
      </c>
      <c r="L1388" s="117">
        <f t="shared" si="1027"/>
        <v>1</v>
      </c>
      <c r="M1388" s="117">
        <f t="shared" si="1027"/>
        <v>1</v>
      </c>
      <c r="N1388" s="117">
        <f t="shared" si="1027"/>
        <v>1</v>
      </c>
      <c r="O1388" s="117">
        <f t="shared" si="1027"/>
        <v>0.846153846153846</v>
      </c>
      <c r="P1388" s="117">
        <f t="shared" si="1027"/>
        <v>1</v>
      </c>
      <c r="Q1388" s="117">
        <f t="shared" si="1027"/>
        <v>1</v>
      </c>
    </row>
    <row r="1389" ht="24" customHeight="1" spans="1:17">
      <c r="A1389" s="99" t="s">
        <v>348</v>
      </c>
      <c r="B1389" s="99" t="s">
        <v>299</v>
      </c>
      <c r="C1389" s="99" t="s">
        <v>329</v>
      </c>
      <c r="D1389" s="48" t="s">
        <v>298</v>
      </c>
      <c r="E1389" s="116" t="s">
        <v>87</v>
      </c>
      <c r="F1389" s="117">
        <f t="shared" ref="F1389:Q1389" si="1028">IF(F1319=0,"",F1348/F1319)</f>
        <v>0.5</v>
      </c>
      <c r="G1389" s="117">
        <f t="shared" si="1028"/>
        <v>0.666666666666667</v>
      </c>
      <c r="H1389" s="117">
        <f t="shared" si="1028"/>
        <v>0.333333333333333</v>
      </c>
      <c r="I1389" s="117">
        <f t="shared" si="1028"/>
        <v>0.833333333333333</v>
      </c>
      <c r="J1389" s="117">
        <f t="shared" si="1028"/>
        <v>1</v>
      </c>
      <c r="K1389" s="117">
        <f t="shared" si="1028"/>
        <v>1</v>
      </c>
      <c r="L1389" s="117">
        <f t="shared" si="1028"/>
        <v>1</v>
      </c>
      <c r="M1389" s="117">
        <f t="shared" si="1028"/>
        <v>1</v>
      </c>
      <c r="N1389" s="117">
        <f t="shared" si="1028"/>
        <v>0.857142857142857</v>
      </c>
      <c r="O1389" s="117">
        <f t="shared" si="1028"/>
        <v>1</v>
      </c>
      <c r="P1389" s="117">
        <f t="shared" si="1028"/>
        <v>0.777777777777778</v>
      </c>
      <c r="Q1389" s="117">
        <f t="shared" si="1028"/>
        <v>1</v>
      </c>
    </row>
    <row r="1390" ht="24" customHeight="1" spans="1:17">
      <c r="A1390" s="99" t="s">
        <v>348</v>
      </c>
      <c r="B1390" s="99" t="s">
        <v>299</v>
      </c>
      <c r="C1390" s="99" t="s">
        <v>329</v>
      </c>
      <c r="D1390" s="48" t="s">
        <v>298</v>
      </c>
      <c r="E1390" s="116" t="s">
        <v>83</v>
      </c>
      <c r="F1390" s="117" t="str">
        <f t="shared" ref="F1390:Q1390" si="1029">IF(F1320=0,"",F1349/F1320)</f>
        <v/>
      </c>
      <c r="G1390" s="117" t="str">
        <f t="shared" si="1029"/>
        <v/>
      </c>
      <c r="H1390" s="117" t="str">
        <f t="shared" si="1029"/>
        <v/>
      </c>
      <c r="I1390" s="117" t="str">
        <f t="shared" si="1029"/>
        <v/>
      </c>
      <c r="J1390" s="117" t="str">
        <f t="shared" si="1029"/>
        <v/>
      </c>
      <c r="K1390" s="117" t="str">
        <f t="shared" si="1029"/>
        <v/>
      </c>
      <c r="L1390" s="117" t="str">
        <f t="shared" si="1029"/>
        <v/>
      </c>
      <c r="M1390" s="117" t="str">
        <f t="shared" si="1029"/>
        <v/>
      </c>
      <c r="N1390" s="117" t="str">
        <f t="shared" si="1029"/>
        <v/>
      </c>
      <c r="O1390" s="117">
        <f t="shared" si="1029"/>
        <v>0</v>
      </c>
      <c r="P1390" s="117">
        <f t="shared" si="1029"/>
        <v>0.5</v>
      </c>
      <c r="Q1390" s="117">
        <f t="shared" si="1029"/>
        <v>1</v>
      </c>
    </row>
    <row r="1391" ht="24" customHeight="1" spans="1:17">
      <c r="A1391" s="99" t="s">
        <v>348</v>
      </c>
      <c r="B1391" s="99" t="s">
        <v>299</v>
      </c>
      <c r="C1391" s="99" t="s">
        <v>333</v>
      </c>
      <c r="D1391" s="114" t="s">
        <v>292</v>
      </c>
      <c r="E1391" s="114" t="s">
        <v>300</v>
      </c>
      <c r="F1391" s="120">
        <f t="shared" ref="F1391:Q1391" si="1030">SUM(F1392:F1397)</f>
        <v>2.360638</v>
      </c>
      <c r="G1391" s="120">
        <f t="shared" si="1030"/>
        <v>0.670747</v>
      </c>
      <c r="H1391" s="120">
        <f t="shared" si="1030"/>
        <v>4.771736</v>
      </c>
      <c r="I1391" s="120">
        <f t="shared" si="1030"/>
        <v>7.063605</v>
      </c>
      <c r="J1391" s="120">
        <f t="shared" si="1030"/>
        <v>5.637268</v>
      </c>
      <c r="K1391" s="120">
        <f t="shared" si="1030"/>
        <v>12.553778</v>
      </c>
      <c r="L1391" s="120">
        <f t="shared" si="1030"/>
        <v>2.008919</v>
      </c>
      <c r="M1391" s="120">
        <f t="shared" si="1030"/>
        <v>0.240404</v>
      </c>
      <c r="N1391" s="120">
        <f t="shared" si="1030"/>
        <v>0.43835</v>
      </c>
      <c r="O1391" s="120">
        <f t="shared" si="1030"/>
        <v>1.208051</v>
      </c>
      <c r="P1391" s="120">
        <f t="shared" si="1030"/>
        <v>0.90068</v>
      </c>
      <c r="Q1391" s="120">
        <f t="shared" si="1030"/>
        <v>4.456078</v>
      </c>
    </row>
    <row r="1392" ht="24" customHeight="1" spans="1:17">
      <c r="A1392" s="99" t="s">
        <v>348</v>
      </c>
      <c r="B1392" s="99" t="s">
        <v>299</v>
      </c>
      <c r="C1392" s="99" t="s">
        <v>333</v>
      </c>
      <c r="D1392" s="48" t="s">
        <v>31</v>
      </c>
      <c r="E1392" s="48" t="s">
        <v>406</v>
      </c>
      <c r="F1392" s="121">
        <f>SUMIFS('2024数据'!$BK$3:$BK$152,'2024数据'!$T$3:$T$152,"&gt;="&amp;DATE(2024,1,1),'2024数据'!$T$3:$T$152,"&lt;="&amp;DATE(2024,1,31),'2024数据'!$AE$3:$AE$152,$E1392)/10000</f>
        <v>0</v>
      </c>
      <c r="G1392" s="121">
        <f>SUMIFS('2024数据'!$BK$3:$BK$152,'2024数据'!$T$3:$T$152,"&gt;="&amp;DATE(2024,2,1),'2024数据'!$T$3:$T$152,"&lt;="&amp;DATE(2024,2,29),'2024数据'!$AE$3:$AE$152,$E1392)/10000</f>
        <v>0.332266</v>
      </c>
      <c r="H1392" s="121">
        <f>SUMIFS('2024数据'!$BK$3:$BK$152,'2024数据'!$T$3:$T$152,"&gt;="&amp;DATE(2024,3,1),'2024数据'!$T$3:$T$152,"&lt;="&amp;DATE(2024,3,31),'2024数据'!$AE$3:$AE$152,$E1392)/10000</f>
        <v>3.446461</v>
      </c>
      <c r="I1392" s="121">
        <f>SUMIFS('2024数据'!$BK$3:$BK$152,'2024数据'!$T$3:$T$152,"&gt;="&amp;DATE(2024,4,1),'2024数据'!$T$3:$T$152,"&lt;="&amp;DATE(2024,4,30),'2024数据'!$AE$3:$AE$152,$E1392)/10000</f>
        <v>1.295063</v>
      </c>
      <c r="J1392" s="121">
        <f>SUMIFS('2024数据'!$BK$3:$BK$152,'2024数据'!$T$3:$T$152,"&gt;="&amp;DATE(2024,5,1),'2024数据'!$T$3:$T$152,"&lt;="&amp;DATE(2024,5,31),'2024数据'!$AE$3:$AE$152,$E1392)/10000</f>
        <v>2.407236</v>
      </c>
      <c r="K1392" s="121">
        <f>SUMIFS('2024数据'!$BK$3:$BK$152,'2024数据'!$T$3:$T$152,"&gt;="&amp;DATE(2024,6,1),'2024数据'!$T$3:$T$152,"&lt;="&amp;DATE(2024,6,30),'2024数据'!$AE$3:$AE$152,$E1392)/10000</f>
        <v>10.051243</v>
      </c>
      <c r="L1392" s="121">
        <f>SUMIFS('2024数据'!$BK$3:$BK$152,'2024数据'!$T$3:$T$152,"&gt;="&amp;DATE(2024,7,1),'2024数据'!$T$3:$T$152,"&lt;="&amp;DATE(2024,7,31),'2024数据'!$AE$3:$AE$152,$E1392)/10000</f>
        <v>0.433767</v>
      </c>
      <c r="M1392" s="121">
        <f>SUMIFS('2024数据'!$BK$3:$BK$152,'2024数据'!$T$3:$T$152,"&gt;="&amp;DATE(2024,8,1),'2024数据'!$T$3:$T$152,"&lt;="&amp;DATE(2024,8,31),'2024数据'!$AE$3:$AE$152,$E1392)/10000</f>
        <v>0</v>
      </c>
      <c r="N1392" s="121">
        <f>SUMIFS('2024数据'!$BK$3:$BK$152,'2024数据'!$T$3:$T$152,"&gt;="&amp;DATE(2024,9,1),'2024数据'!$T$3:$T$152,"&lt;="&amp;DATE(2024,9,30),'2024数据'!$AE$3:$AE$152,$E1392)/10000</f>
        <v>0.43835</v>
      </c>
      <c r="O1392" s="121">
        <f>SUMIFS('2024数据'!$BK$3:$BK$152,'2024数据'!$T$3:$T$152,"&gt;="&amp;DATE(2024,10,1),'2024数据'!$T$3:$T$152,"&lt;="&amp;DATE(2024,10,31),'2024数据'!$AE$3:$AE$152,$E1392)/10000</f>
        <v>0</v>
      </c>
      <c r="P1392" s="121">
        <f>SUMIFS('2024数据'!$BK$3:$BK$152,'2024数据'!$T$3:$T$152,"&gt;="&amp;DATE(2024,11,1),'2024数据'!$T$3:$T$152,"&lt;="&amp;DATE(2024,11,30),'2024数据'!$AE$3:$AE$152,$E1392)/10000</f>
        <v>0</v>
      </c>
      <c r="Q1392" s="121">
        <f>SUMIFS('2024数据'!$BK$3:$BK$152,'2024数据'!$T$3:$T$152,"&gt;="&amp;DATE(2024,12,1),'2024数据'!$T$3:$T$152,"&lt;="&amp;DATE(2024,12,31),'2024数据'!$AE$3:$AE$152,$E1392)/10000</f>
        <v>2.254626</v>
      </c>
    </row>
    <row r="1393" ht="24" customHeight="1" spans="1:17">
      <c r="A1393" s="99" t="s">
        <v>348</v>
      </c>
      <c r="B1393" s="99" t="s">
        <v>299</v>
      </c>
      <c r="C1393" s="99" t="s">
        <v>333</v>
      </c>
      <c r="D1393" s="48" t="s">
        <v>31</v>
      </c>
      <c r="E1393" s="48" t="s">
        <v>82</v>
      </c>
      <c r="F1393" s="121">
        <f>SUMIFS('2024数据'!$BK$3:$BK$152,'2024数据'!$T$3:$T$152,"&gt;="&amp;DATE(2024,1,1),'2024数据'!$T$3:$T$152,"&lt;="&amp;DATE(2024,1,31),'2024数据'!$AE$3:$AE$152,$E1393)/10000</f>
        <v>0.338204</v>
      </c>
      <c r="G1393" s="121">
        <f>SUMIFS('2024数据'!$BK$3:$BK$152,'2024数据'!$T$3:$T$152,"&gt;="&amp;DATE(2024,2,1),'2024数据'!$T$3:$T$152,"&lt;="&amp;DATE(2024,2,29),'2024数据'!$AE$3:$AE$152,$E1393)/10000</f>
        <v>0</v>
      </c>
      <c r="H1393" s="121">
        <f>SUMIFS('2024数据'!$BK$3:$BK$152,'2024数据'!$T$3:$T$152,"&gt;="&amp;DATE(2024,3,1),'2024数据'!$T$3:$T$152,"&lt;="&amp;DATE(2024,3,31),'2024数据'!$AE$3:$AE$152,$E1393)/10000</f>
        <v>0.473898</v>
      </c>
      <c r="I1393" s="121">
        <f>SUMIFS('2024数据'!$BK$3:$BK$152,'2024数据'!$T$3:$T$152,"&gt;="&amp;DATE(2024,4,1),'2024数据'!$T$3:$T$152,"&lt;="&amp;DATE(2024,4,30),'2024数据'!$AE$3:$AE$152,$E1393)/10000</f>
        <v>0.400142</v>
      </c>
      <c r="J1393" s="121">
        <f>SUMIFS('2024数据'!$BK$3:$BK$152,'2024数据'!$T$3:$T$152,"&gt;="&amp;DATE(2024,5,1),'2024数据'!$T$3:$T$152,"&lt;="&amp;DATE(2024,5,31),'2024数据'!$AE$3:$AE$152,$E1393)/10000</f>
        <v>2.867458</v>
      </c>
      <c r="K1393" s="121">
        <f>SUMIFS('2024数据'!$BK$3:$BK$152,'2024数据'!$T$3:$T$152,"&gt;="&amp;DATE(2024,6,1),'2024数据'!$T$3:$T$152,"&lt;="&amp;DATE(2024,6,30),'2024数据'!$AE$3:$AE$152,$E1393)/10000</f>
        <v>0.822393</v>
      </c>
      <c r="L1393" s="121">
        <f>SUMIFS('2024数据'!$BK$3:$BK$152,'2024数据'!$T$3:$T$152,"&gt;="&amp;DATE(2024,7,1),'2024数据'!$T$3:$T$152,"&lt;="&amp;DATE(2024,7,31),'2024数据'!$AE$3:$AE$152,$E1393)/10000</f>
        <v>1.151825</v>
      </c>
      <c r="M1393" s="121">
        <f>SUMIFS('2024数据'!$BK$3:$BK$152,'2024数据'!$T$3:$T$152,"&gt;="&amp;DATE(2024,8,1),'2024数据'!$T$3:$T$152,"&lt;="&amp;DATE(2024,8,31),'2024数据'!$AE$3:$AE$152,$E1393)/10000</f>
        <v>0</v>
      </c>
      <c r="N1393" s="121">
        <f>SUMIFS('2024数据'!$BK$3:$BK$152,'2024数据'!$T$3:$T$152,"&gt;="&amp;DATE(2024,9,1),'2024数据'!$T$3:$T$152,"&lt;="&amp;DATE(2024,9,30),'2024数据'!$AE$3:$AE$152,$E1393)/10000</f>
        <v>0</v>
      </c>
      <c r="O1393" s="121">
        <f>SUMIFS('2024数据'!$BK$3:$BK$152,'2024数据'!$T$3:$T$152,"&gt;="&amp;DATE(2024,10,1),'2024数据'!$T$3:$T$152,"&lt;="&amp;DATE(2024,10,31),'2024数据'!$AE$3:$AE$152,$E1393)/10000</f>
        <v>0.156231</v>
      </c>
      <c r="P1393" s="121">
        <f>SUMIFS('2024数据'!$BK$3:$BK$152,'2024数据'!$T$3:$T$152,"&gt;="&amp;DATE(2024,11,1),'2024数据'!$T$3:$T$152,"&lt;="&amp;DATE(2024,11,30),'2024数据'!$AE$3:$AE$152,$E1393)/10000</f>
        <v>0.445437</v>
      </c>
      <c r="Q1393" s="121">
        <f>SUMIFS('2024数据'!$BK$3:$BK$152,'2024数据'!$T$3:$T$152,"&gt;="&amp;DATE(2024,12,1),'2024数据'!$T$3:$T$152,"&lt;="&amp;DATE(2024,12,31),'2024数据'!$AE$3:$AE$152,$E1393)/10000</f>
        <v>0</v>
      </c>
    </row>
    <row r="1394" ht="24" customHeight="1" spans="1:17">
      <c r="A1394" s="99" t="s">
        <v>348</v>
      </c>
      <c r="B1394" s="99" t="s">
        <v>299</v>
      </c>
      <c r="C1394" s="99" t="s">
        <v>333</v>
      </c>
      <c r="D1394" s="48" t="s">
        <v>31</v>
      </c>
      <c r="E1394" s="48" t="s">
        <v>86</v>
      </c>
      <c r="F1394" s="121">
        <f>SUMIFS('2024数据'!$BK$3:$BK$152,'2024数据'!$T$3:$T$152,"&gt;="&amp;DATE(2024,1,1),'2024数据'!$T$3:$T$152,"&lt;="&amp;DATE(2024,1,31),'2024数据'!$AE$3:$AE$152,$E1394)/10000</f>
        <v>0</v>
      </c>
      <c r="G1394" s="121">
        <f>SUMIFS('2024数据'!$BK$3:$BK$152,'2024数据'!$T$3:$T$152,"&gt;="&amp;DATE(2024,2,1),'2024数据'!$T$3:$T$152,"&lt;="&amp;DATE(2024,2,29),'2024数据'!$AE$3:$AE$152,$E1394)/10000</f>
        <v>0</v>
      </c>
      <c r="H1394" s="121">
        <f>SUMIFS('2024数据'!$BK$3:$BK$152,'2024数据'!$T$3:$T$152,"&gt;="&amp;DATE(2024,3,1),'2024数据'!$T$3:$T$152,"&lt;="&amp;DATE(2024,3,31),'2024数据'!$AE$3:$AE$152,$E1394)/10000</f>
        <v>0.851377</v>
      </c>
      <c r="I1394" s="121">
        <f>SUMIFS('2024数据'!$BK$3:$BK$152,'2024数据'!$T$3:$T$152,"&gt;="&amp;DATE(2024,4,1),'2024数据'!$T$3:$T$152,"&lt;="&amp;DATE(2024,4,30),'2024数据'!$AE$3:$AE$152,$E1394)/10000</f>
        <v>0.640894</v>
      </c>
      <c r="J1394" s="121">
        <f>SUMIFS('2024数据'!$BK$3:$BK$152,'2024数据'!$T$3:$T$152,"&gt;="&amp;DATE(2024,5,1),'2024数据'!$T$3:$T$152,"&lt;="&amp;DATE(2024,5,31),'2024数据'!$AE$3:$AE$152,$E1394)/10000</f>
        <v>0.362574</v>
      </c>
      <c r="K1394" s="121">
        <f>SUMIFS('2024数据'!$BK$3:$BK$152,'2024数据'!$T$3:$T$152,"&gt;="&amp;DATE(2024,6,1),'2024数据'!$T$3:$T$152,"&lt;="&amp;DATE(2024,6,30),'2024数据'!$AE$3:$AE$152,$E1394)/10000</f>
        <v>0.353572</v>
      </c>
      <c r="L1394" s="121">
        <f>SUMIFS('2024数据'!$BK$3:$BK$152,'2024数据'!$T$3:$T$152,"&gt;="&amp;DATE(2024,7,1),'2024数据'!$T$3:$T$152,"&lt;="&amp;DATE(2024,7,31),'2024数据'!$AE$3:$AE$152,$E1394)/10000</f>
        <v>0</v>
      </c>
      <c r="M1394" s="121">
        <f>SUMIFS('2024数据'!$BK$3:$BK$152,'2024数据'!$T$3:$T$152,"&gt;="&amp;DATE(2024,8,1),'2024数据'!$T$3:$T$152,"&lt;="&amp;DATE(2024,8,31),'2024数据'!$AE$3:$AE$152,$E1394)/10000</f>
        <v>0.240404</v>
      </c>
      <c r="N1394" s="121">
        <f>SUMIFS('2024数据'!$BK$3:$BK$152,'2024数据'!$T$3:$T$152,"&gt;="&amp;DATE(2024,9,1),'2024数据'!$T$3:$T$152,"&lt;="&amp;DATE(2024,9,30),'2024数据'!$AE$3:$AE$152,$E1394)/10000</f>
        <v>0</v>
      </c>
      <c r="O1394" s="121">
        <f>SUMIFS('2024数据'!$BK$3:$BK$152,'2024数据'!$T$3:$T$152,"&gt;="&amp;DATE(2024,10,1),'2024数据'!$T$3:$T$152,"&lt;="&amp;DATE(2024,10,31),'2024数据'!$AE$3:$AE$152,$E1394)/10000</f>
        <v>1.05182</v>
      </c>
      <c r="P1394" s="121">
        <f>SUMIFS('2024数据'!$BK$3:$BK$152,'2024数据'!$T$3:$T$152,"&gt;="&amp;DATE(2024,11,1),'2024数据'!$T$3:$T$152,"&lt;="&amp;DATE(2024,11,30),'2024数据'!$AE$3:$AE$152,$E1394)/10000</f>
        <v>0.369125</v>
      </c>
      <c r="Q1394" s="121">
        <f>SUMIFS('2024数据'!$BK$3:$BK$152,'2024数据'!$T$3:$T$152,"&gt;="&amp;DATE(2024,12,1),'2024数据'!$T$3:$T$152,"&lt;="&amp;DATE(2024,12,31),'2024数据'!$AE$3:$AE$152,$E1394)/10000</f>
        <v>0.45082</v>
      </c>
    </row>
    <row r="1395" ht="24" customHeight="1" spans="1:17">
      <c r="A1395" s="99" t="s">
        <v>348</v>
      </c>
      <c r="B1395" s="99" t="s">
        <v>299</v>
      </c>
      <c r="C1395" s="99" t="s">
        <v>333</v>
      </c>
      <c r="D1395" s="48" t="s">
        <v>31</v>
      </c>
      <c r="E1395" s="48" t="s">
        <v>97</v>
      </c>
      <c r="F1395" s="121">
        <f>SUMIFS('2024数据'!$BK$3:$BK$152,'2024数据'!$T$3:$T$152,"&gt;="&amp;DATE(2024,1,1),'2024数据'!$T$3:$T$152,"&lt;="&amp;DATE(2024,1,31),'2024数据'!$AE$3:$AE$152,$E1395)/10000</f>
        <v>2.022434</v>
      </c>
      <c r="G1395" s="121">
        <f>SUMIFS('2024数据'!$BK$3:$BK$152,'2024数据'!$T$3:$T$152,"&gt;="&amp;DATE(2024,2,1),'2024数据'!$T$3:$T$152,"&lt;="&amp;DATE(2024,2,29),'2024数据'!$AE$3:$AE$152,$E1395)/10000</f>
        <v>0</v>
      </c>
      <c r="H1395" s="121">
        <f>SUMIFS('2024数据'!$BK$3:$BK$152,'2024数据'!$T$3:$T$152,"&gt;="&amp;DATE(2024,3,1),'2024数据'!$T$3:$T$152,"&lt;="&amp;DATE(2024,3,31),'2024数据'!$AE$3:$AE$152,$E1395)/10000</f>
        <v>0</v>
      </c>
      <c r="I1395" s="121">
        <f>SUMIFS('2024数据'!$BK$3:$BK$152,'2024数据'!$T$3:$T$152,"&gt;="&amp;DATE(2024,4,1),'2024数据'!$T$3:$T$152,"&lt;="&amp;DATE(2024,4,30),'2024数据'!$AE$3:$AE$152,$E1395)/10000</f>
        <v>0.253457</v>
      </c>
      <c r="J1395" s="121">
        <f>SUMIFS('2024数据'!$BK$3:$BK$152,'2024数据'!$T$3:$T$152,"&gt;="&amp;DATE(2024,5,1),'2024数据'!$T$3:$T$152,"&lt;="&amp;DATE(2024,5,31),'2024数据'!$AE$3:$AE$152,$E1395)/10000</f>
        <v>0</v>
      </c>
      <c r="K1395" s="121">
        <f>SUMIFS('2024数据'!$BK$3:$BK$152,'2024数据'!$T$3:$T$152,"&gt;="&amp;DATE(2024,6,1),'2024数据'!$T$3:$T$152,"&lt;="&amp;DATE(2024,6,30),'2024数据'!$AE$3:$AE$152,$E1395)/10000</f>
        <v>1.32657</v>
      </c>
      <c r="L1395" s="121">
        <f>SUMIFS('2024数据'!$BK$3:$BK$152,'2024数据'!$T$3:$T$152,"&gt;="&amp;DATE(2024,7,1),'2024数据'!$T$3:$T$152,"&lt;="&amp;DATE(2024,7,31),'2024数据'!$AE$3:$AE$152,$E1395)/10000</f>
        <v>0.423327</v>
      </c>
      <c r="M1395" s="121">
        <f>SUMIFS('2024数据'!$BK$3:$BK$152,'2024数据'!$T$3:$T$152,"&gt;="&amp;DATE(2024,8,1),'2024数据'!$T$3:$T$152,"&lt;="&amp;DATE(2024,8,31),'2024数据'!$AE$3:$AE$152,$E1395)/10000</f>
        <v>0</v>
      </c>
      <c r="N1395" s="121">
        <f>SUMIFS('2024数据'!$BK$3:$BK$152,'2024数据'!$T$3:$T$152,"&gt;="&amp;DATE(2024,9,1),'2024数据'!$T$3:$T$152,"&lt;="&amp;DATE(2024,9,30),'2024数据'!$AE$3:$AE$152,$E1395)/10000</f>
        <v>0</v>
      </c>
      <c r="O1395" s="121">
        <f>SUMIFS('2024数据'!$BK$3:$BK$152,'2024数据'!$T$3:$T$152,"&gt;="&amp;DATE(2024,10,1),'2024数据'!$T$3:$T$152,"&lt;="&amp;DATE(2024,10,31),'2024数据'!$AE$3:$AE$152,$E1395)/10000</f>
        <v>0</v>
      </c>
      <c r="P1395" s="121">
        <f>SUMIFS('2024数据'!$BK$3:$BK$152,'2024数据'!$T$3:$T$152,"&gt;="&amp;DATE(2024,11,1),'2024数据'!$T$3:$T$152,"&lt;="&amp;DATE(2024,11,30),'2024数据'!$AE$3:$AE$152,$E1395)/10000</f>
        <v>0.086118</v>
      </c>
      <c r="Q1395" s="121">
        <f>SUMIFS('2024数据'!$BK$3:$BK$152,'2024数据'!$T$3:$T$152,"&gt;="&amp;DATE(2024,12,1),'2024数据'!$T$3:$T$152,"&lt;="&amp;DATE(2024,12,31),'2024数据'!$AE$3:$AE$152,$E1395)/10000</f>
        <v>0</v>
      </c>
    </row>
    <row r="1396" ht="24" customHeight="1" spans="1:17">
      <c r="A1396" s="99" t="s">
        <v>348</v>
      </c>
      <c r="B1396" s="99" t="s">
        <v>299</v>
      </c>
      <c r="C1396" s="99" t="s">
        <v>333</v>
      </c>
      <c r="D1396" s="48" t="s">
        <v>31</v>
      </c>
      <c r="E1396" s="48" t="s">
        <v>87</v>
      </c>
      <c r="F1396" s="121">
        <f>SUMIFS('2024数据'!$BK$3:$BK$152,'2024数据'!$T$3:$T$152,"&gt;="&amp;DATE(2024,1,1),'2024数据'!$T$3:$T$152,"&lt;="&amp;DATE(2024,1,31),'2024数据'!$AE$3:$AE$152,$E1396)/10000</f>
        <v>0</v>
      </c>
      <c r="G1396" s="121">
        <f>SUMIFS('2024数据'!$BK$3:$BK$152,'2024数据'!$T$3:$T$152,"&gt;="&amp;DATE(2024,2,1),'2024数据'!$T$3:$T$152,"&lt;="&amp;DATE(2024,2,29),'2024数据'!$AE$3:$AE$152,$E1396)/10000</f>
        <v>0.338481</v>
      </c>
      <c r="H1396" s="121">
        <f>SUMIFS('2024数据'!$BK$3:$BK$152,'2024数据'!$T$3:$T$152,"&gt;="&amp;DATE(2024,3,1),'2024数据'!$T$3:$T$152,"&lt;="&amp;DATE(2024,3,31),'2024数据'!$AE$3:$AE$152,$E1396)/10000</f>
        <v>0</v>
      </c>
      <c r="I1396" s="121">
        <f>SUMIFS('2024数据'!$BK$3:$BK$152,'2024数据'!$T$3:$T$152,"&gt;="&amp;DATE(2024,4,1),'2024数据'!$T$3:$T$152,"&lt;="&amp;DATE(2024,4,30),'2024数据'!$AE$3:$AE$152,$E1396)/10000</f>
        <v>4.474049</v>
      </c>
      <c r="J1396" s="121">
        <f>SUMIFS('2024数据'!$BK$3:$BK$152,'2024数据'!$T$3:$T$152,"&gt;="&amp;DATE(2024,5,1),'2024数据'!$T$3:$T$152,"&lt;="&amp;DATE(2024,5,31),'2024数据'!$AE$3:$AE$152,$E1396)/10000</f>
        <v>0</v>
      </c>
      <c r="K1396" s="121">
        <f>SUMIFS('2024数据'!$BK$3:$BK$152,'2024数据'!$T$3:$T$152,"&gt;="&amp;DATE(2024,6,1),'2024数据'!$T$3:$T$152,"&lt;="&amp;DATE(2024,6,30),'2024数据'!$AE$3:$AE$152,$E1396)/10000</f>
        <v>0</v>
      </c>
      <c r="L1396" s="121">
        <f>SUMIFS('2024数据'!$BK$3:$BK$152,'2024数据'!$T$3:$T$152,"&gt;="&amp;DATE(2024,7,1),'2024数据'!$T$3:$T$152,"&lt;="&amp;DATE(2024,7,31),'2024数据'!$AE$3:$AE$152,$E1396)/10000</f>
        <v>0</v>
      </c>
      <c r="M1396" s="121">
        <f>SUMIFS('2024数据'!$BK$3:$BK$152,'2024数据'!$T$3:$T$152,"&gt;="&amp;DATE(2024,8,1),'2024数据'!$T$3:$T$152,"&lt;="&amp;DATE(2024,8,31),'2024数据'!$AE$3:$AE$152,$E1396)/10000</f>
        <v>0</v>
      </c>
      <c r="N1396" s="121">
        <f>SUMIFS('2024数据'!$BK$3:$BK$152,'2024数据'!$T$3:$T$152,"&gt;="&amp;DATE(2024,9,1),'2024数据'!$T$3:$T$152,"&lt;="&amp;DATE(2024,9,30),'2024数据'!$AE$3:$AE$152,$E1396)/10000</f>
        <v>0</v>
      </c>
      <c r="O1396" s="121">
        <f>SUMIFS('2024数据'!$BK$3:$BK$152,'2024数据'!$T$3:$T$152,"&gt;="&amp;DATE(2024,10,1),'2024数据'!$T$3:$T$152,"&lt;="&amp;DATE(2024,10,31),'2024数据'!$AE$3:$AE$152,$E1396)/10000</f>
        <v>0</v>
      </c>
      <c r="P1396" s="121">
        <f>SUMIFS('2024数据'!$BK$3:$BK$152,'2024数据'!$T$3:$T$152,"&gt;="&amp;DATE(2024,11,1),'2024数据'!$T$3:$T$152,"&lt;="&amp;DATE(2024,11,30),'2024数据'!$AE$3:$AE$152,$E1396)/10000</f>
        <v>0</v>
      </c>
      <c r="Q1396" s="121">
        <f>SUMIFS('2024数据'!$BK$3:$BK$152,'2024数据'!$T$3:$T$152,"&gt;="&amp;DATE(2024,12,1),'2024数据'!$T$3:$T$152,"&lt;="&amp;DATE(2024,12,31),'2024数据'!$AE$3:$AE$152,$E1396)/10000</f>
        <v>0.425627</v>
      </c>
    </row>
    <row r="1397" ht="24" customHeight="1" spans="1:17">
      <c r="A1397" s="99" t="s">
        <v>348</v>
      </c>
      <c r="B1397" s="99" t="s">
        <v>299</v>
      </c>
      <c r="C1397" s="99" t="s">
        <v>333</v>
      </c>
      <c r="D1397" s="48" t="s">
        <v>31</v>
      </c>
      <c r="E1397" s="48" t="s">
        <v>83</v>
      </c>
      <c r="F1397" s="121">
        <f>SUMIFS('2024数据'!$BK$3:$BK$152,'2024数据'!$T$3:$T$152,"&gt;="&amp;DATE(2024,1,1),'2024数据'!$T$3:$T$152,"&lt;="&amp;DATE(2024,1,31),'2024数据'!$AE$3:$AE$152,$E1397)/10000</f>
        <v>0</v>
      </c>
      <c r="G1397" s="121">
        <f>SUMIFS('2024数据'!$BK$3:$BK$152,'2024数据'!$T$3:$T$152,"&gt;="&amp;DATE(2024,2,1),'2024数据'!$T$3:$T$152,"&lt;="&amp;DATE(2024,2,29),'2024数据'!$AE$3:$AE$152,$E1397)/10000</f>
        <v>0</v>
      </c>
      <c r="H1397" s="121">
        <f>SUMIFS('2024数据'!$BK$3:$BK$152,'2024数据'!$T$3:$T$152,"&gt;="&amp;DATE(2024,3,1),'2024数据'!$T$3:$T$152,"&lt;="&amp;DATE(2024,3,31),'2024数据'!$AE$3:$AE$152,$E1397)/10000</f>
        <v>0</v>
      </c>
      <c r="I1397" s="121">
        <f>SUMIFS('2024数据'!$BK$3:$BK$152,'2024数据'!$T$3:$T$152,"&gt;="&amp;DATE(2024,4,1),'2024数据'!$T$3:$T$152,"&lt;="&amp;DATE(2024,4,30),'2024数据'!$AE$3:$AE$152,$E1397)/10000</f>
        <v>0</v>
      </c>
      <c r="J1397" s="121">
        <f>SUMIFS('2024数据'!$BK$3:$BK$152,'2024数据'!$T$3:$T$152,"&gt;="&amp;DATE(2024,5,1),'2024数据'!$T$3:$T$152,"&lt;="&amp;DATE(2024,5,31),'2024数据'!$AE$3:$AE$152,$E1397)/10000</f>
        <v>0</v>
      </c>
      <c r="K1397" s="121">
        <f>SUMIFS('2024数据'!$BK$3:$BK$152,'2024数据'!$T$3:$T$152,"&gt;="&amp;DATE(2024,6,1),'2024数据'!$T$3:$T$152,"&lt;="&amp;DATE(2024,6,30),'2024数据'!$AE$3:$AE$152,$E1397)/10000</f>
        <v>0</v>
      </c>
      <c r="L1397" s="121">
        <f>SUMIFS('2024数据'!$BK$3:$BK$152,'2024数据'!$T$3:$T$152,"&gt;="&amp;DATE(2024,7,1),'2024数据'!$T$3:$T$152,"&lt;="&amp;DATE(2024,7,31),'2024数据'!$AE$3:$AE$152,$E1397)/10000</f>
        <v>0</v>
      </c>
      <c r="M1397" s="121">
        <f>SUMIFS('2024数据'!$BK$3:$BK$152,'2024数据'!$T$3:$T$152,"&gt;="&amp;DATE(2024,8,1),'2024数据'!$T$3:$T$152,"&lt;="&amp;DATE(2024,8,31),'2024数据'!$AE$3:$AE$152,$E1397)/10000</f>
        <v>0</v>
      </c>
      <c r="N1397" s="121">
        <f>SUMIFS('2024数据'!$BK$3:$BK$152,'2024数据'!$T$3:$T$152,"&gt;="&amp;DATE(2024,9,1),'2024数据'!$T$3:$T$152,"&lt;="&amp;DATE(2024,9,30),'2024数据'!$AE$3:$AE$152,$E1397)/10000</f>
        <v>0</v>
      </c>
      <c r="O1397" s="121">
        <f>SUMIFS('2024数据'!$BK$3:$BK$152,'2024数据'!$T$3:$T$152,"&gt;="&amp;DATE(2024,10,1),'2024数据'!$T$3:$T$152,"&lt;="&amp;DATE(2024,10,31),'2024数据'!$AE$3:$AE$152,$E1397)/10000</f>
        <v>0</v>
      </c>
      <c r="P1397" s="121">
        <f>SUMIFS('2024数据'!$BK$3:$BK$152,'2024数据'!$T$3:$T$152,"&gt;="&amp;DATE(2024,11,1),'2024数据'!$T$3:$T$152,"&lt;="&amp;DATE(2024,11,30),'2024数据'!$AE$3:$AE$152,$E1397)/10000</f>
        <v>0</v>
      </c>
      <c r="Q1397" s="121">
        <f>SUMIFS('2024数据'!$BK$3:$BK$152,'2024数据'!$T$3:$T$152,"&gt;="&amp;DATE(2024,12,1),'2024数据'!$T$3:$T$152,"&lt;="&amp;DATE(2024,12,31),'2024数据'!$AE$3:$AE$152,$E1397)/10000</f>
        <v>1.325005</v>
      </c>
    </row>
    <row r="1398" ht="24" customHeight="1" spans="1:17">
      <c r="A1398" s="99" t="s">
        <v>348</v>
      </c>
      <c r="B1398" s="99" t="s">
        <v>299</v>
      </c>
      <c r="C1398" s="99" t="s">
        <v>333</v>
      </c>
      <c r="D1398" s="47" t="s">
        <v>294</v>
      </c>
      <c r="E1398" s="47" t="s">
        <v>93</v>
      </c>
      <c r="F1398" s="121">
        <f>SUMIFS('2024数据'!$BK$3:$BK$152,'2024数据'!$T$3:$T$152,"&gt;="&amp;DATE(2024,1,1),'2024数据'!$T$3:$T$152,"&lt;="&amp;DATE(2024,1,31),'2024数据'!$B$3:$B$152,$E1398)/10000</f>
        <v>2.022434</v>
      </c>
      <c r="G1398" s="121">
        <f>SUMIFS('2024数据'!$BK$3:$BK$152,'2024数据'!$T$3:$T$152,"&gt;="&amp;DATE(2024,2,1),'2024数据'!$T$3:$T$152,"&lt;="&amp;DATE(2024,2,29),'2024数据'!$B$3:$B$152,$E1398)/10000</f>
        <v>0.592756</v>
      </c>
      <c r="H1398" s="121">
        <f>SUMIFS('2024数据'!$BK$3:$BK$152,'2024数据'!$T$3:$T$152,"&gt;="&amp;DATE(2024,3,1),'2024数据'!$T$3:$T$152,"&lt;="&amp;DATE(2024,3,31),'2024数据'!$B$3:$B$152,$E1398)/10000</f>
        <v>0.514535</v>
      </c>
      <c r="I1398" s="121">
        <f>SUMIFS('2024数据'!$BK$3:$BK$152,'2024数据'!$T$3:$T$152,"&gt;="&amp;DATE(2024,4,1),'2024数据'!$T$3:$T$152,"&lt;="&amp;DATE(2024,4,30),'2024数据'!$B$3:$B$152,$E1398)/10000</f>
        <v>4.874191</v>
      </c>
      <c r="J1398" s="121">
        <f>SUMIFS('2024数据'!$BK$3:$BK$152,'2024数据'!$T$3:$T$152,"&gt;="&amp;DATE(2024,5,1),'2024数据'!$T$3:$T$152,"&lt;="&amp;DATE(2024,5,31),'2024数据'!$B$3:$B$152,$E1398)/10000</f>
        <v>2.045265</v>
      </c>
      <c r="K1398" s="121">
        <f>SUMIFS('2024数据'!$BK$3:$BK$152,'2024数据'!$T$3:$T$152,"&gt;="&amp;DATE(2024,6,1),'2024数据'!$T$3:$T$152,"&lt;="&amp;DATE(2024,6,30),'2024数据'!$B$3:$B$152,$E1398)/10000</f>
        <v>2.499861</v>
      </c>
      <c r="L1398" s="121">
        <f>SUMIFS('2024数据'!$BK$3:$BK$152,'2024数据'!$T$3:$T$152,"&gt;="&amp;DATE(2024,7,1),'2024数据'!$T$3:$T$152,"&lt;="&amp;DATE(2024,7,31),'2024数据'!$B$3:$B$152,$E1398)/10000</f>
        <v>1.575152</v>
      </c>
      <c r="M1398" s="121">
        <f>SUMIFS('2024数据'!$BK$3:$BK$152,'2024数据'!$T$3:$T$152,"&gt;="&amp;DATE(2024,8,1),'2024数据'!$T$3:$T$152,"&lt;="&amp;DATE(2024,8,31),'2024数据'!$B$3:$B$152,$E1398)/10000</f>
        <v>0.120922</v>
      </c>
      <c r="N1398" s="121">
        <f>SUMIFS('2024数据'!$BK$3:$BK$152,'2024数据'!$T$3:$T$152,"&gt;="&amp;DATE(2024,9,1),'2024数据'!$T$3:$T$152,"&lt;="&amp;DATE(2024,9,30),'2024数据'!$B$3:$B$152,$E1398)/10000</f>
        <v>0</v>
      </c>
      <c r="O1398" s="121">
        <f>SUMIFS('2024数据'!$BK$3:$BK$152,'2024数据'!$T$3:$T$152,"&gt;="&amp;DATE(2024,10,1),'2024数据'!$T$3:$T$152,"&lt;="&amp;DATE(2024,10,31),'2024数据'!$B$3:$B$152,$E1398)/10000</f>
        <v>1.05182</v>
      </c>
      <c r="P1398" s="121">
        <f>SUMIFS('2024数据'!$BK$3:$BK$152,'2024数据'!$T$3:$T$152,"&gt;="&amp;DATE(2024,11,1),'2024数据'!$T$3:$T$152,"&lt;="&amp;DATE(2024,11,30),'2024数据'!$B$3:$B$152,$E1398)/10000</f>
        <v>0.814562</v>
      </c>
      <c r="Q1398" s="121">
        <f>SUMIFS('2024数据'!$BK$3:$BK$152,'2024数据'!$T$3:$T$152,"&gt;="&amp;DATE(2024,12,1),'2024数据'!$T$3:$T$152,"&lt;="&amp;DATE(2024,12,31),'2024数据'!$B$3:$B$152,$E1398)/10000</f>
        <v>0.411307</v>
      </c>
    </row>
    <row r="1399" ht="24" customHeight="1" spans="1:17">
      <c r="A1399" s="99" t="s">
        <v>348</v>
      </c>
      <c r="B1399" s="99" t="s">
        <v>299</v>
      </c>
      <c r="C1399" s="99" t="s">
        <v>333</v>
      </c>
      <c r="D1399" s="47" t="s">
        <v>294</v>
      </c>
      <c r="E1399" s="47" t="s">
        <v>85</v>
      </c>
      <c r="F1399" s="121">
        <f>SUMIFS('2024数据'!$BK$3:$BK$152,'2024数据'!$T$3:$T$152,"&gt;="&amp;DATE(2024,1,1),'2024数据'!$T$3:$T$152,"&lt;="&amp;DATE(2024,1,31),'2024数据'!$B$3:$B$152,$E1399)/10000</f>
        <v>0.338204</v>
      </c>
      <c r="G1399" s="121">
        <f>SUMIFS('2024数据'!$BK$3:$BK$152,'2024数据'!$T$3:$T$152,"&gt;="&amp;DATE(2024,2,1),'2024数据'!$T$3:$T$152,"&lt;="&amp;DATE(2024,2,29),'2024数据'!$B$3:$B$152,$E1399)/10000</f>
        <v>0.077991</v>
      </c>
      <c r="H1399" s="121">
        <f>SUMIFS('2024数据'!$BK$3:$BK$152,'2024数据'!$T$3:$T$152,"&gt;="&amp;DATE(2024,3,1),'2024数据'!$T$3:$T$152,"&lt;="&amp;DATE(2024,3,31),'2024数据'!$B$3:$B$152,$E1399)/10000</f>
        <v>3.405824</v>
      </c>
      <c r="I1399" s="121">
        <f>SUMIFS('2024数据'!$BK$3:$BK$152,'2024数据'!$T$3:$T$152,"&gt;="&amp;DATE(2024,4,1),'2024数据'!$T$3:$T$152,"&lt;="&amp;DATE(2024,4,30),'2024数据'!$B$3:$B$152,$E1399)/10000</f>
        <v>1.230126</v>
      </c>
      <c r="J1399" s="121">
        <f>SUMIFS('2024数据'!$BK$3:$BK$152,'2024数据'!$T$3:$T$152,"&gt;="&amp;DATE(2024,5,1),'2024数据'!$T$3:$T$152,"&lt;="&amp;DATE(2024,5,31),'2024数据'!$B$3:$B$152,$E1399)/10000</f>
        <v>0.362574</v>
      </c>
      <c r="K1399" s="121">
        <f>SUMIFS('2024数据'!$BK$3:$BK$152,'2024数据'!$T$3:$T$152,"&gt;="&amp;DATE(2024,6,1),'2024数据'!$T$3:$T$152,"&lt;="&amp;DATE(2024,6,30),'2024数据'!$B$3:$B$152,$E1399)/10000</f>
        <v>0.353572</v>
      </c>
      <c r="L1399" s="121">
        <f>SUMIFS('2024数据'!$BK$3:$BK$152,'2024数据'!$T$3:$T$152,"&gt;="&amp;DATE(2024,7,1),'2024数据'!$T$3:$T$152,"&lt;="&amp;DATE(2024,7,31),'2024数据'!$B$3:$B$152,$E1399)/10000</f>
        <v>0.433767</v>
      </c>
      <c r="M1399" s="121">
        <f>SUMIFS('2024数据'!$BK$3:$BK$152,'2024数据'!$T$3:$T$152,"&gt;="&amp;DATE(2024,8,1),'2024数据'!$T$3:$T$152,"&lt;="&amp;DATE(2024,8,31),'2024数据'!$B$3:$B$152,$E1399)/10000</f>
        <v>0</v>
      </c>
      <c r="N1399" s="121">
        <f>SUMIFS('2024数据'!$BK$3:$BK$152,'2024数据'!$T$3:$T$152,"&gt;="&amp;DATE(2024,9,1),'2024数据'!$T$3:$T$152,"&lt;="&amp;DATE(2024,9,30),'2024数据'!$B$3:$B$152,$E1399)/10000</f>
        <v>0</v>
      </c>
      <c r="O1399" s="121">
        <f>SUMIFS('2024数据'!$BK$3:$BK$152,'2024数据'!$T$3:$T$152,"&gt;="&amp;DATE(2024,10,1),'2024数据'!$T$3:$T$152,"&lt;="&amp;DATE(2024,10,31),'2024数据'!$B$3:$B$152,$E1399)/10000</f>
        <v>0.156231</v>
      </c>
      <c r="P1399" s="121">
        <f>SUMIFS('2024数据'!$BK$3:$BK$152,'2024数据'!$T$3:$T$152,"&gt;="&amp;DATE(2024,11,1),'2024数据'!$T$3:$T$152,"&lt;="&amp;DATE(2024,11,30),'2024数据'!$B$3:$B$152,$E1399)/10000</f>
        <v>0.086118</v>
      </c>
      <c r="Q1399" s="121">
        <f>SUMIFS('2024数据'!$BK$3:$BK$152,'2024数据'!$T$3:$T$152,"&gt;="&amp;DATE(2024,12,1),'2024数据'!$T$3:$T$152,"&lt;="&amp;DATE(2024,12,31),'2024数据'!$B$3:$B$152,$E1399)/10000</f>
        <v>2.604999</v>
      </c>
    </row>
    <row r="1400" ht="24" customHeight="1" spans="1:17">
      <c r="A1400" s="99" t="s">
        <v>348</v>
      </c>
      <c r="B1400" s="99" t="s">
        <v>299</v>
      </c>
      <c r="C1400" s="99" t="s">
        <v>333</v>
      </c>
      <c r="D1400" s="47" t="s">
        <v>294</v>
      </c>
      <c r="E1400" s="47" t="s">
        <v>81</v>
      </c>
      <c r="F1400" s="121">
        <f>SUMIFS('2024数据'!$BK$3:$BK$152,'2024数据'!$T$3:$T$152,"&gt;="&amp;DATE(2024,1,1),'2024数据'!$T$3:$T$152,"&lt;="&amp;DATE(2024,1,31),'2024数据'!$B$3:$B$152,$E1400)/10000</f>
        <v>0</v>
      </c>
      <c r="G1400" s="121">
        <f>SUMIFS('2024数据'!$BK$3:$BK$152,'2024数据'!$T$3:$T$152,"&gt;="&amp;DATE(2024,2,1),'2024数据'!$T$3:$T$152,"&lt;="&amp;DATE(2024,2,29),'2024数据'!$B$3:$B$152,$E1400)/10000</f>
        <v>0</v>
      </c>
      <c r="H1400" s="121">
        <f>SUMIFS('2024数据'!$BK$3:$BK$152,'2024数据'!$T$3:$T$152,"&gt;="&amp;DATE(2024,3,1),'2024数据'!$T$3:$T$152,"&lt;="&amp;DATE(2024,3,31),'2024数据'!$B$3:$B$152,$E1400)/10000</f>
        <v>0</v>
      </c>
      <c r="I1400" s="121">
        <f>SUMIFS('2024数据'!$BK$3:$BK$152,'2024数据'!$T$3:$T$152,"&gt;="&amp;DATE(2024,4,1),'2024数据'!$T$3:$T$152,"&lt;="&amp;DATE(2024,4,30),'2024数据'!$B$3:$B$152,$E1400)/10000</f>
        <v>0.318394</v>
      </c>
      <c r="J1400" s="121">
        <f>SUMIFS('2024数据'!$BK$3:$BK$152,'2024数据'!$T$3:$T$152,"&gt;="&amp;DATE(2024,5,1),'2024数据'!$T$3:$T$152,"&lt;="&amp;DATE(2024,5,31),'2024数据'!$B$3:$B$152,$E1400)/10000</f>
        <v>3.229429</v>
      </c>
      <c r="K1400" s="121">
        <f>SUMIFS('2024数据'!$BK$3:$BK$152,'2024数据'!$T$3:$T$152,"&gt;="&amp;DATE(2024,6,1),'2024数据'!$T$3:$T$152,"&lt;="&amp;DATE(2024,6,30),'2024数据'!$B$3:$B$152,$E1400)/10000</f>
        <v>0.8162</v>
      </c>
      <c r="L1400" s="121">
        <f>SUMIFS('2024数据'!$BK$3:$BK$152,'2024数据'!$T$3:$T$152,"&gt;="&amp;DATE(2024,7,1),'2024数据'!$T$3:$T$152,"&lt;="&amp;DATE(2024,7,31),'2024数据'!$B$3:$B$152,$E1400)/10000</f>
        <v>0</v>
      </c>
      <c r="M1400" s="121">
        <f>SUMIFS('2024数据'!$BK$3:$BK$152,'2024数据'!$T$3:$T$152,"&gt;="&amp;DATE(2024,8,1),'2024数据'!$T$3:$T$152,"&lt;="&amp;DATE(2024,8,31),'2024数据'!$B$3:$B$152,$E1400)/10000</f>
        <v>0.119482</v>
      </c>
      <c r="N1400" s="121">
        <f>SUMIFS('2024数据'!$BK$3:$BK$152,'2024数据'!$T$3:$T$152,"&gt;="&amp;DATE(2024,9,1),'2024数据'!$T$3:$T$152,"&lt;="&amp;DATE(2024,9,30),'2024数据'!$B$3:$B$152,$E1400)/10000</f>
        <v>0.43835</v>
      </c>
      <c r="O1400" s="121">
        <f>SUMIFS('2024数据'!$BK$3:$BK$152,'2024数据'!$T$3:$T$152,"&gt;="&amp;DATE(2024,10,1),'2024数据'!$T$3:$T$152,"&lt;="&amp;DATE(2024,10,31),'2024数据'!$B$3:$B$152,$E1400)/10000</f>
        <v>0</v>
      </c>
      <c r="P1400" s="121">
        <f>SUMIFS('2024数据'!$BK$3:$BK$152,'2024数据'!$T$3:$T$152,"&gt;="&amp;DATE(2024,11,1),'2024数据'!$T$3:$T$152,"&lt;="&amp;DATE(2024,11,30),'2024数据'!$B$3:$B$152,$E1400)/10000</f>
        <v>0</v>
      </c>
      <c r="Q1400" s="121">
        <f>SUMIFS('2024数据'!$BK$3:$BK$152,'2024数据'!$T$3:$T$152,"&gt;="&amp;DATE(2024,12,1),'2024数据'!$T$3:$T$152,"&lt;="&amp;DATE(2024,12,31),'2024数据'!$B$3:$B$152,$E1400)/10000</f>
        <v>0.45082</v>
      </c>
    </row>
    <row r="1401" ht="24" customHeight="1" spans="1:17">
      <c r="A1401" s="99" t="s">
        <v>348</v>
      </c>
      <c r="B1401" s="99" t="s">
        <v>299</v>
      </c>
      <c r="C1401" s="99" t="s">
        <v>333</v>
      </c>
      <c r="D1401" s="47" t="s">
        <v>294</v>
      </c>
      <c r="E1401" s="47" t="s">
        <v>96</v>
      </c>
      <c r="F1401" s="121">
        <f>SUMIFS('2024数据'!$BK$3:$BK$152,'2024数据'!$T$3:$T$152,"&gt;="&amp;DATE(2024,1,1),'2024数据'!$T$3:$T$152,"&lt;="&amp;DATE(2024,1,31),'2024数据'!$B$3:$B$152,$E1401)/10000</f>
        <v>0</v>
      </c>
      <c r="G1401" s="121">
        <f>SUMIFS('2024数据'!$BK$3:$BK$152,'2024数据'!$T$3:$T$152,"&gt;="&amp;DATE(2024,2,1),'2024数据'!$T$3:$T$152,"&lt;="&amp;DATE(2024,2,29),'2024数据'!$B$3:$B$152,$E1401)/10000</f>
        <v>0</v>
      </c>
      <c r="H1401" s="121">
        <f>SUMIFS('2024数据'!$BK$3:$BK$152,'2024数据'!$T$3:$T$152,"&gt;="&amp;DATE(2024,3,1),'2024数据'!$T$3:$T$152,"&lt;="&amp;DATE(2024,3,31),'2024数据'!$B$3:$B$152,$E1401)/10000</f>
        <v>0.851377</v>
      </c>
      <c r="I1401" s="121">
        <f>SUMIFS('2024数据'!$BK$3:$BK$152,'2024数据'!$T$3:$T$152,"&gt;="&amp;DATE(2024,4,1),'2024数据'!$T$3:$T$152,"&lt;="&amp;DATE(2024,4,30),'2024数据'!$B$3:$B$152,$E1401)/10000</f>
        <v>0.640894</v>
      </c>
      <c r="J1401" s="121">
        <f>SUMIFS('2024数据'!$BK$3:$BK$152,'2024数据'!$T$3:$T$152,"&gt;="&amp;DATE(2024,5,1),'2024数据'!$T$3:$T$152,"&lt;="&amp;DATE(2024,5,31),'2024数据'!$B$3:$B$152,$E1401)/10000</f>
        <v>0</v>
      </c>
      <c r="K1401" s="121">
        <f>SUMIFS('2024数据'!$BK$3:$BK$152,'2024数据'!$T$3:$T$152,"&gt;="&amp;DATE(2024,6,1),'2024数据'!$T$3:$T$152,"&lt;="&amp;DATE(2024,6,30),'2024数据'!$B$3:$B$152,$E1401)/10000</f>
        <v>8.884145</v>
      </c>
      <c r="L1401" s="121">
        <f>SUMIFS('2024数据'!$BK$3:$BK$152,'2024数据'!$T$3:$T$152,"&gt;="&amp;DATE(2024,7,1),'2024数据'!$T$3:$T$152,"&lt;="&amp;DATE(2024,7,31),'2024数据'!$B$3:$B$152,$E1401)/10000</f>
        <v>0</v>
      </c>
      <c r="M1401" s="121">
        <f>SUMIFS('2024数据'!$BK$3:$BK$152,'2024数据'!$T$3:$T$152,"&gt;="&amp;DATE(2024,8,1),'2024数据'!$T$3:$T$152,"&lt;="&amp;DATE(2024,8,31),'2024数据'!$B$3:$B$152,$E1401)/10000</f>
        <v>0</v>
      </c>
      <c r="N1401" s="121">
        <f>SUMIFS('2024数据'!$BK$3:$BK$152,'2024数据'!$T$3:$T$152,"&gt;="&amp;DATE(2024,9,1),'2024数据'!$T$3:$T$152,"&lt;="&amp;DATE(2024,9,30),'2024数据'!$B$3:$B$152,$E1401)/10000</f>
        <v>0</v>
      </c>
      <c r="O1401" s="121">
        <f>SUMIFS('2024数据'!$BK$3:$BK$152,'2024数据'!$T$3:$T$152,"&gt;="&amp;DATE(2024,10,1),'2024数据'!$T$3:$T$152,"&lt;="&amp;DATE(2024,10,31),'2024数据'!$B$3:$B$152,$E1401)/10000</f>
        <v>0</v>
      </c>
      <c r="P1401" s="121">
        <f>SUMIFS('2024数据'!$BK$3:$BK$152,'2024数据'!$T$3:$T$152,"&gt;="&amp;DATE(2024,11,1),'2024数据'!$T$3:$T$152,"&lt;="&amp;DATE(2024,11,30),'2024数据'!$B$3:$B$152,$E1401)/10000</f>
        <v>0</v>
      </c>
      <c r="Q1401" s="121">
        <f>SUMIFS('2024数据'!$BK$3:$BK$152,'2024数据'!$T$3:$T$152,"&gt;="&amp;DATE(2024,12,1),'2024数据'!$T$3:$T$152,"&lt;="&amp;DATE(2024,12,31),'2024数据'!$B$3:$B$152,$E1401)/10000</f>
        <v>0.988952</v>
      </c>
    </row>
    <row r="1402" ht="24" customHeight="1" spans="1:17">
      <c r="A1402" s="99" t="s">
        <v>348</v>
      </c>
      <c r="B1402" s="99" t="s">
        <v>299</v>
      </c>
      <c r="C1402" s="99" t="s">
        <v>333</v>
      </c>
      <c r="D1402" s="47" t="s">
        <v>294</v>
      </c>
      <c r="E1402" s="47" t="s">
        <v>160</v>
      </c>
      <c r="F1402" s="121">
        <f t="shared" ref="F1402:Q1402" si="1031">SUM(F1392:F1397)-SUM(F1398:F1401)</f>
        <v>0</v>
      </c>
      <c r="G1402" s="121">
        <f t="shared" si="1031"/>
        <v>0</v>
      </c>
      <c r="H1402" s="121">
        <f t="shared" si="1031"/>
        <v>0</v>
      </c>
      <c r="I1402" s="121">
        <f t="shared" si="1031"/>
        <v>0</v>
      </c>
      <c r="J1402" s="121">
        <f t="shared" si="1031"/>
        <v>0</v>
      </c>
      <c r="K1402" s="121">
        <f t="shared" si="1031"/>
        <v>0</v>
      </c>
      <c r="L1402" s="121">
        <f t="shared" si="1031"/>
        <v>0</v>
      </c>
      <c r="M1402" s="121">
        <f t="shared" si="1031"/>
        <v>0</v>
      </c>
      <c r="N1402" s="121">
        <f t="shared" si="1031"/>
        <v>0</v>
      </c>
      <c r="O1402" s="121">
        <f t="shared" si="1031"/>
        <v>0</v>
      </c>
      <c r="P1402" s="121">
        <f t="shared" si="1031"/>
        <v>0</v>
      </c>
      <c r="Q1402" s="121">
        <f t="shared" si="1031"/>
        <v>0</v>
      </c>
    </row>
    <row r="1403" ht="24" customHeight="1" spans="1:17">
      <c r="A1403" s="99" t="s">
        <v>348</v>
      </c>
      <c r="B1403" s="99" t="s">
        <v>299</v>
      </c>
      <c r="C1403" s="99" t="s">
        <v>336</v>
      </c>
      <c r="D1403" s="114" t="s">
        <v>292</v>
      </c>
      <c r="E1403" s="114" t="s">
        <v>300</v>
      </c>
      <c r="F1403" s="120">
        <f t="shared" ref="F1403:Q1403" si="1032">SUM(F1404:F1409)</f>
        <v>2.397307</v>
      </c>
      <c r="G1403" s="120">
        <f t="shared" si="1032"/>
        <v>0.672889</v>
      </c>
      <c r="H1403" s="120">
        <f t="shared" si="1032"/>
        <v>4.846262</v>
      </c>
      <c r="I1403" s="120">
        <f t="shared" si="1032"/>
        <v>7.178931</v>
      </c>
      <c r="J1403" s="120">
        <f t="shared" si="1032"/>
        <v>5.727542</v>
      </c>
      <c r="K1403" s="120">
        <f t="shared" si="1032"/>
        <v>12.734034</v>
      </c>
      <c r="L1403" s="120">
        <f t="shared" si="1032"/>
        <v>2.041554</v>
      </c>
      <c r="M1403" s="120">
        <f t="shared" si="1032"/>
        <v>0.242198</v>
      </c>
      <c r="N1403" s="120">
        <f t="shared" si="1032"/>
        <v>0.44524</v>
      </c>
      <c r="O1403" s="120">
        <f t="shared" si="1032"/>
        <v>1.226681</v>
      </c>
      <c r="P1403" s="120">
        <f t="shared" si="1032"/>
        <v>0.906858</v>
      </c>
      <c r="Q1403" s="120">
        <f t="shared" si="1032"/>
        <v>4.535337</v>
      </c>
    </row>
    <row r="1404" ht="24" customHeight="1" spans="1:17">
      <c r="A1404" s="99" t="s">
        <v>348</v>
      </c>
      <c r="B1404" s="99" t="s">
        <v>299</v>
      </c>
      <c r="C1404" s="99" t="s">
        <v>336</v>
      </c>
      <c r="D1404" s="48" t="s">
        <v>31</v>
      </c>
      <c r="E1404" s="48" t="s">
        <v>406</v>
      </c>
      <c r="F1404" s="121">
        <f>SUMIFS('2024数据'!$BI$3:$BI$152,'2024数据'!$T$3:$T$152,"&gt;="&amp;DATE(2024,1,1),'2024数据'!$T$3:$T$152,"&lt;="&amp;DATE(2024,1,31),'2024数据'!$AE$3:$AE$152,$E1404)/10000</f>
        <v>0</v>
      </c>
      <c r="G1404" s="121">
        <f>SUMIFS('2024数据'!$BI$3:$BI$152,'2024数据'!$T$3:$T$152,"&gt;="&amp;DATE(2024,2,1),'2024数据'!$T$3:$T$152,"&lt;="&amp;DATE(2024,2,29),'2024数据'!$AE$3:$AE$152,$E1404)/10000</f>
        <v>0.334408</v>
      </c>
      <c r="H1404" s="121">
        <f>SUMIFS('2024数据'!$BI$3:$BI$152,'2024数据'!$T$3:$T$152,"&gt;="&amp;DATE(2024,3,1),'2024数据'!$T$3:$T$152,"&lt;="&amp;DATE(2024,3,31),'2024数据'!$AE$3:$AE$152,$E1404)/10000</f>
        <v>3.503366</v>
      </c>
      <c r="I1404" s="121">
        <f>SUMIFS('2024数据'!$BI$3:$BI$152,'2024数据'!$T$3:$T$152,"&gt;="&amp;DATE(2024,4,1),'2024数据'!$T$3:$T$152,"&lt;="&amp;DATE(2024,4,30),'2024数据'!$AE$3:$AE$152,$E1404)/10000</f>
        <v>1.315154</v>
      </c>
      <c r="J1404" s="121">
        <f>SUMIFS('2024数据'!$BI$3:$BI$152,'2024数据'!$T$3:$T$152,"&gt;="&amp;DATE(2024,5,1),'2024数据'!$T$3:$T$152,"&lt;="&amp;DATE(2024,5,31),'2024数据'!$AE$3:$AE$152,$E1404)/10000</f>
        <v>2.446739</v>
      </c>
      <c r="K1404" s="121">
        <f>SUMIFS('2024数据'!$BI$3:$BI$152,'2024数据'!$T$3:$T$152,"&gt;="&amp;DATE(2024,6,1),'2024数据'!$T$3:$T$152,"&lt;="&amp;DATE(2024,6,30),'2024数据'!$AE$3:$AE$152,$E1404)/10000</f>
        <v>10.191726</v>
      </c>
      <c r="L1404" s="121">
        <f>SUMIFS('2024数据'!$BI$3:$BI$152,'2024数据'!$T$3:$T$152,"&gt;="&amp;DATE(2024,7,1),'2024数据'!$T$3:$T$152,"&lt;="&amp;DATE(2024,7,31),'2024数据'!$AE$3:$AE$152,$E1404)/10000</f>
        <v>0.440585</v>
      </c>
      <c r="M1404" s="121">
        <f>SUMIFS('2024数据'!$BI$3:$BI$152,'2024数据'!$T$3:$T$152,"&gt;="&amp;DATE(2024,8,1),'2024数据'!$T$3:$T$152,"&lt;="&amp;DATE(2024,8,31),'2024数据'!$AE$3:$AE$152,$E1404)/10000</f>
        <v>0</v>
      </c>
      <c r="N1404" s="121">
        <f>SUMIFS('2024数据'!$BI$3:$BI$152,'2024数据'!$T$3:$T$152,"&gt;="&amp;DATE(2024,9,1),'2024数据'!$T$3:$T$152,"&lt;="&amp;DATE(2024,9,30),'2024数据'!$AE$3:$AE$152,$E1404)/10000</f>
        <v>0.44524</v>
      </c>
      <c r="O1404" s="121">
        <f>SUMIFS('2024数据'!$BI$3:$BI$152,'2024数据'!$T$3:$T$152,"&gt;="&amp;DATE(2024,10,1),'2024数据'!$T$3:$T$152,"&lt;="&amp;DATE(2024,10,31),'2024数据'!$AE$3:$AE$152,$E1404)/10000</f>
        <v>0</v>
      </c>
      <c r="P1404" s="121">
        <f>SUMIFS('2024数据'!$BI$3:$BI$152,'2024数据'!$T$3:$T$152,"&gt;="&amp;DATE(2024,11,1),'2024数据'!$T$3:$T$152,"&lt;="&amp;DATE(2024,11,30),'2024数据'!$AE$3:$AE$152,$E1404)/10000</f>
        <v>0</v>
      </c>
      <c r="Q1404" s="121">
        <f>SUMIFS('2024数据'!$BI$3:$BI$152,'2024数据'!$T$3:$T$152,"&gt;="&amp;DATE(2024,12,1),'2024数据'!$T$3:$T$152,"&lt;="&amp;DATE(2024,12,31),'2024数据'!$AE$3:$AE$152,$E1404)/10000</f>
        <v>2.29929</v>
      </c>
    </row>
    <row r="1405" ht="24" customHeight="1" spans="1:17">
      <c r="A1405" s="99" t="s">
        <v>348</v>
      </c>
      <c r="B1405" s="99" t="s">
        <v>299</v>
      </c>
      <c r="C1405" s="99" t="s">
        <v>336</v>
      </c>
      <c r="D1405" s="48" t="s">
        <v>31</v>
      </c>
      <c r="E1405" s="48" t="s">
        <v>82</v>
      </c>
      <c r="F1405" s="121">
        <f>SUMIFS('2024数据'!$BI$3:$BI$152,'2024数据'!$T$3:$T$152,"&gt;="&amp;DATE(2024,1,1),'2024数据'!$T$3:$T$152,"&lt;="&amp;DATE(2024,1,31),'2024数据'!$AE$3:$AE$152,$E1405)/10000</f>
        <v>0.340862</v>
      </c>
      <c r="G1405" s="121">
        <f>SUMIFS('2024数据'!$BI$3:$BI$152,'2024数据'!$T$3:$T$152,"&gt;="&amp;DATE(2024,2,1),'2024数据'!$T$3:$T$152,"&lt;="&amp;DATE(2024,2,29),'2024数据'!$AE$3:$AE$152,$E1405)/10000</f>
        <v>0</v>
      </c>
      <c r="H1405" s="121">
        <f>SUMIFS('2024数据'!$BI$3:$BI$152,'2024数据'!$T$3:$T$152,"&gt;="&amp;DATE(2024,3,1),'2024数据'!$T$3:$T$152,"&lt;="&amp;DATE(2024,3,31),'2024数据'!$AE$3:$AE$152,$E1405)/10000</f>
        <v>0.477863</v>
      </c>
      <c r="I1405" s="121">
        <f>SUMIFS('2024数据'!$BI$3:$BI$152,'2024数据'!$T$3:$T$152,"&gt;="&amp;DATE(2024,4,1),'2024数据'!$T$3:$T$152,"&lt;="&amp;DATE(2024,4,30),'2024数据'!$AE$3:$AE$152,$E1405)/10000</f>
        <v>0.406432</v>
      </c>
      <c r="J1405" s="121">
        <f>SUMIFS('2024数据'!$BI$3:$BI$152,'2024数据'!$T$3:$T$152,"&gt;="&amp;DATE(2024,5,1),'2024数据'!$T$3:$T$152,"&lt;="&amp;DATE(2024,5,31),'2024数据'!$AE$3:$AE$152,$E1405)/10000</f>
        <v>2.91253</v>
      </c>
      <c r="K1405" s="121">
        <f>SUMIFS('2024数据'!$BI$3:$BI$152,'2024数据'!$T$3:$T$152,"&gt;="&amp;DATE(2024,6,1),'2024数据'!$T$3:$T$152,"&lt;="&amp;DATE(2024,6,30),'2024数据'!$AE$3:$AE$152,$E1405)/10000</f>
        <v>0.83532</v>
      </c>
      <c r="L1405" s="121">
        <f>SUMIFS('2024数据'!$BI$3:$BI$152,'2024数据'!$T$3:$T$152,"&gt;="&amp;DATE(2024,7,1),'2024数据'!$T$3:$T$152,"&lt;="&amp;DATE(2024,7,31),'2024数据'!$AE$3:$AE$152,$E1405)/10000</f>
        <v>1.170761</v>
      </c>
      <c r="M1405" s="121">
        <f>SUMIFS('2024数据'!$BI$3:$BI$152,'2024数据'!$T$3:$T$152,"&gt;="&amp;DATE(2024,8,1),'2024数据'!$T$3:$T$152,"&lt;="&amp;DATE(2024,8,31),'2024数据'!$AE$3:$AE$152,$E1405)/10000</f>
        <v>0</v>
      </c>
      <c r="N1405" s="121">
        <f>SUMIFS('2024数据'!$BI$3:$BI$152,'2024数据'!$T$3:$T$152,"&gt;="&amp;DATE(2024,9,1),'2024数据'!$T$3:$T$152,"&lt;="&amp;DATE(2024,9,30),'2024数据'!$AE$3:$AE$152,$E1405)/10000</f>
        <v>0</v>
      </c>
      <c r="O1405" s="121">
        <f>SUMIFS('2024数据'!$BI$3:$BI$152,'2024数据'!$T$3:$T$152,"&gt;="&amp;DATE(2024,10,1),'2024数据'!$T$3:$T$152,"&lt;="&amp;DATE(2024,10,31),'2024数据'!$AE$3:$AE$152,$E1405)/10000</f>
        <v>0.157458</v>
      </c>
      <c r="P1405" s="121">
        <f>SUMIFS('2024数据'!$BI$3:$BI$152,'2024数据'!$T$3:$T$152,"&gt;="&amp;DATE(2024,11,1),'2024数据'!$T$3:$T$152,"&lt;="&amp;DATE(2024,11,30),'2024数据'!$AE$3:$AE$152,$E1405)/10000</f>
        <v>0.451615</v>
      </c>
      <c r="Q1405" s="121">
        <f>SUMIFS('2024数据'!$BI$3:$BI$152,'2024数据'!$T$3:$T$152,"&gt;="&amp;DATE(2024,12,1),'2024数据'!$T$3:$T$152,"&lt;="&amp;DATE(2024,12,31),'2024数据'!$AE$3:$AE$152,$E1405)/10000</f>
        <v>0</v>
      </c>
    </row>
    <row r="1406" ht="24" customHeight="1" spans="1:17">
      <c r="A1406" s="99" t="s">
        <v>348</v>
      </c>
      <c r="B1406" s="99" t="s">
        <v>299</v>
      </c>
      <c r="C1406" s="99" t="s">
        <v>336</v>
      </c>
      <c r="D1406" s="48" t="s">
        <v>31</v>
      </c>
      <c r="E1406" s="48" t="s">
        <v>86</v>
      </c>
      <c r="F1406" s="121">
        <f>SUMIFS('2024数据'!$BI$3:$BI$152,'2024数据'!$T$3:$T$152,"&gt;="&amp;DATE(2024,1,1),'2024数据'!$T$3:$T$152,"&lt;="&amp;DATE(2024,1,31),'2024数据'!$AE$3:$AE$152,$E1406)/10000</f>
        <v>0</v>
      </c>
      <c r="G1406" s="121">
        <f>SUMIFS('2024数据'!$BI$3:$BI$152,'2024数据'!$T$3:$T$152,"&gt;="&amp;DATE(2024,2,1),'2024数据'!$T$3:$T$152,"&lt;="&amp;DATE(2024,2,29),'2024数据'!$AE$3:$AE$152,$E1406)/10000</f>
        <v>0</v>
      </c>
      <c r="H1406" s="121">
        <f>SUMIFS('2024数据'!$BI$3:$BI$152,'2024数据'!$T$3:$T$152,"&gt;="&amp;DATE(2024,3,1),'2024数据'!$T$3:$T$152,"&lt;="&amp;DATE(2024,3,31),'2024数据'!$AE$3:$AE$152,$E1406)/10000</f>
        <v>0.865033</v>
      </c>
      <c r="I1406" s="121">
        <f>SUMIFS('2024数据'!$BI$3:$BI$152,'2024数据'!$T$3:$T$152,"&gt;="&amp;DATE(2024,4,1),'2024数据'!$T$3:$T$152,"&lt;="&amp;DATE(2024,4,30),'2024数据'!$AE$3:$AE$152,$E1406)/10000</f>
        <v>0.651687</v>
      </c>
      <c r="J1406" s="121">
        <f>SUMIFS('2024数据'!$BI$3:$BI$152,'2024数据'!$T$3:$T$152,"&gt;="&amp;DATE(2024,5,1),'2024数据'!$T$3:$T$152,"&lt;="&amp;DATE(2024,5,31),'2024数据'!$AE$3:$AE$152,$E1406)/10000</f>
        <v>0.368273</v>
      </c>
      <c r="K1406" s="121">
        <f>SUMIFS('2024数据'!$BI$3:$BI$152,'2024数据'!$T$3:$T$152,"&gt;="&amp;DATE(2024,6,1),'2024数据'!$T$3:$T$152,"&lt;="&amp;DATE(2024,6,30),'2024数据'!$AE$3:$AE$152,$E1406)/10000</f>
        <v>0.35913</v>
      </c>
      <c r="L1406" s="121">
        <f>SUMIFS('2024数据'!$BI$3:$BI$152,'2024数据'!$T$3:$T$152,"&gt;="&amp;DATE(2024,7,1),'2024数据'!$T$3:$T$152,"&lt;="&amp;DATE(2024,7,31),'2024数据'!$AE$3:$AE$152,$E1406)/10000</f>
        <v>0</v>
      </c>
      <c r="M1406" s="121">
        <f>SUMIFS('2024数据'!$BI$3:$BI$152,'2024数据'!$T$3:$T$152,"&gt;="&amp;DATE(2024,8,1),'2024数据'!$T$3:$T$152,"&lt;="&amp;DATE(2024,8,31),'2024数据'!$AE$3:$AE$152,$E1406)/10000</f>
        <v>0.242198</v>
      </c>
      <c r="N1406" s="121">
        <f>SUMIFS('2024数据'!$BI$3:$BI$152,'2024数据'!$T$3:$T$152,"&gt;="&amp;DATE(2024,9,1),'2024数据'!$T$3:$T$152,"&lt;="&amp;DATE(2024,9,30),'2024数据'!$AE$3:$AE$152,$E1406)/10000</f>
        <v>0</v>
      </c>
      <c r="O1406" s="121">
        <f>SUMIFS('2024数据'!$BI$3:$BI$152,'2024数据'!$T$3:$T$152,"&gt;="&amp;DATE(2024,10,1),'2024数据'!$T$3:$T$152,"&lt;="&amp;DATE(2024,10,31),'2024数据'!$AE$3:$AE$152,$E1406)/10000</f>
        <v>1.069223</v>
      </c>
      <c r="P1406" s="121">
        <f>SUMIFS('2024数据'!$BI$3:$BI$152,'2024数据'!$T$3:$T$152,"&gt;="&amp;DATE(2024,11,1),'2024数据'!$T$3:$T$152,"&lt;="&amp;DATE(2024,11,30),'2024数据'!$AE$3:$AE$152,$E1406)/10000</f>
        <v>0.369125</v>
      </c>
      <c r="Q1406" s="121">
        <f>SUMIFS('2024数据'!$BI$3:$BI$152,'2024数据'!$T$3:$T$152,"&gt;="&amp;DATE(2024,12,1),'2024数据'!$T$3:$T$152,"&lt;="&amp;DATE(2024,12,31),'2024数据'!$AE$3:$AE$152,$E1406)/10000</f>
        <v>0.457906</v>
      </c>
    </row>
    <row r="1407" ht="24" customHeight="1" spans="1:17">
      <c r="A1407" s="99" t="s">
        <v>348</v>
      </c>
      <c r="B1407" s="99" t="s">
        <v>299</v>
      </c>
      <c r="C1407" s="99" t="s">
        <v>336</v>
      </c>
      <c r="D1407" s="48" t="s">
        <v>31</v>
      </c>
      <c r="E1407" s="48" t="s">
        <v>97</v>
      </c>
      <c r="F1407" s="121">
        <f>SUMIFS('2024数据'!$BI$3:$BI$152,'2024数据'!$T$3:$T$152,"&gt;="&amp;DATE(2024,1,1),'2024数据'!$T$3:$T$152,"&lt;="&amp;DATE(2024,1,31),'2024数据'!$AE$3:$AE$152,$E1407)/10000</f>
        <v>2.056445</v>
      </c>
      <c r="G1407" s="121">
        <f>SUMIFS('2024数据'!$BI$3:$BI$152,'2024数据'!$T$3:$T$152,"&gt;="&amp;DATE(2024,2,1),'2024数据'!$T$3:$T$152,"&lt;="&amp;DATE(2024,2,29),'2024数据'!$AE$3:$AE$152,$E1407)/10000</f>
        <v>0</v>
      </c>
      <c r="H1407" s="121">
        <f>SUMIFS('2024数据'!$BI$3:$BI$152,'2024数据'!$T$3:$T$152,"&gt;="&amp;DATE(2024,3,1),'2024数据'!$T$3:$T$152,"&lt;="&amp;DATE(2024,3,31),'2024数据'!$AE$3:$AE$152,$E1407)/10000</f>
        <v>0</v>
      </c>
      <c r="I1407" s="121">
        <f>SUMIFS('2024数据'!$BI$3:$BI$152,'2024数据'!$T$3:$T$152,"&gt;="&amp;DATE(2024,4,1),'2024数据'!$T$3:$T$152,"&lt;="&amp;DATE(2024,4,30),'2024数据'!$AE$3:$AE$152,$E1407)/10000</f>
        <v>0.253457</v>
      </c>
      <c r="J1407" s="121">
        <f>SUMIFS('2024数据'!$BI$3:$BI$152,'2024数据'!$T$3:$T$152,"&gt;="&amp;DATE(2024,5,1),'2024数据'!$T$3:$T$152,"&lt;="&amp;DATE(2024,5,31),'2024数据'!$AE$3:$AE$152,$E1407)/10000</f>
        <v>0</v>
      </c>
      <c r="K1407" s="121">
        <f>SUMIFS('2024数据'!$BI$3:$BI$152,'2024数据'!$T$3:$T$152,"&gt;="&amp;DATE(2024,6,1),'2024数据'!$T$3:$T$152,"&lt;="&amp;DATE(2024,6,30),'2024数据'!$AE$3:$AE$152,$E1407)/10000</f>
        <v>1.347858</v>
      </c>
      <c r="L1407" s="121">
        <f>SUMIFS('2024数据'!$BI$3:$BI$152,'2024数据'!$T$3:$T$152,"&gt;="&amp;DATE(2024,7,1),'2024数据'!$T$3:$T$152,"&lt;="&amp;DATE(2024,7,31),'2024数据'!$AE$3:$AE$152,$E1407)/10000</f>
        <v>0.430208</v>
      </c>
      <c r="M1407" s="121">
        <f>SUMIFS('2024数据'!$BI$3:$BI$152,'2024数据'!$T$3:$T$152,"&gt;="&amp;DATE(2024,8,1),'2024数据'!$T$3:$T$152,"&lt;="&amp;DATE(2024,8,31),'2024数据'!$AE$3:$AE$152,$E1407)/10000</f>
        <v>0</v>
      </c>
      <c r="N1407" s="121">
        <f>SUMIFS('2024数据'!$BI$3:$BI$152,'2024数据'!$T$3:$T$152,"&gt;="&amp;DATE(2024,9,1),'2024数据'!$T$3:$T$152,"&lt;="&amp;DATE(2024,9,30),'2024数据'!$AE$3:$AE$152,$E1407)/10000</f>
        <v>0</v>
      </c>
      <c r="O1407" s="121">
        <f>SUMIFS('2024数据'!$BI$3:$BI$152,'2024数据'!$T$3:$T$152,"&gt;="&amp;DATE(2024,10,1),'2024数据'!$T$3:$T$152,"&lt;="&amp;DATE(2024,10,31),'2024数据'!$AE$3:$AE$152,$E1407)/10000</f>
        <v>0</v>
      </c>
      <c r="P1407" s="121">
        <f>SUMIFS('2024数据'!$BI$3:$BI$152,'2024数据'!$T$3:$T$152,"&gt;="&amp;DATE(2024,11,1),'2024数据'!$T$3:$T$152,"&lt;="&amp;DATE(2024,11,30),'2024数据'!$AE$3:$AE$152,$E1407)/10000</f>
        <v>0.086118</v>
      </c>
      <c r="Q1407" s="121">
        <f>SUMIFS('2024数据'!$BI$3:$BI$152,'2024数据'!$T$3:$T$152,"&gt;="&amp;DATE(2024,12,1),'2024数据'!$T$3:$T$152,"&lt;="&amp;DATE(2024,12,31),'2024数据'!$AE$3:$AE$152,$E1407)/10000</f>
        <v>0</v>
      </c>
    </row>
    <row r="1408" ht="24" customHeight="1" spans="1:17">
      <c r="A1408" s="99" t="s">
        <v>348</v>
      </c>
      <c r="B1408" s="99" t="s">
        <v>299</v>
      </c>
      <c r="C1408" s="99" t="s">
        <v>336</v>
      </c>
      <c r="D1408" s="48" t="s">
        <v>31</v>
      </c>
      <c r="E1408" s="48" t="s">
        <v>87</v>
      </c>
      <c r="F1408" s="121">
        <f>SUMIFS('2024数据'!$BI$3:$BI$152,'2024数据'!$T$3:$T$152,"&gt;="&amp;DATE(2024,1,1),'2024数据'!$T$3:$T$152,"&lt;="&amp;DATE(2024,1,31),'2024数据'!$AE$3:$AE$152,$E1408)/10000</f>
        <v>0</v>
      </c>
      <c r="G1408" s="121">
        <f>SUMIFS('2024数据'!$BI$3:$BI$152,'2024数据'!$T$3:$T$152,"&gt;="&amp;DATE(2024,2,1),'2024数据'!$T$3:$T$152,"&lt;="&amp;DATE(2024,2,29),'2024数据'!$AE$3:$AE$152,$E1408)/10000</f>
        <v>0.338481</v>
      </c>
      <c r="H1408" s="121">
        <f>SUMIFS('2024数据'!$BI$3:$BI$152,'2024数据'!$T$3:$T$152,"&gt;="&amp;DATE(2024,3,1),'2024数据'!$T$3:$T$152,"&lt;="&amp;DATE(2024,3,31),'2024数据'!$AE$3:$AE$152,$E1408)/10000</f>
        <v>0</v>
      </c>
      <c r="I1408" s="121">
        <f>SUMIFS('2024数据'!$BI$3:$BI$152,'2024数据'!$T$3:$T$152,"&gt;="&amp;DATE(2024,4,1),'2024数据'!$T$3:$T$152,"&lt;="&amp;DATE(2024,4,30),'2024数据'!$AE$3:$AE$152,$E1408)/10000</f>
        <v>4.552201</v>
      </c>
      <c r="J1408" s="121">
        <f>SUMIFS('2024数据'!$BI$3:$BI$152,'2024数据'!$T$3:$T$152,"&gt;="&amp;DATE(2024,5,1),'2024数据'!$T$3:$T$152,"&lt;="&amp;DATE(2024,5,31),'2024数据'!$AE$3:$AE$152,$E1408)/10000</f>
        <v>0</v>
      </c>
      <c r="K1408" s="121">
        <f>SUMIFS('2024数据'!$BI$3:$BI$152,'2024数据'!$T$3:$T$152,"&gt;="&amp;DATE(2024,6,1),'2024数据'!$T$3:$T$152,"&lt;="&amp;DATE(2024,6,30),'2024数据'!$AE$3:$AE$152,$E1408)/10000</f>
        <v>0</v>
      </c>
      <c r="L1408" s="121">
        <f>SUMIFS('2024数据'!$BI$3:$BI$152,'2024数据'!$T$3:$T$152,"&gt;="&amp;DATE(2024,7,1),'2024数据'!$T$3:$T$152,"&lt;="&amp;DATE(2024,7,31),'2024数据'!$AE$3:$AE$152,$E1408)/10000</f>
        <v>0</v>
      </c>
      <c r="M1408" s="121">
        <f>SUMIFS('2024数据'!$BI$3:$BI$152,'2024数据'!$T$3:$T$152,"&gt;="&amp;DATE(2024,8,1),'2024数据'!$T$3:$T$152,"&lt;="&amp;DATE(2024,8,31),'2024数据'!$AE$3:$AE$152,$E1408)/10000</f>
        <v>0</v>
      </c>
      <c r="N1408" s="121">
        <f>SUMIFS('2024数据'!$BI$3:$BI$152,'2024数据'!$T$3:$T$152,"&gt;="&amp;DATE(2024,9,1),'2024数据'!$T$3:$T$152,"&lt;="&amp;DATE(2024,9,30),'2024数据'!$AE$3:$AE$152,$E1408)/10000</f>
        <v>0</v>
      </c>
      <c r="O1408" s="121">
        <f>SUMIFS('2024数据'!$BI$3:$BI$152,'2024数据'!$T$3:$T$152,"&gt;="&amp;DATE(2024,10,1),'2024数据'!$T$3:$T$152,"&lt;="&amp;DATE(2024,10,31),'2024数据'!$AE$3:$AE$152,$E1408)/10000</f>
        <v>0</v>
      </c>
      <c r="P1408" s="121">
        <f>SUMIFS('2024数据'!$BI$3:$BI$152,'2024数据'!$T$3:$T$152,"&gt;="&amp;DATE(2024,11,1),'2024数据'!$T$3:$T$152,"&lt;="&amp;DATE(2024,11,30),'2024数据'!$AE$3:$AE$152,$E1408)/10000</f>
        <v>0</v>
      </c>
      <c r="Q1408" s="121">
        <f>SUMIFS('2024数据'!$BI$3:$BI$152,'2024数据'!$T$3:$T$152,"&gt;="&amp;DATE(2024,12,1),'2024数据'!$T$3:$T$152,"&lt;="&amp;DATE(2024,12,31),'2024数据'!$AE$3:$AE$152,$E1408)/10000</f>
        <v>0.432026</v>
      </c>
    </row>
    <row r="1409" ht="24" customHeight="1" spans="1:17">
      <c r="A1409" s="99" t="s">
        <v>348</v>
      </c>
      <c r="B1409" s="99" t="s">
        <v>299</v>
      </c>
      <c r="C1409" s="99" t="s">
        <v>336</v>
      </c>
      <c r="D1409" s="48" t="s">
        <v>31</v>
      </c>
      <c r="E1409" s="48" t="s">
        <v>83</v>
      </c>
      <c r="F1409" s="121">
        <f>SUMIFS('2024数据'!$BI$3:$BI$152,'2024数据'!$T$3:$T$152,"&gt;="&amp;DATE(2024,1,1),'2024数据'!$T$3:$T$152,"&lt;="&amp;DATE(2024,1,31),'2024数据'!$AE$3:$AE$152,$E1409)/10000</f>
        <v>0</v>
      </c>
      <c r="G1409" s="121">
        <f>SUMIFS('2024数据'!$BI$3:$BI$152,'2024数据'!$T$3:$T$152,"&gt;="&amp;DATE(2024,2,1),'2024数据'!$T$3:$T$152,"&lt;="&amp;DATE(2024,2,29),'2024数据'!$AE$3:$AE$152,$E1409)/10000</f>
        <v>0</v>
      </c>
      <c r="H1409" s="121">
        <f>SUMIFS('2024数据'!$BI$3:$BI$152,'2024数据'!$T$3:$T$152,"&gt;="&amp;DATE(2024,3,1),'2024数据'!$T$3:$T$152,"&lt;="&amp;DATE(2024,3,31),'2024数据'!$AE$3:$AE$152,$E1409)/10000</f>
        <v>0</v>
      </c>
      <c r="I1409" s="121">
        <f>SUMIFS('2024数据'!$BI$3:$BI$152,'2024数据'!$T$3:$T$152,"&gt;="&amp;DATE(2024,4,1),'2024数据'!$T$3:$T$152,"&lt;="&amp;DATE(2024,4,30),'2024数据'!$AE$3:$AE$152,$E1409)/10000</f>
        <v>0</v>
      </c>
      <c r="J1409" s="121">
        <f>SUMIFS('2024数据'!$BI$3:$BI$152,'2024数据'!$T$3:$T$152,"&gt;="&amp;DATE(2024,5,1),'2024数据'!$T$3:$T$152,"&lt;="&amp;DATE(2024,5,31),'2024数据'!$AE$3:$AE$152,$E1409)/10000</f>
        <v>0</v>
      </c>
      <c r="K1409" s="121">
        <f>SUMIFS('2024数据'!$BI$3:$BI$152,'2024数据'!$T$3:$T$152,"&gt;="&amp;DATE(2024,6,1),'2024数据'!$T$3:$T$152,"&lt;="&amp;DATE(2024,6,30),'2024数据'!$AE$3:$AE$152,$E1409)/10000</f>
        <v>0</v>
      </c>
      <c r="L1409" s="121">
        <f>SUMIFS('2024数据'!$BI$3:$BI$152,'2024数据'!$T$3:$T$152,"&gt;="&amp;DATE(2024,7,1),'2024数据'!$T$3:$T$152,"&lt;="&amp;DATE(2024,7,31),'2024数据'!$AE$3:$AE$152,$E1409)/10000</f>
        <v>0</v>
      </c>
      <c r="M1409" s="121">
        <f>SUMIFS('2024数据'!$BI$3:$BI$152,'2024数据'!$T$3:$T$152,"&gt;="&amp;DATE(2024,8,1),'2024数据'!$T$3:$T$152,"&lt;="&amp;DATE(2024,8,31),'2024数据'!$AE$3:$AE$152,$E1409)/10000</f>
        <v>0</v>
      </c>
      <c r="N1409" s="121">
        <f>SUMIFS('2024数据'!$BI$3:$BI$152,'2024数据'!$T$3:$T$152,"&gt;="&amp;DATE(2024,9,1),'2024数据'!$T$3:$T$152,"&lt;="&amp;DATE(2024,9,30),'2024数据'!$AE$3:$AE$152,$E1409)/10000</f>
        <v>0</v>
      </c>
      <c r="O1409" s="121">
        <f>SUMIFS('2024数据'!$BI$3:$BI$152,'2024数据'!$T$3:$T$152,"&gt;="&amp;DATE(2024,10,1),'2024数据'!$T$3:$T$152,"&lt;="&amp;DATE(2024,10,31),'2024数据'!$AE$3:$AE$152,$E1409)/10000</f>
        <v>0</v>
      </c>
      <c r="P1409" s="121">
        <f>SUMIFS('2024数据'!$BI$3:$BI$152,'2024数据'!$T$3:$T$152,"&gt;="&amp;DATE(2024,11,1),'2024数据'!$T$3:$T$152,"&lt;="&amp;DATE(2024,11,30),'2024数据'!$AE$3:$AE$152,$E1409)/10000</f>
        <v>0</v>
      </c>
      <c r="Q1409" s="121">
        <f>SUMIFS('2024数据'!$BI$3:$BI$152,'2024数据'!$T$3:$T$152,"&gt;="&amp;DATE(2024,12,1),'2024数据'!$T$3:$T$152,"&lt;="&amp;DATE(2024,12,31),'2024数据'!$AE$3:$AE$152,$E1409)/10000</f>
        <v>1.346115</v>
      </c>
    </row>
    <row r="1410" ht="24" customHeight="1" spans="1:17">
      <c r="A1410" s="99" t="s">
        <v>348</v>
      </c>
      <c r="B1410" s="99" t="s">
        <v>299</v>
      </c>
      <c r="C1410" s="99" t="s">
        <v>336</v>
      </c>
      <c r="D1410" s="47" t="s">
        <v>294</v>
      </c>
      <c r="E1410" s="47" t="s">
        <v>93</v>
      </c>
      <c r="F1410" s="121">
        <f>SUMIFS('2024数据'!$BI$3:$BI$152,'2024数据'!$T$3:$T$152,"&gt;="&amp;DATE(2024,1,1),'2024数据'!$T$3:$T$152,"&lt;="&amp;DATE(2024,1,31),'2024数据'!$B$3:$B$152,$E1410)/10000</f>
        <v>2.056445</v>
      </c>
      <c r="G1410" s="121">
        <f>SUMIFS('2024数据'!$BI$3:$BI$152,'2024数据'!$T$3:$T$152,"&gt;="&amp;DATE(2024,2,1),'2024数据'!$T$3:$T$152,"&lt;="&amp;DATE(2024,2,29),'2024数据'!$B$3:$B$152,$E1410)/10000</f>
        <v>0.594898</v>
      </c>
      <c r="H1410" s="121">
        <f>SUMIFS('2024数据'!$BI$3:$BI$152,'2024数据'!$T$3:$T$152,"&gt;="&amp;DATE(2024,3,1),'2024数据'!$T$3:$T$152,"&lt;="&amp;DATE(2024,3,31),'2024数据'!$B$3:$B$152,$E1410)/10000</f>
        <v>0.522623</v>
      </c>
      <c r="I1410" s="121">
        <f>SUMIFS('2024数据'!$BI$3:$BI$152,'2024数据'!$T$3:$T$152,"&gt;="&amp;DATE(2024,4,1),'2024数据'!$T$3:$T$152,"&lt;="&amp;DATE(2024,4,30),'2024数据'!$B$3:$B$152,$E1410)/10000</f>
        <v>4.958633</v>
      </c>
      <c r="J1410" s="121">
        <f>SUMIFS('2024数据'!$BI$3:$BI$152,'2024数据'!$T$3:$T$152,"&gt;="&amp;DATE(2024,5,1),'2024数据'!$T$3:$T$152,"&lt;="&amp;DATE(2024,5,31),'2024数据'!$B$3:$B$152,$E1410)/10000</f>
        <v>2.079079</v>
      </c>
      <c r="K1410" s="121">
        <f>SUMIFS('2024数据'!$BI$3:$BI$152,'2024数据'!$T$3:$T$152,"&gt;="&amp;DATE(2024,6,1),'2024数据'!$T$3:$T$152,"&lt;="&amp;DATE(2024,6,30),'2024数据'!$B$3:$B$152,$E1410)/10000</f>
        <v>2.539592</v>
      </c>
      <c r="L1410" s="121">
        <f>SUMIFS('2024数据'!$BI$3:$BI$152,'2024数据'!$T$3:$T$152,"&gt;="&amp;DATE(2024,7,1),'2024数据'!$T$3:$T$152,"&lt;="&amp;DATE(2024,7,31),'2024数据'!$B$3:$B$152,$E1410)/10000</f>
        <v>1.600969</v>
      </c>
      <c r="M1410" s="121">
        <f>SUMIFS('2024数据'!$BI$3:$BI$152,'2024数据'!$T$3:$T$152,"&gt;="&amp;DATE(2024,8,1),'2024数据'!$T$3:$T$152,"&lt;="&amp;DATE(2024,8,31),'2024数据'!$B$3:$B$152,$E1410)/10000</f>
        <v>0.121777</v>
      </c>
      <c r="N1410" s="121">
        <f>SUMIFS('2024数据'!$BI$3:$BI$152,'2024数据'!$T$3:$T$152,"&gt;="&amp;DATE(2024,9,1),'2024数据'!$T$3:$T$152,"&lt;="&amp;DATE(2024,9,30),'2024数据'!$B$3:$B$152,$E1410)/10000</f>
        <v>0</v>
      </c>
      <c r="O1410" s="121">
        <f>SUMIFS('2024数据'!$BI$3:$BI$152,'2024数据'!$T$3:$T$152,"&gt;="&amp;DATE(2024,10,1),'2024数据'!$T$3:$T$152,"&lt;="&amp;DATE(2024,10,31),'2024数据'!$B$3:$B$152,$E1410)/10000</f>
        <v>1.069223</v>
      </c>
      <c r="P1410" s="121">
        <f>SUMIFS('2024数据'!$BI$3:$BI$152,'2024数据'!$T$3:$T$152,"&gt;="&amp;DATE(2024,11,1),'2024数据'!$T$3:$T$152,"&lt;="&amp;DATE(2024,11,30),'2024数据'!$B$3:$B$152,$E1410)/10000</f>
        <v>0.82074</v>
      </c>
      <c r="Q1410" s="121">
        <f>SUMIFS('2024数据'!$BI$3:$BI$152,'2024数据'!$T$3:$T$152,"&gt;="&amp;DATE(2024,12,1),'2024数据'!$T$3:$T$152,"&lt;="&amp;DATE(2024,12,31),'2024数据'!$B$3:$B$152,$E1410)/10000</f>
        <v>0.417706</v>
      </c>
    </row>
    <row r="1411" ht="24" customHeight="1" spans="1:17">
      <c r="A1411" s="99" t="s">
        <v>348</v>
      </c>
      <c r="B1411" s="99" t="s">
        <v>299</v>
      </c>
      <c r="C1411" s="99" t="s">
        <v>336</v>
      </c>
      <c r="D1411" s="47" t="s">
        <v>294</v>
      </c>
      <c r="E1411" s="47" t="s">
        <v>85</v>
      </c>
      <c r="F1411" s="121">
        <f>SUMIFS('2024数据'!$BI$3:$BI$152,'2024数据'!$T$3:$T$152,"&gt;="&amp;DATE(2024,1,1),'2024数据'!$T$3:$T$152,"&lt;="&amp;DATE(2024,1,31),'2024数据'!$B$3:$B$152,$E1411)/10000</f>
        <v>0.340862</v>
      </c>
      <c r="G1411" s="121">
        <f>SUMIFS('2024数据'!$BI$3:$BI$152,'2024数据'!$T$3:$T$152,"&gt;="&amp;DATE(2024,2,1),'2024数据'!$T$3:$T$152,"&lt;="&amp;DATE(2024,2,29),'2024数据'!$B$3:$B$152,$E1411)/10000</f>
        <v>0.077991</v>
      </c>
      <c r="H1411" s="121">
        <f>SUMIFS('2024数据'!$BI$3:$BI$152,'2024数据'!$T$3:$T$152,"&gt;="&amp;DATE(2024,3,1),'2024数据'!$T$3:$T$152,"&lt;="&amp;DATE(2024,3,31),'2024数据'!$B$3:$B$152,$E1411)/10000</f>
        <v>3.458606</v>
      </c>
      <c r="I1411" s="121">
        <f>SUMIFS('2024数据'!$BI$3:$BI$152,'2024数据'!$T$3:$T$152,"&gt;="&amp;DATE(2024,4,1),'2024数据'!$T$3:$T$152,"&lt;="&amp;DATE(2024,4,30),'2024数据'!$B$3:$B$152,$E1411)/10000</f>
        <v>1.245212</v>
      </c>
      <c r="J1411" s="121">
        <f>SUMIFS('2024数据'!$BI$3:$BI$152,'2024数据'!$T$3:$T$152,"&gt;="&amp;DATE(2024,5,1),'2024数据'!$T$3:$T$152,"&lt;="&amp;DATE(2024,5,31),'2024数据'!$B$3:$B$152,$E1411)/10000</f>
        <v>0.368273</v>
      </c>
      <c r="K1411" s="121">
        <f>SUMIFS('2024数据'!$BI$3:$BI$152,'2024数据'!$T$3:$T$152,"&gt;="&amp;DATE(2024,6,1),'2024数据'!$T$3:$T$152,"&lt;="&amp;DATE(2024,6,30),'2024数据'!$B$3:$B$152,$E1411)/10000</f>
        <v>0.35913</v>
      </c>
      <c r="L1411" s="121">
        <f>SUMIFS('2024数据'!$BI$3:$BI$152,'2024数据'!$T$3:$T$152,"&gt;="&amp;DATE(2024,7,1),'2024数据'!$T$3:$T$152,"&lt;="&amp;DATE(2024,7,31),'2024数据'!$B$3:$B$152,$E1411)/10000</f>
        <v>0.440585</v>
      </c>
      <c r="M1411" s="121">
        <f>SUMIFS('2024数据'!$BI$3:$BI$152,'2024数据'!$T$3:$T$152,"&gt;="&amp;DATE(2024,8,1),'2024数据'!$T$3:$T$152,"&lt;="&amp;DATE(2024,8,31),'2024数据'!$B$3:$B$152,$E1411)/10000</f>
        <v>0</v>
      </c>
      <c r="N1411" s="121">
        <f>SUMIFS('2024数据'!$BI$3:$BI$152,'2024数据'!$T$3:$T$152,"&gt;="&amp;DATE(2024,9,1),'2024数据'!$T$3:$T$152,"&lt;="&amp;DATE(2024,9,30),'2024数据'!$B$3:$B$152,$E1411)/10000</f>
        <v>0</v>
      </c>
      <c r="O1411" s="121">
        <f>SUMIFS('2024数据'!$BI$3:$BI$152,'2024数据'!$T$3:$T$152,"&gt;="&amp;DATE(2024,10,1),'2024数据'!$T$3:$T$152,"&lt;="&amp;DATE(2024,10,31),'2024数据'!$B$3:$B$152,$E1411)/10000</f>
        <v>0.157458</v>
      </c>
      <c r="P1411" s="121">
        <f>SUMIFS('2024数据'!$BI$3:$BI$152,'2024数据'!$T$3:$T$152,"&gt;="&amp;DATE(2024,11,1),'2024数据'!$T$3:$T$152,"&lt;="&amp;DATE(2024,11,30),'2024数据'!$B$3:$B$152,$E1411)/10000</f>
        <v>0.086118</v>
      </c>
      <c r="Q1411" s="121">
        <f>SUMIFS('2024数据'!$BI$3:$BI$152,'2024数据'!$T$3:$T$152,"&gt;="&amp;DATE(2024,12,1),'2024数据'!$T$3:$T$152,"&lt;="&amp;DATE(2024,12,31),'2024数据'!$B$3:$B$152,$E1411)/10000</f>
        <v>2.64588</v>
      </c>
    </row>
    <row r="1412" ht="24" customHeight="1" spans="1:17">
      <c r="A1412" s="99" t="s">
        <v>348</v>
      </c>
      <c r="B1412" s="99" t="s">
        <v>299</v>
      </c>
      <c r="C1412" s="99" t="s">
        <v>336</v>
      </c>
      <c r="D1412" s="47" t="s">
        <v>294</v>
      </c>
      <c r="E1412" s="47" t="s">
        <v>81</v>
      </c>
      <c r="F1412" s="121">
        <f>SUMIFS('2024数据'!$BI$3:$BI$152,'2024数据'!$T$3:$T$152,"&gt;="&amp;DATE(2024,1,1),'2024数据'!$T$3:$T$152,"&lt;="&amp;DATE(2024,1,31),'2024数据'!$B$3:$B$152,$E1412)/10000</f>
        <v>0</v>
      </c>
      <c r="G1412" s="121">
        <f>SUMIFS('2024数据'!$BI$3:$BI$152,'2024数据'!$T$3:$T$152,"&gt;="&amp;DATE(2024,2,1),'2024数据'!$T$3:$T$152,"&lt;="&amp;DATE(2024,2,29),'2024数据'!$B$3:$B$152,$E1412)/10000</f>
        <v>0</v>
      </c>
      <c r="H1412" s="121">
        <f>SUMIFS('2024数据'!$BI$3:$BI$152,'2024数据'!$T$3:$T$152,"&gt;="&amp;DATE(2024,3,1),'2024数据'!$T$3:$T$152,"&lt;="&amp;DATE(2024,3,31),'2024数据'!$B$3:$B$152,$E1412)/10000</f>
        <v>0</v>
      </c>
      <c r="I1412" s="121">
        <f>SUMIFS('2024数据'!$BI$3:$BI$152,'2024数据'!$T$3:$T$152,"&gt;="&amp;DATE(2024,4,1),'2024数据'!$T$3:$T$152,"&lt;="&amp;DATE(2024,4,30),'2024数据'!$B$3:$B$152,$E1412)/10000</f>
        <v>0.323399</v>
      </c>
      <c r="J1412" s="121">
        <f>SUMIFS('2024数据'!$BI$3:$BI$152,'2024数据'!$T$3:$T$152,"&gt;="&amp;DATE(2024,5,1),'2024数据'!$T$3:$T$152,"&lt;="&amp;DATE(2024,5,31),'2024数据'!$B$3:$B$152,$E1412)/10000</f>
        <v>3.28019</v>
      </c>
      <c r="K1412" s="121">
        <f>SUMIFS('2024数据'!$BI$3:$BI$152,'2024数据'!$T$3:$T$152,"&gt;="&amp;DATE(2024,6,1),'2024数据'!$T$3:$T$152,"&lt;="&amp;DATE(2024,6,30),'2024数据'!$B$3:$B$152,$E1412)/10000</f>
        <v>0.829028</v>
      </c>
      <c r="L1412" s="121">
        <f>SUMIFS('2024数据'!$BI$3:$BI$152,'2024数据'!$T$3:$T$152,"&gt;="&amp;DATE(2024,7,1),'2024数据'!$T$3:$T$152,"&lt;="&amp;DATE(2024,7,31),'2024数据'!$B$3:$B$152,$E1412)/10000</f>
        <v>0</v>
      </c>
      <c r="M1412" s="121">
        <f>SUMIFS('2024数据'!$BI$3:$BI$152,'2024数据'!$T$3:$T$152,"&gt;="&amp;DATE(2024,8,1),'2024数据'!$T$3:$T$152,"&lt;="&amp;DATE(2024,8,31),'2024数据'!$B$3:$B$152,$E1412)/10000</f>
        <v>0.120421</v>
      </c>
      <c r="N1412" s="121">
        <f>SUMIFS('2024数据'!$BI$3:$BI$152,'2024数据'!$T$3:$T$152,"&gt;="&amp;DATE(2024,9,1),'2024数据'!$T$3:$T$152,"&lt;="&amp;DATE(2024,9,30),'2024数据'!$B$3:$B$152,$E1412)/10000</f>
        <v>0.44524</v>
      </c>
      <c r="O1412" s="121">
        <f>SUMIFS('2024数据'!$BI$3:$BI$152,'2024数据'!$T$3:$T$152,"&gt;="&amp;DATE(2024,10,1),'2024数据'!$T$3:$T$152,"&lt;="&amp;DATE(2024,10,31),'2024数据'!$B$3:$B$152,$E1412)/10000</f>
        <v>0</v>
      </c>
      <c r="P1412" s="121">
        <f>SUMIFS('2024数据'!$BI$3:$BI$152,'2024数据'!$T$3:$T$152,"&gt;="&amp;DATE(2024,11,1),'2024数据'!$T$3:$T$152,"&lt;="&amp;DATE(2024,11,30),'2024数据'!$B$3:$B$152,$E1412)/10000</f>
        <v>0</v>
      </c>
      <c r="Q1412" s="121">
        <f>SUMIFS('2024数据'!$BI$3:$BI$152,'2024数据'!$T$3:$T$152,"&gt;="&amp;DATE(2024,12,1),'2024数据'!$T$3:$T$152,"&lt;="&amp;DATE(2024,12,31),'2024数据'!$B$3:$B$152,$E1412)/10000</f>
        <v>0.457906</v>
      </c>
    </row>
    <row r="1413" ht="24" customHeight="1" spans="1:17">
      <c r="A1413" s="99" t="s">
        <v>348</v>
      </c>
      <c r="B1413" s="99" t="s">
        <v>299</v>
      </c>
      <c r="C1413" s="99" t="s">
        <v>336</v>
      </c>
      <c r="D1413" s="47" t="s">
        <v>294</v>
      </c>
      <c r="E1413" s="47" t="s">
        <v>96</v>
      </c>
      <c r="F1413" s="121">
        <f>SUMIFS('2024数据'!$BI$3:$BI$152,'2024数据'!$T$3:$T$152,"&gt;="&amp;DATE(2024,1,1),'2024数据'!$T$3:$T$152,"&lt;="&amp;DATE(2024,1,31),'2024数据'!$B$3:$B$152,$E1413)/10000</f>
        <v>0</v>
      </c>
      <c r="G1413" s="121">
        <f>SUMIFS('2024数据'!$BI$3:$BI$152,'2024数据'!$T$3:$T$152,"&gt;="&amp;DATE(2024,2,1),'2024数据'!$T$3:$T$152,"&lt;="&amp;DATE(2024,2,29),'2024数据'!$B$3:$B$152,$E1413)/10000</f>
        <v>0</v>
      </c>
      <c r="H1413" s="121">
        <f>SUMIFS('2024数据'!$BI$3:$BI$152,'2024数据'!$T$3:$T$152,"&gt;="&amp;DATE(2024,3,1),'2024数据'!$T$3:$T$152,"&lt;="&amp;DATE(2024,3,31),'2024数据'!$B$3:$B$152,$E1413)/10000</f>
        <v>0.865033</v>
      </c>
      <c r="I1413" s="121">
        <f>SUMIFS('2024数据'!$BI$3:$BI$152,'2024数据'!$T$3:$T$152,"&gt;="&amp;DATE(2024,4,1),'2024数据'!$T$3:$T$152,"&lt;="&amp;DATE(2024,4,30),'2024数据'!$B$3:$B$152,$E1413)/10000</f>
        <v>0.651687</v>
      </c>
      <c r="J1413" s="121">
        <f>SUMIFS('2024数据'!$BI$3:$BI$152,'2024数据'!$T$3:$T$152,"&gt;="&amp;DATE(2024,5,1),'2024数据'!$T$3:$T$152,"&lt;="&amp;DATE(2024,5,31),'2024数据'!$B$3:$B$152,$E1413)/10000</f>
        <v>0</v>
      </c>
      <c r="K1413" s="121">
        <f>SUMIFS('2024数据'!$BI$3:$BI$152,'2024数据'!$T$3:$T$152,"&gt;="&amp;DATE(2024,6,1),'2024数据'!$T$3:$T$152,"&lt;="&amp;DATE(2024,6,30),'2024数据'!$B$3:$B$152,$E1413)/10000</f>
        <v>9.006284</v>
      </c>
      <c r="L1413" s="121">
        <f>SUMIFS('2024数据'!$BI$3:$BI$152,'2024数据'!$T$3:$T$152,"&gt;="&amp;DATE(2024,7,1),'2024数据'!$T$3:$T$152,"&lt;="&amp;DATE(2024,7,31),'2024数据'!$B$3:$B$152,$E1413)/10000</f>
        <v>0</v>
      </c>
      <c r="M1413" s="121">
        <f>SUMIFS('2024数据'!$BI$3:$BI$152,'2024数据'!$T$3:$T$152,"&gt;="&amp;DATE(2024,8,1),'2024数据'!$T$3:$T$152,"&lt;="&amp;DATE(2024,8,31),'2024数据'!$B$3:$B$152,$E1413)/10000</f>
        <v>0</v>
      </c>
      <c r="N1413" s="121">
        <f>SUMIFS('2024数据'!$BI$3:$BI$152,'2024数据'!$T$3:$T$152,"&gt;="&amp;DATE(2024,9,1),'2024数据'!$T$3:$T$152,"&lt;="&amp;DATE(2024,9,30),'2024数据'!$B$3:$B$152,$E1413)/10000</f>
        <v>0</v>
      </c>
      <c r="O1413" s="121">
        <f>SUMIFS('2024数据'!$BI$3:$BI$152,'2024数据'!$T$3:$T$152,"&gt;="&amp;DATE(2024,10,1),'2024数据'!$T$3:$T$152,"&lt;="&amp;DATE(2024,10,31),'2024数据'!$B$3:$B$152,$E1413)/10000</f>
        <v>0</v>
      </c>
      <c r="P1413" s="121">
        <f>SUMIFS('2024数据'!$BI$3:$BI$152,'2024数据'!$T$3:$T$152,"&gt;="&amp;DATE(2024,11,1),'2024数据'!$T$3:$T$152,"&lt;="&amp;DATE(2024,11,30),'2024数据'!$B$3:$B$152,$E1413)/10000</f>
        <v>0</v>
      </c>
      <c r="Q1413" s="121">
        <f>SUMIFS('2024数据'!$BI$3:$BI$152,'2024数据'!$T$3:$T$152,"&gt;="&amp;DATE(2024,12,1),'2024数据'!$T$3:$T$152,"&lt;="&amp;DATE(2024,12,31),'2024数据'!$B$3:$B$152,$E1413)/10000</f>
        <v>1.013845</v>
      </c>
    </row>
    <row r="1414" ht="24" customHeight="1" spans="1:17">
      <c r="A1414" s="99" t="s">
        <v>348</v>
      </c>
      <c r="B1414" s="99" t="s">
        <v>299</v>
      </c>
      <c r="C1414" s="99" t="s">
        <v>336</v>
      </c>
      <c r="D1414" s="47" t="s">
        <v>294</v>
      </c>
      <c r="E1414" s="47" t="s">
        <v>160</v>
      </c>
      <c r="F1414" s="121">
        <f t="shared" ref="F1414:Q1414" si="1033">SUM(F1404:F1409)-SUM(F1410:F1413)</f>
        <v>0</v>
      </c>
      <c r="G1414" s="121">
        <f t="shared" si="1033"/>
        <v>0</v>
      </c>
      <c r="H1414" s="121">
        <f t="shared" si="1033"/>
        <v>0</v>
      </c>
      <c r="I1414" s="121">
        <f t="shared" si="1033"/>
        <v>0</v>
      </c>
      <c r="J1414" s="121">
        <f t="shared" si="1033"/>
        <v>0</v>
      </c>
      <c r="K1414" s="121">
        <f t="shared" si="1033"/>
        <v>0</v>
      </c>
      <c r="L1414" s="121">
        <f t="shared" si="1033"/>
        <v>0</v>
      </c>
      <c r="M1414" s="121">
        <f t="shared" si="1033"/>
        <v>0</v>
      </c>
      <c r="N1414" s="121">
        <f t="shared" si="1033"/>
        <v>0</v>
      </c>
      <c r="O1414" s="121">
        <f t="shared" si="1033"/>
        <v>0</v>
      </c>
      <c r="P1414" s="121">
        <f t="shared" si="1033"/>
        <v>0</v>
      </c>
      <c r="Q1414" s="121">
        <f t="shared" si="1033"/>
        <v>0</v>
      </c>
    </row>
    <row r="1415" ht="24" customHeight="1" spans="1:17">
      <c r="A1415" s="99" t="s">
        <v>348</v>
      </c>
      <c r="B1415" s="99" t="s">
        <v>299</v>
      </c>
      <c r="C1415" s="99" t="s">
        <v>333</v>
      </c>
      <c r="D1415" s="114" t="s">
        <v>292</v>
      </c>
      <c r="E1415" s="53" t="s">
        <v>337</v>
      </c>
      <c r="F1415" s="123">
        <f>SUMIFS('2024数据'!$BM$3:$BM$152,'2024数据'!$T$3:$T$152,"&gt;="&amp;DATE(2024,1,1),'2024数据'!$T$3:$T$152,"&lt;="&amp;DATE(2024,1,31),'2024数据'!$BL$3:$BL$152,$E1243)/10000</f>
        <v>0.0328039999999999</v>
      </c>
      <c r="G1415" s="123">
        <f>SUMIFS('2024数据'!$BM$3:$BM$152,'2024数据'!$T$3:$T$152,"&gt;="&amp;DATE(2024,2,1),'2024数据'!$T$3:$T$152,"&lt;="&amp;DATE(2024,2,29),'2024数据'!$BL$3:$BL$152,$E1243)/10000</f>
        <v>0.114546</v>
      </c>
      <c r="H1415" s="123">
        <f>SUMIFS('2024数据'!$BM$3:$BM$152,'2024数据'!$T$3:$T$152,"&gt;="&amp;DATE(2024,3,1),'2024数据'!$T$3:$T$152,"&lt;="&amp;DATE(2024,3,31),'2024数据'!$BL$3:$BL$152,$E1243)/10000</f>
        <v>0.087856</v>
      </c>
      <c r="I1415" s="123">
        <f>SUMIFS('2024数据'!$BM$3:$BM$152,'2024数据'!$T$3:$T$152,"&gt;="&amp;DATE(2024,4,1),'2024数据'!$T$3:$T$152,"&lt;="&amp;DATE(2024,4,30),'2024数据'!$BL$3:$BL$152,$E1243)/10000</f>
        <v>0.194389</v>
      </c>
      <c r="J1415" s="123">
        <f>SUMIFS('2024数据'!$BM$3:$BM$152,'2024数据'!$T$3:$T$152,"&gt;="&amp;DATE(2024,5,1),'2024数据'!$T$3:$T$152,"&lt;="&amp;DATE(2024,5,31),'2024数据'!$BL$3:$BL$152,$E1243)/10000</f>
        <v>0.047456</v>
      </c>
      <c r="K1415" s="123">
        <f>SUMIFS('2024数据'!$BM$3:$BM$152,'2024数据'!$T$3:$T$152,"&gt;="&amp;DATE(2024,6,1),'2024数据'!$T$3:$T$152,"&lt;="&amp;DATE(2024,6,30),'2024数据'!$BL$3:$BL$152,$E1243)/10000</f>
        <v>0.194895</v>
      </c>
      <c r="L1415" s="123">
        <f>SUMIFS('2024数据'!$BM$3:$BM$152,'2024数据'!$T$3:$T$152,"&gt;="&amp;DATE(2024,7,1),'2024数据'!$T$3:$T$152,"&lt;="&amp;DATE(2024,7,31),'2024数据'!$BL$3:$BL$152,$E1243)/10000</f>
        <v>0.00421199999999999</v>
      </c>
      <c r="M1415" s="123">
        <f>SUMIFS('2024数据'!$BM$3:$BM$152,'2024数据'!$T$3:$T$152,"&gt;="&amp;DATE(2024,8,1),'2024数据'!$T$3:$T$152,"&lt;="&amp;DATE(2024,8,31),'2024数据'!$BL$3:$BL$152,$E1243)/10000</f>
        <v>0.036381</v>
      </c>
      <c r="N1415" s="123">
        <f>SUMIFS('2024数据'!$BM$3:$BM$152,'2024数据'!$T$3:$T$152,"&gt;="&amp;DATE(2024,9,1),'2024数据'!$T$3:$T$152,"&lt;="&amp;DATE(2024,9,30),'2024数据'!$BL$3:$BL$152,$E1243)/10000</f>
        <v>0.00834700000000003</v>
      </c>
      <c r="O1415" s="123">
        <f>SUMIFS('2024数据'!$BM$3:$BM$152,'2024数据'!$T$3:$T$152,"&gt;="&amp;DATE(2024,10,1),'2024数据'!$T$3:$T$152,"&lt;="&amp;DATE(2024,10,31),'2024数据'!$BL$3:$BL$152,$E1243)/10000</f>
        <v>0.053493</v>
      </c>
      <c r="P1415" s="123">
        <f>SUMIFS('2024数据'!$BM$3:$BM$152,'2024数据'!$T$3:$T$152,"&gt;="&amp;DATE(2024,11,1),'2024数据'!$T$3:$T$152,"&lt;="&amp;DATE(2024,11,30),'2024数据'!$BL$3:$BL$152,$E1243)/10000</f>
        <v>0.036911</v>
      </c>
      <c r="Q1415" s="123">
        <f>SUMIFS('2024数据'!$BM$3:$BM$152,'2024数据'!$T$3:$T$152,"&gt;="&amp;DATE(2024,12,1),'2024数据'!$T$3:$T$152,"&lt;="&amp;DATE(2024,12,31),'2024数据'!$BL$3:$BL$152,$E1243)/10000</f>
        <v>0.0586710000000002</v>
      </c>
    </row>
    <row r="1416" ht="24" customHeight="1" spans="1:17">
      <c r="A1416" s="99" t="s">
        <v>348</v>
      </c>
      <c r="B1416" s="99" t="s">
        <v>299</v>
      </c>
      <c r="C1416" s="99" t="s">
        <v>333</v>
      </c>
      <c r="D1416" s="114" t="s">
        <v>292</v>
      </c>
      <c r="E1416" s="53" t="s">
        <v>338</v>
      </c>
      <c r="F1416" s="123">
        <f>SUMIFS('2024数据'!$BM$3:$BM$152,'2024数据'!$T$3:$T$152,"&gt;="&amp;DATE(2024,1,1),'2024数据'!$T$3:$T$152,"&lt;="&amp;DATE(2024,1,31),'2024数据'!$BL$3:$BL$152,$E1244)/10000</f>
        <v>0</v>
      </c>
      <c r="G1416" s="123">
        <f>SUMIFS('2024数据'!$BM$3:$BM$152,'2024数据'!$T$3:$T$152,"&gt;="&amp;DATE(2024,2,1),'2024数据'!$T$3:$T$152,"&lt;="&amp;DATE(2024,2,29),'2024数据'!$BL$3:$BL$152,$E1244)/10000</f>
        <v>0</v>
      </c>
      <c r="H1416" s="123">
        <f>SUMIFS('2024数据'!$BM$3:$BM$152,'2024数据'!$T$3:$T$152,"&gt;="&amp;DATE(2024,3,1),'2024数据'!$T$3:$T$152,"&lt;="&amp;DATE(2024,3,31),'2024数据'!$BL$3:$BL$152,$E1244)/10000</f>
        <v>0</v>
      </c>
      <c r="I1416" s="123">
        <f>SUMIFS('2024数据'!$BM$3:$BM$152,'2024数据'!$T$3:$T$152,"&gt;="&amp;DATE(2024,4,1),'2024数据'!$T$3:$T$152,"&lt;="&amp;DATE(2024,4,30),'2024数据'!$BL$3:$BL$152,$E1244)/10000</f>
        <v>0.010755</v>
      </c>
      <c r="J1416" s="123">
        <f>SUMIFS('2024数据'!$BM$3:$BM$152,'2024数据'!$T$3:$T$152,"&gt;="&amp;DATE(2024,5,1),'2024数据'!$T$3:$T$152,"&lt;="&amp;DATE(2024,5,31),'2024数据'!$BL$3:$BL$152,$E1244)/10000</f>
        <v>0.108007</v>
      </c>
      <c r="K1416" s="123">
        <f>SUMIFS('2024数据'!$BM$3:$BM$152,'2024数据'!$T$3:$T$152,"&gt;="&amp;DATE(2024,6,1),'2024数据'!$T$3:$T$152,"&lt;="&amp;DATE(2024,6,30),'2024数据'!$BL$3:$BL$152,$E1244)/10000</f>
        <v>0.00770100000000002</v>
      </c>
      <c r="L1416" s="123">
        <f>SUMIFS('2024数据'!$BM$3:$BM$152,'2024数据'!$T$3:$T$152,"&gt;="&amp;DATE(2024,7,1),'2024数据'!$T$3:$T$152,"&lt;="&amp;DATE(2024,7,31),'2024数据'!$BL$3:$BL$152,$E1244)/10000</f>
        <v>0.0237639999999999</v>
      </c>
      <c r="M1416" s="123">
        <f>SUMIFS('2024数据'!$BM$3:$BM$152,'2024数据'!$T$3:$T$152,"&gt;="&amp;DATE(2024,8,1),'2024数据'!$T$3:$T$152,"&lt;="&amp;DATE(2024,8,31),'2024数据'!$BL$3:$BL$152,$E1244)/10000</f>
        <v>0</v>
      </c>
      <c r="N1416" s="123">
        <f>SUMIFS('2024数据'!$BM$3:$BM$152,'2024数据'!$T$3:$T$152,"&gt;="&amp;DATE(2024,9,1),'2024数据'!$T$3:$T$152,"&lt;="&amp;DATE(2024,9,30),'2024数据'!$BL$3:$BL$152,$E1244)/10000</f>
        <v>0</v>
      </c>
      <c r="O1416" s="123">
        <f>SUMIFS('2024数据'!$BM$3:$BM$152,'2024数据'!$T$3:$T$152,"&gt;="&amp;DATE(2024,10,1),'2024数据'!$T$3:$T$152,"&lt;="&amp;DATE(2024,10,31),'2024数据'!$BL$3:$BL$152,$E1244)/10000</f>
        <v>0.001395</v>
      </c>
      <c r="P1416" s="123">
        <f>SUMIFS('2024数据'!$BM$3:$BM$152,'2024数据'!$T$3:$T$152,"&gt;="&amp;DATE(2024,11,1),'2024数据'!$T$3:$T$152,"&lt;="&amp;DATE(2024,11,30),'2024数据'!$BL$3:$BL$152,$E1244)/10000</f>
        <v>0</v>
      </c>
      <c r="Q1416" s="123">
        <f>SUMIFS('2024数据'!$BM$3:$BM$152,'2024数据'!$T$3:$T$152,"&gt;="&amp;DATE(2024,12,1),'2024数据'!$T$3:$T$152,"&lt;="&amp;DATE(2024,12,31),'2024数据'!$BL$3:$BL$152,$E1244)/10000</f>
        <v>0.0157679999999998</v>
      </c>
    </row>
    <row r="1417" ht="24" customHeight="1" spans="1:17">
      <c r="A1417" s="99" t="s">
        <v>348</v>
      </c>
      <c r="B1417" s="99" t="s">
        <v>299</v>
      </c>
      <c r="C1417" s="99" t="s">
        <v>333</v>
      </c>
      <c r="D1417" s="114" t="s">
        <v>292</v>
      </c>
      <c r="E1417" s="53" t="s">
        <v>339</v>
      </c>
      <c r="F1417" s="123">
        <f>SUMIFS('2024数据'!$BM$3:$BM$152,'2024数据'!$T$3:$T$152,"&gt;="&amp;DATE(2024,1,1),'2024数据'!$T$3:$T$152,"&lt;="&amp;DATE(2024,1,31),'2024数据'!$BL$3:$BL$152,$E1245)/10000</f>
        <v>0</v>
      </c>
      <c r="G1417" s="123">
        <f>SUMIFS('2024数据'!$BM$3:$BM$152,'2024数据'!$T$3:$T$152,"&gt;="&amp;DATE(2024,2,1),'2024数据'!$T$3:$T$152,"&lt;="&amp;DATE(2024,2,29),'2024数据'!$BL$3:$BL$152,$E1245)/10000</f>
        <v>0</v>
      </c>
      <c r="H1417" s="123">
        <f>SUMIFS('2024数据'!$BM$3:$BM$152,'2024数据'!$T$3:$T$152,"&gt;="&amp;DATE(2024,3,1),'2024数据'!$T$3:$T$152,"&lt;="&amp;DATE(2024,3,31),'2024数据'!$BL$3:$BL$152,$E1245)/10000</f>
        <v>0</v>
      </c>
      <c r="I1417" s="123">
        <f>SUMIFS('2024数据'!$BM$3:$BM$152,'2024数据'!$T$3:$T$152,"&gt;="&amp;DATE(2024,4,1),'2024数据'!$T$3:$T$152,"&lt;="&amp;DATE(2024,4,30),'2024数据'!$BL$3:$BL$152,$E1245)/10000</f>
        <v>0</v>
      </c>
      <c r="J1417" s="123">
        <f>SUMIFS('2024数据'!$BM$3:$BM$152,'2024数据'!$T$3:$T$152,"&gt;="&amp;DATE(2024,5,1),'2024数据'!$T$3:$T$152,"&lt;="&amp;DATE(2024,5,31),'2024数据'!$BL$3:$BL$152,$E1245)/10000</f>
        <v>0</v>
      </c>
      <c r="K1417" s="123">
        <f>SUMIFS('2024数据'!$BM$3:$BM$152,'2024数据'!$T$3:$T$152,"&gt;="&amp;DATE(2024,6,1),'2024数据'!$T$3:$T$152,"&lt;="&amp;DATE(2024,6,30),'2024数据'!$BL$3:$BL$152,$E1245)/10000</f>
        <v>0</v>
      </c>
      <c r="L1417" s="123">
        <f>SUMIFS('2024数据'!$BM$3:$BM$152,'2024数据'!$T$3:$T$152,"&gt;="&amp;DATE(2024,7,1),'2024数据'!$T$3:$T$152,"&lt;="&amp;DATE(2024,7,31),'2024数据'!$BL$3:$BL$152,$E1245)/10000</f>
        <v>0</v>
      </c>
      <c r="M1417" s="123">
        <f>SUMIFS('2024数据'!$BM$3:$BM$152,'2024数据'!$T$3:$T$152,"&gt;="&amp;DATE(2024,8,1),'2024数据'!$T$3:$T$152,"&lt;="&amp;DATE(2024,8,31),'2024数据'!$BL$3:$BL$152,$E1245)/10000</f>
        <v>0</v>
      </c>
      <c r="N1417" s="123">
        <f>SUMIFS('2024数据'!$BM$3:$BM$152,'2024数据'!$T$3:$T$152,"&gt;="&amp;DATE(2024,9,1),'2024数据'!$T$3:$T$152,"&lt;="&amp;DATE(2024,9,30),'2024数据'!$BL$3:$BL$152,$E1245)/10000</f>
        <v>0</v>
      </c>
      <c r="O1417" s="123">
        <f>SUMIFS('2024数据'!$BM$3:$BM$152,'2024数据'!$T$3:$T$152,"&gt;="&amp;DATE(2024,10,1),'2024数据'!$T$3:$T$152,"&lt;="&amp;DATE(2024,10,31),'2024数据'!$BL$3:$BL$152,$E1245)/10000</f>
        <v>0</v>
      </c>
      <c r="P1417" s="123">
        <f>SUMIFS('2024数据'!$BM$3:$BM$152,'2024数据'!$T$3:$T$152,"&gt;="&amp;DATE(2024,11,1),'2024数据'!$T$3:$T$152,"&lt;="&amp;DATE(2024,11,30),'2024数据'!$BL$3:$BL$152,$E1245)/10000</f>
        <v>0</v>
      </c>
      <c r="Q1417" s="123">
        <f>SUMIFS('2024数据'!$BM$3:$BM$152,'2024数据'!$T$3:$T$152,"&gt;="&amp;DATE(2024,12,1),'2024数据'!$T$3:$T$152,"&lt;="&amp;DATE(2024,12,31),'2024数据'!$BL$3:$BL$152,$E1245)/10000</f>
        <v>0</v>
      </c>
    </row>
    <row r="1418" ht="24" customHeight="1" spans="1:17">
      <c r="A1418" s="99" t="s">
        <v>348</v>
      </c>
      <c r="B1418" s="99" t="s">
        <v>299</v>
      </c>
      <c r="C1418" s="99" t="s">
        <v>333</v>
      </c>
      <c r="D1418" s="53" t="s">
        <v>303</v>
      </c>
      <c r="E1418" s="53" t="s">
        <v>93</v>
      </c>
      <c r="F1418" s="123">
        <f>SUMIFS('2024数据'!$BM$3:$BM$152,'2024数据'!$T$3:$T$152,"&gt;="&amp;DATE(2024,1,1),'2024数据'!$T$3:$T$152,"&lt;="&amp;DATE(2024,1,31),'2024数据'!$BL$3:$BL$152,$E1243,'2024数据'!$B$3:$B$152,'2024整理'!$E1398)/10000</f>
        <v>0.0307959999999999</v>
      </c>
      <c r="G1418" s="123">
        <f>SUMIFS('2024数据'!$BM$3:$BM$152,'2024数据'!$T$3:$T$152,"&gt;="&amp;DATE(2024,2,1),'2024数据'!$T$3:$T$152,"&lt;="&amp;DATE(2024,2,29),'2024数据'!$BL$3:$BL$152,$E1243,'2024数据'!$B$3:$B$152,'2024整理'!$E1398)/10000</f>
        <v>0.11082</v>
      </c>
      <c r="H1418" s="123">
        <f>SUMIFS('2024数据'!$BM$3:$BM$152,'2024数据'!$T$3:$T$152,"&gt;="&amp;DATE(2024,3,1),'2024数据'!$T$3:$T$152,"&lt;="&amp;DATE(2024,3,31),'2024数据'!$BL$3:$BL$152,$E1243,'2024数据'!$B$3:$B$152,'2024整理'!$E1398)/10000</f>
        <v>0.0503059999999999</v>
      </c>
      <c r="I1418" s="123">
        <f>SUMIFS('2024数据'!$BM$3:$BM$152,'2024数据'!$T$3:$T$152,"&gt;="&amp;DATE(2024,4,1),'2024数据'!$T$3:$T$152,"&lt;="&amp;DATE(2024,4,30),'2024数据'!$BL$3:$BL$152,$E1243,'2024数据'!$B$3:$B$152,'2024整理'!$E1398)/10000</f>
        <v>0.151973</v>
      </c>
      <c r="J1418" s="123">
        <f>SUMIFS('2024数据'!$BM$3:$BM$152,'2024数据'!$T$3:$T$152,"&gt;="&amp;DATE(2024,5,1),'2024数据'!$T$3:$T$152,"&lt;="&amp;DATE(2024,5,31),'2024数据'!$BL$3:$BL$152,$E1243,'2024数据'!$B$3:$B$152,'2024整理'!$E1398)/10000</f>
        <v>0.028914</v>
      </c>
      <c r="K1418" s="123">
        <f>SUMIFS('2024数据'!$BM$3:$BM$152,'2024数据'!$T$3:$T$152,"&gt;="&amp;DATE(2024,6,1),'2024数据'!$T$3:$T$152,"&lt;="&amp;DATE(2024,6,30),'2024数据'!$BL$3:$BL$152,$E1243,'2024数据'!$B$3:$B$152,'2024整理'!$E1398)/10000</f>
        <v>0.02202</v>
      </c>
      <c r="L1418" s="123">
        <f>SUMIFS('2024数据'!$BM$3:$BM$152,'2024数据'!$T$3:$T$152,"&gt;="&amp;DATE(2024,7,1),'2024数据'!$T$3:$T$152,"&lt;="&amp;DATE(2024,7,31),'2024数据'!$BL$3:$BL$152,$E1243,'2024数据'!$B$3:$B$152,'2024整理'!$E1398)/10000</f>
        <v>0.00421199999999999</v>
      </c>
      <c r="M1418" s="123">
        <f>SUMIFS('2024数据'!$BM$3:$BM$152,'2024数据'!$T$3:$T$152,"&gt;="&amp;DATE(2024,8,1),'2024数据'!$T$3:$T$152,"&lt;="&amp;DATE(2024,8,31),'2024数据'!$BL$3:$BL$152,$E1243,'2024数据'!$B$3:$B$152,'2024整理'!$E1398)/10000</f>
        <v>0.00695599999999999</v>
      </c>
      <c r="N1418" s="123">
        <f>SUMIFS('2024数据'!$BM$3:$BM$152,'2024数据'!$T$3:$T$152,"&gt;="&amp;DATE(2024,9,1),'2024数据'!$T$3:$T$152,"&lt;="&amp;DATE(2024,9,30),'2024数据'!$BL$3:$BL$152,$E1243,'2024数据'!$B$3:$B$152,'2024整理'!$E1398)/10000</f>
        <v>0</v>
      </c>
      <c r="O1418" s="123">
        <f>SUMIFS('2024数据'!$BM$3:$BM$152,'2024数据'!$T$3:$T$152,"&gt;="&amp;DATE(2024,10,1),'2024数据'!$T$3:$T$152,"&lt;="&amp;DATE(2024,10,31),'2024数据'!$BL$3:$BL$152,$E1243,'2024数据'!$B$3:$B$152,'2024整理'!$E1398)/10000</f>
        <v>0.053493</v>
      </c>
      <c r="P1418" s="123">
        <f>SUMIFS('2024数据'!$BM$3:$BM$152,'2024数据'!$T$3:$T$152,"&gt;="&amp;DATE(2024,11,1),'2024数据'!$T$3:$T$152,"&lt;="&amp;DATE(2024,11,30),'2024数据'!$BL$3:$BL$152,$E1243,'2024数据'!$B$3:$B$152,'2024整理'!$E1398)/10000</f>
        <v>0.033268</v>
      </c>
      <c r="Q1418" s="123">
        <f>SUMIFS('2024数据'!$BM$3:$BM$152,'2024数据'!$T$3:$T$152,"&gt;="&amp;DATE(2024,12,1),'2024数据'!$T$3:$T$152,"&lt;="&amp;DATE(2024,12,31),'2024数据'!$BL$3:$BL$152,$E1243,'2024数据'!$B$3:$B$152,'2024整理'!$E1398)/10000</f>
        <v>0.024673</v>
      </c>
    </row>
    <row r="1419" ht="24" customHeight="1" spans="1:17">
      <c r="A1419" s="99" t="s">
        <v>348</v>
      </c>
      <c r="B1419" s="99" t="s">
        <v>299</v>
      </c>
      <c r="C1419" s="99" t="s">
        <v>333</v>
      </c>
      <c r="D1419" s="53" t="s">
        <v>303</v>
      </c>
      <c r="E1419" s="53" t="s">
        <v>85</v>
      </c>
      <c r="F1419" s="123">
        <f>SUMIFS('2024数据'!$BM$3:$BM$152,'2024数据'!$T$3:$T$152,"&gt;="&amp;DATE(2024,1,1),'2024数据'!$T$3:$T$152,"&lt;="&amp;DATE(2024,1,31),'2024数据'!$BL$3:$BL$152,$E1243,'2024数据'!$B$3:$B$152,'2024整理'!$E1399)/10000</f>
        <v>0.00200799999999999</v>
      </c>
      <c r="G1419" s="123">
        <f>SUMIFS('2024数据'!$BM$3:$BM$152,'2024数据'!$T$3:$T$152,"&gt;="&amp;DATE(2024,2,1),'2024数据'!$T$3:$T$152,"&lt;="&amp;DATE(2024,2,29),'2024数据'!$BL$3:$BL$152,$E1243,'2024数据'!$B$3:$B$152,'2024整理'!$E1399)/10000</f>
        <v>0.003726</v>
      </c>
      <c r="H1419" s="123">
        <f>SUMIFS('2024数据'!$BM$3:$BM$152,'2024数据'!$T$3:$T$152,"&gt;="&amp;DATE(2024,3,1),'2024数据'!$T$3:$T$152,"&lt;="&amp;DATE(2024,3,31),'2024数据'!$BL$3:$BL$152,$E1243,'2024数据'!$B$3:$B$152,'2024整理'!$E1399)/10000</f>
        <v>0.0246140000000002</v>
      </c>
      <c r="I1419" s="123">
        <f>SUMIFS('2024数据'!$BM$3:$BM$152,'2024数据'!$T$3:$T$152,"&gt;="&amp;DATE(2024,4,1),'2024数据'!$T$3:$T$152,"&lt;="&amp;DATE(2024,4,30),'2024数据'!$BL$3:$BL$152,$E1243,'2024数据'!$B$3:$B$152,'2024整理'!$E1399)/10000</f>
        <v>0.0348979999999999</v>
      </c>
      <c r="J1419" s="123">
        <f>SUMIFS('2024数据'!$BM$3:$BM$152,'2024数据'!$T$3:$T$152,"&gt;="&amp;DATE(2024,5,1),'2024数据'!$T$3:$T$152,"&lt;="&amp;DATE(2024,5,31),'2024数据'!$BL$3:$BL$152,$E1243,'2024数据'!$B$3:$B$152,'2024整理'!$E1399)/10000</f>
        <v>0.018542</v>
      </c>
      <c r="K1419" s="123">
        <f>SUMIFS('2024数据'!$BM$3:$BM$152,'2024数据'!$T$3:$T$152,"&gt;="&amp;DATE(2024,6,1),'2024数据'!$T$3:$T$152,"&lt;="&amp;DATE(2024,6,30),'2024数据'!$BL$3:$BL$152,$E1243,'2024数据'!$B$3:$B$152,'2024整理'!$E1399)/10000</f>
        <v>0.02283</v>
      </c>
      <c r="L1419" s="123">
        <f>SUMIFS('2024数据'!$BM$3:$BM$152,'2024数据'!$T$3:$T$152,"&gt;="&amp;DATE(2024,7,1),'2024数据'!$T$3:$T$152,"&lt;="&amp;DATE(2024,7,31),'2024数据'!$BL$3:$BL$152,$E1243,'2024数据'!$B$3:$B$152,'2024整理'!$E1399)/10000</f>
        <v>0</v>
      </c>
      <c r="M1419" s="123">
        <f>SUMIFS('2024数据'!$BM$3:$BM$152,'2024数据'!$T$3:$T$152,"&gt;="&amp;DATE(2024,8,1),'2024数据'!$T$3:$T$152,"&lt;="&amp;DATE(2024,8,31),'2024数据'!$BL$3:$BL$152,$E1243,'2024数据'!$B$3:$B$152,'2024整理'!$E1399)/10000</f>
        <v>0</v>
      </c>
      <c r="N1419" s="123">
        <f>SUMIFS('2024数据'!$BM$3:$BM$152,'2024数据'!$T$3:$T$152,"&gt;="&amp;DATE(2024,9,1),'2024数据'!$T$3:$T$152,"&lt;="&amp;DATE(2024,9,30),'2024数据'!$BL$3:$BL$152,$E1243,'2024数据'!$B$3:$B$152,'2024整理'!$E1399)/10000</f>
        <v>0</v>
      </c>
      <c r="O1419" s="123">
        <f>SUMIFS('2024数据'!$BM$3:$BM$152,'2024数据'!$T$3:$T$152,"&gt;="&amp;DATE(2024,10,1),'2024数据'!$T$3:$T$152,"&lt;="&amp;DATE(2024,10,31),'2024数据'!$BL$3:$BL$152,$E1243,'2024数据'!$B$3:$B$152,'2024整理'!$E1399)/10000</f>
        <v>0</v>
      </c>
      <c r="P1419" s="123">
        <f>SUMIFS('2024数据'!$BM$3:$BM$152,'2024数据'!$T$3:$T$152,"&gt;="&amp;DATE(2024,11,1),'2024数据'!$T$3:$T$152,"&lt;="&amp;DATE(2024,11,30),'2024数据'!$BL$3:$BL$152,$E1243,'2024数据'!$B$3:$B$152,'2024整理'!$E1399)/10000</f>
        <v>0.00364300000000001</v>
      </c>
      <c r="Q1419" s="123">
        <f>SUMIFS('2024数据'!$BM$3:$BM$152,'2024数据'!$T$3:$T$152,"&gt;="&amp;DATE(2024,12,1),'2024数据'!$T$3:$T$152,"&lt;="&amp;DATE(2024,12,31),'2024数据'!$BL$3:$BL$152,$E1243,'2024数据'!$B$3:$B$152,'2024整理'!$E1399)/10000</f>
        <v>0.0254760000000001</v>
      </c>
    </row>
    <row r="1420" ht="24" customHeight="1" spans="1:17">
      <c r="A1420" s="99" t="s">
        <v>348</v>
      </c>
      <c r="B1420" s="99" t="s">
        <v>299</v>
      </c>
      <c r="C1420" s="99" t="s">
        <v>333</v>
      </c>
      <c r="D1420" s="53" t="s">
        <v>303</v>
      </c>
      <c r="E1420" s="53" t="s">
        <v>81</v>
      </c>
      <c r="F1420" s="123">
        <f>SUMIFS('2024数据'!$BM$3:$BM$152,'2024数据'!$T$3:$T$152,"&gt;="&amp;DATE(2024,1,1),'2024数据'!$T$3:$T$152,"&lt;="&amp;DATE(2024,1,31),'2024数据'!$BL$3:$BL$152,$E1243,'2024数据'!$B$3:$B$152,'2024整理'!$E1400)/10000</f>
        <v>0</v>
      </c>
      <c r="G1420" s="123">
        <f>SUMIFS('2024数据'!$BM$3:$BM$152,'2024数据'!$T$3:$T$152,"&gt;="&amp;DATE(2024,2,1),'2024数据'!$T$3:$T$152,"&lt;="&amp;DATE(2024,2,29),'2024数据'!$BL$3:$BL$152,$E1243,'2024数据'!$B$3:$B$152,'2024整理'!$E1400)/10000</f>
        <v>0</v>
      </c>
      <c r="H1420" s="123">
        <f>SUMIFS('2024数据'!$BM$3:$BM$152,'2024数据'!$T$3:$T$152,"&gt;="&amp;DATE(2024,3,1),'2024数据'!$T$3:$T$152,"&lt;="&amp;DATE(2024,3,31),'2024数据'!$BL$3:$BL$152,$E1243,'2024数据'!$B$3:$B$152,'2024整理'!$E1400)/10000</f>
        <v>0</v>
      </c>
      <c r="I1420" s="123">
        <f>SUMIFS('2024数据'!$BM$3:$BM$152,'2024数据'!$T$3:$T$152,"&gt;="&amp;DATE(2024,4,1),'2024数据'!$T$3:$T$152,"&lt;="&amp;DATE(2024,4,30),'2024数据'!$BL$3:$BL$152,$E1243,'2024数据'!$B$3:$B$152,'2024整理'!$E1400)/10000</f>
        <v>0</v>
      </c>
      <c r="J1420" s="123">
        <f>SUMIFS('2024数据'!$BM$3:$BM$152,'2024数据'!$T$3:$T$152,"&gt;="&amp;DATE(2024,5,1),'2024数据'!$T$3:$T$152,"&lt;="&amp;DATE(2024,5,31),'2024数据'!$BL$3:$BL$152,$E1243,'2024数据'!$B$3:$B$152,'2024整理'!$E1400)/10000</f>
        <v>0</v>
      </c>
      <c r="K1420" s="123">
        <f>SUMIFS('2024数据'!$BM$3:$BM$152,'2024数据'!$T$3:$T$152,"&gt;="&amp;DATE(2024,6,1),'2024数据'!$T$3:$T$152,"&lt;="&amp;DATE(2024,6,30),'2024数据'!$BL$3:$BL$152,$E1243,'2024数据'!$B$3:$B$152,'2024整理'!$E1400)/10000</f>
        <v>0</v>
      </c>
      <c r="L1420" s="123">
        <f>SUMIFS('2024数据'!$BM$3:$BM$152,'2024数据'!$T$3:$T$152,"&gt;="&amp;DATE(2024,7,1),'2024数据'!$T$3:$T$152,"&lt;="&amp;DATE(2024,7,31),'2024数据'!$BL$3:$BL$152,$E1243,'2024数据'!$B$3:$B$152,'2024整理'!$E1400)/10000</f>
        <v>0</v>
      </c>
      <c r="M1420" s="123">
        <f>SUMIFS('2024数据'!$BM$3:$BM$152,'2024数据'!$T$3:$T$152,"&gt;="&amp;DATE(2024,8,1),'2024数据'!$T$3:$T$152,"&lt;="&amp;DATE(2024,8,31),'2024数据'!$BL$3:$BL$152,$E1243,'2024数据'!$B$3:$B$152,'2024整理'!$E1400)/10000</f>
        <v>0.029425</v>
      </c>
      <c r="N1420" s="123">
        <f>SUMIFS('2024数据'!$BM$3:$BM$152,'2024数据'!$T$3:$T$152,"&gt;="&amp;DATE(2024,9,1),'2024数据'!$T$3:$T$152,"&lt;="&amp;DATE(2024,9,30),'2024数据'!$BL$3:$BL$152,$E1243,'2024数据'!$B$3:$B$152,'2024整理'!$E1400)/10000</f>
        <v>0.00834700000000003</v>
      </c>
      <c r="O1420" s="123">
        <f>SUMIFS('2024数据'!$BM$3:$BM$152,'2024数据'!$T$3:$T$152,"&gt;="&amp;DATE(2024,10,1),'2024数据'!$T$3:$T$152,"&lt;="&amp;DATE(2024,10,31),'2024数据'!$BL$3:$BL$152,$E1243,'2024数据'!$B$3:$B$152,'2024整理'!$E1400)/10000</f>
        <v>0</v>
      </c>
      <c r="P1420" s="123">
        <f>SUMIFS('2024数据'!$BM$3:$BM$152,'2024数据'!$T$3:$T$152,"&gt;="&amp;DATE(2024,11,1),'2024数据'!$T$3:$T$152,"&lt;="&amp;DATE(2024,11,30),'2024数据'!$BL$3:$BL$152,$E1243,'2024数据'!$B$3:$B$152,'2024整理'!$E1400)/10000</f>
        <v>0</v>
      </c>
      <c r="Q1420" s="123">
        <f>SUMIFS('2024数据'!$BM$3:$BM$152,'2024数据'!$T$3:$T$152,"&gt;="&amp;DATE(2024,12,1),'2024数据'!$T$3:$T$152,"&lt;="&amp;DATE(2024,12,31),'2024数据'!$BL$3:$BL$152,$E1243,'2024数据'!$B$3:$B$152,'2024整理'!$E1400)/10000</f>
        <v>0.00852200000000003</v>
      </c>
    </row>
    <row r="1421" ht="24" customHeight="1" spans="1:17">
      <c r="A1421" s="99" t="s">
        <v>348</v>
      </c>
      <c r="B1421" s="99" t="s">
        <v>299</v>
      </c>
      <c r="C1421" s="99" t="s">
        <v>333</v>
      </c>
      <c r="D1421" s="53" t="s">
        <v>303</v>
      </c>
      <c r="E1421" s="53" t="s">
        <v>96</v>
      </c>
      <c r="F1421" s="123">
        <f>SUMIFS('2024数据'!$BM$3:$BM$152,'2024数据'!$T$3:$T$152,"&gt;="&amp;DATE(2024,1,1),'2024数据'!$T$3:$T$152,"&lt;="&amp;DATE(2024,1,31),'2024数据'!$BL$3:$BL$152,$E1243,'2024数据'!$B$3:$B$152,'2024整理'!$E1401)/10000</f>
        <v>0</v>
      </c>
      <c r="G1421" s="123">
        <f>SUMIFS('2024数据'!$BM$3:$BM$152,'2024数据'!$T$3:$T$152,"&gt;="&amp;DATE(2024,2,1),'2024数据'!$T$3:$T$152,"&lt;="&amp;DATE(2024,2,29),'2024数据'!$BL$3:$BL$152,$E1243,'2024数据'!$B$3:$B$152,'2024整理'!$E1401)/10000</f>
        <v>0</v>
      </c>
      <c r="H1421" s="123">
        <f>SUMIFS('2024数据'!$BM$3:$BM$152,'2024数据'!$T$3:$T$152,"&gt;="&amp;DATE(2024,3,1),'2024数据'!$T$3:$T$152,"&lt;="&amp;DATE(2024,3,31),'2024数据'!$BL$3:$BL$152,$E1243,'2024数据'!$B$3:$B$152,'2024整理'!$E1401)/10000</f>
        <v>0.0129359999999999</v>
      </c>
      <c r="I1421" s="123">
        <f>SUMIFS('2024数据'!$BM$3:$BM$152,'2024数据'!$T$3:$T$152,"&gt;="&amp;DATE(2024,4,1),'2024数据'!$T$3:$T$152,"&lt;="&amp;DATE(2024,4,30),'2024数据'!$BL$3:$BL$152,$E1243,'2024数据'!$B$3:$B$152,'2024整理'!$E1401)/10000</f>
        <v>0.00751800000000003</v>
      </c>
      <c r="J1421" s="123">
        <f>SUMIFS('2024数据'!$BM$3:$BM$152,'2024数据'!$T$3:$T$152,"&gt;="&amp;DATE(2024,5,1),'2024数据'!$T$3:$T$152,"&lt;="&amp;DATE(2024,5,31),'2024数据'!$BL$3:$BL$152,$E1243,'2024数据'!$B$3:$B$152,'2024整理'!$E1401)/10000</f>
        <v>0</v>
      </c>
      <c r="K1421" s="123">
        <f>SUMIFS('2024数据'!$BM$3:$BM$152,'2024数据'!$T$3:$T$152,"&gt;="&amp;DATE(2024,6,1),'2024数据'!$T$3:$T$152,"&lt;="&amp;DATE(2024,6,30),'2024数据'!$BL$3:$BL$152,$E1243,'2024数据'!$B$3:$B$152,'2024整理'!$E1401)/10000</f>
        <v>0.150045</v>
      </c>
      <c r="L1421" s="123">
        <f>SUMIFS('2024数据'!$BM$3:$BM$152,'2024数据'!$T$3:$T$152,"&gt;="&amp;DATE(2024,7,1),'2024数据'!$T$3:$T$152,"&lt;="&amp;DATE(2024,7,31),'2024数据'!$BL$3:$BL$152,$E1243,'2024数据'!$B$3:$B$152,'2024整理'!$E1401)/10000</f>
        <v>0</v>
      </c>
      <c r="M1421" s="123">
        <f>SUMIFS('2024数据'!$BM$3:$BM$152,'2024数据'!$T$3:$T$152,"&gt;="&amp;DATE(2024,8,1),'2024数据'!$T$3:$T$152,"&lt;="&amp;DATE(2024,8,31),'2024数据'!$BL$3:$BL$152,$E1243,'2024数据'!$B$3:$B$152,'2024整理'!$E1401)/10000</f>
        <v>0</v>
      </c>
      <c r="N1421" s="123">
        <f>SUMIFS('2024数据'!$BM$3:$BM$152,'2024数据'!$T$3:$T$152,"&gt;="&amp;DATE(2024,9,1),'2024数据'!$T$3:$T$152,"&lt;="&amp;DATE(2024,9,30),'2024数据'!$BL$3:$BL$152,$E1243,'2024数据'!$B$3:$B$152,'2024整理'!$E1401)/10000</f>
        <v>0</v>
      </c>
      <c r="O1421" s="123">
        <f>SUMIFS('2024数据'!$BM$3:$BM$152,'2024数据'!$T$3:$T$152,"&gt;="&amp;DATE(2024,10,1),'2024数据'!$T$3:$T$152,"&lt;="&amp;DATE(2024,10,31),'2024数据'!$BL$3:$BL$152,$E1243,'2024数据'!$B$3:$B$152,'2024整理'!$E1401)/10000</f>
        <v>0</v>
      </c>
      <c r="P1421" s="123">
        <f>SUMIFS('2024数据'!$BM$3:$BM$152,'2024数据'!$T$3:$T$152,"&gt;="&amp;DATE(2024,11,1),'2024数据'!$T$3:$T$152,"&lt;="&amp;DATE(2024,11,30),'2024数据'!$BL$3:$BL$152,$E1243,'2024数据'!$B$3:$B$152,'2024整理'!$E1401)/10000</f>
        <v>0</v>
      </c>
      <c r="Q1421" s="123">
        <f>SUMIFS('2024数据'!$BM$3:$BM$152,'2024数据'!$T$3:$T$152,"&gt;="&amp;DATE(2024,12,1),'2024数据'!$T$3:$T$152,"&lt;="&amp;DATE(2024,12,31),'2024数据'!$BL$3:$BL$152,$E1243,'2024数据'!$B$3:$B$152,'2024整理'!$E1401)/10000</f>
        <v>0</v>
      </c>
    </row>
    <row r="1422" ht="24" customHeight="1" spans="1:17">
      <c r="A1422" s="99" t="s">
        <v>348</v>
      </c>
      <c r="B1422" s="99" t="s">
        <v>299</v>
      </c>
      <c r="C1422" s="99" t="s">
        <v>333</v>
      </c>
      <c r="D1422" s="53" t="s">
        <v>303</v>
      </c>
      <c r="E1422" s="53" t="s">
        <v>160</v>
      </c>
      <c r="F1422" s="123">
        <f t="shared" ref="F1422:Q1422" si="1034">F1415-SUM(F1418:F1421)</f>
        <v>0</v>
      </c>
      <c r="G1422" s="123">
        <f t="shared" si="1034"/>
        <v>0</v>
      </c>
      <c r="H1422" s="123">
        <f t="shared" si="1034"/>
        <v>0</v>
      </c>
      <c r="I1422" s="123">
        <f t="shared" si="1034"/>
        <v>0</v>
      </c>
      <c r="J1422" s="123">
        <f t="shared" si="1034"/>
        <v>0</v>
      </c>
      <c r="K1422" s="123">
        <f t="shared" si="1034"/>
        <v>0</v>
      </c>
      <c r="L1422" s="123">
        <f t="shared" si="1034"/>
        <v>0</v>
      </c>
      <c r="M1422" s="123">
        <f t="shared" si="1034"/>
        <v>0</v>
      </c>
      <c r="N1422" s="123">
        <f t="shared" si="1034"/>
        <v>0</v>
      </c>
      <c r="O1422" s="123">
        <f t="shared" si="1034"/>
        <v>0</v>
      </c>
      <c r="P1422" s="123">
        <f t="shared" si="1034"/>
        <v>0</v>
      </c>
      <c r="Q1422" s="123">
        <f t="shared" si="1034"/>
        <v>0</v>
      </c>
    </row>
    <row r="1423" ht="24" customHeight="1" spans="1:17">
      <c r="A1423" s="99" t="s">
        <v>348</v>
      </c>
      <c r="B1423" s="99" t="s">
        <v>299</v>
      </c>
      <c r="C1423" s="99" t="s">
        <v>333</v>
      </c>
      <c r="D1423" s="53" t="s">
        <v>304</v>
      </c>
      <c r="E1423" s="53" t="s">
        <v>93</v>
      </c>
      <c r="F1423" s="123">
        <f>SUMIFS('2024数据'!$BM$3:$BM$152,'2024数据'!$T$3:$T$152,"&gt;="&amp;DATE(2024,1,1),'2024数据'!$T$3:$T$152,"&lt;="&amp;DATE(2024,1,31),'2024数据'!$BL$3:$BL$152,$E1244,'2024数据'!$B$3:$B$152,'2024整理'!$E1398)/10000</f>
        <v>0</v>
      </c>
      <c r="G1423" s="123">
        <f>SUMIFS('2024数据'!$BM$3:$BM$152,'2024数据'!$T$3:$T$152,"&gt;="&amp;DATE(2024,2,1),'2024数据'!$T$3:$T$152,"&lt;="&amp;DATE(2024,2,29),'2024数据'!$BL$3:$BL$152,$E1244,'2024数据'!$B$3:$B$152,'2024整理'!$E1398)/10000</f>
        <v>0</v>
      </c>
      <c r="H1423" s="123">
        <f>SUMIFS('2024数据'!$BM$3:$BM$152,'2024数据'!$T$3:$T$152,"&gt;="&amp;DATE(2024,3,1),'2024数据'!$T$3:$T$152,"&lt;="&amp;DATE(2024,3,31),'2024数据'!$BL$3:$BL$152,$E1244,'2024数据'!$B$3:$B$152,'2024整理'!$E1398)/10000</f>
        <v>0</v>
      </c>
      <c r="I1423" s="123">
        <f>SUMIFS('2024数据'!$BM$3:$BM$152,'2024数据'!$T$3:$T$152,"&gt;="&amp;DATE(2024,4,1),'2024数据'!$T$3:$T$152,"&lt;="&amp;DATE(2024,4,30),'2024数据'!$BL$3:$BL$152,$E1244,'2024数据'!$B$3:$B$152,'2024整理'!$E1398)/10000</f>
        <v>0.000476999999999998</v>
      </c>
      <c r="J1423" s="123">
        <f>SUMIFS('2024数据'!$BM$3:$BM$152,'2024数据'!$T$3:$T$152,"&gt;="&amp;DATE(2024,5,1),'2024数据'!$T$3:$T$152,"&lt;="&amp;DATE(2024,5,31),'2024数据'!$BL$3:$BL$152,$E1244,'2024数据'!$B$3:$B$152,'2024整理'!$E1398)/10000</f>
        <v>0.0545220000000001</v>
      </c>
      <c r="K1423" s="123">
        <f>SUMIFS('2024数据'!$BM$3:$BM$152,'2024数据'!$T$3:$T$152,"&gt;="&amp;DATE(2024,6,1),'2024数据'!$T$3:$T$152,"&lt;="&amp;DATE(2024,6,30),'2024数据'!$BL$3:$BL$152,$E1244,'2024数据'!$B$3:$B$152,'2024整理'!$E1398)/10000</f>
        <v>0</v>
      </c>
      <c r="L1423" s="123">
        <f>SUMIFS('2024数据'!$BM$3:$BM$152,'2024数据'!$T$3:$T$152,"&gt;="&amp;DATE(2024,7,1),'2024数据'!$T$3:$T$152,"&lt;="&amp;DATE(2024,7,31),'2024数据'!$BL$3:$BL$152,$E1244,'2024数据'!$B$3:$B$152,'2024整理'!$E1398)/10000</f>
        <v>0.00287799999999997</v>
      </c>
      <c r="M1423" s="123">
        <f>SUMIFS('2024数据'!$BM$3:$BM$152,'2024数据'!$T$3:$T$152,"&gt;="&amp;DATE(2024,8,1),'2024数据'!$T$3:$T$152,"&lt;="&amp;DATE(2024,8,31),'2024数据'!$BL$3:$BL$152,$E1244,'2024数据'!$B$3:$B$152,'2024整理'!$E1398)/10000</f>
        <v>0</v>
      </c>
      <c r="N1423" s="123">
        <f>SUMIFS('2024数据'!$BM$3:$BM$152,'2024数据'!$T$3:$T$152,"&gt;="&amp;DATE(2024,9,1),'2024数据'!$T$3:$T$152,"&lt;="&amp;DATE(2024,9,30),'2024数据'!$BL$3:$BL$152,$E1244,'2024数据'!$B$3:$B$152,'2024整理'!$E1398)/10000</f>
        <v>0</v>
      </c>
      <c r="O1423" s="123">
        <f>SUMIFS('2024数据'!$BM$3:$BM$152,'2024数据'!$T$3:$T$152,"&gt;="&amp;DATE(2024,10,1),'2024数据'!$T$3:$T$152,"&lt;="&amp;DATE(2024,10,31),'2024数据'!$BL$3:$BL$152,$E1244,'2024数据'!$B$3:$B$152,'2024整理'!$E1398)/10000</f>
        <v>0</v>
      </c>
      <c r="P1423" s="123">
        <f>SUMIFS('2024数据'!$BM$3:$BM$152,'2024数据'!$T$3:$T$152,"&gt;="&amp;DATE(2024,11,1),'2024数据'!$T$3:$T$152,"&lt;="&amp;DATE(2024,11,30),'2024数据'!$BL$3:$BL$152,$E1244,'2024数据'!$B$3:$B$152,'2024整理'!$E1398)/10000</f>
        <v>0</v>
      </c>
      <c r="Q1423" s="123">
        <f>SUMIFS('2024数据'!$BM$3:$BM$152,'2024数据'!$T$3:$T$152,"&gt;="&amp;DATE(2024,12,1),'2024数据'!$T$3:$T$152,"&lt;="&amp;DATE(2024,12,31),'2024数据'!$BL$3:$BL$152,$E1244,'2024数据'!$B$3:$B$152,'2024整理'!$E1398)/10000</f>
        <v>0</v>
      </c>
    </row>
    <row r="1424" ht="24" customHeight="1" spans="1:17">
      <c r="A1424" s="99" t="s">
        <v>348</v>
      </c>
      <c r="B1424" s="99" t="s">
        <v>299</v>
      </c>
      <c r="C1424" s="99" t="s">
        <v>333</v>
      </c>
      <c r="D1424" s="53" t="s">
        <v>304</v>
      </c>
      <c r="E1424" s="53" t="s">
        <v>85</v>
      </c>
      <c r="F1424" s="123">
        <f>SUMIFS('2024数据'!$BM$3:$BM$152,'2024数据'!$T$3:$T$152,"&gt;="&amp;DATE(2024,1,1),'2024数据'!$T$3:$T$152,"&lt;="&amp;DATE(2024,1,31),'2024数据'!$BL$3:$BL$152,$E1244,'2024数据'!$B$3:$B$152,'2024整理'!$E1399)/10000</f>
        <v>0</v>
      </c>
      <c r="G1424" s="123">
        <f>SUMIFS('2024数据'!$BM$3:$BM$152,'2024数据'!$T$3:$T$152,"&gt;="&amp;DATE(2024,2,1),'2024数据'!$T$3:$T$152,"&lt;="&amp;DATE(2024,2,29),'2024数据'!$BL$3:$BL$152,$E1244,'2024数据'!$B$3:$B$152,'2024整理'!$E1399)/10000</f>
        <v>0</v>
      </c>
      <c r="H1424" s="123">
        <f>SUMIFS('2024数据'!$BM$3:$BM$152,'2024数据'!$T$3:$T$152,"&gt;="&amp;DATE(2024,3,1),'2024数据'!$T$3:$T$152,"&lt;="&amp;DATE(2024,3,31),'2024数据'!$BL$3:$BL$152,$E1244,'2024数据'!$B$3:$B$152,'2024整理'!$E1399)/10000</f>
        <v>0</v>
      </c>
      <c r="I1424" s="123">
        <f>SUMIFS('2024数据'!$BM$3:$BM$152,'2024数据'!$T$3:$T$152,"&gt;="&amp;DATE(2024,4,1),'2024数据'!$T$3:$T$152,"&lt;="&amp;DATE(2024,4,30),'2024数据'!$BL$3:$BL$152,$E1244,'2024数据'!$B$3:$B$152,'2024整理'!$E1399)/10000</f>
        <v>0</v>
      </c>
      <c r="J1424" s="123">
        <f>SUMIFS('2024数据'!$BM$3:$BM$152,'2024数据'!$T$3:$T$152,"&gt;="&amp;DATE(2024,5,1),'2024数据'!$T$3:$T$152,"&lt;="&amp;DATE(2024,5,31),'2024数据'!$BL$3:$BL$152,$E1244,'2024数据'!$B$3:$B$152,'2024整理'!$E1399)/10000</f>
        <v>0</v>
      </c>
      <c r="K1424" s="123">
        <f>SUMIFS('2024数据'!$BM$3:$BM$152,'2024数据'!$T$3:$T$152,"&gt;="&amp;DATE(2024,6,1),'2024数据'!$T$3:$T$152,"&lt;="&amp;DATE(2024,6,30),'2024数据'!$BL$3:$BL$152,$E1244,'2024数据'!$B$3:$B$152,'2024整理'!$E1399)/10000</f>
        <v>0</v>
      </c>
      <c r="L1424" s="123">
        <f>SUMIFS('2024数据'!$BM$3:$BM$152,'2024数据'!$T$3:$T$152,"&gt;="&amp;DATE(2024,7,1),'2024数据'!$T$3:$T$152,"&lt;="&amp;DATE(2024,7,31),'2024数据'!$BL$3:$BL$152,$E1244,'2024数据'!$B$3:$B$152,'2024整理'!$E1399)/10000</f>
        <v>0.020886</v>
      </c>
      <c r="M1424" s="123">
        <f>SUMIFS('2024数据'!$BM$3:$BM$152,'2024数据'!$T$3:$T$152,"&gt;="&amp;DATE(2024,8,1),'2024数据'!$T$3:$T$152,"&lt;="&amp;DATE(2024,8,31),'2024数据'!$BL$3:$BL$152,$E1244,'2024数据'!$B$3:$B$152,'2024整理'!$E1399)/10000</f>
        <v>0</v>
      </c>
      <c r="N1424" s="123">
        <f>SUMIFS('2024数据'!$BM$3:$BM$152,'2024数据'!$T$3:$T$152,"&gt;="&amp;DATE(2024,9,1),'2024数据'!$T$3:$T$152,"&lt;="&amp;DATE(2024,9,30),'2024数据'!$BL$3:$BL$152,$E1244,'2024数据'!$B$3:$B$152,'2024整理'!$E1399)/10000</f>
        <v>0</v>
      </c>
      <c r="O1424" s="123">
        <f>SUMIFS('2024数据'!$BM$3:$BM$152,'2024数据'!$T$3:$T$152,"&gt;="&amp;DATE(2024,10,1),'2024数据'!$T$3:$T$152,"&lt;="&amp;DATE(2024,10,31),'2024数据'!$BL$3:$BL$152,$E1244,'2024数据'!$B$3:$B$152,'2024整理'!$E1399)/10000</f>
        <v>0.001395</v>
      </c>
      <c r="P1424" s="123">
        <f>SUMIFS('2024数据'!$BM$3:$BM$152,'2024数据'!$T$3:$T$152,"&gt;="&amp;DATE(2024,11,1),'2024数据'!$T$3:$T$152,"&lt;="&amp;DATE(2024,11,30),'2024数据'!$BL$3:$BL$152,$E1244,'2024数据'!$B$3:$B$152,'2024整理'!$E1399)/10000</f>
        <v>0</v>
      </c>
      <c r="Q1424" s="123">
        <f>SUMIFS('2024数据'!$BM$3:$BM$152,'2024数据'!$T$3:$T$152,"&gt;="&amp;DATE(2024,12,1),'2024数据'!$T$3:$T$152,"&lt;="&amp;DATE(2024,12,31),'2024数据'!$BL$3:$BL$152,$E1244,'2024数据'!$B$3:$B$152,'2024整理'!$E1399)/10000</f>
        <v>0.0157679999999998</v>
      </c>
    </row>
    <row r="1425" ht="24" customHeight="1" spans="1:17">
      <c r="A1425" s="99" t="s">
        <v>348</v>
      </c>
      <c r="B1425" s="99" t="s">
        <v>299</v>
      </c>
      <c r="C1425" s="99" t="s">
        <v>333</v>
      </c>
      <c r="D1425" s="53" t="s">
        <v>304</v>
      </c>
      <c r="E1425" s="53" t="s">
        <v>81</v>
      </c>
      <c r="F1425" s="123">
        <f>SUMIFS('2024数据'!$BM$3:$BM$152,'2024数据'!$T$3:$T$152,"&gt;="&amp;DATE(2024,1,1),'2024数据'!$T$3:$T$152,"&lt;="&amp;DATE(2024,1,31),'2024数据'!$BL$3:$BL$152,$E1244,'2024数据'!$B$3:$B$152,'2024整理'!$E1400)/10000</f>
        <v>0</v>
      </c>
      <c r="G1425" s="123">
        <f>SUMIFS('2024数据'!$BM$3:$BM$152,'2024数据'!$T$3:$T$152,"&gt;="&amp;DATE(2024,2,1),'2024数据'!$T$3:$T$152,"&lt;="&amp;DATE(2024,2,29),'2024数据'!$BL$3:$BL$152,$E1244,'2024数据'!$B$3:$B$152,'2024整理'!$E1400)/10000</f>
        <v>0</v>
      </c>
      <c r="H1425" s="123">
        <f>SUMIFS('2024数据'!$BM$3:$BM$152,'2024数据'!$T$3:$T$152,"&gt;="&amp;DATE(2024,3,1),'2024数据'!$T$3:$T$152,"&lt;="&amp;DATE(2024,3,31),'2024数据'!$BL$3:$BL$152,$E1244,'2024数据'!$B$3:$B$152,'2024整理'!$E1400)/10000</f>
        <v>0</v>
      </c>
      <c r="I1425" s="123">
        <f>SUMIFS('2024数据'!$BM$3:$BM$152,'2024数据'!$T$3:$T$152,"&gt;="&amp;DATE(2024,4,1),'2024数据'!$T$3:$T$152,"&lt;="&amp;DATE(2024,4,30),'2024数据'!$BL$3:$BL$152,$E1244,'2024数据'!$B$3:$B$152,'2024整理'!$E1400)/10000</f>
        <v>0.010278</v>
      </c>
      <c r="J1425" s="123">
        <f>SUMIFS('2024数据'!$BM$3:$BM$152,'2024数据'!$T$3:$T$152,"&gt;="&amp;DATE(2024,5,1),'2024数据'!$T$3:$T$152,"&lt;="&amp;DATE(2024,5,31),'2024数据'!$BL$3:$BL$152,$E1244,'2024数据'!$B$3:$B$152,'2024整理'!$E1400)/10000</f>
        <v>0.053485</v>
      </c>
      <c r="K1425" s="123">
        <f>SUMIFS('2024数据'!$BM$3:$BM$152,'2024数据'!$T$3:$T$152,"&gt;="&amp;DATE(2024,6,1),'2024数据'!$T$3:$T$152,"&lt;="&amp;DATE(2024,6,30),'2024数据'!$BL$3:$BL$152,$E1244,'2024数据'!$B$3:$B$152,'2024整理'!$E1400)/10000</f>
        <v>0.00770100000000002</v>
      </c>
      <c r="L1425" s="123">
        <f>SUMIFS('2024数据'!$BM$3:$BM$152,'2024数据'!$T$3:$T$152,"&gt;="&amp;DATE(2024,7,1),'2024数据'!$T$3:$T$152,"&lt;="&amp;DATE(2024,7,31),'2024数据'!$BL$3:$BL$152,$E1244,'2024数据'!$B$3:$B$152,'2024整理'!$E1400)/10000</f>
        <v>0</v>
      </c>
      <c r="M1425" s="123">
        <f>SUMIFS('2024数据'!$BM$3:$BM$152,'2024数据'!$T$3:$T$152,"&gt;="&amp;DATE(2024,8,1),'2024数据'!$T$3:$T$152,"&lt;="&amp;DATE(2024,8,31),'2024数据'!$BL$3:$BL$152,$E1244,'2024数据'!$B$3:$B$152,'2024整理'!$E1400)/10000</f>
        <v>0</v>
      </c>
      <c r="N1425" s="123">
        <f>SUMIFS('2024数据'!$BM$3:$BM$152,'2024数据'!$T$3:$T$152,"&gt;="&amp;DATE(2024,9,1),'2024数据'!$T$3:$T$152,"&lt;="&amp;DATE(2024,9,30),'2024数据'!$BL$3:$BL$152,$E1244,'2024数据'!$B$3:$B$152,'2024整理'!$E1400)/10000</f>
        <v>0</v>
      </c>
      <c r="O1425" s="123">
        <f>SUMIFS('2024数据'!$BM$3:$BM$152,'2024数据'!$T$3:$T$152,"&gt;="&amp;DATE(2024,10,1),'2024数据'!$T$3:$T$152,"&lt;="&amp;DATE(2024,10,31),'2024数据'!$BL$3:$BL$152,$E1244,'2024数据'!$B$3:$B$152,'2024整理'!$E1400)/10000</f>
        <v>0</v>
      </c>
      <c r="P1425" s="123">
        <f>SUMIFS('2024数据'!$BM$3:$BM$152,'2024数据'!$T$3:$T$152,"&gt;="&amp;DATE(2024,11,1),'2024数据'!$T$3:$T$152,"&lt;="&amp;DATE(2024,11,30),'2024数据'!$BL$3:$BL$152,$E1244,'2024数据'!$B$3:$B$152,'2024整理'!$E1400)/10000</f>
        <v>0</v>
      </c>
      <c r="Q1425" s="123">
        <f>SUMIFS('2024数据'!$BM$3:$BM$152,'2024数据'!$T$3:$T$152,"&gt;="&amp;DATE(2024,12,1),'2024数据'!$T$3:$T$152,"&lt;="&amp;DATE(2024,12,31),'2024数据'!$BL$3:$BL$152,$E1244,'2024数据'!$B$3:$B$152,'2024整理'!$E1400)/10000</f>
        <v>0</v>
      </c>
    </row>
    <row r="1426" ht="24" customHeight="1" spans="1:17">
      <c r="A1426" s="99" t="s">
        <v>348</v>
      </c>
      <c r="B1426" s="99" t="s">
        <v>299</v>
      </c>
      <c r="C1426" s="99" t="s">
        <v>333</v>
      </c>
      <c r="D1426" s="53" t="s">
        <v>304</v>
      </c>
      <c r="E1426" s="53" t="s">
        <v>96</v>
      </c>
      <c r="F1426" s="123">
        <f>SUMIFS('2024数据'!$BM$3:$BM$152,'2024数据'!$T$3:$T$152,"&gt;="&amp;DATE(2024,1,1),'2024数据'!$T$3:$T$152,"&lt;="&amp;DATE(2024,1,31),'2024数据'!$BL$3:$BL$152,$E1244,'2024数据'!$B$3:$B$152,'2024整理'!$E1401)/10000</f>
        <v>0</v>
      </c>
      <c r="G1426" s="123">
        <f>SUMIFS('2024数据'!$BM$3:$BM$152,'2024数据'!$T$3:$T$152,"&gt;="&amp;DATE(2024,2,1),'2024数据'!$T$3:$T$152,"&lt;="&amp;DATE(2024,2,29),'2024数据'!$BL$3:$BL$152,$E1244,'2024数据'!$B$3:$B$152,'2024整理'!$E1401)/10000</f>
        <v>0</v>
      </c>
      <c r="H1426" s="123">
        <f>SUMIFS('2024数据'!$BM$3:$BM$152,'2024数据'!$T$3:$T$152,"&gt;="&amp;DATE(2024,3,1),'2024数据'!$T$3:$T$152,"&lt;="&amp;DATE(2024,3,31),'2024数据'!$BL$3:$BL$152,$E1244,'2024数据'!$B$3:$B$152,'2024整理'!$E1401)/10000</f>
        <v>0</v>
      </c>
      <c r="I1426" s="123">
        <f>SUMIFS('2024数据'!$BM$3:$BM$152,'2024数据'!$T$3:$T$152,"&gt;="&amp;DATE(2024,4,1),'2024数据'!$T$3:$T$152,"&lt;="&amp;DATE(2024,4,30),'2024数据'!$BL$3:$BL$152,$E1244,'2024数据'!$B$3:$B$152,'2024整理'!$E1401)/10000</f>
        <v>0</v>
      </c>
      <c r="J1426" s="123">
        <f>SUMIFS('2024数据'!$BM$3:$BM$152,'2024数据'!$T$3:$T$152,"&gt;="&amp;DATE(2024,5,1),'2024数据'!$T$3:$T$152,"&lt;="&amp;DATE(2024,5,31),'2024数据'!$BL$3:$BL$152,$E1244,'2024数据'!$B$3:$B$152,'2024整理'!$E1401)/10000</f>
        <v>0</v>
      </c>
      <c r="K1426" s="123">
        <f>SUMIFS('2024数据'!$BM$3:$BM$152,'2024数据'!$T$3:$T$152,"&gt;="&amp;DATE(2024,6,1),'2024数据'!$T$3:$T$152,"&lt;="&amp;DATE(2024,6,30),'2024数据'!$BL$3:$BL$152,$E1244,'2024数据'!$B$3:$B$152,'2024整理'!$E1401)/10000</f>
        <v>0</v>
      </c>
      <c r="L1426" s="123">
        <f>SUMIFS('2024数据'!$BM$3:$BM$152,'2024数据'!$T$3:$T$152,"&gt;="&amp;DATE(2024,7,1),'2024数据'!$T$3:$T$152,"&lt;="&amp;DATE(2024,7,31),'2024数据'!$BL$3:$BL$152,$E1244,'2024数据'!$B$3:$B$152,'2024整理'!$E1401)/10000</f>
        <v>0</v>
      </c>
      <c r="M1426" s="123">
        <f>SUMIFS('2024数据'!$BM$3:$BM$152,'2024数据'!$T$3:$T$152,"&gt;="&amp;DATE(2024,8,1),'2024数据'!$T$3:$T$152,"&lt;="&amp;DATE(2024,8,31),'2024数据'!$BL$3:$BL$152,$E1244,'2024数据'!$B$3:$B$152,'2024整理'!$E1401)/10000</f>
        <v>0</v>
      </c>
      <c r="N1426" s="123">
        <f>SUMIFS('2024数据'!$BM$3:$BM$152,'2024数据'!$T$3:$T$152,"&gt;="&amp;DATE(2024,9,1),'2024数据'!$T$3:$T$152,"&lt;="&amp;DATE(2024,9,30),'2024数据'!$BL$3:$BL$152,$E1244,'2024数据'!$B$3:$B$152,'2024整理'!$E1401)/10000</f>
        <v>0</v>
      </c>
      <c r="O1426" s="123">
        <f>SUMIFS('2024数据'!$BM$3:$BM$152,'2024数据'!$T$3:$T$152,"&gt;="&amp;DATE(2024,10,1),'2024数据'!$T$3:$T$152,"&lt;="&amp;DATE(2024,10,31),'2024数据'!$BL$3:$BL$152,$E1244,'2024数据'!$B$3:$B$152,'2024整理'!$E1401)/10000</f>
        <v>0</v>
      </c>
      <c r="P1426" s="123">
        <f>SUMIFS('2024数据'!$BM$3:$BM$152,'2024数据'!$T$3:$T$152,"&gt;="&amp;DATE(2024,11,1),'2024数据'!$T$3:$T$152,"&lt;="&amp;DATE(2024,11,30),'2024数据'!$BL$3:$BL$152,$E1244,'2024数据'!$B$3:$B$152,'2024整理'!$E1401)/10000</f>
        <v>0</v>
      </c>
      <c r="Q1426" s="123">
        <f>SUMIFS('2024数据'!$BM$3:$BM$152,'2024数据'!$T$3:$T$152,"&gt;="&amp;DATE(2024,12,1),'2024数据'!$T$3:$T$152,"&lt;="&amp;DATE(2024,12,31),'2024数据'!$BL$3:$BL$152,$E1244,'2024数据'!$B$3:$B$152,'2024整理'!$E1401)/10000</f>
        <v>0</v>
      </c>
    </row>
    <row r="1427" ht="24" customHeight="1" spans="1:17">
      <c r="A1427" s="99" t="s">
        <v>348</v>
      </c>
      <c r="B1427" s="99" t="s">
        <v>299</v>
      </c>
      <c r="C1427" s="99" t="s">
        <v>333</v>
      </c>
      <c r="D1427" s="53" t="s">
        <v>304</v>
      </c>
      <c r="E1427" s="53" t="s">
        <v>160</v>
      </c>
      <c r="F1427" s="123">
        <f t="shared" ref="F1427:Q1427" si="1035">F1416-SUM(F1423:F1426)</f>
        <v>0</v>
      </c>
      <c r="G1427" s="123">
        <f t="shared" si="1035"/>
        <v>0</v>
      </c>
      <c r="H1427" s="123">
        <f t="shared" si="1035"/>
        <v>0</v>
      </c>
      <c r="I1427" s="123">
        <f t="shared" si="1035"/>
        <v>0</v>
      </c>
      <c r="J1427" s="123">
        <f t="shared" si="1035"/>
        <v>0</v>
      </c>
      <c r="K1427" s="123">
        <f t="shared" si="1035"/>
        <v>0</v>
      </c>
      <c r="L1427" s="123">
        <f t="shared" si="1035"/>
        <v>0</v>
      </c>
      <c r="M1427" s="123">
        <f t="shared" si="1035"/>
        <v>0</v>
      </c>
      <c r="N1427" s="123">
        <f t="shared" si="1035"/>
        <v>0</v>
      </c>
      <c r="O1427" s="123">
        <f t="shared" si="1035"/>
        <v>0</v>
      </c>
      <c r="P1427" s="123">
        <f t="shared" si="1035"/>
        <v>0</v>
      </c>
      <c r="Q1427" s="123">
        <f t="shared" si="1035"/>
        <v>0</v>
      </c>
    </row>
    <row r="1428" ht="24" customHeight="1" spans="1:17">
      <c r="A1428" s="99" t="s">
        <v>348</v>
      </c>
      <c r="B1428" s="99" t="s">
        <v>299</v>
      </c>
      <c r="C1428" s="99" t="s">
        <v>336</v>
      </c>
      <c r="D1428" s="114" t="s">
        <v>292</v>
      </c>
      <c r="E1428" s="122" t="s">
        <v>337</v>
      </c>
      <c r="F1428" s="124">
        <f>SUMIFS('2024数据'!$BM$3:$BM$152,'2024数据'!$T$3:$T$152,"&gt;="&amp;DATE(2024,1,1),'2024数据'!$T$3:$T$152,"&lt;="&amp;DATE(2024,1,31),'2024数据'!$BL$3:$BL$152,$E1243)/10000</f>
        <v>0.0328039999999999</v>
      </c>
      <c r="G1428" s="124">
        <f>SUMIFS('2024数据'!$BM$3:$BM$152,'2024数据'!$T$3:$T$152,"&gt;="&amp;DATE(2024,2,1),'2024数据'!$T$3:$T$152,"&lt;="&amp;DATE(2024,2,29),'2024数据'!$BL$3:$BL$152,$E1243)/10000</f>
        <v>0.114546</v>
      </c>
      <c r="H1428" s="124">
        <f>SUMIFS('2024数据'!$BM$3:$BM$152,'2024数据'!$T$3:$T$152,"&gt;="&amp;DATE(2024,3,1),'2024数据'!$T$3:$T$152,"&lt;="&amp;DATE(2024,3,31),'2024数据'!$BL$3:$BL$152,$E1243)/10000</f>
        <v>0.087856</v>
      </c>
      <c r="I1428" s="124">
        <f>SUMIFS('2024数据'!$BM$3:$BM$152,'2024数据'!$T$3:$T$152,"&gt;="&amp;DATE(2024,4,1),'2024数据'!$T$3:$T$152,"&lt;="&amp;DATE(2024,4,30),'2024数据'!$BL$3:$BL$152,$E1243)/10000</f>
        <v>0.194389</v>
      </c>
      <c r="J1428" s="124">
        <f>SUMIFS('2024数据'!$BM$3:$BM$152,'2024数据'!$T$3:$T$152,"&gt;="&amp;DATE(2024,5,1),'2024数据'!$T$3:$T$152,"&lt;="&amp;DATE(2024,5,31),'2024数据'!$BL$3:$BL$152,$E1243)/10000</f>
        <v>0.047456</v>
      </c>
      <c r="K1428" s="124">
        <f>SUMIFS('2024数据'!$BM$3:$BM$152,'2024数据'!$T$3:$T$152,"&gt;="&amp;DATE(2024,6,1),'2024数据'!$T$3:$T$152,"&lt;="&amp;DATE(2024,6,30),'2024数据'!$BL$3:$BL$152,$E1243)/10000</f>
        <v>0.194895</v>
      </c>
      <c r="L1428" s="124">
        <f>SUMIFS('2024数据'!$BM$3:$BM$152,'2024数据'!$T$3:$T$152,"&gt;="&amp;DATE(2024,7,1),'2024数据'!$T$3:$T$152,"&lt;="&amp;DATE(2024,7,31),'2024数据'!$BL$3:$BL$152,$E1243)/10000</f>
        <v>0.00421199999999999</v>
      </c>
      <c r="M1428" s="124">
        <f>SUMIFS('2024数据'!$BM$3:$BM$152,'2024数据'!$T$3:$T$152,"&gt;="&amp;DATE(2024,8,1),'2024数据'!$T$3:$T$152,"&lt;="&amp;DATE(2024,8,31),'2024数据'!$BL$3:$BL$152,$E1243)/10000</f>
        <v>0.036381</v>
      </c>
      <c r="N1428" s="124">
        <f>SUMIFS('2024数据'!$BM$3:$BM$152,'2024数据'!$T$3:$T$152,"&gt;="&amp;DATE(2024,9,1),'2024数据'!$T$3:$T$152,"&lt;="&amp;DATE(2024,9,30),'2024数据'!$BL$3:$BL$152,$E1243)/10000</f>
        <v>0.00834700000000003</v>
      </c>
      <c r="O1428" s="124">
        <f>SUMIFS('2024数据'!$BM$3:$BM$152,'2024数据'!$T$3:$T$152,"&gt;="&amp;DATE(2024,10,1),'2024数据'!$T$3:$T$152,"&lt;="&amp;DATE(2024,10,31),'2024数据'!$BL$3:$BL$152,$E1243)/10000</f>
        <v>0.053493</v>
      </c>
      <c r="P1428" s="124">
        <f>SUMIFS('2024数据'!$BM$3:$BM$152,'2024数据'!$T$3:$T$152,"&gt;="&amp;DATE(2024,11,1),'2024数据'!$T$3:$T$152,"&lt;="&amp;DATE(2024,11,30),'2024数据'!$BL$3:$BL$152,$E1243)/10000</f>
        <v>0.036911</v>
      </c>
      <c r="Q1428" s="124">
        <f>SUMIFS('2024数据'!$BM$3:$BM$152,'2024数据'!$T$3:$T$152,"&gt;="&amp;DATE(2024,12,1),'2024数据'!$T$3:$T$152,"&lt;="&amp;DATE(2024,12,31),'2024数据'!$BL$3:$BL$152,$E1243)/10000</f>
        <v>0.0586710000000002</v>
      </c>
    </row>
    <row r="1429" ht="24" customHeight="1" spans="1:17">
      <c r="A1429" s="99" t="s">
        <v>348</v>
      </c>
      <c r="B1429" s="99" t="s">
        <v>299</v>
      </c>
      <c r="C1429" s="99" t="s">
        <v>336</v>
      </c>
      <c r="D1429" s="114" t="s">
        <v>292</v>
      </c>
      <c r="E1429" s="122" t="s">
        <v>338</v>
      </c>
      <c r="F1429" s="124">
        <f>SUMIFS('2024数据'!$BM$3:$BM$152,'2024数据'!$T$3:$T$152,"&gt;="&amp;DATE(2024,1,1),'2024数据'!$T$3:$T$152,"&lt;="&amp;DATE(2024,1,31),'2024数据'!$BL$3:$BL$152,$E1244)/10000</f>
        <v>0</v>
      </c>
      <c r="G1429" s="124">
        <f>SUMIFS('2024数据'!$BM$3:$BM$152,'2024数据'!$T$3:$T$152,"&gt;="&amp;DATE(2024,2,1),'2024数据'!$T$3:$T$152,"&lt;="&amp;DATE(2024,2,29),'2024数据'!$BL$3:$BL$152,$E1244)/10000</f>
        <v>0</v>
      </c>
      <c r="H1429" s="124">
        <f>SUMIFS('2024数据'!$BM$3:$BM$152,'2024数据'!$T$3:$T$152,"&gt;="&amp;DATE(2024,3,1),'2024数据'!$T$3:$T$152,"&lt;="&amp;DATE(2024,3,31),'2024数据'!$BL$3:$BL$152,$E1244)/10000</f>
        <v>0</v>
      </c>
      <c r="I1429" s="124">
        <f>SUMIFS('2024数据'!$BM$3:$BM$152,'2024数据'!$T$3:$T$152,"&gt;="&amp;DATE(2024,4,1),'2024数据'!$T$3:$T$152,"&lt;="&amp;DATE(2024,4,30),'2024数据'!$BL$3:$BL$152,$E1244)/10000</f>
        <v>0.010755</v>
      </c>
      <c r="J1429" s="124">
        <f>SUMIFS('2024数据'!$BM$3:$BM$152,'2024数据'!$T$3:$T$152,"&gt;="&amp;DATE(2024,5,1),'2024数据'!$T$3:$T$152,"&lt;="&amp;DATE(2024,5,31),'2024数据'!$BL$3:$BL$152,$E1244)/10000</f>
        <v>0.108007</v>
      </c>
      <c r="K1429" s="124">
        <f>SUMIFS('2024数据'!$BM$3:$BM$152,'2024数据'!$T$3:$T$152,"&gt;="&amp;DATE(2024,6,1),'2024数据'!$T$3:$T$152,"&lt;="&amp;DATE(2024,6,30),'2024数据'!$BL$3:$BL$152,$E1244)/10000</f>
        <v>0.00770100000000002</v>
      </c>
      <c r="L1429" s="124">
        <f>SUMIFS('2024数据'!$BM$3:$BM$152,'2024数据'!$T$3:$T$152,"&gt;="&amp;DATE(2024,7,1),'2024数据'!$T$3:$T$152,"&lt;="&amp;DATE(2024,7,31),'2024数据'!$BL$3:$BL$152,$E1244)/10000</f>
        <v>0.0237639999999999</v>
      </c>
      <c r="M1429" s="124">
        <f>SUMIFS('2024数据'!$BM$3:$BM$152,'2024数据'!$T$3:$T$152,"&gt;="&amp;DATE(2024,8,1),'2024数据'!$T$3:$T$152,"&lt;="&amp;DATE(2024,8,31),'2024数据'!$BL$3:$BL$152,$E1244)/10000</f>
        <v>0</v>
      </c>
      <c r="N1429" s="124">
        <f>SUMIFS('2024数据'!$BM$3:$BM$152,'2024数据'!$T$3:$T$152,"&gt;="&amp;DATE(2024,9,1),'2024数据'!$T$3:$T$152,"&lt;="&amp;DATE(2024,9,30),'2024数据'!$BL$3:$BL$152,$E1244)/10000</f>
        <v>0</v>
      </c>
      <c r="O1429" s="124">
        <f>SUMIFS('2024数据'!$BM$3:$BM$152,'2024数据'!$T$3:$T$152,"&gt;="&amp;DATE(2024,10,1),'2024数据'!$T$3:$T$152,"&lt;="&amp;DATE(2024,10,31),'2024数据'!$BL$3:$BL$152,$E1244)/10000</f>
        <v>0.001395</v>
      </c>
      <c r="P1429" s="124">
        <f>SUMIFS('2024数据'!$BM$3:$BM$152,'2024数据'!$T$3:$T$152,"&gt;="&amp;DATE(2024,11,1),'2024数据'!$T$3:$T$152,"&lt;="&amp;DATE(2024,11,30),'2024数据'!$BL$3:$BL$152,$E1244)/10000</f>
        <v>0</v>
      </c>
      <c r="Q1429" s="124">
        <f>SUMIFS('2024数据'!$BM$3:$BM$152,'2024数据'!$T$3:$T$152,"&gt;="&amp;DATE(2024,12,1),'2024数据'!$T$3:$T$152,"&lt;="&amp;DATE(2024,12,31),'2024数据'!$BL$3:$BL$152,$E1244)/10000</f>
        <v>0.0157679999999998</v>
      </c>
    </row>
    <row r="1430" ht="24" customHeight="1" spans="1:17">
      <c r="A1430" s="99" t="s">
        <v>348</v>
      </c>
      <c r="B1430" s="99" t="s">
        <v>299</v>
      </c>
      <c r="C1430" s="99" t="s">
        <v>336</v>
      </c>
      <c r="D1430" s="114" t="s">
        <v>292</v>
      </c>
      <c r="E1430" s="122" t="s">
        <v>339</v>
      </c>
      <c r="F1430" s="124">
        <f>SUMIFS('2024数据'!$BM$3:$BM$152,'2024数据'!$T$3:$T$152,"&gt;="&amp;DATE(2024,1,1),'2024数据'!$T$3:$T$152,"&lt;="&amp;DATE(2024,1,31),'2024数据'!$BL$3:$BL$152,$E1245)/10000</f>
        <v>0</v>
      </c>
      <c r="G1430" s="124">
        <f>SUMIFS('2024数据'!$BM$3:$BM$152,'2024数据'!$T$3:$T$152,"&gt;="&amp;DATE(2024,2,1),'2024数据'!$T$3:$T$152,"&lt;="&amp;DATE(2024,2,29),'2024数据'!$BL$3:$BL$152,$E1245)/10000</f>
        <v>0</v>
      </c>
      <c r="H1430" s="124">
        <f>SUMIFS('2024数据'!$BM$3:$BM$152,'2024数据'!$T$3:$T$152,"&gt;="&amp;DATE(2024,3,1),'2024数据'!$T$3:$T$152,"&lt;="&amp;DATE(2024,3,31),'2024数据'!$BL$3:$BL$152,$E1245)/10000</f>
        <v>0</v>
      </c>
      <c r="I1430" s="124">
        <f>SUMIFS('2024数据'!$BM$3:$BM$152,'2024数据'!$T$3:$T$152,"&gt;="&amp;DATE(2024,4,1),'2024数据'!$T$3:$T$152,"&lt;="&amp;DATE(2024,4,30),'2024数据'!$BL$3:$BL$152,$E1245)/10000</f>
        <v>0</v>
      </c>
      <c r="J1430" s="124">
        <f>SUMIFS('2024数据'!$BM$3:$BM$152,'2024数据'!$T$3:$T$152,"&gt;="&amp;DATE(2024,5,1),'2024数据'!$T$3:$T$152,"&lt;="&amp;DATE(2024,5,31),'2024数据'!$BL$3:$BL$152,$E1245)/10000</f>
        <v>0</v>
      </c>
      <c r="K1430" s="124">
        <f>SUMIFS('2024数据'!$BM$3:$BM$152,'2024数据'!$T$3:$T$152,"&gt;="&amp;DATE(2024,6,1),'2024数据'!$T$3:$T$152,"&lt;="&amp;DATE(2024,6,30),'2024数据'!$BL$3:$BL$152,$E1245)/10000</f>
        <v>0</v>
      </c>
      <c r="L1430" s="124">
        <f>SUMIFS('2024数据'!$BM$3:$BM$152,'2024数据'!$T$3:$T$152,"&gt;="&amp;DATE(2024,7,1),'2024数据'!$T$3:$T$152,"&lt;="&amp;DATE(2024,7,31),'2024数据'!$BL$3:$BL$152,$E1245)/10000</f>
        <v>0</v>
      </c>
      <c r="M1430" s="124">
        <f>SUMIFS('2024数据'!$BM$3:$BM$152,'2024数据'!$T$3:$T$152,"&gt;="&amp;DATE(2024,8,1),'2024数据'!$T$3:$T$152,"&lt;="&amp;DATE(2024,8,31),'2024数据'!$BL$3:$BL$152,$E1245)/10000</f>
        <v>0</v>
      </c>
      <c r="N1430" s="124">
        <f>SUMIFS('2024数据'!$BM$3:$BM$152,'2024数据'!$T$3:$T$152,"&gt;="&amp;DATE(2024,9,1),'2024数据'!$T$3:$T$152,"&lt;="&amp;DATE(2024,9,30),'2024数据'!$BL$3:$BL$152,$E1245)/10000</f>
        <v>0</v>
      </c>
      <c r="O1430" s="124">
        <f>SUMIFS('2024数据'!$BM$3:$BM$152,'2024数据'!$T$3:$T$152,"&gt;="&amp;DATE(2024,10,1),'2024数据'!$T$3:$T$152,"&lt;="&amp;DATE(2024,10,31),'2024数据'!$BL$3:$BL$152,$E1245)/10000</f>
        <v>0</v>
      </c>
      <c r="P1430" s="124">
        <f>SUMIFS('2024数据'!$BM$3:$BM$152,'2024数据'!$T$3:$T$152,"&gt;="&amp;DATE(2024,11,1),'2024数据'!$T$3:$T$152,"&lt;="&amp;DATE(2024,11,30),'2024数据'!$BL$3:$BL$152,$E1245)/10000</f>
        <v>0</v>
      </c>
      <c r="Q1430" s="124">
        <f>SUMIFS('2024数据'!$BM$3:$BM$152,'2024数据'!$T$3:$T$152,"&gt;="&amp;DATE(2024,12,1),'2024数据'!$T$3:$T$152,"&lt;="&amp;DATE(2024,12,31),'2024数据'!$BL$3:$BL$152,$E1245)/10000</f>
        <v>0</v>
      </c>
    </row>
    <row r="1431" ht="24" customHeight="1" spans="1:17">
      <c r="A1431" s="99" t="s">
        <v>348</v>
      </c>
      <c r="B1431" s="99" t="s">
        <v>299</v>
      </c>
      <c r="C1431" s="99" t="s">
        <v>336</v>
      </c>
      <c r="D1431" s="122" t="s">
        <v>303</v>
      </c>
      <c r="E1431" s="122" t="s">
        <v>93</v>
      </c>
      <c r="F1431" s="124">
        <f>SUMIFS('2024数据'!$BM$3:$BM$152,'2024数据'!$T$3:$T$152,"&gt;="&amp;DATE(2024,1,1),'2024数据'!$T$3:$T$152,"&lt;="&amp;DATE(2024,1,31),'2024数据'!$BL$3:$BL$152,$E1243,'2024数据'!$B$3:$B$152,'2024整理'!$E1410)/10000</f>
        <v>0.0307959999999999</v>
      </c>
      <c r="G1431" s="124">
        <f>SUMIFS('2024数据'!$BM$3:$BM$152,'2024数据'!$T$3:$T$152,"&gt;="&amp;DATE(2024,2,1),'2024数据'!$T$3:$T$152,"&lt;="&amp;DATE(2024,2,29),'2024数据'!$BL$3:$BL$152,$E1243,'2024数据'!$B$3:$B$152,'2024整理'!$E1410)/10000</f>
        <v>0.11082</v>
      </c>
      <c r="H1431" s="124">
        <f>SUMIFS('2024数据'!$BM$3:$BM$152,'2024数据'!$T$3:$T$152,"&gt;="&amp;DATE(2024,3,1),'2024数据'!$T$3:$T$152,"&lt;="&amp;DATE(2024,3,31),'2024数据'!$BL$3:$BL$152,$E1243,'2024数据'!$B$3:$B$152,'2024整理'!$E1410)/10000</f>
        <v>0.0503059999999999</v>
      </c>
      <c r="I1431" s="124">
        <f>SUMIFS('2024数据'!$BM$3:$BM$152,'2024数据'!$T$3:$T$152,"&gt;="&amp;DATE(2024,4,1),'2024数据'!$T$3:$T$152,"&lt;="&amp;DATE(2024,4,30),'2024数据'!$BL$3:$BL$152,$E1243,'2024数据'!$B$3:$B$152,'2024整理'!$E1410)/10000</f>
        <v>0.151973</v>
      </c>
      <c r="J1431" s="124">
        <f>SUMIFS('2024数据'!$BM$3:$BM$152,'2024数据'!$T$3:$T$152,"&gt;="&amp;DATE(2024,5,1),'2024数据'!$T$3:$T$152,"&lt;="&amp;DATE(2024,5,31),'2024数据'!$BL$3:$BL$152,$E1243,'2024数据'!$B$3:$B$152,'2024整理'!$E1410)/10000</f>
        <v>0.028914</v>
      </c>
      <c r="K1431" s="124">
        <f>SUMIFS('2024数据'!$BM$3:$BM$152,'2024数据'!$T$3:$T$152,"&gt;="&amp;DATE(2024,6,1),'2024数据'!$T$3:$T$152,"&lt;="&amp;DATE(2024,6,30),'2024数据'!$BL$3:$BL$152,$E1243,'2024数据'!$B$3:$B$152,'2024整理'!$E1410)/10000</f>
        <v>0.02202</v>
      </c>
      <c r="L1431" s="124">
        <f>SUMIFS('2024数据'!$BM$3:$BM$152,'2024数据'!$T$3:$T$152,"&gt;="&amp;DATE(2024,7,1),'2024数据'!$T$3:$T$152,"&lt;="&amp;DATE(2024,7,31),'2024数据'!$BL$3:$BL$152,$E1243,'2024数据'!$B$3:$B$152,'2024整理'!$E1410)/10000</f>
        <v>0.00421199999999999</v>
      </c>
      <c r="M1431" s="124">
        <f>SUMIFS('2024数据'!$BM$3:$BM$152,'2024数据'!$T$3:$T$152,"&gt;="&amp;DATE(2024,8,1),'2024数据'!$T$3:$T$152,"&lt;="&amp;DATE(2024,8,31),'2024数据'!$BL$3:$BL$152,$E1243,'2024数据'!$B$3:$B$152,'2024整理'!$E1410)/10000</f>
        <v>0.00695599999999999</v>
      </c>
      <c r="N1431" s="124">
        <f>SUMIFS('2024数据'!$BM$3:$BM$152,'2024数据'!$T$3:$T$152,"&gt;="&amp;DATE(2024,9,1),'2024数据'!$T$3:$T$152,"&lt;="&amp;DATE(2024,9,30),'2024数据'!$BL$3:$BL$152,$E1243,'2024数据'!$B$3:$B$152,'2024整理'!$E1410)/10000</f>
        <v>0</v>
      </c>
      <c r="O1431" s="124">
        <f>SUMIFS('2024数据'!$BM$3:$BM$152,'2024数据'!$T$3:$T$152,"&gt;="&amp;DATE(2024,10,1),'2024数据'!$T$3:$T$152,"&lt;="&amp;DATE(2024,10,31),'2024数据'!$BL$3:$BL$152,$E1243,'2024数据'!$B$3:$B$152,'2024整理'!$E1410)/10000</f>
        <v>0.053493</v>
      </c>
      <c r="P1431" s="124">
        <f>SUMIFS('2024数据'!$BM$3:$BM$152,'2024数据'!$T$3:$T$152,"&gt;="&amp;DATE(2024,11,1),'2024数据'!$T$3:$T$152,"&lt;="&amp;DATE(2024,11,30),'2024数据'!$BL$3:$BL$152,$E1243,'2024数据'!$B$3:$B$152,'2024整理'!$E1410)/10000</f>
        <v>0.033268</v>
      </c>
      <c r="Q1431" s="124">
        <f>SUMIFS('2024数据'!$BM$3:$BM$152,'2024数据'!$T$3:$T$152,"&gt;="&amp;DATE(2024,12,1),'2024数据'!$T$3:$T$152,"&lt;="&amp;DATE(2024,12,31),'2024数据'!$BL$3:$BL$152,$E1243,'2024数据'!$B$3:$B$152,'2024整理'!$E1410)/10000</f>
        <v>0.024673</v>
      </c>
    </row>
    <row r="1432" ht="24" customHeight="1" spans="1:17">
      <c r="A1432" s="99" t="s">
        <v>348</v>
      </c>
      <c r="B1432" s="99" t="s">
        <v>299</v>
      </c>
      <c r="C1432" s="99" t="s">
        <v>336</v>
      </c>
      <c r="D1432" s="122" t="s">
        <v>303</v>
      </c>
      <c r="E1432" s="122" t="s">
        <v>85</v>
      </c>
      <c r="F1432" s="124">
        <f>SUMIFS('2024数据'!$BM$3:$BM$152,'2024数据'!$T$3:$T$152,"&gt;="&amp;DATE(2024,1,1),'2024数据'!$T$3:$T$152,"&lt;="&amp;DATE(2024,1,31),'2024数据'!$BL$3:$BL$152,$E1243,'2024数据'!$B$3:$B$152,'2024整理'!$E1411)/10000</f>
        <v>0.00200799999999999</v>
      </c>
      <c r="G1432" s="124">
        <f>SUMIFS('2024数据'!$BM$3:$BM$152,'2024数据'!$T$3:$T$152,"&gt;="&amp;DATE(2024,2,1),'2024数据'!$T$3:$T$152,"&lt;="&amp;DATE(2024,2,29),'2024数据'!$BL$3:$BL$152,$E1243,'2024数据'!$B$3:$B$152,'2024整理'!$E1411)/10000</f>
        <v>0.003726</v>
      </c>
      <c r="H1432" s="124">
        <f>SUMIFS('2024数据'!$BM$3:$BM$152,'2024数据'!$T$3:$T$152,"&gt;="&amp;DATE(2024,3,1),'2024数据'!$T$3:$T$152,"&lt;="&amp;DATE(2024,3,31),'2024数据'!$BL$3:$BL$152,$E1243,'2024数据'!$B$3:$B$152,'2024整理'!$E1411)/10000</f>
        <v>0.0246140000000002</v>
      </c>
      <c r="I1432" s="124">
        <f>SUMIFS('2024数据'!$BM$3:$BM$152,'2024数据'!$T$3:$T$152,"&gt;="&amp;DATE(2024,4,1),'2024数据'!$T$3:$T$152,"&lt;="&amp;DATE(2024,4,30),'2024数据'!$BL$3:$BL$152,$E1243,'2024数据'!$B$3:$B$152,'2024整理'!$E1411)/10000</f>
        <v>0.0348979999999999</v>
      </c>
      <c r="J1432" s="124">
        <f>SUMIFS('2024数据'!$BM$3:$BM$152,'2024数据'!$T$3:$T$152,"&gt;="&amp;DATE(2024,5,1),'2024数据'!$T$3:$T$152,"&lt;="&amp;DATE(2024,5,31),'2024数据'!$BL$3:$BL$152,$E1243,'2024数据'!$B$3:$B$152,'2024整理'!$E1411)/10000</f>
        <v>0.018542</v>
      </c>
      <c r="K1432" s="124">
        <f>SUMIFS('2024数据'!$BM$3:$BM$152,'2024数据'!$T$3:$T$152,"&gt;="&amp;DATE(2024,6,1),'2024数据'!$T$3:$T$152,"&lt;="&amp;DATE(2024,6,30),'2024数据'!$BL$3:$BL$152,$E1243,'2024数据'!$B$3:$B$152,'2024整理'!$E1411)/10000</f>
        <v>0.02283</v>
      </c>
      <c r="L1432" s="124">
        <f>SUMIFS('2024数据'!$BM$3:$BM$152,'2024数据'!$T$3:$T$152,"&gt;="&amp;DATE(2024,7,1),'2024数据'!$T$3:$T$152,"&lt;="&amp;DATE(2024,7,31),'2024数据'!$BL$3:$BL$152,$E1243,'2024数据'!$B$3:$B$152,'2024整理'!$E1411)/10000</f>
        <v>0</v>
      </c>
      <c r="M1432" s="124">
        <f>SUMIFS('2024数据'!$BM$3:$BM$152,'2024数据'!$T$3:$T$152,"&gt;="&amp;DATE(2024,8,1),'2024数据'!$T$3:$T$152,"&lt;="&amp;DATE(2024,8,31),'2024数据'!$BL$3:$BL$152,$E1243,'2024数据'!$B$3:$B$152,'2024整理'!$E1411)/10000</f>
        <v>0</v>
      </c>
      <c r="N1432" s="124">
        <f>SUMIFS('2024数据'!$BM$3:$BM$152,'2024数据'!$T$3:$T$152,"&gt;="&amp;DATE(2024,9,1),'2024数据'!$T$3:$T$152,"&lt;="&amp;DATE(2024,9,30),'2024数据'!$BL$3:$BL$152,$E1243,'2024数据'!$B$3:$B$152,'2024整理'!$E1411)/10000</f>
        <v>0</v>
      </c>
      <c r="O1432" s="124">
        <f>SUMIFS('2024数据'!$BM$3:$BM$152,'2024数据'!$T$3:$T$152,"&gt;="&amp;DATE(2024,10,1),'2024数据'!$T$3:$T$152,"&lt;="&amp;DATE(2024,10,31),'2024数据'!$BL$3:$BL$152,$E1243,'2024数据'!$B$3:$B$152,'2024整理'!$E1411)/10000</f>
        <v>0</v>
      </c>
      <c r="P1432" s="124">
        <f>SUMIFS('2024数据'!$BM$3:$BM$152,'2024数据'!$T$3:$T$152,"&gt;="&amp;DATE(2024,11,1),'2024数据'!$T$3:$T$152,"&lt;="&amp;DATE(2024,11,30),'2024数据'!$BL$3:$BL$152,$E1243,'2024数据'!$B$3:$B$152,'2024整理'!$E1411)/10000</f>
        <v>0.00364300000000001</v>
      </c>
      <c r="Q1432" s="124">
        <f>SUMIFS('2024数据'!$BM$3:$BM$152,'2024数据'!$T$3:$T$152,"&gt;="&amp;DATE(2024,12,1),'2024数据'!$T$3:$T$152,"&lt;="&amp;DATE(2024,12,31),'2024数据'!$BL$3:$BL$152,$E1243,'2024数据'!$B$3:$B$152,'2024整理'!$E1411)/10000</f>
        <v>0.0254760000000001</v>
      </c>
    </row>
    <row r="1433" ht="24" customHeight="1" spans="1:17">
      <c r="A1433" s="99" t="s">
        <v>348</v>
      </c>
      <c r="B1433" s="99" t="s">
        <v>299</v>
      </c>
      <c r="C1433" s="99" t="s">
        <v>336</v>
      </c>
      <c r="D1433" s="122" t="s">
        <v>303</v>
      </c>
      <c r="E1433" s="122" t="s">
        <v>81</v>
      </c>
      <c r="F1433" s="124">
        <f>SUMIFS('2024数据'!$BM$3:$BM$152,'2024数据'!$T$3:$T$152,"&gt;="&amp;DATE(2024,1,1),'2024数据'!$T$3:$T$152,"&lt;="&amp;DATE(2024,1,31),'2024数据'!$BL$3:$BL$152,$E1243,'2024数据'!$B$3:$B$152,'2024整理'!$E1412)/10000</f>
        <v>0</v>
      </c>
      <c r="G1433" s="124">
        <f>SUMIFS('2024数据'!$BM$3:$BM$152,'2024数据'!$T$3:$T$152,"&gt;="&amp;DATE(2024,2,1),'2024数据'!$T$3:$T$152,"&lt;="&amp;DATE(2024,2,29),'2024数据'!$BL$3:$BL$152,$E1243,'2024数据'!$B$3:$B$152,'2024整理'!$E1412)/10000</f>
        <v>0</v>
      </c>
      <c r="H1433" s="124">
        <f>SUMIFS('2024数据'!$BM$3:$BM$152,'2024数据'!$T$3:$T$152,"&gt;="&amp;DATE(2024,3,1),'2024数据'!$T$3:$T$152,"&lt;="&amp;DATE(2024,3,31),'2024数据'!$BL$3:$BL$152,$E1243,'2024数据'!$B$3:$B$152,'2024整理'!$E1412)/10000</f>
        <v>0</v>
      </c>
      <c r="I1433" s="124">
        <f>SUMIFS('2024数据'!$BM$3:$BM$152,'2024数据'!$T$3:$T$152,"&gt;="&amp;DATE(2024,4,1),'2024数据'!$T$3:$T$152,"&lt;="&amp;DATE(2024,4,30),'2024数据'!$BL$3:$BL$152,$E1243,'2024数据'!$B$3:$B$152,'2024整理'!$E1412)/10000</f>
        <v>0</v>
      </c>
      <c r="J1433" s="124">
        <f>SUMIFS('2024数据'!$BM$3:$BM$152,'2024数据'!$T$3:$T$152,"&gt;="&amp;DATE(2024,5,1),'2024数据'!$T$3:$T$152,"&lt;="&amp;DATE(2024,5,31),'2024数据'!$BL$3:$BL$152,$E1243,'2024数据'!$B$3:$B$152,'2024整理'!$E1412)/10000</f>
        <v>0</v>
      </c>
      <c r="K1433" s="124">
        <f>SUMIFS('2024数据'!$BM$3:$BM$152,'2024数据'!$T$3:$T$152,"&gt;="&amp;DATE(2024,6,1),'2024数据'!$T$3:$T$152,"&lt;="&amp;DATE(2024,6,30),'2024数据'!$BL$3:$BL$152,$E1243,'2024数据'!$B$3:$B$152,'2024整理'!$E1412)/10000</f>
        <v>0</v>
      </c>
      <c r="L1433" s="124">
        <f>SUMIFS('2024数据'!$BM$3:$BM$152,'2024数据'!$T$3:$T$152,"&gt;="&amp;DATE(2024,7,1),'2024数据'!$T$3:$T$152,"&lt;="&amp;DATE(2024,7,31),'2024数据'!$BL$3:$BL$152,$E1243,'2024数据'!$B$3:$B$152,'2024整理'!$E1412)/10000</f>
        <v>0</v>
      </c>
      <c r="M1433" s="124">
        <f>SUMIFS('2024数据'!$BM$3:$BM$152,'2024数据'!$T$3:$T$152,"&gt;="&amp;DATE(2024,8,1),'2024数据'!$T$3:$T$152,"&lt;="&amp;DATE(2024,8,31),'2024数据'!$BL$3:$BL$152,$E1243,'2024数据'!$B$3:$B$152,'2024整理'!$E1412)/10000</f>
        <v>0.029425</v>
      </c>
      <c r="N1433" s="124">
        <f>SUMIFS('2024数据'!$BM$3:$BM$152,'2024数据'!$T$3:$T$152,"&gt;="&amp;DATE(2024,9,1),'2024数据'!$T$3:$T$152,"&lt;="&amp;DATE(2024,9,30),'2024数据'!$BL$3:$BL$152,$E1243,'2024数据'!$B$3:$B$152,'2024整理'!$E1412)/10000</f>
        <v>0.00834700000000003</v>
      </c>
      <c r="O1433" s="124">
        <f>SUMIFS('2024数据'!$BM$3:$BM$152,'2024数据'!$T$3:$T$152,"&gt;="&amp;DATE(2024,10,1),'2024数据'!$T$3:$T$152,"&lt;="&amp;DATE(2024,10,31),'2024数据'!$BL$3:$BL$152,$E1243,'2024数据'!$B$3:$B$152,'2024整理'!$E1412)/10000</f>
        <v>0</v>
      </c>
      <c r="P1433" s="124">
        <f>SUMIFS('2024数据'!$BM$3:$BM$152,'2024数据'!$T$3:$T$152,"&gt;="&amp;DATE(2024,11,1),'2024数据'!$T$3:$T$152,"&lt;="&amp;DATE(2024,11,30),'2024数据'!$BL$3:$BL$152,$E1243,'2024数据'!$B$3:$B$152,'2024整理'!$E1412)/10000</f>
        <v>0</v>
      </c>
      <c r="Q1433" s="124">
        <f>SUMIFS('2024数据'!$BM$3:$BM$152,'2024数据'!$T$3:$T$152,"&gt;="&amp;DATE(2024,12,1),'2024数据'!$T$3:$T$152,"&lt;="&amp;DATE(2024,12,31),'2024数据'!$BL$3:$BL$152,$E1243,'2024数据'!$B$3:$B$152,'2024整理'!$E1412)/10000</f>
        <v>0.00852200000000003</v>
      </c>
    </row>
    <row r="1434" ht="24" customHeight="1" spans="1:17">
      <c r="A1434" s="99" t="s">
        <v>348</v>
      </c>
      <c r="B1434" s="99" t="s">
        <v>299</v>
      </c>
      <c r="C1434" s="99" t="s">
        <v>336</v>
      </c>
      <c r="D1434" s="122" t="s">
        <v>303</v>
      </c>
      <c r="E1434" s="122" t="s">
        <v>96</v>
      </c>
      <c r="F1434" s="124">
        <f>SUMIFS('2024数据'!$BM$3:$BM$152,'2024数据'!$T$3:$T$152,"&gt;="&amp;DATE(2024,1,1),'2024数据'!$T$3:$T$152,"&lt;="&amp;DATE(2024,1,31),'2024数据'!$BL$3:$BL$152,$E1243,'2024数据'!$B$3:$B$152,'2024整理'!$E1413)/10000</f>
        <v>0</v>
      </c>
      <c r="G1434" s="124">
        <f>SUMIFS('2024数据'!$BM$3:$BM$152,'2024数据'!$T$3:$T$152,"&gt;="&amp;DATE(2024,2,1),'2024数据'!$T$3:$T$152,"&lt;="&amp;DATE(2024,2,29),'2024数据'!$BL$3:$BL$152,$E1243,'2024数据'!$B$3:$B$152,'2024整理'!$E1413)/10000</f>
        <v>0</v>
      </c>
      <c r="H1434" s="124">
        <f>SUMIFS('2024数据'!$BM$3:$BM$152,'2024数据'!$T$3:$T$152,"&gt;="&amp;DATE(2024,3,1),'2024数据'!$T$3:$T$152,"&lt;="&amp;DATE(2024,3,31),'2024数据'!$BL$3:$BL$152,$E1243,'2024数据'!$B$3:$B$152,'2024整理'!$E1413)/10000</f>
        <v>0.0129359999999999</v>
      </c>
      <c r="I1434" s="124">
        <f>SUMIFS('2024数据'!$BM$3:$BM$152,'2024数据'!$T$3:$T$152,"&gt;="&amp;DATE(2024,4,1),'2024数据'!$T$3:$T$152,"&lt;="&amp;DATE(2024,4,30),'2024数据'!$BL$3:$BL$152,$E1243,'2024数据'!$B$3:$B$152,'2024整理'!$E1413)/10000</f>
        <v>0.00751800000000003</v>
      </c>
      <c r="J1434" s="124">
        <f>SUMIFS('2024数据'!$BM$3:$BM$152,'2024数据'!$T$3:$T$152,"&gt;="&amp;DATE(2024,5,1),'2024数据'!$T$3:$T$152,"&lt;="&amp;DATE(2024,5,31),'2024数据'!$BL$3:$BL$152,$E1243,'2024数据'!$B$3:$B$152,'2024整理'!$E1413)/10000</f>
        <v>0</v>
      </c>
      <c r="K1434" s="124">
        <f>SUMIFS('2024数据'!$BM$3:$BM$152,'2024数据'!$T$3:$T$152,"&gt;="&amp;DATE(2024,6,1),'2024数据'!$T$3:$T$152,"&lt;="&amp;DATE(2024,6,30),'2024数据'!$BL$3:$BL$152,$E1243,'2024数据'!$B$3:$B$152,'2024整理'!$E1413)/10000</f>
        <v>0.150045</v>
      </c>
      <c r="L1434" s="124">
        <f>SUMIFS('2024数据'!$BM$3:$BM$152,'2024数据'!$T$3:$T$152,"&gt;="&amp;DATE(2024,7,1),'2024数据'!$T$3:$T$152,"&lt;="&amp;DATE(2024,7,31),'2024数据'!$BL$3:$BL$152,$E1243,'2024数据'!$B$3:$B$152,'2024整理'!$E1413)/10000</f>
        <v>0</v>
      </c>
      <c r="M1434" s="124">
        <f>SUMIFS('2024数据'!$BM$3:$BM$152,'2024数据'!$T$3:$T$152,"&gt;="&amp;DATE(2024,8,1),'2024数据'!$T$3:$T$152,"&lt;="&amp;DATE(2024,8,31),'2024数据'!$BL$3:$BL$152,$E1243,'2024数据'!$B$3:$B$152,'2024整理'!$E1413)/10000</f>
        <v>0</v>
      </c>
      <c r="N1434" s="124">
        <f>SUMIFS('2024数据'!$BM$3:$BM$152,'2024数据'!$T$3:$T$152,"&gt;="&amp;DATE(2024,9,1),'2024数据'!$T$3:$T$152,"&lt;="&amp;DATE(2024,9,30),'2024数据'!$BL$3:$BL$152,$E1243,'2024数据'!$B$3:$B$152,'2024整理'!$E1413)/10000</f>
        <v>0</v>
      </c>
      <c r="O1434" s="124">
        <f>SUMIFS('2024数据'!$BM$3:$BM$152,'2024数据'!$T$3:$T$152,"&gt;="&amp;DATE(2024,10,1),'2024数据'!$T$3:$T$152,"&lt;="&amp;DATE(2024,10,31),'2024数据'!$BL$3:$BL$152,$E1243,'2024数据'!$B$3:$B$152,'2024整理'!$E1413)/10000</f>
        <v>0</v>
      </c>
      <c r="P1434" s="124">
        <f>SUMIFS('2024数据'!$BM$3:$BM$152,'2024数据'!$T$3:$T$152,"&gt;="&amp;DATE(2024,11,1),'2024数据'!$T$3:$T$152,"&lt;="&amp;DATE(2024,11,30),'2024数据'!$BL$3:$BL$152,$E1243,'2024数据'!$B$3:$B$152,'2024整理'!$E1413)/10000</f>
        <v>0</v>
      </c>
      <c r="Q1434" s="124">
        <f>SUMIFS('2024数据'!$BM$3:$BM$152,'2024数据'!$T$3:$T$152,"&gt;="&amp;DATE(2024,12,1),'2024数据'!$T$3:$T$152,"&lt;="&amp;DATE(2024,12,31),'2024数据'!$BL$3:$BL$152,$E1243,'2024数据'!$B$3:$B$152,'2024整理'!$E1413)/10000</f>
        <v>0</v>
      </c>
    </row>
    <row r="1435" ht="24" customHeight="1" spans="1:17">
      <c r="A1435" s="99" t="s">
        <v>348</v>
      </c>
      <c r="B1435" s="99" t="s">
        <v>299</v>
      </c>
      <c r="C1435" s="99" t="s">
        <v>336</v>
      </c>
      <c r="D1435" s="122" t="s">
        <v>303</v>
      </c>
      <c r="E1435" s="122" t="s">
        <v>160</v>
      </c>
      <c r="F1435" s="124">
        <f t="shared" ref="F1435:Q1435" si="1036">F1428-SUM(F1431:F1434)</f>
        <v>0</v>
      </c>
      <c r="G1435" s="124">
        <f t="shared" si="1036"/>
        <v>0</v>
      </c>
      <c r="H1435" s="124">
        <f t="shared" si="1036"/>
        <v>0</v>
      </c>
      <c r="I1435" s="124">
        <f t="shared" si="1036"/>
        <v>0</v>
      </c>
      <c r="J1435" s="124">
        <f t="shared" si="1036"/>
        <v>0</v>
      </c>
      <c r="K1435" s="124">
        <f t="shared" si="1036"/>
        <v>0</v>
      </c>
      <c r="L1435" s="124">
        <f t="shared" si="1036"/>
        <v>0</v>
      </c>
      <c r="M1435" s="124">
        <f t="shared" si="1036"/>
        <v>0</v>
      </c>
      <c r="N1435" s="124">
        <f t="shared" si="1036"/>
        <v>0</v>
      </c>
      <c r="O1435" s="124">
        <f t="shared" si="1036"/>
        <v>0</v>
      </c>
      <c r="P1435" s="124">
        <f t="shared" si="1036"/>
        <v>0</v>
      </c>
      <c r="Q1435" s="124">
        <f t="shared" si="1036"/>
        <v>0</v>
      </c>
    </row>
    <row r="1436" ht="24" customHeight="1" spans="1:17">
      <c r="A1436" s="99" t="s">
        <v>348</v>
      </c>
      <c r="B1436" s="99" t="s">
        <v>299</v>
      </c>
      <c r="C1436" s="99" t="s">
        <v>336</v>
      </c>
      <c r="D1436" s="122" t="s">
        <v>304</v>
      </c>
      <c r="E1436" s="122" t="s">
        <v>93</v>
      </c>
      <c r="F1436" s="124">
        <f>SUMIFS('2024数据'!$BM$3:$BM$152,'2024数据'!$T$3:$T$152,"&gt;="&amp;DATE(2024,1,1),'2024数据'!$T$3:$T$152,"&lt;="&amp;DATE(2024,1,31),'2024数据'!$BL$3:$BL$152,$E1244,'2024数据'!$B$3:$B$152,'2024整理'!$E1410)/10000</f>
        <v>0</v>
      </c>
      <c r="G1436" s="124">
        <f>SUMIFS('2024数据'!$BM$3:$BM$152,'2024数据'!$T$3:$T$152,"&gt;="&amp;DATE(2024,2,1),'2024数据'!$T$3:$T$152,"&lt;="&amp;DATE(2024,2,29),'2024数据'!$BL$3:$BL$152,$E1244,'2024数据'!$B$3:$B$152,'2024整理'!$E1410)/10000</f>
        <v>0</v>
      </c>
      <c r="H1436" s="124">
        <f>SUMIFS('2024数据'!$BM$3:$BM$152,'2024数据'!$T$3:$T$152,"&gt;="&amp;DATE(2024,3,1),'2024数据'!$T$3:$T$152,"&lt;="&amp;DATE(2024,3,31),'2024数据'!$BL$3:$BL$152,$E1244,'2024数据'!$B$3:$B$152,'2024整理'!$E1410)/10000</f>
        <v>0</v>
      </c>
      <c r="I1436" s="124">
        <f>SUMIFS('2024数据'!$BM$3:$BM$152,'2024数据'!$T$3:$T$152,"&gt;="&amp;DATE(2024,4,1),'2024数据'!$T$3:$T$152,"&lt;="&amp;DATE(2024,4,30),'2024数据'!$BL$3:$BL$152,$E1244,'2024数据'!$B$3:$B$152,'2024整理'!$E1410)/10000</f>
        <v>0.000476999999999998</v>
      </c>
      <c r="J1436" s="124">
        <f>SUMIFS('2024数据'!$BM$3:$BM$152,'2024数据'!$T$3:$T$152,"&gt;="&amp;DATE(2024,5,1),'2024数据'!$T$3:$T$152,"&lt;="&amp;DATE(2024,5,31),'2024数据'!$BL$3:$BL$152,$E1244,'2024数据'!$B$3:$B$152,'2024整理'!$E1410)/10000</f>
        <v>0.0545220000000001</v>
      </c>
      <c r="K1436" s="124">
        <f>SUMIFS('2024数据'!$BM$3:$BM$152,'2024数据'!$T$3:$T$152,"&gt;="&amp;DATE(2024,6,1),'2024数据'!$T$3:$T$152,"&lt;="&amp;DATE(2024,6,30),'2024数据'!$BL$3:$BL$152,$E1244,'2024数据'!$B$3:$B$152,'2024整理'!$E1410)/10000</f>
        <v>0</v>
      </c>
      <c r="L1436" s="124">
        <f>SUMIFS('2024数据'!$BM$3:$BM$152,'2024数据'!$T$3:$T$152,"&gt;="&amp;DATE(2024,7,1),'2024数据'!$T$3:$T$152,"&lt;="&amp;DATE(2024,7,31),'2024数据'!$BL$3:$BL$152,$E1244,'2024数据'!$B$3:$B$152,'2024整理'!$E1410)/10000</f>
        <v>0.00287799999999997</v>
      </c>
      <c r="M1436" s="124">
        <f>SUMIFS('2024数据'!$BM$3:$BM$152,'2024数据'!$T$3:$T$152,"&gt;="&amp;DATE(2024,8,1),'2024数据'!$T$3:$T$152,"&lt;="&amp;DATE(2024,8,31),'2024数据'!$BL$3:$BL$152,$E1244,'2024数据'!$B$3:$B$152,'2024整理'!$E1410)/10000</f>
        <v>0</v>
      </c>
      <c r="N1436" s="124">
        <f>SUMIFS('2024数据'!$BM$3:$BM$152,'2024数据'!$T$3:$T$152,"&gt;="&amp;DATE(2024,9,1),'2024数据'!$T$3:$T$152,"&lt;="&amp;DATE(2024,9,30),'2024数据'!$BL$3:$BL$152,$E1244,'2024数据'!$B$3:$B$152,'2024整理'!$E1410)/10000</f>
        <v>0</v>
      </c>
      <c r="O1436" s="124">
        <f>SUMIFS('2024数据'!$BM$3:$BM$152,'2024数据'!$T$3:$T$152,"&gt;="&amp;DATE(2024,10,1),'2024数据'!$T$3:$T$152,"&lt;="&amp;DATE(2024,10,31),'2024数据'!$BL$3:$BL$152,$E1244,'2024数据'!$B$3:$B$152,'2024整理'!$E1410)/10000</f>
        <v>0</v>
      </c>
      <c r="P1436" s="124">
        <f>SUMIFS('2024数据'!$BM$3:$BM$152,'2024数据'!$T$3:$T$152,"&gt;="&amp;DATE(2024,11,1),'2024数据'!$T$3:$T$152,"&lt;="&amp;DATE(2024,11,30),'2024数据'!$BL$3:$BL$152,$E1244,'2024数据'!$B$3:$B$152,'2024整理'!$E1410)/10000</f>
        <v>0</v>
      </c>
      <c r="Q1436" s="124">
        <f>SUMIFS('2024数据'!$BM$3:$BM$152,'2024数据'!$T$3:$T$152,"&gt;="&amp;DATE(2024,12,1),'2024数据'!$T$3:$T$152,"&lt;="&amp;DATE(2024,12,31),'2024数据'!$BL$3:$BL$152,$E1244,'2024数据'!$B$3:$B$152,'2024整理'!$E1410)/10000</f>
        <v>0</v>
      </c>
    </row>
    <row r="1437" ht="24" customHeight="1" spans="1:17">
      <c r="A1437" s="99" t="s">
        <v>348</v>
      </c>
      <c r="B1437" s="99" t="s">
        <v>299</v>
      </c>
      <c r="C1437" s="99" t="s">
        <v>336</v>
      </c>
      <c r="D1437" s="122" t="s">
        <v>304</v>
      </c>
      <c r="E1437" s="122" t="s">
        <v>85</v>
      </c>
      <c r="F1437" s="124">
        <f>SUMIFS('2024数据'!$BM$3:$BM$152,'2024数据'!$T$3:$T$152,"&gt;="&amp;DATE(2024,1,1),'2024数据'!$T$3:$T$152,"&lt;="&amp;DATE(2024,1,31),'2024数据'!$BL$3:$BL$152,$E1244,'2024数据'!$B$3:$B$152,'2024整理'!$E1411)/10000</f>
        <v>0</v>
      </c>
      <c r="G1437" s="124">
        <f>SUMIFS('2024数据'!$BM$3:$BM$152,'2024数据'!$T$3:$T$152,"&gt;="&amp;DATE(2024,2,1),'2024数据'!$T$3:$T$152,"&lt;="&amp;DATE(2024,2,29),'2024数据'!$BL$3:$BL$152,$E1244,'2024数据'!$B$3:$B$152,'2024整理'!$E1411)/10000</f>
        <v>0</v>
      </c>
      <c r="H1437" s="124">
        <f>SUMIFS('2024数据'!$BM$3:$BM$152,'2024数据'!$T$3:$T$152,"&gt;="&amp;DATE(2024,3,1),'2024数据'!$T$3:$T$152,"&lt;="&amp;DATE(2024,3,31),'2024数据'!$BL$3:$BL$152,$E1244,'2024数据'!$B$3:$B$152,'2024整理'!$E1411)/10000</f>
        <v>0</v>
      </c>
      <c r="I1437" s="124">
        <f>SUMIFS('2024数据'!$BM$3:$BM$152,'2024数据'!$T$3:$T$152,"&gt;="&amp;DATE(2024,4,1),'2024数据'!$T$3:$T$152,"&lt;="&amp;DATE(2024,4,30),'2024数据'!$BL$3:$BL$152,$E1244,'2024数据'!$B$3:$B$152,'2024整理'!$E1411)/10000</f>
        <v>0</v>
      </c>
      <c r="J1437" s="124">
        <f>SUMIFS('2024数据'!$BM$3:$BM$152,'2024数据'!$T$3:$T$152,"&gt;="&amp;DATE(2024,5,1),'2024数据'!$T$3:$T$152,"&lt;="&amp;DATE(2024,5,31),'2024数据'!$BL$3:$BL$152,$E1244,'2024数据'!$B$3:$B$152,'2024整理'!$E1411)/10000</f>
        <v>0</v>
      </c>
      <c r="K1437" s="124">
        <f>SUMIFS('2024数据'!$BM$3:$BM$152,'2024数据'!$T$3:$T$152,"&gt;="&amp;DATE(2024,6,1),'2024数据'!$T$3:$T$152,"&lt;="&amp;DATE(2024,6,30),'2024数据'!$BL$3:$BL$152,$E1244,'2024数据'!$B$3:$B$152,'2024整理'!$E1411)/10000</f>
        <v>0</v>
      </c>
      <c r="L1437" s="124">
        <f>SUMIFS('2024数据'!$BM$3:$BM$152,'2024数据'!$T$3:$T$152,"&gt;="&amp;DATE(2024,7,1),'2024数据'!$T$3:$T$152,"&lt;="&amp;DATE(2024,7,31),'2024数据'!$BL$3:$BL$152,$E1244,'2024数据'!$B$3:$B$152,'2024整理'!$E1411)/10000</f>
        <v>0.020886</v>
      </c>
      <c r="M1437" s="124">
        <f>SUMIFS('2024数据'!$BM$3:$BM$152,'2024数据'!$T$3:$T$152,"&gt;="&amp;DATE(2024,8,1),'2024数据'!$T$3:$T$152,"&lt;="&amp;DATE(2024,8,31),'2024数据'!$BL$3:$BL$152,$E1244,'2024数据'!$B$3:$B$152,'2024整理'!$E1411)/10000</f>
        <v>0</v>
      </c>
      <c r="N1437" s="124">
        <f>SUMIFS('2024数据'!$BM$3:$BM$152,'2024数据'!$T$3:$T$152,"&gt;="&amp;DATE(2024,9,1),'2024数据'!$T$3:$T$152,"&lt;="&amp;DATE(2024,9,30),'2024数据'!$BL$3:$BL$152,$E1244,'2024数据'!$B$3:$B$152,'2024整理'!$E1411)/10000</f>
        <v>0</v>
      </c>
      <c r="O1437" s="124">
        <f>SUMIFS('2024数据'!$BM$3:$BM$152,'2024数据'!$T$3:$T$152,"&gt;="&amp;DATE(2024,10,1),'2024数据'!$T$3:$T$152,"&lt;="&amp;DATE(2024,10,31),'2024数据'!$BL$3:$BL$152,$E1244,'2024数据'!$B$3:$B$152,'2024整理'!$E1411)/10000</f>
        <v>0.001395</v>
      </c>
      <c r="P1437" s="124">
        <f>SUMIFS('2024数据'!$BM$3:$BM$152,'2024数据'!$T$3:$T$152,"&gt;="&amp;DATE(2024,11,1),'2024数据'!$T$3:$T$152,"&lt;="&amp;DATE(2024,11,30),'2024数据'!$BL$3:$BL$152,$E1244,'2024数据'!$B$3:$B$152,'2024整理'!$E1411)/10000</f>
        <v>0</v>
      </c>
      <c r="Q1437" s="124">
        <f>SUMIFS('2024数据'!$BM$3:$BM$152,'2024数据'!$T$3:$T$152,"&gt;="&amp;DATE(2024,12,1),'2024数据'!$T$3:$T$152,"&lt;="&amp;DATE(2024,12,31),'2024数据'!$BL$3:$BL$152,$E1244,'2024数据'!$B$3:$B$152,'2024整理'!$E1411)/10000</f>
        <v>0.0157679999999998</v>
      </c>
    </row>
    <row r="1438" ht="24" customHeight="1" spans="1:17">
      <c r="A1438" s="99" t="s">
        <v>348</v>
      </c>
      <c r="B1438" s="99" t="s">
        <v>299</v>
      </c>
      <c r="C1438" s="99" t="s">
        <v>336</v>
      </c>
      <c r="D1438" s="122" t="s">
        <v>304</v>
      </c>
      <c r="E1438" s="122" t="s">
        <v>81</v>
      </c>
      <c r="F1438" s="124">
        <f>SUMIFS('2024数据'!$BM$3:$BM$152,'2024数据'!$T$3:$T$152,"&gt;="&amp;DATE(2024,1,1),'2024数据'!$T$3:$T$152,"&lt;="&amp;DATE(2024,1,31),'2024数据'!$BL$3:$BL$152,$E1244,'2024数据'!$B$3:$B$152,'2024整理'!$E1412)/10000</f>
        <v>0</v>
      </c>
      <c r="G1438" s="124">
        <f>SUMIFS('2024数据'!$BM$3:$BM$152,'2024数据'!$T$3:$T$152,"&gt;="&amp;DATE(2024,2,1),'2024数据'!$T$3:$T$152,"&lt;="&amp;DATE(2024,2,29),'2024数据'!$BL$3:$BL$152,$E1244,'2024数据'!$B$3:$B$152,'2024整理'!$E1412)/10000</f>
        <v>0</v>
      </c>
      <c r="H1438" s="124">
        <f>SUMIFS('2024数据'!$BM$3:$BM$152,'2024数据'!$T$3:$T$152,"&gt;="&amp;DATE(2024,3,1),'2024数据'!$T$3:$T$152,"&lt;="&amp;DATE(2024,3,31),'2024数据'!$BL$3:$BL$152,$E1244,'2024数据'!$B$3:$B$152,'2024整理'!$E1412)/10000</f>
        <v>0</v>
      </c>
      <c r="I1438" s="124">
        <f>SUMIFS('2024数据'!$BM$3:$BM$152,'2024数据'!$T$3:$T$152,"&gt;="&amp;DATE(2024,4,1),'2024数据'!$T$3:$T$152,"&lt;="&amp;DATE(2024,4,30),'2024数据'!$BL$3:$BL$152,$E1244,'2024数据'!$B$3:$B$152,'2024整理'!$E1412)/10000</f>
        <v>0.010278</v>
      </c>
      <c r="J1438" s="124">
        <f>SUMIFS('2024数据'!$BM$3:$BM$152,'2024数据'!$T$3:$T$152,"&gt;="&amp;DATE(2024,5,1),'2024数据'!$T$3:$T$152,"&lt;="&amp;DATE(2024,5,31),'2024数据'!$BL$3:$BL$152,$E1244,'2024数据'!$B$3:$B$152,'2024整理'!$E1412)/10000</f>
        <v>0.053485</v>
      </c>
      <c r="K1438" s="124">
        <f>SUMIFS('2024数据'!$BM$3:$BM$152,'2024数据'!$T$3:$T$152,"&gt;="&amp;DATE(2024,6,1),'2024数据'!$T$3:$T$152,"&lt;="&amp;DATE(2024,6,30),'2024数据'!$BL$3:$BL$152,$E1244,'2024数据'!$B$3:$B$152,'2024整理'!$E1412)/10000</f>
        <v>0.00770100000000002</v>
      </c>
      <c r="L1438" s="124">
        <f>SUMIFS('2024数据'!$BM$3:$BM$152,'2024数据'!$T$3:$T$152,"&gt;="&amp;DATE(2024,7,1),'2024数据'!$T$3:$T$152,"&lt;="&amp;DATE(2024,7,31),'2024数据'!$BL$3:$BL$152,$E1244,'2024数据'!$B$3:$B$152,'2024整理'!$E1412)/10000</f>
        <v>0</v>
      </c>
      <c r="M1438" s="124">
        <f>SUMIFS('2024数据'!$BM$3:$BM$152,'2024数据'!$T$3:$T$152,"&gt;="&amp;DATE(2024,8,1),'2024数据'!$T$3:$T$152,"&lt;="&amp;DATE(2024,8,31),'2024数据'!$BL$3:$BL$152,$E1244,'2024数据'!$B$3:$B$152,'2024整理'!$E1412)/10000</f>
        <v>0</v>
      </c>
      <c r="N1438" s="124">
        <f>SUMIFS('2024数据'!$BM$3:$BM$152,'2024数据'!$T$3:$T$152,"&gt;="&amp;DATE(2024,9,1),'2024数据'!$T$3:$T$152,"&lt;="&amp;DATE(2024,9,30),'2024数据'!$BL$3:$BL$152,$E1244,'2024数据'!$B$3:$B$152,'2024整理'!$E1412)/10000</f>
        <v>0</v>
      </c>
      <c r="O1438" s="124">
        <f>SUMIFS('2024数据'!$BM$3:$BM$152,'2024数据'!$T$3:$T$152,"&gt;="&amp;DATE(2024,10,1),'2024数据'!$T$3:$T$152,"&lt;="&amp;DATE(2024,10,31),'2024数据'!$BL$3:$BL$152,$E1244,'2024数据'!$B$3:$B$152,'2024整理'!$E1412)/10000</f>
        <v>0</v>
      </c>
      <c r="P1438" s="124">
        <f>SUMIFS('2024数据'!$BM$3:$BM$152,'2024数据'!$T$3:$T$152,"&gt;="&amp;DATE(2024,11,1),'2024数据'!$T$3:$T$152,"&lt;="&amp;DATE(2024,11,30),'2024数据'!$BL$3:$BL$152,$E1244,'2024数据'!$B$3:$B$152,'2024整理'!$E1412)/10000</f>
        <v>0</v>
      </c>
      <c r="Q1438" s="124">
        <f>SUMIFS('2024数据'!$BM$3:$BM$152,'2024数据'!$T$3:$T$152,"&gt;="&amp;DATE(2024,12,1),'2024数据'!$T$3:$T$152,"&lt;="&amp;DATE(2024,12,31),'2024数据'!$BL$3:$BL$152,$E1244,'2024数据'!$B$3:$B$152,'2024整理'!$E1412)/10000</f>
        <v>0</v>
      </c>
    </row>
    <row r="1439" ht="24" customHeight="1" spans="1:17">
      <c r="A1439" s="99" t="s">
        <v>348</v>
      </c>
      <c r="B1439" s="99" t="s">
        <v>299</v>
      </c>
      <c r="C1439" s="99" t="s">
        <v>336</v>
      </c>
      <c r="D1439" s="122" t="s">
        <v>304</v>
      </c>
      <c r="E1439" s="122" t="s">
        <v>96</v>
      </c>
      <c r="F1439" s="124">
        <f>SUMIFS('2024数据'!$BM$3:$BM$152,'2024数据'!$T$3:$T$152,"&gt;="&amp;DATE(2024,1,1),'2024数据'!$T$3:$T$152,"&lt;="&amp;DATE(2024,1,31),'2024数据'!$BL$3:$BL$152,$E1244,'2024数据'!$B$3:$B$152,'2024整理'!$E1413)/10000</f>
        <v>0</v>
      </c>
      <c r="G1439" s="124">
        <f>SUMIFS('2024数据'!$BM$3:$BM$152,'2024数据'!$T$3:$T$152,"&gt;="&amp;DATE(2024,2,1),'2024数据'!$T$3:$T$152,"&lt;="&amp;DATE(2024,2,29),'2024数据'!$BL$3:$BL$152,$E1244,'2024数据'!$B$3:$B$152,'2024整理'!$E1413)/10000</f>
        <v>0</v>
      </c>
      <c r="H1439" s="124">
        <f>SUMIFS('2024数据'!$BM$3:$BM$152,'2024数据'!$T$3:$T$152,"&gt;="&amp;DATE(2024,3,1),'2024数据'!$T$3:$T$152,"&lt;="&amp;DATE(2024,3,31),'2024数据'!$BL$3:$BL$152,$E1244,'2024数据'!$B$3:$B$152,'2024整理'!$E1413)/10000</f>
        <v>0</v>
      </c>
      <c r="I1439" s="124">
        <f>SUMIFS('2024数据'!$BM$3:$BM$152,'2024数据'!$T$3:$T$152,"&gt;="&amp;DATE(2024,4,1),'2024数据'!$T$3:$T$152,"&lt;="&amp;DATE(2024,4,30),'2024数据'!$BL$3:$BL$152,$E1244,'2024数据'!$B$3:$B$152,'2024整理'!$E1413)/10000</f>
        <v>0</v>
      </c>
      <c r="J1439" s="124">
        <f>SUMIFS('2024数据'!$BM$3:$BM$152,'2024数据'!$T$3:$T$152,"&gt;="&amp;DATE(2024,5,1),'2024数据'!$T$3:$T$152,"&lt;="&amp;DATE(2024,5,31),'2024数据'!$BL$3:$BL$152,$E1244,'2024数据'!$B$3:$B$152,'2024整理'!$E1413)/10000</f>
        <v>0</v>
      </c>
      <c r="K1439" s="124">
        <f>SUMIFS('2024数据'!$BM$3:$BM$152,'2024数据'!$T$3:$T$152,"&gt;="&amp;DATE(2024,6,1),'2024数据'!$T$3:$T$152,"&lt;="&amp;DATE(2024,6,30),'2024数据'!$BL$3:$BL$152,$E1244,'2024数据'!$B$3:$B$152,'2024整理'!$E1413)/10000</f>
        <v>0</v>
      </c>
      <c r="L1439" s="124">
        <f>SUMIFS('2024数据'!$BM$3:$BM$152,'2024数据'!$T$3:$T$152,"&gt;="&amp;DATE(2024,7,1),'2024数据'!$T$3:$T$152,"&lt;="&amp;DATE(2024,7,31),'2024数据'!$BL$3:$BL$152,$E1244,'2024数据'!$B$3:$B$152,'2024整理'!$E1413)/10000</f>
        <v>0</v>
      </c>
      <c r="M1439" s="124">
        <f>SUMIFS('2024数据'!$BM$3:$BM$152,'2024数据'!$T$3:$T$152,"&gt;="&amp;DATE(2024,8,1),'2024数据'!$T$3:$T$152,"&lt;="&amp;DATE(2024,8,31),'2024数据'!$BL$3:$BL$152,$E1244,'2024数据'!$B$3:$B$152,'2024整理'!$E1413)/10000</f>
        <v>0</v>
      </c>
      <c r="N1439" s="124">
        <f>SUMIFS('2024数据'!$BM$3:$BM$152,'2024数据'!$T$3:$T$152,"&gt;="&amp;DATE(2024,9,1),'2024数据'!$T$3:$T$152,"&lt;="&amp;DATE(2024,9,30),'2024数据'!$BL$3:$BL$152,$E1244,'2024数据'!$B$3:$B$152,'2024整理'!$E1413)/10000</f>
        <v>0</v>
      </c>
      <c r="O1439" s="124">
        <f>SUMIFS('2024数据'!$BM$3:$BM$152,'2024数据'!$T$3:$T$152,"&gt;="&amp;DATE(2024,10,1),'2024数据'!$T$3:$T$152,"&lt;="&amp;DATE(2024,10,31),'2024数据'!$BL$3:$BL$152,$E1244,'2024数据'!$B$3:$B$152,'2024整理'!$E1413)/10000</f>
        <v>0</v>
      </c>
      <c r="P1439" s="124">
        <f>SUMIFS('2024数据'!$BM$3:$BM$152,'2024数据'!$T$3:$T$152,"&gt;="&amp;DATE(2024,11,1),'2024数据'!$T$3:$T$152,"&lt;="&amp;DATE(2024,11,30),'2024数据'!$BL$3:$BL$152,$E1244,'2024数据'!$B$3:$B$152,'2024整理'!$E1413)/10000</f>
        <v>0</v>
      </c>
      <c r="Q1439" s="124">
        <f>SUMIFS('2024数据'!$BM$3:$BM$152,'2024数据'!$T$3:$T$152,"&gt;="&amp;DATE(2024,12,1),'2024数据'!$T$3:$T$152,"&lt;="&amp;DATE(2024,12,31),'2024数据'!$BL$3:$BL$152,$E1244,'2024数据'!$B$3:$B$152,'2024整理'!$E1413)/10000</f>
        <v>0</v>
      </c>
    </row>
    <row r="1440" ht="24" customHeight="1" spans="1:17">
      <c r="A1440" s="99" t="s">
        <v>348</v>
      </c>
      <c r="B1440" s="99" t="s">
        <v>299</v>
      </c>
      <c r="C1440" s="99" t="s">
        <v>336</v>
      </c>
      <c r="D1440" s="122" t="s">
        <v>304</v>
      </c>
      <c r="E1440" s="122" t="s">
        <v>160</v>
      </c>
      <c r="F1440" s="124">
        <f t="shared" ref="F1440:Q1440" si="1037">F1429-SUM(F1436:F1439)</f>
        <v>0</v>
      </c>
      <c r="G1440" s="124">
        <f t="shared" si="1037"/>
        <v>0</v>
      </c>
      <c r="H1440" s="124">
        <f t="shared" si="1037"/>
        <v>0</v>
      </c>
      <c r="I1440" s="124">
        <f t="shared" si="1037"/>
        <v>0</v>
      </c>
      <c r="J1440" s="124">
        <f t="shared" si="1037"/>
        <v>0</v>
      </c>
      <c r="K1440" s="124">
        <f t="shared" si="1037"/>
        <v>0</v>
      </c>
      <c r="L1440" s="124">
        <f t="shared" si="1037"/>
        <v>0</v>
      </c>
      <c r="M1440" s="124">
        <f t="shared" si="1037"/>
        <v>0</v>
      </c>
      <c r="N1440" s="124">
        <f t="shared" si="1037"/>
        <v>0</v>
      </c>
      <c r="O1440" s="124">
        <f t="shared" si="1037"/>
        <v>0</v>
      </c>
      <c r="P1440" s="124">
        <f t="shared" si="1037"/>
        <v>0</v>
      </c>
      <c r="Q1440" s="124">
        <f t="shared" si="1037"/>
        <v>0</v>
      </c>
    </row>
    <row r="1441" ht="24" customHeight="1" spans="1:17">
      <c r="A1441" s="99" t="s">
        <v>348</v>
      </c>
      <c r="B1441" s="99" t="s">
        <v>299</v>
      </c>
      <c r="C1441" s="99" t="s">
        <v>343</v>
      </c>
      <c r="D1441" s="114" t="s">
        <v>292</v>
      </c>
      <c r="E1441" s="114" t="s">
        <v>320</v>
      </c>
      <c r="F1441" s="120">
        <f t="shared" ref="F1441:Q1441" si="1038">IF(SUM(F1442:F1447)&lt;&gt;SUM(F1454:F1458),"ERR",SUM(F1442:F1447))</f>
        <v>2.360638</v>
      </c>
      <c r="G1441" s="120">
        <f t="shared" si="1038"/>
        <v>3.031385</v>
      </c>
      <c r="H1441" s="120">
        <f t="shared" si="1038"/>
        <v>7.803121</v>
      </c>
      <c r="I1441" s="120">
        <f t="shared" si="1038"/>
        <v>14.866726</v>
      </c>
      <c r="J1441" s="120">
        <f t="shared" si="1038"/>
        <v>20.503994</v>
      </c>
      <c r="K1441" s="120">
        <f t="shared" si="1038"/>
        <v>33.057772</v>
      </c>
      <c r="L1441" s="120">
        <f t="shared" si="1038"/>
        <v>35.066691</v>
      </c>
      <c r="M1441" s="120">
        <f t="shared" si="1038"/>
        <v>35.307095</v>
      </c>
      <c r="N1441" s="120">
        <f t="shared" si="1038"/>
        <v>35.745445</v>
      </c>
      <c r="O1441" s="120">
        <f t="shared" si="1038"/>
        <v>36.953496</v>
      </c>
      <c r="P1441" s="120">
        <f t="shared" si="1038"/>
        <v>37.854176</v>
      </c>
      <c r="Q1441" s="120">
        <f t="shared" si="1038"/>
        <v>42.310254</v>
      </c>
    </row>
    <row r="1442" ht="24" customHeight="1" spans="1:17">
      <c r="A1442" s="99" t="s">
        <v>348</v>
      </c>
      <c r="B1442" s="99" t="s">
        <v>299</v>
      </c>
      <c r="C1442" s="99" t="s">
        <v>343</v>
      </c>
      <c r="D1442" s="48" t="s">
        <v>31</v>
      </c>
      <c r="E1442" s="48" t="s">
        <v>406</v>
      </c>
      <c r="F1442" s="121">
        <f t="shared" ref="F1442:F1447" si="1039">F1392</f>
        <v>0</v>
      </c>
      <c r="G1442" s="121">
        <f t="shared" ref="G1442:Q1442" si="1040">F1442+G1392</f>
        <v>0.332266</v>
      </c>
      <c r="H1442" s="121">
        <f t="shared" si="1040"/>
        <v>3.778727</v>
      </c>
      <c r="I1442" s="121">
        <f t="shared" si="1040"/>
        <v>5.07379</v>
      </c>
      <c r="J1442" s="121">
        <f t="shared" si="1040"/>
        <v>7.481026</v>
      </c>
      <c r="K1442" s="121">
        <f t="shared" si="1040"/>
        <v>17.532269</v>
      </c>
      <c r="L1442" s="121">
        <f t="shared" si="1040"/>
        <v>17.966036</v>
      </c>
      <c r="M1442" s="121">
        <f t="shared" si="1040"/>
        <v>17.966036</v>
      </c>
      <c r="N1442" s="121">
        <f t="shared" si="1040"/>
        <v>18.404386</v>
      </c>
      <c r="O1442" s="121">
        <f t="shared" si="1040"/>
        <v>18.404386</v>
      </c>
      <c r="P1442" s="121">
        <f t="shared" si="1040"/>
        <v>18.404386</v>
      </c>
      <c r="Q1442" s="121">
        <f t="shared" si="1040"/>
        <v>20.659012</v>
      </c>
    </row>
    <row r="1443" ht="24" customHeight="1" spans="1:17">
      <c r="A1443" s="99" t="s">
        <v>348</v>
      </c>
      <c r="B1443" s="99" t="s">
        <v>299</v>
      </c>
      <c r="C1443" s="99" t="s">
        <v>343</v>
      </c>
      <c r="D1443" s="48" t="s">
        <v>31</v>
      </c>
      <c r="E1443" s="48" t="s">
        <v>82</v>
      </c>
      <c r="F1443" s="121">
        <f t="shared" si="1039"/>
        <v>0.338204</v>
      </c>
      <c r="G1443" s="121">
        <f t="shared" ref="G1443:Q1443" si="1041">F1443+G1393</f>
        <v>0.338204</v>
      </c>
      <c r="H1443" s="121">
        <f t="shared" si="1041"/>
        <v>0.812102</v>
      </c>
      <c r="I1443" s="121">
        <f t="shared" si="1041"/>
        <v>1.212244</v>
      </c>
      <c r="J1443" s="121">
        <f t="shared" si="1041"/>
        <v>4.079702</v>
      </c>
      <c r="K1443" s="121">
        <f t="shared" si="1041"/>
        <v>4.902095</v>
      </c>
      <c r="L1443" s="121">
        <f t="shared" si="1041"/>
        <v>6.05392</v>
      </c>
      <c r="M1443" s="121">
        <f t="shared" si="1041"/>
        <v>6.05392</v>
      </c>
      <c r="N1443" s="121">
        <f t="shared" si="1041"/>
        <v>6.05392</v>
      </c>
      <c r="O1443" s="121">
        <f t="shared" si="1041"/>
        <v>6.210151</v>
      </c>
      <c r="P1443" s="121">
        <f t="shared" si="1041"/>
        <v>6.655588</v>
      </c>
      <c r="Q1443" s="121">
        <f t="shared" si="1041"/>
        <v>6.655588</v>
      </c>
    </row>
    <row r="1444" ht="24" customHeight="1" spans="1:17">
      <c r="A1444" s="99" t="s">
        <v>348</v>
      </c>
      <c r="B1444" s="99" t="s">
        <v>299</v>
      </c>
      <c r="C1444" s="99" t="s">
        <v>343</v>
      </c>
      <c r="D1444" s="48" t="s">
        <v>31</v>
      </c>
      <c r="E1444" s="48" t="s">
        <v>86</v>
      </c>
      <c r="F1444" s="121">
        <f t="shared" si="1039"/>
        <v>0</v>
      </c>
      <c r="G1444" s="121">
        <f t="shared" ref="G1444:Q1444" si="1042">F1444+G1394</f>
        <v>0</v>
      </c>
      <c r="H1444" s="121">
        <f t="shared" si="1042"/>
        <v>0.851377</v>
      </c>
      <c r="I1444" s="121">
        <f t="shared" si="1042"/>
        <v>1.492271</v>
      </c>
      <c r="J1444" s="121">
        <f t="shared" si="1042"/>
        <v>1.854845</v>
      </c>
      <c r="K1444" s="121">
        <f t="shared" si="1042"/>
        <v>2.208417</v>
      </c>
      <c r="L1444" s="121">
        <f t="shared" si="1042"/>
        <v>2.208417</v>
      </c>
      <c r="M1444" s="121">
        <f t="shared" si="1042"/>
        <v>2.448821</v>
      </c>
      <c r="N1444" s="121">
        <f t="shared" si="1042"/>
        <v>2.448821</v>
      </c>
      <c r="O1444" s="121">
        <f t="shared" si="1042"/>
        <v>3.500641</v>
      </c>
      <c r="P1444" s="121">
        <f t="shared" si="1042"/>
        <v>3.869766</v>
      </c>
      <c r="Q1444" s="121">
        <f t="shared" si="1042"/>
        <v>4.320586</v>
      </c>
    </row>
    <row r="1445" ht="24" customHeight="1" spans="1:17">
      <c r="A1445" s="99" t="s">
        <v>348</v>
      </c>
      <c r="B1445" s="99" t="s">
        <v>299</v>
      </c>
      <c r="C1445" s="99" t="s">
        <v>343</v>
      </c>
      <c r="D1445" s="48" t="s">
        <v>31</v>
      </c>
      <c r="E1445" s="48" t="s">
        <v>97</v>
      </c>
      <c r="F1445" s="121">
        <f t="shared" si="1039"/>
        <v>2.022434</v>
      </c>
      <c r="G1445" s="121">
        <f t="shared" ref="G1445:Q1445" si="1043">F1445+G1395</f>
        <v>2.022434</v>
      </c>
      <c r="H1445" s="121">
        <f t="shared" si="1043"/>
        <v>2.022434</v>
      </c>
      <c r="I1445" s="121">
        <f t="shared" si="1043"/>
        <v>2.275891</v>
      </c>
      <c r="J1445" s="121">
        <f t="shared" si="1043"/>
        <v>2.275891</v>
      </c>
      <c r="K1445" s="121">
        <f t="shared" si="1043"/>
        <v>3.602461</v>
      </c>
      <c r="L1445" s="121">
        <f t="shared" si="1043"/>
        <v>4.025788</v>
      </c>
      <c r="M1445" s="121">
        <f t="shared" si="1043"/>
        <v>4.025788</v>
      </c>
      <c r="N1445" s="121">
        <f t="shared" si="1043"/>
        <v>4.025788</v>
      </c>
      <c r="O1445" s="121">
        <f t="shared" si="1043"/>
        <v>4.025788</v>
      </c>
      <c r="P1445" s="121">
        <f t="shared" si="1043"/>
        <v>4.111906</v>
      </c>
      <c r="Q1445" s="121">
        <f t="shared" si="1043"/>
        <v>4.111906</v>
      </c>
    </row>
    <row r="1446" ht="24" customHeight="1" spans="1:17">
      <c r="A1446" s="99" t="s">
        <v>348</v>
      </c>
      <c r="B1446" s="99" t="s">
        <v>299</v>
      </c>
      <c r="C1446" s="99" t="s">
        <v>343</v>
      </c>
      <c r="D1446" s="48" t="s">
        <v>31</v>
      </c>
      <c r="E1446" s="48" t="s">
        <v>87</v>
      </c>
      <c r="F1446" s="121">
        <f t="shared" si="1039"/>
        <v>0</v>
      </c>
      <c r="G1446" s="121">
        <f t="shared" ref="G1446:Q1446" si="1044">F1446+G1396</f>
        <v>0.338481</v>
      </c>
      <c r="H1446" s="121">
        <f t="shared" si="1044"/>
        <v>0.338481</v>
      </c>
      <c r="I1446" s="121">
        <f t="shared" si="1044"/>
        <v>4.81253</v>
      </c>
      <c r="J1446" s="121">
        <f t="shared" si="1044"/>
        <v>4.81253</v>
      </c>
      <c r="K1446" s="121">
        <f t="shared" si="1044"/>
        <v>4.81253</v>
      </c>
      <c r="L1446" s="121">
        <f t="shared" si="1044"/>
        <v>4.81253</v>
      </c>
      <c r="M1446" s="121">
        <f t="shared" si="1044"/>
        <v>4.81253</v>
      </c>
      <c r="N1446" s="121">
        <f t="shared" si="1044"/>
        <v>4.81253</v>
      </c>
      <c r="O1446" s="121">
        <f t="shared" si="1044"/>
        <v>4.81253</v>
      </c>
      <c r="P1446" s="121">
        <f t="shared" si="1044"/>
        <v>4.81253</v>
      </c>
      <c r="Q1446" s="121">
        <f t="shared" si="1044"/>
        <v>5.238157</v>
      </c>
    </row>
    <row r="1447" ht="24" customHeight="1" spans="1:17">
      <c r="A1447" s="99" t="s">
        <v>348</v>
      </c>
      <c r="B1447" s="99" t="s">
        <v>299</v>
      </c>
      <c r="C1447" s="99" t="s">
        <v>343</v>
      </c>
      <c r="D1447" s="48" t="s">
        <v>31</v>
      </c>
      <c r="E1447" s="48" t="s">
        <v>83</v>
      </c>
      <c r="F1447" s="121">
        <f t="shared" si="1039"/>
        <v>0</v>
      </c>
      <c r="G1447" s="121">
        <f t="shared" ref="G1447:Q1447" si="1045">F1447+G1397</f>
        <v>0</v>
      </c>
      <c r="H1447" s="121">
        <f t="shared" si="1045"/>
        <v>0</v>
      </c>
      <c r="I1447" s="121">
        <f t="shared" si="1045"/>
        <v>0</v>
      </c>
      <c r="J1447" s="121">
        <f t="shared" si="1045"/>
        <v>0</v>
      </c>
      <c r="K1447" s="121">
        <f t="shared" si="1045"/>
        <v>0</v>
      </c>
      <c r="L1447" s="121">
        <f t="shared" si="1045"/>
        <v>0</v>
      </c>
      <c r="M1447" s="121">
        <f t="shared" si="1045"/>
        <v>0</v>
      </c>
      <c r="N1447" s="121">
        <f t="shared" si="1045"/>
        <v>0</v>
      </c>
      <c r="O1447" s="121">
        <f t="shared" si="1045"/>
        <v>0</v>
      </c>
      <c r="P1447" s="121">
        <f t="shared" si="1045"/>
        <v>0</v>
      </c>
      <c r="Q1447" s="121">
        <f t="shared" si="1045"/>
        <v>1.325005</v>
      </c>
    </row>
    <row r="1448" ht="24" customHeight="1" spans="1:17">
      <c r="A1448" s="99" t="s">
        <v>348</v>
      </c>
      <c r="B1448" s="99" t="s">
        <v>299</v>
      </c>
      <c r="C1448" s="99" t="s">
        <v>343</v>
      </c>
      <c r="D1448" s="48" t="s">
        <v>321</v>
      </c>
      <c r="E1448" s="48" t="s">
        <v>406</v>
      </c>
      <c r="F1448" s="112">
        <f t="shared" ref="F1448:Q1448" si="1046">IFERROR(F1442/F1441,"-")</f>
        <v>0</v>
      </c>
      <c r="G1448" s="112">
        <f t="shared" si="1046"/>
        <v>0.109608644233576</v>
      </c>
      <c r="H1448" s="112">
        <f t="shared" si="1046"/>
        <v>0.484258414037153</v>
      </c>
      <c r="I1448" s="112">
        <f t="shared" si="1046"/>
        <v>0.341284960790964</v>
      </c>
      <c r="J1448" s="112">
        <f t="shared" si="1046"/>
        <v>0.364857012736153</v>
      </c>
      <c r="K1448" s="112">
        <f t="shared" si="1046"/>
        <v>0.530352408504723</v>
      </c>
      <c r="L1448" s="112">
        <f t="shared" si="1046"/>
        <v>0.512339074137334</v>
      </c>
      <c r="M1448" s="112">
        <f t="shared" si="1046"/>
        <v>0.508850586546415</v>
      </c>
      <c r="N1448" s="112">
        <f t="shared" si="1046"/>
        <v>0.514873601377742</v>
      </c>
      <c r="O1448" s="112">
        <f t="shared" si="1046"/>
        <v>0.498041809088915</v>
      </c>
      <c r="P1448" s="112">
        <f t="shared" si="1046"/>
        <v>0.486191695204249</v>
      </c>
      <c r="Q1448" s="112">
        <f t="shared" si="1046"/>
        <v>0.488274355431664</v>
      </c>
    </row>
    <row r="1449" ht="24" customHeight="1" spans="1:17">
      <c r="A1449" s="99" t="s">
        <v>348</v>
      </c>
      <c r="B1449" s="99" t="s">
        <v>299</v>
      </c>
      <c r="C1449" s="99" t="s">
        <v>343</v>
      </c>
      <c r="D1449" s="48" t="s">
        <v>321</v>
      </c>
      <c r="E1449" s="48" t="s">
        <v>82</v>
      </c>
      <c r="F1449" s="112">
        <f t="shared" ref="F1449:Q1449" si="1047">IFERROR(F1443/F1441,"-")</f>
        <v>0.143268048722422</v>
      </c>
      <c r="G1449" s="112">
        <f t="shared" si="1047"/>
        <v>0.111567484829542</v>
      </c>
      <c r="H1449" s="112">
        <f t="shared" si="1047"/>
        <v>0.104073998083587</v>
      </c>
      <c r="I1449" s="112">
        <f t="shared" si="1047"/>
        <v>0.0815407508014878</v>
      </c>
      <c r="J1449" s="112">
        <f t="shared" si="1047"/>
        <v>0.198971088266998</v>
      </c>
      <c r="K1449" s="112">
        <f t="shared" si="1047"/>
        <v>0.148288729198084</v>
      </c>
      <c r="L1449" s="112">
        <f t="shared" si="1047"/>
        <v>0.172640184384663</v>
      </c>
      <c r="M1449" s="112">
        <f t="shared" si="1047"/>
        <v>0.171464687196723</v>
      </c>
      <c r="N1449" s="112">
        <f t="shared" si="1047"/>
        <v>0.169361998430849</v>
      </c>
      <c r="O1449" s="112">
        <f t="shared" si="1047"/>
        <v>0.168053139004764</v>
      </c>
      <c r="P1449" s="112">
        <f t="shared" si="1047"/>
        <v>0.175821764024133</v>
      </c>
      <c r="Q1449" s="112">
        <f t="shared" si="1047"/>
        <v>0.157304373545004</v>
      </c>
    </row>
    <row r="1450" ht="24" customHeight="1" spans="1:17">
      <c r="A1450" s="99" t="s">
        <v>348</v>
      </c>
      <c r="B1450" s="99" t="s">
        <v>299</v>
      </c>
      <c r="C1450" s="99" t="s">
        <v>343</v>
      </c>
      <c r="D1450" s="48" t="s">
        <v>321</v>
      </c>
      <c r="E1450" s="48" t="s">
        <v>86</v>
      </c>
      <c r="F1450" s="112">
        <f t="shared" ref="F1450:Q1450" si="1048">IFERROR(F1444/F1441,"-")</f>
        <v>0</v>
      </c>
      <c r="G1450" s="112">
        <f t="shared" si="1048"/>
        <v>0</v>
      </c>
      <c r="H1450" s="112">
        <f t="shared" si="1048"/>
        <v>0.109107240551569</v>
      </c>
      <c r="I1450" s="112">
        <f t="shared" si="1048"/>
        <v>0.100376572488119</v>
      </c>
      <c r="J1450" s="112">
        <f t="shared" si="1048"/>
        <v>0.0904626191365448</v>
      </c>
      <c r="K1450" s="112">
        <f t="shared" si="1048"/>
        <v>0.0668047743810442</v>
      </c>
      <c r="L1450" s="112">
        <f t="shared" si="1048"/>
        <v>0.0629776274014563</v>
      </c>
      <c r="M1450" s="112">
        <f t="shared" si="1048"/>
        <v>0.0693577593965179</v>
      </c>
      <c r="N1450" s="112">
        <f t="shared" si="1048"/>
        <v>0.0685072181924158</v>
      </c>
      <c r="O1450" s="112">
        <f t="shared" si="1048"/>
        <v>0.0947309829630192</v>
      </c>
      <c r="P1450" s="112">
        <f t="shared" si="1048"/>
        <v>0.102228245570581</v>
      </c>
      <c r="Q1450" s="112">
        <f t="shared" si="1048"/>
        <v>0.102116758741273</v>
      </c>
    </row>
    <row r="1451" ht="24" customHeight="1" spans="1:17">
      <c r="A1451" s="99" t="s">
        <v>348</v>
      </c>
      <c r="B1451" s="99" t="s">
        <v>299</v>
      </c>
      <c r="C1451" s="99" t="s">
        <v>343</v>
      </c>
      <c r="D1451" s="48" t="s">
        <v>321</v>
      </c>
      <c r="E1451" s="48" t="s">
        <v>97</v>
      </c>
      <c r="F1451" s="112">
        <f t="shared" ref="F1451:Q1451" si="1049">IFERROR(F1445/F1441,"-")</f>
        <v>0.856731951277578</v>
      </c>
      <c r="G1451" s="112">
        <f t="shared" si="1049"/>
        <v>0.667165008733632</v>
      </c>
      <c r="H1451" s="112">
        <f t="shared" si="1049"/>
        <v>0.25918270394628</v>
      </c>
      <c r="I1451" s="112">
        <f t="shared" si="1049"/>
        <v>0.153086227593083</v>
      </c>
      <c r="J1451" s="112">
        <f t="shared" si="1049"/>
        <v>0.11099744761923</v>
      </c>
      <c r="K1451" s="112">
        <f t="shared" si="1049"/>
        <v>0.108974706462371</v>
      </c>
      <c r="L1451" s="112">
        <f t="shared" si="1049"/>
        <v>0.114803760639976</v>
      </c>
      <c r="M1451" s="112">
        <f t="shared" si="1049"/>
        <v>0.114022068368978</v>
      </c>
      <c r="N1451" s="112">
        <f t="shared" si="1049"/>
        <v>0.112623804235756</v>
      </c>
      <c r="O1451" s="112">
        <f t="shared" si="1049"/>
        <v>0.10894200646131</v>
      </c>
      <c r="P1451" s="112">
        <f t="shared" si="1049"/>
        <v>0.108624897818407</v>
      </c>
      <c r="Q1451" s="112">
        <f t="shared" si="1049"/>
        <v>0.0971846210140927</v>
      </c>
    </row>
    <row r="1452" ht="24" customHeight="1" spans="1:17">
      <c r="A1452" s="99" t="s">
        <v>348</v>
      </c>
      <c r="B1452" s="99" t="s">
        <v>299</v>
      </c>
      <c r="C1452" s="99" t="s">
        <v>343</v>
      </c>
      <c r="D1452" s="48" t="s">
        <v>321</v>
      </c>
      <c r="E1452" s="48" t="s">
        <v>87</v>
      </c>
      <c r="F1452" s="112">
        <f t="shared" ref="F1452:Q1452" si="1050">IFERROR(F1446/F1441,"-")</f>
        <v>0</v>
      </c>
      <c r="G1452" s="112">
        <f t="shared" si="1050"/>
        <v>0.11165886220325</v>
      </c>
      <c r="H1452" s="112">
        <f t="shared" si="1050"/>
        <v>0.0433776433814111</v>
      </c>
      <c r="I1452" s="112">
        <f t="shared" si="1050"/>
        <v>0.323711488326347</v>
      </c>
      <c r="J1452" s="112">
        <f t="shared" si="1050"/>
        <v>0.234711832241075</v>
      </c>
      <c r="K1452" s="112">
        <f t="shared" si="1050"/>
        <v>0.145579381453777</v>
      </c>
      <c r="L1452" s="112">
        <f t="shared" si="1050"/>
        <v>0.13723935343657</v>
      </c>
      <c r="M1452" s="112">
        <f t="shared" si="1050"/>
        <v>0.136304898491366</v>
      </c>
      <c r="N1452" s="112">
        <f t="shared" si="1050"/>
        <v>0.134633377763237</v>
      </c>
      <c r="O1452" s="112">
        <f t="shared" si="1050"/>
        <v>0.130232062481991</v>
      </c>
      <c r="P1452" s="112">
        <f t="shared" si="1050"/>
        <v>0.12713339738263</v>
      </c>
      <c r="Q1452" s="112">
        <f t="shared" si="1050"/>
        <v>0.123803487447747</v>
      </c>
    </row>
    <row r="1453" ht="24" customHeight="1" spans="1:17">
      <c r="A1453" s="99" t="s">
        <v>348</v>
      </c>
      <c r="B1453" s="99" t="s">
        <v>299</v>
      </c>
      <c r="C1453" s="99" t="s">
        <v>343</v>
      </c>
      <c r="D1453" s="48" t="s">
        <v>321</v>
      </c>
      <c r="E1453" s="48" t="s">
        <v>83</v>
      </c>
      <c r="F1453" s="112">
        <f t="shared" ref="F1453:Q1453" si="1051">IFERROR(F1447/F1441,"-")</f>
        <v>0</v>
      </c>
      <c r="G1453" s="112">
        <f t="shared" si="1051"/>
        <v>0</v>
      </c>
      <c r="H1453" s="112">
        <f t="shared" si="1051"/>
        <v>0</v>
      </c>
      <c r="I1453" s="112">
        <f t="shared" si="1051"/>
        <v>0</v>
      </c>
      <c r="J1453" s="112">
        <f t="shared" si="1051"/>
        <v>0</v>
      </c>
      <c r="K1453" s="112">
        <f t="shared" si="1051"/>
        <v>0</v>
      </c>
      <c r="L1453" s="112">
        <f t="shared" si="1051"/>
        <v>0</v>
      </c>
      <c r="M1453" s="112">
        <f t="shared" si="1051"/>
        <v>0</v>
      </c>
      <c r="N1453" s="112">
        <f t="shared" si="1051"/>
        <v>0</v>
      </c>
      <c r="O1453" s="112">
        <f t="shared" si="1051"/>
        <v>0</v>
      </c>
      <c r="P1453" s="112">
        <f t="shared" si="1051"/>
        <v>0</v>
      </c>
      <c r="Q1453" s="112">
        <f t="shared" si="1051"/>
        <v>0.0313164038202181</v>
      </c>
    </row>
    <row r="1454" ht="24" customHeight="1" spans="1:17">
      <c r="A1454" s="99" t="s">
        <v>348</v>
      </c>
      <c r="B1454" s="99" t="s">
        <v>299</v>
      </c>
      <c r="C1454" s="99" t="s">
        <v>343</v>
      </c>
      <c r="D1454" s="47" t="s">
        <v>294</v>
      </c>
      <c r="E1454" s="47" t="s">
        <v>93</v>
      </c>
      <c r="F1454" s="125">
        <f t="shared" ref="F1454:F1458" si="1052">F1398</f>
        <v>2.022434</v>
      </c>
      <c r="G1454" s="125">
        <f t="shared" ref="G1454:Q1454" si="1053">F1454+G1398</f>
        <v>2.61519</v>
      </c>
      <c r="H1454" s="125">
        <f t="shared" si="1053"/>
        <v>3.129725</v>
      </c>
      <c r="I1454" s="125">
        <f t="shared" si="1053"/>
        <v>8.003916</v>
      </c>
      <c r="J1454" s="125">
        <f t="shared" si="1053"/>
        <v>10.049181</v>
      </c>
      <c r="K1454" s="125">
        <f t="shared" si="1053"/>
        <v>12.549042</v>
      </c>
      <c r="L1454" s="125">
        <f t="shared" si="1053"/>
        <v>14.124194</v>
      </c>
      <c r="M1454" s="125">
        <f t="shared" si="1053"/>
        <v>14.245116</v>
      </c>
      <c r="N1454" s="125">
        <f t="shared" si="1053"/>
        <v>14.245116</v>
      </c>
      <c r="O1454" s="125">
        <f t="shared" si="1053"/>
        <v>15.296936</v>
      </c>
      <c r="P1454" s="125">
        <f t="shared" si="1053"/>
        <v>16.111498</v>
      </c>
      <c r="Q1454" s="125">
        <f t="shared" si="1053"/>
        <v>16.522805</v>
      </c>
    </row>
    <row r="1455" ht="24" customHeight="1" spans="1:17">
      <c r="A1455" s="99" t="s">
        <v>348</v>
      </c>
      <c r="B1455" s="99" t="s">
        <v>299</v>
      </c>
      <c r="C1455" s="99" t="s">
        <v>343</v>
      </c>
      <c r="D1455" s="47" t="s">
        <v>294</v>
      </c>
      <c r="E1455" s="47" t="s">
        <v>85</v>
      </c>
      <c r="F1455" s="125">
        <f t="shared" si="1052"/>
        <v>0.338204</v>
      </c>
      <c r="G1455" s="125">
        <f t="shared" ref="G1455:Q1455" si="1054">F1455+G1399</f>
        <v>0.416195</v>
      </c>
      <c r="H1455" s="125">
        <f t="shared" si="1054"/>
        <v>3.822019</v>
      </c>
      <c r="I1455" s="125">
        <f t="shared" si="1054"/>
        <v>5.052145</v>
      </c>
      <c r="J1455" s="125">
        <f t="shared" si="1054"/>
        <v>5.414719</v>
      </c>
      <c r="K1455" s="125">
        <f t="shared" si="1054"/>
        <v>5.768291</v>
      </c>
      <c r="L1455" s="125">
        <f t="shared" si="1054"/>
        <v>6.202058</v>
      </c>
      <c r="M1455" s="125">
        <f t="shared" si="1054"/>
        <v>6.202058</v>
      </c>
      <c r="N1455" s="125">
        <f t="shared" si="1054"/>
        <v>6.202058</v>
      </c>
      <c r="O1455" s="125">
        <f t="shared" si="1054"/>
        <v>6.358289</v>
      </c>
      <c r="P1455" s="125">
        <f t="shared" si="1054"/>
        <v>6.444407</v>
      </c>
      <c r="Q1455" s="125">
        <f t="shared" si="1054"/>
        <v>9.049406</v>
      </c>
    </row>
    <row r="1456" ht="24" customHeight="1" spans="1:17">
      <c r="A1456" s="99" t="s">
        <v>348</v>
      </c>
      <c r="B1456" s="99" t="s">
        <v>299</v>
      </c>
      <c r="C1456" s="99" t="s">
        <v>343</v>
      </c>
      <c r="D1456" s="47" t="s">
        <v>294</v>
      </c>
      <c r="E1456" s="47" t="s">
        <v>81</v>
      </c>
      <c r="F1456" s="125">
        <f t="shared" si="1052"/>
        <v>0</v>
      </c>
      <c r="G1456" s="125">
        <f t="shared" ref="G1456:Q1456" si="1055">F1456+G1400</f>
        <v>0</v>
      </c>
      <c r="H1456" s="125">
        <f t="shared" si="1055"/>
        <v>0</v>
      </c>
      <c r="I1456" s="125">
        <f t="shared" si="1055"/>
        <v>0.318394</v>
      </c>
      <c r="J1456" s="125">
        <f t="shared" si="1055"/>
        <v>3.547823</v>
      </c>
      <c r="K1456" s="125">
        <f t="shared" si="1055"/>
        <v>4.364023</v>
      </c>
      <c r="L1456" s="125">
        <f t="shared" si="1055"/>
        <v>4.364023</v>
      </c>
      <c r="M1456" s="125">
        <f t="shared" si="1055"/>
        <v>4.483505</v>
      </c>
      <c r="N1456" s="125">
        <f t="shared" si="1055"/>
        <v>4.921855</v>
      </c>
      <c r="O1456" s="125">
        <f t="shared" si="1055"/>
        <v>4.921855</v>
      </c>
      <c r="P1456" s="125">
        <f t="shared" si="1055"/>
        <v>4.921855</v>
      </c>
      <c r="Q1456" s="125">
        <f t="shared" si="1055"/>
        <v>5.372675</v>
      </c>
    </row>
    <row r="1457" ht="24" customHeight="1" spans="1:17">
      <c r="A1457" s="99" t="s">
        <v>348</v>
      </c>
      <c r="B1457" s="99" t="s">
        <v>299</v>
      </c>
      <c r="C1457" s="99" t="s">
        <v>343</v>
      </c>
      <c r="D1457" s="47" t="s">
        <v>294</v>
      </c>
      <c r="E1457" s="47" t="s">
        <v>96</v>
      </c>
      <c r="F1457" s="125">
        <f t="shared" si="1052"/>
        <v>0</v>
      </c>
      <c r="G1457" s="125">
        <f t="shared" ref="G1457:Q1457" si="1056">F1457+G1401</f>
        <v>0</v>
      </c>
      <c r="H1457" s="125">
        <f t="shared" si="1056"/>
        <v>0.851377</v>
      </c>
      <c r="I1457" s="125">
        <f t="shared" si="1056"/>
        <v>1.492271</v>
      </c>
      <c r="J1457" s="125">
        <f t="shared" si="1056"/>
        <v>1.492271</v>
      </c>
      <c r="K1457" s="125">
        <f t="shared" si="1056"/>
        <v>10.376416</v>
      </c>
      <c r="L1457" s="125">
        <f t="shared" si="1056"/>
        <v>10.376416</v>
      </c>
      <c r="M1457" s="125">
        <f t="shared" si="1056"/>
        <v>10.376416</v>
      </c>
      <c r="N1457" s="125">
        <f t="shared" si="1056"/>
        <v>10.376416</v>
      </c>
      <c r="O1457" s="125">
        <f t="shared" si="1056"/>
        <v>10.376416</v>
      </c>
      <c r="P1457" s="125">
        <f t="shared" si="1056"/>
        <v>10.376416</v>
      </c>
      <c r="Q1457" s="125">
        <f t="shared" si="1056"/>
        <v>11.365368</v>
      </c>
    </row>
    <row r="1458" ht="24" customHeight="1" spans="1:17">
      <c r="A1458" s="99" t="s">
        <v>348</v>
      </c>
      <c r="B1458" s="99" t="s">
        <v>299</v>
      </c>
      <c r="C1458" s="99" t="s">
        <v>343</v>
      </c>
      <c r="D1458" s="47" t="s">
        <v>294</v>
      </c>
      <c r="E1458" s="47" t="s">
        <v>160</v>
      </c>
      <c r="F1458" s="125">
        <f t="shared" si="1052"/>
        <v>0</v>
      </c>
      <c r="G1458" s="125">
        <f t="shared" ref="G1458:Q1458" si="1057">F1458+G1402</f>
        <v>0</v>
      </c>
      <c r="H1458" s="125">
        <f t="shared" si="1057"/>
        <v>0</v>
      </c>
      <c r="I1458" s="125">
        <f t="shared" si="1057"/>
        <v>0</v>
      </c>
      <c r="J1458" s="125">
        <f t="shared" si="1057"/>
        <v>0</v>
      </c>
      <c r="K1458" s="125">
        <f t="shared" si="1057"/>
        <v>0</v>
      </c>
      <c r="L1458" s="125">
        <f t="shared" si="1057"/>
        <v>0</v>
      </c>
      <c r="M1458" s="125">
        <f t="shared" si="1057"/>
        <v>0</v>
      </c>
      <c r="N1458" s="125">
        <f t="shared" si="1057"/>
        <v>0</v>
      </c>
      <c r="O1458" s="125">
        <f t="shared" si="1057"/>
        <v>0</v>
      </c>
      <c r="P1458" s="125">
        <f t="shared" si="1057"/>
        <v>0</v>
      </c>
      <c r="Q1458" s="125">
        <f t="shared" si="1057"/>
        <v>0</v>
      </c>
    </row>
    <row r="1459" ht="24" customHeight="1" spans="1:17">
      <c r="A1459" s="99" t="s">
        <v>348</v>
      </c>
      <c r="B1459" s="99" t="s">
        <v>299</v>
      </c>
      <c r="C1459" s="99" t="s">
        <v>343</v>
      </c>
      <c r="D1459" s="47" t="s">
        <v>321</v>
      </c>
      <c r="E1459" s="47" t="s">
        <v>93</v>
      </c>
      <c r="F1459" s="126">
        <f t="shared" ref="F1459:Q1459" si="1058">IFERROR(F1454/F1441,"-")</f>
        <v>0.856731951277578</v>
      </c>
      <c r="G1459" s="126">
        <f t="shared" si="1058"/>
        <v>0.862704671297113</v>
      </c>
      <c r="H1459" s="126">
        <f t="shared" si="1058"/>
        <v>0.401086308926902</v>
      </c>
      <c r="I1459" s="126">
        <f t="shared" si="1058"/>
        <v>0.538377851317096</v>
      </c>
      <c r="J1459" s="126">
        <f t="shared" si="1058"/>
        <v>0.490108463746136</v>
      </c>
      <c r="K1459" s="126">
        <f t="shared" si="1058"/>
        <v>0.379609430423805</v>
      </c>
      <c r="L1459" s="126">
        <f t="shared" si="1058"/>
        <v>0.402780918222367</v>
      </c>
      <c r="M1459" s="126">
        <f t="shared" si="1058"/>
        <v>0.403463269917845</v>
      </c>
      <c r="N1459" s="126">
        <f t="shared" si="1058"/>
        <v>0.398515559115294</v>
      </c>
      <c r="O1459" s="126">
        <f t="shared" si="1058"/>
        <v>0.413950983149199</v>
      </c>
      <c r="P1459" s="126">
        <f t="shared" si="1058"/>
        <v>0.425620095389211</v>
      </c>
      <c r="Q1459" s="126">
        <f t="shared" si="1058"/>
        <v>0.390515381921366</v>
      </c>
    </row>
    <row r="1460" ht="24" customHeight="1" spans="1:17">
      <c r="A1460" s="99" t="s">
        <v>348</v>
      </c>
      <c r="B1460" s="99" t="s">
        <v>299</v>
      </c>
      <c r="C1460" s="99" t="s">
        <v>343</v>
      </c>
      <c r="D1460" s="47" t="s">
        <v>321</v>
      </c>
      <c r="E1460" s="47" t="s">
        <v>85</v>
      </c>
      <c r="F1460" s="126">
        <f t="shared" ref="F1460:Q1460" si="1059">IFERROR(F1455/F1441,"-")</f>
        <v>0.143268048722422</v>
      </c>
      <c r="G1460" s="126">
        <f t="shared" si="1059"/>
        <v>0.137295328702887</v>
      </c>
      <c r="H1460" s="126">
        <f t="shared" si="1059"/>
        <v>0.489806450521528</v>
      </c>
      <c r="I1460" s="126">
        <f t="shared" si="1059"/>
        <v>0.339829024897614</v>
      </c>
      <c r="J1460" s="126">
        <f t="shared" si="1059"/>
        <v>0.264081183402609</v>
      </c>
      <c r="K1460" s="126">
        <f t="shared" si="1059"/>
        <v>0.174491221005457</v>
      </c>
      <c r="L1460" s="126">
        <f t="shared" si="1059"/>
        <v>0.176864649133846</v>
      </c>
      <c r="M1460" s="126">
        <f t="shared" si="1059"/>
        <v>0.175660387805907</v>
      </c>
      <c r="N1460" s="126">
        <f t="shared" si="1059"/>
        <v>0.173506246739969</v>
      </c>
      <c r="O1460" s="126">
        <f t="shared" si="1059"/>
        <v>0.172061907214408</v>
      </c>
      <c r="P1460" s="126">
        <f t="shared" si="1059"/>
        <v>0.170242960776639</v>
      </c>
      <c r="Q1460" s="126">
        <f t="shared" si="1059"/>
        <v>0.213882100542341</v>
      </c>
    </row>
    <row r="1461" ht="24" customHeight="1" spans="1:17">
      <c r="A1461" s="99" t="s">
        <v>348</v>
      </c>
      <c r="B1461" s="99" t="s">
        <v>299</v>
      </c>
      <c r="C1461" s="99" t="s">
        <v>343</v>
      </c>
      <c r="D1461" s="47" t="s">
        <v>321</v>
      </c>
      <c r="E1461" s="47" t="s">
        <v>81</v>
      </c>
      <c r="F1461" s="126">
        <f t="shared" ref="F1461:Q1461" si="1060">IFERROR(F1456/F1441,"-")</f>
        <v>0</v>
      </c>
      <c r="G1461" s="126">
        <f t="shared" si="1060"/>
        <v>0</v>
      </c>
      <c r="H1461" s="126">
        <f t="shared" si="1060"/>
        <v>0</v>
      </c>
      <c r="I1461" s="126">
        <f t="shared" si="1060"/>
        <v>0.021416551297172</v>
      </c>
      <c r="J1461" s="126">
        <f t="shared" si="1060"/>
        <v>0.173030825116316</v>
      </c>
      <c r="K1461" s="126">
        <f t="shared" si="1060"/>
        <v>0.132012012182793</v>
      </c>
      <c r="L1461" s="126">
        <f t="shared" si="1060"/>
        <v>0.124449238737696</v>
      </c>
      <c r="M1461" s="126">
        <f t="shared" si="1060"/>
        <v>0.126985949991071</v>
      </c>
      <c r="N1461" s="126">
        <f t="shared" si="1060"/>
        <v>0.137691809403967</v>
      </c>
      <c r="O1461" s="126">
        <f t="shared" si="1060"/>
        <v>0.133190510581191</v>
      </c>
      <c r="P1461" s="126">
        <f t="shared" si="1060"/>
        <v>0.130021453907754</v>
      </c>
      <c r="Q1461" s="126">
        <f t="shared" si="1060"/>
        <v>0.126982811306214</v>
      </c>
    </row>
    <row r="1462" ht="24" customHeight="1" spans="1:17">
      <c r="A1462" s="99" t="s">
        <v>348</v>
      </c>
      <c r="B1462" s="99" t="s">
        <v>299</v>
      </c>
      <c r="C1462" s="99" t="s">
        <v>343</v>
      </c>
      <c r="D1462" s="47" t="s">
        <v>321</v>
      </c>
      <c r="E1462" s="47" t="s">
        <v>96</v>
      </c>
      <c r="F1462" s="126">
        <f t="shared" ref="F1462:Q1462" si="1061">IFERROR(F1457/F1441,"-")</f>
        <v>0</v>
      </c>
      <c r="G1462" s="126">
        <f t="shared" si="1061"/>
        <v>0</v>
      </c>
      <c r="H1462" s="126">
        <f t="shared" si="1061"/>
        <v>0.109107240551569</v>
      </c>
      <c r="I1462" s="126">
        <f t="shared" si="1061"/>
        <v>0.100376572488119</v>
      </c>
      <c r="J1462" s="126">
        <f t="shared" si="1061"/>
        <v>0.0727795277349379</v>
      </c>
      <c r="K1462" s="126">
        <f t="shared" si="1061"/>
        <v>0.313887336387945</v>
      </c>
      <c r="L1462" s="126">
        <f t="shared" si="1061"/>
        <v>0.295905193906092</v>
      </c>
      <c r="M1462" s="126">
        <f t="shared" si="1061"/>
        <v>0.293890392285177</v>
      </c>
      <c r="N1462" s="126">
        <f t="shared" si="1061"/>
        <v>0.290286384740769</v>
      </c>
      <c r="O1462" s="126">
        <f t="shared" si="1061"/>
        <v>0.280796599055202</v>
      </c>
      <c r="P1462" s="126">
        <f t="shared" si="1061"/>
        <v>0.274115489926396</v>
      </c>
      <c r="Q1462" s="126">
        <f t="shared" si="1061"/>
        <v>0.268619706230078</v>
      </c>
    </row>
    <row r="1463" ht="24" customHeight="1" spans="1:17">
      <c r="A1463" s="99" t="s">
        <v>348</v>
      </c>
      <c r="B1463" s="99" t="s">
        <v>299</v>
      </c>
      <c r="C1463" s="99" t="s">
        <v>343</v>
      </c>
      <c r="D1463" s="47" t="s">
        <v>321</v>
      </c>
      <c r="E1463" s="47" t="s">
        <v>160</v>
      </c>
      <c r="F1463" s="126">
        <f t="shared" ref="F1463:Q1463" si="1062">IFERROR(F1458/F1441,"-")</f>
        <v>0</v>
      </c>
      <c r="G1463" s="126">
        <f t="shared" si="1062"/>
        <v>0</v>
      </c>
      <c r="H1463" s="126">
        <f t="shared" si="1062"/>
        <v>0</v>
      </c>
      <c r="I1463" s="126">
        <f t="shared" si="1062"/>
        <v>0</v>
      </c>
      <c r="J1463" s="126">
        <f t="shared" si="1062"/>
        <v>0</v>
      </c>
      <c r="K1463" s="126">
        <f t="shared" si="1062"/>
        <v>0</v>
      </c>
      <c r="L1463" s="126">
        <f t="shared" si="1062"/>
        <v>0</v>
      </c>
      <c r="M1463" s="126">
        <f t="shared" si="1062"/>
        <v>0</v>
      </c>
      <c r="N1463" s="126">
        <f t="shared" si="1062"/>
        <v>0</v>
      </c>
      <c r="O1463" s="126">
        <f t="shared" si="1062"/>
        <v>0</v>
      </c>
      <c r="P1463" s="126">
        <f t="shared" si="1062"/>
        <v>0</v>
      </c>
      <c r="Q1463" s="126">
        <f t="shared" si="1062"/>
        <v>0</v>
      </c>
    </row>
    <row r="1464" ht="24" customHeight="1" spans="1:17">
      <c r="A1464" s="99" t="s">
        <v>348</v>
      </c>
      <c r="B1464" s="99" t="s">
        <v>299</v>
      </c>
      <c r="C1464" s="99" t="s">
        <v>344</v>
      </c>
      <c r="D1464" s="114" t="s">
        <v>292</v>
      </c>
      <c r="E1464" s="114" t="s">
        <v>320</v>
      </c>
      <c r="F1464" s="120">
        <f t="shared" ref="F1464:Q1464" si="1063">IF(SUM(F1465:F1470)&lt;&gt;SUM(F1477:F1481),"ERR",SUM(F1465:F1470))</f>
        <v>2.397307</v>
      </c>
      <c r="G1464" s="120">
        <f t="shared" si="1063"/>
        <v>3.070196</v>
      </c>
      <c r="H1464" s="120">
        <f t="shared" si="1063"/>
        <v>7.916458</v>
      </c>
      <c r="I1464" s="120">
        <f t="shared" si="1063"/>
        <v>15.095389</v>
      </c>
      <c r="J1464" s="120">
        <f t="shared" si="1063"/>
        <v>20.822931</v>
      </c>
      <c r="K1464" s="120">
        <f t="shared" si="1063"/>
        <v>33.556965</v>
      </c>
      <c r="L1464" s="120">
        <f t="shared" si="1063"/>
        <v>35.598519</v>
      </c>
      <c r="M1464" s="120">
        <f t="shared" si="1063"/>
        <v>35.840717</v>
      </c>
      <c r="N1464" s="120">
        <f t="shared" si="1063"/>
        <v>36.285957</v>
      </c>
      <c r="O1464" s="120">
        <f t="shared" si="1063"/>
        <v>37.512638</v>
      </c>
      <c r="P1464" s="120">
        <f t="shared" si="1063"/>
        <v>38.419496</v>
      </c>
      <c r="Q1464" s="120">
        <f t="shared" si="1063"/>
        <v>42.954833</v>
      </c>
    </row>
    <row r="1465" ht="24" customHeight="1" spans="1:17">
      <c r="A1465" s="99" t="s">
        <v>348</v>
      </c>
      <c r="B1465" s="99" t="s">
        <v>299</v>
      </c>
      <c r="C1465" s="99" t="s">
        <v>344</v>
      </c>
      <c r="D1465" s="48" t="s">
        <v>31</v>
      </c>
      <c r="E1465" s="48" t="s">
        <v>406</v>
      </c>
      <c r="F1465" s="121">
        <f t="shared" ref="F1465:F1470" si="1064">F1404</f>
        <v>0</v>
      </c>
      <c r="G1465" s="121">
        <f t="shared" ref="G1465:Q1465" si="1065">F1465+G1404</f>
        <v>0.334408</v>
      </c>
      <c r="H1465" s="121">
        <f t="shared" si="1065"/>
        <v>3.837774</v>
      </c>
      <c r="I1465" s="121">
        <f t="shared" si="1065"/>
        <v>5.152928</v>
      </c>
      <c r="J1465" s="121">
        <f t="shared" si="1065"/>
        <v>7.599667</v>
      </c>
      <c r="K1465" s="121">
        <f t="shared" si="1065"/>
        <v>17.791393</v>
      </c>
      <c r="L1465" s="121">
        <f t="shared" si="1065"/>
        <v>18.231978</v>
      </c>
      <c r="M1465" s="121">
        <f t="shared" si="1065"/>
        <v>18.231978</v>
      </c>
      <c r="N1465" s="121">
        <f t="shared" si="1065"/>
        <v>18.677218</v>
      </c>
      <c r="O1465" s="121">
        <f t="shared" si="1065"/>
        <v>18.677218</v>
      </c>
      <c r="P1465" s="121">
        <f t="shared" si="1065"/>
        <v>18.677218</v>
      </c>
      <c r="Q1465" s="121">
        <f t="shared" si="1065"/>
        <v>20.976508</v>
      </c>
    </row>
    <row r="1466" ht="24" customHeight="1" spans="1:17">
      <c r="A1466" s="99" t="s">
        <v>348</v>
      </c>
      <c r="B1466" s="99" t="s">
        <v>299</v>
      </c>
      <c r="C1466" s="99" t="s">
        <v>344</v>
      </c>
      <c r="D1466" s="48" t="s">
        <v>31</v>
      </c>
      <c r="E1466" s="48" t="s">
        <v>82</v>
      </c>
      <c r="F1466" s="121">
        <f t="shared" si="1064"/>
        <v>0.340862</v>
      </c>
      <c r="G1466" s="121">
        <f t="shared" ref="G1466:Q1466" si="1066">F1466+G1405</f>
        <v>0.340862</v>
      </c>
      <c r="H1466" s="121">
        <f t="shared" si="1066"/>
        <v>0.818725</v>
      </c>
      <c r="I1466" s="121">
        <f t="shared" si="1066"/>
        <v>1.225157</v>
      </c>
      <c r="J1466" s="121">
        <f t="shared" si="1066"/>
        <v>4.137687</v>
      </c>
      <c r="K1466" s="121">
        <f t="shared" si="1066"/>
        <v>4.973007</v>
      </c>
      <c r="L1466" s="121">
        <f t="shared" si="1066"/>
        <v>6.143768</v>
      </c>
      <c r="M1466" s="121">
        <f t="shared" si="1066"/>
        <v>6.143768</v>
      </c>
      <c r="N1466" s="121">
        <f t="shared" si="1066"/>
        <v>6.143768</v>
      </c>
      <c r="O1466" s="121">
        <f t="shared" si="1066"/>
        <v>6.301226</v>
      </c>
      <c r="P1466" s="121">
        <f t="shared" si="1066"/>
        <v>6.752841</v>
      </c>
      <c r="Q1466" s="121">
        <f t="shared" si="1066"/>
        <v>6.752841</v>
      </c>
    </row>
    <row r="1467" ht="24" customHeight="1" spans="1:17">
      <c r="A1467" s="99" t="s">
        <v>348</v>
      </c>
      <c r="B1467" s="99" t="s">
        <v>299</v>
      </c>
      <c r="C1467" s="99" t="s">
        <v>344</v>
      </c>
      <c r="D1467" s="48" t="s">
        <v>31</v>
      </c>
      <c r="E1467" s="48" t="s">
        <v>86</v>
      </c>
      <c r="F1467" s="121">
        <f t="shared" si="1064"/>
        <v>0</v>
      </c>
      <c r="G1467" s="121">
        <f t="shared" ref="G1467:Q1467" si="1067">F1467+G1406</f>
        <v>0</v>
      </c>
      <c r="H1467" s="121">
        <f t="shared" si="1067"/>
        <v>0.865033</v>
      </c>
      <c r="I1467" s="121">
        <f t="shared" si="1067"/>
        <v>1.51672</v>
      </c>
      <c r="J1467" s="121">
        <f t="shared" si="1067"/>
        <v>1.884993</v>
      </c>
      <c r="K1467" s="121">
        <f t="shared" si="1067"/>
        <v>2.244123</v>
      </c>
      <c r="L1467" s="121">
        <f t="shared" si="1067"/>
        <v>2.244123</v>
      </c>
      <c r="M1467" s="121">
        <f t="shared" si="1067"/>
        <v>2.486321</v>
      </c>
      <c r="N1467" s="121">
        <f t="shared" si="1067"/>
        <v>2.486321</v>
      </c>
      <c r="O1467" s="121">
        <f t="shared" si="1067"/>
        <v>3.555544</v>
      </c>
      <c r="P1467" s="121">
        <f t="shared" si="1067"/>
        <v>3.924669</v>
      </c>
      <c r="Q1467" s="121">
        <f t="shared" si="1067"/>
        <v>4.382575</v>
      </c>
    </row>
    <row r="1468" ht="24" customHeight="1" spans="1:17">
      <c r="A1468" s="99" t="s">
        <v>348</v>
      </c>
      <c r="B1468" s="99" t="s">
        <v>299</v>
      </c>
      <c r="C1468" s="99" t="s">
        <v>344</v>
      </c>
      <c r="D1468" s="48" t="s">
        <v>31</v>
      </c>
      <c r="E1468" s="48" t="s">
        <v>97</v>
      </c>
      <c r="F1468" s="121">
        <f t="shared" si="1064"/>
        <v>2.056445</v>
      </c>
      <c r="G1468" s="121">
        <f t="shared" ref="G1468:Q1468" si="1068">F1468+G1407</f>
        <v>2.056445</v>
      </c>
      <c r="H1468" s="121">
        <f t="shared" si="1068"/>
        <v>2.056445</v>
      </c>
      <c r="I1468" s="121">
        <f t="shared" si="1068"/>
        <v>2.309902</v>
      </c>
      <c r="J1468" s="121">
        <f t="shared" si="1068"/>
        <v>2.309902</v>
      </c>
      <c r="K1468" s="121">
        <f t="shared" si="1068"/>
        <v>3.65776</v>
      </c>
      <c r="L1468" s="121">
        <f t="shared" si="1068"/>
        <v>4.087968</v>
      </c>
      <c r="M1468" s="121">
        <f t="shared" si="1068"/>
        <v>4.087968</v>
      </c>
      <c r="N1468" s="121">
        <f t="shared" si="1068"/>
        <v>4.087968</v>
      </c>
      <c r="O1468" s="121">
        <f t="shared" si="1068"/>
        <v>4.087968</v>
      </c>
      <c r="P1468" s="121">
        <f t="shared" si="1068"/>
        <v>4.174086</v>
      </c>
      <c r="Q1468" s="121">
        <f t="shared" si="1068"/>
        <v>4.174086</v>
      </c>
    </row>
    <row r="1469" ht="24" customHeight="1" spans="1:17">
      <c r="A1469" s="99" t="s">
        <v>348</v>
      </c>
      <c r="B1469" s="99" t="s">
        <v>299</v>
      </c>
      <c r="C1469" s="99" t="s">
        <v>344</v>
      </c>
      <c r="D1469" s="48" t="s">
        <v>31</v>
      </c>
      <c r="E1469" s="48" t="s">
        <v>87</v>
      </c>
      <c r="F1469" s="121">
        <f t="shared" si="1064"/>
        <v>0</v>
      </c>
      <c r="G1469" s="121">
        <f t="shared" ref="G1469:Q1469" si="1069">F1469+G1408</f>
        <v>0.338481</v>
      </c>
      <c r="H1469" s="121">
        <f t="shared" si="1069"/>
        <v>0.338481</v>
      </c>
      <c r="I1469" s="121">
        <f t="shared" si="1069"/>
        <v>4.890682</v>
      </c>
      <c r="J1469" s="121">
        <f t="shared" si="1069"/>
        <v>4.890682</v>
      </c>
      <c r="K1469" s="121">
        <f t="shared" si="1069"/>
        <v>4.890682</v>
      </c>
      <c r="L1469" s="121">
        <f t="shared" si="1069"/>
        <v>4.890682</v>
      </c>
      <c r="M1469" s="121">
        <f t="shared" si="1069"/>
        <v>4.890682</v>
      </c>
      <c r="N1469" s="121">
        <f t="shared" si="1069"/>
        <v>4.890682</v>
      </c>
      <c r="O1469" s="121">
        <f t="shared" si="1069"/>
        <v>4.890682</v>
      </c>
      <c r="P1469" s="121">
        <f t="shared" si="1069"/>
        <v>4.890682</v>
      </c>
      <c r="Q1469" s="121">
        <f t="shared" si="1069"/>
        <v>5.322708</v>
      </c>
    </row>
    <row r="1470" ht="24" customHeight="1" spans="1:17">
      <c r="A1470" s="99" t="s">
        <v>348</v>
      </c>
      <c r="B1470" s="99" t="s">
        <v>299</v>
      </c>
      <c r="C1470" s="99" t="s">
        <v>344</v>
      </c>
      <c r="D1470" s="48" t="s">
        <v>31</v>
      </c>
      <c r="E1470" s="48" t="s">
        <v>83</v>
      </c>
      <c r="F1470" s="121">
        <f t="shared" si="1064"/>
        <v>0</v>
      </c>
      <c r="G1470" s="121">
        <f t="shared" ref="G1470:Q1470" si="1070">F1470+G1409</f>
        <v>0</v>
      </c>
      <c r="H1470" s="121">
        <f t="shared" si="1070"/>
        <v>0</v>
      </c>
      <c r="I1470" s="121">
        <f t="shared" si="1070"/>
        <v>0</v>
      </c>
      <c r="J1470" s="121">
        <f t="shared" si="1070"/>
        <v>0</v>
      </c>
      <c r="K1470" s="121">
        <f t="shared" si="1070"/>
        <v>0</v>
      </c>
      <c r="L1470" s="121">
        <f t="shared" si="1070"/>
        <v>0</v>
      </c>
      <c r="M1470" s="121">
        <f t="shared" si="1070"/>
        <v>0</v>
      </c>
      <c r="N1470" s="121">
        <f t="shared" si="1070"/>
        <v>0</v>
      </c>
      <c r="O1470" s="121">
        <f t="shared" si="1070"/>
        <v>0</v>
      </c>
      <c r="P1470" s="121">
        <f t="shared" si="1070"/>
        <v>0</v>
      </c>
      <c r="Q1470" s="121">
        <f t="shared" si="1070"/>
        <v>1.346115</v>
      </c>
    </row>
    <row r="1471" ht="24" customHeight="1" spans="1:17">
      <c r="A1471" s="99" t="s">
        <v>348</v>
      </c>
      <c r="B1471" s="99" t="s">
        <v>299</v>
      </c>
      <c r="C1471" s="99" t="s">
        <v>344</v>
      </c>
      <c r="D1471" s="48" t="s">
        <v>321</v>
      </c>
      <c r="E1471" s="48" t="s">
        <v>406</v>
      </c>
      <c r="F1471" s="112">
        <f t="shared" ref="F1471:Q1471" si="1071">IFERROR(F1465/F1464,"-")</f>
        <v>0</v>
      </c>
      <c r="G1471" s="112">
        <f t="shared" si="1071"/>
        <v>0.108920733399431</v>
      </c>
      <c r="H1471" s="112">
        <f t="shared" si="1071"/>
        <v>0.484784230523297</v>
      </c>
      <c r="I1471" s="112">
        <f t="shared" si="1071"/>
        <v>0.341357748382635</v>
      </c>
      <c r="J1471" s="112">
        <f t="shared" si="1071"/>
        <v>0.364966248027235</v>
      </c>
      <c r="K1471" s="112">
        <f t="shared" si="1071"/>
        <v>0.530184806641483</v>
      </c>
      <c r="L1471" s="112">
        <f t="shared" si="1071"/>
        <v>0.512155519728222</v>
      </c>
      <c r="M1471" s="112">
        <f t="shared" si="1071"/>
        <v>0.508694566573543</v>
      </c>
      <c r="N1471" s="112">
        <f t="shared" si="1071"/>
        <v>0.514723037344723</v>
      </c>
      <c r="O1471" s="112">
        <f t="shared" si="1071"/>
        <v>0.497891350642949</v>
      </c>
      <c r="P1471" s="112">
        <f t="shared" si="1071"/>
        <v>0.4861390685604</v>
      </c>
      <c r="Q1471" s="112">
        <f t="shared" si="1071"/>
        <v>0.48833871615797</v>
      </c>
    </row>
    <row r="1472" ht="24" customHeight="1" spans="1:17">
      <c r="A1472" s="99" t="s">
        <v>348</v>
      </c>
      <c r="B1472" s="99" t="s">
        <v>299</v>
      </c>
      <c r="C1472" s="99" t="s">
        <v>344</v>
      </c>
      <c r="D1472" s="48" t="s">
        <v>321</v>
      </c>
      <c r="E1472" s="48" t="s">
        <v>82</v>
      </c>
      <c r="F1472" s="112">
        <f t="shared" ref="F1472:Q1472" si="1072">IFERROR(F1466/F1464,"-")</f>
        <v>0.142185377175305</v>
      </c>
      <c r="G1472" s="112">
        <f t="shared" si="1072"/>
        <v>0.11102287932106</v>
      </c>
      <c r="H1472" s="112">
        <f t="shared" si="1072"/>
        <v>0.103420620686676</v>
      </c>
      <c r="I1472" s="112">
        <f t="shared" si="1072"/>
        <v>0.0811610088352145</v>
      </c>
      <c r="J1472" s="112">
        <f t="shared" si="1072"/>
        <v>0.198708193385456</v>
      </c>
      <c r="K1472" s="112">
        <f t="shared" si="1072"/>
        <v>0.148195970642756</v>
      </c>
      <c r="L1472" s="112">
        <f t="shared" si="1072"/>
        <v>0.172584932536098</v>
      </c>
      <c r="M1472" s="112">
        <f t="shared" si="1072"/>
        <v>0.171418668884331</v>
      </c>
      <c r="N1472" s="112">
        <f t="shared" si="1072"/>
        <v>0.169315308398784</v>
      </c>
      <c r="O1472" s="112">
        <f t="shared" si="1072"/>
        <v>0.167976083153629</v>
      </c>
      <c r="P1472" s="112">
        <f t="shared" si="1072"/>
        <v>0.175765996513853</v>
      </c>
      <c r="Q1472" s="112">
        <f t="shared" si="1072"/>
        <v>0.157207944447136</v>
      </c>
    </row>
    <row r="1473" ht="24" customHeight="1" spans="1:17">
      <c r="A1473" s="99" t="s">
        <v>348</v>
      </c>
      <c r="B1473" s="99" t="s">
        <v>299</v>
      </c>
      <c r="C1473" s="99" t="s">
        <v>344</v>
      </c>
      <c r="D1473" s="48" t="s">
        <v>321</v>
      </c>
      <c r="E1473" s="48" t="s">
        <v>86</v>
      </c>
      <c r="F1473" s="112">
        <f t="shared" ref="F1473:Q1473" si="1073">IFERROR(F1467/F1464,"-")</f>
        <v>0</v>
      </c>
      <c r="G1473" s="112">
        <f t="shared" si="1073"/>
        <v>0</v>
      </c>
      <c r="H1473" s="112">
        <f t="shared" si="1073"/>
        <v>0.109270206448389</v>
      </c>
      <c r="I1473" s="112">
        <f t="shared" si="1073"/>
        <v>0.100475714802712</v>
      </c>
      <c r="J1473" s="112">
        <f t="shared" si="1073"/>
        <v>0.090524864150969</v>
      </c>
      <c r="K1473" s="112">
        <f t="shared" si="1073"/>
        <v>0.0668750287756953</v>
      </c>
      <c r="L1473" s="112">
        <f t="shared" si="1073"/>
        <v>0.0630397854472541</v>
      </c>
      <c r="M1473" s="112">
        <f t="shared" si="1073"/>
        <v>0.0693714079436525</v>
      </c>
      <c r="N1473" s="112">
        <f t="shared" si="1073"/>
        <v>0.0685201991503214</v>
      </c>
      <c r="O1473" s="112">
        <f t="shared" si="1073"/>
        <v>0.0947825636789394</v>
      </c>
      <c r="P1473" s="112">
        <f t="shared" si="1073"/>
        <v>0.10215305791622</v>
      </c>
      <c r="Q1473" s="112">
        <f t="shared" si="1073"/>
        <v>0.102027518067641</v>
      </c>
    </row>
    <row r="1474" ht="24" customHeight="1" spans="1:17">
      <c r="A1474" s="99" t="s">
        <v>348</v>
      </c>
      <c r="B1474" s="99" t="s">
        <v>299</v>
      </c>
      <c r="C1474" s="99" t="s">
        <v>344</v>
      </c>
      <c r="D1474" s="48" t="s">
        <v>321</v>
      </c>
      <c r="E1474" s="48" t="s">
        <v>97</v>
      </c>
      <c r="F1474" s="112">
        <f t="shared" ref="F1474:Q1474" si="1074">IFERROR(F1468/F1464,"-")</f>
        <v>0.857814622824695</v>
      </c>
      <c r="G1474" s="112">
        <f t="shared" si="1074"/>
        <v>0.669809028478964</v>
      </c>
      <c r="H1474" s="112">
        <f t="shared" si="1074"/>
        <v>0.259768320630262</v>
      </c>
      <c r="I1474" s="112">
        <f t="shared" si="1074"/>
        <v>0.153020369332649</v>
      </c>
      <c r="J1474" s="112">
        <f t="shared" si="1074"/>
        <v>0.1109306850222</v>
      </c>
      <c r="K1474" s="112">
        <f t="shared" si="1074"/>
        <v>0.109001514290699</v>
      </c>
      <c r="L1474" s="112">
        <f t="shared" si="1074"/>
        <v>0.114835339076887</v>
      </c>
      <c r="M1474" s="112">
        <f t="shared" si="1074"/>
        <v>0.114059325319859</v>
      </c>
      <c r="N1474" s="112">
        <f t="shared" si="1074"/>
        <v>0.112659781854451</v>
      </c>
      <c r="O1474" s="112">
        <f t="shared" si="1074"/>
        <v>0.108975753717987</v>
      </c>
      <c r="P1474" s="112">
        <f t="shared" si="1074"/>
        <v>0.108644996280014</v>
      </c>
      <c r="Q1474" s="112">
        <f t="shared" si="1074"/>
        <v>0.0971738383897337</v>
      </c>
    </row>
    <row r="1475" ht="24" customHeight="1" spans="1:17">
      <c r="A1475" s="99" t="s">
        <v>348</v>
      </c>
      <c r="B1475" s="99" t="s">
        <v>299</v>
      </c>
      <c r="C1475" s="99" t="s">
        <v>344</v>
      </c>
      <c r="D1475" s="48" t="s">
        <v>321</v>
      </c>
      <c r="E1475" s="48" t="s">
        <v>87</v>
      </c>
      <c r="F1475" s="112">
        <f t="shared" ref="F1475:Q1475" si="1075">IFERROR(F1469/F1464,"-")</f>
        <v>0</v>
      </c>
      <c r="G1475" s="112">
        <f t="shared" si="1075"/>
        <v>0.110247358800546</v>
      </c>
      <c r="H1475" s="112">
        <f t="shared" si="1075"/>
        <v>0.0427566217113765</v>
      </c>
      <c r="I1475" s="112">
        <f t="shared" si="1075"/>
        <v>0.323985158646789</v>
      </c>
      <c r="J1475" s="112">
        <f t="shared" si="1075"/>
        <v>0.234870009414141</v>
      </c>
      <c r="K1475" s="112">
        <f t="shared" si="1075"/>
        <v>0.145742679649366</v>
      </c>
      <c r="L1475" s="112">
        <f t="shared" si="1075"/>
        <v>0.137384423211539</v>
      </c>
      <c r="M1475" s="112">
        <f t="shared" si="1075"/>
        <v>0.136456031278615</v>
      </c>
      <c r="N1475" s="112">
        <f t="shared" si="1075"/>
        <v>0.134781673251721</v>
      </c>
      <c r="O1475" s="112">
        <f t="shared" si="1075"/>
        <v>0.130374248806496</v>
      </c>
      <c r="P1475" s="112">
        <f t="shared" si="1075"/>
        <v>0.127296880729513</v>
      </c>
      <c r="Q1475" s="112">
        <f t="shared" si="1075"/>
        <v>0.123914065735048</v>
      </c>
    </row>
    <row r="1476" ht="24" customHeight="1" spans="1:17">
      <c r="A1476" s="99" t="s">
        <v>348</v>
      </c>
      <c r="B1476" s="99" t="s">
        <v>299</v>
      </c>
      <c r="C1476" s="99" t="s">
        <v>344</v>
      </c>
      <c r="D1476" s="48" t="s">
        <v>321</v>
      </c>
      <c r="E1476" s="48" t="s">
        <v>83</v>
      </c>
      <c r="F1476" s="112">
        <f t="shared" ref="F1476:Q1476" si="1076">IFERROR(F1470/F1464,"-")</f>
        <v>0</v>
      </c>
      <c r="G1476" s="112">
        <f t="shared" si="1076"/>
        <v>0</v>
      </c>
      <c r="H1476" s="112">
        <f t="shared" si="1076"/>
        <v>0</v>
      </c>
      <c r="I1476" s="112">
        <f t="shared" si="1076"/>
        <v>0</v>
      </c>
      <c r="J1476" s="112">
        <f t="shared" si="1076"/>
        <v>0</v>
      </c>
      <c r="K1476" s="112">
        <f t="shared" si="1076"/>
        <v>0</v>
      </c>
      <c r="L1476" s="112">
        <f t="shared" si="1076"/>
        <v>0</v>
      </c>
      <c r="M1476" s="112">
        <f t="shared" si="1076"/>
        <v>0</v>
      </c>
      <c r="N1476" s="112">
        <f t="shared" si="1076"/>
        <v>0</v>
      </c>
      <c r="O1476" s="112">
        <f t="shared" si="1076"/>
        <v>0</v>
      </c>
      <c r="P1476" s="112">
        <f t="shared" si="1076"/>
        <v>0</v>
      </c>
      <c r="Q1476" s="112">
        <f t="shared" si="1076"/>
        <v>0.0313379172024717</v>
      </c>
    </row>
    <row r="1477" ht="24" customHeight="1" spans="1:17">
      <c r="A1477" s="99" t="s">
        <v>348</v>
      </c>
      <c r="B1477" s="99" t="s">
        <v>299</v>
      </c>
      <c r="C1477" s="99" t="s">
        <v>344</v>
      </c>
      <c r="D1477" s="47" t="s">
        <v>294</v>
      </c>
      <c r="E1477" s="47" t="s">
        <v>93</v>
      </c>
      <c r="F1477" s="125">
        <f t="shared" ref="F1477:F1481" si="1077">F1410</f>
        <v>2.056445</v>
      </c>
      <c r="G1477" s="125">
        <f t="shared" ref="G1477:Q1477" si="1078">F1477+G1410</f>
        <v>2.651343</v>
      </c>
      <c r="H1477" s="125">
        <f t="shared" si="1078"/>
        <v>3.173966</v>
      </c>
      <c r="I1477" s="125">
        <f t="shared" si="1078"/>
        <v>8.132599</v>
      </c>
      <c r="J1477" s="125">
        <f t="shared" si="1078"/>
        <v>10.211678</v>
      </c>
      <c r="K1477" s="125">
        <f t="shared" si="1078"/>
        <v>12.75127</v>
      </c>
      <c r="L1477" s="125">
        <f t="shared" si="1078"/>
        <v>14.352239</v>
      </c>
      <c r="M1477" s="125">
        <f t="shared" si="1078"/>
        <v>14.474016</v>
      </c>
      <c r="N1477" s="125">
        <f t="shared" si="1078"/>
        <v>14.474016</v>
      </c>
      <c r="O1477" s="125">
        <f t="shared" si="1078"/>
        <v>15.543239</v>
      </c>
      <c r="P1477" s="125">
        <f t="shared" si="1078"/>
        <v>16.363979</v>
      </c>
      <c r="Q1477" s="125">
        <f t="shared" si="1078"/>
        <v>16.781685</v>
      </c>
    </row>
    <row r="1478" ht="24" customHeight="1" spans="1:17">
      <c r="A1478" s="99" t="s">
        <v>348</v>
      </c>
      <c r="B1478" s="99" t="s">
        <v>299</v>
      </c>
      <c r="C1478" s="99" t="s">
        <v>344</v>
      </c>
      <c r="D1478" s="47" t="s">
        <v>294</v>
      </c>
      <c r="E1478" s="47" t="s">
        <v>85</v>
      </c>
      <c r="F1478" s="125">
        <f t="shared" si="1077"/>
        <v>0.340862</v>
      </c>
      <c r="G1478" s="125">
        <f t="shared" ref="G1478:Q1478" si="1079">F1478+G1411</f>
        <v>0.418853</v>
      </c>
      <c r="H1478" s="125">
        <f t="shared" si="1079"/>
        <v>3.877459</v>
      </c>
      <c r="I1478" s="125">
        <f t="shared" si="1079"/>
        <v>5.122671</v>
      </c>
      <c r="J1478" s="125">
        <f t="shared" si="1079"/>
        <v>5.490944</v>
      </c>
      <c r="K1478" s="125">
        <f t="shared" si="1079"/>
        <v>5.850074</v>
      </c>
      <c r="L1478" s="125">
        <f t="shared" si="1079"/>
        <v>6.290659</v>
      </c>
      <c r="M1478" s="125">
        <f t="shared" si="1079"/>
        <v>6.290659</v>
      </c>
      <c r="N1478" s="125">
        <f t="shared" si="1079"/>
        <v>6.290659</v>
      </c>
      <c r="O1478" s="125">
        <f t="shared" si="1079"/>
        <v>6.448117</v>
      </c>
      <c r="P1478" s="125">
        <f t="shared" si="1079"/>
        <v>6.534235</v>
      </c>
      <c r="Q1478" s="125">
        <f t="shared" si="1079"/>
        <v>9.180115</v>
      </c>
    </row>
    <row r="1479" ht="24" customHeight="1" spans="1:17">
      <c r="A1479" s="99" t="s">
        <v>348</v>
      </c>
      <c r="B1479" s="99" t="s">
        <v>299</v>
      </c>
      <c r="C1479" s="99" t="s">
        <v>344</v>
      </c>
      <c r="D1479" s="47" t="s">
        <v>294</v>
      </c>
      <c r="E1479" s="47" t="s">
        <v>81</v>
      </c>
      <c r="F1479" s="125">
        <f t="shared" si="1077"/>
        <v>0</v>
      </c>
      <c r="G1479" s="125">
        <f t="shared" ref="G1479:Q1479" si="1080">F1479+G1412</f>
        <v>0</v>
      </c>
      <c r="H1479" s="125">
        <f t="shared" si="1080"/>
        <v>0</v>
      </c>
      <c r="I1479" s="125">
        <f t="shared" si="1080"/>
        <v>0.323399</v>
      </c>
      <c r="J1479" s="125">
        <f t="shared" si="1080"/>
        <v>3.603589</v>
      </c>
      <c r="K1479" s="125">
        <f t="shared" si="1080"/>
        <v>4.432617</v>
      </c>
      <c r="L1479" s="125">
        <f t="shared" si="1080"/>
        <v>4.432617</v>
      </c>
      <c r="M1479" s="125">
        <f t="shared" si="1080"/>
        <v>4.553038</v>
      </c>
      <c r="N1479" s="125">
        <f t="shared" si="1080"/>
        <v>4.998278</v>
      </c>
      <c r="O1479" s="125">
        <f t="shared" si="1080"/>
        <v>4.998278</v>
      </c>
      <c r="P1479" s="125">
        <f t="shared" si="1080"/>
        <v>4.998278</v>
      </c>
      <c r="Q1479" s="125">
        <f t="shared" si="1080"/>
        <v>5.456184</v>
      </c>
    </row>
    <row r="1480" ht="24" customHeight="1" spans="1:17">
      <c r="A1480" s="99" t="s">
        <v>348</v>
      </c>
      <c r="B1480" s="99" t="s">
        <v>299</v>
      </c>
      <c r="C1480" s="99" t="s">
        <v>344</v>
      </c>
      <c r="D1480" s="47" t="s">
        <v>294</v>
      </c>
      <c r="E1480" s="47" t="s">
        <v>96</v>
      </c>
      <c r="F1480" s="125">
        <f t="shared" si="1077"/>
        <v>0</v>
      </c>
      <c r="G1480" s="125">
        <f t="shared" ref="G1480:Q1480" si="1081">F1480+G1413</f>
        <v>0</v>
      </c>
      <c r="H1480" s="125">
        <f t="shared" si="1081"/>
        <v>0.865033</v>
      </c>
      <c r="I1480" s="125">
        <f t="shared" si="1081"/>
        <v>1.51672</v>
      </c>
      <c r="J1480" s="125">
        <f t="shared" si="1081"/>
        <v>1.51672</v>
      </c>
      <c r="K1480" s="125">
        <f t="shared" si="1081"/>
        <v>10.523004</v>
      </c>
      <c r="L1480" s="125">
        <f t="shared" si="1081"/>
        <v>10.523004</v>
      </c>
      <c r="M1480" s="125">
        <f t="shared" si="1081"/>
        <v>10.523004</v>
      </c>
      <c r="N1480" s="125">
        <f t="shared" si="1081"/>
        <v>10.523004</v>
      </c>
      <c r="O1480" s="125">
        <f t="shared" si="1081"/>
        <v>10.523004</v>
      </c>
      <c r="P1480" s="125">
        <f t="shared" si="1081"/>
        <v>10.523004</v>
      </c>
      <c r="Q1480" s="125">
        <f t="shared" si="1081"/>
        <v>11.536849</v>
      </c>
    </row>
    <row r="1481" ht="24" customHeight="1" spans="1:17">
      <c r="A1481" s="99" t="s">
        <v>348</v>
      </c>
      <c r="B1481" s="99" t="s">
        <v>299</v>
      </c>
      <c r="C1481" s="99" t="s">
        <v>344</v>
      </c>
      <c r="D1481" s="47" t="s">
        <v>294</v>
      </c>
      <c r="E1481" s="47" t="s">
        <v>160</v>
      </c>
      <c r="F1481" s="125">
        <f t="shared" si="1077"/>
        <v>0</v>
      </c>
      <c r="G1481" s="125">
        <f t="shared" ref="G1481:Q1481" si="1082">F1481+G1414</f>
        <v>0</v>
      </c>
      <c r="H1481" s="125">
        <f t="shared" si="1082"/>
        <v>0</v>
      </c>
      <c r="I1481" s="125">
        <f t="shared" si="1082"/>
        <v>0</v>
      </c>
      <c r="J1481" s="125">
        <f t="shared" si="1082"/>
        <v>0</v>
      </c>
      <c r="K1481" s="125">
        <f t="shared" si="1082"/>
        <v>0</v>
      </c>
      <c r="L1481" s="125">
        <f t="shared" si="1082"/>
        <v>0</v>
      </c>
      <c r="M1481" s="125">
        <f t="shared" si="1082"/>
        <v>0</v>
      </c>
      <c r="N1481" s="125">
        <f t="shared" si="1082"/>
        <v>0</v>
      </c>
      <c r="O1481" s="125">
        <f t="shared" si="1082"/>
        <v>0</v>
      </c>
      <c r="P1481" s="125">
        <f t="shared" si="1082"/>
        <v>0</v>
      </c>
      <c r="Q1481" s="125">
        <f t="shared" si="1082"/>
        <v>0</v>
      </c>
    </row>
    <row r="1482" ht="24" customHeight="1" spans="1:17">
      <c r="A1482" s="99" t="s">
        <v>348</v>
      </c>
      <c r="B1482" s="99" t="s">
        <v>299</v>
      </c>
      <c r="C1482" s="99" t="s">
        <v>344</v>
      </c>
      <c r="D1482" s="47" t="s">
        <v>321</v>
      </c>
      <c r="E1482" s="47" t="s">
        <v>93</v>
      </c>
      <c r="F1482" s="126">
        <f t="shared" ref="F1482:Q1482" si="1083">IFERROR(F1477/F1464,"-")</f>
        <v>0.857814622824695</v>
      </c>
      <c r="G1482" s="126">
        <f t="shared" si="1083"/>
        <v>0.863574507946724</v>
      </c>
      <c r="H1482" s="126">
        <f t="shared" si="1083"/>
        <v>0.400932588791603</v>
      </c>
      <c r="I1482" s="126">
        <f t="shared" si="1083"/>
        <v>0.53874722936918</v>
      </c>
      <c r="J1482" s="126">
        <f t="shared" si="1083"/>
        <v>0.490405409305731</v>
      </c>
      <c r="K1482" s="126">
        <f t="shared" si="1083"/>
        <v>0.379988774312576</v>
      </c>
      <c r="L1482" s="126">
        <f t="shared" si="1083"/>
        <v>0.403169553205289</v>
      </c>
      <c r="M1482" s="126">
        <f t="shared" si="1083"/>
        <v>0.403842813747281</v>
      </c>
      <c r="N1482" s="126">
        <f t="shared" si="1083"/>
        <v>0.3988875365751</v>
      </c>
      <c r="O1482" s="126">
        <f t="shared" si="1083"/>
        <v>0.414346732959703</v>
      </c>
      <c r="P1482" s="126">
        <f t="shared" si="1083"/>
        <v>0.425929038735958</v>
      </c>
      <c r="Q1482" s="126">
        <f t="shared" si="1083"/>
        <v>0.390682114862372</v>
      </c>
    </row>
    <row r="1483" ht="24" customHeight="1" spans="1:17">
      <c r="A1483" s="99" t="s">
        <v>348</v>
      </c>
      <c r="B1483" s="99" t="s">
        <v>299</v>
      </c>
      <c r="C1483" s="99" t="s">
        <v>344</v>
      </c>
      <c r="D1483" s="47" t="s">
        <v>321</v>
      </c>
      <c r="E1483" s="47" t="s">
        <v>85</v>
      </c>
      <c r="F1483" s="126">
        <f t="shared" ref="F1483:Q1483" si="1084">IFERROR(F1478/F1464,"-")</f>
        <v>0.142185377175305</v>
      </c>
      <c r="G1483" s="126">
        <f t="shared" si="1084"/>
        <v>0.136425492053276</v>
      </c>
      <c r="H1483" s="126">
        <f t="shared" si="1084"/>
        <v>0.489797204760007</v>
      </c>
      <c r="I1483" s="126">
        <f t="shared" si="1084"/>
        <v>0.339353361480118</v>
      </c>
      <c r="J1483" s="126">
        <f t="shared" si="1084"/>
        <v>0.263696979066011</v>
      </c>
      <c r="K1483" s="126">
        <f t="shared" si="1084"/>
        <v>0.174332631094618</v>
      </c>
      <c r="L1483" s="126">
        <f t="shared" si="1084"/>
        <v>0.176711255881179</v>
      </c>
      <c r="M1483" s="126">
        <f t="shared" si="1084"/>
        <v>0.175517108098033</v>
      </c>
      <c r="N1483" s="126">
        <f t="shared" si="1084"/>
        <v>0.173363458486158</v>
      </c>
      <c r="O1483" s="126">
        <f t="shared" si="1084"/>
        <v>0.171891856819027</v>
      </c>
      <c r="P1483" s="126">
        <f t="shared" si="1084"/>
        <v>0.170076020778617</v>
      </c>
      <c r="Q1483" s="126">
        <f t="shared" si="1084"/>
        <v>0.213715532312744</v>
      </c>
    </row>
    <row r="1484" ht="24" customHeight="1" spans="1:17">
      <c r="A1484" s="99" t="s">
        <v>348</v>
      </c>
      <c r="B1484" s="99" t="s">
        <v>299</v>
      </c>
      <c r="C1484" s="99" t="s">
        <v>344</v>
      </c>
      <c r="D1484" s="47" t="s">
        <v>321</v>
      </c>
      <c r="E1484" s="47" t="s">
        <v>81</v>
      </c>
      <c r="F1484" s="126">
        <f t="shared" ref="F1484:Q1484" si="1085">IFERROR(F1479/F1464,"-")</f>
        <v>0</v>
      </c>
      <c r="G1484" s="126">
        <f t="shared" si="1085"/>
        <v>0</v>
      </c>
      <c r="H1484" s="126">
        <f t="shared" si="1085"/>
        <v>0</v>
      </c>
      <c r="I1484" s="126">
        <f t="shared" si="1085"/>
        <v>0.0214236943479893</v>
      </c>
      <c r="J1484" s="126">
        <f t="shared" si="1085"/>
        <v>0.173058682276765</v>
      </c>
      <c r="K1484" s="126">
        <f t="shared" si="1085"/>
        <v>0.132092309301512</v>
      </c>
      <c r="L1484" s="126">
        <f t="shared" si="1085"/>
        <v>0.124516893525823</v>
      </c>
      <c r="M1484" s="126">
        <f t="shared" si="1085"/>
        <v>0.127035349209113</v>
      </c>
      <c r="N1484" s="126">
        <f t="shared" si="1085"/>
        <v>0.137746897511894</v>
      </c>
      <c r="O1484" s="126">
        <f t="shared" si="1085"/>
        <v>0.13324250883129</v>
      </c>
      <c r="P1484" s="126">
        <f t="shared" si="1085"/>
        <v>0.1300974380299</v>
      </c>
      <c r="Q1484" s="126">
        <f t="shared" si="1085"/>
        <v>0.127021422711619</v>
      </c>
    </row>
    <row r="1485" ht="24" customHeight="1" spans="1:17">
      <c r="A1485" s="99" t="s">
        <v>348</v>
      </c>
      <c r="B1485" s="99" t="s">
        <v>299</v>
      </c>
      <c r="C1485" s="99" t="s">
        <v>344</v>
      </c>
      <c r="D1485" s="47" t="s">
        <v>321</v>
      </c>
      <c r="E1485" s="47" t="s">
        <v>96</v>
      </c>
      <c r="F1485" s="126">
        <f t="shared" ref="F1485:Q1485" si="1086">IFERROR(F1480/F1464,"-")</f>
        <v>0</v>
      </c>
      <c r="G1485" s="126">
        <f t="shared" si="1086"/>
        <v>0</v>
      </c>
      <c r="H1485" s="126">
        <f t="shared" si="1086"/>
        <v>0.109270206448389</v>
      </c>
      <c r="I1485" s="126">
        <f t="shared" si="1086"/>
        <v>0.100475714802712</v>
      </c>
      <c r="J1485" s="126">
        <f t="shared" si="1086"/>
        <v>0.0728389293514924</v>
      </c>
      <c r="K1485" s="126">
        <f t="shared" si="1086"/>
        <v>0.313586285291295</v>
      </c>
      <c r="L1485" s="126">
        <f t="shared" si="1086"/>
        <v>0.295602297387709</v>
      </c>
      <c r="M1485" s="126">
        <f t="shared" si="1086"/>
        <v>0.293604728945573</v>
      </c>
      <c r="N1485" s="126">
        <f t="shared" si="1086"/>
        <v>0.290002107426848</v>
      </c>
      <c r="O1485" s="126">
        <f t="shared" si="1086"/>
        <v>0.28051890138998</v>
      </c>
      <c r="P1485" s="126">
        <f t="shared" si="1086"/>
        <v>0.273897502455524</v>
      </c>
      <c r="Q1485" s="126">
        <f t="shared" si="1086"/>
        <v>0.268580930113266</v>
      </c>
    </row>
    <row r="1486" ht="24" customHeight="1" spans="1:17">
      <c r="A1486" s="99" t="s">
        <v>348</v>
      </c>
      <c r="B1486" s="99" t="s">
        <v>299</v>
      </c>
      <c r="C1486" s="99" t="s">
        <v>344</v>
      </c>
      <c r="D1486" s="47" t="s">
        <v>321</v>
      </c>
      <c r="E1486" s="47" t="s">
        <v>160</v>
      </c>
      <c r="F1486" s="126">
        <f t="shared" ref="F1486:Q1486" si="1087">IFERROR(F1481/F1464,"-")</f>
        <v>0</v>
      </c>
      <c r="G1486" s="126">
        <f t="shared" si="1087"/>
        <v>0</v>
      </c>
      <c r="H1486" s="126">
        <f t="shared" si="1087"/>
        <v>0</v>
      </c>
      <c r="I1486" s="126">
        <f t="shared" si="1087"/>
        <v>0</v>
      </c>
      <c r="J1486" s="126">
        <f t="shared" si="1087"/>
        <v>0</v>
      </c>
      <c r="K1486" s="126">
        <f t="shared" si="1087"/>
        <v>0</v>
      </c>
      <c r="L1486" s="126">
        <f t="shared" si="1087"/>
        <v>0</v>
      </c>
      <c r="M1486" s="126">
        <f t="shared" si="1087"/>
        <v>0</v>
      </c>
      <c r="N1486" s="126">
        <f t="shared" si="1087"/>
        <v>0</v>
      </c>
      <c r="O1486" s="126">
        <f t="shared" si="1087"/>
        <v>0</v>
      </c>
      <c r="P1486" s="126">
        <f t="shared" si="1087"/>
        <v>0</v>
      </c>
      <c r="Q1486" s="126">
        <f t="shared" si="1087"/>
        <v>0</v>
      </c>
    </row>
    <row r="1487" ht="24" customHeight="1" spans="1:17">
      <c r="A1487" s="99" t="s">
        <v>348</v>
      </c>
      <c r="B1487" s="99" t="s">
        <v>299</v>
      </c>
      <c r="C1487" s="99" t="s">
        <v>343</v>
      </c>
      <c r="D1487" s="114" t="s">
        <v>292</v>
      </c>
      <c r="E1487" s="53" t="s">
        <v>326</v>
      </c>
      <c r="F1487" s="123">
        <f t="shared" ref="F1487:F1512" si="1088">F1415</f>
        <v>0.0328039999999999</v>
      </c>
      <c r="G1487" s="123">
        <f t="shared" ref="G1487:Q1487" si="1089">F1487+G1415</f>
        <v>0.14735</v>
      </c>
      <c r="H1487" s="123">
        <f t="shared" si="1089"/>
        <v>0.235206</v>
      </c>
      <c r="I1487" s="123">
        <f t="shared" si="1089"/>
        <v>0.429595</v>
      </c>
      <c r="J1487" s="123">
        <f t="shared" si="1089"/>
        <v>0.477051</v>
      </c>
      <c r="K1487" s="123">
        <f t="shared" si="1089"/>
        <v>0.671946</v>
      </c>
      <c r="L1487" s="123">
        <f t="shared" si="1089"/>
        <v>0.676158</v>
      </c>
      <c r="M1487" s="123">
        <f t="shared" si="1089"/>
        <v>0.712539</v>
      </c>
      <c r="N1487" s="123">
        <f t="shared" si="1089"/>
        <v>0.720886</v>
      </c>
      <c r="O1487" s="123">
        <f t="shared" si="1089"/>
        <v>0.774379</v>
      </c>
      <c r="P1487" s="123">
        <f t="shared" si="1089"/>
        <v>0.81129</v>
      </c>
      <c r="Q1487" s="123">
        <f t="shared" si="1089"/>
        <v>0.869961</v>
      </c>
    </row>
    <row r="1488" ht="24" customHeight="1" spans="1:17">
      <c r="A1488" s="99" t="s">
        <v>348</v>
      </c>
      <c r="B1488" s="99" t="s">
        <v>299</v>
      </c>
      <c r="C1488" s="99" t="s">
        <v>343</v>
      </c>
      <c r="D1488" s="114" t="s">
        <v>292</v>
      </c>
      <c r="E1488" s="53" t="s">
        <v>327</v>
      </c>
      <c r="F1488" s="123">
        <f t="shared" si="1088"/>
        <v>0</v>
      </c>
      <c r="G1488" s="123">
        <f t="shared" ref="G1488:Q1488" si="1090">F1488+G1416</f>
        <v>0</v>
      </c>
      <c r="H1488" s="123">
        <f t="shared" si="1090"/>
        <v>0</v>
      </c>
      <c r="I1488" s="123">
        <f t="shared" si="1090"/>
        <v>0.010755</v>
      </c>
      <c r="J1488" s="123">
        <f t="shared" si="1090"/>
        <v>0.118762</v>
      </c>
      <c r="K1488" s="123">
        <f t="shared" si="1090"/>
        <v>0.126463</v>
      </c>
      <c r="L1488" s="123">
        <f t="shared" si="1090"/>
        <v>0.150227</v>
      </c>
      <c r="M1488" s="123">
        <f t="shared" si="1090"/>
        <v>0.150227</v>
      </c>
      <c r="N1488" s="123">
        <f t="shared" si="1090"/>
        <v>0.150227</v>
      </c>
      <c r="O1488" s="123">
        <f t="shared" si="1090"/>
        <v>0.151622</v>
      </c>
      <c r="P1488" s="123">
        <f t="shared" si="1090"/>
        <v>0.151622</v>
      </c>
      <c r="Q1488" s="123">
        <f t="shared" si="1090"/>
        <v>0.16739</v>
      </c>
    </row>
    <row r="1489" ht="24" customHeight="1" spans="1:17">
      <c r="A1489" s="99" t="s">
        <v>348</v>
      </c>
      <c r="B1489" s="99" t="s">
        <v>299</v>
      </c>
      <c r="C1489" s="99" t="s">
        <v>343</v>
      </c>
      <c r="D1489" s="114" t="s">
        <v>292</v>
      </c>
      <c r="E1489" s="53" t="s">
        <v>328</v>
      </c>
      <c r="F1489" s="123">
        <f t="shared" si="1088"/>
        <v>0</v>
      </c>
      <c r="G1489" s="123">
        <f t="shared" ref="G1489:Q1489" si="1091">F1489+G1417</f>
        <v>0</v>
      </c>
      <c r="H1489" s="123">
        <f t="shared" si="1091"/>
        <v>0</v>
      </c>
      <c r="I1489" s="123">
        <f t="shared" si="1091"/>
        <v>0</v>
      </c>
      <c r="J1489" s="123">
        <f t="shared" si="1091"/>
        <v>0</v>
      </c>
      <c r="K1489" s="123">
        <f t="shared" si="1091"/>
        <v>0</v>
      </c>
      <c r="L1489" s="123">
        <f t="shared" si="1091"/>
        <v>0</v>
      </c>
      <c r="M1489" s="123">
        <f t="shared" si="1091"/>
        <v>0</v>
      </c>
      <c r="N1489" s="123">
        <f t="shared" si="1091"/>
        <v>0</v>
      </c>
      <c r="O1489" s="123">
        <f t="shared" si="1091"/>
        <v>0</v>
      </c>
      <c r="P1489" s="123">
        <f t="shared" si="1091"/>
        <v>0</v>
      </c>
      <c r="Q1489" s="123">
        <f t="shared" si="1091"/>
        <v>0</v>
      </c>
    </row>
    <row r="1490" ht="24" customHeight="1" spans="1:17">
      <c r="A1490" s="99" t="s">
        <v>348</v>
      </c>
      <c r="B1490" s="99" t="s">
        <v>299</v>
      </c>
      <c r="C1490" s="99" t="s">
        <v>343</v>
      </c>
      <c r="D1490" s="53" t="s">
        <v>326</v>
      </c>
      <c r="E1490" s="53" t="s">
        <v>93</v>
      </c>
      <c r="F1490" s="123">
        <f t="shared" si="1088"/>
        <v>0.0307959999999999</v>
      </c>
      <c r="G1490" s="123">
        <f t="shared" ref="G1490:Q1490" si="1092">F1490+G1418</f>
        <v>0.141616</v>
      </c>
      <c r="H1490" s="123">
        <f t="shared" si="1092"/>
        <v>0.191922</v>
      </c>
      <c r="I1490" s="123">
        <f t="shared" si="1092"/>
        <v>0.343895</v>
      </c>
      <c r="J1490" s="123">
        <f t="shared" si="1092"/>
        <v>0.372809</v>
      </c>
      <c r="K1490" s="123">
        <f t="shared" si="1092"/>
        <v>0.394829</v>
      </c>
      <c r="L1490" s="123">
        <f t="shared" si="1092"/>
        <v>0.399041</v>
      </c>
      <c r="M1490" s="123">
        <f t="shared" si="1092"/>
        <v>0.405997</v>
      </c>
      <c r="N1490" s="123">
        <f t="shared" si="1092"/>
        <v>0.405997</v>
      </c>
      <c r="O1490" s="123">
        <f t="shared" si="1092"/>
        <v>0.45949</v>
      </c>
      <c r="P1490" s="123">
        <f t="shared" si="1092"/>
        <v>0.492758</v>
      </c>
      <c r="Q1490" s="123">
        <f t="shared" si="1092"/>
        <v>0.517431</v>
      </c>
    </row>
    <row r="1491" ht="24" customHeight="1" spans="1:17">
      <c r="A1491" s="99" t="s">
        <v>348</v>
      </c>
      <c r="B1491" s="99" t="s">
        <v>299</v>
      </c>
      <c r="C1491" s="99" t="s">
        <v>343</v>
      </c>
      <c r="D1491" s="53" t="s">
        <v>326</v>
      </c>
      <c r="E1491" s="53" t="s">
        <v>85</v>
      </c>
      <c r="F1491" s="123">
        <f t="shared" si="1088"/>
        <v>0.00200799999999999</v>
      </c>
      <c r="G1491" s="123">
        <f t="shared" ref="G1491:Q1491" si="1093">F1491+G1419</f>
        <v>0.00573399999999999</v>
      </c>
      <c r="H1491" s="123">
        <f t="shared" si="1093"/>
        <v>0.0303480000000002</v>
      </c>
      <c r="I1491" s="123">
        <f t="shared" si="1093"/>
        <v>0.0652460000000001</v>
      </c>
      <c r="J1491" s="123">
        <f t="shared" si="1093"/>
        <v>0.0837880000000001</v>
      </c>
      <c r="K1491" s="123">
        <f t="shared" si="1093"/>
        <v>0.106618</v>
      </c>
      <c r="L1491" s="123">
        <f t="shared" si="1093"/>
        <v>0.106618</v>
      </c>
      <c r="M1491" s="123">
        <f t="shared" si="1093"/>
        <v>0.106618</v>
      </c>
      <c r="N1491" s="123">
        <f t="shared" si="1093"/>
        <v>0.106618</v>
      </c>
      <c r="O1491" s="123">
        <f t="shared" si="1093"/>
        <v>0.106618</v>
      </c>
      <c r="P1491" s="123">
        <f t="shared" si="1093"/>
        <v>0.110261</v>
      </c>
      <c r="Q1491" s="123">
        <f t="shared" si="1093"/>
        <v>0.135737</v>
      </c>
    </row>
    <row r="1492" ht="24" customHeight="1" spans="1:17">
      <c r="A1492" s="99" t="s">
        <v>348</v>
      </c>
      <c r="B1492" s="99" t="s">
        <v>299</v>
      </c>
      <c r="C1492" s="99" t="s">
        <v>343</v>
      </c>
      <c r="D1492" s="53" t="s">
        <v>326</v>
      </c>
      <c r="E1492" s="53" t="s">
        <v>81</v>
      </c>
      <c r="F1492" s="123">
        <f t="shared" si="1088"/>
        <v>0</v>
      </c>
      <c r="G1492" s="123">
        <f t="shared" ref="G1492:Q1492" si="1094">F1492+G1420</f>
        <v>0</v>
      </c>
      <c r="H1492" s="123">
        <f t="shared" si="1094"/>
        <v>0</v>
      </c>
      <c r="I1492" s="123">
        <f t="shared" si="1094"/>
        <v>0</v>
      </c>
      <c r="J1492" s="123">
        <f t="shared" si="1094"/>
        <v>0</v>
      </c>
      <c r="K1492" s="123">
        <f t="shared" si="1094"/>
        <v>0</v>
      </c>
      <c r="L1492" s="123">
        <f t="shared" si="1094"/>
        <v>0</v>
      </c>
      <c r="M1492" s="123">
        <f t="shared" si="1094"/>
        <v>0.029425</v>
      </c>
      <c r="N1492" s="123">
        <f t="shared" si="1094"/>
        <v>0.037772</v>
      </c>
      <c r="O1492" s="123">
        <f t="shared" si="1094"/>
        <v>0.037772</v>
      </c>
      <c r="P1492" s="123">
        <f t="shared" si="1094"/>
        <v>0.037772</v>
      </c>
      <c r="Q1492" s="123">
        <f t="shared" si="1094"/>
        <v>0.0462940000000001</v>
      </c>
    </row>
    <row r="1493" ht="24" customHeight="1" spans="1:17">
      <c r="A1493" s="99" t="s">
        <v>348</v>
      </c>
      <c r="B1493" s="99" t="s">
        <v>299</v>
      </c>
      <c r="C1493" s="99" t="s">
        <v>343</v>
      </c>
      <c r="D1493" s="53" t="s">
        <v>326</v>
      </c>
      <c r="E1493" s="53" t="s">
        <v>96</v>
      </c>
      <c r="F1493" s="123">
        <f t="shared" si="1088"/>
        <v>0</v>
      </c>
      <c r="G1493" s="123">
        <f t="shared" ref="G1493:Q1493" si="1095">F1493+G1421</f>
        <v>0</v>
      </c>
      <c r="H1493" s="123">
        <f t="shared" si="1095"/>
        <v>0.0129359999999999</v>
      </c>
      <c r="I1493" s="123">
        <f t="shared" si="1095"/>
        <v>0.0204539999999999</v>
      </c>
      <c r="J1493" s="123">
        <f t="shared" si="1095"/>
        <v>0.0204539999999999</v>
      </c>
      <c r="K1493" s="123">
        <f t="shared" si="1095"/>
        <v>0.170499</v>
      </c>
      <c r="L1493" s="123">
        <f t="shared" si="1095"/>
        <v>0.170499</v>
      </c>
      <c r="M1493" s="123">
        <f t="shared" si="1095"/>
        <v>0.170499</v>
      </c>
      <c r="N1493" s="123">
        <f t="shared" si="1095"/>
        <v>0.170499</v>
      </c>
      <c r="O1493" s="123">
        <f t="shared" si="1095"/>
        <v>0.170499</v>
      </c>
      <c r="P1493" s="123">
        <f t="shared" si="1095"/>
        <v>0.170499</v>
      </c>
      <c r="Q1493" s="123">
        <f t="shared" si="1095"/>
        <v>0.170499</v>
      </c>
    </row>
    <row r="1494" ht="24" customHeight="1" spans="1:17">
      <c r="A1494" s="99" t="s">
        <v>348</v>
      </c>
      <c r="B1494" s="99" t="s">
        <v>299</v>
      </c>
      <c r="C1494" s="99" t="s">
        <v>343</v>
      </c>
      <c r="D1494" s="53" t="s">
        <v>326</v>
      </c>
      <c r="E1494" s="53" t="s">
        <v>160</v>
      </c>
      <c r="F1494" s="123">
        <f t="shared" si="1088"/>
        <v>0</v>
      </c>
      <c r="G1494" s="123">
        <f t="shared" ref="G1494:Q1494" si="1096">F1494+G1422</f>
        <v>0</v>
      </c>
      <c r="H1494" s="123">
        <f t="shared" si="1096"/>
        <v>0</v>
      </c>
      <c r="I1494" s="123">
        <f t="shared" si="1096"/>
        <v>0</v>
      </c>
      <c r="J1494" s="123">
        <f t="shared" si="1096"/>
        <v>0</v>
      </c>
      <c r="K1494" s="123">
        <f t="shared" si="1096"/>
        <v>0</v>
      </c>
      <c r="L1494" s="123">
        <f t="shared" si="1096"/>
        <v>0</v>
      </c>
      <c r="M1494" s="123">
        <f t="shared" si="1096"/>
        <v>0</v>
      </c>
      <c r="N1494" s="123">
        <f t="shared" si="1096"/>
        <v>0</v>
      </c>
      <c r="O1494" s="123">
        <f t="shared" si="1096"/>
        <v>0</v>
      </c>
      <c r="P1494" s="123">
        <f t="shared" si="1096"/>
        <v>0</v>
      </c>
      <c r="Q1494" s="123">
        <f t="shared" si="1096"/>
        <v>0</v>
      </c>
    </row>
    <row r="1495" ht="24" customHeight="1" spans="1:17">
      <c r="A1495" s="99" t="s">
        <v>348</v>
      </c>
      <c r="B1495" s="99" t="s">
        <v>299</v>
      </c>
      <c r="C1495" s="99" t="s">
        <v>343</v>
      </c>
      <c r="D1495" s="53" t="s">
        <v>327</v>
      </c>
      <c r="E1495" s="53" t="s">
        <v>93</v>
      </c>
      <c r="F1495" s="123">
        <f t="shared" si="1088"/>
        <v>0</v>
      </c>
      <c r="G1495" s="123">
        <f t="shared" ref="G1495:Q1495" si="1097">F1495+G1423</f>
        <v>0</v>
      </c>
      <c r="H1495" s="123">
        <f t="shared" si="1097"/>
        <v>0</v>
      </c>
      <c r="I1495" s="123">
        <f t="shared" si="1097"/>
        <v>0.000476999999999998</v>
      </c>
      <c r="J1495" s="123">
        <f t="shared" si="1097"/>
        <v>0.0549990000000001</v>
      </c>
      <c r="K1495" s="123">
        <f t="shared" si="1097"/>
        <v>0.0549990000000001</v>
      </c>
      <c r="L1495" s="123">
        <f t="shared" si="1097"/>
        <v>0.0578770000000001</v>
      </c>
      <c r="M1495" s="123">
        <f t="shared" si="1097"/>
        <v>0.0578770000000001</v>
      </c>
      <c r="N1495" s="123">
        <f t="shared" si="1097"/>
        <v>0.0578770000000001</v>
      </c>
      <c r="O1495" s="123">
        <f t="shared" si="1097"/>
        <v>0.0578770000000001</v>
      </c>
      <c r="P1495" s="123">
        <f t="shared" si="1097"/>
        <v>0.0578770000000001</v>
      </c>
      <c r="Q1495" s="123">
        <f t="shared" si="1097"/>
        <v>0.0578770000000001</v>
      </c>
    </row>
    <row r="1496" ht="24" customHeight="1" spans="1:17">
      <c r="A1496" s="99" t="s">
        <v>348</v>
      </c>
      <c r="B1496" s="99" t="s">
        <v>299</v>
      </c>
      <c r="C1496" s="99" t="s">
        <v>343</v>
      </c>
      <c r="D1496" s="53" t="s">
        <v>327</v>
      </c>
      <c r="E1496" s="53" t="s">
        <v>85</v>
      </c>
      <c r="F1496" s="123">
        <f t="shared" si="1088"/>
        <v>0</v>
      </c>
      <c r="G1496" s="123">
        <f t="shared" ref="G1496:Q1496" si="1098">F1496+G1424</f>
        <v>0</v>
      </c>
      <c r="H1496" s="123">
        <f t="shared" si="1098"/>
        <v>0</v>
      </c>
      <c r="I1496" s="123">
        <f t="shared" si="1098"/>
        <v>0</v>
      </c>
      <c r="J1496" s="123">
        <f t="shared" si="1098"/>
        <v>0</v>
      </c>
      <c r="K1496" s="123">
        <f t="shared" si="1098"/>
        <v>0</v>
      </c>
      <c r="L1496" s="123">
        <f t="shared" si="1098"/>
        <v>0.020886</v>
      </c>
      <c r="M1496" s="123">
        <f t="shared" si="1098"/>
        <v>0.020886</v>
      </c>
      <c r="N1496" s="123">
        <f t="shared" si="1098"/>
        <v>0.020886</v>
      </c>
      <c r="O1496" s="123">
        <f t="shared" si="1098"/>
        <v>0.022281</v>
      </c>
      <c r="P1496" s="123">
        <f t="shared" si="1098"/>
        <v>0.022281</v>
      </c>
      <c r="Q1496" s="123">
        <f t="shared" si="1098"/>
        <v>0.0380489999999998</v>
      </c>
    </row>
    <row r="1497" ht="24" customHeight="1" spans="1:17">
      <c r="A1497" s="99" t="s">
        <v>348</v>
      </c>
      <c r="B1497" s="99" t="s">
        <v>299</v>
      </c>
      <c r="C1497" s="99" t="s">
        <v>343</v>
      </c>
      <c r="D1497" s="53" t="s">
        <v>327</v>
      </c>
      <c r="E1497" s="53" t="s">
        <v>81</v>
      </c>
      <c r="F1497" s="123">
        <f t="shared" si="1088"/>
        <v>0</v>
      </c>
      <c r="G1497" s="123">
        <f t="shared" ref="G1497:Q1497" si="1099">F1497+G1425</f>
        <v>0</v>
      </c>
      <c r="H1497" s="123">
        <f t="shared" si="1099"/>
        <v>0</v>
      </c>
      <c r="I1497" s="123">
        <f t="shared" si="1099"/>
        <v>0.010278</v>
      </c>
      <c r="J1497" s="123">
        <f t="shared" si="1099"/>
        <v>0.0637630000000001</v>
      </c>
      <c r="K1497" s="123">
        <f t="shared" si="1099"/>
        <v>0.0714640000000001</v>
      </c>
      <c r="L1497" s="123">
        <f t="shared" si="1099"/>
        <v>0.0714640000000001</v>
      </c>
      <c r="M1497" s="123">
        <f t="shared" si="1099"/>
        <v>0.0714640000000001</v>
      </c>
      <c r="N1497" s="123">
        <f t="shared" si="1099"/>
        <v>0.0714640000000001</v>
      </c>
      <c r="O1497" s="123">
        <f t="shared" si="1099"/>
        <v>0.0714640000000001</v>
      </c>
      <c r="P1497" s="123">
        <f t="shared" si="1099"/>
        <v>0.0714640000000001</v>
      </c>
      <c r="Q1497" s="123">
        <f t="shared" si="1099"/>
        <v>0.0714640000000001</v>
      </c>
    </row>
    <row r="1498" ht="24" customHeight="1" spans="1:17">
      <c r="A1498" s="99" t="s">
        <v>348</v>
      </c>
      <c r="B1498" s="99" t="s">
        <v>299</v>
      </c>
      <c r="C1498" s="99" t="s">
        <v>343</v>
      </c>
      <c r="D1498" s="53" t="s">
        <v>327</v>
      </c>
      <c r="E1498" s="53" t="s">
        <v>96</v>
      </c>
      <c r="F1498" s="123">
        <f t="shared" si="1088"/>
        <v>0</v>
      </c>
      <c r="G1498" s="123">
        <f t="shared" ref="G1498:Q1498" si="1100">F1498+G1426</f>
        <v>0</v>
      </c>
      <c r="H1498" s="123">
        <f t="shared" si="1100"/>
        <v>0</v>
      </c>
      <c r="I1498" s="123">
        <f t="shared" si="1100"/>
        <v>0</v>
      </c>
      <c r="J1498" s="123">
        <f t="shared" si="1100"/>
        <v>0</v>
      </c>
      <c r="K1498" s="123">
        <f t="shared" si="1100"/>
        <v>0</v>
      </c>
      <c r="L1498" s="123">
        <f t="shared" si="1100"/>
        <v>0</v>
      </c>
      <c r="M1498" s="123">
        <f t="shared" si="1100"/>
        <v>0</v>
      </c>
      <c r="N1498" s="123">
        <f t="shared" si="1100"/>
        <v>0</v>
      </c>
      <c r="O1498" s="123">
        <f t="shared" si="1100"/>
        <v>0</v>
      </c>
      <c r="P1498" s="123">
        <f t="shared" si="1100"/>
        <v>0</v>
      </c>
      <c r="Q1498" s="123">
        <f t="shared" si="1100"/>
        <v>0</v>
      </c>
    </row>
    <row r="1499" ht="24" customHeight="1" spans="1:17">
      <c r="A1499" s="99" t="s">
        <v>348</v>
      </c>
      <c r="B1499" s="99" t="s">
        <v>299</v>
      </c>
      <c r="C1499" s="99" t="s">
        <v>343</v>
      </c>
      <c r="D1499" s="53" t="s">
        <v>327</v>
      </c>
      <c r="E1499" s="53" t="s">
        <v>160</v>
      </c>
      <c r="F1499" s="123">
        <f t="shared" si="1088"/>
        <v>0</v>
      </c>
      <c r="G1499" s="123">
        <f t="shared" ref="G1499:Q1499" si="1101">F1499+G1427</f>
        <v>0</v>
      </c>
      <c r="H1499" s="123">
        <f t="shared" si="1101"/>
        <v>0</v>
      </c>
      <c r="I1499" s="123">
        <f t="shared" si="1101"/>
        <v>0</v>
      </c>
      <c r="J1499" s="123">
        <f t="shared" si="1101"/>
        <v>0</v>
      </c>
      <c r="K1499" s="123">
        <f t="shared" si="1101"/>
        <v>0</v>
      </c>
      <c r="L1499" s="123">
        <f t="shared" si="1101"/>
        <v>0</v>
      </c>
      <c r="M1499" s="123">
        <f t="shared" si="1101"/>
        <v>0</v>
      </c>
      <c r="N1499" s="123">
        <f t="shared" si="1101"/>
        <v>0</v>
      </c>
      <c r="O1499" s="123">
        <f t="shared" si="1101"/>
        <v>0</v>
      </c>
      <c r="P1499" s="123">
        <f t="shared" si="1101"/>
        <v>0</v>
      </c>
      <c r="Q1499" s="123">
        <f t="shared" si="1101"/>
        <v>0</v>
      </c>
    </row>
    <row r="1500" ht="24" customHeight="1" spans="1:17">
      <c r="A1500" s="99" t="s">
        <v>348</v>
      </c>
      <c r="B1500" s="99" t="s">
        <v>299</v>
      </c>
      <c r="C1500" s="99" t="s">
        <v>344</v>
      </c>
      <c r="D1500" s="114" t="s">
        <v>292</v>
      </c>
      <c r="E1500" s="122" t="s">
        <v>326</v>
      </c>
      <c r="F1500" s="124">
        <f t="shared" si="1088"/>
        <v>0.0328039999999999</v>
      </c>
      <c r="G1500" s="124">
        <f t="shared" ref="G1500:Q1500" si="1102">F1500+G1428</f>
        <v>0.14735</v>
      </c>
      <c r="H1500" s="124">
        <f t="shared" si="1102"/>
        <v>0.235206</v>
      </c>
      <c r="I1500" s="124">
        <f t="shared" si="1102"/>
        <v>0.429595</v>
      </c>
      <c r="J1500" s="124">
        <f t="shared" si="1102"/>
        <v>0.477051</v>
      </c>
      <c r="K1500" s="124">
        <f t="shared" si="1102"/>
        <v>0.671946</v>
      </c>
      <c r="L1500" s="124">
        <f t="shared" si="1102"/>
        <v>0.676158</v>
      </c>
      <c r="M1500" s="124">
        <f t="shared" si="1102"/>
        <v>0.712539</v>
      </c>
      <c r="N1500" s="124">
        <f t="shared" si="1102"/>
        <v>0.720886</v>
      </c>
      <c r="O1500" s="124">
        <f t="shared" si="1102"/>
        <v>0.774379</v>
      </c>
      <c r="P1500" s="124">
        <f t="shared" si="1102"/>
        <v>0.81129</v>
      </c>
      <c r="Q1500" s="124">
        <f t="shared" si="1102"/>
        <v>0.869961</v>
      </c>
    </row>
    <row r="1501" ht="24" customHeight="1" spans="1:17">
      <c r="A1501" s="99" t="s">
        <v>348</v>
      </c>
      <c r="B1501" s="99" t="s">
        <v>299</v>
      </c>
      <c r="C1501" s="99" t="s">
        <v>344</v>
      </c>
      <c r="D1501" s="114" t="s">
        <v>292</v>
      </c>
      <c r="E1501" s="122" t="s">
        <v>327</v>
      </c>
      <c r="F1501" s="124">
        <f t="shared" si="1088"/>
        <v>0</v>
      </c>
      <c r="G1501" s="124">
        <f t="shared" ref="G1501:Q1501" si="1103">F1501+G1429</f>
        <v>0</v>
      </c>
      <c r="H1501" s="124">
        <f t="shared" si="1103"/>
        <v>0</v>
      </c>
      <c r="I1501" s="124">
        <f t="shared" si="1103"/>
        <v>0.010755</v>
      </c>
      <c r="J1501" s="124">
        <f t="shared" si="1103"/>
        <v>0.118762</v>
      </c>
      <c r="K1501" s="124">
        <f t="shared" si="1103"/>
        <v>0.126463</v>
      </c>
      <c r="L1501" s="124">
        <f t="shared" si="1103"/>
        <v>0.150227</v>
      </c>
      <c r="M1501" s="124">
        <f t="shared" si="1103"/>
        <v>0.150227</v>
      </c>
      <c r="N1501" s="124">
        <f t="shared" si="1103"/>
        <v>0.150227</v>
      </c>
      <c r="O1501" s="124">
        <f t="shared" si="1103"/>
        <v>0.151622</v>
      </c>
      <c r="P1501" s="124">
        <f t="shared" si="1103"/>
        <v>0.151622</v>
      </c>
      <c r="Q1501" s="124">
        <f t="shared" si="1103"/>
        <v>0.16739</v>
      </c>
    </row>
    <row r="1502" ht="24" customHeight="1" spans="1:17">
      <c r="A1502" s="99" t="s">
        <v>348</v>
      </c>
      <c r="B1502" s="99" t="s">
        <v>299</v>
      </c>
      <c r="C1502" s="99" t="s">
        <v>344</v>
      </c>
      <c r="D1502" s="114" t="s">
        <v>292</v>
      </c>
      <c r="E1502" s="122" t="s">
        <v>328</v>
      </c>
      <c r="F1502" s="124">
        <f t="shared" si="1088"/>
        <v>0</v>
      </c>
      <c r="G1502" s="124">
        <f t="shared" ref="G1502:Q1502" si="1104">F1502+G1430</f>
        <v>0</v>
      </c>
      <c r="H1502" s="124">
        <f t="shared" si="1104"/>
        <v>0</v>
      </c>
      <c r="I1502" s="124">
        <f t="shared" si="1104"/>
        <v>0</v>
      </c>
      <c r="J1502" s="124">
        <f t="shared" si="1104"/>
        <v>0</v>
      </c>
      <c r="K1502" s="124">
        <f t="shared" si="1104"/>
        <v>0</v>
      </c>
      <c r="L1502" s="124">
        <f t="shared" si="1104"/>
        <v>0</v>
      </c>
      <c r="M1502" s="124">
        <f t="shared" si="1104"/>
        <v>0</v>
      </c>
      <c r="N1502" s="124">
        <f t="shared" si="1104"/>
        <v>0</v>
      </c>
      <c r="O1502" s="124">
        <f t="shared" si="1104"/>
        <v>0</v>
      </c>
      <c r="P1502" s="124">
        <f t="shared" si="1104"/>
        <v>0</v>
      </c>
      <c r="Q1502" s="124">
        <f t="shared" si="1104"/>
        <v>0</v>
      </c>
    </row>
    <row r="1503" ht="24" customHeight="1" spans="1:17">
      <c r="A1503" s="99" t="s">
        <v>348</v>
      </c>
      <c r="B1503" s="99" t="s">
        <v>299</v>
      </c>
      <c r="C1503" s="99" t="s">
        <v>344</v>
      </c>
      <c r="D1503" s="122" t="s">
        <v>326</v>
      </c>
      <c r="E1503" s="122" t="s">
        <v>93</v>
      </c>
      <c r="F1503" s="124">
        <f t="shared" si="1088"/>
        <v>0.0307959999999999</v>
      </c>
      <c r="G1503" s="124">
        <f t="shared" ref="G1503:Q1503" si="1105">F1503+G1431</f>
        <v>0.141616</v>
      </c>
      <c r="H1503" s="124">
        <f t="shared" si="1105"/>
        <v>0.191922</v>
      </c>
      <c r="I1503" s="124">
        <f t="shared" si="1105"/>
        <v>0.343895</v>
      </c>
      <c r="J1503" s="124">
        <f t="shared" si="1105"/>
        <v>0.372809</v>
      </c>
      <c r="K1503" s="124">
        <f t="shared" si="1105"/>
        <v>0.394829</v>
      </c>
      <c r="L1503" s="124">
        <f t="shared" si="1105"/>
        <v>0.399041</v>
      </c>
      <c r="M1503" s="124">
        <f t="shared" si="1105"/>
        <v>0.405997</v>
      </c>
      <c r="N1503" s="124">
        <f t="shared" si="1105"/>
        <v>0.405997</v>
      </c>
      <c r="O1503" s="124">
        <f t="shared" si="1105"/>
        <v>0.45949</v>
      </c>
      <c r="P1503" s="124">
        <f t="shared" si="1105"/>
        <v>0.492758</v>
      </c>
      <c r="Q1503" s="124">
        <f t="shared" si="1105"/>
        <v>0.517431</v>
      </c>
    </row>
    <row r="1504" ht="24" customHeight="1" spans="1:17">
      <c r="A1504" s="99" t="s">
        <v>348</v>
      </c>
      <c r="B1504" s="99" t="s">
        <v>299</v>
      </c>
      <c r="C1504" s="99" t="s">
        <v>344</v>
      </c>
      <c r="D1504" s="122" t="s">
        <v>326</v>
      </c>
      <c r="E1504" s="122" t="s">
        <v>85</v>
      </c>
      <c r="F1504" s="124">
        <f t="shared" si="1088"/>
        <v>0.00200799999999999</v>
      </c>
      <c r="G1504" s="124">
        <f t="shared" ref="G1504:Q1504" si="1106">F1504+G1432</f>
        <v>0.00573399999999999</v>
      </c>
      <c r="H1504" s="124">
        <f t="shared" si="1106"/>
        <v>0.0303480000000002</v>
      </c>
      <c r="I1504" s="124">
        <f t="shared" si="1106"/>
        <v>0.0652460000000001</v>
      </c>
      <c r="J1504" s="124">
        <f t="shared" si="1106"/>
        <v>0.0837880000000001</v>
      </c>
      <c r="K1504" s="124">
        <f t="shared" si="1106"/>
        <v>0.106618</v>
      </c>
      <c r="L1504" s="124">
        <f t="shared" si="1106"/>
        <v>0.106618</v>
      </c>
      <c r="M1504" s="124">
        <f t="shared" si="1106"/>
        <v>0.106618</v>
      </c>
      <c r="N1504" s="124">
        <f t="shared" si="1106"/>
        <v>0.106618</v>
      </c>
      <c r="O1504" s="124">
        <f t="shared" si="1106"/>
        <v>0.106618</v>
      </c>
      <c r="P1504" s="124">
        <f t="shared" si="1106"/>
        <v>0.110261</v>
      </c>
      <c r="Q1504" s="124">
        <f t="shared" si="1106"/>
        <v>0.135737</v>
      </c>
    </row>
    <row r="1505" ht="24" customHeight="1" spans="1:17">
      <c r="A1505" s="99" t="s">
        <v>348</v>
      </c>
      <c r="B1505" s="99" t="s">
        <v>299</v>
      </c>
      <c r="C1505" s="99" t="s">
        <v>344</v>
      </c>
      <c r="D1505" s="122" t="s">
        <v>326</v>
      </c>
      <c r="E1505" s="122" t="s">
        <v>81</v>
      </c>
      <c r="F1505" s="124">
        <f t="shared" si="1088"/>
        <v>0</v>
      </c>
      <c r="G1505" s="124">
        <f t="shared" ref="G1505:Q1505" si="1107">F1505+G1433</f>
        <v>0</v>
      </c>
      <c r="H1505" s="124">
        <f t="shared" si="1107"/>
        <v>0</v>
      </c>
      <c r="I1505" s="124">
        <f t="shared" si="1107"/>
        <v>0</v>
      </c>
      <c r="J1505" s="124">
        <f t="shared" si="1107"/>
        <v>0</v>
      </c>
      <c r="K1505" s="124">
        <f t="shared" si="1107"/>
        <v>0</v>
      </c>
      <c r="L1505" s="124">
        <f t="shared" si="1107"/>
        <v>0</v>
      </c>
      <c r="M1505" s="124">
        <f t="shared" si="1107"/>
        <v>0.029425</v>
      </c>
      <c r="N1505" s="124">
        <f t="shared" si="1107"/>
        <v>0.037772</v>
      </c>
      <c r="O1505" s="124">
        <f t="shared" si="1107"/>
        <v>0.037772</v>
      </c>
      <c r="P1505" s="124">
        <f t="shared" si="1107"/>
        <v>0.037772</v>
      </c>
      <c r="Q1505" s="124">
        <f t="shared" si="1107"/>
        <v>0.0462940000000001</v>
      </c>
    </row>
    <row r="1506" ht="24" customHeight="1" spans="1:17">
      <c r="A1506" s="99" t="s">
        <v>348</v>
      </c>
      <c r="B1506" s="99" t="s">
        <v>299</v>
      </c>
      <c r="C1506" s="99" t="s">
        <v>344</v>
      </c>
      <c r="D1506" s="122" t="s">
        <v>326</v>
      </c>
      <c r="E1506" s="122" t="s">
        <v>96</v>
      </c>
      <c r="F1506" s="124">
        <f t="shared" si="1088"/>
        <v>0</v>
      </c>
      <c r="G1506" s="124">
        <f t="shared" ref="G1506:Q1506" si="1108">F1506+G1434</f>
        <v>0</v>
      </c>
      <c r="H1506" s="124">
        <f t="shared" si="1108"/>
        <v>0.0129359999999999</v>
      </c>
      <c r="I1506" s="124">
        <f t="shared" si="1108"/>
        <v>0.0204539999999999</v>
      </c>
      <c r="J1506" s="124">
        <f t="shared" si="1108"/>
        <v>0.0204539999999999</v>
      </c>
      <c r="K1506" s="124">
        <f t="shared" si="1108"/>
        <v>0.170499</v>
      </c>
      <c r="L1506" s="124">
        <f t="shared" si="1108"/>
        <v>0.170499</v>
      </c>
      <c r="M1506" s="124">
        <f t="shared" si="1108"/>
        <v>0.170499</v>
      </c>
      <c r="N1506" s="124">
        <f t="shared" si="1108"/>
        <v>0.170499</v>
      </c>
      <c r="O1506" s="124">
        <f t="shared" si="1108"/>
        <v>0.170499</v>
      </c>
      <c r="P1506" s="124">
        <f t="shared" si="1108"/>
        <v>0.170499</v>
      </c>
      <c r="Q1506" s="124">
        <f t="shared" si="1108"/>
        <v>0.170499</v>
      </c>
    </row>
    <row r="1507" ht="24" customHeight="1" spans="1:17">
      <c r="A1507" s="99" t="s">
        <v>348</v>
      </c>
      <c r="B1507" s="99" t="s">
        <v>299</v>
      </c>
      <c r="C1507" s="99" t="s">
        <v>344</v>
      </c>
      <c r="D1507" s="122" t="s">
        <v>326</v>
      </c>
      <c r="E1507" s="122" t="s">
        <v>160</v>
      </c>
      <c r="F1507" s="124">
        <f t="shared" si="1088"/>
        <v>0</v>
      </c>
      <c r="G1507" s="124">
        <f t="shared" ref="G1507:Q1507" si="1109">F1507+G1435</f>
        <v>0</v>
      </c>
      <c r="H1507" s="124">
        <f t="shared" si="1109"/>
        <v>0</v>
      </c>
      <c r="I1507" s="124">
        <f t="shared" si="1109"/>
        <v>0</v>
      </c>
      <c r="J1507" s="124">
        <f t="shared" si="1109"/>
        <v>0</v>
      </c>
      <c r="K1507" s="124">
        <f t="shared" si="1109"/>
        <v>0</v>
      </c>
      <c r="L1507" s="124">
        <f t="shared" si="1109"/>
        <v>0</v>
      </c>
      <c r="M1507" s="124">
        <f t="shared" si="1109"/>
        <v>0</v>
      </c>
      <c r="N1507" s="124">
        <f t="shared" si="1109"/>
        <v>0</v>
      </c>
      <c r="O1507" s="124">
        <f t="shared" si="1109"/>
        <v>0</v>
      </c>
      <c r="P1507" s="124">
        <f t="shared" si="1109"/>
        <v>0</v>
      </c>
      <c r="Q1507" s="124">
        <f t="shared" si="1109"/>
        <v>0</v>
      </c>
    </row>
    <row r="1508" ht="24" customHeight="1" spans="1:17">
      <c r="A1508" s="99" t="s">
        <v>348</v>
      </c>
      <c r="B1508" s="99" t="s">
        <v>299</v>
      </c>
      <c r="C1508" s="99" t="s">
        <v>344</v>
      </c>
      <c r="D1508" s="122" t="s">
        <v>327</v>
      </c>
      <c r="E1508" s="122" t="s">
        <v>93</v>
      </c>
      <c r="F1508" s="124">
        <f t="shared" si="1088"/>
        <v>0</v>
      </c>
      <c r="G1508" s="124">
        <f t="shared" ref="G1508:Q1508" si="1110">F1508+G1436</f>
        <v>0</v>
      </c>
      <c r="H1508" s="124">
        <f t="shared" si="1110"/>
        <v>0</v>
      </c>
      <c r="I1508" s="124">
        <f t="shared" si="1110"/>
        <v>0.000476999999999998</v>
      </c>
      <c r="J1508" s="124">
        <f t="shared" si="1110"/>
        <v>0.0549990000000001</v>
      </c>
      <c r="K1508" s="124">
        <f t="shared" si="1110"/>
        <v>0.0549990000000001</v>
      </c>
      <c r="L1508" s="124">
        <f t="shared" si="1110"/>
        <v>0.0578770000000001</v>
      </c>
      <c r="M1508" s="124">
        <f t="shared" si="1110"/>
        <v>0.0578770000000001</v>
      </c>
      <c r="N1508" s="124">
        <f t="shared" si="1110"/>
        <v>0.0578770000000001</v>
      </c>
      <c r="O1508" s="124">
        <f t="shared" si="1110"/>
        <v>0.0578770000000001</v>
      </c>
      <c r="P1508" s="124">
        <f t="shared" si="1110"/>
        <v>0.0578770000000001</v>
      </c>
      <c r="Q1508" s="124">
        <f t="shared" si="1110"/>
        <v>0.0578770000000001</v>
      </c>
    </row>
    <row r="1509" ht="24" customHeight="1" spans="1:17">
      <c r="A1509" s="99" t="s">
        <v>348</v>
      </c>
      <c r="B1509" s="99" t="s">
        <v>299</v>
      </c>
      <c r="C1509" s="99" t="s">
        <v>344</v>
      </c>
      <c r="D1509" s="122" t="s">
        <v>327</v>
      </c>
      <c r="E1509" s="122" t="s">
        <v>85</v>
      </c>
      <c r="F1509" s="124">
        <f t="shared" si="1088"/>
        <v>0</v>
      </c>
      <c r="G1509" s="124">
        <f t="shared" ref="G1509:Q1509" si="1111">F1509+G1437</f>
        <v>0</v>
      </c>
      <c r="H1509" s="124">
        <f t="shared" si="1111"/>
        <v>0</v>
      </c>
      <c r="I1509" s="124">
        <f t="shared" si="1111"/>
        <v>0</v>
      </c>
      <c r="J1509" s="124">
        <f t="shared" si="1111"/>
        <v>0</v>
      </c>
      <c r="K1509" s="124">
        <f t="shared" si="1111"/>
        <v>0</v>
      </c>
      <c r="L1509" s="124">
        <f t="shared" si="1111"/>
        <v>0.020886</v>
      </c>
      <c r="M1509" s="124">
        <f t="shared" si="1111"/>
        <v>0.020886</v>
      </c>
      <c r="N1509" s="124">
        <f t="shared" si="1111"/>
        <v>0.020886</v>
      </c>
      <c r="O1509" s="124">
        <f t="shared" si="1111"/>
        <v>0.022281</v>
      </c>
      <c r="P1509" s="124">
        <f t="shared" si="1111"/>
        <v>0.022281</v>
      </c>
      <c r="Q1509" s="124">
        <f t="shared" si="1111"/>
        <v>0.0380489999999998</v>
      </c>
    </row>
    <row r="1510" ht="24" customHeight="1" spans="1:17">
      <c r="A1510" s="99" t="s">
        <v>348</v>
      </c>
      <c r="B1510" s="99" t="s">
        <v>299</v>
      </c>
      <c r="C1510" s="99" t="s">
        <v>344</v>
      </c>
      <c r="D1510" s="122" t="s">
        <v>327</v>
      </c>
      <c r="E1510" s="122" t="s">
        <v>81</v>
      </c>
      <c r="F1510" s="124">
        <f t="shared" si="1088"/>
        <v>0</v>
      </c>
      <c r="G1510" s="124">
        <f t="shared" ref="G1510:Q1510" si="1112">F1510+G1438</f>
        <v>0</v>
      </c>
      <c r="H1510" s="124">
        <f t="shared" si="1112"/>
        <v>0</v>
      </c>
      <c r="I1510" s="124">
        <f t="shared" si="1112"/>
        <v>0.010278</v>
      </c>
      <c r="J1510" s="124">
        <f t="shared" si="1112"/>
        <v>0.0637630000000001</v>
      </c>
      <c r="K1510" s="124">
        <f t="shared" si="1112"/>
        <v>0.0714640000000001</v>
      </c>
      <c r="L1510" s="124">
        <f t="shared" si="1112"/>
        <v>0.0714640000000001</v>
      </c>
      <c r="M1510" s="124">
        <f t="shared" si="1112"/>
        <v>0.0714640000000001</v>
      </c>
      <c r="N1510" s="124">
        <f t="shared" si="1112"/>
        <v>0.0714640000000001</v>
      </c>
      <c r="O1510" s="124">
        <f t="shared" si="1112"/>
        <v>0.0714640000000001</v>
      </c>
      <c r="P1510" s="124">
        <f t="shared" si="1112"/>
        <v>0.0714640000000001</v>
      </c>
      <c r="Q1510" s="124">
        <f t="shared" si="1112"/>
        <v>0.0714640000000001</v>
      </c>
    </row>
    <row r="1511" ht="24" customHeight="1" spans="1:17">
      <c r="A1511" s="99" t="s">
        <v>348</v>
      </c>
      <c r="B1511" s="99" t="s">
        <v>299</v>
      </c>
      <c r="C1511" s="99" t="s">
        <v>344</v>
      </c>
      <c r="D1511" s="122" t="s">
        <v>327</v>
      </c>
      <c r="E1511" s="122" t="s">
        <v>96</v>
      </c>
      <c r="F1511" s="124">
        <f t="shared" si="1088"/>
        <v>0</v>
      </c>
      <c r="G1511" s="124">
        <f t="shared" ref="G1511:Q1511" si="1113">F1511+G1439</f>
        <v>0</v>
      </c>
      <c r="H1511" s="124">
        <f t="shared" si="1113"/>
        <v>0</v>
      </c>
      <c r="I1511" s="124">
        <f t="shared" si="1113"/>
        <v>0</v>
      </c>
      <c r="J1511" s="124">
        <f t="shared" si="1113"/>
        <v>0</v>
      </c>
      <c r="K1511" s="124">
        <f t="shared" si="1113"/>
        <v>0</v>
      </c>
      <c r="L1511" s="124">
        <f t="shared" si="1113"/>
        <v>0</v>
      </c>
      <c r="M1511" s="124">
        <f t="shared" si="1113"/>
        <v>0</v>
      </c>
      <c r="N1511" s="124">
        <f t="shared" si="1113"/>
        <v>0</v>
      </c>
      <c r="O1511" s="124">
        <f t="shared" si="1113"/>
        <v>0</v>
      </c>
      <c r="P1511" s="124">
        <f t="shared" si="1113"/>
        <v>0</v>
      </c>
      <c r="Q1511" s="124">
        <f t="shared" si="1113"/>
        <v>0</v>
      </c>
    </row>
    <row r="1512" ht="24" customHeight="1" spans="1:17">
      <c r="A1512" s="99" t="s">
        <v>348</v>
      </c>
      <c r="B1512" s="99" t="s">
        <v>299</v>
      </c>
      <c r="C1512" s="99" t="s">
        <v>344</v>
      </c>
      <c r="D1512" s="122" t="s">
        <v>327</v>
      </c>
      <c r="E1512" s="122" t="s">
        <v>160</v>
      </c>
      <c r="F1512" s="124">
        <f t="shared" si="1088"/>
        <v>0</v>
      </c>
      <c r="G1512" s="124">
        <f t="shared" ref="G1512:Q1512" si="1114">F1512+G1440</f>
        <v>0</v>
      </c>
      <c r="H1512" s="124">
        <f t="shared" si="1114"/>
        <v>0</v>
      </c>
      <c r="I1512" s="124">
        <f t="shared" si="1114"/>
        <v>0</v>
      </c>
      <c r="J1512" s="124">
        <f t="shared" si="1114"/>
        <v>0</v>
      </c>
      <c r="K1512" s="124">
        <f t="shared" si="1114"/>
        <v>0</v>
      </c>
      <c r="L1512" s="124">
        <f t="shared" si="1114"/>
        <v>0</v>
      </c>
      <c r="M1512" s="124">
        <f t="shared" si="1114"/>
        <v>0</v>
      </c>
      <c r="N1512" s="124">
        <f t="shared" si="1114"/>
        <v>0</v>
      </c>
      <c r="O1512" s="124">
        <f t="shared" si="1114"/>
        <v>0</v>
      </c>
      <c r="P1512" s="124">
        <f t="shared" si="1114"/>
        <v>0</v>
      </c>
      <c r="Q1512" s="124">
        <f t="shared" si="1114"/>
        <v>0</v>
      </c>
    </row>
    <row r="1513" ht="24" customHeight="1" spans="1:35">
      <c r="A1513" s="99" t="s">
        <v>349</v>
      </c>
      <c r="B1513" s="99" t="s">
        <v>290</v>
      </c>
      <c r="C1513" s="99" t="s">
        <v>291</v>
      </c>
      <c r="D1513" s="100" t="s">
        <v>292</v>
      </c>
      <c r="E1513" s="100" t="s">
        <v>293</v>
      </c>
      <c r="F1513" s="104">
        <f t="shared" ref="F1513:Q1513" si="1115">IF((SUM(F1514:F1519)-MAX(F1525,F1529))&lt;0,"ERR",SUM(F1514:F1519))</f>
        <v>3</v>
      </c>
      <c r="G1513" s="104">
        <f t="shared" si="1115"/>
        <v>0</v>
      </c>
      <c r="H1513" s="104">
        <f t="shared" si="1115"/>
        <v>0</v>
      </c>
      <c r="I1513" s="104">
        <f t="shared" si="1115"/>
        <v>0</v>
      </c>
      <c r="J1513" s="104">
        <f t="shared" si="1115"/>
        <v>0</v>
      </c>
      <c r="K1513" s="104">
        <f t="shared" si="1115"/>
        <v>0</v>
      </c>
      <c r="L1513" s="104">
        <f t="shared" si="1115"/>
        <v>2</v>
      </c>
      <c r="M1513" s="104">
        <f t="shared" si="1115"/>
        <v>0</v>
      </c>
      <c r="N1513" s="104">
        <f t="shared" si="1115"/>
        <v>0</v>
      </c>
      <c r="O1513" s="104">
        <f t="shared" si="1115"/>
        <v>0</v>
      </c>
      <c r="P1513" s="104">
        <f t="shared" si="1115"/>
        <v>0</v>
      </c>
      <c r="Q1513" s="104">
        <f t="shared" si="1115"/>
        <v>2</v>
      </c>
      <c r="S1513" s="108" t="s">
        <v>272</v>
      </c>
      <c r="T1513" s="108" t="s">
        <v>273</v>
      </c>
      <c r="U1513" s="108" t="s">
        <v>274</v>
      </c>
      <c r="V1513" s="98" t="s">
        <v>275</v>
      </c>
      <c r="W1513" s="98" t="s">
        <v>276</v>
      </c>
      <c r="X1513" s="102" t="s">
        <v>277</v>
      </c>
      <c r="Y1513" s="103" t="s">
        <v>278</v>
      </c>
      <c r="Z1513" s="102" t="s">
        <v>279</v>
      </c>
      <c r="AA1513" s="103" t="s">
        <v>280</v>
      </c>
      <c r="AB1513" s="102" t="s">
        <v>281</v>
      </c>
      <c r="AC1513" s="103" t="s">
        <v>282</v>
      </c>
      <c r="AD1513" s="102" t="s">
        <v>283</v>
      </c>
      <c r="AE1513" s="103" t="s">
        <v>284</v>
      </c>
      <c r="AF1513" s="102" t="s">
        <v>285</v>
      </c>
      <c r="AG1513" s="103" t="s">
        <v>286</v>
      </c>
      <c r="AH1513" s="102" t="s">
        <v>287</v>
      </c>
      <c r="AI1513" s="107" t="s">
        <v>288</v>
      </c>
    </row>
    <row r="1514" ht="24" customHeight="1" spans="1:17">
      <c r="A1514" s="99" t="s">
        <v>349</v>
      </c>
      <c r="B1514" s="99" t="s">
        <v>290</v>
      </c>
      <c r="C1514" s="99" t="s">
        <v>291</v>
      </c>
      <c r="D1514" s="48" t="s">
        <v>31</v>
      </c>
      <c r="E1514" s="48" t="s">
        <v>406</v>
      </c>
      <c r="F1514" s="105">
        <f>COUNTIFS('2024数据'!$W$3:$W$152,"&gt;="&amp;DATE(2023,1,1),'2024数据'!$W$3:$W$152,"&lt;="&amp;DATE(2024,1,31),'2024数据'!$AE$3:$AE$152,$E1514)</f>
        <v>0</v>
      </c>
      <c r="G1514" s="105">
        <f>COUNTIFS('2024数据'!$W$3:$W$152,"&gt;="&amp;DATE(2024,2,1),'2024数据'!$W$3:$W$152,"&lt;="&amp;DATE(2024,2,29),'2024数据'!$AE$3:$AE$152,$E1514)</f>
        <v>0</v>
      </c>
      <c r="H1514" s="105">
        <f>COUNTIFS('2024数据'!$W$3:$W$152,"&gt;="&amp;DATE(2024,3,1),'2024数据'!$W$3:$W$152,"&lt;="&amp;DATE(2024,3,31),'2024数据'!$AE$3:$AE$152,$E1514)</f>
        <v>0</v>
      </c>
      <c r="I1514" s="105">
        <f>COUNTIFS('2024数据'!$W$3:$W$152,"&gt;="&amp;DATE(2024,4,1),'2024数据'!$W$3:$W$152,"&lt;="&amp;DATE(2024,4,30),'2024数据'!$AE$3:$AE$152,$E1514)</f>
        <v>0</v>
      </c>
      <c r="J1514" s="105">
        <f>COUNTIFS('2024数据'!$W$3:$W$152,"&gt;="&amp;DATE(2024,5,1),'2024数据'!$W$3:$W$152,"&lt;="&amp;DATE(2024,5,31),'2024数据'!$AE$3:$AE$152,$E1514)</f>
        <v>0</v>
      </c>
      <c r="K1514" s="105">
        <f>COUNTIFS('2024数据'!$W$3:$W$152,"&gt;="&amp;DATE(2024,6,1),'2024数据'!$W$3:$W$152,"&lt;="&amp;DATE(2024,6,30),'2024数据'!$AE$3:$AE$152,$E1514)</f>
        <v>0</v>
      </c>
      <c r="L1514" s="105">
        <f>COUNTIFS('2024数据'!$W$3:$W$152,"&gt;="&amp;DATE(2024,7,1),'2024数据'!$W$3:$W$152,"&lt;="&amp;DATE(2024,7,31),'2024数据'!$AE$3:$AE$152,$E1514)</f>
        <v>0</v>
      </c>
      <c r="M1514" s="105">
        <f>COUNTIFS('2024数据'!$W$3:$W$152,"&gt;="&amp;DATE(2024,8,1),'2024数据'!$W$3:$W$152,"&lt;="&amp;DATE(2024,8,31),'2024数据'!$AE$3:$AE$152,$E1514)</f>
        <v>0</v>
      </c>
      <c r="N1514" s="105">
        <f>COUNTIFS('2024数据'!$W$3:$W$152,"&gt;="&amp;DATE(2024,9,1),'2024数据'!$W$3:$W$152,"&lt;="&amp;DATE(2024,9,30),'2024数据'!$AE$3:$AE$152,$E1514)</f>
        <v>0</v>
      </c>
      <c r="O1514" s="105">
        <f>COUNTIFS('2024数据'!$W$3:$W$152,"&gt;="&amp;DATE(2024,10,1),'2024数据'!$W$3:$W$152,"&lt;="&amp;DATE(2024,10,31),'2024数据'!$AE$3:$AE$152,$E1514)</f>
        <v>0</v>
      </c>
      <c r="P1514" s="105">
        <f>COUNTIFS('2024数据'!$W$3:$W$152,"&gt;="&amp;DATE(2024,11,1),'2024数据'!$W$3:$W$152,"&lt;="&amp;DATE(2024,11,30),'2024数据'!$AE$3:$AE$152,$E1514)</f>
        <v>0</v>
      </c>
      <c r="Q1514" s="105">
        <f>COUNTIFS('2024数据'!$W$3:$W$152,"&gt;="&amp;DATE(2024,12,1),'2024数据'!$W$3:$W$152,"&lt;="&amp;DATE(2024,12,31),'2024数据'!$AE$3:$AE$152,$E1514)</f>
        <v>0</v>
      </c>
    </row>
    <row r="1515" ht="24" customHeight="1" spans="1:17">
      <c r="A1515" s="99" t="s">
        <v>349</v>
      </c>
      <c r="B1515" s="99" t="s">
        <v>290</v>
      </c>
      <c r="C1515" s="99" t="s">
        <v>291</v>
      </c>
      <c r="D1515" s="48" t="s">
        <v>31</v>
      </c>
      <c r="E1515" s="48" t="s">
        <v>82</v>
      </c>
      <c r="F1515" s="105">
        <f>COUNTIFS('2024数据'!$W$3:$W$152,"&gt;="&amp;DATE(2023,1,1),'2024数据'!$W$3:$W$152,"&lt;="&amp;DATE(2024,1,31),'2024数据'!$AE$3:$AE$152,$E1515)</f>
        <v>0</v>
      </c>
      <c r="G1515" s="105">
        <f>COUNTIFS('2024数据'!$W$3:$W$152,"&gt;="&amp;DATE(2024,2,1),'2024数据'!$W$3:$W$152,"&lt;="&amp;DATE(2024,2,29),'2024数据'!$AE$3:$AE$152,$E1515)</f>
        <v>0</v>
      </c>
      <c r="H1515" s="105">
        <f>COUNTIFS('2024数据'!$W$3:$W$152,"&gt;="&amp;DATE(2024,3,1),'2024数据'!$W$3:$W$152,"&lt;="&amp;DATE(2024,3,31),'2024数据'!$AE$3:$AE$152,$E1515)</f>
        <v>0</v>
      </c>
      <c r="I1515" s="105">
        <f>COUNTIFS('2024数据'!$W$3:$W$152,"&gt;="&amp;DATE(2024,4,1),'2024数据'!$W$3:$W$152,"&lt;="&amp;DATE(2024,4,30),'2024数据'!$AE$3:$AE$152,$E1515)</f>
        <v>0</v>
      </c>
      <c r="J1515" s="105">
        <f>COUNTIFS('2024数据'!$W$3:$W$152,"&gt;="&amp;DATE(2024,5,1),'2024数据'!$W$3:$W$152,"&lt;="&amp;DATE(2024,5,31),'2024数据'!$AE$3:$AE$152,$E1515)</f>
        <v>0</v>
      </c>
      <c r="K1515" s="105">
        <f>COUNTIFS('2024数据'!$W$3:$W$152,"&gt;="&amp;DATE(2024,6,1),'2024数据'!$W$3:$W$152,"&lt;="&amp;DATE(2024,6,30),'2024数据'!$AE$3:$AE$152,$E1515)</f>
        <v>0</v>
      </c>
      <c r="L1515" s="105">
        <f>COUNTIFS('2024数据'!$W$3:$W$152,"&gt;="&amp;DATE(2024,7,1),'2024数据'!$W$3:$W$152,"&lt;="&amp;DATE(2024,7,31),'2024数据'!$AE$3:$AE$152,$E1515)</f>
        <v>0</v>
      </c>
      <c r="M1515" s="105">
        <f>COUNTIFS('2024数据'!$W$3:$W$152,"&gt;="&amp;DATE(2024,8,1),'2024数据'!$W$3:$W$152,"&lt;="&amp;DATE(2024,8,31),'2024数据'!$AE$3:$AE$152,$E1515)</f>
        <v>0</v>
      </c>
      <c r="N1515" s="105">
        <f>COUNTIFS('2024数据'!$W$3:$W$152,"&gt;="&amp;DATE(2024,9,1),'2024数据'!$W$3:$W$152,"&lt;="&amp;DATE(2024,9,30),'2024数据'!$AE$3:$AE$152,$E1515)</f>
        <v>0</v>
      </c>
      <c r="O1515" s="105">
        <f>COUNTIFS('2024数据'!$W$3:$W$152,"&gt;="&amp;DATE(2024,10,1),'2024数据'!$W$3:$W$152,"&lt;="&amp;DATE(2024,10,31),'2024数据'!$AE$3:$AE$152,$E1515)</f>
        <v>0</v>
      </c>
      <c r="P1515" s="105">
        <f>COUNTIFS('2024数据'!$W$3:$W$152,"&gt;="&amp;DATE(2024,11,1),'2024数据'!$W$3:$W$152,"&lt;="&amp;DATE(2024,11,30),'2024数据'!$AE$3:$AE$152,$E1515)</f>
        <v>0</v>
      </c>
      <c r="Q1515" s="105">
        <f>COUNTIFS('2024数据'!$W$3:$W$152,"&gt;="&amp;DATE(2024,12,1),'2024数据'!$W$3:$W$152,"&lt;="&amp;DATE(2024,12,31),'2024数据'!$AE$3:$AE$152,$E1515)</f>
        <v>0</v>
      </c>
    </row>
    <row r="1516" ht="24" customHeight="1" spans="1:17">
      <c r="A1516" s="99" t="s">
        <v>349</v>
      </c>
      <c r="B1516" s="99" t="s">
        <v>290</v>
      </c>
      <c r="C1516" s="99" t="s">
        <v>291</v>
      </c>
      <c r="D1516" s="48" t="s">
        <v>31</v>
      </c>
      <c r="E1516" s="48" t="s">
        <v>86</v>
      </c>
      <c r="F1516" s="105">
        <f>COUNTIFS('2024数据'!$W$3:$W$152,"&gt;="&amp;DATE(2023,1,1),'2024数据'!$W$3:$W$152,"&lt;="&amp;DATE(2024,1,31),'2024数据'!$AE$3:$AE$152,$E1516)</f>
        <v>0</v>
      </c>
      <c r="G1516" s="105">
        <f>COUNTIFS('2024数据'!$W$3:$W$152,"&gt;="&amp;DATE(2024,2,1),'2024数据'!$W$3:$W$152,"&lt;="&amp;DATE(2024,2,29),'2024数据'!$AE$3:$AE$152,$E1516)</f>
        <v>0</v>
      </c>
      <c r="H1516" s="105">
        <f>COUNTIFS('2024数据'!$W$3:$W$152,"&gt;="&amp;DATE(2024,3,1),'2024数据'!$W$3:$W$152,"&lt;="&amp;DATE(2024,3,31),'2024数据'!$AE$3:$AE$152,$E1516)</f>
        <v>0</v>
      </c>
      <c r="I1516" s="105">
        <f>COUNTIFS('2024数据'!$W$3:$W$152,"&gt;="&amp;DATE(2024,4,1),'2024数据'!$W$3:$W$152,"&lt;="&amp;DATE(2024,4,30),'2024数据'!$AE$3:$AE$152,$E1516)</f>
        <v>0</v>
      </c>
      <c r="J1516" s="105">
        <f>COUNTIFS('2024数据'!$W$3:$W$152,"&gt;="&amp;DATE(2024,5,1),'2024数据'!$W$3:$W$152,"&lt;="&amp;DATE(2024,5,31),'2024数据'!$AE$3:$AE$152,$E1516)</f>
        <v>0</v>
      </c>
      <c r="K1516" s="105">
        <f>COUNTIFS('2024数据'!$W$3:$W$152,"&gt;="&amp;DATE(2024,6,1),'2024数据'!$W$3:$W$152,"&lt;="&amp;DATE(2024,6,30),'2024数据'!$AE$3:$AE$152,$E1516)</f>
        <v>0</v>
      </c>
      <c r="L1516" s="105">
        <f>COUNTIFS('2024数据'!$W$3:$W$152,"&gt;="&amp;DATE(2024,7,1),'2024数据'!$W$3:$W$152,"&lt;="&amp;DATE(2024,7,31),'2024数据'!$AE$3:$AE$152,$E1516)</f>
        <v>0</v>
      </c>
      <c r="M1516" s="105">
        <f>COUNTIFS('2024数据'!$W$3:$W$152,"&gt;="&amp;DATE(2024,8,1),'2024数据'!$W$3:$W$152,"&lt;="&amp;DATE(2024,8,31),'2024数据'!$AE$3:$AE$152,$E1516)</f>
        <v>0</v>
      </c>
      <c r="N1516" s="105">
        <f>COUNTIFS('2024数据'!$W$3:$W$152,"&gt;="&amp;DATE(2024,9,1),'2024数据'!$W$3:$W$152,"&lt;="&amp;DATE(2024,9,30),'2024数据'!$AE$3:$AE$152,$E1516)</f>
        <v>0</v>
      </c>
      <c r="O1516" s="105">
        <f>COUNTIFS('2024数据'!$W$3:$W$152,"&gt;="&amp;DATE(2024,10,1),'2024数据'!$W$3:$W$152,"&lt;="&amp;DATE(2024,10,31),'2024数据'!$AE$3:$AE$152,$E1516)</f>
        <v>0</v>
      </c>
      <c r="P1516" s="105">
        <f>COUNTIFS('2024数据'!$W$3:$W$152,"&gt;="&amp;DATE(2024,11,1),'2024数据'!$W$3:$W$152,"&lt;="&amp;DATE(2024,11,30),'2024数据'!$AE$3:$AE$152,$E1516)</f>
        <v>0</v>
      </c>
      <c r="Q1516" s="105">
        <f>COUNTIFS('2024数据'!$W$3:$W$152,"&gt;="&amp;DATE(2024,12,1),'2024数据'!$W$3:$W$152,"&lt;="&amp;DATE(2024,12,31),'2024数据'!$AE$3:$AE$152,$E1516)</f>
        <v>0</v>
      </c>
    </row>
    <row r="1517" ht="24" customHeight="1" spans="1:17">
      <c r="A1517" s="99" t="s">
        <v>349</v>
      </c>
      <c r="B1517" s="99" t="s">
        <v>290</v>
      </c>
      <c r="C1517" s="99" t="s">
        <v>291</v>
      </c>
      <c r="D1517" s="48" t="s">
        <v>31</v>
      </c>
      <c r="E1517" s="48" t="s">
        <v>97</v>
      </c>
      <c r="F1517" s="105">
        <f>COUNTIFS('2024数据'!$W$3:$W$152,"&gt;="&amp;DATE(2023,1,1),'2024数据'!$W$3:$W$152,"&lt;="&amp;DATE(2024,1,31),'2024数据'!$AE$3:$AE$152,$E1517)</f>
        <v>0</v>
      </c>
      <c r="G1517" s="105">
        <f>COUNTIFS('2024数据'!$W$3:$W$152,"&gt;="&amp;DATE(2024,2,1),'2024数据'!$W$3:$W$152,"&lt;="&amp;DATE(2024,2,29),'2024数据'!$AE$3:$AE$152,$E1517)</f>
        <v>0</v>
      </c>
      <c r="H1517" s="105">
        <f>COUNTIFS('2024数据'!$W$3:$W$152,"&gt;="&amp;DATE(2024,3,1),'2024数据'!$W$3:$W$152,"&lt;="&amp;DATE(2024,3,31),'2024数据'!$AE$3:$AE$152,$E1517)</f>
        <v>0</v>
      </c>
      <c r="I1517" s="105">
        <f>COUNTIFS('2024数据'!$W$3:$W$152,"&gt;="&amp;DATE(2024,4,1),'2024数据'!$W$3:$W$152,"&lt;="&amp;DATE(2024,4,30),'2024数据'!$AE$3:$AE$152,$E1517)</f>
        <v>0</v>
      </c>
      <c r="J1517" s="105">
        <f>COUNTIFS('2024数据'!$W$3:$W$152,"&gt;="&amp;DATE(2024,5,1),'2024数据'!$W$3:$W$152,"&lt;="&amp;DATE(2024,5,31),'2024数据'!$AE$3:$AE$152,$E1517)</f>
        <v>0</v>
      </c>
      <c r="K1517" s="105">
        <f>COUNTIFS('2024数据'!$W$3:$W$152,"&gt;="&amp;DATE(2024,6,1),'2024数据'!$W$3:$W$152,"&lt;="&amp;DATE(2024,6,30),'2024数据'!$AE$3:$AE$152,$E1517)</f>
        <v>0</v>
      </c>
      <c r="L1517" s="105">
        <f>COUNTIFS('2024数据'!$W$3:$W$152,"&gt;="&amp;DATE(2024,7,1),'2024数据'!$W$3:$W$152,"&lt;="&amp;DATE(2024,7,31),'2024数据'!$AE$3:$AE$152,$E1517)</f>
        <v>0</v>
      </c>
      <c r="M1517" s="105">
        <f>COUNTIFS('2024数据'!$W$3:$W$152,"&gt;="&amp;DATE(2024,8,1),'2024数据'!$W$3:$W$152,"&lt;="&amp;DATE(2024,8,31),'2024数据'!$AE$3:$AE$152,$E1517)</f>
        <v>0</v>
      </c>
      <c r="N1517" s="105">
        <f>COUNTIFS('2024数据'!$W$3:$W$152,"&gt;="&amp;DATE(2024,9,1),'2024数据'!$W$3:$W$152,"&lt;="&amp;DATE(2024,9,30),'2024数据'!$AE$3:$AE$152,$E1517)</f>
        <v>0</v>
      </c>
      <c r="O1517" s="105">
        <f>COUNTIFS('2024数据'!$W$3:$W$152,"&gt;="&amp;DATE(2024,10,1),'2024数据'!$W$3:$W$152,"&lt;="&amp;DATE(2024,10,31),'2024数据'!$AE$3:$AE$152,$E1517)</f>
        <v>0</v>
      </c>
      <c r="P1517" s="105">
        <f>COUNTIFS('2024数据'!$W$3:$W$152,"&gt;="&amp;DATE(2024,11,1),'2024数据'!$W$3:$W$152,"&lt;="&amp;DATE(2024,11,30),'2024数据'!$AE$3:$AE$152,$E1517)</f>
        <v>0</v>
      </c>
      <c r="Q1517" s="105">
        <f>COUNTIFS('2024数据'!$W$3:$W$152,"&gt;="&amp;DATE(2024,12,1),'2024数据'!$W$3:$W$152,"&lt;="&amp;DATE(2024,12,31),'2024数据'!$AE$3:$AE$152,$E1517)</f>
        <v>0</v>
      </c>
    </row>
    <row r="1518" ht="24" customHeight="1" spans="1:17">
      <c r="A1518" s="99" t="s">
        <v>349</v>
      </c>
      <c r="B1518" s="99" t="s">
        <v>290</v>
      </c>
      <c r="C1518" s="99" t="s">
        <v>291</v>
      </c>
      <c r="D1518" s="48" t="s">
        <v>31</v>
      </c>
      <c r="E1518" s="48" t="s">
        <v>87</v>
      </c>
      <c r="F1518" s="105">
        <f>COUNTIFS('2024数据'!$W$3:$W$152,"&gt;="&amp;DATE(2023,1,1),'2024数据'!$W$3:$W$152,"&lt;="&amp;DATE(2024,1,31),'2024数据'!$AE$3:$AE$152,$E1518)</f>
        <v>3</v>
      </c>
      <c r="G1518" s="105">
        <f>COUNTIFS('2024数据'!$W$3:$W$152,"&gt;="&amp;DATE(2024,2,1),'2024数据'!$W$3:$W$152,"&lt;="&amp;DATE(2024,2,29),'2024数据'!$AE$3:$AE$152,$E1518)</f>
        <v>0</v>
      </c>
      <c r="H1518" s="105">
        <f>COUNTIFS('2024数据'!$W$3:$W$152,"&gt;="&amp;DATE(2024,3,1),'2024数据'!$W$3:$W$152,"&lt;="&amp;DATE(2024,3,31),'2024数据'!$AE$3:$AE$152,$E1518)</f>
        <v>0</v>
      </c>
      <c r="I1518" s="105">
        <f>COUNTIFS('2024数据'!$W$3:$W$152,"&gt;="&amp;DATE(2024,4,1),'2024数据'!$W$3:$W$152,"&lt;="&amp;DATE(2024,4,30),'2024数据'!$AE$3:$AE$152,$E1518)</f>
        <v>0</v>
      </c>
      <c r="J1518" s="105">
        <f>COUNTIFS('2024数据'!$W$3:$W$152,"&gt;="&amp;DATE(2024,5,1),'2024数据'!$W$3:$W$152,"&lt;="&amp;DATE(2024,5,31),'2024数据'!$AE$3:$AE$152,$E1518)</f>
        <v>0</v>
      </c>
      <c r="K1518" s="105">
        <f>COUNTIFS('2024数据'!$W$3:$W$152,"&gt;="&amp;DATE(2024,6,1),'2024数据'!$W$3:$W$152,"&lt;="&amp;DATE(2024,6,30),'2024数据'!$AE$3:$AE$152,$E1518)</f>
        <v>0</v>
      </c>
      <c r="L1518" s="105">
        <f>COUNTIFS('2024数据'!$W$3:$W$152,"&gt;="&amp;DATE(2024,7,1),'2024数据'!$W$3:$W$152,"&lt;="&amp;DATE(2024,7,31),'2024数据'!$AE$3:$AE$152,$E1518)</f>
        <v>2</v>
      </c>
      <c r="M1518" s="105">
        <f>COUNTIFS('2024数据'!$W$3:$W$152,"&gt;="&amp;DATE(2024,8,1),'2024数据'!$W$3:$W$152,"&lt;="&amp;DATE(2024,8,31),'2024数据'!$AE$3:$AE$152,$E1518)</f>
        <v>0</v>
      </c>
      <c r="N1518" s="105">
        <f>COUNTIFS('2024数据'!$W$3:$W$152,"&gt;="&amp;DATE(2024,9,1),'2024数据'!$W$3:$W$152,"&lt;="&amp;DATE(2024,9,30),'2024数据'!$AE$3:$AE$152,$E1518)</f>
        <v>0</v>
      </c>
      <c r="O1518" s="105">
        <f>COUNTIFS('2024数据'!$W$3:$W$152,"&gt;="&amp;DATE(2024,10,1),'2024数据'!$W$3:$W$152,"&lt;="&amp;DATE(2024,10,31),'2024数据'!$AE$3:$AE$152,$E1518)</f>
        <v>0</v>
      </c>
      <c r="P1518" s="105">
        <f>COUNTIFS('2024数据'!$W$3:$W$152,"&gt;="&amp;DATE(2024,11,1),'2024数据'!$W$3:$W$152,"&lt;="&amp;DATE(2024,11,30),'2024数据'!$AE$3:$AE$152,$E1518)</f>
        <v>0</v>
      </c>
      <c r="Q1518" s="105">
        <f>COUNTIFS('2024数据'!$W$3:$W$152,"&gt;="&amp;DATE(2024,12,1),'2024数据'!$W$3:$W$152,"&lt;="&amp;DATE(2024,12,31),'2024数据'!$AE$3:$AE$152,$E1518)</f>
        <v>2</v>
      </c>
    </row>
    <row r="1519" ht="24" customHeight="1" spans="1:17">
      <c r="A1519" s="99" t="s">
        <v>349</v>
      </c>
      <c r="B1519" s="99" t="s">
        <v>290</v>
      </c>
      <c r="C1519" s="99" t="s">
        <v>291</v>
      </c>
      <c r="D1519" s="48" t="s">
        <v>31</v>
      </c>
      <c r="E1519" s="48" t="s">
        <v>83</v>
      </c>
      <c r="F1519" s="105">
        <f>COUNTIFS('2024数据'!$W$3:$W$152,"&gt;="&amp;DATE(2023,1,1),'2024数据'!$W$3:$W$152,"&lt;="&amp;DATE(2024,1,31),'2024数据'!$AE$3:$AE$152,$E1519)</f>
        <v>0</v>
      </c>
      <c r="G1519" s="105">
        <f>COUNTIFS('2024数据'!$W$3:$W$152,"&gt;="&amp;DATE(2024,2,1),'2024数据'!$W$3:$W$152,"&lt;="&amp;DATE(2024,2,29),'2024数据'!$AE$3:$AE$152,$E1519)</f>
        <v>0</v>
      </c>
      <c r="H1519" s="105">
        <f>COUNTIFS('2024数据'!$W$3:$W$152,"&gt;="&amp;DATE(2024,3,1),'2024数据'!$W$3:$W$152,"&lt;="&amp;DATE(2024,3,31),'2024数据'!$AE$3:$AE$152,$E1519)</f>
        <v>0</v>
      </c>
      <c r="I1519" s="105">
        <f>COUNTIFS('2024数据'!$W$3:$W$152,"&gt;="&amp;DATE(2024,4,1),'2024数据'!$W$3:$W$152,"&lt;="&amp;DATE(2024,4,30),'2024数据'!$AE$3:$AE$152,$E1519)</f>
        <v>0</v>
      </c>
      <c r="J1519" s="105">
        <f>COUNTIFS('2024数据'!$W$3:$W$152,"&gt;="&amp;DATE(2024,5,1),'2024数据'!$W$3:$W$152,"&lt;="&amp;DATE(2024,5,31),'2024数据'!$AE$3:$AE$152,$E1519)</f>
        <v>0</v>
      </c>
      <c r="K1519" s="105">
        <f>COUNTIFS('2024数据'!$W$3:$W$152,"&gt;="&amp;DATE(2024,6,1),'2024数据'!$W$3:$W$152,"&lt;="&amp;DATE(2024,6,30),'2024数据'!$AE$3:$AE$152,$E1519)</f>
        <v>0</v>
      </c>
      <c r="L1519" s="105">
        <f>COUNTIFS('2024数据'!$W$3:$W$152,"&gt;="&amp;DATE(2024,7,1),'2024数据'!$W$3:$W$152,"&lt;="&amp;DATE(2024,7,31),'2024数据'!$AE$3:$AE$152,$E1519)</f>
        <v>0</v>
      </c>
      <c r="M1519" s="105">
        <f>COUNTIFS('2024数据'!$W$3:$W$152,"&gt;="&amp;DATE(2024,8,1),'2024数据'!$W$3:$W$152,"&lt;="&amp;DATE(2024,8,31),'2024数据'!$AE$3:$AE$152,$E1519)</f>
        <v>0</v>
      </c>
      <c r="N1519" s="105">
        <f>COUNTIFS('2024数据'!$W$3:$W$152,"&gt;="&amp;DATE(2024,9,1),'2024数据'!$W$3:$W$152,"&lt;="&amp;DATE(2024,9,30),'2024数据'!$AE$3:$AE$152,$E1519)</f>
        <v>0</v>
      </c>
      <c r="O1519" s="105">
        <f>COUNTIFS('2024数据'!$W$3:$W$152,"&gt;="&amp;DATE(2024,10,1),'2024数据'!$W$3:$W$152,"&lt;="&amp;DATE(2024,10,31),'2024数据'!$AE$3:$AE$152,$E1519)</f>
        <v>0</v>
      </c>
      <c r="P1519" s="105">
        <f>COUNTIFS('2024数据'!$W$3:$W$152,"&gt;="&amp;DATE(2024,11,1),'2024数据'!$W$3:$W$152,"&lt;="&amp;DATE(2024,11,30),'2024数据'!$AE$3:$AE$152,$E1519)</f>
        <v>0</v>
      </c>
      <c r="Q1519" s="105">
        <f>COUNTIFS('2024数据'!$W$3:$W$152,"&gt;="&amp;DATE(2024,12,1),'2024数据'!$W$3:$W$152,"&lt;="&amp;DATE(2024,12,31),'2024数据'!$AE$3:$AE$152,$E1519)</f>
        <v>0</v>
      </c>
    </row>
    <row r="1520" ht="24" customHeight="1" spans="1:17">
      <c r="A1520" s="99" t="s">
        <v>349</v>
      </c>
      <c r="B1520" s="99" t="s">
        <v>290</v>
      </c>
      <c r="C1520" s="99" t="s">
        <v>291</v>
      </c>
      <c r="D1520" s="47" t="s">
        <v>294</v>
      </c>
      <c r="E1520" s="47" t="s">
        <v>93</v>
      </c>
      <c r="F1520" s="106">
        <f>COUNTIFS('2024数据'!$W$3:$W$152,"&gt;="&amp;DATE(2023,1,1),'2024数据'!$W$3:$W$152,"&lt;="&amp;DATE(2024,1,31),'2024数据'!$B$3:$B$152,$E1520)</f>
        <v>3</v>
      </c>
      <c r="G1520" s="106">
        <f>COUNTIFS('2024数据'!$W$3:$W$152,"&gt;="&amp;DATE(2024,2,1),'2024数据'!$W$3:$W$152,"&lt;="&amp;DATE(2024,2,29),'2024数据'!$B$3:$B$152,$E1520)</f>
        <v>0</v>
      </c>
      <c r="H1520" s="106">
        <f>COUNTIFS('2024数据'!$W$3:$W$152,"&gt;="&amp;DATE(2024,3,1),'2024数据'!$W$3:$W$152,"&lt;="&amp;DATE(2024,3,31),'2024数据'!$B$3:$B$152,$E1520)</f>
        <v>0</v>
      </c>
      <c r="I1520" s="106">
        <f>COUNTIFS('2024数据'!$W$3:$W$152,"&gt;="&amp;DATE(2024,4,1),'2024数据'!$W$3:$W$152,"&lt;="&amp;DATE(2024,4,30),'2024数据'!$B$3:$B$152,$E1520)</f>
        <v>0</v>
      </c>
      <c r="J1520" s="106">
        <f>COUNTIFS('2024数据'!$W$3:$W$152,"&gt;="&amp;DATE(2024,5,1),'2024数据'!$W$3:$W$152,"&lt;="&amp;DATE(2024,5,31),'2024数据'!$B$3:$B$152,$E1520)</f>
        <v>0</v>
      </c>
      <c r="K1520" s="106">
        <f>COUNTIFS('2024数据'!$W$3:$W$152,"&gt;="&amp;DATE(2024,6,1),'2024数据'!$W$3:$W$152,"&lt;="&amp;DATE(2024,6,30),'2024数据'!$B$3:$B$152,$E1520)</f>
        <v>0</v>
      </c>
      <c r="L1520" s="106">
        <f>COUNTIFS('2024数据'!$W$3:$W$152,"&gt;="&amp;DATE(2024,7,1),'2024数据'!$W$3:$W$152,"&lt;="&amp;DATE(2024,7,31),'2024数据'!$B$3:$B$152,$E1520)</f>
        <v>0</v>
      </c>
      <c r="M1520" s="106">
        <f>COUNTIFS('2024数据'!$W$3:$W$152,"&gt;="&amp;DATE(2024,8,1),'2024数据'!$W$3:$W$152,"&lt;="&amp;DATE(2024,8,31),'2024数据'!$B$3:$B$152,$E1520)</f>
        <v>0</v>
      </c>
      <c r="N1520" s="106">
        <f>COUNTIFS('2024数据'!$W$3:$W$152,"&gt;="&amp;DATE(2024,9,1),'2024数据'!$W$3:$W$152,"&lt;="&amp;DATE(2024,9,30),'2024数据'!$B$3:$B$152,$E1520)</f>
        <v>0</v>
      </c>
      <c r="O1520" s="106">
        <f>COUNTIFS('2024数据'!$W$3:$W$152,"&gt;="&amp;DATE(2024,10,1),'2024数据'!$W$3:$W$152,"&lt;="&amp;DATE(2024,10,31),'2024数据'!$B$3:$B$152,$E1520)</f>
        <v>0</v>
      </c>
      <c r="P1520" s="106">
        <f>COUNTIFS('2024数据'!$W$3:$W$152,"&gt;="&amp;DATE(2024,11,1),'2024数据'!$W$3:$W$152,"&lt;="&amp;DATE(2024,11,30),'2024数据'!$B$3:$B$152,$E1520)</f>
        <v>0</v>
      </c>
      <c r="Q1520" s="106">
        <f>COUNTIFS('2024数据'!$W$3:$W$152,"&gt;="&amp;DATE(2024,12,1),'2024数据'!$W$3:$W$152,"&lt;="&amp;DATE(2024,12,31),'2024数据'!$B$3:$B$152,$E1520)</f>
        <v>0</v>
      </c>
    </row>
    <row r="1521" ht="24" customHeight="1" spans="1:17">
      <c r="A1521" s="99" t="s">
        <v>349</v>
      </c>
      <c r="B1521" s="99" t="s">
        <v>290</v>
      </c>
      <c r="C1521" s="99" t="s">
        <v>291</v>
      </c>
      <c r="D1521" s="47" t="s">
        <v>294</v>
      </c>
      <c r="E1521" s="47" t="s">
        <v>85</v>
      </c>
      <c r="F1521" s="106">
        <f>COUNTIFS('2024数据'!$W$3:$W$152,"&gt;="&amp;DATE(2023,1,1),'2024数据'!$W$3:$W$152,"&lt;="&amp;DATE(2024,1,31),'2024数据'!$B$3:$B$152,$E1521)</f>
        <v>0</v>
      </c>
      <c r="G1521" s="106">
        <f>COUNTIFS('2024数据'!$W$3:$W$152,"&gt;="&amp;DATE(2024,2,1),'2024数据'!$W$3:$W$152,"&lt;="&amp;DATE(2024,2,29),'2024数据'!$B$3:$B$152,$E1521)</f>
        <v>0</v>
      </c>
      <c r="H1521" s="106">
        <f>COUNTIFS('2024数据'!$W$3:$W$152,"&gt;="&amp;DATE(2024,3,1),'2024数据'!$W$3:$W$152,"&lt;="&amp;DATE(2024,3,31),'2024数据'!$B$3:$B$152,$E1521)</f>
        <v>0</v>
      </c>
      <c r="I1521" s="106">
        <f>COUNTIFS('2024数据'!$W$3:$W$152,"&gt;="&amp;DATE(2024,4,1),'2024数据'!$W$3:$W$152,"&lt;="&amp;DATE(2024,4,30),'2024数据'!$B$3:$B$152,$E1521)</f>
        <v>0</v>
      </c>
      <c r="J1521" s="106">
        <f>COUNTIFS('2024数据'!$W$3:$W$152,"&gt;="&amp;DATE(2024,5,1),'2024数据'!$W$3:$W$152,"&lt;="&amp;DATE(2024,5,31),'2024数据'!$B$3:$B$152,$E1521)</f>
        <v>0</v>
      </c>
      <c r="K1521" s="106">
        <f>COUNTIFS('2024数据'!$W$3:$W$152,"&gt;="&amp;DATE(2024,6,1),'2024数据'!$W$3:$W$152,"&lt;="&amp;DATE(2024,6,30),'2024数据'!$B$3:$B$152,$E1521)</f>
        <v>0</v>
      </c>
      <c r="L1521" s="106">
        <f>COUNTIFS('2024数据'!$W$3:$W$152,"&gt;="&amp;DATE(2024,7,1),'2024数据'!$W$3:$W$152,"&lt;="&amp;DATE(2024,7,31),'2024数据'!$B$3:$B$152,$E1521)</f>
        <v>0</v>
      </c>
      <c r="M1521" s="106">
        <f>COUNTIFS('2024数据'!$W$3:$W$152,"&gt;="&amp;DATE(2024,8,1),'2024数据'!$W$3:$W$152,"&lt;="&amp;DATE(2024,8,31),'2024数据'!$B$3:$B$152,$E1521)</f>
        <v>0</v>
      </c>
      <c r="N1521" s="106">
        <f>COUNTIFS('2024数据'!$W$3:$W$152,"&gt;="&amp;DATE(2024,9,1),'2024数据'!$W$3:$W$152,"&lt;="&amp;DATE(2024,9,30),'2024数据'!$B$3:$B$152,$E1521)</f>
        <v>0</v>
      </c>
      <c r="O1521" s="106">
        <f>COUNTIFS('2024数据'!$W$3:$W$152,"&gt;="&amp;DATE(2024,10,1),'2024数据'!$W$3:$W$152,"&lt;="&amp;DATE(2024,10,31),'2024数据'!$B$3:$B$152,$E1521)</f>
        <v>0</v>
      </c>
      <c r="P1521" s="106">
        <f>COUNTIFS('2024数据'!$W$3:$W$152,"&gt;="&amp;DATE(2024,11,1),'2024数据'!$W$3:$W$152,"&lt;="&amp;DATE(2024,11,30),'2024数据'!$B$3:$B$152,$E1521)</f>
        <v>0</v>
      </c>
      <c r="Q1521" s="106">
        <f>COUNTIFS('2024数据'!$W$3:$W$152,"&gt;="&amp;DATE(2024,12,1),'2024数据'!$W$3:$W$152,"&lt;="&amp;DATE(2024,12,31),'2024数据'!$B$3:$B$152,$E1521)</f>
        <v>0</v>
      </c>
    </row>
    <row r="1522" ht="24" customHeight="1" spans="1:17">
      <c r="A1522" s="99" t="s">
        <v>349</v>
      </c>
      <c r="B1522" s="99" t="s">
        <v>290</v>
      </c>
      <c r="C1522" s="99" t="s">
        <v>291</v>
      </c>
      <c r="D1522" s="47" t="s">
        <v>294</v>
      </c>
      <c r="E1522" s="47" t="s">
        <v>81</v>
      </c>
      <c r="F1522" s="106">
        <f>COUNTIFS('2024数据'!$W$3:$W$152,"&gt;="&amp;DATE(2023,1,1),'2024数据'!$W$3:$W$152,"&lt;="&amp;DATE(2024,1,31),'2024数据'!$B$3:$B$152,$E1522)</f>
        <v>0</v>
      </c>
      <c r="G1522" s="106">
        <f>COUNTIFS('2024数据'!$W$3:$W$152,"&gt;="&amp;DATE(2024,2,1),'2024数据'!$W$3:$W$152,"&lt;="&amp;DATE(2024,2,29),'2024数据'!$B$3:$B$152,$E1522)</f>
        <v>0</v>
      </c>
      <c r="H1522" s="106">
        <f>COUNTIFS('2024数据'!$W$3:$W$152,"&gt;="&amp;DATE(2024,3,1),'2024数据'!$W$3:$W$152,"&lt;="&amp;DATE(2024,3,31),'2024数据'!$B$3:$B$152,$E1522)</f>
        <v>0</v>
      </c>
      <c r="I1522" s="106">
        <f>COUNTIFS('2024数据'!$W$3:$W$152,"&gt;="&amp;DATE(2024,4,1),'2024数据'!$W$3:$W$152,"&lt;="&amp;DATE(2024,4,30),'2024数据'!$B$3:$B$152,$E1522)</f>
        <v>0</v>
      </c>
      <c r="J1522" s="106">
        <f>COUNTIFS('2024数据'!$W$3:$W$152,"&gt;="&amp;DATE(2024,5,1),'2024数据'!$W$3:$W$152,"&lt;="&amp;DATE(2024,5,31),'2024数据'!$B$3:$B$152,$E1522)</f>
        <v>0</v>
      </c>
      <c r="K1522" s="106">
        <f>COUNTIFS('2024数据'!$W$3:$W$152,"&gt;="&amp;DATE(2024,6,1),'2024数据'!$W$3:$W$152,"&lt;="&amp;DATE(2024,6,30),'2024数据'!$B$3:$B$152,$E1522)</f>
        <v>0</v>
      </c>
      <c r="L1522" s="106">
        <f>COUNTIFS('2024数据'!$W$3:$W$152,"&gt;="&amp;DATE(2024,7,1),'2024数据'!$W$3:$W$152,"&lt;="&amp;DATE(2024,7,31),'2024数据'!$B$3:$B$152,$E1522)</f>
        <v>2</v>
      </c>
      <c r="M1522" s="106">
        <f>COUNTIFS('2024数据'!$W$3:$W$152,"&gt;="&amp;DATE(2024,8,1),'2024数据'!$W$3:$W$152,"&lt;="&amp;DATE(2024,8,31),'2024数据'!$B$3:$B$152,$E1522)</f>
        <v>0</v>
      </c>
      <c r="N1522" s="106">
        <f>COUNTIFS('2024数据'!$W$3:$W$152,"&gt;="&amp;DATE(2024,9,1),'2024数据'!$W$3:$W$152,"&lt;="&amp;DATE(2024,9,30),'2024数据'!$B$3:$B$152,$E1522)</f>
        <v>0</v>
      </c>
      <c r="O1522" s="106">
        <f>COUNTIFS('2024数据'!$W$3:$W$152,"&gt;="&amp;DATE(2024,10,1),'2024数据'!$W$3:$W$152,"&lt;="&amp;DATE(2024,10,31),'2024数据'!$B$3:$B$152,$E1522)</f>
        <v>0</v>
      </c>
      <c r="P1522" s="106">
        <f>COUNTIFS('2024数据'!$W$3:$W$152,"&gt;="&amp;DATE(2024,11,1),'2024数据'!$W$3:$W$152,"&lt;="&amp;DATE(2024,11,30),'2024数据'!$B$3:$B$152,$E1522)</f>
        <v>0</v>
      </c>
      <c r="Q1522" s="106">
        <f>COUNTIFS('2024数据'!$W$3:$W$152,"&gt;="&amp;DATE(2024,12,1),'2024数据'!$W$3:$W$152,"&lt;="&amp;DATE(2024,12,31),'2024数据'!$B$3:$B$152,$E1522)</f>
        <v>2</v>
      </c>
    </row>
    <row r="1523" ht="24" customHeight="1" spans="1:17">
      <c r="A1523" s="99" t="s">
        <v>349</v>
      </c>
      <c r="B1523" s="99" t="s">
        <v>290</v>
      </c>
      <c r="C1523" s="99" t="s">
        <v>291</v>
      </c>
      <c r="D1523" s="47" t="s">
        <v>294</v>
      </c>
      <c r="E1523" s="47" t="s">
        <v>96</v>
      </c>
      <c r="F1523" s="106">
        <f>COUNTIFS('2024数据'!$W$3:$W$152,"&gt;="&amp;DATE(2023,1,1),'2024数据'!$W$3:$W$152,"&lt;="&amp;DATE(2024,1,31),'2024数据'!$B$3:$B$152,$E1523)</f>
        <v>0</v>
      </c>
      <c r="G1523" s="106">
        <f>COUNTIFS('2024数据'!$W$3:$W$152,"&gt;="&amp;DATE(2024,2,1),'2024数据'!$W$3:$W$152,"&lt;="&amp;DATE(2024,2,29),'2024数据'!$B$3:$B$152,$E1523)</f>
        <v>0</v>
      </c>
      <c r="H1523" s="106">
        <f>COUNTIFS('2024数据'!$W$3:$W$152,"&gt;="&amp;DATE(2024,3,1),'2024数据'!$W$3:$W$152,"&lt;="&amp;DATE(2024,3,31),'2024数据'!$B$3:$B$152,$E1523)</f>
        <v>0</v>
      </c>
      <c r="I1523" s="106">
        <f>COUNTIFS('2024数据'!$W$3:$W$152,"&gt;="&amp;DATE(2024,4,1),'2024数据'!$W$3:$W$152,"&lt;="&amp;DATE(2024,4,30),'2024数据'!$B$3:$B$152,$E1523)</f>
        <v>0</v>
      </c>
      <c r="J1523" s="106">
        <f>COUNTIFS('2024数据'!$W$3:$W$152,"&gt;="&amp;DATE(2024,5,1),'2024数据'!$W$3:$W$152,"&lt;="&amp;DATE(2024,5,31),'2024数据'!$B$3:$B$152,$E1523)</f>
        <v>0</v>
      </c>
      <c r="K1523" s="106">
        <f>COUNTIFS('2024数据'!$W$3:$W$152,"&gt;="&amp;DATE(2024,6,1),'2024数据'!$W$3:$W$152,"&lt;="&amp;DATE(2024,6,30),'2024数据'!$B$3:$B$152,$E1523)</f>
        <v>0</v>
      </c>
      <c r="L1523" s="106">
        <f>COUNTIFS('2024数据'!$W$3:$W$152,"&gt;="&amp;DATE(2024,7,1),'2024数据'!$W$3:$W$152,"&lt;="&amp;DATE(2024,7,31),'2024数据'!$B$3:$B$152,$E1523)</f>
        <v>0</v>
      </c>
      <c r="M1523" s="106">
        <f>COUNTIFS('2024数据'!$W$3:$W$152,"&gt;="&amp;DATE(2024,8,1),'2024数据'!$W$3:$W$152,"&lt;="&amp;DATE(2024,8,31),'2024数据'!$B$3:$B$152,$E1523)</f>
        <v>0</v>
      </c>
      <c r="N1523" s="106">
        <f>COUNTIFS('2024数据'!$W$3:$W$152,"&gt;="&amp;DATE(2024,9,1),'2024数据'!$W$3:$W$152,"&lt;="&amp;DATE(2024,9,30),'2024数据'!$B$3:$B$152,$E1523)</f>
        <v>0</v>
      </c>
      <c r="O1523" s="106">
        <f>COUNTIFS('2024数据'!$W$3:$W$152,"&gt;="&amp;DATE(2024,10,1),'2024数据'!$W$3:$W$152,"&lt;="&amp;DATE(2024,10,31),'2024数据'!$B$3:$B$152,$E1523)</f>
        <v>0</v>
      </c>
      <c r="P1523" s="106">
        <f>COUNTIFS('2024数据'!$W$3:$W$152,"&gt;="&amp;DATE(2024,11,1),'2024数据'!$W$3:$W$152,"&lt;="&amp;DATE(2024,11,30),'2024数据'!$B$3:$B$152,$E1523)</f>
        <v>0</v>
      </c>
      <c r="Q1523" s="106">
        <f>COUNTIFS('2024数据'!$W$3:$W$152,"&gt;="&amp;DATE(2024,12,1),'2024数据'!$W$3:$W$152,"&lt;="&amp;DATE(2024,12,31),'2024数据'!$B$3:$B$152,$E1523)</f>
        <v>0</v>
      </c>
    </row>
    <row r="1524" ht="24" customHeight="1" spans="1:17">
      <c r="A1524" s="99" t="s">
        <v>349</v>
      </c>
      <c r="B1524" s="99" t="s">
        <v>290</v>
      </c>
      <c r="C1524" s="99" t="s">
        <v>291</v>
      </c>
      <c r="D1524" s="47" t="s">
        <v>294</v>
      </c>
      <c r="E1524" s="47" t="s">
        <v>160</v>
      </c>
      <c r="F1524" s="106">
        <f t="shared" ref="F1524:Q1524" si="1116">SUM(F1514:F1519)-SUM(F1520:F1523)</f>
        <v>0</v>
      </c>
      <c r="G1524" s="106">
        <f t="shared" si="1116"/>
        <v>0</v>
      </c>
      <c r="H1524" s="106">
        <f t="shared" si="1116"/>
        <v>0</v>
      </c>
      <c r="I1524" s="106">
        <f t="shared" si="1116"/>
        <v>0</v>
      </c>
      <c r="J1524" s="106">
        <f t="shared" si="1116"/>
        <v>0</v>
      </c>
      <c r="K1524" s="106">
        <f t="shared" si="1116"/>
        <v>0</v>
      </c>
      <c r="L1524" s="106">
        <f t="shared" si="1116"/>
        <v>0</v>
      </c>
      <c r="M1524" s="106">
        <f t="shared" si="1116"/>
        <v>0</v>
      </c>
      <c r="N1524" s="106">
        <f t="shared" si="1116"/>
        <v>0</v>
      </c>
      <c r="O1524" s="106">
        <f t="shared" si="1116"/>
        <v>0</v>
      </c>
      <c r="P1524" s="106">
        <f t="shared" si="1116"/>
        <v>0</v>
      </c>
      <c r="Q1524" s="106">
        <f t="shared" si="1116"/>
        <v>0</v>
      </c>
    </row>
    <row r="1525" ht="24" customHeight="1" spans="1:17">
      <c r="A1525" s="99" t="s">
        <v>349</v>
      </c>
      <c r="B1525" s="99" t="s">
        <v>290</v>
      </c>
      <c r="C1525" s="99" t="s">
        <v>291</v>
      </c>
      <c r="D1525" s="100" t="s">
        <v>292</v>
      </c>
      <c r="E1525" s="100" t="s">
        <v>295</v>
      </c>
      <c r="F1525" s="104">
        <f t="shared" ref="F1525:Q1525" si="1117">SUM(F1526:F1528)</f>
        <v>0</v>
      </c>
      <c r="G1525" s="104">
        <f t="shared" si="1117"/>
        <v>0</v>
      </c>
      <c r="H1525" s="104">
        <f t="shared" si="1117"/>
        <v>0</v>
      </c>
      <c r="I1525" s="104">
        <f t="shared" si="1117"/>
        <v>0</v>
      </c>
      <c r="J1525" s="104">
        <f t="shared" si="1117"/>
        <v>0</v>
      </c>
      <c r="K1525" s="104">
        <f t="shared" si="1117"/>
        <v>0</v>
      </c>
      <c r="L1525" s="104">
        <f t="shared" si="1117"/>
        <v>0</v>
      </c>
      <c r="M1525" s="104">
        <f t="shared" si="1117"/>
        <v>0</v>
      </c>
      <c r="N1525" s="104">
        <f t="shared" si="1117"/>
        <v>0</v>
      </c>
      <c r="O1525" s="104">
        <f t="shared" si="1117"/>
        <v>0</v>
      </c>
      <c r="P1525" s="104">
        <f t="shared" si="1117"/>
        <v>0</v>
      </c>
      <c r="Q1525" s="104">
        <f t="shared" si="1117"/>
        <v>0</v>
      </c>
    </row>
    <row r="1526" ht="24" customHeight="1" spans="1:17">
      <c r="A1526" s="99" t="s">
        <v>349</v>
      </c>
      <c r="B1526" s="99" t="s">
        <v>290</v>
      </c>
      <c r="C1526" s="99" t="s">
        <v>291</v>
      </c>
      <c r="D1526" s="48" t="s">
        <v>296</v>
      </c>
      <c r="E1526" s="48" t="s">
        <v>406</v>
      </c>
      <c r="F1526" s="105">
        <f>COUNTIFS('2024数据'!$W$3:$W$152,"&gt;="&amp;DATE(2023,1,1),'2024数据'!$W$3:$W$152,"&lt;="&amp;DATE(2024,1,31),'2024数据'!$AF$3:$AF$152,$E1526)</f>
        <v>0</v>
      </c>
      <c r="G1526" s="105">
        <f>COUNTIFS('2024数据'!$W$3:$W$152,"&gt;="&amp;DATE(2024,2,1),'2024数据'!$W$3:$W$152,"&lt;="&amp;DATE(2024,2,29),'2024数据'!$AF$3:$AF$152,$E1526)</f>
        <v>0</v>
      </c>
      <c r="H1526" s="105">
        <f>COUNTIFS('2024数据'!$W$3:$W$152,"&gt;="&amp;DATE(2024,3,1),'2024数据'!$W$3:$W$152,"&lt;="&amp;DATE(2024,3,31),'2024数据'!$AF$3:$AF$152,$E1526)</f>
        <v>0</v>
      </c>
      <c r="I1526" s="105">
        <f>COUNTIFS('2024数据'!$W$3:$W$152,"&gt;="&amp;DATE(2024,4,1),'2024数据'!$W$3:$W$152,"&lt;="&amp;DATE(2024,4,30),'2024数据'!$AF$3:$AF$152,$E1526)</f>
        <v>0</v>
      </c>
      <c r="J1526" s="105">
        <f>COUNTIFS('2024数据'!$W$3:$W$152,"&gt;="&amp;DATE(2024,5,1),'2024数据'!$W$3:$W$152,"&lt;="&amp;DATE(2024,5,31),'2024数据'!$AF$3:$AF$152,$E1526)</f>
        <v>0</v>
      </c>
      <c r="K1526" s="105">
        <f>COUNTIFS('2024数据'!$W$3:$W$152,"&gt;="&amp;DATE(2024,6,1),'2024数据'!$W$3:$W$152,"&lt;="&amp;DATE(2024,6,30),'2024数据'!$AF$3:$AF$152,$E1526)</f>
        <v>0</v>
      </c>
      <c r="L1526" s="105">
        <f>COUNTIFS('2024数据'!$W$3:$W$152,"&gt;="&amp;DATE(2024,7,1),'2024数据'!$W$3:$W$152,"&lt;="&amp;DATE(2024,7,31),'2024数据'!$AF$3:$AF$152,$E1526)</f>
        <v>0</v>
      </c>
      <c r="M1526" s="105">
        <f>COUNTIFS('2024数据'!$W$3:$W$152,"&gt;="&amp;DATE(2024,8,1),'2024数据'!$W$3:$W$152,"&lt;="&amp;DATE(2024,8,31),'2024数据'!$AF$3:$AF$152,$E1526)</f>
        <v>0</v>
      </c>
      <c r="N1526" s="105">
        <f>COUNTIFS('2024数据'!$W$3:$W$152,"&gt;="&amp;DATE(2024,9,1),'2024数据'!$W$3:$W$152,"&lt;="&amp;DATE(2024,9,30),'2024数据'!$AF$3:$AF$152,$E1526)</f>
        <v>0</v>
      </c>
      <c r="O1526" s="105">
        <f>COUNTIFS('2024数据'!$W$3:$W$152,"&gt;="&amp;DATE(2024,10,1),'2024数据'!$W$3:$W$152,"&lt;="&amp;DATE(2024,10,31),'2024数据'!$AF$3:$AF$152,$E1526)</f>
        <v>0</v>
      </c>
      <c r="P1526" s="105">
        <f>COUNTIFS('2024数据'!$W$3:$W$152,"&gt;="&amp;DATE(2024,11,1),'2024数据'!$W$3:$W$152,"&lt;="&amp;DATE(2024,11,30),'2024数据'!$AF$3:$AF$152,$E1526)</f>
        <v>0</v>
      </c>
      <c r="Q1526" s="105">
        <f>COUNTIFS('2024数据'!$W$3:$W$152,"&gt;="&amp;DATE(2024,12,1),'2024数据'!$W$3:$W$152,"&lt;="&amp;DATE(2024,12,31),'2024数据'!$AF$3:$AF$152,$E1526)</f>
        <v>0</v>
      </c>
    </row>
    <row r="1527" ht="24" customHeight="1" spans="1:17">
      <c r="A1527" s="99" t="s">
        <v>349</v>
      </c>
      <c r="B1527" s="99" t="s">
        <v>290</v>
      </c>
      <c r="C1527" s="99" t="s">
        <v>291</v>
      </c>
      <c r="D1527" s="48" t="s">
        <v>296</v>
      </c>
      <c r="E1527" s="48" t="s">
        <v>82</v>
      </c>
      <c r="F1527" s="105">
        <f>COUNTIFS('2024数据'!$W$3:$W$152,"&gt;="&amp;DATE(2023,1,1),'2024数据'!$W$3:$W$152,"&lt;="&amp;DATE(2024,1,31),'2024数据'!$AF$3:$AF$152,$E1527)</f>
        <v>0</v>
      </c>
      <c r="G1527" s="105">
        <f>COUNTIFS('2024数据'!$W$3:$W$152,"&gt;="&amp;DATE(2024,2,1),'2024数据'!$W$3:$W$152,"&lt;="&amp;DATE(2024,2,29),'2024数据'!$AF$3:$AF$152,$E1527)</f>
        <v>0</v>
      </c>
      <c r="H1527" s="105">
        <f>COUNTIFS('2024数据'!$W$3:$W$152,"&gt;="&amp;DATE(2024,3,1),'2024数据'!$W$3:$W$152,"&lt;="&amp;DATE(2024,3,31),'2024数据'!$AF$3:$AF$152,$E1527)</f>
        <v>0</v>
      </c>
      <c r="I1527" s="105">
        <f>COUNTIFS('2024数据'!$W$3:$W$152,"&gt;="&amp;DATE(2024,4,1),'2024数据'!$W$3:$W$152,"&lt;="&amp;DATE(2024,4,30),'2024数据'!$AF$3:$AF$152,$E1527)</f>
        <v>0</v>
      </c>
      <c r="J1527" s="105">
        <f>COUNTIFS('2024数据'!$W$3:$W$152,"&gt;="&amp;DATE(2024,5,1),'2024数据'!$W$3:$W$152,"&lt;="&amp;DATE(2024,5,31),'2024数据'!$AF$3:$AF$152,$E1527)</f>
        <v>0</v>
      </c>
      <c r="K1527" s="105">
        <f>COUNTIFS('2024数据'!$W$3:$W$152,"&gt;="&amp;DATE(2024,6,1),'2024数据'!$W$3:$W$152,"&lt;="&amp;DATE(2024,6,30),'2024数据'!$AF$3:$AF$152,$E1527)</f>
        <v>0</v>
      </c>
      <c r="L1527" s="105">
        <f>COUNTIFS('2024数据'!$W$3:$W$152,"&gt;="&amp;DATE(2024,7,1),'2024数据'!$W$3:$W$152,"&lt;="&amp;DATE(2024,7,31),'2024数据'!$AF$3:$AF$152,$E1527)</f>
        <v>0</v>
      </c>
      <c r="M1527" s="105">
        <f>COUNTIFS('2024数据'!$W$3:$W$152,"&gt;="&amp;DATE(2024,8,1),'2024数据'!$W$3:$W$152,"&lt;="&amp;DATE(2024,8,31),'2024数据'!$AF$3:$AF$152,$E1527)</f>
        <v>0</v>
      </c>
      <c r="N1527" s="105">
        <f>COUNTIFS('2024数据'!$W$3:$W$152,"&gt;="&amp;DATE(2024,9,1),'2024数据'!$W$3:$W$152,"&lt;="&amp;DATE(2024,9,30),'2024数据'!$AF$3:$AF$152,$E1527)</f>
        <v>0</v>
      </c>
      <c r="O1527" s="105">
        <f>COUNTIFS('2024数据'!$W$3:$W$152,"&gt;="&amp;DATE(2024,10,1),'2024数据'!$W$3:$W$152,"&lt;="&amp;DATE(2024,10,31),'2024数据'!$AF$3:$AF$152,$E1527)</f>
        <v>0</v>
      </c>
      <c r="P1527" s="105">
        <f>COUNTIFS('2024数据'!$W$3:$W$152,"&gt;="&amp;DATE(2024,11,1),'2024数据'!$W$3:$W$152,"&lt;="&amp;DATE(2024,11,30),'2024数据'!$AF$3:$AF$152,$E1527)</f>
        <v>0</v>
      </c>
      <c r="Q1527" s="105">
        <f>COUNTIFS('2024数据'!$W$3:$W$152,"&gt;="&amp;DATE(2024,12,1),'2024数据'!$W$3:$W$152,"&lt;="&amp;DATE(2024,12,31),'2024数据'!$AF$3:$AF$152,$E1527)</f>
        <v>0</v>
      </c>
    </row>
    <row r="1528" ht="24" customHeight="1" spans="1:17">
      <c r="A1528" s="99" t="s">
        <v>349</v>
      </c>
      <c r="B1528" s="99" t="s">
        <v>290</v>
      </c>
      <c r="C1528" s="99" t="s">
        <v>291</v>
      </c>
      <c r="D1528" s="48" t="s">
        <v>296</v>
      </c>
      <c r="E1528" s="48" t="s">
        <v>86</v>
      </c>
      <c r="F1528" s="105">
        <f>COUNTIFS('2024数据'!$W$3:$W$152,"&gt;="&amp;DATE(2023,1,1),'2024数据'!$W$3:$W$152,"&lt;="&amp;DATE(2024,1,31),'2024数据'!$AF$3:$AF$152,$E1528)</f>
        <v>0</v>
      </c>
      <c r="G1528" s="105">
        <f>COUNTIFS('2024数据'!$W$3:$W$152,"&gt;="&amp;DATE(2024,2,1),'2024数据'!$W$3:$W$152,"&lt;="&amp;DATE(2024,2,29),'2024数据'!$AF$3:$AF$152,$E1528)</f>
        <v>0</v>
      </c>
      <c r="H1528" s="105">
        <f>COUNTIFS('2024数据'!$W$3:$W$152,"&gt;="&amp;DATE(2024,3,1),'2024数据'!$W$3:$W$152,"&lt;="&amp;DATE(2024,3,31),'2024数据'!$AF$3:$AF$152,$E1528)</f>
        <v>0</v>
      </c>
      <c r="I1528" s="105">
        <f>COUNTIFS('2024数据'!$W$3:$W$152,"&gt;="&amp;DATE(2024,4,1),'2024数据'!$W$3:$W$152,"&lt;="&amp;DATE(2024,4,30),'2024数据'!$AF$3:$AF$152,$E1528)</f>
        <v>0</v>
      </c>
      <c r="J1528" s="105">
        <f>COUNTIFS('2024数据'!$W$3:$W$152,"&gt;="&amp;DATE(2024,5,1),'2024数据'!$W$3:$W$152,"&lt;="&amp;DATE(2024,5,31),'2024数据'!$AF$3:$AF$152,$E1528)</f>
        <v>0</v>
      </c>
      <c r="K1528" s="105">
        <f>COUNTIFS('2024数据'!$W$3:$W$152,"&gt;="&amp;DATE(2024,6,1),'2024数据'!$W$3:$W$152,"&lt;="&amp;DATE(2024,6,30),'2024数据'!$AF$3:$AF$152,$E1528)</f>
        <v>0</v>
      </c>
      <c r="L1528" s="105">
        <f>COUNTIFS('2024数据'!$W$3:$W$152,"&gt;="&amp;DATE(2024,7,1),'2024数据'!$W$3:$W$152,"&lt;="&amp;DATE(2024,7,31),'2024数据'!$AF$3:$AF$152,$E1528)</f>
        <v>0</v>
      </c>
      <c r="M1528" s="105">
        <f>COUNTIFS('2024数据'!$W$3:$W$152,"&gt;="&amp;DATE(2024,8,1),'2024数据'!$W$3:$W$152,"&lt;="&amp;DATE(2024,8,31),'2024数据'!$AF$3:$AF$152,$E1528)</f>
        <v>0</v>
      </c>
      <c r="N1528" s="105">
        <f>COUNTIFS('2024数据'!$W$3:$W$152,"&gt;="&amp;DATE(2024,9,1),'2024数据'!$W$3:$W$152,"&lt;="&amp;DATE(2024,9,30),'2024数据'!$AF$3:$AF$152,$E1528)</f>
        <v>0</v>
      </c>
      <c r="O1528" s="105">
        <f>COUNTIFS('2024数据'!$W$3:$W$152,"&gt;="&amp;DATE(2024,10,1),'2024数据'!$W$3:$W$152,"&lt;="&amp;DATE(2024,10,31),'2024数据'!$AF$3:$AF$152,$E1528)</f>
        <v>0</v>
      </c>
      <c r="P1528" s="105">
        <f>COUNTIFS('2024数据'!$W$3:$W$152,"&gt;="&amp;DATE(2024,11,1),'2024数据'!$W$3:$W$152,"&lt;="&amp;DATE(2024,11,30),'2024数据'!$AF$3:$AF$152,$E1528)</f>
        <v>0</v>
      </c>
      <c r="Q1528" s="105">
        <f>COUNTIFS('2024数据'!$W$3:$W$152,"&gt;="&amp;DATE(2024,12,1),'2024数据'!$W$3:$W$152,"&lt;="&amp;DATE(2024,12,31),'2024数据'!$AF$3:$AF$152,$E1528)</f>
        <v>0</v>
      </c>
    </row>
    <row r="1529" ht="24" customHeight="1" spans="1:17">
      <c r="A1529" s="99" t="s">
        <v>349</v>
      </c>
      <c r="B1529" s="99" t="s">
        <v>290</v>
      </c>
      <c r="C1529" s="99" t="s">
        <v>291</v>
      </c>
      <c r="D1529" s="100" t="s">
        <v>292</v>
      </c>
      <c r="E1529" s="100" t="s">
        <v>297</v>
      </c>
      <c r="F1529" s="104">
        <f t="shared" ref="F1529:Q1529" si="1118">SUM(F1530:F1532)</f>
        <v>3</v>
      </c>
      <c r="G1529" s="104">
        <f t="shared" si="1118"/>
        <v>0</v>
      </c>
      <c r="H1529" s="104">
        <f t="shared" si="1118"/>
        <v>0</v>
      </c>
      <c r="I1529" s="104">
        <f t="shared" si="1118"/>
        <v>0</v>
      </c>
      <c r="J1529" s="104">
        <f t="shared" si="1118"/>
        <v>0</v>
      </c>
      <c r="K1529" s="104">
        <f t="shared" si="1118"/>
        <v>0</v>
      </c>
      <c r="L1529" s="104">
        <f t="shared" si="1118"/>
        <v>2</v>
      </c>
      <c r="M1529" s="104">
        <f t="shared" si="1118"/>
        <v>0</v>
      </c>
      <c r="N1529" s="104">
        <f t="shared" si="1118"/>
        <v>0</v>
      </c>
      <c r="O1529" s="104">
        <f t="shared" si="1118"/>
        <v>0</v>
      </c>
      <c r="P1529" s="104">
        <f t="shared" si="1118"/>
        <v>0</v>
      </c>
      <c r="Q1529" s="104">
        <f t="shared" si="1118"/>
        <v>2</v>
      </c>
    </row>
    <row r="1530" ht="24" customHeight="1" spans="1:17">
      <c r="A1530" s="99" t="s">
        <v>349</v>
      </c>
      <c r="B1530" s="99" t="s">
        <v>290</v>
      </c>
      <c r="C1530" s="99" t="s">
        <v>291</v>
      </c>
      <c r="D1530" s="48" t="s">
        <v>298</v>
      </c>
      <c r="E1530" s="48" t="s">
        <v>97</v>
      </c>
      <c r="F1530" s="105">
        <f>COUNTIFS('2024数据'!$W$3:$W$152,"&gt;="&amp;DATE(2023,1,1),'2024数据'!$W$3:$W$152,"&lt;="&amp;DATE(2024,1,31),'2024数据'!$AG$3:$AG$152,$E1530)</f>
        <v>0</v>
      </c>
      <c r="G1530" s="105">
        <f>COUNTIFS('2024数据'!$W$3:$W$152,"&gt;="&amp;DATE(2024,2,1),'2024数据'!$W$3:$W$152,"&lt;="&amp;DATE(2024,2,29),'2024数据'!$AG$3:$AG$152,$E1530)</f>
        <v>0</v>
      </c>
      <c r="H1530" s="105">
        <f>COUNTIFS('2024数据'!$W$3:$W$152,"&gt;="&amp;DATE(2024,3,1),'2024数据'!$W$3:$W$152,"&lt;="&amp;DATE(2024,3,31),'2024数据'!$AG$3:$AG$152,$E1530)</f>
        <v>0</v>
      </c>
      <c r="I1530" s="105">
        <f>COUNTIFS('2024数据'!$W$3:$W$152,"&gt;="&amp;DATE(2024,4,1),'2024数据'!$W$3:$W$152,"&lt;="&amp;DATE(2024,4,30),'2024数据'!$AG$3:$AG$152,$E1530)</f>
        <v>0</v>
      </c>
      <c r="J1530" s="105">
        <f>COUNTIFS('2024数据'!$W$3:$W$152,"&gt;="&amp;DATE(2024,5,1),'2024数据'!$W$3:$W$152,"&lt;="&amp;DATE(2024,5,31),'2024数据'!$AG$3:$AG$152,$E1530)</f>
        <v>0</v>
      </c>
      <c r="K1530" s="105">
        <f>COUNTIFS('2024数据'!$W$3:$W$152,"&gt;="&amp;DATE(2024,6,1),'2024数据'!$W$3:$W$152,"&lt;="&amp;DATE(2024,6,30),'2024数据'!$AG$3:$AG$152,$E1530)</f>
        <v>0</v>
      </c>
      <c r="L1530" s="105">
        <f>COUNTIFS('2024数据'!$W$3:$W$152,"&gt;="&amp;DATE(2024,7,1),'2024数据'!$W$3:$W$152,"&lt;="&amp;DATE(2024,7,31),'2024数据'!$AG$3:$AG$152,$E1530)</f>
        <v>0</v>
      </c>
      <c r="M1530" s="105">
        <f>COUNTIFS('2024数据'!$W$3:$W$152,"&gt;="&amp;DATE(2024,8,1),'2024数据'!$W$3:$W$152,"&lt;="&amp;DATE(2024,8,31),'2024数据'!$AG$3:$AG$152,$E1530)</f>
        <v>0</v>
      </c>
      <c r="N1530" s="105">
        <f>COUNTIFS('2024数据'!$W$3:$W$152,"&gt;="&amp;DATE(2024,9,1),'2024数据'!$W$3:$W$152,"&lt;="&amp;DATE(2024,9,30),'2024数据'!$AG$3:$AG$152,$E1530)</f>
        <v>0</v>
      </c>
      <c r="O1530" s="105">
        <f>COUNTIFS('2024数据'!$W$3:$W$152,"&gt;="&amp;DATE(2024,10,1),'2024数据'!$W$3:$W$152,"&lt;="&amp;DATE(2024,10,31),'2024数据'!$AG$3:$AG$152,$E1530)</f>
        <v>0</v>
      </c>
      <c r="P1530" s="105">
        <f>COUNTIFS('2024数据'!$W$3:$W$152,"&gt;="&amp;DATE(2024,11,1),'2024数据'!$W$3:$W$152,"&lt;="&amp;DATE(2024,11,30),'2024数据'!$AG$3:$AG$152,$E1530)</f>
        <v>0</v>
      </c>
      <c r="Q1530" s="105">
        <f>COUNTIFS('2024数据'!$W$3:$W$152,"&gt;="&amp;DATE(2024,12,1),'2024数据'!$W$3:$W$152,"&lt;="&amp;DATE(2024,12,31),'2024数据'!$AG$3:$AG$152,$E1530)</f>
        <v>0</v>
      </c>
    </row>
    <row r="1531" ht="24" customHeight="1" spans="1:17">
      <c r="A1531" s="99" t="s">
        <v>349</v>
      </c>
      <c r="B1531" s="99" t="s">
        <v>290</v>
      </c>
      <c r="C1531" s="99" t="s">
        <v>291</v>
      </c>
      <c r="D1531" s="48" t="s">
        <v>298</v>
      </c>
      <c r="E1531" s="48" t="s">
        <v>87</v>
      </c>
      <c r="F1531" s="105">
        <f>COUNTIFS('2024数据'!$W$3:$W$152,"&gt;="&amp;DATE(2023,1,1),'2024数据'!$W$3:$W$152,"&lt;="&amp;DATE(2024,1,31),'2024数据'!$AG$3:$AG$152,$E1531)</f>
        <v>3</v>
      </c>
      <c r="G1531" s="105">
        <f>COUNTIFS('2024数据'!$W$3:$W$152,"&gt;="&amp;DATE(2024,2,1),'2024数据'!$W$3:$W$152,"&lt;="&amp;DATE(2024,2,29),'2024数据'!$AG$3:$AG$152,$E1531)</f>
        <v>0</v>
      </c>
      <c r="H1531" s="105">
        <f>COUNTIFS('2024数据'!$W$3:$W$152,"&gt;="&amp;DATE(2024,3,1),'2024数据'!$W$3:$W$152,"&lt;="&amp;DATE(2024,3,31),'2024数据'!$AG$3:$AG$152,$E1531)</f>
        <v>0</v>
      </c>
      <c r="I1531" s="105">
        <f>COUNTIFS('2024数据'!$W$3:$W$152,"&gt;="&amp;DATE(2024,4,1),'2024数据'!$W$3:$W$152,"&lt;="&amp;DATE(2024,4,30),'2024数据'!$AG$3:$AG$152,$E1531)</f>
        <v>0</v>
      </c>
      <c r="J1531" s="105">
        <f>COUNTIFS('2024数据'!$W$3:$W$152,"&gt;="&amp;DATE(2024,5,1),'2024数据'!$W$3:$W$152,"&lt;="&amp;DATE(2024,5,31),'2024数据'!$AG$3:$AG$152,$E1531)</f>
        <v>0</v>
      </c>
      <c r="K1531" s="105">
        <f>COUNTIFS('2024数据'!$W$3:$W$152,"&gt;="&amp;DATE(2024,6,1),'2024数据'!$W$3:$W$152,"&lt;="&amp;DATE(2024,6,30),'2024数据'!$AG$3:$AG$152,$E1531)</f>
        <v>0</v>
      </c>
      <c r="L1531" s="105">
        <f>COUNTIFS('2024数据'!$W$3:$W$152,"&gt;="&amp;DATE(2024,7,1),'2024数据'!$W$3:$W$152,"&lt;="&amp;DATE(2024,7,31),'2024数据'!$AG$3:$AG$152,$E1531)</f>
        <v>2</v>
      </c>
      <c r="M1531" s="105">
        <f>COUNTIFS('2024数据'!$W$3:$W$152,"&gt;="&amp;DATE(2024,8,1),'2024数据'!$W$3:$W$152,"&lt;="&amp;DATE(2024,8,31),'2024数据'!$AG$3:$AG$152,$E1531)</f>
        <v>0</v>
      </c>
      <c r="N1531" s="105">
        <f>COUNTIFS('2024数据'!$W$3:$W$152,"&gt;="&amp;DATE(2024,9,1),'2024数据'!$W$3:$W$152,"&lt;="&amp;DATE(2024,9,30),'2024数据'!$AG$3:$AG$152,$E1531)</f>
        <v>0</v>
      </c>
      <c r="O1531" s="105">
        <f>COUNTIFS('2024数据'!$W$3:$W$152,"&gt;="&amp;DATE(2024,10,1),'2024数据'!$W$3:$W$152,"&lt;="&amp;DATE(2024,10,31),'2024数据'!$AG$3:$AG$152,$E1531)</f>
        <v>0</v>
      </c>
      <c r="P1531" s="105">
        <f>COUNTIFS('2024数据'!$W$3:$W$152,"&gt;="&amp;DATE(2024,11,1),'2024数据'!$W$3:$W$152,"&lt;="&amp;DATE(2024,11,30),'2024数据'!$AG$3:$AG$152,$E1531)</f>
        <v>0</v>
      </c>
      <c r="Q1531" s="105">
        <f>COUNTIFS('2024数据'!$W$3:$W$152,"&gt;="&amp;DATE(2024,12,1),'2024数据'!$W$3:$W$152,"&lt;="&amp;DATE(2024,12,31),'2024数据'!$AG$3:$AG$152,$E1531)</f>
        <v>2</v>
      </c>
    </row>
    <row r="1532" ht="24" customHeight="1" spans="1:17">
      <c r="A1532" s="99" t="s">
        <v>349</v>
      </c>
      <c r="B1532" s="99" t="s">
        <v>290</v>
      </c>
      <c r="C1532" s="99" t="s">
        <v>291</v>
      </c>
      <c r="D1532" s="48" t="s">
        <v>298</v>
      </c>
      <c r="E1532" s="48" t="s">
        <v>83</v>
      </c>
      <c r="F1532" s="105">
        <f>COUNTIFS('2024数据'!$W$3:$W$152,"&gt;="&amp;DATE(2023,1,1),'2024数据'!$W$3:$W$152,"&lt;="&amp;DATE(2024,1,31),'2024数据'!$AG$3:$AG$152,$E1532)</f>
        <v>0</v>
      </c>
      <c r="G1532" s="105">
        <f>COUNTIFS('2024数据'!$W$3:$W$152,"&gt;="&amp;DATE(2024,2,1),'2024数据'!$W$3:$W$152,"&lt;="&amp;DATE(2024,2,29),'2024数据'!$AG$3:$AG$152,$E1532)</f>
        <v>0</v>
      </c>
      <c r="H1532" s="105">
        <f>COUNTIFS('2024数据'!$W$3:$W$152,"&gt;="&amp;DATE(2024,3,1),'2024数据'!$W$3:$W$152,"&lt;="&amp;DATE(2024,3,31),'2024数据'!$AG$3:$AG$152,$E1532)</f>
        <v>0</v>
      </c>
      <c r="I1532" s="105">
        <f>COUNTIFS('2024数据'!$W$3:$W$152,"&gt;="&amp;DATE(2024,4,1),'2024数据'!$W$3:$W$152,"&lt;="&amp;DATE(2024,4,30),'2024数据'!$AG$3:$AG$152,$E1532)</f>
        <v>0</v>
      </c>
      <c r="J1532" s="105">
        <f>COUNTIFS('2024数据'!$W$3:$W$152,"&gt;="&amp;DATE(2024,5,1),'2024数据'!$W$3:$W$152,"&lt;="&amp;DATE(2024,5,31),'2024数据'!$AG$3:$AG$152,$E1532)</f>
        <v>0</v>
      </c>
      <c r="K1532" s="105">
        <f>COUNTIFS('2024数据'!$W$3:$W$152,"&gt;="&amp;DATE(2024,6,1),'2024数据'!$W$3:$W$152,"&lt;="&amp;DATE(2024,6,30),'2024数据'!$AG$3:$AG$152,$E1532)</f>
        <v>0</v>
      </c>
      <c r="L1532" s="105">
        <f>COUNTIFS('2024数据'!$W$3:$W$152,"&gt;="&amp;DATE(2024,7,1),'2024数据'!$W$3:$W$152,"&lt;="&amp;DATE(2024,7,31),'2024数据'!$AG$3:$AG$152,$E1532)</f>
        <v>0</v>
      </c>
      <c r="M1532" s="105">
        <f>COUNTIFS('2024数据'!$W$3:$W$152,"&gt;="&amp;DATE(2024,8,1),'2024数据'!$W$3:$W$152,"&lt;="&amp;DATE(2024,8,31),'2024数据'!$AG$3:$AG$152,$E1532)</f>
        <v>0</v>
      </c>
      <c r="N1532" s="105">
        <f>COUNTIFS('2024数据'!$W$3:$W$152,"&gt;="&amp;DATE(2024,9,1),'2024数据'!$W$3:$W$152,"&lt;="&amp;DATE(2024,9,30),'2024数据'!$AG$3:$AG$152,$E1532)</f>
        <v>0</v>
      </c>
      <c r="O1532" s="105">
        <f>COUNTIFS('2024数据'!$W$3:$W$152,"&gt;="&amp;DATE(2024,10,1),'2024数据'!$W$3:$W$152,"&lt;="&amp;DATE(2024,10,31),'2024数据'!$AG$3:$AG$152,$E1532)</f>
        <v>0</v>
      </c>
      <c r="P1532" s="105">
        <f>COUNTIFS('2024数据'!$W$3:$W$152,"&gt;="&amp;DATE(2024,11,1),'2024数据'!$W$3:$W$152,"&lt;="&amp;DATE(2024,11,30),'2024数据'!$AG$3:$AG$152,$E1532)</f>
        <v>0</v>
      </c>
      <c r="Q1532" s="105">
        <f>COUNTIFS('2024数据'!$W$3:$W$152,"&gt;="&amp;DATE(2024,12,1),'2024数据'!$W$3:$W$152,"&lt;="&amp;DATE(2024,12,31),'2024数据'!$AG$3:$AG$152,$E1532)</f>
        <v>0</v>
      </c>
    </row>
    <row r="1533" ht="24" customHeight="1" spans="1:17">
      <c r="A1533" s="99" t="s">
        <v>349</v>
      </c>
      <c r="B1533" s="99" t="s">
        <v>299</v>
      </c>
      <c r="C1533" s="99" t="s">
        <v>291</v>
      </c>
      <c r="D1533" s="100" t="s">
        <v>292</v>
      </c>
      <c r="E1533" s="100" t="s">
        <v>300</v>
      </c>
      <c r="F1533" s="104">
        <f t="shared" ref="F1533:Q1533" si="1119">IF((SUM(F1534:F1539)-MAX(F1563,F1567))&lt;0,"ERR",SUM(F1534:F1539))</f>
        <v>2</v>
      </c>
      <c r="G1533" s="104">
        <f t="shared" si="1119"/>
        <v>0</v>
      </c>
      <c r="H1533" s="104">
        <f t="shared" si="1119"/>
        <v>0</v>
      </c>
      <c r="I1533" s="104">
        <f t="shared" si="1119"/>
        <v>0</v>
      </c>
      <c r="J1533" s="104">
        <f t="shared" si="1119"/>
        <v>1</v>
      </c>
      <c r="K1533" s="104">
        <f t="shared" si="1119"/>
        <v>0</v>
      </c>
      <c r="L1533" s="104">
        <f t="shared" si="1119"/>
        <v>2</v>
      </c>
      <c r="M1533" s="104">
        <f t="shared" si="1119"/>
        <v>0</v>
      </c>
      <c r="N1533" s="104">
        <f t="shared" si="1119"/>
        <v>0</v>
      </c>
      <c r="O1533" s="104">
        <f t="shared" si="1119"/>
        <v>0</v>
      </c>
      <c r="P1533" s="104">
        <f t="shared" si="1119"/>
        <v>0</v>
      </c>
      <c r="Q1533" s="104">
        <f t="shared" si="1119"/>
        <v>2</v>
      </c>
    </row>
    <row r="1534" ht="24" customHeight="1" spans="1:17">
      <c r="A1534" s="99" t="s">
        <v>349</v>
      </c>
      <c r="B1534" s="99" t="s">
        <v>299</v>
      </c>
      <c r="C1534" s="99" t="s">
        <v>291</v>
      </c>
      <c r="D1534" s="48" t="s">
        <v>31</v>
      </c>
      <c r="E1534" s="48" t="s">
        <v>406</v>
      </c>
      <c r="F1534" s="105">
        <f>COUNTIFS('2024数据'!$X$3:$X$152,"&gt;="&amp;DATE(2024,1,1),'2024数据'!$X$3:$X$152,"&lt;="&amp;DATE(2024,1,31),'2024数据'!$AE$3:$AE$152,$E1534)</f>
        <v>0</v>
      </c>
      <c r="G1534" s="105">
        <f>COUNTIFS('2024数据'!$X$3:$X$152,"&gt;="&amp;DATE(2024,2,1),'2024数据'!$X$3:$X$152,"&lt;="&amp;DATE(2024,2,29),'2024数据'!$AE$3:$AE$152,$E1534)</f>
        <v>0</v>
      </c>
      <c r="H1534" s="105">
        <f>COUNTIFS('2024数据'!$X$3:$X$152,"&gt;="&amp;DATE(2024,3,1),'2024数据'!$X$3:$X$152,"&lt;="&amp;DATE(2024,3,31),'2024数据'!$AE$3:$AE$152,$E1534)</f>
        <v>0</v>
      </c>
      <c r="I1534" s="105">
        <f>COUNTIFS('2024数据'!$X$3:$X$152,"&gt;="&amp;DATE(2024,4,1),'2024数据'!$X$3:$X$152,"&lt;="&amp;DATE(2024,4,30),'2024数据'!$AE$3:$AE$152,$E1534)</f>
        <v>0</v>
      </c>
      <c r="J1534" s="105">
        <f>COUNTIFS('2024数据'!$X$3:$X$152,"&gt;="&amp;DATE(2024,5,1),'2024数据'!$X$3:$X$152,"&lt;="&amp;DATE(2024,5,31),'2024数据'!$AE$3:$AE$152,$E1534)</f>
        <v>0</v>
      </c>
      <c r="K1534" s="105">
        <f>COUNTIFS('2024数据'!$X$3:$X$152,"&gt;="&amp;DATE(2024,6,1),'2024数据'!$X$3:$X$152,"&lt;="&amp;DATE(2024,6,30),'2024数据'!$AE$3:$AE$152,$E1534)</f>
        <v>0</v>
      </c>
      <c r="L1534" s="105">
        <f>COUNTIFS('2024数据'!$X$3:$X$152,"&gt;="&amp;DATE(2024,7,1),'2024数据'!$X$3:$X$152,"&lt;="&amp;DATE(2024,7,31),'2024数据'!$AE$3:$AE$152,$E1534)</f>
        <v>0</v>
      </c>
      <c r="M1534" s="105">
        <f>COUNTIFS('2024数据'!$X$3:$X$152,"&gt;="&amp;DATE(2024,8,1),'2024数据'!$X$3:$X$152,"&lt;="&amp;DATE(2024,8,31),'2024数据'!$AE$3:$AE$152,$E1534)</f>
        <v>0</v>
      </c>
      <c r="N1534" s="105">
        <f>COUNTIFS('2024数据'!$X$3:$X$152,"&gt;="&amp;DATE(2024,9,1),'2024数据'!$X$3:$X$152,"&lt;="&amp;DATE(2024,9,30),'2024数据'!$AE$3:$AE$152,$E1534)</f>
        <v>0</v>
      </c>
      <c r="O1534" s="105">
        <f>COUNTIFS('2024数据'!$X$3:$X$152,"&gt;="&amp;DATE(2024,10,1),'2024数据'!$X$3:$X$152,"&lt;="&amp;DATE(2024,10,31),'2024数据'!$AE$3:$AE$152,$E1534)</f>
        <v>0</v>
      </c>
      <c r="P1534" s="105">
        <f>COUNTIFS('2024数据'!$X$3:$X$152,"&gt;="&amp;DATE(2024,11,1),'2024数据'!$X$3:$X$152,"&lt;="&amp;DATE(2024,11,30),'2024数据'!$AE$3:$AE$152,$E1534)</f>
        <v>0</v>
      </c>
      <c r="Q1534" s="105">
        <f>COUNTIFS('2024数据'!$X$3:$X$152,"&gt;="&amp;DATE(2024,12,1),'2024数据'!$X$3:$X$152,"&lt;="&amp;DATE(2024,12,31),'2024数据'!$AE$3:$AE$152,$E1534)</f>
        <v>0</v>
      </c>
    </row>
    <row r="1535" ht="24" customHeight="1" spans="1:17">
      <c r="A1535" s="99" t="s">
        <v>349</v>
      </c>
      <c r="B1535" s="99" t="s">
        <v>299</v>
      </c>
      <c r="C1535" s="99" t="s">
        <v>291</v>
      </c>
      <c r="D1535" s="48" t="s">
        <v>31</v>
      </c>
      <c r="E1535" s="48" t="s">
        <v>82</v>
      </c>
      <c r="F1535" s="105">
        <f>COUNTIFS('2024数据'!$X$3:$X$152,"&gt;="&amp;DATE(2024,1,1),'2024数据'!$X$3:$X$152,"&lt;="&amp;DATE(2024,1,31),'2024数据'!$AE$3:$AE$152,$E1535)</f>
        <v>0</v>
      </c>
      <c r="G1535" s="105">
        <f>COUNTIFS('2024数据'!$X$3:$X$152,"&gt;="&amp;DATE(2024,2,1),'2024数据'!$X$3:$X$152,"&lt;="&amp;DATE(2024,2,29),'2024数据'!$AE$3:$AE$152,$E1535)</f>
        <v>0</v>
      </c>
      <c r="H1535" s="105">
        <f>COUNTIFS('2024数据'!$X$3:$X$152,"&gt;="&amp;DATE(2024,3,1),'2024数据'!$X$3:$X$152,"&lt;="&amp;DATE(2024,3,31),'2024数据'!$AE$3:$AE$152,$E1535)</f>
        <v>0</v>
      </c>
      <c r="I1535" s="105">
        <f>COUNTIFS('2024数据'!$X$3:$X$152,"&gt;="&amp;DATE(2024,4,1),'2024数据'!$X$3:$X$152,"&lt;="&amp;DATE(2024,4,30),'2024数据'!$AE$3:$AE$152,$E1535)</f>
        <v>0</v>
      </c>
      <c r="J1535" s="105">
        <f>COUNTIFS('2024数据'!$X$3:$X$152,"&gt;="&amp;DATE(2024,5,1),'2024数据'!$X$3:$X$152,"&lt;="&amp;DATE(2024,5,31),'2024数据'!$AE$3:$AE$152,$E1535)</f>
        <v>0</v>
      </c>
      <c r="K1535" s="105">
        <f>COUNTIFS('2024数据'!$X$3:$X$152,"&gt;="&amp;DATE(2024,6,1),'2024数据'!$X$3:$X$152,"&lt;="&amp;DATE(2024,6,30),'2024数据'!$AE$3:$AE$152,$E1535)</f>
        <v>0</v>
      </c>
      <c r="L1535" s="105">
        <f>COUNTIFS('2024数据'!$X$3:$X$152,"&gt;="&amp;DATE(2024,7,1),'2024数据'!$X$3:$X$152,"&lt;="&amp;DATE(2024,7,31),'2024数据'!$AE$3:$AE$152,$E1535)</f>
        <v>0</v>
      </c>
      <c r="M1535" s="105">
        <f>COUNTIFS('2024数据'!$X$3:$X$152,"&gt;="&amp;DATE(2024,8,1),'2024数据'!$X$3:$X$152,"&lt;="&amp;DATE(2024,8,31),'2024数据'!$AE$3:$AE$152,$E1535)</f>
        <v>0</v>
      </c>
      <c r="N1535" s="105">
        <f>COUNTIFS('2024数据'!$X$3:$X$152,"&gt;="&amp;DATE(2024,9,1),'2024数据'!$X$3:$X$152,"&lt;="&amp;DATE(2024,9,30),'2024数据'!$AE$3:$AE$152,$E1535)</f>
        <v>0</v>
      </c>
      <c r="O1535" s="105">
        <f>COUNTIFS('2024数据'!$X$3:$X$152,"&gt;="&amp;DATE(2024,10,1),'2024数据'!$X$3:$X$152,"&lt;="&amp;DATE(2024,10,31),'2024数据'!$AE$3:$AE$152,$E1535)</f>
        <v>0</v>
      </c>
      <c r="P1535" s="105">
        <f>COUNTIFS('2024数据'!$X$3:$X$152,"&gt;="&amp;DATE(2024,11,1),'2024数据'!$X$3:$X$152,"&lt;="&amp;DATE(2024,11,30),'2024数据'!$AE$3:$AE$152,$E1535)</f>
        <v>0</v>
      </c>
      <c r="Q1535" s="105">
        <f>COUNTIFS('2024数据'!$X$3:$X$152,"&gt;="&amp;DATE(2024,12,1),'2024数据'!$X$3:$X$152,"&lt;="&amp;DATE(2024,12,31),'2024数据'!$AE$3:$AE$152,$E1535)</f>
        <v>0</v>
      </c>
    </row>
    <row r="1536" ht="24" customHeight="1" spans="1:17">
      <c r="A1536" s="99" t="s">
        <v>349</v>
      </c>
      <c r="B1536" s="99" t="s">
        <v>299</v>
      </c>
      <c r="C1536" s="99" t="s">
        <v>291</v>
      </c>
      <c r="D1536" s="48" t="s">
        <v>31</v>
      </c>
      <c r="E1536" s="48" t="s">
        <v>86</v>
      </c>
      <c r="F1536" s="105">
        <f>COUNTIFS('2024数据'!$X$3:$X$152,"&gt;="&amp;DATE(2024,1,1),'2024数据'!$X$3:$X$152,"&lt;="&amp;DATE(2024,1,31),'2024数据'!$AE$3:$AE$152,$E1536)</f>
        <v>0</v>
      </c>
      <c r="G1536" s="105">
        <f>COUNTIFS('2024数据'!$X$3:$X$152,"&gt;="&amp;DATE(2024,2,1),'2024数据'!$X$3:$X$152,"&lt;="&amp;DATE(2024,2,29),'2024数据'!$AE$3:$AE$152,$E1536)</f>
        <v>0</v>
      </c>
      <c r="H1536" s="105">
        <f>COUNTIFS('2024数据'!$X$3:$X$152,"&gt;="&amp;DATE(2024,3,1),'2024数据'!$X$3:$X$152,"&lt;="&amp;DATE(2024,3,31),'2024数据'!$AE$3:$AE$152,$E1536)</f>
        <v>0</v>
      </c>
      <c r="I1536" s="105">
        <f>COUNTIFS('2024数据'!$X$3:$X$152,"&gt;="&amp;DATE(2024,4,1),'2024数据'!$X$3:$X$152,"&lt;="&amp;DATE(2024,4,30),'2024数据'!$AE$3:$AE$152,$E1536)</f>
        <v>0</v>
      </c>
      <c r="J1536" s="105">
        <f>COUNTIFS('2024数据'!$X$3:$X$152,"&gt;="&amp;DATE(2024,5,1),'2024数据'!$X$3:$X$152,"&lt;="&amp;DATE(2024,5,31),'2024数据'!$AE$3:$AE$152,$E1536)</f>
        <v>0</v>
      </c>
      <c r="K1536" s="105">
        <f>COUNTIFS('2024数据'!$X$3:$X$152,"&gt;="&amp;DATE(2024,6,1),'2024数据'!$X$3:$X$152,"&lt;="&amp;DATE(2024,6,30),'2024数据'!$AE$3:$AE$152,$E1536)</f>
        <v>0</v>
      </c>
      <c r="L1536" s="105">
        <f>COUNTIFS('2024数据'!$X$3:$X$152,"&gt;="&amp;DATE(2024,7,1),'2024数据'!$X$3:$X$152,"&lt;="&amp;DATE(2024,7,31),'2024数据'!$AE$3:$AE$152,$E1536)</f>
        <v>0</v>
      </c>
      <c r="M1536" s="105">
        <f>COUNTIFS('2024数据'!$X$3:$X$152,"&gt;="&amp;DATE(2024,8,1),'2024数据'!$X$3:$X$152,"&lt;="&amp;DATE(2024,8,31),'2024数据'!$AE$3:$AE$152,$E1536)</f>
        <v>0</v>
      </c>
      <c r="N1536" s="105">
        <f>COUNTIFS('2024数据'!$X$3:$X$152,"&gt;="&amp;DATE(2024,9,1),'2024数据'!$X$3:$X$152,"&lt;="&amp;DATE(2024,9,30),'2024数据'!$AE$3:$AE$152,$E1536)</f>
        <v>0</v>
      </c>
      <c r="O1536" s="105">
        <f>COUNTIFS('2024数据'!$X$3:$X$152,"&gt;="&amp;DATE(2024,10,1),'2024数据'!$X$3:$X$152,"&lt;="&amp;DATE(2024,10,31),'2024数据'!$AE$3:$AE$152,$E1536)</f>
        <v>0</v>
      </c>
      <c r="P1536" s="105">
        <f>COUNTIFS('2024数据'!$X$3:$X$152,"&gt;="&amp;DATE(2024,11,1),'2024数据'!$X$3:$X$152,"&lt;="&amp;DATE(2024,11,30),'2024数据'!$AE$3:$AE$152,$E1536)</f>
        <v>0</v>
      </c>
      <c r="Q1536" s="105">
        <f>COUNTIFS('2024数据'!$X$3:$X$152,"&gt;="&amp;DATE(2024,12,1),'2024数据'!$X$3:$X$152,"&lt;="&amp;DATE(2024,12,31),'2024数据'!$AE$3:$AE$152,$E1536)</f>
        <v>0</v>
      </c>
    </row>
    <row r="1537" ht="24" customHeight="1" spans="1:17">
      <c r="A1537" s="99" t="s">
        <v>349</v>
      </c>
      <c r="B1537" s="99" t="s">
        <v>299</v>
      </c>
      <c r="C1537" s="99" t="s">
        <v>291</v>
      </c>
      <c r="D1537" s="48" t="s">
        <v>31</v>
      </c>
      <c r="E1537" s="48" t="s">
        <v>97</v>
      </c>
      <c r="F1537" s="105">
        <f>COUNTIFS('2024数据'!$X$3:$X$152,"&gt;="&amp;DATE(2024,1,1),'2024数据'!$X$3:$X$152,"&lt;="&amp;DATE(2024,1,31),'2024数据'!$AE$3:$AE$152,$E1537)</f>
        <v>0</v>
      </c>
      <c r="G1537" s="105">
        <f>COUNTIFS('2024数据'!$X$3:$X$152,"&gt;="&amp;DATE(2024,2,1),'2024数据'!$X$3:$X$152,"&lt;="&amp;DATE(2024,2,29),'2024数据'!$AE$3:$AE$152,$E1537)</f>
        <v>0</v>
      </c>
      <c r="H1537" s="105">
        <f>COUNTIFS('2024数据'!$X$3:$X$152,"&gt;="&amp;DATE(2024,3,1),'2024数据'!$X$3:$X$152,"&lt;="&amp;DATE(2024,3,31),'2024数据'!$AE$3:$AE$152,$E1537)</f>
        <v>0</v>
      </c>
      <c r="I1537" s="105">
        <f>COUNTIFS('2024数据'!$X$3:$X$152,"&gt;="&amp;DATE(2024,4,1),'2024数据'!$X$3:$X$152,"&lt;="&amp;DATE(2024,4,30),'2024数据'!$AE$3:$AE$152,$E1537)</f>
        <v>0</v>
      </c>
      <c r="J1537" s="105">
        <f>COUNTIFS('2024数据'!$X$3:$X$152,"&gt;="&amp;DATE(2024,5,1),'2024数据'!$X$3:$X$152,"&lt;="&amp;DATE(2024,5,31),'2024数据'!$AE$3:$AE$152,$E1537)</f>
        <v>0</v>
      </c>
      <c r="K1537" s="105">
        <f>COUNTIFS('2024数据'!$X$3:$X$152,"&gt;="&amp;DATE(2024,6,1),'2024数据'!$X$3:$X$152,"&lt;="&amp;DATE(2024,6,30),'2024数据'!$AE$3:$AE$152,$E1537)</f>
        <v>0</v>
      </c>
      <c r="L1537" s="105">
        <f>COUNTIFS('2024数据'!$X$3:$X$152,"&gt;="&amp;DATE(2024,7,1),'2024数据'!$X$3:$X$152,"&lt;="&amp;DATE(2024,7,31),'2024数据'!$AE$3:$AE$152,$E1537)</f>
        <v>0</v>
      </c>
      <c r="M1537" s="105">
        <f>COUNTIFS('2024数据'!$X$3:$X$152,"&gt;="&amp;DATE(2024,8,1),'2024数据'!$X$3:$X$152,"&lt;="&amp;DATE(2024,8,31),'2024数据'!$AE$3:$AE$152,$E1537)</f>
        <v>0</v>
      </c>
      <c r="N1537" s="105">
        <f>COUNTIFS('2024数据'!$X$3:$X$152,"&gt;="&amp;DATE(2024,9,1),'2024数据'!$X$3:$X$152,"&lt;="&amp;DATE(2024,9,30),'2024数据'!$AE$3:$AE$152,$E1537)</f>
        <v>0</v>
      </c>
      <c r="O1537" s="105">
        <f>COUNTIFS('2024数据'!$X$3:$X$152,"&gt;="&amp;DATE(2024,10,1),'2024数据'!$X$3:$X$152,"&lt;="&amp;DATE(2024,10,31),'2024数据'!$AE$3:$AE$152,$E1537)</f>
        <v>0</v>
      </c>
      <c r="P1537" s="105">
        <f>COUNTIFS('2024数据'!$X$3:$X$152,"&gt;="&amp;DATE(2024,11,1),'2024数据'!$X$3:$X$152,"&lt;="&amp;DATE(2024,11,30),'2024数据'!$AE$3:$AE$152,$E1537)</f>
        <v>0</v>
      </c>
      <c r="Q1537" s="105">
        <f>COUNTIFS('2024数据'!$X$3:$X$152,"&gt;="&amp;DATE(2024,12,1),'2024数据'!$X$3:$X$152,"&lt;="&amp;DATE(2024,12,31),'2024数据'!$AE$3:$AE$152,$E1537)</f>
        <v>0</v>
      </c>
    </row>
    <row r="1538" ht="24" customHeight="1" spans="1:17">
      <c r="A1538" s="99" t="s">
        <v>349</v>
      </c>
      <c r="B1538" s="99" t="s">
        <v>299</v>
      </c>
      <c r="C1538" s="99" t="s">
        <v>291</v>
      </c>
      <c r="D1538" s="48" t="s">
        <v>31</v>
      </c>
      <c r="E1538" s="48" t="s">
        <v>87</v>
      </c>
      <c r="F1538" s="105">
        <f>COUNTIFS('2024数据'!$X$3:$X$152,"&gt;="&amp;DATE(2024,1,1),'2024数据'!$X$3:$X$152,"&lt;="&amp;DATE(2024,1,31),'2024数据'!$AE$3:$AE$152,$E1538)</f>
        <v>2</v>
      </c>
      <c r="G1538" s="105">
        <f>COUNTIFS('2024数据'!$X$3:$X$152,"&gt;="&amp;DATE(2024,2,1),'2024数据'!$X$3:$X$152,"&lt;="&amp;DATE(2024,2,29),'2024数据'!$AE$3:$AE$152,$E1538)</f>
        <v>0</v>
      </c>
      <c r="H1538" s="105">
        <f>COUNTIFS('2024数据'!$X$3:$X$152,"&gt;="&amp;DATE(2024,3,1),'2024数据'!$X$3:$X$152,"&lt;="&amp;DATE(2024,3,31),'2024数据'!$AE$3:$AE$152,$E1538)</f>
        <v>0</v>
      </c>
      <c r="I1538" s="105">
        <f>COUNTIFS('2024数据'!$X$3:$X$152,"&gt;="&amp;DATE(2024,4,1),'2024数据'!$X$3:$X$152,"&lt;="&amp;DATE(2024,4,30),'2024数据'!$AE$3:$AE$152,$E1538)</f>
        <v>0</v>
      </c>
      <c r="J1538" s="105">
        <f>COUNTIFS('2024数据'!$X$3:$X$152,"&gt;="&amp;DATE(2024,5,1),'2024数据'!$X$3:$X$152,"&lt;="&amp;DATE(2024,5,31),'2024数据'!$AE$3:$AE$152,$E1538)</f>
        <v>1</v>
      </c>
      <c r="K1538" s="105">
        <f>COUNTIFS('2024数据'!$X$3:$X$152,"&gt;="&amp;DATE(2024,6,1),'2024数据'!$X$3:$X$152,"&lt;="&amp;DATE(2024,6,30),'2024数据'!$AE$3:$AE$152,$E1538)</f>
        <v>0</v>
      </c>
      <c r="L1538" s="105">
        <f>COUNTIFS('2024数据'!$X$3:$X$152,"&gt;="&amp;DATE(2024,7,1),'2024数据'!$X$3:$X$152,"&lt;="&amp;DATE(2024,7,31),'2024数据'!$AE$3:$AE$152,$E1538)</f>
        <v>2</v>
      </c>
      <c r="M1538" s="105">
        <f>COUNTIFS('2024数据'!$X$3:$X$152,"&gt;="&amp;DATE(2024,8,1),'2024数据'!$X$3:$X$152,"&lt;="&amp;DATE(2024,8,31),'2024数据'!$AE$3:$AE$152,$E1538)</f>
        <v>0</v>
      </c>
      <c r="N1538" s="105">
        <f>COUNTIFS('2024数据'!$X$3:$X$152,"&gt;="&amp;DATE(2024,9,1),'2024数据'!$X$3:$X$152,"&lt;="&amp;DATE(2024,9,30),'2024数据'!$AE$3:$AE$152,$E1538)</f>
        <v>0</v>
      </c>
      <c r="O1538" s="105">
        <f>COUNTIFS('2024数据'!$X$3:$X$152,"&gt;="&amp;DATE(2024,10,1),'2024数据'!$X$3:$X$152,"&lt;="&amp;DATE(2024,10,31),'2024数据'!$AE$3:$AE$152,$E1538)</f>
        <v>0</v>
      </c>
      <c r="P1538" s="105">
        <f>COUNTIFS('2024数据'!$X$3:$X$152,"&gt;="&amp;DATE(2024,11,1),'2024数据'!$X$3:$X$152,"&lt;="&amp;DATE(2024,11,30),'2024数据'!$AE$3:$AE$152,$E1538)</f>
        <v>0</v>
      </c>
      <c r="Q1538" s="105">
        <f>COUNTIFS('2024数据'!$X$3:$X$152,"&gt;="&amp;DATE(2024,12,1),'2024数据'!$X$3:$X$152,"&lt;="&amp;DATE(2024,12,31),'2024数据'!$AE$3:$AE$152,$E1538)</f>
        <v>2</v>
      </c>
    </row>
    <row r="1539" ht="24" customHeight="1" spans="1:17">
      <c r="A1539" s="99" t="s">
        <v>349</v>
      </c>
      <c r="B1539" s="99" t="s">
        <v>299</v>
      </c>
      <c r="C1539" s="99" t="s">
        <v>291</v>
      </c>
      <c r="D1539" s="48" t="s">
        <v>31</v>
      </c>
      <c r="E1539" s="48" t="s">
        <v>83</v>
      </c>
      <c r="F1539" s="105">
        <f>COUNTIFS('2024数据'!$X$3:$X$152,"&gt;="&amp;DATE(2024,1,1),'2024数据'!$X$3:$X$152,"&lt;="&amp;DATE(2024,1,31),'2024数据'!$AE$3:$AE$152,$E1539)</f>
        <v>0</v>
      </c>
      <c r="G1539" s="105">
        <f>COUNTIFS('2024数据'!$X$3:$X$152,"&gt;="&amp;DATE(2024,2,1),'2024数据'!$X$3:$X$152,"&lt;="&amp;DATE(2024,2,29),'2024数据'!$AE$3:$AE$152,$E1539)</f>
        <v>0</v>
      </c>
      <c r="H1539" s="105">
        <f>COUNTIFS('2024数据'!$X$3:$X$152,"&gt;="&amp;DATE(2024,3,1),'2024数据'!$X$3:$X$152,"&lt;="&amp;DATE(2024,3,31),'2024数据'!$AE$3:$AE$152,$E1539)</f>
        <v>0</v>
      </c>
      <c r="I1539" s="105">
        <f>COUNTIFS('2024数据'!$X$3:$X$152,"&gt;="&amp;DATE(2024,4,1),'2024数据'!$X$3:$X$152,"&lt;="&amp;DATE(2024,4,30),'2024数据'!$AE$3:$AE$152,$E1539)</f>
        <v>0</v>
      </c>
      <c r="J1539" s="105">
        <f>COUNTIFS('2024数据'!$X$3:$X$152,"&gt;="&amp;DATE(2024,5,1),'2024数据'!$X$3:$X$152,"&lt;="&amp;DATE(2024,5,31),'2024数据'!$AE$3:$AE$152,$E1539)</f>
        <v>0</v>
      </c>
      <c r="K1539" s="105">
        <f>COUNTIFS('2024数据'!$X$3:$X$152,"&gt;="&amp;DATE(2024,6,1),'2024数据'!$X$3:$X$152,"&lt;="&amp;DATE(2024,6,30),'2024数据'!$AE$3:$AE$152,$E1539)</f>
        <v>0</v>
      </c>
      <c r="L1539" s="105">
        <f>COUNTIFS('2024数据'!$X$3:$X$152,"&gt;="&amp;DATE(2024,7,1),'2024数据'!$X$3:$X$152,"&lt;="&amp;DATE(2024,7,31),'2024数据'!$AE$3:$AE$152,$E1539)</f>
        <v>0</v>
      </c>
      <c r="M1539" s="105">
        <f>COUNTIFS('2024数据'!$X$3:$X$152,"&gt;="&amp;DATE(2024,8,1),'2024数据'!$X$3:$X$152,"&lt;="&amp;DATE(2024,8,31),'2024数据'!$AE$3:$AE$152,$E1539)</f>
        <v>0</v>
      </c>
      <c r="N1539" s="105">
        <f>COUNTIFS('2024数据'!$X$3:$X$152,"&gt;="&amp;DATE(2024,9,1),'2024数据'!$X$3:$X$152,"&lt;="&amp;DATE(2024,9,30),'2024数据'!$AE$3:$AE$152,$E1539)</f>
        <v>0</v>
      </c>
      <c r="O1539" s="105">
        <f>COUNTIFS('2024数据'!$X$3:$X$152,"&gt;="&amp;DATE(2024,10,1),'2024数据'!$X$3:$X$152,"&lt;="&amp;DATE(2024,10,31),'2024数据'!$AE$3:$AE$152,$E1539)</f>
        <v>0</v>
      </c>
      <c r="P1539" s="105">
        <f>COUNTIFS('2024数据'!$X$3:$X$152,"&gt;="&amp;DATE(2024,11,1),'2024数据'!$X$3:$X$152,"&lt;="&amp;DATE(2024,11,30),'2024数据'!$AE$3:$AE$152,$E1539)</f>
        <v>0</v>
      </c>
      <c r="Q1539" s="105">
        <f>COUNTIFS('2024数据'!$X$3:$X$152,"&gt;="&amp;DATE(2024,12,1),'2024数据'!$X$3:$X$152,"&lt;="&amp;DATE(2024,12,31),'2024数据'!$AE$3:$AE$152,$E1539)</f>
        <v>0</v>
      </c>
    </row>
    <row r="1540" ht="24" customHeight="1" spans="1:17">
      <c r="A1540" s="99" t="s">
        <v>349</v>
      </c>
      <c r="B1540" s="99" t="s">
        <v>299</v>
      </c>
      <c r="C1540" s="99" t="s">
        <v>291</v>
      </c>
      <c r="D1540" s="47" t="s">
        <v>294</v>
      </c>
      <c r="E1540" s="47" t="s">
        <v>93</v>
      </c>
      <c r="F1540" s="106">
        <f>COUNTIFS('2024数据'!$X$3:$X$152,"&gt;="&amp;DATE(2024,1,1),'2024数据'!$X$3:$X$152,"&lt;="&amp;DATE(2024,1,31),'2024数据'!$B$3:$B$152,$E1540)</f>
        <v>2</v>
      </c>
      <c r="G1540" s="106">
        <f>COUNTIFS('2024数据'!$X$3:$X$152,"&gt;="&amp;DATE(2024,2,1),'2024数据'!$X$3:$X$152,"&lt;="&amp;DATE(2024,2,29),'2024数据'!$B$3:$B$152,$E1540)</f>
        <v>0</v>
      </c>
      <c r="H1540" s="106">
        <f>COUNTIFS('2024数据'!$X$3:$X$152,"&gt;="&amp;DATE(2024,3,1),'2024数据'!$X$3:$X$152,"&lt;="&amp;DATE(2024,3,31),'2024数据'!$B$3:$B$152,$E1540)</f>
        <v>0</v>
      </c>
      <c r="I1540" s="106">
        <f>COUNTIFS('2024数据'!$X$3:$X$152,"&gt;="&amp;DATE(2024,4,1),'2024数据'!$X$3:$X$152,"&lt;="&amp;DATE(2024,4,30),'2024数据'!$B$3:$B$152,$E1540)</f>
        <v>0</v>
      </c>
      <c r="J1540" s="106">
        <f>COUNTIFS('2024数据'!$X$3:$X$152,"&gt;="&amp;DATE(2024,5,1),'2024数据'!$X$3:$X$152,"&lt;="&amp;DATE(2024,5,31),'2024数据'!$B$3:$B$152,$E1540)</f>
        <v>1</v>
      </c>
      <c r="K1540" s="106">
        <f>COUNTIFS('2024数据'!$X$3:$X$152,"&gt;="&amp;DATE(2024,6,1),'2024数据'!$X$3:$X$152,"&lt;="&amp;DATE(2024,6,30),'2024数据'!$B$3:$B$152,$E1540)</f>
        <v>0</v>
      </c>
      <c r="L1540" s="106">
        <f>COUNTIFS('2024数据'!$X$3:$X$152,"&gt;="&amp;DATE(2024,7,1),'2024数据'!$X$3:$X$152,"&lt;="&amp;DATE(2024,7,31),'2024数据'!$B$3:$B$152,$E1540)</f>
        <v>0</v>
      </c>
      <c r="M1540" s="106">
        <f>COUNTIFS('2024数据'!$X$3:$X$152,"&gt;="&amp;DATE(2024,8,1),'2024数据'!$X$3:$X$152,"&lt;="&amp;DATE(2024,8,31),'2024数据'!$B$3:$B$152,$E1540)</f>
        <v>0</v>
      </c>
      <c r="N1540" s="106">
        <f>COUNTIFS('2024数据'!$X$3:$X$152,"&gt;="&amp;DATE(2024,9,1),'2024数据'!$X$3:$X$152,"&lt;="&amp;DATE(2024,9,30),'2024数据'!$B$3:$B$152,$E1540)</f>
        <v>0</v>
      </c>
      <c r="O1540" s="106">
        <f>COUNTIFS('2024数据'!$X$3:$X$152,"&gt;="&amp;DATE(2024,10,1),'2024数据'!$X$3:$X$152,"&lt;="&amp;DATE(2024,10,31),'2024数据'!$B$3:$B$152,$E1540)</f>
        <v>0</v>
      </c>
      <c r="P1540" s="106">
        <f>COUNTIFS('2024数据'!$X$3:$X$152,"&gt;="&amp;DATE(2024,11,1),'2024数据'!$X$3:$X$152,"&lt;="&amp;DATE(2024,11,30),'2024数据'!$B$3:$B$152,$E1540)</f>
        <v>0</v>
      </c>
      <c r="Q1540" s="106">
        <f>COUNTIFS('2024数据'!$X$3:$X$152,"&gt;="&amp;DATE(2024,12,1),'2024数据'!$X$3:$X$152,"&lt;="&amp;DATE(2024,12,31),'2024数据'!$B$3:$B$152,$E1540)</f>
        <v>0</v>
      </c>
    </row>
    <row r="1541" ht="24" customHeight="1" spans="1:17">
      <c r="A1541" s="99" t="s">
        <v>349</v>
      </c>
      <c r="B1541" s="99" t="s">
        <v>299</v>
      </c>
      <c r="C1541" s="99" t="s">
        <v>291</v>
      </c>
      <c r="D1541" s="47" t="s">
        <v>294</v>
      </c>
      <c r="E1541" s="47" t="s">
        <v>85</v>
      </c>
      <c r="F1541" s="106">
        <f>COUNTIFS('2024数据'!$X$3:$X$152,"&gt;="&amp;DATE(2024,1,1),'2024数据'!$X$3:$X$152,"&lt;="&amp;DATE(2024,1,31),'2024数据'!$B$3:$B$152,$E1541)</f>
        <v>0</v>
      </c>
      <c r="G1541" s="106">
        <f>COUNTIFS('2024数据'!$X$3:$X$152,"&gt;="&amp;DATE(2024,2,1),'2024数据'!$X$3:$X$152,"&lt;="&amp;DATE(2024,2,29),'2024数据'!$B$3:$B$152,$E1541)</f>
        <v>0</v>
      </c>
      <c r="H1541" s="106">
        <f>COUNTIFS('2024数据'!$X$3:$X$152,"&gt;="&amp;DATE(2024,3,1),'2024数据'!$X$3:$X$152,"&lt;="&amp;DATE(2024,3,31),'2024数据'!$B$3:$B$152,$E1541)</f>
        <v>0</v>
      </c>
      <c r="I1541" s="106">
        <f>COUNTIFS('2024数据'!$X$3:$X$152,"&gt;="&amp;DATE(2024,4,1),'2024数据'!$X$3:$X$152,"&lt;="&amp;DATE(2024,4,30),'2024数据'!$B$3:$B$152,$E1541)</f>
        <v>0</v>
      </c>
      <c r="J1541" s="106">
        <f>COUNTIFS('2024数据'!$X$3:$X$152,"&gt;="&amp;DATE(2024,5,1),'2024数据'!$X$3:$X$152,"&lt;="&amp;DATE(2024,5,31),'2024数据'!$B$3:$B$152,$E1541)</f>
        <v>0</v>
      </c>
      <c r="K1541" s="106">
        <f>COUNTIFS('2024数据'!$X$3:$X$152,"&gt;="&amp;DATE(2024,6,1),'2024数据'!$X$3:$X$152,"&lt;="&amp;DATE(2024,6,30),'2024数据'!$B$3:$B$152,$E1541)</f>
        <v>0</v>
      </c>
      <c r="L1541" s="106">
        <f>COUNTIFS('2024数据'!$X$3:$X$152,"&gt;="&amp;DATE(2024,7,1),'2024数据'!$X$3:$X$152,"&lt;="&amp;DATE(2024,7,31),'2024数据'!$B$3:$B$152,$E1541)</f>
        <v>0</v>
      </c>
      <c r="M1541" s="106">
        <f>COUNTIFS('2024数据'!$X$3:$X$152,"&gt;="&amp;DATE(2024,8,1),'2024数据'!$X$3:$X$152,"&lt;="&amp;DATE(2024,8,31),'2024数据'!$B$3:$B$152,$E1541)</f>
        <v>0</v>
      </c>
      <c r="N1541" s="106">
        <f>COUNTIFS('2024数据'!$X$3:$X$152,"&gt;="&amp;DATE(2024,9,1),'2024数据'!$X$3:$X$152,"&lt;="&amp;DATE(2024,9,30),'2024数据'!$B$3:$B$152,$E1541)</f>
        <v>0</v>
      </c>
      <c r="O1541" s="106">
        <f>COUNTIFS('2024数据'!$X$3:$X$152,"&gt;="&amp;DATE(2024,10,1),'2024数据'!$X$3:$X$152,"&lt;="&amp;DATE(2024,10,31),'2024数据'!$B$3:$B$152,$E1541)</f>
        <v>0</v>
      </c>
      <c r="P1541" s="106">
        <f>COUNTIFS('2024数据'!$X$3:$X$152,"&gt;="&amp;DATE(2024,11,1),'2024数据'!$X$3:$X$152,"&lt;="&amp;DATE(2024,11,30),'2024数据'!$B$3:$B$152,$E1541)</f>
        <v>0</v>
      </c>
      <c r="Q1541" s="106">
        <f>COUNTIFS('2024数据'!$X$3:$X$152,"&gt;="&amp;DATE(2024,12,1),'2024数据'!$X$3:$X$152,"&lt;="&amp;DATE(2024,12,31),'2024数据'!$B$3:$B$152,$E1541)</f>
        <v>0</v>
      </c>
    </row>
    <row r="1542" ht="24" customHeight="1" spans="1:17">
      <c r="A1542" s="99" t="s">
        <v>349</v>
      </c>
      <c r="B1542" s="99" t="s">
        <v>299</v>
      </c>
      <c r="C1542" s="99" t="s">
        <v>291</v>
      </c>
      <c r="D1542" s="47" t="s">
        <v>294</v>
      </c>
      <c r="E1542" s="47" t="s">
        <v>81</v>
      </c>
      <c r="F1542" s="106">
        <f>COUNTIFS('2024数据'!$X$3:$X$152,"&gt;="&amp;DATE(2024,1,1),'2024数据'!$X$3:$X$152,"&lt;="&amp;DATE(2024,1,31),'2024数据'!$B$3:$B$152,$E1542)</f>
        <v>0</v>
      </c>
      <c r="G1542" s="106">
        <f>COUNTIFS('2024数据'!$X$3:$X$152,"&gt;="&amp;DATE(2024,2,1),'2024数据'!$X$3:$X$152,"&lt;="&amp;DATE(2024,2,29),'2024数据'!$B$3:$B$152,$E1542)</f>
        <v>0</v>
      </c>
      <c r="H1542" s="106">
        <f>COUNTIFS('2024数据'!$X$3:$X$152,"&gt;="&amp;DATE(2024,3,1),'2024数据'!$X$3:$X$152,"&lt;="&amp;DATE(2024,3,31),'2024数据'!$B$3:$B$152,$E1542)</f>
        <v>0</v>
      </c>
      <c r="I1542" s="106">
        <f>COUNTIFS('2024数据'!$X$3:$X$152,"&gt;="&amp;DATE(2024,4,1),'2024数据'!$X$3:$X$152,"&lt;="&amp;DATE(2024,4,30),'2024数据'!$B$3:$B$152,$E1542)</f>
        <v>0</v>
      </c>
      <c r="J1542" s="106">
        <f>COUNTIFS('2024数据'!$X$3:$X$152,"&gt;="&amp;DATE(2024,5,1),'2024数据'!$X$3:$X$152,"&lt;="&amp;DATE(2024,5,31),'2024数据'!$B$3:$B$152,$E1542)</f>
        <v>0</v>
      </c>
      <c r="K1542" s="106">
        <f>COUNTIFS('2024数据'!$X$3:$X$152,"&gt;="&amp;DATE(2024,6,1),'2024数据'!$X$3:$X$152,"&lt;="&amp;DATE(2024,6,30),'2024数据'!$B$3:$B$152,$E1542)</f>
        <v>0</v>
      </c>
      <c r="L1542" s="106">
        <f>COUNTIFS('2024数据'!$X$3:$X$152,"&gt;="&amp;DATE(2024,7,1),'2024数据'!$X$3:$X$152,"&lt;="&amp;DATE(2024,7,31),'2024数据'!$B$3:$B$152,$E1542)</f>
        <v>2</v>
      </c>
      <c r="M1542" s="106">
        <f>COUNTIFS('2024数据'!$X$3:$X$152,"&gt;="&amp;DATE(2024,8,1),'2024数据'!$X$3:$X$152,"&lt;="&amp;DATE(2024,8,31),'2024数据'!$B$3:$B$152,$E1542)</f>
        <v>0</v>
      </c>
      <c r="N1542" s="106">
        <f>COUNTIFS('2024数据'!$X$3:$X$152,"&gt;="&amp;DATE(2024,9,1),'2024数据'!$X$3:$X$152,"&lt;="&amp;DATE(2024,9,30),'2024数据'!$B$3:$B$152,$E1542)</f>
        <v>0</v>
      </c>
      <c r="O1542" s="106">
        <f>COUNTIFS('2024数据'!$X$3:$X$152,"&gt;="&amp;DATE(2024,10,1),'2024数据'!$X$3:$X$152,"&lt;="&amp;DATE(2024,10,31),'2024数据'!$B$3:$B$152,$E1542)</f>
        <v>0</v>
      </c>
      <c r="P1542" s="106">
        <f>COUNTIFS('2024数据'!$X$3:$X$152,"&gt;="&amp;DATE(2024,11,1),'2024数据'!$X$3:$X$152,"&lt;="&amp;DATE(2024,11,30),'2024数据'!$B$3:$B$152,$E1542)</f>
        <v>0</v>
      </c>
      <c r="Q1542" s="106">
        <f>COUNTIFS('2024数据'!$X$3:$X$152,"&gt;="&amp;DATE(2024,12,1),'2024数据'!$X$3:$X$152,"&lt;="&amp;DATE(2024,12,31),'2024数据'!$B$3:$B$152,$E1542)</f>
        <v>2</v>
      </c>
    </row>
    <row r="1543" ht="24" customHeight="1" spans="1:17">
      <c r="A1543" s="99" t="s">
        <v>349</v>
      </c>
      <c r="B1543" s="99" t="s">
        <v>299</v>
      </c>
      <c r="C1543" s="99" t="s">
        <v>291</v>
      </c>
      <c r="D1543" s="47" t="s">
        <v>294</v>
      </c>
      <c r="E1543" s="47" t="s">
        <v>96</v>
      </c>
      <c r="F1543" s="106">
        <f>COUNTIFS('2024数据'!$X$3:$X$152,"&gt;="&amp;DATE(2024,1,1),'2024数据'!$X$3:$X$152,"&lt;="&amp;DATE(2024,1,31),'2024数据'!$B$3:$B$152,$E1543)</f>
        <v>0</v>
      </c>
      <c r="G1543" s="106">
        <f>COUNTIFS('2024数据'!$X$3:$X$152,"&gt;="&amp;DATE(2024,2,1),'2024数据'!$X$3:$X$152,"&lt;="&amp;DATE(2024,2,29),'2024数据'!$B$3:$B$152,$E1543)</f>
        <v>0</v>
      </c>
      <c r="H1543" s="106">
        <f>COUNTIFS('2024数据'!$X$3:$X$152,"&gt;="&amp;DATE(2024,3,1),'2024数据'!$X$3:$X$152,"&lt;="&amp;DATE(2024,3,31),'2024数据'!$B$3:$B$152,$E1543)</f>
        <v>0</v>
      </c>
      <c r="I1543" s="106">
        <f>COUNTIFS('2024数据'!$X$3:$X$152,"&gt;="&amp;DATE(2024,4,1),'2024数据'!$X$3:$X$152,"&lt;="&amp;DATE(2024,4,30),'2024数据'!$B$3:$B$152,$E1543)</f>
        <v>0</v>
      </c>
      <c r="J1543" s="106">
        <f>COUNTIFS('2024数据'!$X$3:$X$152,"&gt;="&amp;DATE(2024,5,1),'2024数据'!$X$3:$X$152,"&lt;="&amp;DATE(2024,5,31),'2024数据'!$B$3:$B$152,$E1543)</f>
        <v>0</v>
      </c>
      <c r="K1543" s="106">
        <f>COUNTIFS('2024数据'!$X$3:$X$152,"&gt;="&amp;DATE(2024,6,1),'2024数据'!$X$3:$X$152,"&lt;="&amp;DATE(2024,6,30),'2024数据'!$B$3:$B$152,$E1543)</f>
        <v>0</v>
      </c>
      <c r="L1543" s="106">
        <f>COUNTIFS('2024数据'!$X$3:$X$152,"&gt;="&amp;DATE(2024,7,1),'2024数据'!$X$3:$X$152,"&lt;="&amp;DATE(2024,7,31),'2024数据'!$B$3:$B$152,$E1543)</f>
        <v>0</v>
      </c>
      <c r="M1543" s="106">
        <f>COUNTIFS('2024数据'!$X$3:$X$152,"&gt;="&amp;DATE(2024,8,1),'2024数据'!$X$3:$X$152,"&lt;="&amp;DATE(2024,8,31),'2024数据'!$B$3:$B$152,$E1543)</f>
        <v>0</v>
      </c>
      <c r="N1543" s="106">
        <f>COUNTIFS('2024数据'!$X$3:$X$152,"&gt;="&amp;DATE(2024,9,1),'2024数据'!$X$3:$X$152,"&lt;="&amp;DATE(2024,9,30),'2024数据'!$B$3:$B$152,$E1543)</f>
        <v>0</v>
      </c>
      <c r="O1543" s="106">
        <f>COUNTIFS('2024数据'!$X$3:$X$152,"&gt;="&amp;DATE(2024,10,1),'2024数据'!$X$3:$X$152,"&lt;="&amp;DATE(2024,10,31),'2024数据'!$B$3:$B$152,$E1543)</f>
        <v>0</v>
      </c>
      <c r="P1543" s="106">
        <f>COUNTIFS('2024数据'!$X$3:$X$152,"&gt;="&amp;DATE(2024,11,1),'2024数据'!$X$3:$X$152,"&lt;="&amp;DATE(2024,11,30),'2024数据'!$B$3:$B$152,$E1543)</f>
        <v>0</v>
      </c>
      <c r="Q1543" s="106">
        <f>COUNTIFS('2024数据'!$X$3:$X$152,"&gt;="&amp;DATE(2024,12,1),'2024数据'!$X$3:$X$152,"&lt;="&amp;DATE(2024,12,31),'2024数据'!$B$3:$B$152,$E1543)</f>
        <v>0</v>
      </c>
    </row>
    <row r="1544" ht="24" customHeight="1" spans="1:17">
      <c r="A1544" s="99" t="s">
        <v>349</v>
      </c>
      <c r="B1544" s="99" t="s">
        <v>299</v>
      </c>
      <c r="C1544" s="99" t="s">
        <v>291</v>
      </c>
      <c r="D1544" s="47" t="s">
        <v>294</v>
      </c>
      <c r="E1544" s="47" t="s">
        <v>160</v>
      </c>
      <c r="F1544" s="106">
        <f t="shared" ref="F1544:Q1544" si="1120">SUM(F1534:F1539)-SUM(F1540:F1543)</f>
        <v>0</v>
      </c>
      <c r="G1544" s="106">
        <f t="shared" si="1120"/>
        <v>0</v>
      </c>
      <c r="H1544" s="106">
        <f t="shared" si="1120"/>
        <v>0</v>
      </c>
      <c r="I1544" s="106">
        <f t="shared" si="1120"/>
        <v>0</v>
      </c>
      <c r="J1544" s="106">
        <f t="shared" si="1120"/>
        <v>0</v>
      </c>
      <c r="K1544" s="106">
        <f t="shared" si="1120"/>
        <v>0</v>
      </c>
      <c r="L1544" s="106">
        <f t="shared" si="1120"/>
        <v>0</v>
      </c>
      <c r="M1544" s="106">
        <f t="shared" si="1120"/>
        <v>0</v>
      </c>
      <c r="N1544" s="106">
        <f t="shared" si="1120"/>
        <v>0</v>
      </c>
      <c r="O1544" s="106">
        <f t="shared" si="1120"/>
        <v>0</v>
      </c>
      <c r="P1544" s="106">
        <f t="shared" si="1120"/>
        <v>0</v>
      </c>
      <c r="Q1544" s="106">
        <f t="shared" si="1120"/>
        <v>0</v>
      </c>
    </row>
    <row r="1545" ht="24" customHeight="1" spans="1:17">
      <c r="A1545" s="99" t="s">
        <v>349</v>
      </c>
      <c r="B1545" s="99" t="s">
        <v>299</v>
      </c>
      <c r="C1545" s="99" t="s">
        <v>291</v>
      </c>
      <c r="D1545" s="100" t="s">
        <v>292</v>
      </c>
      <c r="E1545" s="110" t="s">
        <v>301</v>
      </c>
      <c r="F1545" s="111">
        <f>COUNTIFS('2024数据'!$X$3:$X$152,"&gt;="&amp;DATE(2024,1,1),'2024数据'!$X$3:$X$152,"&lt;="&amp;DATE(2024,1,31),'2024数据'!$BS$3:$BS$152,$E1545)</f>
        <v>1</v>
      </c>
      <c r="G1545" s="111">
        <f>COUNTIFS('2024数据'!$X$3:$X$152,"&gt;="&amp;DATE(2024,2,1),'2024数据'!$X$3:$X$152,"&lt;="&amp;DATE(2024,2,29),'2024数据'!$BS$3:$BS$152,$E1545)</f>
        <v>0</v>
      </c>
      <c r="H1545" s="111">
        <f>COUNTIFS('2024数据'!$X$3:$X$152,"&gt;="&amp;DATE(2024,3,1),'2024数据'!$X$3:$X$152,"&lt;="&amp;DATE(2024,3,31),'2024数据'!$BS$3:$BS$152,$E1545)</f>
        <v>0</v>
      </c>
      <c r="I1545" s="111">
        <f>COUNTIFS('2024数据'!$X$3:$X$152,"&gt;="&amp;DATE(2024,4,1),'2024数据'!$X$3:$X$152,"&lt;="&amp;DATE(2024,4,30),'2024数据'!$BS$3:$BS$152,$E1545)</f>
        <v>0</v>
      </c>
      <c r="J1545" s="111">
        <f>COUNTIFS('2024数据'!$X$3:$X$152,"&gt;="&amp;DATE(2024,5,1),'2024数据'!$X$3:$X$152,"&lt;="&amp;DATE(2024,5,31),'2024数据'!$BS$3:$BS$152,$E1545)</f>
        <v>0</v>
      </c>
      <c r="K1545" s="111">
        <f>COUNTIFS('2024数据'!$X$3:$X$152,"&gt;="&amp;DATE(2024,6,1),'2024数据'!$X$3:$X$152,"&lt;="&amp;DATE(2024,6,30),'2024数据'!$BS$3:$BS$152,$E1545)</f>
        <v>0</v>
      </c>
      <c r="L1545" s="111">
        <f>COUNTIFS('2024数据'!$X$3:$X$152,"&gt;="&amp;DATE(2024,7,1),'2024数据'!$X$3:$X$152,"&lt;="&amp;DATE(2024,7,31),'2024数据'!$BS$3:$BS$152,$E1545)</f>
        <v>0</v>
      </c>
      <c r="M1545" s="111">
        <f>COUNTIFS('2024数据'!$X$3:$X$152,"&gt;="&amp;DATE(2024,8,1),'2024数据'!$X$3:$X$152,"&lt;="&amp;DATE(2024,8,31),'2024数据'!$BS$3:$BS$152,$E1545)</f>
        <v>0</v>
      </c>
      <c r="N1545" s="111">
        <f>COUNTIFS('2024数据'!$X$3:$X$152,"&gt;="&amp;DATE(2024,9,1),'2024数据'!$X$3:$X$152,"&lt;="&amp;DATE(2024,9,30),'2024数据'!$BS$3:$BS$152,$E1545)</f>
        <v>0</v>
      </c>
      <c r="O1545" s="111">
        <f>COUNTIFS('2024数据'!$X$3:$X$152,"&gt;="&amp;DATE(2024,10,1),'2024数据'!$X$3:$X$152,"&lt;="&amp;DATE(2024,10,31),'2024数据'!$BS$3:$BS$152,$E1545)</f>
        <v>0</v>
      </c>
      <c r="P1545" s="111">
        <f>COUNTIFS('2024数据'!$X$3:$X$152,"&gt;="&amp;DATE(2024,11,1),'2024数据'!$X$3:$X$152,"&lt;="&amp;DATE(2024,11,30),'2024数据'!$BS$3:$BS$152,$E1545)</f>
        <v>0</v>
      </c>
      <c r="Q1545" s="111">
        <f>COUNTIFS('2024数据'!$X$3:$X$152,"&gt;="&amp;DATE(2024,12,1),'2024数据'!$X$3:$X$152,"&lt;="&amp;DATE(2024,12,31),'2024数据'!$BS$3:$BS$152,$E1545)</f>
        <v>1</v>
      </c>
    </row>
    <row r="1546" ht="24" customHeight="1" spans="1:17">
      <c r="A1546" s="99" t="s">
        <v>349</v>
      </c>
      <c r="B1546" s="99" t="s">
        <v>299</v>
      </c>
      <c r="C1546" s="99" t="s">
        <v>291</v>
      </c>
      <c r="D1546" s="100" t="s">
        <v>292</v>
      </c>
      <c r="E1546" s="110" t="s">
        <v>302</v>
      </c>
      <c r="F1546" s="111">
        <f>COUNTIFS('2024数据'!$X$3:$X$152,"&gt;="&amp;DATE(2024,1,1),'2024数据'!$X$3:$X$152,"&lt;="&amp;DATE(2024,1,31),'2024数据'!$BS$3:$BS$152,$E1546)</f>
        <v>1</v>
      </c>
      <c r="G1546" s="111">
        <f>COUNTIFS('2024数据'!$X$3:$X$152,"&gt;="&amp;DATE(2024,2,1),'2024数据'!$X$3:$X$152,"&lt;="&amp;DATE(2024,2,29),'2024数据'!$BS$3:$BS$152,$E1546)</f>
        <v>0</v>
      </c>
      <c r="H1546" s="111">
        <f>COUNTIFS('2024数据'!$X$3:$X$152,"&gt;="&amp;DATE(2024,3,1),'2024数据'!$X$3:$X$152,"&lt;="&amp;DATE(2024,3,31),'2024数据'!$BS$3:$BS$152,$E1546)</f>
        <v>0</v>
      </c>
      <c r="I1546" s="111">
        <f>COUNTIFS('2024数据'!$X$3:$X$152,"&gt;="&amp;DATE(2024,4,1),'2024数据'!$X$3:$X$152,"&lt;="&amp;DATE(2024,4,30),'2024数据'!$BS$3:$BS$152,$E1546)</f>
        <v>0</v>
      </c>
      <c r="J1546" s="111">
        <f>COUNTIFS('2024数据'!$X$3:$X$152,"&gt;="&amp;DATE(2024,5,1),'2024数据'!$X$3:$X$152,"&lt;="&amp;DATE(2024,5,31),'2024数据'!$BS$3:$BS$152,$E1546)</f>
        <v>1</v>
      </c>
      <c r="K1546" s="111">
        <f>COUNTIFS('2024数据'!$X$3:$X$152,"&gt;="&amp;DATE(2024,6,1),'2024数据'!$X$3:$X$152,"&lt;="&amp;DATE(2024,6,30),'2024数据'!$BS$3:$BS$152,$E1546)</f>
        <v>0</v>
      </c>
      <c r="L1546" s="111">
        <f>COUNTIFS('2024数据'!$X$3:$X$152,"&gt;="&amp;DATE(2024,7,1),'2024数据'!$X$3:$X$152,"&lt;="&amp;DATE(2024,7,31),'2024数据'!$BS$3:$BS$152,$E1546)</f>
        <v>0</v>
      </c>
      <c r="M1546" s="111">
        <f>COUNTIFS('2024数据'!$X$3:$X$152,"&gt;="&amp;DATE(2024,8,1),'2024数据'!$X$3:$X$152,"&lt;="&amp;DATE(2024,8,31),'2024数据'!$BS$3:$BS$152,$E1546)</f>
        <v>0</v>
      </c>
      <c r="N1546" s="111">
        <f>COUNTIFS('2024数据'!$X$3:$X$152,"&gt;="&amp;DATE(2024,9,1),'2024数据'!$X$3:$X$152,"&lt;="&amp;DATE(2024,9,30),'2024数据'!$BS$3:$BS$152,$E1546)</f>
        <v>0</v>
      </c>
      <c r="O1546" s="111">
        <f>COUNTIFS('2024数据'!$X$3:$X$152,"&gt;="&amp;DATE(2024,10,1),'2024数据'!$X$3:$X$152,"&lt;="&amp;DATE(2024,10,31),'2024数据'!$BS$3:$BS$152,$E1546)</f>
        <v>0</v>
      </c>
      <c r="P1546" s="111">
        <f>COUNTIFS('2024数据'!$X$3:$X$152,"&gt;="&amp;DATE(2024,11,1),'2024数据'!$X$3:$X$152,"&lt;="&amp;DATE(2024,11,30),'2024数据'!$BS$3:$BS$152,$E1546)</f>
        <v>0</v>
      </c>
      <c r="Q1546" s="111">
        <f>COUNTIFS('2024数据'!$X$3:$X$152,"&gt;="&amp;DATE(2024,12,1),'2024数据'!$X$3:$X$152,"&lt;="&amp;DATE(2024,12,31),'2024数据'!$BS$3:$BS$152,$E1546)</f>
        <v>0</v>
      </c>
    </row>
    <row r="1547" ht="24" customHeight="1" spans="1:17">
      <c r="A1547" s="99" t="s">
        <v>349</v>
      </c>
      <c r="B1547" s="99" t="s">
        <v>299</v>
      </c>
      <c r="C1547" s="99" t="s">
        <v>291</v>
      </c>
      <c r="D1547" s="100" t="s">
        <v>292</v>
      </c>
      <c r="E1547" s="110" t="s">
        <v>150</v>
      </c>
      <c r="F1547" s="111">
        <f>COUNTIFS('2024数据'!$X$3:$X$152,"&gt;="&amp;DATE(2024,1,1),'2024数据'!$X$3:$X$152,"&lt;="&amp;DATE(2024,1,31),'2024数据'!$BS$3:$BS$152,$E1547)</f>
        <v>0</v>
      </c>
      <c r="G1547" s="111">
        <f>COUNTIFS('2024数据'!$X$3:$X$152,"&gt;="&amp;DATE(2024,2,1),'2024数据'!$X$3:$X$152,"&lt;="&amp;DATE(2024,2,29),'2024数据'!$BS$3:$BS$152,$E1547)</f>
        <v>0</v>
      </c>
      <c r="H1547" s="111">
        <f>COUNTIFS('2024数据'!$X$3:$X$152,"&gt;="&amp;DATE(2024,3,1),'2024数据'!$X$3:$X$152,"&lt;="&amp;DATE(2024,3,31),'2024数据'!$BS$3:$BS$152,$E1547)</f>
        <v>0</v>
      </c>
      <c r="I1547" s="111">
        <f>COUNTIFS('2024数据'!$X$3:$X$152,"&gt;="&amp;DATE(2024,4,1),'2024数据'!$X$3:$X$152,"&lt;="&amp;DATE(2024,4,30),'2024数据'!$BS$3:$BS$152,$E1547)</f>
        <v>0</v>
      </c>
      <c r="J1547" s="111">
        <f>COUNTIFS('2024数据'!$X$3:$X$152,"&gt;="&amp;DATE(2024,5,1),'2024数据'!$X$3:$X$152,"&lt;="&amp;DATE(2024,5,31),'2024数据'!$BS$3:$BS$152,$E1547)</f>
        <v>0</v>
      </c>
      <c r="K1547" s="111">
        <f>COUNTIFS('2024数据'!$X$3:$X$152,"&gt;="&amp;DATE(2024,6,1),'2024数据'!$X$3:$X$152,"&lt;="&amp;DATE(2024,6,30),'2024数据'!$BS$3:$BS$152,$E1547)</f>
        <v>0</v>
      </c>
      <c r="L1547" s="111">
        <f>COUNTIFS('2024数据'!$X$3:$X$152,"&gt;="&amp;DATE(2024,7,1),'2024数据'!$X$3:$X$152,"&lt;="&amp;DATE(2024,7,31),'2024数据'!$BS$3:$BS$152,$E1547)</f>
        <v>2</v>
      </c>
      <c r="M1547" s="111">
        <f>COUNTIFS('2024数据'!$X$3:$X$152,"&gt;="&amp;DATE(2024,8,1),'2024数据'!$X$3:$X$152,"&lt;="&amp;DATE(2024,8,31),'2024数据'!$BS$3:$BS$152,$E1547)</f>
        <v>0</v>
      </c>
      <c r="N1547" s="111">
        <f>COUNTIFS('2024数据'!$X$3:$X$152,"&gt;="&amp;DATE(2024,9,1),'2024数据'!$X$3:$X$152,"&lt;="&amp;DATE(2024,9,30),'2024数据'!$BS$3:$BS$152,$E1547)</f>
        <v>0</v>
      </c>
      <c r="O1547" s="111">
        <f>COUNTIFS('2024数据'!$X$3:$X$152,"&gt;="&amp;DATE(2024,10,1),'2024数据'!$X$3:$X$152,"&lt;="&amp;DATE(2024,10,31),'2024数据'!$BS$3:$BS$152,$E1547)</f>
        <v>0</v>
      </c>
      <c r="P1547" s="111">
        <f>COUNTIFS('2024数据'!$X$3:$X$152,"&gt;="&amp;DATE(2024,11,1),'2024数据'!$X$3:$X$152,"&lt;="&amp;DATE(2024,11,30),'2024数据'!$BS$3:$BS$152,$E1547)</f>
        <v>0</v>
      </c>
      <c r="Q1547" s="111">
        <f>COUNTIFS('2024数据'!$X$3:$X$152,"&gt;="&amp;DATE(2024,12,1),'2024数据'!$X$3:$X$152,"&lt;="&amp;DATE(2024,12,31),'2024数据'!$BS$3:$BS$152,$E1547)</f>
        <v>1</v>
      </c>
    </row>
    <row r="1548" ht="24" customHeight="1" spans="1:17">
      <c r="A1548" s="99" t="s">
        <v>349</v>
      </c>
      <c r="B1548" s="99" t="s">
        <v>299</v>
      </c>
      <c r="C1548" s="99" t="s">
        <v>291</v>
      </c>
      <c r="D1548" s="53" t="s">
        <v>303</v>
      </c>
      <c r="E1548" s="53" t="s">
        <v>93</v>
      </c>
      <c r="F1548" s="111">
        <f>COUNTIFS('2024数据'!$X$3:$X$152,"&gt;="&amp;DATE(2024,1,1),'2024数据'!$X$3:$X$152,"&lt;="&amp;DATE(2024,1,31),'2024数据'!$BS$3:$BS$152,$E$35,'2024数据'!$B$3:$B$152,'2024整理'!$E1540)</f>
        <v>1</v>
      </c>
      <c r="G1548" s="111">
        <f>COUNTIFS('2024数据'!$X$3:$X$152,"&gt;="&amp;DATE(2024,2,1),'2024数据'!$X$3:$X$152,"&lt;="&amp;DATE(2024,2,29),'2024数据'!$BS$3:$BS$152,$E$35,'2024数据'!$B$3:$B$152,'2024整理'!$E1540)</f>
        <v>0</v>
      </c>
      <c r="H1548" s="111">
        <f>COUNTIFS('2024数据'!$X$3:$X$152,"&gt;="&amp;DATE(2024,3,1),'2024数据'!$X$3:$X$152,"&lt;="&amp;DATE(2024,3,31),'2024数据'!$BS$3:$BS$152,$E$35,'2024数据'!$B$3:$B$152,'2024整理'!$E1540)</f>
        <v>0</v>
      </c>
      <c r="I1548" s="111">
        <f>COUNTIFS('2024数据'!$X$3:$X$152,"&gt;="&amp;DATE(2024,4,1),'2024数据'!$X$3:$X$152,"&lt;="&amp;DATE(2024,4,30),'2024数据'!$BS$3:$BS$152,$E$35,'2024数据'!$B$3:$B$152,'2024整理'!$E1540)</f>
        <v>0</v>
      </c>
      <c r="J1548" s="111">
        <f>COUNTIFS('2024数据'!$X$3:$X$152,"&gt;="&amp;DATE(2024,5,1),'2024数据'!$X$3:$X$152,"&lt;="&amp;DATE(2024,5,31),'2024数据'!$BS$3:$BS$152,$E$35,'2024数据'!$B$3:$B$152,'2024整理'!$E1540)</f>
        <v>0</v>
      </c>
      <c r="K1548" s="111">
        <f>COUNTIFS('2024数据'!$X$3:$X$152,"&gt;="&amp;DATE(2024,6,1),'2024数据'!$X$3:$X$152,"&lt;="&amp;DATE(2024,6,30),'2024数据'!$BS$3:$BS$152,$E$35,'2024数据'!$B$3:$B$152,'2024整理'!$E1540)</f>
        <v>0</v>
      </c>
      <c r="L1548" s="111">
        <f>COUNTIFS('2024数据'!$X$3:$X$152,"&gt;="&amp;DATE(2024,7,1),'2024数据'!$X$3:$X$152,"&lt;="&amp;DATE(2024,7,31),'2024数据'!$BS$3:$BS$152,$E$35,'2024数据'!$B$3:$B$152,'2024整理'!$E1540)</f>
        <v>0</v>
      </c>
      <c r="M1548" s="111">
        <f>COUNTIFS('2024数据'!$X$3:$X$152,"&gt;="&amp;DATE(2024,8,1),'2024数据'!$X$3:$X$152,"&lt;="&amp;DATE(2024,8,31),'2024数据'!$BS$3:$BS$152,$E$35,'2024数据'!$B$3:$B$152,'2024整理'!$E1540)</f>
        <v>0</v>
      </c>
      <c r="N1548" s="111">
        <f>COUNTIFS('2024数据'!$X$3:$X$152,"&gt;="&amp;DATE(2024,9,1),'2024数据'!$X$3:$X$152,"&lt;="&amp;DATE(2024,9,30),'2024数据'!$BS$3:$BS$152,$E$35,'2024数据'!$B$3:$B$152,'2024整理'!$E1540)</f>
        <v>0</v>
      </c>
      <c r="O1548" s="111">
        <f>COUNTIFS('2024数据'!$X$3:$X$152,"&gt;="&amp;DATE(2024,10,1),'2024数据'!$X$3:$X$152,"&lt;="&amp;DATE(2024,10,31),'2024数据'!$BS$3:$BS$152,$E$35,'2024数据'!$B$3:$B$152,'2024整理'!$E1540)</f>
        <v>0</v>
      </c>
      <c r="P1548" s="111">
        <f>COUNTIFS('2024数据'!$X$3:$X$152,"&gt;="&amp;DATE(2024,11,1),'2024数据'!$X$3:$X$152,"&lt;="&amp;DATE(2024,11,30),'2024数据'!$BS$3:$BS$152,$E$35,'2024数据'!$B$3:$B$152,'2024整理'!$E1540)</f>
        <v>0</v>
      </c>
      <c r="Q1548" s="111">
        <f>COUNTIFS('2024数据'!$X$3:$X$152,"&gt;="&amp;DATE(2024,12,1),'2024数据'!$X$3:$X$152,"&lt;="&amp;DATE(2024,12,31),'2024数据'!$BS$3:$BS$152,$E$35,'2024数据'!$B$3:$B$152,'2024整理'!$E1540)</f>
        <v>0</v>
      </c>
    </row>
    <row r="1549" ht="24" customHeight="1" spans="1:17">
      <c r="A1549" s="99" t="s">
        <v>349</v>
      </c>
      <c r="B1549" s="99" t="s">
        <v>299</v>
      </c>
      <c r="C1549" s="99" t="s">
        <v>291</v>
      </c>
      <c r="D1549" s="53" t="s">
        <v>303</v>
      </c>
      <c r="E1549" s="53" t="s">
        <v>85</v>
      </c>
      <c r="F1549" s="111">
        <f>COUNTIFS('2024数据'!$X$3:$X$152,"&gt;="&amp;DATE(2024,1,1),'2024数据'!$X$3:$X$152,"&lt;="&amp;DATE(2024,1,31),'2024数据'!$BS$3:$BS$152,$E$35,'2024数据'!$B$3:$B$152,'2024整理'!$E1541)</f>
        <v>0</v>
      </c>
      <c r="G1549" s="111">
        <f>COUNTIFS('2024数据'!$X$3:$X$152,"&gt;="&amp;DATE(2024,2,1),'2024数据'!$X$3:$X$152,"&lt;="&amp;DATE(2024,2,29),'2024数据'!$BS$3:$BS$152,$E$35,'2024数据'!$B$3:$B$152,'2024整理'!$E1541)</f>
        <v>0</v>
      </c>
      <c r="H1549" s="111">
        <f>COUNTIFS('2024数据'!$X$3:$X$152,"&gt;="&amp;DATE(2024,3,1),'2024数据'!$X$3:$X$152,"&lt;="&amp;DATE(2024,3,31),'2024数据'!$BS$3:$BS$152,$E$35,'2024数据'!$B$3:$B$152,'2024整理'!$E1541)</f>
        <v>0</v>
      </c>
      <c r="I1549" s="111">
        <f>COUNTIFS('2024数据'!$X$3:$X$152,"&gt;="&amp;DATE(2024,4,1),'2024数据'!$X$3:$X$152,"&lt;="&amp;DATE(2024,4,30),'2024数据'!$BS$3:$BS$152,$E$35,'2024数据'!$B$3:$B$152,'2024整理'!$E1541)</f>
        <v>0</v>
      </c>
      <c r="J1549" s="111">
        <f>COUNTIFS('2024数据'!$X$3:$X$152,"&gt;="&amp;DATE(2024,5,1),'2024数据'!$X$3:$X$152,"&lt;="&amp;DATE(2024,5,31),'2024数据'!$BS$3:$BS$152,$E$35,'2024数据'!$B$3:$B$152,'2024整理'!$E1541)</f>
        <v>0</v>
      </c>
      <c r="K1549" s="111">
        <f>COUNTIFS('2024数据'!$X$3:$X$152,"&gt;="&amp;DATE(2024,6,1),'2024数据'!$X$3:$X$152,"&lt;="&amp;DATE(2024,6,30),'2024数据'!$BS$3:$BS$152,$E$35,'2024数据'!$B$3:$B$152,'2024整理'!$E1541)</f>
        <v>0</v>
      </c>
      <c r="L1549" s="111">
        <f>COUNTIFS('2024数据'!$X$3:$X$152,"&gt;="&amp;DATE(2024,7,1),'2024数据'!$X$3:$X$152,"&lt;="&amp;DATE(2024,7,31),'2024数据'!$BS$3:$BS$152,$E$35,'2024数据'!$B$3:$B$152,'2024整理'!$E1541)</f>
        <v>0</v>
      </c>
      <c r="M1549" s="111">
        <f>COUNTIFS('2024数据'!$X$3:$X$152,"&gt;="&amp;DATE(2024,8,1),'2024数据'!$X$3:$X$152,"&lt;="&amp;DATE(2024,8,31),'2024数据'!$BS$3:$BS$152,$E$35,'2024数据'!$B$3:$B$152,'2024整理'!$E1541)</f>
        <v>0</v>
      </c>
      <c r="N1549" s="111">
        <f>COUNTIFS('2024数据'!$X$3:$X$152,"&gt;="&amp;DATE(2024,9,1),'2024数据'!$X$3:$X$152,"&lt;="&amp;DATE(2024,9,30),'2024数据'!$BS$3:$BS$152,$E$35,'2024数据'!$B$3:$B$152,'2024整理'!$E1541)</f>
        <v>0</v>
      </c>
      <c r="O1549" s="111">
        <f>COUNTIFS('2024数据'!$X$3:$X$152,"&gt;="&amp;DATE(2024,10,1),'2024数据'!$X$3:$X$152,"&lt;="&amp;DATE(2024,10,31),'2024数据'!$BS$3:$BS$152,$E$35,'2024数据'!$B$3:$B$152,'2024整理'!$E1541)</f>
        <v>0</v>
      </c>
      <c r="P1549" s="111">
        <f>COUNTIFS('2024数据'!$X$3:$X$152,"&gt;="&amp;DATE(2024,11,1),'2024数据'!$X$3:$X$152,"&lt;="&amp;DATE(2024,11,30),'2024数据'!$BS$3:$BS$152,$E$35,'2024数据'!$B$3:$B$152,'2024整理'!$E1541)</f>
        <v>0</v>
      </c>
      <c r="Q1549" s="111">
        <f>COUNTIFS('2024数据'!$X$3:$X$152,"&gt;="&amp;DATE(2024,12,1),'2024数据'!$X$3:$X$152,"&lt;="&amp;DATE(2024,12,31),'2024数据'!$BS$3:$BS$152,$E$35,'2024数据'!$B$3:$B$152,'2024整理'!$E1541)</f>
        <v>0</v>
      </c>
    </row>
    <row r="1550" ht="24" customHeight="1" spans="1:17">
      <c r="A1550" s="99" t="s">
        <v>349</v>
      </c>
      <c r="B1550" s="99" t="s">
        <v>299</v>
      </c>
      <c r="C1550" s="99" t="s">
        <v>291</v>
      </c>
      <c r="D1550" s="53" t="s">
        <v>303</v>
      </c>
      <c r="E1550" s="53" t="s">
        <v>81</v>
      </c>
      <c r="F1550" s="111">
        <f>COUNTIFS('2024数据'!$X$3:$X$152,"&gt;="&amp;DATE(2024,1,1),'2024数据'!$X$3:$X$152,"&lt;="&amp;DATE(2024,1,31),'2024数据'!$BS$3:$BS$152,$E$35,'2024数据'!$B$3:$B$152,'2024整理'!$E1542)</f>
        <v>0</v>
      </c>
      <c r="G1550" s="111">
        <f>COUNTIFS('2024数据'!$X$3:$X$152,"&gt;="&amp;DATE(2024,2,1),'2024数据'!$X$3:$X$152,"&lt;="&amp;DATE(2024,2,29),'2024数据'!$BS$3:$BS$152,$E$35,'2024数据'!$B$3:$B$152,'2024整理'!$E1542)</f>
        <v>0</v>
      </c>
      <c r="H1550" s="111">
        <f>COUNTIFS('2024数据'!$X$3:$X$152,"&gt;="&amp;DATE(2024,3,1),'2024数据'!$X$3:$X$152,"&lt;="&amp;DATE(2024,3,31),'2024数据'!$BS$3:$BS$152,$E$35,'2024数据'!$B$3:$B$152,'2024整理'!$E1542)</f>
        <v>0</v>
      </c>
      <c r="I1550" s="111">
        <f>COUNTIFS('2024数据'!$X$3:$X$152,"&gt;="&amp;DATE(2024,4,1),'2024数据'!$X$3:$X$152,"&lt;="&amp;DATE(2024,4,30),'2024数据'!$BS$3:$BS$152,$E$35,'2024数据'!$B$3:$B$152,'2024整理'!$E1542)</f>
        <v>0</v>
      </c>
      <c r="J1550" s="111">
        <f>COUNTIFS('2024数据'!$X$3:$X$152,"&gt;="&amp;DATE(2024,5,1),'2024数据'!$X$3:$X$152,"&lt;="&amp;DATE(2024,5,31),'2024数据'!$BS$3:$BS$152,$E$35,'2024数据'!$B$3:$B$152,'2024整理'!$E1542)</f>
        <v>0</v>
      </c>
      <c r="K1550" s="111">
        <f>COUNTIFS('2024数据'!$X$3:$X$152,"&gt;="&amp;DATE(2024,6,1),'2024数据'!$X$3:$X$152,"&lt;="&amp;DATE(2024,6,30),'2024数据'!$BS$3:$BS$152,$E$35,'2024数据'!$B$3:$B$152,'2024整理'!$E1542)</f>
        <v>0</v>
      </c>
      <c r="L1550" s="111">
        <f>COUNTIFS('2024数据'!$X$3:$X$152,"&gt;="&amp;DATE(2024,7,1),'2024数据'!$X$3:$X$152,"&lt;="&amp;DATE(2024,7,31),'2024数据'!$BS$3:$BS$152,$E$35,'2024数据'!$B$3:$B$152,'2024整理'!$E1542)</f>
        <v>0</v>
      </c>
      <c r="M1550" s="111">
        <f>COUNTIFS('2024数据'!$X$3:$X$152,"&gt;="&amp;DATE(2024,8,1),'2024数据'!$X$3:$X$152,"&lt;="&amp;DATE(2024,8,31),'2024数据'!$BS$3:$BS$152,$E$35,'2024数据'!$B$3:$B$152,'2024整理'!$E1542)</f>
        <v>0</v>
      </c>
      <c r="N1550" s="111">
        <f>COUNTIFS('2024数据'!$X$3:$X$152,"&gt;="&amp;DATE(2024,9,1),'2024数据'!$X$3:$X$152,"&lt;="&amp;DATE(2024,9,30),'2024数据'!$BS$3:$BS$152,$E$35,'2024数据'!$B$3:$B$152,'2024整理'!$E1542)</f>
        <v>0</v>
      </c>
      <c r="O1550" s="111">
        <f>COUNTIFS('2024数据'!$X$3:$X$152,"&gt;="&amp;DATE(2024,10,1),'2024数据'!$X$3:$X$152,"&lt;="&amp;DATE(2024,10,31),'2024数据'!$BS$3:$BS$152,$E$35,'2024数据'!$B$3:$B$152,'2024整理'!$E1542)</f>
        <v>0</v>
      </c>
      <c r="P1550" s="111">
        <f>COUNTIFS('2024数据'!$X$3:$X$152,"&gt;="&amp;DATE(2024,11,1),'2024数据'!$X$3:$X$152,"&lt;="&amp;DATE(2024,11,30),'2024数据'!$BS$3:$BS$152,$E$35,'2024数据'!$B$3:$B$152,'2024整理'!$E1542)</f>
        <v>0</v>
      </c>
      <c r="Q1550" s="111">
        <f>COUNTIFS('2024数据'!$X$3:$X$152,"&gt;="&amp;DATE(2024,12,1),'2024数据'!$X$3:$X$152,"&lt;="&amp;DATE(2024,12,31),'2024数据'!$BS$3:$BS$152,$E$35,'2024数据'!$B$3:$B$152,'2024整理'!$E1542)</f>
        <v>1</v>
      </c>
    </row>
    <row r="1551" ht="24" customHeight="1" spans="1:17">
      <c r="A1551" s="99" t="s">
        <v>349</v>
      </c>
      <c r="B1551" s="99" t="s">
        <v>299</v>
      </c>
      <c r="C1551" s="99" t="s">
        <v>291</v>
      </c>
      <c r="D1551" s="53" t="s">
        <v>303</v>
      </c>
      <c r="E1551" s="53" t="s">
        <v>96</v>
      </c>
      <c r="F1551" s="111">
        <f>COUNTIFS('2024数据'!$X$3:$X$152,"&gt;="&amp;DATE(2024,1,1),'2024数据'!$X$3:$X$152,"&lt;="&amp;DATE(2024,1,31),'2024数据'!$BS$3:$BS$152,$E$35,'2024数据'!$B$3:$B$152,'2024整理'!$E1543)</f>
        <v>0</v>
      </c>
      <c r="G1551" s="111">
        <f>COUNTIFS('2024数据'!$X$3:$X$152,"&gt;="&amp;DATE(2024,2,1),'2024数据'!$X$3:$X$152,"&lt;="&amp;DATE(2024,2,29),'2024数据'!$BS$3:$BS$152,$E$35,'2024数据'!$B$3:$B$152,'2024整理'!$E1543)</f>
        <v>0</v>
      </c>
      <c r="H1551" s="111">
        <f>COUNTIFS('2024数据'!$X$3:$X$152,"&gt;="&amp;DATE(2024,3,1),'2024数据'!$X$3:$X$152,"&lt;="&amp;DATE(2024,3,31),'2024数据'!$BS$3:$BS$152,$E$35,'2024数据'!$B$3:$B$152,'2024整理'!$E1543)</f>
        <v>0</v>
      </c>
      <c r="I1551" s="111">
        <f>COUNTIFS('2024数据'!$X$3:$X$152,"&gt;="&amp;DATE(2024,4,1),'2024数据'!$X$3:$X$152,"&lt;="&amp;DATE(2024,4,30),'2024数据'!$BS$3:$BS$152,$E$35,'2024数据'!$B$3:$B$152,'2024整理'!$E1543)</f>
        <v>0</v>
      </c>
      <c r="J1551" s="111">
        <f>COUNTIFS('2024数据'!$X$3:$X$152,"&gt;="&amp;DATE(2024,5,1),'2024数据'!$X$3:$X$152,"&lt;="&amp;DATE(2024,5,31),'2024数据'!$BS$3:$BS$152,$E$35,'2024数据'!$B$3:$B$152,'2024整理'!$E1543)</f>
        <v>0</v>
      </c>
      <c r="K1551" s="111">
        <f>COUNTIFS('2024数据'!$X$3:$X$152,"&gt;="&amp;DATE(2024,6,1),'2024数据'!$X$3:$X$152,"&lt;="&amp;DATE(2024,6,30),'2024数据'!$BS$3:$BS$152,$E$35,'2024数据'!$B$3:$B$152,'2024整理'!$E1543)</f>
        <v>0</v>
      </c>
      <c r="L1551" s="111">
        <f>COUNTIFS('2024数据'!$X$3:$X$152,"&gt;="&amp;DATE(2024,7,1),'2024数据'!$X$3:$X$152,"&lt;="&amp;DATE(2024,7,31),'2024数据'!$BS$3:$BS$152,$E$35,'2024数据'!$B$3:$B$152,'2024整理'!$E1543)</f>
        <v>0</v>
      </c>
      <c r="M1551" s="111">
        <f>COUNTIFS('2024数据'!$X$3:$X$152,"&gt;="&amp;DATE(2024,8,1),'2024数据'!$X$3:$X$152,"&lt;="&amp;DATE(2024,8,31),'2024数据'!$BS$3:$BS$152,$E$35,'2024数据'!$B$3:$B$152,'2024整理'!$E1543)</f>
        <v>0</v>
      </c>
      <c r="N1551" s="111">
        <f>COUNTIFS('2024数据'!$X$3:$X$152,"&gt;="&amp;DATE(2024,9,1),'2024数据'!$X$3:$X$152,"&lt;="&amp;DATE(2024,9,30),'2024数据'!$BS$3:$BS$152,$E$35,'2024数据'!$B$3:$B$152,'2024整理'!$E1543)</f>
        <v>0</v>
      </c>
      <c r="O1551" s="111">
        <f>COUNTIFS('2024数据'!$X$3:$X$152,"&gt;="&amp;DATE(2024,10,1),'2024数据'!$X$3:$X$152,"&lt;="&amp;DATE(2024,10,31),'2024数据'!$BS$3:$BS$152,$E$35,'2024数据'!$B$3:$B$152,'2024整理'!$E1543)</f>
        <v>0</v>
      </c>
      <c r="P1551" s="111">
        <f>COUNTIFS('2024数据'!$X$3:$X$152,"&gt;="&amp;DATE(2024,11,1),'2024数据'!$X$3:$X$152,"&lt;="&amp;DATE(2024,11,30),'2024数据'!$BS$3:$BS$152,$E$35,'2024数据'!$B$3:$B$152,'2024整理'!$E1543)</f>
        <v>0</v>
      </c>
      <c r="Q1551" s="111">
        <f>COUNTIFS('2024数据'!$X$3:$X$152,"&gt;="&amp;DATE(2024,12,1),'2024数据'!$X$3:$X$152,"&lt;="&amp;DATE(2024,12,31),'2024数据'!$BS$3:$BS$152,$E$35,'2024数据'!$B$3:$B$152,'2024整理'!$E1543)</f>
        <v>0</v>
      </c>
    </row>
    <row r="1552" ht="24" customHeight="1" spans="1:17">
      <c r="A1552" s="99" t="s">
        <v>349</v>
      </c>
      <c r="B1552" s="99" t="s">
        <v>299</v>
      </c>
      <c r="C1552" s="99" t="s">
        <v>291</v>
      </c>
      <c r="D1552" s="53" t="s">
        <v>303</v>
      </c>
      <c r="E1552" s="53" t="s">
        <v>160</v>
      </c>
      <c r="F1552" s="111">
        <f>COUNTIFS('2024数据'!$X$3:$X$152,"&gt;="&amp;DATE(2024,1,1),'2024数据'!$X$3:$X$152,"&lt;="&amp;DATE(2024,1,31),'2024数据'!$BS$3:$BS$152,$E$35,'2024数据'!$B$3:$B$152,'2024整理'!$E1544)</f>
        <v>0</v>
      </c>
      <c r="G1552" s="111">
        <f>COUNTIFS('2024数据'!$X$3:$X$152,"&gt;="&amp;DATE(2024,2,1),'2024数据'!$X$3:$X$152,"&lt;="&amp;DATE(2024,2,29),'2024数据'!$BS$3:$BS$152,$E$35,'2024数据'!$B$3:$B$152,'2024整理'!$E1544)</f>
        <v>0</v>
      </c>
      <c r="H1552" s="111">
        <f>COUNTIFS('2024数据'!$X$3:$X$152,"&gt;="&amp;DATE(2024,3,1),'2024数据'!$X$3:$X$152,"&lt;="&amp;DATE(2024,3,31),'2024数据'!$BS$3:$BS$152,$E$35,'2024数据'!$B$3:$B$152,'2024整理'!$E1544)</f>
        <v>0</v>
      </c>
      <c r="I1552" s="111">
        <f>COUNTIFS('2024数据'!$X$3:$X$152,"&gt;="&amp;DATE(2024,4,1),'2024数据'!$X$3:$X$152,"&lt;="&amp;DATE(2024,4,30),'2024数据'!$BS$3:$BS$152,$E$35,'2024数据'!$B$3:$B$152,'2024整理'!$E1544)</f>
        <v>0</v>
      </c>
      <c r="J1552" s="111">
        <f>COUNTIFS('2024数据'!$X$3:$X$152,"&gt;="&amp;DATE(2024,5,1),'2024数据'!$X$3:$X$152,"&lt;="&amp;DATE(2024,5,31),'2024数据'!$BS$3:$BS$152,$E$35,'2024数据'!$B$3:$B$152,'2024整理'!$E1544)</f>
        <v>0</v>
      </c>
      <c r="K1552" s="111">
        <f>COUNTIFS('2024数据'!$X$3:$X$152,"&gt;="&amp;DATE(2024,6,1),'2024数据'!$X$3:$X$152,"&lt;="&amp;DATE(2024,6,30),'2024数据'!$BS$3:$BS$152,$E$35,'2024数据'!$B$3:$B$152,'2024整理'!$E1544)</f>
        <v>0</v>
      </c>
      <c r="L1552" s="111">
        <f>COUNTIFS('2024数据'!$X$3:$X$152,"&gt;="&amp;DATE(2024,7,1),'2024数据'!$X$3:$X$152,"&lt;="&amp;DATE(2024,7,31),'2024数据'!$BS$3:$BS$152,$E$35,'2024数据'!$B$3:$B$152,'2024整理'!$E1544)</f>
        <v>0</v>
      </c>
      <c r="M1552" s="111">
        <f>COUNTIFS('2024数据'!$X$3:$X$152,"&gt;="&amp;DATE(2024,8,1),'2024数据'!$X$3:$X$152,"&lt;="&amp;DATE(2024,8,31),'2024数据'!$BS$3:$BS$152,$E$35,'2024数据'!$B$3:$B$152,'2024整理'!$E1544)</f>
        <v>0</v>
      </c>
      <c r="N1552" s="111">
        <f>COUNTIFS('2024数据'!$X$3:$X$152,"&gt;="&amp;DATE(2024,9,1),'2024数据'!$X$3:$X$152,"&lt;="&amp;DATE(2024,9,30),'2024数据'!$BS$3:$BS$152,$E$35,'2024数据'!$B$3:$B$152,'2024整理'!$E1544)</f>
        <v>0</v>
      </c>
      <c r="O1552" s="111">
        <f>COUNTIFS('2024数据'!$X$3:$X$152,"&gt;="&amp;DATE(2024,10,1),'2024数据'!$X$3:$X$152,"&lt;="&amp;DATE(2024,10,31),'2024数据'!$BS$3:$BS$152,$E$35,'2024数据'!$B$3:$B$152,'2024整理'!$E1544)</f>
        <v>0</v>
      </c>
      <c r="P1552" s="111">
        <f>COUNTIFS('2024数据'!$X$3:$X$152,"&gt;="&amp;DATE(2024,11,1),'2024数据'!$X$3:$X$152,"&lt;="&amp;DATE(2024,11,30),'2024数据'!$BS$3:$BS$152,$E$35,'2024数据'!$B$3:$B$152,'2024整理'!$E1544)</f>
        <v>0</v>
      </c>
      <c r="Q1552" s="111">
        <f>COUNTIFS('2024数据'!$X$3:$X$152,"&gt;="&amp;DATE(2024,12,1),'2024数据'!$X$3:$X$152,"&lt;="&amp;DATE(2024,12,31),'2024数据'!$BS$3:$BS$152,$E$35,'2024数据'!$B$3:$B$152,'2024整理'!$E1544)</f>
        <v>0</v>
      </c>
    </row>
    <row r="1553" ht="24" customHeight="1" spans="1:17">
      <c r="A1553" s="99" t="s">
        <v>349</v>
      </c>
      <c r="B1553" s="99" t="s">
        <v>299</v>
      </c>
      <c r="C1553" s="99" t="s">
        <v>291</v>
      </c>
      <c r="D1553" s="53" t="s">
        <v>304</v>
      </c>
      <c r="E1553" s="53" t="s">
        <v>93</v>
      </c>
      <c r="F1553" s="111">
        <f>COUNTIFS('2024数据'!$X$3:$X$152,"&gt;="&amp;DATE(2024,1,1),'2024数据'!$X$3:$X$152,"&lt;="&amp;DATE(2024,1,31),'2024数据'!$BS$3:$BS$152,$E$36,'2024数据'!$B$3:$B$152,'2024整理'!$E1540)</f>
        <v>1</v>
      </c>
      <c r="G1553" s="111">
        <f>COUNTIFS('2024数据'!$X$3:$X$152,"&gt;="&amp;DATE(2024,2,1),'2024数据'!$X$3:$X$152,"&lt;="&amp;DATE(2024,2,29),'2024数据'!$BS$3:$BS$152,$E$36,'2024数据'!$B$3:$B$152,'2024整理'!$E1540)</f>
        <v>0</v>
      </c>
      <c r="H1553" s="111">
        <f>COUNTIFS('2024数据'!$X$3:$X$152,"&gt;="&amp;DATE(2024,3,1),'2024数据'!$X$3:$X$152,"&lt;="&amp;DATE(2024,3,31),'2024数据'!$BS$3:$BS$152,$E$36,'2024数据'!$B$3:$B$152,'2024整理'!$E1540)</f>
        <v>0</v>
      </c>
      <c r="I1553" s="111">
        <f>COUNTIFS('2024数据'!$X$3:$X$152,"&gt;="&amp;DATE(2024,4,1),'2024数据'!$X$3:$X$152,"&lt;="&amp;DATE(2024,4,30),'2024数据'!$BS$3:$BS$152,$E$36,'2024数据'!$B$3:$B$152,'2024整理'!$E1540)</f>
        <v>0</v>
      </c>
      <c r="J1553" s="111">
        <f>COUNTIFS('2024数据'!$X$3:$X$152,"&gt;="&amp;DATE(2024,5,1),'2024数据'!$X$3:$X$152,"&lt;="&amp;DATE(2024,5,31),'2024数据'!$BS$3:$BS$152,$E$36,'2024数据'!$B$3:$B$152,'2024整理'!$E1540)</f>
        <v>1</v>
      </c>
      <c r="K1553" s="111">
        <f>COUNTIFS('2024数据'!$X$3:$X$152,"&gt;="&amp;DATE(2024,6,1),'2024数据'!$X$3:$X$152,"&lt;="&amp;DATE(2024,6,30),'2024数据'!$BS$3:$BS$152,$E$36,'2024数据'!$B$3:$B$152,'2024整理'!$E1540)</f>
        <v>0</v>
      </c>
      <c r="L1553" s="111">
        <f>COUNTIFS('2024数据'!$X$3:$X$152,"&gt;="&amp;DATE(2024,7,1),'2024数据'!$X$3:$X$152,"&lt;="&amp;DATE(2024,7,31),'2024数据'!$BS$3:$BS$152,$E$36,'2024数据'!$B$3:$B$152,'2024整理'!$E1540)</f>
        <v>0</v>
      </c>
      <c r="M1553" s="111">
        <f>COUNTIFS('2024数据'!$X$3:$X$152,"&gt;="&amp;DATE(2024,8,1),'2024数据'!$X$3:$X$152,"&lt;="&amp;DATE(2024,8,31),'2024数据'!$BS$3:$BS$152,$E$36,'2024数据'!$B$3:$B$152,'2024整理'!$E1540)</f>
        <v>0</v>
      </c>
      <c r="N1553" s="111">
        <f>COUNTIFS('2024数据'!$X$3:$X$152,"&gt;="&amp;DATE(2024,9,1),'2024数据'!$X$3:$X$152,"&lt;="&amp;DATE(2024,9,30),'2024数据'!$BS$3:$BS$152,$E$36,'2024数据'!$B$3:$B$152,'2024整理'!$E1540)</f>
        <v>0</v>
      </c>
      <c r="O1553" s="111">
        <f>COUNTIFS('2024数据'!$X$3:$X$152,"&gt;="&amp;DATE(2024,10,1),'2024数据'!$X$3:$X$152,"&lt;="&amp;DATE(2024,10,31),'2024数据'!$BS$3:$BS$152,$E$36,'2024数据'!$B$3:$B$152,'2024整理'!$E1540)</f>
        <v>0</v>
      </c>
      <c r="P1553" s="111">
        <f>COUNTIFS('2024数据'!$X$3:$X$152,"&gt;="&amp;DATE(2024,11,1),'2024数据'!$X$3:$X$152,"&lt;="&amp;DATE(2024,11,30),'2024数据'!$BS$3:$BS$152,$E$36,'2024数据'!$B$3:$B$152,'2024整理'!$E1540)</f>
        <v>0</v>
      </c>
      <c r="Q1553" s="111">
        <f>COUNTIFS('2024数据'!$X$3:$X$152,"&gt;="&amp;DATE(2024,12,1),'2024数据'!$X$3:$X$152,"&lt;="&amp;DATE(2024,12,31),'2024数据'!$BS$3:$BS$152,$E$36,'2024数据'!$B$3:$B$152,'2024整理'!$E1540)</f>
        <v>0</v>
      </c>
    </row>
    <row r="1554" ht="24" customHeight="1" spans="1:17">
      <c r="A1554" s="99" t="s">
        <v>349</v>
      </c>
      <c r="B1554" s="99" t="s">
        <v>299</v>
      </c>
      <c r="C1554" s="99" t="s">
        <v>291</v>
      </c>
      <c r="D1554" s="53" t="s">
        <v>304</v>
      </c>
      <c r="E1554" s="53" t="s">
        <v>85</v>
      </c>
      <c r="F1554" s="111">
        <f>COUNTIFS('2024数据'!$X$3:$X$152,"&gt;="&amp;DATE(2024,1,1),'2024数据'!$X$3:$X$152,"&lt;="&amp;DATE(2024,1,31),'2024数据'!$BS$3:$BS$152,$E$36,'2024数据'!$B$3:$B$152,'2024整理'!$E1541)</f>
        <v>0</v>
      </c>
      <c r="G1554" s="111">
        <f>COUNTIFS('2024数据'!$X$3:$X$152,"&gt;="&amp;DATE(2024,2,1),'2024数据'!$X$3:$X$152,"&lt;="&amp;DATE(2024,2,29),'2024数据'!$BS$3:$BS$152,$E$36,'2024数据'!$B$3:$B$152,'2024整理'!$E1541)</f>
        <v>0</v>
      </c>
      <c r="H1554" s="111">
        <f>COUNTIFS('2024数据'!$X$3:$X$152,"&gt;="&amp;DATE(2024,3,1),'2024数据'!$X$3:$X$152,"&lt;="&amp;DATE(2024,3,31),'2024数据'!$BS$3:$BS$152,$E$36,'2024数据'!$B$3:$B$152,'2024整理'!$E1541)</f>
        <v>0</v>
      </c>
      <c r="I1554" s="111">
        <f>COUNTIFS('2024数据'!$X$3:$X$152,"&gt;="&amp;DATE(2024,4,1),'2024数据'!$X$3:$X$152,"&lt;="&amp;DATE(2024,4,30),'2024数据'!$BS$3:$BS$152,$E$36,'2024数据'!$B$3:$B$152,'2024整理'!$E1541)</f>
        <v>0</v>
      </c>
      <c r="J1554" s="111">
        <f>COUNTIFS('2024数据'!$X$3:$X$152,"&gt;="&amp;DATE(2024,5,1),'2024数据'!$X$3:$X$152,"&lt;="&amp;DATE(2024,5,31),'2024数据'!$BS$3:$BS$152,$E$36,'2024数据'!$B$3:$B$152,'2024整理'!$E1541)</f>
        <v>0</v>
      </c>
      <c r="K1554" s="111">
        <f>COUNTIFS('2024数据'!$X$3:$X$152,"&gt;="&amp;DATE(2024,6,1),'2024数据'!$X$3:$X$152,"&lt;="&amp;DATE(2024,6,30),'2024数据'!$BS$3:$BS$152,$E$36,'2024数据'!$B$3:$B$152,'2024整理'!$E1541)</f>
        <v>0</v>
      </c>
      <c r="L1554" s="111">
        <f>COUNTIFS('2024数据'!$X$3:$X$152,"&gt;="&amp;DATE(2024,7,1),'2024数据'!$X$3:$X$152,"&lt;="&amp;DATE(2024,7,31),'2024数据'!$BS$3:$BS$152,$E$36,'2024数据'!$B$3:$B$152,'2024整理'!$E1541)</f>
        <v>0</v>
      </c>
      <c r="M1554" s="111">
        <f>COUNTIFS('2024数据'!$X$3:$X$152,"&gt;="&amp;DATE(2024,8,1),'2024数据'!$X$3:$X$152,"&lt;="&amp;DATE(2024,8,31),'2024数据'!$BS$3:$BS$152,$E$36,'2024数据'!$B$3:$B$152,'2024整理'!$E1541)</f>
        <v>0</v>
      </c>
      <c r="N1554" s="111">
        <f>COUNTIFS('2024数据'!$X$3:$X$152,"&gt;="&amp;DATE(2024,9,1),'2024数据'!$X$3:$X$152,"&lt;="&amp;DATE(2024,9,30),'2024数据'!$BS$3:$BS$152,$E$36,'2024数据'!$B$3:$B$152,'2024整理'!$E1541)</f>
        <v>0</v>
      </c>
      <c r="O1554" s="111">
        <f>COUNTIFS('2024数据'!$X$3:$X$152,"&gt;="&amp;DATE(2024,10,1),'2024数据'!$X$3:$X$152,"&lt;="&amp;DATE(2024,10,31),'2024数据'!$BS$3:$BS$152,$E$36,'2024数据'!$B$3:$B$152,'2024整理'!$E1541)</f>
        <v>0</v>
      </c>
      <c r="P1554" s="111">
        <f>COUNTIFS('2024数据'!$X$3:$X$152,"&gt;="&amp;DATE(2024,11,1),'2024数据'!$X$3:$X$152,"&lt;="&amp;DATE(2024,11,30),'2024数据'!$BS$3:$BS$152,$E$36,'2024数据'!$B$3:$B$152,'2024整理'!$E1541)</f>
        <v>0</v>
      </c>
      <c r="Q1554" s="111">
        <f>COUNTIFS('2024数据'!$X$3:$X$152,"&gt;="&amp;DATE(2024,12,1),'2024数据'!$X$3:$X$152,"&lt;="&amp;DATE(2024,12,31),'2024数据'!$BS$3:$BS$152,$E$36,'2024数据'!$B$3:$B$152,'2024整理'!$E1541)</f>
        <v>0</v>
      </c>
    </row>
    <row r="1555" ht="24" customHeight="1" spans="1:17">
      <c r="A1555" s="99" t="s">
        <v>349</v>
      </c>
      <c r="B1555" s="99" t="s">
        <v>299</v>
      </c>
      <c r="C1555" s="99" t="s">
        <v>291</v>
      </c>
      <c r="D1555" s="53" t="s">
        <v>304</v>
      </c>
      <c r="E1555" s="53" t="s">
        <v>81</v>
      </c>
      <c r="F1555" s="111">
        <f>COUNTIFS('2024数据'!$X$3:$X$152,"&gt;="&amp;DATE(2024,1,1),'2024数据'!$X$3:$X$152,"&lt;="&amp;DATE(2024,1,31),'2024数据'!$BS$3:$BS$152,$E$36,'2024数据'!$B$3:$B$152,'2024整理'!$E1542)</f>
        <v>0</v>
      </c>
      <c r="G1555" s="111">
        <f>COUNTIFS('2024数据'!$X$3:$X$152,"&gt;="&amp;DATE(2024,2,1),'2024数据'!$X$3:$X$152,"&lt;="&amp;DATE(2024,2,29),'2024数据'!$BS$3:$BS$152,$E$36,'2024数据'!$B$3:$B$152,'2024整理'!$E1542)</f>
        <v>0</v>
      </c>
      <c r="H1555" s="111">
        <f>COUNTIFS('2024数据'!$X$3:$X$152,"&gt;="&amp;DATE(2024,3,1),'2024数据'!$X$3:$X$152,"&lt;="&amp;DATE(2024,3,31),'2024数据'!$BS$3:$BS$152,$E$36,'2024数据'!$B$3:$B$152,'2024整理'!$E1542)</f>
        <v>0</v>
      </c>
      <c r="I1555" s="111">
        <f>COUNTIFS('2024数据'!$X$3:$X$152,"&gt;="&amp;DATE(2024,4,1),'2024数据'!$X$3:$X$152,"&lt;="&amp;DATE(2024,4,30),'2024数据'!$BS$3:$BS$152,$E$36,'2024数据'!$B$3:$B$152,'2024整理'!$E1542)</f>
        <v>0</v>
      </c>
      <c r="J1555" s="111">
        <f>COUNTIFS('2024数据'!$X$3:$X$152,"&gt;="&amp;DATE(2024,5,1),'2024数据'!$X$3:$X$152,"&lt;="&amp;DATE(2024,5,31),'2024数据'!$BS$3:$BS$152,$E$36,'2024数据'!$B$3:$B$152,'2024整理'!$E1542)</f>
        <v>0</v>
      </c>
      <c r="K1555" s="111">
        <f>COUNTIFS('2024数据'!$X$3:$X$152,"&gt;="&amp;DATE(2024,6,1),'2024数据'!$X$3:$X$152,"&lt;="&amp;DATE(2024,6,30),'2024数据'!$BS$3:$BS$152,$E$36,'2024数据'!$B$3:$B$152,'2024整理'!$E1542)</f>
        <v>0</v>
      </c>
      <c r="L1555" s="111">
        <f>COUNTIFS('2024数据'!$X$3:$X$152,"&gt;="&amp;DATE(2024,7,1),'2024数据'!$X$3:$X$152,"&lt;="&amp;DATE(2024,7,31),'2024数据'!$BS$3:$BS$152,$E$36,'2024数据'!$B$3:$B$152,'2024整理'!$E1542)</f>
        <v>0</v>
      </c>
      <c r="M1555" s="111">
        <f>COUNTIFS('2024数据'!$X$3:$X$152,"&gt;="&amp;DATE(2024,8,1),'2024数据'!$X$3:$X$152,"&lt;="&amp;DATE(2024,8,31),'2024数据'!$BS$3:$BS$152,$E$36,'2024数据'!$B$3:$B$152,'2024整理'!$E1542)</f>
        <v>0</v>
      </c>
      <c r="N1555" s="111">
        <f>COUNTIFS('2024数据'!$X$3:$X$152,"&gt;="&amp;DATE(2024,9,1),'2024数据'!$X$3:$X$152,"&lt;="&amp;DATE(2024,9,30),'2024数据'!$BS$3:$BS$152,$E$36,'2024数据'!$B$3:$B$152,'2024整理'!$E1542)</f>
        <v>0</v>
      </c>
      <c r="O1555" s="111">
        <f>COUNTIFS('2024数据'!$X$3:$X$152,"&gt;="&amp;DATE(2024,10,1),'2024数据'!$X$3:$X$152,"&lt;="&amp;DATE(2024,10,31),'2024数据'!$BS$3:$BS$152,$E$36,'2024数据'!$B$3:$B$152,'2024整理'!$E1542)</f>
        <v>0</v>
      </c>
      <c r="P1555" s="111">
        <f>COUNTIFS('2024数据'!$X$3:$X$152,"&gt;="&amp;DATE(2024,11,1),'2024数据'!$X$3:$X$152,"&lt;="&amp;DATE(2024,11,30),'2024数据'!$BS$3:$BS$152,$E$36,'2024数据'!$B$3:$B$152,'2024整理'!$E1542)</f>
        <v>0</v>
      </c>
      <c r="Q1555" s="111">
        <f>COUNTIFS('2024数据'!$X$3:$X$152,"&gt;="&amp;DATE(2024,12,1),'2024数据'!$X$3:$X$152,"&lt;="&amp;DATE(2024,12,31),'2024数据'!$BS$3:$BS$152,$E$36,'2024数据'!$B$3:$B$152,'2024整理'!$E1542)</f>
        <v>0</v>
      </c>
    </row>
    <row r="1556" ht="24" customHeight="1" spans="1:17">
      <c r="A1556" s="99" t="s">
        <v>349</v>
      </c>
      <c r="B1556" s="99" t="s">
        <v>299</v>
      </c>
      <c r="C1556" s="99" t="s">
        <v>291</v>
      </c>
      <c r="D1556" s="53" t="s">
        <v>304</v>
      </c>
      <c r="E1556" s="53" t="s">
        <v>96</v>
      </c>
      <c r="F1556" s="111">
        <f>COUNTIFS('2024数据'!$X$3:$X$152,"&gt;="&amp;DATE(2024,1,1),'2024数据'!$X$3:$X$152,"&lt;="&amp;DATE(2024,1,31),'2024数据'!$BS$3:$BS$152,$E$36,'2024数据'!$B$3:$B$152,'2024整理'!$E1543)</f>
        <v>0</v>
      </c>
      <c r="G1556" s="111">
        <f>COUNTIFS('2024数据'!$X$3:$X$152,"&gt;="&amp;DATE(2024,2,1),'2024数据'!$X$3:$X$152,"&lt;="&amp;DATE(2024,2,29),'2024数据'!$BS$3:$BS$152,$E$36,'2024数据'!$B$3:$B$152,'2024整理'!$E1543)</f>
        <v>0</v>
      </c>
      <c r="H1556" s="111">
        <f>COUNTIFS('2024数据'!$X$3:$X$152,"&gt;="&amp;DATE(2024,3,1),'2024数据'!$X$3:$X$152,"&lt;="&amp;DATE(2024,3,31),'2024数据'!$BS$3:$BS$152,$E$36,'2024数据'!$B$3:$B$152,'2024整理'!$E1543)</f>
        <v>0</v>
      </c>
      <c r="I1556" s="111">
        <f>COUNTIFS('2024数据'!$X$3:$X$152,"&gt;="&amp;DATE(2024,4,1),'2024数据'!$X$3:$X$152,"&lt;="&amp;DATE(2024,4,30),'2024数据'!$BS$3:$BS$152,$E$36,'2024数据'!$B$3:$B$152,'2024整理'!$E1543)</f>
        <v>0</v>
      </c>
      <c r="J1556" s="111">
        <f>COUNTIFS('2024数据'!$X$3:$X$152,"&gt;="&amp;DATE(2024,5,1),'2024数据'!$X$3:$X$152,"&lt;="&amp;DATE(2024,5,31),'2024数据'!$BS$3:$BS$152,$E$36,'2024数据'!$B$3:$B$152,'2024整理'!$E1543)</f>
        <v>0</v>
      </c>
      <c r="K1556" s="111">
        <f>COUNTIFS('2024数据'!$X$3:$X$152,"&gt;="&amp;DATE(2024,6,1),'2024数据'!$X$3:$X$152,"&lt;="&amp;DATE(2024,6,30),'2024数据'!$BS$3:$BS$152,$E$36,'2024数据'!$B$3:$B$152,'2024整理'!$E1543)</f>
        <v>0</v>
      </c>
      <c r="L1556" s="111">
        <f>COUNTIFS('2024数据'!$X$3:$X$152,"&gt;="&amp;DATE(2024,7,1),'2024数据'!$X$3:$X$152,"&lt;="&amp;DATE(2024,7,31),'2024数据'!$BS$3:$BS$152,$E$36,'2024数据'!$B$3:$B$152,'2024整理'!$E1543)</f>
        <v>0</v>
      </c>
      <c r="M1556" s="111">
        <f>COUNTIFS('2024数据'!$X$3:$X$152,"&gt;="&amp;DATE(2024,8,1),'2024数据'!$X$3:$X$152,"&lt;="&amp;DATE(2024,8,31),'2024数据'!$BS$3:$BS$152,$E$36,'2024数据'!$B$3:$B$152,'2024整理'!$E1543)</f>
        <v>0</v>
      </c>
      <c r="N1556" s="111">
        <f>COUNTIFS('2024数据'!$X$3:$X$152,"&gt;="&amp;DATE(2024,9,1),'2024数据'!$X$3:$X$152,"&lt;="&amp;DATE(2024,9,30),'2024数据'!$BS$3:$BS$152,$E$36,'2024数据'!$B$3:$B$152,'2024整理'!$E1543)</f>
        <v>0</v>
      </c>
      <c r="O1556" s="111">
        <f>COUNTIFS('2024数据'!$X$3:$X$152,"&gt;="&amp;DATE(2024,10,1),'2024数据'!$X$3:$X$152,"&lt;="&amp;DATE(2024,10,31),'2024数据'!$BS$3:$BS$152,$E$36,'2024数据'!$B$3:$B$152,'2024整理'!$E1543)</f>
        <v>0</v>
      </c>
      <c r="P1556" s="111">
        <f>COUNTIFS('2024数据'!$X$3:$X$152,"&gt;="&amp;DATE(2024,11,1),'2024数据'!$X$3:$X$152,"&lt;="&amp;DATE(2024,11,30),'2024数据'!$BS$3:$BS$152,$E$36,'2024数据'!$B$3:$B$152,'2024整理'!$E1543)</f>
        <v>0</v>
      </c>
      <c r="Q1556" s="111">
        <f>COUNTIFS('2024数据'!$X$3:$X$152,"&gt;="&amp;DATE(2024,12,1),'2024数据'!$X$3:$X$152,"&lt;="&amp;DATE(2024,12,31),'2024数据'!$BS$3:$BS$152,$E$36,'2024数据'!$B$3:$B$152,'2024整理'!$E1543)</f>
        <v>0</v>
      </c>
    </row>
    <row r="1557" ht="24" customHeight="1" spans="1:17">
      <c r="A1557" s="99" t="s">
        <v>349</v>
      </c>
      <c r="B1557" s="99" t="s">
        <v>299</v>
      </c>
      <c r="C1557" s="99" t="s">
        <v>291</v>
      </c>
      <c r="D1557" s="53" t="s">
        <v>304</v>
      </c>
      <c r="E1557" s="53" t="s">
        <v>160</v>
      </c>
      <c r="F1557" s="111">
        <f>COUNTIFS('2024数据'!$X$3:$X$152,"&gt;="&amp;DATE(2024,1,1),'2024数据'!$X$3:$X$152,"&lt;="&amp;DATE(2024,1,31),'2024数据'!$BS$3:$BS$152,$E$36,'2024数据'!$B$3:$B$152,'2024整理'!$E1544)</f>
        <v>0</v>
      </c>
      <c r="G1557" s="111">
        <f>COUNTIFS('2024数据'!$X$3:$X$152,"&gt;="&amp;DATE(2024,2,1),'2024数据'!$X$3:$X$152,"&lt;="&amp;DATE(2024,2,29),'2024数据'!$BS$3:$BS$152,$E$36,'2024数据'!$B$3:$B$152,'2024整理'!$E1544)</f>
        <v>0</v>
      </c>
      <c r="H1557" s="111">
        <f>COUNTIFS('2024数据'!$X$3:$X$152,"&gt;="&amp;DATE(2024,3,1),'2024数据'!$X$3:$X$152,"&lt;="&amp;DATE(2024,3,31),'2024数据'!$BS$3:$BS$152,$E$36,'2024数据'!$B$3:$B$152,'2024整理'!$E1544)</f>
        <v>0</v>
      </c>
      <c r="I1557" s="111">
        <f>COUNTIFS('2024数据'!$X$3:$X$152,"&gt;="&amp;DATE(2024,4,1),'2024数据'!$X$3:$X$152,"&lt;="&amp;DATE(2024,4,30),'2024数据'!$BS$3:$BS$152,$E$36,'2024数据'!$B$3:$B$152,'2024整理'!$E1544)</f>
        <v>0</v>
      </c>
      <c r="J1557" s="111">
        <f>COUNTIFS('2024数据'!$X$3:$X$152,"&gt;="&amp;DATE(2024,5,1),'2024数据'!$X$3:$X$152,"&lt;="&amp;DATE(2024,5,31),'2024数据'!$BS$3:$BS$152,$E$36,'2024数据'!$B$3:$B$152,'2024整理'!$E1544)</f>
        <v>0</v>
      </c>
      <c r="K1557" s="111">
        <f>COUNTIFS('2024数据'!$X$3:$X$152,"&gt;="&amp;DATE(2024,6,1),'2024数据'!$X$3:$X$152,"&lt;="&amp;DATE(2024,6,30),'2024数据'!$BS$3:$BS$152,$E$36,'2024数据'!$B$3:$B$152,'2024整理'!$E1544)</f>
        <v>0</v>
      </c>
      <c r="L1557" s="111">
        <f>COUNTIFS('2024数据'!$X$3:$X$152,"&gt;="&amp;DATE(2024,7,1),'2024数据'!$X$3:$X$152,"&lt;="&amp;DATE(2024,7,31),'2024数据'!$BS$3:$BS$152,$E$36,'2024数据'!$B$3:$B$152,'2024整理'!$E1544)</f>
        <v>0</v>
      </c>
      <c r="M1557" s="111">
        <f>COUNTIFS('2024数据'!$X$3:$X$152,"&gt;="&amp;DATE(2024,8,1),'2024数据'!$X$3:$X$152,"&lt;="&amp;DATE(2024,8,31),'2024数据'!$BS$3:$BS$152,$E$36,'2024数据'!$B$3:$B$152,'2024整理'!$E1544)</f>
        <v>0</v>
      </c>
      <c r="N1557" s="111">
        <f>COUNTIFS('2024数据'!$X$3:$X$152,"&gt;="&amp;DATE(2024,9,1),'2024数据'!$X$3:$X$152,"&lt;="&amp;DATE(2024,9,30),'2024数据'!$BS$3:$BS$152,$E$36,'2024数据'!$B$3:$B$152,'2024整理'!$E1544)</f>
        <v>0</v>
      </c>
      <c r="O1557" s="111">
        <f>COUNTIFS('2024数据'!$X$3:$X$152,"&gt;="&amp;DATE(2024,10,1),'2024数据'!$X$3:$X$152,"&lt;="&amp;DATE(2024,10,31),'2024数据'!$BS$3:$BS$152,$E$36,'2024数据'!$B$3:$B$152,'2024整理'!$E1544)</f>
        <v>0</v>
      </c>
      <c r="P1557" s="111">
        <f>COUNTIFS('2024数据'!$X$3:$X$152,"&gt;="&amp;DATE(2024,11,1),'2024数据'!$X$3:$X$152,"&lt;="&amp;DATE(2024,11,30),'2024数据'!$BS$3:$BS$152,$E$36,'2024数据'!$B$3:$B$152,'2024整理'!$E1544)</f>
        <v>0</v>
      </c>
      <c r="Q1557" s="111">
        <f>COUNTIFS('2024数据'!$X$3:$X$152,"&gt;="&amp;DATE(2024,12,1),'2024数据'!$X$3:$X$152,"&lt;="&amp;DATE(2024,12,31),'2024数据'!$BS$3:$BS$152,$E$36,'2024数据'!$B$3:$B$152,'2024整理'!$E1544)</f>
        <v>0</v>
      </c>
    </row>
    <row r="1558" ht="24" customHeight="1" spans="1:17">
      <c r="A1558" s="99" t="s">
        <v>349</v>
      </c>
      <c r="B1558" s="99" t="s">
        <v>299</v>
      </c>
      <c r="C1558" s="99" t="s">
        <v>291</v>
      </c>
      <c r="D1558" s="53" t="s">
        <v>305</v>
      </c>
      <c r="E1558" s="53" t="s">
        <v>93</v>
      </c>
      <c r="F1558" s="111">
        <f>COUNTIFS('2024数据'!$X$3:$X$152,"&gt;="&amp;DATE(2024,1,1),'2024数据'!$X$3:$X$152,"&lt;="&amp;DATE(2024,1,31),'2024数据'!$BS$3:$BS$152,$E$37,'2024数据'!$B$3:$B$152,'2024整理'!$E1540)</f>
        <v>0</v>
      </c>
      <c r="G1558" s="111">
        <f>COUNTIFS('2024数据'!$X$3:$X$152,"&gt;="&amp;DATE(2024,2,1),'2024数据'!$X$3:$X$152,"&lt;="&amp;DATE(2024,2,29),'2024数据'!$BS$3:$BS$152,$E$37,'2024数据'!$B$3:$B$152,'2024整理'!$E1540)</f>
        <v>0</v>
      </c>
      <c r="H1558" s="111">
        <f>COUNTIFS('2024数据'!$X$3:$X$152,"&gt;="&amp;DATE(2024,3,1),'2024数据'!$X$3:$X$152,"&lt;="&amp;DATE(2024,3,31),'2024数据'!$BS$3:$BS$152,$E$37,'2024数据'!$B$3:$B$152,'2024整理'!$E1540)</f>
        <v>0</v>
      </c>
      <c r="I1558" s="111">
        <f>COUNTIFS('2024数据'!$X$3:$X$152,"&gt;="&amp;DATE(2024,4,1),'2024数据'!$X$3:$X$152,"&lt;="&amp;DATE(2024,4,30),'2024数据'!$BS$3:$BS$152,$E$37,'2024数据'!$B$3:$B$152,'2024整理'!$E1540)</f>
        <v>0</v>
      </c>
      <c r="J1558" s="111">
        <f>COUNTIFS('2024数据'!$X$3:$X$152,"&gt;="&amp;DATE(2024,5,1),'2024数据'!$X$3:$X$152,"&lt;="&amp;DATE(2024,5,31),'2024数据'!$BS$3:$BS$152,$E$37,'2024数据'!$B$3:$B$152,'2024整理'!$E1540)</f>
        <v>0</v>
      </c>
      <c r="K1558" s="111">
        <f>COUNTIFS('2024数据'!$X$3:$X$152,"&gt;="&amp;DATE(2024,6,1),'2024数据'!$X$3:$X$152,"&lt;="&amp;DATE(2024,6,30),'2024数据'!$BS$3:$BS$152,$E$37,'2024数据'!$B$3:$B$152,'2024整理'!$E1540)</f>
        <v>0</v>
      </c>
      <c r="L1558" s="111">
        <f>COUNTIFS('2024数据'!$X$3:$X$152,"&gt;="&amp;DATE(2024,7,1),'2024数据'!$X$3:$X$152,"&lt;="&amp;DATE(2024,7,31),'2024数据'!$BS$3:$BS$152,$E$37,'2024数据'!$B$3:$B$152,'2024整理'!$E1540)</f>
        <v>0</v>
      </c>
      <c r="M1558" s="111">
        <f>COUNTIFS('2024数据'!$X$3:$X$152,"&gt;="&amp;DATE(2024,8,1),'2024数据'!$X$3:$X$152,"&lt;="&amp;DATE(2024,8,31),'2024数据'!$BS$3:$BS$152,$E$37,'2024数据'!$B$3:$B$152,'2024整理'!$E1540)</f>
        <v>0</v>
      </c>
      <c r="N1558" s="111">
        <f>COUNTIFS('2024数据'!$X$3:$X$152,"&gt;="&amp;DATE(2024,9,1),'2024数据'!$X$3:$X$152,"&lt;="&amp;DATE(2024,9,30),'2024数据'!$BS$3:$BS$152,$E$37,'2024数据'!$B$3:$B$152,'2024整理'!$E1540)</f>
        <v>0</v>
      </c>
      <c r="O1558" s="111">
        <f>COUNTIFS('2024数据'!$X$3:$X$152,"&gt;="&amp;DATE(2024,10,1),'2024数据'!$X$3:$X$152,"&lt;="&amp;DATE(2024,10,31),'2024数据'!$BS$3:$BS$152,$E$37,'2024数据'!$B$3:$B$152,'2024整理'!$E1540)</f>
        <v>0</v>
      </c>
      <c r="P1558" s="111">
        <f>COUNTIFS('2024数据'!$X$3:$X$152,"&gt;="&amp;DATE(2024,11,1),'2024数据'!$X$3:$X$152,"&lt;="&amp;DATE(2024,11,30),'2024数据'!$BS$3:$BS$152,$E$37,'2024数据'!$B$3:$B$152,'2024整理'!$E1540)</f>
        <v>0</v>
      </c>
      <c r="Q1558" s="111">
        <f>COUNTIFS('2024数据'!$X$3:$X$152,"&gt;="&amp;DATE(2024,12,1),'2024数据'!$X$3:$X$152,"&lt;="&amp;DATE(2024,12,31),'2024数据'!$BS$3:$BS$152,$E$37,'2024数据'!$B$3:$B$152,'2024整理'!$E1540)</f>
        <v>0</v>
      </c>
    </row>
    <row r="1559" ht="24" customHeight="1" spans="1:17">
      <c r="A1559" s="99" t="s">
        <v>349</v>
      </c>
      <c r="B1559" s="99" t="s">
        <v>299</v>
      </c>
      <c r="C1559" s="99" t="s">
        <v>291</v>
      </c>
      <c r="D1559" s="53" t="s">
        <v>305</v>
      </c>
      <c r="E1559" s="53" t="s">
        <v>85</v>
      </c>
      <c r="F1559" s="111">
        <f>COUNTIFS('2024数据'!$X$3:$X$152,"&gt;="&amp;DATE(2024,1,1),'2024数据'!$X$3:$X$152,"&lt;="&amp;DATE(2024,1,31),'2024数据'!$BS$3:$BS$152,$E$37,'2024数据'!$B$3:$B$152,'2024整理'!$E1541)</f>
        <v>0</v>
      </c>
      <c r="G1559" s="111">
        <f>COUNTIFS('2024数据'!$X$3:$X$152,"&gt;="&amp;DATE(2024,2,1),'2024数据'!$X$3:$X$152,"&lt;="&amp;DATE(2024,2,29),'2024数据'!$BS$3:$BS$152,$E$37,'2024数据'!$B$3:$B$152,'2024整理'!$E1541)</f>
        <v>0</v>
      </c>
      <c r="H1559" s="111">
        <f>COUNTIFS('2024数据'!$X$3:$X$152,"&gt;="&amp;DATE(2024,3,1),'2024数据'!$X$3:$X$152,"&lt;="&amp;DATE(2024,3,31),'2024数据'!$BS$3:$BS$152,$E$37,'2024数据'!$B$3:$B$152,'2024整理'!$E1541)</f>
        <v>0</v>
      </c>
      <c r="I1559" s="111">
        <f>COUNTIFS('2024数据'!$X$3:$X$152,"&gt;="&amp;DATE(2024,4,1),'2024数据'!$X$3:$X$152,"&lt;="&amp;DATE(2024,4,30),'2024数据'!$BS$3:$BS$152,$E$37,'2024数据'!$B$3:$B$152,'2024整理'!$E1541)</f>
        <v>0</v>
      </c>
      <c r="J1559" s="111">
        <f>COUNTIFS('2024数据'!$X$3:$X$152,"&gt;="&amp;DATE(2024,5,1),'2024数据'!$X$3:$X$152,"&lt;="&amp;DATE(2024,5,31),'2024数据'!$BS$3:$BS$152,$E$37,'2024数据'!$B$3:$B$152,'2024整理'!$E1541)</f>
        <v>0</v>
      </c>
      <c r="K1559" s="111">
        <f>COUNTIFS('2024数据'!$X$3:$X$152,"&gt;="&amp;DATE(2024,6,1),'2024数据'!$X$3:$X$152,"&lt;="&amp;DATE(2024,6,30),'2024数据'!$BS$3:$BS$152,$E$37,'2024数据'!$B$3:$B$152,'2024整理'!$E1541)</f>
        <v>0</v>
      </c>
      <c r="L1559" s="111">
        <f>COUNTIFS('2024数据'!$X$3:$X$152,"&gt;="&amp;DATE(2024,7,1),'2024数据'!$X$3:$X$152,"&lt;="&amp;DATE(2024,7,31),'2024数据'!$BS$3:$BS$152,$E$37,'2024数据'!$B$3:$B$152,'2024整理'!$E1541)</f>
        <v>0</v>
      </c>
      <c r="M1559" s="111">
        <f>COUNTIFS('2024数据'!$X$3:$X$152,"&gt;="&amp;DATE(2024,8,1),'2024数据'!$X$3:$X$152,"&lt;="&amp;DATE(2024,8,31),'2024数据'!$BS$3:$BS$152,$E$37,'2024数据'!$B$3:$B$152,'2024整理'!$E1541)</f>
        <v>0</v>
      </c>
      <c r="N1559" s="111">
        <f>COUNTIFS('2024数据'!$X$3:$X$152,"&gt;="&amp;DATE(2024,9,1),'2024数据'!$X$3:$X$152,"&lt;="&amp;DATE(2024,9,30),'2024数据'!$BS$3:$BS$152,$E$37,'2024数据'!$B$3:$B$152,'2024整理'!$E1541)</f>
        <v>0</v>
      </c>
      <c r="O1559" s="111">
        <f>COUNTIFS('2024数据'!$X$3:$X$152,"&gt;="&amp;DATE(2024,10,1),'2024数据'!$X$3:$X$152,"&lt;="&amp;DATE(2024,10,31),'2024数据'!$BS$3:$BS$152,$E$37,'2024数据'!$B$3:$B$152,'2024整理'!$E1541)</f>
        <v>0</v>
      </c>
      <c r="P1559" s="111">
        <f>COUNTIFS('2024数据'!$X$3:$X$152,"&gt;="&amp;DATE(2024,11,1),'2024数据'!$X$3:$X$152,"&lt;="&amp;DATE(2024,11,30),'2024数据'!$BS$3:$BS$152,$E$37,'2024数据'!$B$3:$B$152,'2024整理'!$E1541)</f>
        <v>0</v>
      </c>
      <c r="Q1559" s="111">
        <f>COUNTIFS('2024数据'!$X$3:$X$152,"&gt;="&amp;DATE(2024,12,1),'2024数据'!$X$3:$X$152,"&lt;="&amp;DATE(2024,12,31),'2024数据'!$BS$3:$BS$152,$E$37,'2024数据'!$B$3:$B$152,'2024整理'!$E1541)</f>
        <v>0</v>
      </c>
    </row>
    <row r="1560" ht="24" customHeight="1" spans="1:17">
      <c r="A1560" s="99" t="s">
        <v>349</v>
      </c>
      <c r="B1560" s="99" t="s">
        <v>299</v>
      </c>
      <c r="C1560" s="99" t="s">
        <v>291</v>
      </c>
      <c r="D1560" s="53" t="s">
        <v>305</v>
      </c>
      <c r="E1560" s="53" t="s">
        <v>81</v>
      </c>
      <c r="F1560" s="111">
        <f>COUNTIFS('2024数据'!$X$3:$X$152,"&gt;="&amp;DATE(2024,1,1),'2024数据'!$X$3:$X$152,"&lt;="&amp;DATE(2024,1,31),'2024数据'!$BS$3:$BS$152,$E$37,'2024数据'!$B$3:$B$152,'2024整理'!$E1542)</f>
        <v>0</v>
      </c>
      <c r="G1560" s="111">
        <f>COUNTIFS('2024数据'!$X$3:$X$152,"&gt;="&amp;DATE(2024,2,1),'2024数据'!$X$3:$X$152,"&lt;="&amp;DATE(2024,2,29),'2024数据'!$BS$3:$BS$152,$E$37,'2024数据'!$B$3:$B$152,'2024整理'!$E1542)</f>
        <v>0</v>
      </c>
      <c r="H1560" s="111">
        <f>COUNTIFS('2024数据'!$X$3:$X$152,"&gt;="&amp;DATE(2024,3,1),'2024数据'!$X$3:$X$152,"&lt;="&amp;DATE(2024,3,31),'2024数据'!$BS$3:$BS$152,$E$37,'2024数据'!$B$3:$B$152,'2024整理'!$E1542)</f>
        <v>0</v>
      </c>
      <c r="I1560" s="111">
        <f>COUNTIFS('2024数据'!$X$3:$X$152,"&gt;="&amp;DATE(2024,4,1),'2024数据'!$X$3:$X$152,"&lt;="&amp;DATE(2024,4,30),'2024数据'!$BS$3:$BS$152,$E$37,'2024数据'!$B$3:$B$152,'2024整理'!$E1542)</f>
        <v>0</v>
      </c>
      <c r="J1560" s="111">
        <f>COUNTIFS('2024数据'!$X$3:$X$152,"&gt;="&amp;DATE(2024,5,1),'2024数据'!$X$3:$X$152,"&lt;="&amp;DATE(2024,5,31),'2024数据'!$BS$3:$BS$152,$E$37,'2024数据'!$B$3:$B$152,'2024整理'!$E1542)</f>
        <v>0</v>
      </c>
      <c r="K1560" s="111">
        <f>COUNTIFS('2024数据'!$X$3:$X$152,"&gt;="&amp;DATE(2024,6,1),'2024数据'!$X$3:$X$152,"&lt;="&amp;DATE(2024,6,30),'2024数据'!$BS$3:$BS$152,$E$37,'2024数据'!$B$3:$B$152,'2024整理'!$E1542)</f>
        <v>0</v>
      </c>
      <c r="L1560" s="111">
        <f>COUNTIFS('2024数据'!$X$3:$X$152,"&gt;="&amp;DATE(2024,7,1),'2024数据'!$X$3:$X$152,"&lt;="&amp;DATE(2024,7,31),'2024数据'!$BS$3:$BS$152,$E$37,'2024数据'!$B$3:$B$152,'2024整理'!$E1542)</f>
        <v>2</v>
      </c>
      <c r="M1560" s="111">
        <f>COUNTIFS('2024数据'!$X$3:$X$152,"&gt;="&amp;DATE(2024,8,1),'2024数据'!$X$3:$X$152,"&lt;="&amp;DATE(2024,8,31),'2024数据'!$BS$3:$BS$152,$E$37,'2024数据'!$B$3:$B$152,'2024整理'!$E1542)</f>
        <v>0</v>
      </c>
      <c r="N1560" s="111">
        <f>COUNTIFS('2024数据'!$X$3:$X$152,"&gt;="&amp;DATE(2024,9,1),'2024数据'!$X$3:$X$152,"&lt;="&amp;DATE(2024,9,30),'2024数据'!$BS$3:$BS$152,$E$37,'2024数据'!$B$3:$B$152,'2024整理'!$E1542)</f>
        <v>0</v>
      </c>
      <c r="O1560" s="111">
        <f>COUNTIFS('2024数据'!$X$3:$X$152,"&gt;="&amp;DATE(2024,10,1),'2024数据'!$X$3:$X$152,"&lt;="&amp;DATE(2024,10,31),'2024数据'!$BS$3:$BS$152,$E$37,'2024数据'!$B$3:$B$152,'2024整理'!$E1542)</f>
        <v>0</v>
      </c>
      <c r="P1560" s="111">
        <f>COUNTIFS('2024数据'!$X$3:$X$152,"&gt;="&amp;DATE(2024,11,1),'2024数据'!$X$3:$X$152,"&lt;="&amp;DATE(2024,11,30),'2024数据'!$BS$3:$BS$152,$E$37,'2024数据'!$B$3:$B$152,'2024整理'!$E1542)</f>
        <v>0</v>
      </c>
      <c r="Q1560" s="111">
        <f>COUNTIFS('2024数据'!$X$3:$X$152,"&gt;="&amp;DATE(2024,12,1),'2024数据'!$X$3:$X$152,"&lt;="&amp;DATE(2024,12,31),'2024数据'!$BS$3:$BS$152,$E$37,'2024数据'!$B$3:$B$152,'2024整理'!$E1542)</f>
        <v>1</v>
      </c>
    </row>
    <row r="1561" ht="24" customHeight="1" spans="1:17">
      <c r="A1561" s="99" t="s">
        <v>349</v>
      </c>
      <c r="B1561" s="99" t="s">
        <v>299</v>
      </c>
      <c r="C1561" s="99" t="s">
        <v>291</v>
      </c>
      <c r="D1561" s="53" t="s">
        <v>305</v>
      </c>
      <c r="E1561" s="53" t="s">
        <v>96</v>
      </c>
      <c r="F1561" s="111">
        <f>COUNTIFS('2024数据'!$X$3:$X$152,"&gt;="&amp;DATE(2024,1,1),'2024数据'!$X$3:$X$152,"&lt;="&amp;DATE(2024,1,31),'2024数据'!$BS$3:$BS$152,$E$37,'2024数据'!$B$3:$B$152,'2024整理'!$E1543)</f>
        <v>0</v>
      </c>
      <c r="G1561" s="111">
        <f>COUNTIFS('2024数据'!$X$3:$X$152,"&gt;="&amp;DATE(2024,2,1),'2024数据'!$X$3:$X$152,"&lt;="&amp;DATE(2024,2,29),'2024数据'!$BS$3:$BS$152,$E$37,'2024数据'!$B$3:$B$152,'2024整理'!$E1543)</f>
        <v>0</v>
      </c>
      <c r="H1561" s="111">
        <f>COUNTIFS('2024数据'!$X$3:$X$152,"&gt;="&amp;DATE(2024,3,1),'2024数据'!$X$3:$X$152,"&lt;="&amp;DATE(2024,3,31),'2024数据'!$BS$3:$BS$152,$E$37,'2024数据'!$B$3:$B$152,'2024整理'!$E1543)</f>
        <v>0</v>
      </c>
      <c r="I1561" s="111">
        <f>COUNTIFS('2024数据'!$X$3:$X$152,"&gt;="&amp;DATE(2024,4,1),'2024数据'!$X$3:$X$152,"&lt;="&amp;DATE(2024,4,30),'2024数据'!$BS$3:$BS$152,$E$37,'2024数据'!$B$3:$B$152,'2024整理'!$E1543)</f>
        <v>0</v>
      </c>
      <c r="J1561" s="111">
        <f>COUNTIFS('2024数据'!$X$3:$X$152,"&gt;="&amp;DATE(2024,5,1),'2024数据'!$X$3:$X$152,"&lt;="&amp;DATE(2024,5,31),'2024数据'!$BS$3:$BS$152,$E$37,'2024数据'!$B$3:$B$152,'2024整理'!$E1543)</f>
        <v>0</v>
      </c>
      <c r="K1561" s="111">
        <f>COUNTIFS('2024数据'!$X$3:$X$152,"&gt;="&amp;DATE(2024,6,1),'2024数据'!$X$3:$X$152,"&lt;="&amp;DATE(2024,6,30),'2024数据'!$BS$3:$BS$152,$E$37,'2024数据'!$B$3:$B$152,'2024整理'!$E1543)</f>
        <v>0</v>
      </c>
      <c r="L1561" s="111">
        <f>COUNTIFS('2024数据'!$X$3:$X$152,"&gt;="&amp;DATE(2024,7,1),'2024数据'!$X$3:$X$152,"&lt;="&amp;DATE(2024,7,31),'2024数据'!$BS$3:$BS$152,$E$37,'2024数据'!$B$3:$B$152,'2024整理'!$E1543)</f>
        <v>0</v>
      </c>
      <c r="M1561" s="111">
        <f>COUNTIFS('2024数据'!$X$3:$X$152,"&gt;="&amp;DATE(2024,8,1),'2024数据'!$X$3:$X$152,"&lt;="&amp;DATE(2024,8,31),'2024数据'!$BS$3:$BS$152,$E$37,'2024数据'!$B$3:$B$152,'2024整理'!$E1543)</f>
        <v>0</v>
      </c>
      <c r="N1561" s="111">
        <f>COUNTIFS('2024数据'!$X$3:$X$152,"&gt;="&amp;DATE(2024,9,1),'2024数据'!$X$3:$X$152,"&lt;="&amp;DATE(2024,9,30),'2024数据'!$BS$3:$BS$152,$E$37,'2024数据'!$B$3:$B$152,'2024整理'!$E1543)</f>
        <v>0</v>
      </c>
      <c r="O1561" s="111">
        <f>COUNTIFS('2024数据'!$X$3:$X$152,"&gt;="&amp;DATE(2024,10,1),'2024数据'!$X$3:$X$152,"&lt;="&amp;DATE(2024,10,31),'2024数据'!$BS$3:$BS$152,$E$37,'2024数据'!$B$3:$B$152,'2024整理'!$E1543)</f>
        <v>0</v>
      </c>
      <c r="P1561" s="111">
        <f>COUNTIFS('2024数据'!$X$3:$X$152,"&gt;="&amp;DATE(2024,11,1),'2024数据'!$X$3:$X$152,"&lt;="&amp;DATE(2024,11,30),'2024数据'!$BS$3:$BS$152,$E$37,'2024数据'!$B$3:$B$152,'2024整理'!$E1543)</f>
        <v>0</v>
      </c>
      <c r="Q1561" s="111">
        <f>COUNTIFS('2024数据'!$X$3:$X$152,"&gt;="&amp;DATE(2024,12,1),'2024数据'!$X$3:$X$152,"&lt;="&amp;DATE(2024,12,31),'2024数据'!$BS$3:$BS$152,$E$37,'2024数据'!$B$3:$B$152,'2024整理'!$E1543)</f>
        <v>0</v>
      </c>
    </row>
    <row r="1562" ht="24" customHeight="1" spans="1:17">
      <c r="A1562" s="99" t="s">
        <v>349</v>
      </c>
      <c r="B1562" s="99" t="s">
        <v>299</v>
      </c>
      <c r="C1562" s="99" t="s">
        <v>291</v>
      </c>
      <c r="D1562" s="53" t="s">
        <v>305</v>
      </c>
      <c r="E1562" s="53" t="s">
        <v>160</v>
      </c>
      <c r="F1562" s="111">
        <f>COUNTIFS('2024数据'!$X$3:$X$152,"&gt;="&amp;DATE(2024,1,1),'2024数据'!$X$3:$X$152,"&lt;="&amp;DATE(2024,1,31),'2024数据'!$BS$3:$BS$152,$E$37,'2024数据'!$B$3:$B$152,'2024整理'!$E1544)</f>
        <v>0</v>
      </c>
      <c r="G1562" s="111">
        <f>COUNTIFS('2024数据'!$X$3:$X$152,"&gt;="&amp;DATE(2024,2,1),'2024数据'!$X$3:$X$152,"&lt;="&amp;DATE(2024,2,29),'2024数据'!$BS$3:$BS$152,$E$37,'2024数据'!$B$3:$B$152,'2024整理'!$E1544)</f>
        <v>0</v>
      </c>
      <c r="H1562" s="111">
        <f>COUNTIFS('2024数据'!$X$3:$X$152,"&gt;="&amp;DATE(2024,3,1),'2024数据'!$X$3:$X$152,"&lt;="&amp;DATE(2024,3,31),'2024数据'!$BS$3:$BS$152,$E$37,'2024数据'!$B$3:$B$152,'2024整理'!$E1544)</f>
        <v>0</v>
      </c>
      <c r="I1562" s="111">
        <f>COUNTIFS('2024数据'!$X$3:$X$152,"&gt;="&amp;DATE(2024,4,1),'2024数据'!$X$3:$X$152,"&lt;="&amp;DATE(2024,4,30),'2024数据'!$BS$3:$BS$152,$E$37,'2024数据'!$B$3:$B$152,'2024整理'!$E1544)</f>
        <v>0</v>
      </c>
      <c r="J1562" s="111">
        <f>COUNTIFS('2024数据'!$X$3:$X$152,"&gt;="&amp;DATE(2024,5,1),'2024数据'!$X$3:$X$152,"&lt;="&amp;DATE(2024,5,31),'2024数据'!$BS$3:$BS$152,$E$37,'2024数据'!$B$3:$B$152,'2024整理'!$E1544)</f>
        <v>0</v>
      </c>
      <c r="K1562" s="111">
        <f>COUNTIFS('2024数据'!$X$3:$X$152,"&gt;="&amp;DATE(2024,6,1),'2024数据'!$X$3:$X$152,"&lt;="&amp;DATE(2024,6,30),'2024数据'!$BS$3:$BS$152,$E$37,'2024数据'!$B$3:$B$152,'2024整理'!$E1544)</f>
        <v>0</v>
      </c>
      <c r="L1562" s="111">
        <f>COUNTIFS('2024数据'!$X$3:$X$152,"&gt;="&amp;DATE(2024,7,1),'2024数据'!$X$3:$X$152,"&lt;="&amp;DATE(2024,7,31),'2024数据'!$BS$3:$BS$152,$E$37,'2024数据'!$B$3:$B$152,'2024整理'!$E1544)</f>
        <v>0</v>
      </c>
      <c r="M1562" s="111">
        <f>COUNTIFS('2024数据'!$X$3:$X$152,"&gt;="&amp;DATE(2024,8,1),'2024数据'!$X$3:$X$152,"&lt;="&amp;DATE(2024,8,31),'2024数据'!$BS$3:$BS$152,$E$37,'2024数据'!$B$3:$B$152,'2024整理'!$E1544)</f>
        <v>0</v>
      </c>
      <c r="N1562" s="111">
        <f>COUNTIFS('2024数据'!$X$3:$X$152,"&gt;="&amp;DATE(2024,9,1),'2024数据'!$X$3:$X$152,"&lt;="&amp;DATE(2024,9,30),'2024数据'!$BS$3:$BS$152,$E$37,'2024数据'!$B$3:$B$152,'2024整理'!$E1544)</f>
        <v>0</v>
      </c>
      <c r="O1562" s="111">
        <f>COUNTIFS('2024数据'!$X$3:$X$152,"&gt;="&amp;DATE(2024,10,1),'2024数据'!$X$3:$X$152,"&lt;="&amp;DATE(2024,10,31),'2024数据'!$BS$3:$BS$152,$E$37,'2024数据'!$B$3:$B$152,'2024整理'!$E1544)</f>
        <v>0</v>
      </c>
      <c r="P1562" s="111">
        <f>COUNTIFS('2024数据'!$X$3:$X$152,"&gt;="&amp;DATE(2024,11,1),'2024数据'!$X$3:$X$152,"&lt;="&amp;DATE(2024,11,30),'2024数据'!$BS$3:$BS$152,$E$37,'2024数据'!$B$3:$B$152,'2024整理'!$E1544)</f>
        <v>0</v>
      </c>
      <c r="Q1562" s="111">
        <f>COUNTIFS('2024数据'!$X$3:$X$152,"&gt;="&amp;DATE(2024,12,1),'2024数据'!$X$3:$X$152,"&lt;="&amp;DATE(2024,12,31),'2024数据'!$BS$3:$BS$152,$E$37,'2024数据'!$B$3:$B$152,'2024整理'!$E1544)</f>
        <v>0</v>
      </c>
    </row>
    <row r="1563" ht="24" customHeight="1" spans="1:17">
      <c r="A1563" s="99" t="s">
        <v>349</v>
      </c>
      <c r="B1563" s="99" t="s">
        <v>299</v>
      </c>
      <c r="C1563" s="99" t="s">
        <v>291</v>
      </c>
      <c r="D1563" s="100" t="s">
        <v>292</v>
      </c>
      <c r="E1563" s="100" t="s">
        <v>306</v>
      </c>
      <c r="F1563" s="104">
        <f t="shared" ref="F1563:Q1563" si="1121">SUM(F1564:F1566)</f>
        <v>0</v>
      </c>
      <c r="G1563" s="104">
        <f t="shared" si="1121"/>
        <v>0</v>
      </c>
      <c r="H1563" s="104">
        <f t="shared" si="1121"/>
        <v>0</v>
      </c>
      <c r="I1563" s="104">
        <f t="shared" si="1121"/>
        <v>0</v>
      </c>
      <c r="J1563" s="104">
        <f t="shared" si="1121"/>
        <v>0</v>
      </c>
      <c r="K1563" s="104">
        <f t="shared" si="1121"/>
        <v>0</v>
      </c>
      <c r="L1563" s="104">
        <f t="shared" si="1121"/>
        <v>0</v>
      </c>
      <c r="M1563" s="104">
        <f t="shared" si="1121"/>
        <v>0</v>
      </c>
      <c r="N1563" s="104">
        <f t="shared" si="1121"/>
        <v>0</v>
      </c>
      <c r="O1563" s="104">
        <f t="shared" si="1121"/>
        <v>0</v>
      </c>
      <c r="P1563" s="104">
        <f t="shared" si="1121"/>
        <v>0</v>
      </c>
      <c r="Q1563" s="104">
        <f t="shared" si="1121"/>
        <v>0</v>
      </c>
    </row>
    <row r="1564" ht="24" customHeight="1" spans="1:17">
      <c r="A1564" s="99" t="s">
        <v>349</v>
      </c>
      <c r="B1564" s="99" t="s">
        <v>299</v>
      </c>
      <c r="C1564" s="99" t="s">
        <v>291</v>
      </c>
      <c r="D1564" s="48" t="s">
        <v>296</v>
      </c>
      <c r="E1564" s="48" t="s">
        <v>406</v>
      </c>
      <c r="F1564" s="105">
        <f>COUNTIFS('2024数据'!$X$3:$X$152,"&gt;="&amp;DATE(2024,1,1),'2024数据'!$X$3:$X$152,"&lt;="&amp;DATE(2024,1,31),'2024数据'!$AF$3:$AF$152,$E1564)</f>
        <v>0</v>
      </c>
      <c r="G1564" s="105">
        <f>COUNTIFS('2024数据'!$X$3:$X$152,"&gt;="&amp;DATE(2024,2,1),'2024数据'!$X$3:$X$152,"&lt;="&amp;DATE(2024,2,29),'2024数据'!$AF$3:$AF$152,$E1564)</f>
        <v>0</v>
      </c>
      <c r="H1564" s="105">
        <f>COUNTIFS('2024数据'!$X$3:$X$152,"&gt;="&amp;DATE(2024,3,1),'2024数据'!$X$3:$X$152,"&lt;="&amp;DATE(2024,3,31),'2024数据'!$AF$3:$AF$152,$E1564)</f>
        <v>0</v>
      </c>
      <c r="I1564" s="105">
        <f>COUNTIFS('2024数据'!$X$3:$X$152,"&gt;="&amp;DATE(2024,4,1),'2024数据'!$X$3:$X$152,"&lt;="&amp;DATE(2024,4,30),'2024数据'!$AF$3:$AF$152,$E1564)</f>
        <v>0</v>
      </c>
      <c r="J1564" s="105">
        <f>COUNTIFS('2024数据'!$X$3:$X$152,"&gt;="&amp;DATE(2024,5,1),'2024数据'!$X$3:$X$152,"&lt;="&amp;DATE(2024,5,31),'2024数据'!$AF$3:$AF$152,$E1564)</f>
        <v>0</v>
      </c>
      <c r="K1564" s="105">
        <f>COUNTIFS('2024数据'!$X$3:$X$152,"&gt;="&amp;DATE(2024,6,1),'2024数据'!$X$3:$X$152,"&lt;="&amp;DATE(2024,6,30),'2024数据'!$AF$3:$AF$152,$E1564)</f>
        <v>0</v>
      </c>
      <c r="L1564" s="105">
        <f>COUNTIFS('2024数据'!$X$3:$X$152,"&gt;="&amp;DATE(2024,7,1),'2024数据'!$X$3:$X$152,"&lt;="&amp;DATE(2024,7,31),'2024数据'!$AF$3:$AF$152,$E1564)</f>
        <v>0</v>
      </c>
      <c r="M1564" s="105">
        <f>COUNTIFS('2024数据'!$X$3:$X$152,"&gt;="&amp;DATE(2024,8,1),'2024数据'!$X$3:$X$152,"&lt;="&amp;DATE(2024,8,31),'2024数据'!$AF$3:$AF$152,$E1564)</f>
        <v>0</v>
      </c>
      <c r="N1564" s="105">
        <f>COUNTIFS('2024数据'!$X$3:$X$152,"&gt;="&amp;DATE(2024,9,1),'2024数据'!$X$3:$X$152,"&lt;="&amp;DATE(2024,9,30),'2024数据'!$AF$3:$AF$152,$E1564)</f>
        <v>0</v>
      </c>
      <c r="O1564" s="105">
        <f>COUNTIFS('2024数据'!$X$3:$X$152,"&gt;="&amp;DATE(2024,10,1),'2024数据'!$X$3:$X$152,"&lt;="&amp;DATE(2024,10,31),'2024数据'!$AF$3:$AF$152,$E1564)</f>
        <v>0</v>
      </c>
      <c r="P1564" s="105">
        <f>COUNTIFS('2024数据'!$X$3:$X$152,"&gt;="&amp;DATE(2024,11,1),'2024数据'!$X$3:$X$152,"&lt;="&amp;DATE(2024,11,30),'2024数据'!$AF$3:$AF$152,$E1564)</f>
        <v>0</v>
      </c>
      <c r="Q1564" s="105">
        <f>COUNTIFS('2024数据'!$X$3:$X$152,"&gt;="&amp;DATE(2024,12,1),'2024数据'!$X$3:$X$152,"&lt;="&amp;DATE(2024,12,31),'2024数据'!$AF$3:$AF$152,$E1564)</f>
        <v>0</v>
      </c>
    </row>
    <row r="1565" ht="24" customHeight="1" spans="1:17">
      <c r="A1565" s="99" t="s">
        <v>349</v>
      </c>
      <c r="B1565" s="99" t="s">
        <v>299</v>
      </c>
      <c r="C1565" s="99" t="s">
        <v>291</v>
      </c>
      <c r="D1565" s="48" t="s">
        <v>296</v>
      </c>
      <c r="E1565" s="48" t="s">
        <v>82</v>
      </c>
      <c r="F1565" s="105">
        <f>COUNTIFS('2024数据'!$X$3:$X$152,"&gt;="&amp;DATE(2024,1,1),'2024数据'!$X$3:$X$152,"&lt;="&amp;DATE(2024,1,31),'2024数据'!$AF$3:$AF$152,$E1565)</f>
        <v>0</v>
      </c>
      <c r="G1565" s="105">
        <f>COUNTIFS('2024数据'!$X$3:$X$152,"&gt;="&amp;DATE(2024,2,1),'2024数据'!$X$3:$X$152,"&lt;="&amp;DATE(2024,2,29),'2024数据'!$AF$3:$AF$152,$E1565)</f>
        <v>0</v>
      </c>
      <c r="H1565" s="105">
        <f>COUNTIFS('2024数据'!$X$3:$X$152,"&gt;="&amp;DATE(2024,3,1),'2024数据'!$X$3:$X$152,"&lt;="&amp;DATE(2024,3,31),'2024数据'!$AF$3:$AF$152,$E1565)</f>
        <v>0</v>
      </c>
      <c r="I1565" s="105">
        <f>COUNTIFS('2024数据'!$X$3:$X$152,"&gt;="&amp;DATE(2024,4,1),'2024数据'!$X$3:$X$152,"&lt;="&amp;DATE(2024,4,30),'2024数据'!$AF$3:$AF$152,$E1565)</f>
        <v>0</v>
      </c>
      <c r="J1565" s="105">
        <f>COUNTIFS('2024数据'!$X$3:$X$152,"&gt;="&amp;DATE(2024,5,1),'2024数据'!$X$3:$X$152,"&lt;="&amp;DATE(2024,5,31),'2024数据'!$AF$3:$AF$152,$E1565)</f>
        <v>0</v>
      </c>
      <c r="K1565" s="105">
        <f>COUNTIFS('2024数据'!$X$3:$X$152,"&gt;="&amp;DATE(2024,6,1),'2024数据'!$X$3:$X$152,"&lt;="&amp;DATE(2024,6,30),'2024数据'!$AF$3:$AF$152,$E1565)</f>
        <v>0</v>
      </c>
      <c r="L1565" s="105">
        <f>COUNTIFS('2024数据'!$X$3:$X$152,"&gt;="&amp;DATE(2024,7,1),'2024数据'!$X$3:$X$152,"&lt;="&amp;DATE(2024,7,31),'2024数据'!$AF$3:$AF$152,$E1565)</f>
        <v>0</v>
      </c>
      <c r="M1565" s="105">
        <f>COUNTIFS('2024数据'!$X$3:$X$152,"&gt;="&amp;DATE(2024,8,1),'2024数据'!$X$3:$X$152,"&lt;="&amp;DATE(2024,8,31),'2024数据'!$AF$3:$AF$152,$E1565)</f>
        <v>0</v>
      </c>
      <c r="N1565" s="105">
        <f>COUNTIFS('2024数据'!$X$3:$X$152,"&gt;="&amp;DATE(2024,9,1),'2024数据'!$X$3:$X$152,"&lt;="&amp;DATE(2024,9,30),'2024数据'!$AF$3:$AF$152,$E1565)</f>
        <v>0</v>
      </c>
      <c r="O1565" s="105">
        <f>COUNTIFS('2024数据'!$X$3:$X$152,"&gt;="&amp;DATE(2024,10,1),'2024数据'!$X$3:$X$152,"&lt;="&amp;DATE(2024,10,31),'2024数据'!$AF$3:$AF$152,$E1565)</f>
        <v>0</v>
      </c>
      <c r="P1565" s="105">
        <f>COUNTIFS('2024数据'!$X$3:$X$152,"&gt;="&amp;DATE(2024,11,1),'2024数据'!$X$3:$X$152,"&lt;="&amp;DATE(2024,11,30),'2024数据'!$AF$3:$AF$152,$E1565)</f>
        <v>0</v>
      </c>
      <c r="Q1565" s="105">
        <f>COUNTIFS('2024数据'!$X$3:$X$152,"&gt;="&amp;DATE(2024,12,1),'2024数据'!$X$3:$X$152,"&lt;="&amp;DATE(2024,12,31),'2024数据'!$AF$3:$AF$152,$E1565)</f>
        <v>0</v>
      </c>
    </row>
    <row r="1566" ht="24" customHeight="1" spans="1:17">
      <c r="A1566" s="99" t="s">
        <v>349</v>
      </c>
      <c r="B1566" s="99" t="s">
        <v>299</v>
      </c>
      <c r="C1566" s="99" t="s">
        <v>291</v>
      </c>
      <c r="D1566" s="48" t="s">
        <v>296</v>
      </c>
      <c r="E1566" s="48" t="s">
        <v>86</v>
      </c>
      <c r="F1566" s="105">
        <f>COUNTIFS('2024数据'!$X$3:$X$152,"&gt;="&amp;DATE(2024,1,1),'2024数据'!$X$3:$X$152,"&lt;="&amp;DATE(2024,1,31),'2024数据'!$AF$3:$AF$152,$E1566)</f>
        <v>0</v>
      </c>
      <c r="G1566" s="105">
        <f>COUNTIFS('2024数据'!$X$3:$X$152,"&gt;="&amp;DATE(2024,2,1),'2024数据'!$X$3:$X$152,"&lt;="&amp;DATE(2024,2,29),'2024数据'!$AF$3:$AF$152,$E1566)</f>
        <v>0</v>
      </c>
      <c r="H1566" s="105">
        <f>COUNTIFS('2024数据'!$X$3:$X$152,"&gt;="&amp;DATE(2024,3,1),'2024数据'!$X$3:$X$152,"&lt;="&amp;DATE(2024,3,31),'2024数据'!$AF$3:$AF$152,$E1566)</f>
        <v>0</v>
      </c>
      <c r="I1566" s="105">
        <f>COUNTIFS('2024数据'!$X$3:$X$152,"&gt;="&amp;DATE(2024,4,1),'2024数据'!$X$3:$X$152,"&lt;="&amp;DATE(2024,4,30),'2024数据'!$AF$3:$AF$152,$E1566)</f>
        <v>0</v>
      </c>
      <c r="J1566" s="105">
        <f>COUNTIFS('2024数据'!$X$3:$X$152,"&gt;="&amp;DATE(2024,5,1),'2024数据'!$X$3:$X$152,"&lt;="&amp;DATE(2024,5,31),'2024数据'!$AF$3:$AF$152,$E1566)</f>
        <v>0</v>
      </c>
      <c r="K1566" s="105">
        <f>COUNTIFS('2024数据'!$X$3:$X$152,"&gt;="&amp;DATE(2024,6,1),'2024数据'!$X$3:$X$152,"&lt;="&amp;DATE(2024,6,30),'2024数据'!$AF$3:$AF$152,$E1566)</f>
        <v>0</v>
      </c>
      <c r="L1566" s="105">
        <f>COUNTIFS('2024数据'!$X$3:$X$152,"&gt;="&amp;DATE(2024,7,1),'2024数据'!$X$3:$X$152,"&lt;="&amp;DATE(2024,7,31),'2024数据'!$AF$3:$AF$152,$E1566)</f>
        <v>0</v>
      </c>
      <c r="M1566" s="105">
        <f>COUNTIFS('2024数据'!$X$3:$X$152,"&gt;="&amp;DATE(2024,8,1),'2024数据'!$X$3:$X$152,"&lt;="&amp;DATE(2024,8,31),'2024数据'!$AF$3:$AF$152,$E1566)</f>
        <v>0</v>
      </c>
      <c r="N1566" s="105">
        <f>COUNTIFS('2024数据'!$X$3:$X$152,"&gt;="&amp;DATE(2024,9,1),'2024数据'!$X$3:$X$152,"&lt;="&amp;DATE(2024,9,30),'2024数据'!$AF$3:$AF$152,$E1566)</f>
        <v>0</v>
      </c>
      <c r="O1566" s="105">
        <f>COUNTIFS('2024数据'!$X$3:$X$152,"&gt;="&amp;DATE(2024,10,1),'2024数据'!$X$3:$X$152,"&lt;="&amp;DATE(2024,10,31),'2024数据'!$AF$3:$AF$152,$E1566)</f>
        <v>0</v>
      </c>
      <c r="P1566" s="105">
        <f>COUNTIFS('2024数据'!$X$3:$X$152,"&gt;="&amp;DATE(2024,11,1),'2024数据'!$X$3:$X$152,"&lt;="&amp;DATE(2024,11,30),'2024数据'!$AF$3:$AF$152,$E1566)</f>
        <v>0</v>
      </c>
      <c r="Q1566" s="105">
        <f>COUNTIFS('2024数据'!$X$3:$X$152,"&gt;="&amp;DATE(2024,12,1),'2024数据'!$X$3:$X$152,"&lt;="&amp;DATE(2024,12,31),'2024数据'!$AF$3:$AF$152,$E1566)</f>
        <v>0</v>
      </c>
    </row>
    <row r="1567" ht="24" customHeight="1" spans="1:17">
      <c r="A1567" s="99" t="s">
        <v>349</v>
      </c>
      <c r="B1567" s="99" t="s">
        <v>299</v>
      </c>
      <c r="C1567" s="99" t="s">
        <v>291</v>
      </c>
      <c r="D1567" s="100" t="s">
        <v>292</v>
      </c>
      <c r="E1567" s="100" t="s">
        <v>307</v>
      </c>
      <c r="F1567" s="104">
        <f t="shared" ref="F1567:Q1567" si="1122">SUM(F1568:F1570)</f>
        <v>2</v>
      </c>
      <c r="G1567" s="104">
        <f t="shared" si="1122"/>
        <v>0</v>
      </c>
      <c r="H1567" s="104">
        <f t="shared" si="1122"/>
        <v>0</v>
      </c>
      <c r="I1567" s="104">
        <f t="shared" si="1122"/>
        <v>0</v>
      </c>
      <c r="J1567" s="104">
        <f t="shared" si="1122"/>
        <v>1</v>
      </c>
      <c r="K1567" s="104">
        <f t="shared" si="1122"/>
        <v>0</v>
      </c>
      <c r="L1567" s="104">
        <f t="shared" si="1122"/>
        <v>2</v>
      </c>
      <c r="M1567" s="104">
        <f t="shared" si="1122"/>
        <v>0</v>
      </c>
      <c r="N1567" s="104">
        <f t="shared" si="1122"/>
        <v>0</v>
      </c>
      <c r="O1567" s="104">
        <f t="shared" si="1122"/>
        <v>0</v>
      </c>
      <c r="P1567" s="104">
        <f t="shared" si="1122"/>
        <v>0</v>
      </c>
      <c r="Q1567" s="104">
        <f t="shared" si="1122"/>
        <v>2</v>
      </c>
    </row>
    <row r="1568" ht="24" customHeight="1" spans="1:17">
      <c r="A1568" s="99" t="s">
        <v>349</v>
      </c>
      <c r="B1568" s="99" t="s">
        <v>299</v>
      </c>
      <c r="C1568" s="99" t="s">
        <v>291</v>
      </c>
      <c r="D1568" s="48" t="s">
        <v>298</v>
      </c>
      <c r="E1568" s="48" t="s">
        <v>97</v>
      </c>
      <c r="F1568" s="105">
        <f>COUNTIFS('2024数据'!$X$3:$X$152,"&gt;="&amp;DATE(2024,1,1),'2024数据'!$X$3:$X$152,"&lt;="&amp;DATE(2024,1,31),'2024数据'!$AG$3:$AG$152,$E1568)</f>
        <v>0</v>
      </c>
      <c r="G1568" s="105">
        <f>COUNTIFS('2024数据'!$X$3:$X$152,"&gt;="&amp;DATE(2024,2,1),'2024数据'!$X$3:$X$152,"&lt;="&amp;DATE(2024,2,29),'2024数据'!$AG$3:$AG$152,$E1568)</f>
        <v>0</v>
      </c>
      <c r="H1568" s="105">
        <f>COUNTIFS('2024数据'!$X$3:$X$152,"&gt;="&amp;DATE(2024,3,1),'2024数据'!$X$3:$X$152,"&lt;="&amp;DATE(2024,3,31),'2024数据'!$AG$3:$AG$152,$E1568)</f>
        <v>0</v>
      </c>
      <c r="I1568" s="105">
        <f>COUNTIFS('2024数据'!$X$3:$X$152,"&gt;="&amp;DATE(2024,4,1),'2024数据'!$X$3:$X$152,"&lt;="&amp;DATE(2024,4,30),'2024数据'!$AG$3:$AG$152,$E1568)</f>
        <v>0</v>
      </c>
      <c r="J1568" s="105">
        <f>COUNTIFS('2024数据'!$X$3:$X$152,"&gt;="&amp;DATE(2024,5,1),'2024数据'!$X$3:$X$152,"&lt;="&amp;DATE(2024,5,31),'2024数据'!$AG$3:$AG$152,$E1568)</f>
        <v>0</v>
      </c>
      <c r="K1568" s="105">
        <f>COUNTIFS('2024数据'!$X$3:$X$152,"&gt;="&amp;DATE(2024,6,1),'2024数据'!$X$3:$X$152,"&lt;="&amp;DATE(2024,6,30),'2024数据'!$AG$3:$AG$152,$E1568)</f>
        <v>0</v>
      </c>
      <c r="L1568" s="105">
        <f>COUNTIFS('2024数据'!$X$3:$X$152,"&gt;="&amp;DATE(2024,7,1),'2024数据'!$X$3:$X$152,"&lt;="&amp;DATE(2024,7,31),'2024数据'!$AG$3:$AG$152,$E1568)</f>
        <v>0</v>
      </c>
      <c r="M1568" s="105">
        <f>COUNTIFS('2024数据'!$X$3:$X$152,"&gt;="&amp;DATE(2024,8,1),'2024数据'!$X$3:$X$152,"&lt;="&amp;DATE(2024,8,31),'2024数据'!$AG$3:$AG$152,$E1568)</f>
        <v>0</v>
      </c>
      <c r="N1568" s="105">
        <f>COUNTIFS('2024数据'!$X$3:$X$152,"&gt;="&amp;DATE(2024,9,1),'2024数据'!$X$3:$X$152,"&lt;="&amp;DATE(2024,9,30),'2024数据'!$AG$3:$AG$152,$E1568)</f>
        <v>0</v>
      </c>
      <c r="O1568" s="105">
        <f>COUNTIFS('2024数据'!$X$3:$X$152,"&gt;="&amp;DATE(2024,10,1),'2024数据'!$X$3:$X$152,"&lt;="&amp;DATE(2024,10,31),'2024数据'!$AG$3:$AG$152,$E1568)</f>
        <v>0</v>
      </c>
      <c r="P1568" s="105">
        <f>COUNTIFS('2024数据'!$X$3:$X$152,"&gt;="&amp;DATE(2024,11,1),'2024数据'!$X$3:$X$152,"&lt;="&amp;DATE(2024,11,30),'2024数据'!$AG$3:$AG$152,$E1568)</f>
        <v>0</v>
      </c>
      <c r="Q1568" s="105">
        <f>COUNTIFS('2024数据'!$X$3:$X$152,"&gt;="&amp;DATE(2024,12,1),'2024数据'!$X$3:$X$152,"&lt;="&amp;DATE(2024,12,31),'2024数据'!$AG$3:$AG$152,$E1568)</f>
        <v>0</v>
      </c>
    </row>
    <row r="1569" ht="24" customHeight="1" spans="1:17">
      <c r="A1569" s="99" t="s">
        <v>349</v>
      </c>
      <c r="B1569" s="99" t="s">
        <v>299</v>
      </c>
      <c r="C1569" s="99" t="s">
        <v>291</v>
      </c>
      <c r="D1569" s="48" t="s">
        <v>298</v>
      </c>
      <c r="E1569" s="48" t="s">
        <v>87</v>
      </c>
      <c r="F1569" s="105">
        <f>COUNTIFS('2024数据'!$X$3:$X$152,"&gt;="&amp;DATE(2024,1,1),'2024数据'!$X$3:$X$152,"&lt;="&amp;DATE(2024,1,31),'2024数据'!$AG$3:$AG$152,$E1569)</f>
        <v>2</v>
      </c>
      <c r="G1569" s="105">
        <f>COUNTIFS('2024数据'!$X$3:$X$152,"&gt;="&amp;DATE(2024,2,1),'2024数据'!$X$3:$X$152,"&lt;="&amp;DATE(2024,2,29),'2024数据'!$AG$3:$AG$152,$E1569)</f>
        <v>0</v>
      </c>
      <c r="H1569" s="105">
        <f>COUNTIFS('2024数据'!$X$3:$X$152,"&gt;="&amp;DATE(2024,3,1),'2024数据'!$X$3:$X$152,"&lt;="&amp;DATE(2024,3,31),'2024数据'!$AG$3:$AG$152,$E1569)</f>
        <v>0</v>
      </c>
      <c r="I1569" s="105">
        <f>COUNTIFS('2024数据'!$X$3:$X$152,"&gt;="&amp;DATE(2024,4,1),'2024数据'!$X$3:$X$152,"&lt;="&amp;DATE(2024,4,30),'2024数据'!$AG$3:$AG$152,$E1569)</f>
        <v>0</v>
      </c>
      <c r="J1569" s="105">
        <f>COUNTIFS('2024数据'!$X$3:$X$152,"&gt;="&amp;DATE(2024,5,1),'2024数据'!$X$3:$X$152,"&lt;="&amp;DATE(2024,5,31),'2024数据'!$AG$3:$AG$152,$E1569)</f>
        <v>1</v>
      </c>
      <c r="K1569" s="105">
        <f>COUNTIFS('2024数据'!$X$3:$X$152,"&gt;="&amp;DATE(2024,6,1),'2024数据'!$X$3:$X$152,"&lt;="&amp;DATE(2024,6,30),'2024数据'!$AG$3:$AG$152,$E1569)</f>
        <v>0</v>
      </c>
      <c r="L1569" s="105">
        <f>COUNTIFS('2024数据'!$X$3:$X$152,"&gt;="&amp;DATE(2024,7,1),'2024数据'!$X$3:$X$152,"&lt;="&amp;DATE(2024,7,31),'2024数据'!$AG$3:$AG$152,$E1569)</f>
        <v>2</v>
      </c>
      <c r="M1569" s="105">
        <f>COUNTIFS('2024数据'!$X$3:$X$152,"&gt;="&amp;DATE(2024,8,1),'2024数据'!$X$3:$X$152,"&lt;="&amp;DATE(2024,8,31),'2024数据'!$AG$3:$AG$152,$E1569)</f>
        <v>0</v>
      </c>
      <c r="N1569" s="105">
        <f>COUNTIFS('2024数据'!$X$3:$X$152,"&gt;="&amp;DATE(2024,9,1),'2024数据'!$X$3:$X$152,"&lt;="&amp;DATE(2024,9,30),'2024数据'!$AG$3:$AG$152,$E1569)</f>
        <v>0</v>
      </c>
      <c r="O1569" s="105">
        <f>COUNTIFS('2024数据'!$X$3:$X$152,"&gt;="&amp;DATE(2024,10,1),'2024数据'!$X$3:$X$152,"&lt;="&amp;DATE(2024,10,31),'2024数据'!$AG$3:$AG$152,$E1569)</f>
        <v>0</v>
      </c>
      <c r="P1569" s="105">
        <f>COUNTIFS('2024数据'!$X$3:$X$152,"&gt;="&amp;DATE(2024,11,1),'2024数据'!$X$3:$X$152,"&lt;="&amp;DATE(2024,11,30),'2024数据'!$AG$3:$AG$152,$E1569)</f>
        <v>0</v>
      </c>
      <c r="Q1569" s="105">
        <f>COUNTIFS('2024数据'!$X$3:$X$152,"&gt;="&amp;DATE(2024,12,1),'2024数据'!$X$3:$X$152,"&lt;="&amp;DATE(2024,12,31),'2024数据'!$AG$3:$AG$152,$E1569)</f>
        <v>2</v>
      </c>
    </row>
    <row r="1570" ht="24" customHeight="1" spans="1:17">
      <c r="A1570" s="99" t="s">
        <v>349</v>
      </c>
      <c r="B1570" s="99" t="s">
        <v>299</v>
      </c>
      <c r="C1570" s="99" t="s">
        <v>291</v>
      </c>
      <c r="D1570" s="48" t="s">
        <v>298</v>
      </c>
      <c r="E1570" s="48" t="s">
        <v>83</v>
      </c>
      <c r="F1570" s="105">
        <f>COUNTIFS('2024数据'!$X$3:$X$152,"&gt;="&amp;DATE(2024,1,1),'2024数据'!$X$3:$X$152,"&lt;="&amp;DATE(2024,1,31),'2024数据'!$AG$3:$AG$152,$E1570)</f>
        <v>0</v>
      </c>
      <c r="G1570" s="105">
        <f>COUNTIFS('2024数据'!$X$3:$X$152,"&gt;="&amp;DATE(2024,2,1),'2024数据'!$X$3:$X$152,"&lt;="&amp;DATE(2024,2,29),'2024数据'!$AG$3:$AG$152,$E1570)</f>
        <v>0</v>
      </c>
      <c r="H1570" s="105">
        <f>COUNTIFS('2024数据'!$X$3:$X$152,"&gt;="&amp;DATE(2024,3,1),'2024数据'!$X$3:$X$152,"&lt;="&amp;DATE(2024,3,31),'2024数据'!$AG$3:$AG$152,$E1570)</f>
        <v>0</v>
      </c>
      <c r="I1570" s="105">
        <f>COUNTIFS('2024数据'!$X$3:$X$152,"&gt;="&amp;DATE(2024,4,1),'2024数据'!$X$3:$X$152,"&lt;="&amp;DATE(2024,4,30),'2024数据'!$AG$3:$AG$152,$E1570)</f>
        <v>0</v>
      </c>
      <c r="J1570" s="105">
        <f>COUNTIFS('2024数据'!$X$3:$X$152,"&gt;="&amp;DATE(2024,5,1),'2024数据'!$X$3:$X$152,"&lt;="&amp;DATE(2024,5,31),'2024数据'!$AG$3:$AG$152,$E1570)</f>
        <v>0</v>
      </c>
      <c r="K1570" s="105">
        <f>COUNTIFS('2024数据'!$X$3:$X$152,"&gt;="&amp;DATE(2024,6,1),'2024数据'!$X$3:$X$152,"&lt;="&amp;DATE(2024,6,30),'2024数据'!$AG$3:$AG$152,$E1570)</f>
        <v>0</v>
      </c>
      <c r="L1570" s="105">
        <f>COUNTIFS('2024数据'!$X$3:$X$152,"&gt;="&amp;DATE(2024,7,1),'2024数据'!$X$3:$X$152,"&lt;="&amp;DATE(2024,7,31),'2024数据'!$AG$3:$AG$152,$E1570)</f>
        <v>0</v>
      </c>
      <c r="M1570" s="105">
        <f>COUNTIFS('2024数据'!$X$3:$X$152,"&gt;="&amp;DATE(2024,8,1),'2024数据'!$X$3:$X$152,"&lt;="&amp;DATE(2024,8,31),'2024数据'!$AG$3:$AG$152,$E1570)</f>
        <v>0</v>
      </c>
      <c r="N1570" s="105">
        <f>COUNTIFS('2024数据'!$X$3:$X$152,"&gt;="&amp;DATE(2024,9,1),'2024数据'!$X$3:$X$152,"&lt;="&amp;DATE(2024,9,30),'2024数据'!$AG$3:$AG$152,$E1570)</f>
        <v>0</v>
      </c>
      <c r="O1570" s="105">
        <f>COUNTIFS('2024数据'!$X$3:$X$152,"&gt;="&amp;DATE(2024,10,1),'2024数据'!$X$3:$X$152,"&lt;="&amp;DATE(2024,10,31),'2024数据'!$AG$3:$AG$152,$E1570)</f>
        <v>0</v>
      </c>
      <c r="P1570" s="105">
        <f>COUNTIFS('2024数据'!$X$3:$X$152,"&gt;="&amp;DATE(2024,11,1),'2024数据'!$X$3:$X$152,"&lt;="&amp;DATE(2024,11,30),'2024数据'!$AG$3:$AG$152,$E1570)</f>
        <v>0</v>
      </c>
      <c r="Q1570" s="105">
        <f>COUNTIFS('2024数据'!$X$3:$X$152,"&gt;="&amp;DATE(2024,12,1),'2024数据'!$X$3:$X$152,"&lt;="&amp;DATE(2024,12,31),'2024数据'!$AG$3:$AG$152,$E1570)</f>
        <v>0</v>
      </c>
    </row>
    <row r="1571" ht="24" customHeight="1" spans="1:17">
      <c r="A1571" s="99" t="s">
        <v>349</v>
      </c>
      <c r="B1571" s="99" t="s">
        <v>308</v>
      </c>
      <c r="C1571" s="99" t="s">
        <v>309</v>
      </c>
      <c r="D1571" s="100" t="s">
        <v>292</v>
      </c>
      <c r="E1571" s="100" t="s">
        <v>310</v>
      </c>
      <c r="F1571" s="104">
        <f t="shared" ref="F1571:Q1571" si="1123">IF((SUM(F1572:F1577)-MAX(F1589,F1596))&lt;0,"ERR",SUM(F1572:F1577))</f>
        <v>1</v>
      </c>
      <c r="G1571" s="104">
        <f t="shared" si="1123"/>
        <v>1</v>
      </c>
      <c r="H1571" s="104">
        <f t="shared" si="1123"/>
        <v>1</v>
      </c>
      <c r="I1571" s="104">
        <f t="shared" si="1123"/>
        <v>1</v>
      </c>
      <c r="J1571" s="104">
        <f t="shared" si="1123"/>
        <v>0</v>
      </c>
      <c r="K1571" s="104">
        <f t="shared" si="1123"/>
        <v>0</v>
      </c>
      <c r="L1571" s="104">
        <f t="shared" si="1123"/>
        <v>0</v>
      </c>
      <c r="M1571" s="104">
        <f t="shared" si="1123"/>
        <v>0</v>
      </c>
      <c r="N1571" s="104">
        <f t="shared" si="1123"/>
        <v>0</v>
      </c>
      <c r="O1571" s="104">
        <f t="shared" si="1123"/>
        <v>0</v>
      </c>
      <c r="P1571" s="104">
        <f t="shared" si="1123"/>
        <v>0</v>
      </c>
      <c r="Q1571" s="104">
        <f t="shared" si="1123"/>
        <v>0</v>
      </c>
    </row>
    <row r="1572" ht="24" customHeight="1" spans="1:17">
      <c r="A1572" s="99" t="s">
        <v>349</v>
      </c>
      <c r="B1572" s="99" t="s">
        <v>308</v>
      </c>
      <c r="C1572" s="99" t="s">
        <v>309</v>
      </c>
      <c r="D1572" s="48" t="s">
        <v>31</v>
      </c>
      <c r="E1572" s="48" t="s">
        <v>406</v>
      </c>
      <c r="F1572" s="105">
        <f t="shared" ref="F1572:Q1572" si="1124">F1604-F1624</f>
        <v>0</v>
      </c>
      <c r="G1572" s="105">
        <f t="shared" si="1124"/>
        <v>0</v>
      </c>
      <c r="H1572" s="105">
        <f t="shared" si="1124"/>
        <v>0</v>
      </c>
      <c r="I1572" s="105">
        <f t="shared" si="1124"/>
        <v>0</v>
      </c>
      <c r="J1572" s="105">
        <f t="shared" si="1124"/>
        <v>0</v>
      </c>
      <c r="K1572" s="105">
        <f t="shared" si="1124"/>
        <v>0</v>
      </c>
      <c r="L1572" s="105">
        <f t="shared" si="1124"/>
        <v>0</v>
      </c>
      <c r="M1572" s="105">
        <f t="shared" si="1124"/>
        <v>0</v>
      </c>
      <c r="N1572" s="105">
        <f t="shared" si="1124"/>
        <v>0</v>
      </c>
      <c r="O1572" s="105">
        <f t="shared" si="1124"/>
        <v>0</v>
      </c>
      <c r="P1572" s="105">
        <f t="shared" si="1124"/>
        <v>0</v>
      </c>
      <c r="Q1572" s="105">
        <f t="shared" si="1124"/>
        <v>0</v>
      </c>
    </row>
    <row r="1573" ht="24" customHeight="1" spans="1:17">
      <c r="A1573" s="99" t="s">
        <v>349</v>
      </c>
      <c r="B1573" s="99" t="s">
        <v>308</v>
      </c>
      <c r="C1573" s="99" t="s">
        <v>309</v>
      </c>
      <c r="D1573" s="48" t="s">
        <v>31</v>
      </c>
      <c r="E1573" s="48" t="s">
        <v>82</v>
      </c>
      <c r="F1573" s="105">
        <f t="shared" ref="F1573:Q1573" si="1125">F1605-F1625</f>
        <v>0</v>
      </c>
      <c r="G1573" s="105">
        <f t="shared" si="1125"/>
        <v>0</v>
      </c>
      <c r="H1573" s="105">
        <f t="shared" si="1125"/>
        <v>0</v>
      </c>
      <c r="I1573" s="105">
        <f t="shared" si="1125"/>
        <v>0</v>
      </c>
      <c r="J1573" s="105">
        <f t="shared" si="1125"/>
        <v>0</v>
      </c>
      <c r="K1573" s="105">
        <f t="shared" si="1125"/>
        <v>0</v>
      </c>
      <c r="L1573" s="105">
        <f t="shared" si="1125"/>
        <v>0</v>
      </c>
      <c r="M1573" s="105">
        <f t="shared" si="1125"/>
        <v>0</v>
      </c>
      <c r="N1573" s="105">
        <f t="shared" si="1125"/>
        <v>0</v>
      </c>
      <c r="O1573" s="105">
        <f t="shared" si="1125"/>
        <v>0</v>
      </c>
      <c r="P1573" s="105">
        <f t="shared" si="1125"/>
        <v>0</v>
      </c>
      <c r="Q1573" s="105">
        <f t="shared" si="1125"/>
        <v>0</v>
      </c>
    </row>
    <row r="1574" ht="24" customHeight="1" spans="1:17">
      <c r="A1574" s="99" t="s">
        <v>349</v>
      </c>
      <c r="B1574" s="99" t="s">
        <v>308</v>
      </c>
      <c r="C1574" s="99" t="s">
        <v>309</v>
      </c>
      <c r="D1574" s="48" t="s">
        <v>31</v>
      </c>
      <c r="E1574" s="48" t="s">
        <v>86</v>
      </c>
      <c r="F1574" s="105">
        <f t="shared" ref="F1574:Q1574" si="1126">F1606-F1626</f>
        <v>0</v>
      </c>
      <c r="G1574" s="105">
        <f t="shared" si="1126"/>
        <v>0</v>
      </c>
      <c r="H1574" s="105">
        <f t="shared" si="1126"/>
        <v>0</v>
      </c>
      <c r="I1574" s="105">
        <f t="shared" si="1126"/>
        <v>0</v>
      </c>
      <c r="J1574" s="105">
        <f t="shared" si="1126"/>
        <v>0</v>
      </c>
      <c r="K1574" s="105">
        <f t="shared" si="1126"/>
        <v>0</v>
      </c>
      <c r="L1574" s="105">
        <f t="shared" si="1126"/>
        <v>0</v>
      </c>
      <c r="M1574" s="105">
        <f t="shared" si="1126"/>
        <v>0</v>
      </c>
      <c r="N1574" s="105">
        <f t="shared" si="1126"/>
        <v>0</v>
      </c>
      <c r="O1574" s="105">
        <f t="shared" si="1126"/>
        <v>0</v>
      </c>
      <c r="P1574" s="105">
        <f t="shared" si="1126"/>
        <v>0</v>
      </c>
      <c r="Q1574" s="105">
        <f t="shared" si="1126"/>
        <v>0</v>
      </c>
    </row>
    <row r="1575" ht="24" customHeight="1" spans="1:17">
      <c r="A1575" s="99" t="s">
        <v>349</v>
      </c>
      <c r="B1575" s="99" t="s">
        <v>308</v>
      </c>
      <c r="C1575" s="99" t="s">
        <v>309</v>
      </c>
      <c r="D1575" s="48" t="s">
        <v>31</v>
      </c>
      <c r="E1575" s="48" t="s">
        <v>97</v>
      </c>
      <c r="F1575" s="105">
        <f t="shared" ref="F1575:Q1575" si="1127">F1607-F1627</f>
        <v>0</v>
      </c>
      <c r="G1575" s="105">
        <f t="shared" si="1127"/>
        <v>0</v>
      </c>
      <c r="H1575" s="105">
        <f t="shared" si="1127"/>
        <v>0</v>
      </c>
      <c r="I1575" s="105">
        <f t="shared" si="1127"/>
        <v>0</v>
      </c>
      <c r="J1575" s="105">
        <f t="shared" si="1127"/>
        <v>0</v>
      </c>
      <c r="K1575" s="105">
        <f t="shared" si="1127"/>
        <v>0</v>
      </c>
      <c r="L1575" s="105">
        <f t="shared" si="1127"/>
        <v>0</v>
      </c>
      <c r="M1575" s="105">
        <f t="shared" si="1127"/>
        <v>0</v>
      </c>
      <c r="N1575" s="105">
        <f t="shared" si="1127"/>
        <v>0</v>
      </c>
      <c r="O1575" s="105">
        <f t="shared" si="1127"/>
        <v>0</v>
      </c>
      <c r="P1575" s="105">
        <f t="shared" si="1127"/>
        <v>0</v>
      </c>
      <c r="Q1575" s="105">
        <f t="shared" si="1127"/>
        <v>0</v>
      </c>
    </row>
    <row r="1576" ht="24" customHeight="1" spans="1:17">
      <c r="A1576" s="99" t="s">
        <v>349</v>
      </c>
      <c r="B1576" s="99" t="s">
        <v>308</v>
      </c>
      <c r="C1576" s="99" t="s">
        <v>309</v>
      </c>
      <c r="D1576" s="48" t="s">
        <v>31</v>
      </c>
      <c r="E1576" s="48" t="s">
        <v>87</v>
      </c>
      <c r="F1576" s="105">
        <f t="shared" ref="F1576:Q1576" si="1128">F1608-F1628</f>
        <v>1</v>
      </c>
      <c r="G1576" s="105">
        <f t="shared" si="1128"/>
        <v>1</v>
      </c>
      <c r="H1576" s="105">
        <f t="shared" si="1128"/>
        <v>1</v>
      </c>
      <c r="I1576" s="105">
        <f t="shared" si="1128"/>
        <v>1</v>
      </c>
      <c r="J1576" s="105">
        <f t="shared" si="1128"/>
        <v>0</v>
      </c>
      <c r="K1576" s="105">
        <f t="shared" si="1128"/>
        <v>0</v>
      </c>
      <c r="L1576" s="105">
        <f t="shared" si="1128"/>
        <v>0</v>
      </c>
      <c r="M1576" s="105">
        <f t="shared" si="1128"/>
        <v>0</v>
      </c>
      <c r="N1576" s="105">
        <f t="shared" si="1128"/>
        <v>0</v>
      </c>
      <c r="O1576" s="105">
        <f t="shared" si="1128"/>
        <v>0</v>
      </c>
      <c r="P1576" s="105">
        <f t="shared" si="1128"/>
        <v>0</v>
      </c>
      <c r="Q1576" s="105">
        <f t="shared" si="1128"/>
        <v>0</v>
      </c>
    </row>
    <row r="1577" ht="24" customHeight="1" spans="1:17">
      <c r="A1577" s="99" t="s">
        <v>349</v>
      </c>
      <c r="B1577" s="99" t="s">
        <v>308</v>
      </c>
      <c r="C1577" s="99" t="s">
        <v>309</v>
      </c>
      <c r="D1577" s="48" t="s">
        <v>31</v>
      </c>
      <c r="E1577" s="48" t="s">
        <v>83</v>
      </c>
      <c r="F1577" s="105">
        <f t="shared" ref="F1577:Q1577" si="1129">F1609-F1629</f>
        <v>0</v>
      </c>
      <c r="G1577" s="105">
        <f t="shared" si="1129"/>
        <v>0</v>
      </c>
      <c r="H1577" s="105">
        <f t="shared" si="1129"/>
        <v>0</v>
      </c>
      <c r="I1577" s="105">
        <f t="shared" si="1129"/>
        <v>0</v>
      </c>
      <c r="J1577" s="105">
        <f t="shared" si="1129"/>
        <v>0</v>
      </c>
      <c r="K1577" s="105">
        <f t="shared" si="1129"/>
        <v>0</v>
      </c>
      <c r="L1577" s="105">
        <f t="shared" si="1129"/>
        <v>0</v>
      </c>
      <c r="M1577" s="105">
        <f t="shared" si="1129"/>
        <v>0</v>
      </c>
      <c r="N1577" s="105">
        <f t="shared" si="1129"/>
        <v>0</v>
      </c>
      <c r="O1577" s="105">
        <f t="shared" si="1129"/>
        <v>0</v>
      </c>
      <c r="P1577" s="105">
        <f t="shared" si="1129"/>
        <v>0</v>
      </c>
      <c r="Q1577" s="105">
        <f t="shared" si="1129"/>
        <v>0</v>
      </c>
    </row>
    <row r="1578" ht="24" customHeight="1" spans="1:17">
      <c r="A1578" s="99" t="s">
        <v>349</v>
      </c>
      <c r="B1578" s="99" t="s">
        <v>308</v>
      </c>
      <c r="C1578" s="99" t="s">
        <v>309</v>
      </c>
      <c r="D1578" s="48" t="s">
        <v>311</v>
      </c>
      <c r="E1578" s="48" t="s">
        <v>406</v>
      </c>
      <c r="F1578" s="112">
        <f t="shared" ref="F1578:Q1578" si="1130">IFERROR(F1572/F1571,"-")</f>
        <v>0</v>
      </c>
      <c r="G1578" s="112">
        <f t="shared" si="1130"/>
        <v>0</v>
      </c>
      <c r="H1578" s="112">
        <f t="shared" si="1130"/>
        <v>0</v>
      </c>
      <c r="I1578" s="112">
        <f t="shared" si="1130"/>
        <v>0</v>
      </c>
      <c r="J1578" s="112" t="str">
        <f t="shared" si="1130"/>
        <v>-</v>
      </c>
      <c r="K1578" s="112" t="str">
        <f t="shared" si="1130"/>
        <v>-</v>
      </c>
      <c r="L1578" s="112" t="str">
        <f t="shared" si="1130"/>
        <v>-</v>
      </c>
      <c r="M1578" s="112" t="str">
        <f t="shared" si="1130"/>
        <v>-</v>
      </c>
      <c r="N1578" s="112" t="str">
        <f t="shared" si="1130"/>
        <v>-</v>
      </c>
      <c r="O1578" s="112" t="str">
        <f t="shared" si="1130"/>
        <v>-</v>
      </c>
      <c r="P1578" s="112" t="str">
        <f t="shared" si="1130"/>
        <v>-</v>
      </c>
      <c r="Q1578" s="112" t="str">
        <f t="shared" si="1130"/>
        <v>-</v>
      </c>
    </row>
    <row r="1579" ht="24" customHeight="1" spans="1:17">
      <c r="A1579" s="99" t="s">
        <v>349</v>
      </c>
      <c r="B1579" s="99" t="s">
        <v>308</v>
      </c>
      <c r="C1579" s="99" t="s">
        <v>309</v>
      </c>
      <c r="D1579" s="48" t="s">
        <v>311</v>
      </c>
      <c r="E1579" s="48" t="s">
        <v>82</v>
      </c>
      <c r="F1579" s="112">
        <f t="shared" ref="F1579:Q1579" si="1131">IFERROR(F1573/F1571,"-")</f>
        <v>0</v>
      </c>
      <c r="G1579" s="112">
        <f t="shared" si="1131"/>
        <v>0</v>
      </c>
      <c r="H1579" s="112">
        <f t="shared" si="1131"/>
        <v>0</v>
      </c>
      <c r="I1579" s="112">
        <f t="shared" si="1131"/>
        <v>0</v>
      </c>
      <c r="J1579" s="112" t="str">
        <f t="shared" si="1131"/>
        <v>-</v>
      </c>
      <c r="K1579" s="112" t="str">
        <f t="shared" si="1131"/>
        <v>-</v>
      </c>
      <c r="L1579" s="112" t="str">
        <f t="shared" si="1131"/>
        <v>-</v>
      </c>
      <c r="M1579" s="112" t="str">
        <f t="shared" si="1131"/>
        <v>-</v>
      </c>
      <c r="N1579" s="112" t="str">
        <f t="shared" si="1131"/>
        <v>-</v>
      </c>
      <c r="O1579" s="112" t="str">
        <f t="shared" si="1131"/>
        <v>-</v>
      </c>
      <c r="P1579" s="112" t="str">
        <f t="shared" si="1131"/>
        <v>-</v>
      </c>
      <c r="Q1579" s="112" t="str">
        <f t="shared" si="1131"/>
        <v>-</v>
      </c>
    </row>
    <row r="1580" ht="24" customHeight="1" spans="1:17">
      <c r="A1580" s="99" t="s">
        <v>349</v>
      </c>
      <c r="B1580" s="99" t="s">
        <v>308</v>
      </c>
      <c r="C1580" s="99" t="s">
        <v>309</v>
      </c>
      <c r="D1580" s="48" t="s">
        <v>311</v>
      </c>
      <c r="E1580" s="48" t="s">
        <v>86</v>
      </c>
      <c r="F1580" s="112">
        <f t="shared" ref="F1580:Q1580" si="1132">IFERROR(F1574/F1571,"-")</f>
        <v>0</v>
      </c>
      <c r="G1580" s="112">
        <f t="shared" si="1132"/>
        <v>0</v>
      </c>
      <c r="H1580" s="112">
        <f t="shared" si="1132"/>
        <v>0</v>
      </c>
      <c r="I1580" s="112">
        <f t="shared" si="1132"/>
        <v>0</v>
      </c>
      <c r="J1580" s="112" t="str">
        <f t="shared" si="1132"/>
        <v>-</v>
      </c>
      <c r="K1580" s="112" t="str">
        <f t="shared" si="1132"/>
        <v>-</v>
      </c>
      <c r="L1580" s="112" t="str">
        <f t="shared" si="1132"/>
        <v>-</v>
      </c>
      <c r="M1580" s="112" t="str">
        <f t="shared" si="1132"/>
        <v>-</v>
      </c>
      <c r="N1580" s="112" t="str">
        <f t="shared" si="1132"/>
        <v>-</v>
      </c>
      <c r="O1580" s="112" t="str">
        <f t="shared" si="1132"/>
        <v>-</v>
      </c>
      <c r="P1580" s="112" t="str">
        <f t="shared" si="1132"/>
        <v>-</v>
      </c>
      <c r="Q1580" s="112" t="str">
        <f t="shared" si="1132"/>
        <v>-</v>
      </c>
    </row>
    <row r="1581" ht="24" customHeight="1" spans="1:17">
      <c r="A1581" s="99" t="s">
        <v>349</v>
      </c>
      <c r="B1581" s="99" t="s">
        <v>308</v>
      </c>
      <c r="C1581" s="99" t="s">
        <v>309</v>
      </c>
      <c r="D1581" s="48" t="s">
        <v>311</v>
      </c>
      <c r="E1581" s="48" t="s">
        <v>97</v>
      </c>
      <c r="F1581" s="112">
        <f t="shared" ref="F1581:Q1581" si="1133">IFERROR(F1575/F1571,"-")</f>
        <v>0</v>
      </c>
      <c r="G1581" s="112">
        <f t="shared" si="1133"/>
        <v>0</v>
      </c>
      <c r="H1581" s="112">
        <f t="shared" si="1133"/>
        <v>0</v>
      </c>
      <c r="I1581" s="112">
        <f t="shared" si="1133"/>
        <v>0</v>
      </c>
      <c r="J1581" s="112" t="str">
        <f t="shared" si="1133"/>
        <v>-</v>
      </c>
      <c r="K1581" s="112" t="str">
        <f t="shared" si="1133"/>
        <v>-</v>
      </c>
      <c r="L1581" s="112" t="str">
        <f t="shared" si="1133"/>
        <v>-</v>
      </c>
      <c r="M1581" s="112" t="str">
        <f t="shared" si="1133"/>
        <v>-</v>
      </c>
      <c r="N1581" s="112" t="str">
        <f t="shared" si="1133"/>
        <v>-</v>
      </c>
      <c r="O1581" s="112" t="str">
        <f t="shared" si="1133"/>
        <v>-</v>
      </c>
      <c r="P1581" s="112" t="str">
        <f t="shared" si="1133"/>
        <v>-</v>
      </c>
      <c r="Q1581" s="112" t="str">
        <f t="shared" si="1133"/>
        <v>-</v>
      </c>
    </row>
    <row r="1582" ht="24" customHeight="1" spans="1:17">
      <c r="A1582" s="99" t="s">
        <v>349</v>
      </c>
      <c r="B1582" s="99" t="s">
        <v>308</v>
      </c>
      <c r="C1582" s="99" t="s">
        <v>309</v>
      </c>
      <c r="D1582" s="48" t="s">
        <v>311</v>
      </c>
      <c r="E1582" s="48" t="s">
        <v>87</v>
      </c>
      <c r="F1582" s="112">
        <f t="shared" ref="F1582:Q1582" si="1134">IFERROR(F1576/F1571,"-")</f>
        <v>1</v>
      </c>
      <c r="G1582" s="112">
        <f t="shared" si="1134"/>
        <v>1</v>
      </c>
      <c r="H1582" s="112">
        <f t="shared" si="1134"/>
        <v>1</v>
      </c>
      <c r="I1582" s="112">
        <f t="shared" si="1134"/>
        <v>1</v>
      </c>
      <c r="J1582" s="112" t="str">
        <f t="shared" si="1134"/>
        <v>-</v>
      </c>
      <c r="K1582" s="112" t="str">
        <f t="shared" si="1134"/>
        <v>-</v>
      </c>
      <c r="L1582" s="112" t="str">
        <f t="shared" si="1134"/>
        <v>-</v>
      </c>
      <c r="M1582" s="112" t="str">
        <f t="shared" si="1134"/>
        <v>-</v>
      </c>
      <c r="N1582" s="112" t="str">
        <f t="shared" si="1134"/>
        <v>-</v>
      </c>
      <c r="O1582" s="112" t="str">
        <f t="shared" si="1134"/>
        <v>-</v>
      </c>
      <c r="P1582" s="112" t="str">
        <f t="shared" si="1134"/>
        <v>-</v>
      </c>
      <c r="Q1582" s="112" t="str">
        <f t="shared" si="1134"/>
        <v>-</v>
      </c>
    </row>
    <row r="1583" ht="24" customHeight="1" spans="1:17">
      <c r="A1583" s="99" t="s">
        <v>349</v>
      </c>
      <c r="B1583" s="99" t="s">
        <v>308</v>
      </c>
      <c r="C1583" s="99" t="s">
        <v>309</v>
      </c>
      <c r="D1583" s="48" t="s">
        <v>311</v>
      </c>
      <c r="E1583" s="48" t="s">
        <v>83</v>
      </c>
      <c r="F1583" s="112">
        <f t="shared" ref="F1583:Q1583" si="1135">IFERROR(F1577/F1571,"-")</f>
        <v>0</v>
      </c>
      <c r="G1583" s="112">
        <f t="shared" si="1135"/>
        <v>0</v>
      </c>
      <c r="H1583" s="112">
        <f t="shared" si="1135"/>
        <v>0</v>
      </c>
      <c r="I1583" s="112">
        <f t="shared" si="1135"/>
        <v>0</v>
      </c>
      <c r="J1583" s="112" t="str">
        <f t="shared" si="1135"/>
        <v>-</v>
      </c>
      <c r="K1583" s="112" t="str">
        <f t="shared" si="1135"/>
        <v>-</v>
      </c>
      <c r="L1583" s="112" t="str">
        <f t="shared" si="1135"/>
        <v>-</v>
      </c>
      <c r="M1583" s="112" t="str">
        <f t="shared" si="1135"/>
        <v>-</v>
      </c>
      <c r="N1583" s="112" t="str">
        <f t="shared" si="1135"/>
        <v>-</v>
      </c>
      <c r="O1583" s="112" t="str">
        <f t="shared" si="1135"/>
        <v>-</v>
      </c>
      <c r="P1583" s="112" t="str">
        <f t="shared" si="1135"/>
        <v>-</v>
      </c>
      <c r="Q1583" s="112" t="str">
        <f t="shared" si="1135"/>
        <v>-</v>
      </c>
    </row>
    <row r="1584" ht="24" customHeight="1" spans="1:17">
      <c r="A1584" s="99" t="s">
        <v>349</v>
      </c>
      <c r="B1584" s="99" t="s">
        <v>308</v>
      </c>
      <c r="C1584" s="99" t="s">
        <v>309</v>
      </c>
      <c r="D1584" s="47" t="s">
        <v>294</v>
      </c>
      <c r="E1584" s="47" t="s">
        <v>93</v>
      </c>
      <c r="F1584" s="106">
        <f t="shared" ref="F1584:Q1584" si="1136">F1610-F1636</f>
        <v>1</v>
      </c>
      <c r="G1584" s="106">
        <f t="shared" si="1136"/>
        <v>1</v>
      </c>
      <c r="H1584" s="106">
        <f t="shared" si="1136"/>
        <v>1</v>
      </c>
      <c r="I1584" s="106">
        <f t="shared" si="1136"/>
        <v>1</v>
      </c>
      <c r="J1584" s="106">
        <f t="shared" si="1136"/>
        <v>0</v>
      </c>
      <c r="K1584" s="106">
        <f t="shared" si="1136"/>
        <v>0</v>
      </c>
      <c r="L1584" s="106">
        <f t="shared" si="1136"/>
        <v>0</v>
      </c>
      <c r="M1584" s="106">
        <f t="shared" si="1136"/>
        <v>0</v>
      </c>
      <c r="N1584" s="106">
        <f t="shared" si="1136"/>
        <v>0</v>
      </c>
      <c r="O1584" s="106">
        <f t="shared" si="1136"/>
        <v>0</v>
      </c>
      <c r="P1584" s="106">
        <f t="shared" si="1136"/>
        <v>0</v>
      </c>
      <c r="Q1584" s="106">
        <f t="shared" si="1136"/>
        <v>0</v>
      </c>
    </row>
    <row r="1585" ht="24" customHeight="1" spans="1:17">
      <c r="A1585" s="99" t="s">
        <v>349</v>
      </c>
      <c r="B1585" s="99" t="s">
        <v>308</v>
      </c>
      <c r="C1585" s="99" t="s">
        <v>309</v>
      </c>
      <c r="D1585" s="47" t="s">
        <v>294</v>
      </c>
      <c r="E1585" s="47" t="s">
        <v>85</v>
      </c>
      <c r="F1585" s="106">
        <f t="shared" ref="F1585:Q1585" si="1137">F1611-F1637</f>
        <v>0</v>
      </c>
      <c r="G1585" s="106">
        <f t="shared" si="1137"/>
        <v>0</v>
      </c>
      <c r="H1585" s="106">
        <f t="shared" si="1137"/>
        <v>0</v>
      </c>
      <c r="I1585" s="106">
        <f t="shared" si="1137"/>
        <v>0</v>
      </c>
      <c r="J1585" s="106">
        <f t="shared" si="1137"/>
        <v>0</v>
      </c>
      <c r="K1585" s="106">
        <f t="shared" si="1137"/>
        <v>0</v>
      </c>
      <c r="L1585" s="106">
        <f t="shared" si="1137"/>
        <v>0</v>
      </c>
      <c r="M1585" s="106">
        <f t="shared" si="1137"/>
        <v>0</v>
      </c>
      <c r="N1585" s="106">
        <f t="shared" si="1137"/>
        <v>0</v>
      </c>
      <c r="O1585" s="106">
        <f t="shared" si="1137"/>
        <v>0</v>
      </c>
      <c r="P1585" s="106">
        <f t="shared" si="1137"/>
        <v>0</v>
      </c>
      <c r="Q1585" s="106">
        <f t="shared" si="1137"/>
        <v>0</v>
      </c>
    </row>
    <row r="1586" ht="24" customHeight="1" spans="1:17">
      <c r="A1586" s="99" t="s">
        <v>349</v>
      </c>
      <c r="B1586" s="99" t="s">
        <v>308</v>
      </c>
      <c r="C1586" s="99" t="s">
        <v>309</v>
      </c>
      <c r="D1586" s="47" t="s">
        <v>294</v>
      </c>
      <c r="E1586" s="47" t="s">
        <v>81</v>
      </c>
      <c r="F1586" s="106">
        <f t="shared" ref="F1586:Q1586" si="1138">F1612-F1638</f>
        <v>0</v>
      </c>
      <c r="G1586" s="106">
        <f t="shared" si="1138"/>
        <v>0</v>
      </c>
      <c r="H1586" s="106">
        <f t="shared" si="1138"/>
        <v>0</v>
      </c>
      <c r="I1586" s="106">
        <f t="shared" si="1138"/>
        <v>0</v>
      </c>
      <c r="J1586" s="106">
        <f t="shared" si="1138"/>
        <v>0</v>
      </c>
      <c r="K1586" s="106">
        <f t="shared" si="1138"/>
        <v>0</v>
      </c>
      <c r="L1586" s="106">
        <f t="shared" si="1138"/>
        <v>0</v>
      </c>
      <c r="M1586" s="106">
        <f t="shared" si="1138"/>
        <v>0</v>
      </c>
      <c r="N1586" s="106">
        <f t="shared" si="1138"/>
        <v>0</v>
      </c>
      <c r="O1586" s="106">
        <f t="shared" si="1138"/>
        <v>0</v>
      </c>
      <c r="P1586" s="106">
        <f t="shared" si="1138"/>
        <v>0</v>
      </c>
      <c r="Q1586" s="106">
        <f t="shared" si="1138"/>
        <v>0</v>
      </c>
    </row>
    <row r="1587" ht="24" customHeight="1" spans="1:17">
      <c r="A1587" s="99" t="s">
        <v>349</v>
      </c>
      <c r="B1587" s="99" t="s">
        <v>308</v>
      </c>
      <c r="C1587" s="99" t="s">
        <v>309</v>
      </c>
      <c r="D1587" s="47" t="s">
        <v>294</v>
      </c>
      <c r="E1587" s="47" t="s">
        <v>96</v>
      </c>
      <c r="F1587" s="106">
        <f t="shared" ref="F1587:Q1587" si="1139">F1613-F1639</f>
        <v>0</v>
      </c>
      <c r="G1587" s="106">
        <f t="shared" si="1139"/>
        <v>0</v>
      </c>
      <c r="H1587" s="106">
        <f t="shared" si="1139"/>
        <v>0</v>
      </c>
      <c r="I1587" s="106">
        <f t="shared" si="1139"/>
        <v>0</v>
      </c>
      <c r="J1587" s="106">
        <f t="shared" si="1139"/>
        <v>0</v>
      </c>
      <c r="K1587" s="106">
        <f t="shared" si="1139"/>
        <v>0</v>
      </c>
      <c r="L1587" s="106">
        <f t="shared" si="1139"/>
        <v>0</v>
      </c>
      <c r="M1587" s="106">
        <f t="shared" si="1139"/>
        <v>0</v>
      </c>
      <c r="N1587" s="106">
        <f t="shared" si="1139"/>
        <v>0</v>
      </c>
      <c r="O1587" s="106">
        <f t="shared" si="1139"/>
        <v>0</v>
      </c>
      <c r="P1587" s="106">
        <f t="shared" si="1139"/>
        <v>0</v>
      </c>
      <c r="Q1587" s="106">
        <f t="shared" si="1139"/>
        <v>0</v>
      </c>
    </row>
    <row r="1588" ht="24" customHeight="1" spans="1:17">
      <c r="A1588" s="99" t="s">
        <v>349</v>
      </c>
      <c r="B1588" s="99" t="s">
        <v>308</v>
      </c>
      <c r="C1588" s="99" t="s">
        <v>309</v>
      </c>
      <c r="D1588" s="47" t="s">
        <v>294</v>
      </c>
      <c r="E1588" s="47" t="s">
        <v>160</v>
      </c>
      <c r="F1588" s="106">
        <f t="shared" ref="F1588:Q1588" si="1140">F1614-F1640</f>
        <v>0</v>
      </c>
      <c r="G1588" s="106">
        <f t="shared" si="1140"/>
        <v>0</v>
      </c>
      <c r="H1588" s="106">
        <f t="shared" si="1140"/>
        <v>0</v>
      </c>
      <c r="I1588" s="106">
        <f t="shared" si="1140"/>
        <v>0</v>
      </c>
      <c r="J1588" s="106">
        <f t="shared" si="1140"/>
        <v>0</v>
      </c>
      <c r="K1588" s="106">
        <f t="shared" si="1140"/>
        <v>0</v>
      </c>
      <c r="L1588" s="106">
        <f t="shared" si="1140"/>
        <v>0</v>
      </c>
      <c r="M1588" s="106">
        <f t="shared" si="1140"/>
        <v>0</v>
      </c>
      <c r="N1588" s="106">
        <f t="shared" si="1140"/>
        <v>0</v>
      </c>
      <c r="O1588" s="106">
        <f t="shared" si="1140"/>
        <v>0</v>
      </c>
      <c r="P1588" s="106">
        <f t="shared" si="1140"/>
        <v>0</v>
      </c>
      <c r="Q1588" s="106">
        <f t="shared" si="1140"/>
        <v>0</v>
      </c>
    </row>
    <row r="1589" ht="24" customHeight="1" spans="1:17">
      <c r="A1589" s="99" t="s">
        <v>349</v>
      </c>
      <c r="B1589" s="99" t="s">
        <v>308</v>
      </c>
      <c r="C1589" s="99" t="s">
        <v>309</v>
      </c>
      <c r="D1589" s="100" t="s">
        <v>292</v>
      </c>
      <c r="E1589" s="100" t="s">
        <v>312</v>
      </c>
      <c r="F1589" s="104">
        <f t="shared" ref="F1589:Q1589" si="1141">SUM(F1590:F1592)</f>
        <v>0</v>
      </c>
      <c r="G1589" s="104">
        <f t="shared" si="1141"/>
        <v>0</v>
      </c>
      <c r="H1589" s="104">
        <f t="shared" si="1141"/>
        <v>0</v>
      </c>
      <c r="I1589" s="104">
        <f t="shared" si="1141"/>
        <v>0</v>
      </c>
      <c r="J1589" s="104">
        <f t="shared" si="1141"/>
        <v>0</v>
      </c>
      <c r="K1589" s="104">
        <f t="shared" si="1141"/>
        <v>0</v>
      </c>
      <c r="L1589" s="104">
        <f t="shared" si="1141"/>
        <v>0</v>
      </c>
      <c r="M1589" s="104">
        <f t="shared" si="1141"/>
        <v>0</v>
      </c>
      <c r="N1589" s="104">
        <f t="shared" si="1141"/>
        <v>0</v>
      </c>
      <c r="O1589" s="104">
        <f t="shared" si="1141"/>
        <v>0</v>
      </c>
      <c r="P1589" s="104">
        <f t="shared" si="1141"/>
        <v>0</v>
      </c>
      <c r="Q1589" s="104">
        <f t="shared" si="1141"/>
        <v>0</v>
      </c>
    </row>
    <row r="1590" ht="24" customHeight="1" spans="1:17">
      <c r="A1590" s="99" t="s">
        <v>349</v>
      </c>
      <c r="B1590" s="99" t="s">
        <v>308</v>
      </c>
      <c r="C1590" s="99" t="s">
        <v>309</v>
      </c>
      <c r="D1590" s="48" t="s">
        <v>296</v>
      </c>
      <c r="E1590" s="48" t="s">
        <v>406</v>
      </c>
      <c r="F1590" s="105">
        <f t="shared" ref="F1590:Q1590" si="1142">F1616-F1642</f>
        <v>0</v>
      </c>
      <c r="G1590" s="105">
        <f t="shared" si="1142"/>
        <v>0</v>
      </c>
      <c r="H1590" s="105">
        <f t="shared" si="1142"/>
        <v>0</v>
      </c>
      <c r="I1590" s="105">
        <f t="shared" si="1142"/>
        <v>0</v>
      </c>
      <c r="J1590" s="105">
        <f t="shared" si="1142"/>
        <v>0</v>
      </c>
      <c r="K1590" s="105">
        <f t="shared" si="1142"/>
        <v>0</v>
      </c>
      <c r="L1590" s="105">
        <f t="shared" si="1142"/>
        <v>0</v>
      </c>
      <c r="M1590" s="105">
        <f t="shared" si="1142"/>
        <v>0</v>
      </c>
      <c r="N1590" s="105">
        <f t="shared" si="1142"/>
        <v>0</v>
      </c>
      <c r="O1590" s="105">
        <f t="shared" si="1142"/>
        <v>0</v>
      </c>
      <c r="P1590" s="105">
        <f t="shared" si="1142"/>
        <v>0</v>
      </c>
      <c r="Q1590" s="105">
        <f t="shared" si="1142"/>
        <v>0</v>
      </c>
    </row>
    <row r="1591" ht="24" customHeight="1" spans="1:17">
      <c r="A1591" s="99" t="s">
        <v>349</v>
      </c>
      <c r="B1591" s="99" t="s">
        <v>308</v>
      </c>
      <c r="C1591" s="99" t="s">
        <v>309</v>
      </c>
      <c r="D1591" s="48" t="s">
        <v>296</v>
      </c>
      <c r="E1591" s="48" t="s">
        <v>82</v>
      </c>
      <c r="F1591" s="105">
        <f t="shared" ref="F1591:Q1591" si="1143">F1617-F1643</f>
        <v>0</v>
      </c>
      <c r="G1591" s="105">
        <f t="shared" si="1143"/>
        <v>0</v>
      </c>
      <c r="H1591" s="105">
        <f t="shared" si="1143"/>
        <v>0</v>
      </c>
      <c r="I1591" s="105">
        <f t="shared" si="1143"/>
        <v>0</v>
      </c>
      <c r="J1591" s="105">
        <f t="shared" si="1143"/>
        <v>0</v>
      </c>
      <c r="K1591" s="105">
        <f t="shared" si="1143"/>
        <v>0</v>
      </c>
      <c r="L1591" s="105">
        <f t="shared" si="1143"/>
        <v>0</v>
      </c>
      <c r="M1591" s="105">
        <f t="shared" si="1143"/>
        <v>0</v>
      </c>
      <c r="N1591" s="105">
        <f t="shared" si="1143"/>
        <v>0</v>
      </c>
      <c r="O1591" s="105">
        <f t="shared" si="1143"/>
        <v>0</v>
      </c>
      <c r="P1591" s="105">
        <f t="shared" si="1143"/>
        <v>0</v>
      </c>
      <c r="Q1591" s="105">
        <f t="shared" si="1143"/>
        <v>0</v>
      </c>
    </row>
    <row r="1592" ht="24" customHeight="1" spans="1:17">
      <c r="A1592" s="99" t="s">
        <v>349</v>
      </c>
      <c r="B1592" s="99" t="s">
        <v>308</v>
      </c>
      <c r="C1592" s="99" t="s">
        <v>309</v>
      </c>
      <c r="D1592" s="48" t="s">
        <v>296</v>
      </c>
      <c r="E1592" s="48" t="s">
        <v>86</v>
      </c>
      <c r="F1592" s="105">
        <f t="shared" ref="F1592:Q1592" si="1144">F1618-F1644</f>
        <v>0</v>
      </c>
      <c r="G1592" s="105">
        <f t="shared" si="1144"/>
        <v>0</v>
      </c>
      <c r="H1592" s="105">
        <f t="shared" si="1144"/>
        <v>0</v>
      </c>
      <c r="I1592" s="105">
        <f t="shared" si="1144"/>
        <v>0</v>
      </c>
      <c r="J1592" s="105">
        <f t="shared" si="1144"/>
        <v>0</v>
      </c>
      <c r="K1592" s="105">
        <f t="shared" si="1144"/>
        <v>0</v>
      </c>
      <c r="L1592" s="105">
        <f t="shared" si="1144"/>
        <v>0</v>
      </c>
      <c r="M1592" s="105">
        <f t="shared" si="1144"/>
        <v>0</v>
      </c>
      <c r="N1592" s="105">
        <f t="shared" si="1144"/>
        <v>0</v>
      </c>
      <c r="O1592" s="105">
        <f t="shared" si="1144"/>
        <v>0</v>
      </c>
      <c r="P1592" s="105">
        <f t="shared" si="1144"/>
        <v>0</v>
      </c>
      <c r="Q1592" s="105">
        <f t="shared" si="1144"/>
        <v>0</v>
      </c>
    </row>
    <row r="1593" ht="24" customHeight="1" spans="1:17">
      <c r="A1593" s="99" t="s">
        <v>349</v>
      </c>
      <c r="B1593" s="99" t="s">
        <v>308</v>
      </c>
      <c r="C1593" s="99" t="s">
        <v>309</v>
      </c>
      <c r="D1593" s="48" t="s">
        <v>313</v>
      </c>
      <c r="E1593" s="48" t="s">
        <v>406</v>
      </c>
      <c r="F1593" s="112">
        <f t="shared" ref="F1593:Q1593" si="1145">F1590/F$79</f>
        <v>0</v>
      </c>
      <c r="G1593" s="112">
        <f t="shared" si="1145"/>
        <v>0</v>
      </c>
      <c r="H1593" s="112">
        <f t="shared" si="1145"/>
        <v>0</v>
      </c>
      <c r="I1593" s="112">
        <f t="shared" si="1145"/>
        <v>0</v>
      </c>
      <c r="J1593" s="112">
        <f t="shared" si="1145"/>
        <v>0</v>
      </c>
      <c r="K1593" s="112">
        <f t="shared" si="1145"/>
        <v>0</v>
      </c>
      <c r="L1593" s="112">
        <f t="shared" si="1145"/>
        <v>0</v>
      </c>
      <c r="M1593" s="112">
        <f t="shared" si="1145"/>
        <v>0</v>
      </c>
      <c r="N1593" s="112">
        <f t="shared" si="1145"/>
        <v>0</v>
      </c>
      <c r="O1593" s="112">
        <f t="shared" si="1145"/>
        <v>0</v>
      </c>
      <c r="P1593" s="112">
        <f t="shared" si="1145"/>
        <v>0</v>
      </c>
      <c r="Q1593" s="112" t="e">
        <f t="shared" si="1145"/>
        <v>#DIV/0!</v>
      </c>
    </row>
    <row r="1594" ht="24" customHeight="1" spans="1:17">
      <c r="A1594" s="99" t="s">
        <v>349</v>
      </c>
      <c r="B1594" s="99" t="s">
        <v>308</v>
      </c>
      <c r="C1594" s="99" t="s">
        <v>309</v>
      </c>
      <c r="D1594" s="48" t="s">
        <v>313</v>
      </c>
      <c r="E1594" s="48" t="s">
        <v>82</v>
      </c>
      <c r="F1594" s="112">
        <f t="shared" ref="F1594:Q1594" si="1146">F1591/F$79</f>
        <v>0</v>
      </c>
      <c r="G1594" s="112">
        <f t="shared" si="1146"/>
        <v>0</v>
      </c>
      <c r="H1594" s="112">
        <f t="shared" si="1146"/>
        <v>0</v>
      </c>
      <c r="I1594" s="112">
        <f t="shared" si="1146"/>
        <v>0</v>
      </c>
      <c r="J1594" s="112">
        <f t="shared" si="1146"/>
        <v>0</v>
      </c>
      <c r="K1594" s="112">
        <f t="shared" si="1146"/>
        <v>0</v>
      </c>
      <c r="L1594" s="112">
        <f t="shared" si="1146"/>
        <v>0</v>
      </c>
      <c r="M1594" s="112">
        <f t="shared" si="1146"/>
        <v>0</v>
      </c>
      <c r="N1594" s="112">
        <f t="shared" si="1146"/>
        <v>0</v>
      </c>
      <c r="O1594" s="112">
        <f t="shared" si="1146"/>
        <v>0</v>
      </c>
      <c r="P1594" s="112">
        <f t="shared" si="1146"/>
        <v>0</v>
      </c>
      <c r="Q1594" s="112" t="e">
        <f t="shared" si="1146"/>
        <v>#DIV/0!</v>
      </c>
    </row>
    <row r="1595" ht="24" customHeight="1" spans="1:17">
      <c r="A1595" s="99" t="s">
        <v>349</v>
      </c>
      <c r="B1595" s="99" t="s">
        <v>308</v>
      </c>
      <c r="C1595" s="99" t="s">
        <v>309</v>
      </c>
      <c r="D1595" s="48" t="s">
        <v>313</v>
      </c>
      <c r="E1595" s="48" t="s">
        <v>86</v>
      </c>
      <c r="F1595" s="112">
        <f t="shared" ref="F1595:Q1595" si="1147">F1592/F$79</f>
        <v>0</v>
      </c>
      <c r="G1595" s="112">
        <f t="shared" si="1147"/>
        <v>0</v>
      </c>
      <c r="H1595" s="112">
        <f t="shared" si="1147"/>
        <v>0</v>
      </c>
      <c r="I1595" s="112">
        <f t="shared" si="1147"/>
        <v>0</v>
      </c>
      <c r="J1595" s="112">
        <f t="shared" si="1147"/>
        <v>0</v>
      </c>
      <c r="K1595" s="112">
        <f t="shared" si="1147"/>
        <v>0</v>
      </c>
      <c r="L1595" s="112">
        <f t="shared" si="1147"/>
        <v>0</v>
      </c>
      <c r="M1595" s="112">
        <f t="shared" si="1147"/>
        <v>0</v>
      </c>
      <c r="N1595" s="112">
        <f t="shared" si="1147"/>
        <v>0</v>
      </c>
      <c r="O1595" s="112">
        <f t="shared" si="1147"/>
        <v>0</v>
      </c>
      <c r="P1595" s="112">
        <f t="shared" si="1147"/>
        <v>0</v>
      </c>
      <c r="Q1595" s="112" t="e">
        <f t="shared" si="1147"/>
        <v>#DIV/0!</v>
      </c>
    </row>
    <row r="1596" ht="24" customHeight="1" spans="1:17">
      <c r="A1596" s="99" t="s">
        <v>349</v>
      </c>
      <c r="B1596" s="99" t="s">
        <v>308</v>
      </c>
      <c r="C1596" s="99" t="s">
        <v>309</v>
      </c>
      <c r="D1596" s="100" t="s">
        <v>292</v>
      </c>
      <c r="E1596" s="100" t="s">
        <v>314</v>
      </c>
      <c r="F1596" s="104">
        <f t="shared" ref="F1596:Q1596" si="1148">SUM(F1597:F1599)</f>
        <v>1</v>
      </c>
      <c r="G1596" s="104">
        <f t="shared" si="1148"/>
        <v>1</v>
      </c>
      <c r="H1596" s="104">
        <f t="shared" si="1148"/>
        <v>1</v>
      </c>
      <c r="I1596" s="104">
        <f t="shared" si="1148"/>
        <v>1</v>
      </c>
      <c r="J1596" s="104">
        <f t="shared" si="1148"/>
        <v>0</v>
      </c>
      <c r="K1596" s="104">
        <f t="shared" si="1148"/>
        <v>0</v>
      </c>
      <c r="L1596" s="104">
        <f t="shared" si="1148"/>
        <v>0</v>
      </c>
      <c r="M1596" s="104">
        <f t="shared" si="1148"/>
        <v>0</v>
      </c>
      <c r="N1596" s="104">
        <f t="shared" si="1148"/>
        <v>0</v>
      </c>
      <c r="O1596" s="104">
        <f t="shared" si="1148"/>
        <v>0</v>
      </c>
      <c r="P1596" s="104">
        <f t="shared" si="1148"/>
        <v>0</v>
      </c>
      <c r="Q1596" s="104">
        <f t="shared" si="1148"/>
        <v>0</v>
      </c>
    </row>
    <row r="1597" ht="24" customHeight="1" spans="1:17">
      <c r="A1597" s="99" t="s">
        <v>349</v>
      </c>
      <c r="B1597" s="99" t="s">
        <v>308</v>
      </c>
      <c r="C1597" s="99" t="s">
        <v>309</v>
      </c>
      <c r="D1597" s="48" t="s">
        <v>298</v>
      </c>
      <c r="E1597" s="48" t="s">
        <v>97</v>
      </c>
      <c r="F1597" s="105">
        <f t="shared" ref="F1597:Q1597" si="1149">F1620-F1649</f>
        <v>0</v>
      </c>
      <c r="G1597" s="105">
        <f t="shared" si="1149"/>
        <v>0</v>
      </c>
      <c r="H1597" s="105">
        <f t="shared" si="1149"/>
        <v>0</v>
      </c>
      <c r="I1597" s="105">
        <f t="shared" si="1149"/>
        <v>0</v>
      </c>
      <c r="J1597" s="105">
        <f t="shared" si="1149"/>
        <v>0</v>
      </c>
      <c r="K1597" s="105">
        <f t="shared" si="1149"/>
        <v>0</v>
      </c>
      <c r="L1597" s="105">
        <f t="shared" si="1149"/>
        <v>0</v>
      </c>
      <c r="M1597" s="105">
        <f t="shared" si="1149"/>
        <v>0</v>
      </c>
      <c r="N1597" s="105">
        <f t="shared" si="1149"/>
        <v>0</v>
      </c>
      <c r="O1597" s="105">
        <f t="shared" si="1149"/>
        <v>0</v>
      </c>
      <c r="P1597" s="105">
        <f t="shared" si="1149"/>
        <v>0</v>
      </c>
      <c r="Q1597" s="105">
        <f t="shared" si="1149"/>
        <v>0</v>
      </c>
    </row>
    <row r="1598" ht="24" customHeight="1" spans="1:17">
      <c r="A1598" s="99" t="s">
        <v>349</v>
      </c>
      <c r="B1598" s="99" t="s">
        <v>308</v>
      </c>
      <c r="C1598" s="99" t="s">
        <v>309</v>
      </c>
      <c r="D1598" s="48" t="s">
        <v>298</v>
      </c>
      <c r="E1598" s="48" t="s">
        <v>87</v>
      </c>
      <c r="F1598" s="105">
        <f t="shared" ref="F1598:Q1598" si="1150">F1621-F1650</f>
        <v>1</v>
      </c>
      <c r="G1598" s="105">
        <f t="shared" si="1150"/>
        <v>1</v>
      </c>
      <c r="H1598" s="105">
        <f t="shared" si="1150"/>
        <v>1</v>
      </c>
      <c r="I1598" s="105">
        <f t="shared" si="1150"/>
        <v>1</v>
      </c>
      <c r="J1598" s="105">
        <f t="shared" si="1150"/>
        <v>0</v>
      </c>
      <c r="K1598" s="105">
        <f t="shared" si="1150"/>
        <v>0</v>
      </c>
      <c r="L1598" s="105">
        <f t="shared" si="1150"/>
        <v>0</v>
      </c>
      <c r="M1598" s="105">
        <f t="shared" si="1150"/>
        <v>0</v>
      </c>
      <c r="N1598" s="105">
        <f t="shared" si="1150"/>
        <v>0</v>
      </c>
      <c r="O1598" s="105">
        <f t="shared" si="1150"/>
        <v>0</v>
      </c>
      <c r="P1598" s="105">
        <f t="shared" si="1150"/>
        <v>0</v>
      </c>
      <c r="Q1598" s="105">
        <f t="shared" si="1150"/>
        <v>0</v>
      </c>
    </row>
    <row r="1599" ht="24" customHeight="1" spans="1:17">
      <c r="A1599" s="99" t="s">
        <v>349</v>
      </c>
      <c r="B1599" s="99" t="s">
        <v>308</v>
      </c>
      <c r="C1599" s="99" t="s">
        <v>309</v>
      </c>
      <c r="D1599" s="48" t="s">
        <v>298</v>
      </c>
      <c r="E1599" s="48" t="s">
        <v>83</v>
      </c>
      <c r="F1599" s="105">
        <f t="shared" ref="F1599:Q1599" si="1151">F1622-F1651</f>
        <v>0</v>
      </c>
      <c r="G1599" s="105">
        <f t="shared" si="1151"/>
        <v>0</v>
      </c>
      <c r="H1599" s="105">
        <f t="shared" si="1151"/>
        <v>0</v>
      </c>
      <c r="I1599" s="105">
        <f t="shared" si="1151"/>
        <v>0</v>
      </c>
      <c r="J1599" s="105">
        <f t="shared" si="1151"/>
        <v>0</v>
      </c>
      <c r="K1599" s="105">
        <f t="shared" si="1151"/>
        <v>0</v>
      </c>
      <c r="L1599" s="105">
        <f t="shared" si="1151"/>
        <v>0</v>
      </c>
      <c r="M1599" s="105">
        <f t="shared" si="1151"/>
        <v>0</v>
      </c>
      <c r="N1599" s="105">
        <f t="shared" si="1151"/>
        <v>0</v>
      </c>
      <c r="O1599" s="105">
        <f t="shared" si="1151"/>
        <v>0</v>
      </c>
      <c r="P1599" s="105">
        <f t="shared" si="1151"/>
        <v>0</v>
      </c>
      <c r="Q1599" s="105">
        <f t="shared" si="1151"/>
        <v>0</v>
      </c>
    </row>
    <row r="1600" ht="24" customHeight="1" spans="1:17">
      <c r="A1600" s="99" t="s">
        <v>349</v>
      </c>
      <c r="B1600" s="99" t="s">
        <v>308</v>
      </c>
      <c r="C1600" s="99" t="s">
        <v>309</v>
      </c>
      <c r="D1600" s="48" t="s">
        <v>315</v>
      </c>
      <c r="E1600" s="48" t="s">
        <v>97</v>
      </c>
      <c r="F1600" s="112">
        <f t="shared" ref="F1600:Q1600" si="1152">F1597/F$86</f>
        <v>0</v>
      </c>
      <c r="G1600" s="112">
        <f t="shared" si="1152"/>
        <v>0</v>
      </c>
      <c r="H1600" s="112">
        <f t="shared" si="1152"/>
        <v>0</v>
      </c>
      <c r="I1600" s="112">
        <f t="shared" si="1152"/>
        <v>0</v>
      </c>
      <c r="J1600" s="112">
        <f t="shared" si="1152"/>
        <v>0</v>
      </c>
      <c r="K1600" s="112">
        <f t="shared" si="1152"/>
        <v>0</v>
      </c>
      <c r="L1600" s="112">
        <f t="shared" si="1152"/>
        <v>0</v>
      </c>
      <c r="M1600" s="112">
        <f t="shared" si="1152"/>
        <v>0</v>
      </c>
      <c r="N1600" s="112">
        <f t="shared" si="1152"/>
        <v>0</v>
      </c>
      <c r="O1600" s="112">
        <f t="shared" si="1152"/>
        <v>0</v>
      </c>
      <c r="P1600" s="112">
        <f t="shared" si="1152"/>
        <v>0</v>
      </c>
      <c r="Q1600" s="112">
        <f t="shared" si="1152"/>
        <v>0</v>
      </c>
    </row>
    <row r="1601" ht="24" customHeight="1" spans="1:17">
      <c r="A1601" s="99" t="s">
        <v>349</v>
      </c>
      <c r="B1601" s="99" t="s">
        <v>308</v>
      </c>
      <c r="C1601" s="99" t="s">
        <v>309</v>
      </c>
      <c r="D1601" s="48" t="s">
        <v>315</v>
      </c>
      <c r="E1601" s="48" t="s">
        <v>87</v>
      </c>
      <c r="F1601" s="112">
        <f t="shared" ref="F1601:Q1601" si="1153">F1598/F$86</f>
        <v>0.142857142857143</v>
      </c>
      <c r="G1601" s="112">
        <f t="shared" si="1153"/>
        <v>0.125</v>
      </c>
      <c r="H1601" s="112">
        <f t="shared" si="1153"/>
        <v>0.0833333333333333</v>
      </c>
      <c r="I1601" s="112">
        <f t="shared" si="1153"/>
        <v>0.125</v>
      </c>
      <c r="J1601" s="112">
        <f t="shared" si="1153"/>
        <v>0</v>
      </c>
      <c r="K1601" s="112">
        <f t="shared" si="1153"/>
        <v>0</v>
      </c>
      <c r="L1601" s="112">
        <f t="shared" si="1153"/>
        <v>0</v>
      </c>
      <c r="M1601" s="112">
        <f t="shared" si="1153"/>
        <v>0</v>
      </c>
      <c r="N1601" s="112">
        <f t="shared" si="1153"/>
        <v>0</v>
      </c>
      <c r="O1601" s="112">
        <f t="shared" si="1153"/>
        <v>0</v>
      </c>
      <c r="P1601" s="112">
        <f t="shared" si="1153"/>
        <v>0</v>
      </c>
      <c r="Q1601" s="112">
        <f t="shared" si="1153"/>
        <v>0</v>
      </c>
    </row>
    <row r="1602" ht="24" customHeight="1" spans="1:17">
      <c r="A1602" s="99" t="s">
        <v>349</v>
      </c>
      <c r="B1602" s="99" t="s">
        <v>308</v>
      </c>
      <c r="C1602" s="99" t="s">
        <v>309</v>
      </c>
      <c r="D1602" s="48" t="s">
        <v>315</v>
      </c>
      <c r="E1602" s="48" t="s">
        <v>83</v>
      </c>
      <c r="F1602" s="112">
        <f t="shared" ref="F1602:Q1602" si="1154">F1599/F$86</f>
        <v>0</v>
      </c>
      <c r="G1602" s="112">
        <f t="shared" si="1154"/>
        <v>0</v>
      </c>
      <c r="H1602" s="112">
        <f t="shared" si="1154"/>
        <v>0</v>
      </c>
      <c r="I1602" s="112">
        <f t="shared" si="1154"/>
        <v>0</v>
      </c>
      <c r="J1602" s="112">
        <f t="shared" si="1154"/>
        <v>0</v>
      </c>
      <c r="K1602" s="112">
        <f t="shared" si="1154"/>
        <v>0</v>
      </c>
      <c r="L1602" s="112">
        <f t="shared" si="1154"/>
        <v>0</v>
      </c>
      <c r="M1602" s="112">
        <f t="shared" si="1154"/>
        <v>0</v>
      </c>
      <c r="N1602" s="112">
        <f t="shared" si="1154"/>
        <v>0</v>
      </c>
      <c r="O1602" s="112">
        <f t="shared" si="1154"/>
        <v>0</v>
      </c>
      <c r="P1602" s="112">
        <f t="shared" si="1154"/>
        <v>0</v>
      </c>
      <c r="Q1602" s="112">
        <f t="shared" si="1154"/>
        <v>0</v>
      </c>
    </row>
    <row r="1603" ht="24" customHeight="1" spans="1:17">
      <c r="A1603" s="99" t="s">
        <v>349</v>
      </c>
      <c r="B1603" s="99" t="s">
        <v>290</v>
      </c>
      <c r="C1603" s="99" t="s">
        <v>316</v>
      </c>
      <c r="D1603" s="100" t="s">
        <v>292</v>
      </c>
      <c r="E1603" s="100" t="s">
        <v>317</v>
      </c>
      <c r="F1603" s="104">
        <f t="shared" ref="F1603:Q1603" si="1155">IF((SUM(F1604:F1609)-MAX(F1615,F1619))&lt;0,"ERR",SUM(F1604:F1609))</f>
        <v>3</v>
      </c>
      <c r="G1603" s="104">
        <f t="shared" si="1155"/>
        <v>3</v>
      </c>
      <c r="H1603" s="104">
        <f t="shared" si="1155"/>
        <v>3</v>
      </c>
      <c r="I1603" s="104">
        <f t="shared" si="1155"/>
        <v>3</v>
      </c>
      <c r="J1603" s="104">
        <f t="shared" si="1155"/>
        <v>3</v>
      </c>
      <c r="K1603" s="104">
        <f t="shared" si="1155"/>
        <v>3</v>
      </c>
      <c r="L1603" s="104">
        <f t="shared" si="1155"/>
        <v>5</v>
      </c>
      <c r="M1603" s="104">
        <f t="shared" si="1155"/>
        <v>5</v>
      </c>
      <c r="N1603" s="104">
        <f t="shared" si="1155"/>
        <v>5</v>
      </c>
      <c r="O1603" s="104">
        <f t="shared" si="1155"/>
        <v>5</v>
      </c>
      <c r="P1603" s="104">
        <f t="shared" si="1155"/>
        <v>5</v>
      </c>
      <c r="Q1603" s="104">
        <f t="shared" si="1155"/>
        <v>7</v>
      </c>
    </row>
    <row r="1604" ht="24" customHeight="1" spans="1:17">
      <c r="A1604" s="99" t="s">
        <v>349</v>
      </c>
      <c r="B1604" s="99" t="s">
        <v>290</v>
      </c>
      <c r="C1604" s="99" t="s">
        <v>316</v>
      </c>
      <c r="D1604" s="48" t="s">
        <v>31</v>
      </c>
      <c r="E1604" s="48" t="s">
        <v>406</v>
      </c>
      <c r="F1604" s="105">
        <f t="shared" ref="F1604:F1614" si="1156">F1514</f>
        <v>0</v>
      </c>
      <c r="G1604" s="105">
        <f t="shared" ref="G1604:Q1604" si="1157">G1514+F1604</f>
        <v>0</v>
      </c>
      <c r="H1604" s="105">
        <f t="shared" si="1157"/>
        <v>0</v>
      </c>
      <c r="I1604" s="105">
        <f t="shared" si="1157"/>
        <v>0</v>
      </c>
      <c r="J1604" s="105">
        <f t="shared" si="1157"/>
        <v>0</v>
      </c>
      <c r="K1604" s="105">
        <f t="shared" si="1157"/>
        <v>0</v>
      </c>
      <c r="L1604" s="105">
        <f t="shared" si="1157"/>
        <v>0</v>
      </c>
      <c r="M1604" s="105">
        <f t="shared" si="1157"/>
        <v>0</v>
      </c>
      <c r="N1604" s="105">
        <f t="shared" si="1157"/>
        <v>0</v>
      </c>
      <c r="O1604" s="105">
        <f t="shared" si="1157"/>
        <v>0</v>
      </c>
      <c r="P1604" s="105">
        <f t="shared" si="1157"/>
        <v>0</v>
      </c>
      <c r="Q1604" s="105">
        <f t="shared" si="1157"/>
        <v>0</v>
      </c>
    </row>
    <row r="1605" ht="24" customHeight="1" spans="1:17">
      <c r="A1605" s="99" t="s">
        <v>349</v>
      </c>
      <c r="B1605" s="99" t="s">
        <v>290</v>
      </c>
      <c r="C1605" s="99" t="s">
        <v>316</v>
      </c>
      <c r="D1605" s="48" t="s">
        <v>31</v>
      </c>
      <c r="E1605" s="48" t="s">
        <v>82</v>
      </c>
      <c r="F1605" s="105">
        <f t="shared" si="1156"/>
        <v>0</v>
      </c>
      <c r="G1605" s="105">
        <f t="shared" ref="G1605:Q1605" si="1158">G1515+F1605</f>
        <v>0</v>
      </c>
      <c r="H1605" s="105">
        <f t="shared" si="1158"/>
        <v>0</v>
      </c>
      <c r="I1605" s="105">
        <f t="shared" si="1158"/>
        <v>0</v>
      </c>
      <c r="J1605" s="105">
        <f t="shared" si="1158"/>
        <v>0</v>
      </c>
      <c r="K1605" s="105">
        <f t="shared" si="1158"/>
        <v>0</v>
      </c>
      <c r="L1605" s="105">
        <f t="shared" si="1158"/>
        <v>0</v>
      </c>
      <c r="M1605" s="105">
        <f t="shared" si="1158"/>
        <v>0</v>
      </c>
      <c r="N1605" s="105">
        <f t="shared" si="1158"/>
        <v>0</v>
      </c>
      <c r="O1605" s="105">
        <f t="shared" si="1158"/>
        <v>0</v>
      </c>
      <c r="P1605" s="105">
        <f t="shared" si="1158"/>
        <v>0</v>
      </c>
      <c r="Q1605" s="105">
        <f t="shared" si="1158"/>
        <v>0</v>
      </c>
    </row>
    <row r="1606" ht="24" customHeight="1" spans="1:17">
      <c r="A1606" s="99" t="s">
        <v>349</v>
      </c>
      <c r="B1606" s="99" t="s">
        <v>290</v>
      </c>
      <c r="C1606" s="99" t="s">
        <v>316</v>
      </c>
      <c r="D1606" s="48" t="s">
        <v>31</v>
      </c>
      <c r="E1606" s="48" t="s">
        <v>86</v>
      </c>
      <c r="F1606" s="105">
        <f t="shared" si="1156"/>
        <v>0</v>
      </c>
      <c r="G1606" s="105">
        <f t="shared" ref="G1606:Q1606" si="1159">G1516+F1606</f>
        <v>0</v>
      </c>
      <c r="H1606" s="105">
        <f t="shared" si="1159"/>
        <v>0</v>
      </c>
      <c r="I1606" s="105">
        <f t="shared" si="1159"/>
        <v>0</v>
      </c>
      <c r="J1606" s="105">
        <f t="shared" si="1159"/>
        <v>0</v>
      </c>
      <c r="K1606" s="105">
        <f t="shared" si="1159"/>
        <v>0</v>
      </c>
      <c r="L1606" s="105">
        <f t="shared" si="1159"/>
        <v>0</v>
      </c>
      <c r="M1606" s="105">
        <f t="shared" si="1159"/>
        <v>0</v>
      </c>
      <c r="N1606" s="105">
        <f t="shared" si="1159"/>
        <v>0</v>
      </c>
      <c r="O1606" s="105">
        <f t="shared" si="1159"/>
        <v>0</v>
      </c>
      <c r="P1606" s="105">
        <f t="shared" si="1159"/>
        <v>0</v>
      </c>
      <c r="Q1606" s="105">
        <f t="shared" si="1159"/>
        <v>0</v>
      </c>
    </row>
    <row r="1607" ht="24" customHeight="1" spans="1:17">
      <c r="A1607" s="99" t="s">
        <v>349</v>
      </c>
      <c r="B1607" s="99" t="s">
        <v>290</v>
      </c>
      <c r="C1607" s="99" t="s">
        <v>316</v>
      </c>
      <c r="D1607" s="48" t="s">
        <v>31</v>
      </c>
      <c r="E1607" s="48" t="s">
        <v>97</v>
      </c>
      <c r="F1607" s="105">
        <f t="shared" si="1156"/>
        <v>0</v>
      </c>
      <c r="G1607" s="105">
        <f t="shared" ref="G1607:Q1607" si="1160">G1517+F1607</f>
        <v>0</v>
      </c>
      <c r="H1607" s="105">
        <f t="shared" si="1160"/>
        <v>0</v>
      </c>
      <c r="I1607" s="105">
        <f t="shared" si="1160"/>
        <v>0</v>
      </c>
      <c r="J1607" s="105">
        <f t="shared" si="1160"/>
        <v>0</v>
      </c>
      <c r="K1607" s="105">
        <f t="shared" si="1160"/>
        <v>0</v>
      </c>
      <c r="L1607" s="105">
        <f t="shared" si="1160"/>
        <v>0</v>
      </c>
      <c r="M1607" s="105">
        <f t="shared" si="1160"/>
        <v>0</v>
      </c>
      <c r="N1607" s="105">
        <f t="shared" si="1160"/>
        <v>0</v>
      </c>
      <c r="O1607" s="105">
        <f t="shared" si="1160"/>
        <v>0</v>
      </c>
      <c r="P1607" s="105">
        <f t="shared" si="1160"/>
        <v>0</v>
      </c>
      <c r="Q1607" s="105">
        <f t="shared" si="1160"/>
        <v>0</v>
      </c>
    </row>
    <row r="1608" ht="24" customHeight="1" spans="1:17">
      <c r="A1608" s="99" t="s">
        <v>349</v>
      </c>
      <c r="B1608" s="99" t="s">
        <v>290</v>
      </c>
      <c r="C1608" s="99" t="s">
        <v>316</v>
      </c>
      <c r="D1608" s="48" t="s">
        <v>31</v>
      </c>
      <c r="E1608" s="48" t="s">
        <v>87</v>
      </c>
      <c r="F1608" s="105">
        <f t="shared" si="1156"/>
        <v>3</v>
      </c>
      <c r="G1608" s="105">
        <f t="shared" ref="G1608:Q1608" si="1161">G1518+F1608</f>
        <v>3</v>
      </c>
      <c r="H1608" s="105">
        <f t="shared" si="1161"/>
        <v>3</v>
      </c>
      <c r="I1608" s="105">
        <f t="shared" si="1161"/>
        <v>3</v>
      </c>
      <c r="J1608" s="105">
        <f t="shared" si="1161"/>
        <v>3</v>
      </c>
      <c r="K1608" s="105">
        <f t="shared" si="1161"/>
        <v>3</v>
      </c>
      <c r="L1608" s="105">
        <f t="shared" si="1161"/>
        <v>5</v>
      </c>
      <c r="M1608" s="105">
        <f t="shared" si="1161"/>
        <v>5</v>
      </c>
      <c r="N1608" s="105">
        <f t="shared" si="1161"/>
        <v>5</v>
      </c>
      <c r="O1608" s="105">
        <f t="shared" si="1161"/>
        <v>5</v>
      </c>
      <c r="P1608" s="105">
        <f t="shared" si="1161"/>
        <v>5</v>
      </c>
      <c r="Q1608" s="105">
        <f t="shared" si="1161"/>
        <v>7</v>
      </c>
    </row>
    <row r="1609" ht="24" customHeight="1" spans="1:17">
      <c r="A1609" s="99" t="s">
        <v>349</v>
      </c>
      <c r="B1609" s="99" t="s">
        <v>290</v>
      </c>
      <c r="C1609" s="99" t="s">
        <v>316</v>
      </c>
      <c r="D1609" s="48" t="s">
        <v>31</v>
      </c>
      <c r="E1609" s="48" t="s">
        <v>83</v>
      </c>
      <c r="F1609" s="105">
        <f t="shared" si="1156"/>
        <v>0</v>
      </c>
      <c r="G1609" s="105">
        <f t="shared" ref="G1609:Q1609" si="1162">G1519+F1609</f>
        <v>0</v>
      </c>
      <c r="H1609" s="105">
        <f t="shared" si="1162"/>
        <v>0</v>
      </c>
      <c r="I1609" s="105">
        <f t="shared" si="1162"/>
        <v>0</v>
      </c>
      <c r="J1609" s="105">
        <f t="shared" si="1162"/>
        <v>0</v>
      </c>
      <c r="K1609" s="105">
        <f t="shared" si="1162"/>
        <v>0</v>
      </c>
      <c r="L1609" s="105">
        <f t="shared" si="1162"/>
        <v>0</v>
      </c>
      <c r="M1609" s="105">
        <f t="shared" si="1162"/>
        <v>0</v>
      </c>
      <c r="N1609" s="105">
        <f t="shared" si="1162"/>
        <v>0</v>
      </c>
      <c r="O1609" s="105">
        <f t="shared" si="1162"/>
        <v>0</v>
      </c>
      <c r="P1609" s="105">
        <f t="shared" si="1162"/>
        <v>0</v>
      </c>
      <c r="Q1609" s="105">
        <f t="shared" si="1162"/>
        <v>0</v>
      </c>
    </row>
    <row r="1610" ht="24" customHeight="1" spans="1:17">
      <c r="A1610" s="99" t="s">
        <v>349</v>
      </c>
      <c r="B1610" s="99" t="s">
        <v>290</v>
      </c>
      <c r="C1610" s="99" t="s">
        <v>316</v>
      </c>
      <c r="D1610" s="47" t="s">
        <v>294</v>
      </c>
      <c r="E1610" s="47" t="s">
        <v>93</v>
      </c>
      <c r="F1610" s="106">
        <f t="shared" si="1156"/>
        <v>3</v>
      </c>
      <c r="G1610" s="106">
        <f t="shared" ref="G1610:Q1610" si="1163">G1520+F1610</f>
        <v>3</v>
      </c>
      <c r="H1610" s="106">
        <f t="shared" si="1163"/>
        <v>3</v>
      </c>
      <c r="I1610" s="106">
        <f t="shared" si="1163"/>
        <v>3</v>
      </c>
      <c r="J1610" s="106">
        <f t="shared" si="1163"/>
        <v>3</v>
      </c>
      <c r="K1610" s="106">
        <f t="shared" si="1163"/>
        <v>3</v>
      </c>
      <c r="L1610" s="106">
        <f t="shared" si="1163"/>
        <v>3</v>
      </c>
      <c r="M1610" s="106">
        <f t="shared" si="1163"/>
        <v>3</v>
      </c>
      <c r="N1610" s="106">
        <f t="shared" si="1163"/>
        <v>3</v>
      </c>
      <c r="O1610" s="106">
        <f t="shared" si="1163"/>
        <v>3</v>
      </c>
      <c r="P1610" s="106">
        <f t="shared" si="1163"/>
        <v>3</v>
      </c>
      <c r="Q1610" s="106">
        <f t="shared" si="1163"/>
        <v>3</v>
      </c>
    </row>
    <row r="1611" ht="24" customHeight="1" spans="1:17">
      <c r="A1611" s="99" t="s">
        <v>349</v>
      </c>
      <c r="B1611" s="99" t="s">
        <v>290</v>
      </c>
      <c r="C1611" s="99" t="s">
        <v>316</v>
      </c>
      <c r="D1611" s="47" t="s">
        <v>294</v>
      </c>
      <c r="E1611" s="47" t="s">
        <v>85</v>
      </c>
      <c r="F1611" s="106">
        <f t="shared" si="1156"/>
        <v>0</v>
      </c>
      <c r="G1611" s="106">
        <f t="shared" ref="G1611:Q1611" si="1164">G1521+F1611</f>
        <v>0</v>
      </c>
      <c r="H1611" s="106">
        <f t="shared" si="1164"/>
        <v>0</v>
      </c>
      <c r="I1611" s="106">
        <f t="shared" si="1164"/>
        <v>0</v>
      </c>
      <c r="J1611" s="106">
        <f t="shared" si="1164"/>
        <v>0</v>
      </c>
      <c r="K1611" s="106">
        <f t="shared" si="1164"/>
        <v>0</v>
      </c>
      <c r="L1611" s="106">
        <f t="shared" si="1164"/>
        <v>0</v>
      </c>
      <c r="M1611" s="106">
        <f t="shared" si="1164"/>
        <v>0</v>
      </c>
      <c r="N1611" s="106">
        <f t="shared" si="1164"/>
        <v>0</v>
      </c>
      <c r="O1611" s="106">
        <f t="shared" si="1164"/>
        <v>0</v>
      </c>
      <c r="P1611" s="106">
        <f t="shared" si="1164"/>
        <v>0</v>
      </c>
      <c r="Q1611" s="106">
        <f t="shared" si="1164"/>
        <v>0</v>
      </c>
    </row>
    <row r="1612" ht="24" customHeight="1" spans="1:17">
      <c r="A1612" s="99" t="s">
        <v>349</v>
      </c>
      <c r="B1612" s="99" t="s">
        <v>290</v>
      </c>
      <c r="C1612" s="99" t="s">
        <v>316</v>
      </c>
      <c r="D1612" s="47" t="s">
        <v>294</v>
      </c>
      <c r="E1612" s="47" t="s">
        <v>81</v>
      </c>
      <c r="F1612" s="106">
        <f t="shared" si="1156"/>
        <v>0</v>
      </c>
      <c r="G1612" s="106">
        <f t="shared" ref="G1612:Q1612" si="1165">G1522+F1612</f>
        <v>0</v>
      </c>
      <c r="H1612" s="106">
        <f t="shared" si="1165"/>
        <v>0</v>
      </c>
      <c r="I1612" s="106">
        <f t="shared" si="1165"/>
        <v>0</v>
      </c>
      <c r="J1612" s="106">
        <f t="shared" si="1165"/>
        <v>0</v>
      </c>
      <c r="K1612" s="106">
        <f t="shared" si="1165"/>
        <v>0</v>
      </c>
      <c r="L1612" s="106">
        <f t="shared" si="1165"/>
        <v>2</v>
      </c>
      <c r="M1612" s="106">
        <f t="shared" si="1165"/>
        <v>2</v>
      </c>
      <c r="N1612" s="106">
        <f t="shared" si="1165"/>
        <v>2</v>
      </c>
      <c r="O1612" s="106">
        <f t="shared" si="1165"/>
        <v>2</v>
      </c>
      <c r="P1612" s="106">
        <f t="shared" si="1165"/>
        <v>2</v>
      </c>
      <c r="Q1612" s="106">
        <f t="shared" si="1165"/>
        <v>4</v>
      </c>
    </row>
    <row r="1613" ht="24" customHeight="1" spans="1:17">
      <c r="A1613" s="99" t="s">
        <v>349</v>
      </c>
      <c r="B1613" s="99" t="s">
        <v>290</v>
      </c>
      <c r="C1613" s="99" t="s">
        <v>316</v>
      </c>
      <c r="D1613" s="47" t="s">
        <v>294</v>
      </c>
      <c r="E1613" s="47" t="s">
        <v>96</v>
      </c>
      <c r="F1613" s="106">
        <f t="shared" si="1156"/>
        <v>0</v>
      </c>
      <c r="G1613" s="106">
        <f t="shared" ref="G1613:Q1613" si="1166">G1523+F1613</f>
        <v>0</v>
      </c>
      <c r="H1613" s="106">
        <f t="shared" si="1166"/>
        <v>0</v>
      </c>
      <c r="I1613" s="106">
        <f t="shared" si="1166"/>
        <v>0</v>
      </c>
      <c r="J1613" s="106">
        <f t="shared" si="1166"/>
        <v>0</v>
      </c>
      <c r="K1613" s="106">
        <f t="shared" si="1166"/>
        <v>0</v>
      </c>
      <c r="L1613" s="106">
        <f t="shared" si="1166"/>
        <v>0</v>
      </c>
      <c r="M1613" s="106">
        <f t="shared" si="1166"/>
        <v>0</v>
      </c>
      <c r="N1613" s="106">
        <f t="shared" si="1166"/>
        <v>0</v>
      </c>
      <c r="O1613" s="106">
        <f t="shared" si="1166"/>
        <v>0</v>
      </c>
      <c r="P1613" s="106">
        <f t="shared" si="1166"/>
        <v>0</v>
      </c>
      <c r="Q1613" s="106">
        <f t="shared" si="1166"/>
        <v>0</v>
      </c>
    </row>
    <row r="1614" ht="24" customHeight="1" spans="1:17">
      <c r="A1614" s="99" t="s">
        <v>349</v>
      </c>
      <c r="B1614" s="99" t="s">
        <v>290</v>
      </c>
      <c r="C1614" s="99" t="s">
        <v>316</v>
      </c>
      <c r="D1614" s="47" t="s">
        <v>294</v>
      </c>
      <c r="E1614" s="47" t="s">
        <v>160</v>
      </c>
      <c r="F1614" s="106">
        <f t="shared" si="1156"/>
        <v>0</v>
      </c>
      <c r="G1614" s="106">
        <f t="shared" ref="G1614:Q1614" si="1167">G1524+F1614</f>
        <v>0</v>
      </c>
      <c r="H1614" s="106">
        <f t="shared" si="1167"/>
        <v>0</v>
      </c>
      <c r="I1614" s="106">
        <f t="shared" si="1167"/>
        <v>0</v>
      </c>
      <c r="J1614" s="106">
        <f t="shared" si="1167"/>
        <v>0</v>
      </c>
      <c r="K1614" s="106">
        <f t="shared" si="1167"/>
        <v>0</v>
      </c>
      <c r="L1614" s="106">
        <f t="shared" si="1167"/>
        <v>0</v>
      </c>
      <c r="M1614" s="106">
        <f t="shared" si="1167"/>
        <v>0</v>
      </c>
      <c r="N1614" s="106">
        <f t="shared" si="1167"/>
        <v>0</v>
      </c>
      <c r="O1614" s="106">
        <f t="shared" si="1167"/>
        <v>0</v>
      </c>
      <c r="P1614" s="106">
        <f t="shared" si="1167"/>
        <v>0</v>
      </c>
      <c r="Q1614" s="106">
        <f t="shared" si="1167"/>
        <v>0</v>
      </c>
    </row>
    <row r="1615" ht="24" customHeight="1" spans="1:17">
      <c r="A1615" s="99" t="s">
        <v>349</v>
      </c>
      <c r="B1615" s="99" t="s">
        <v>290</v>
      </c>
      <c r="C1615" s="99" t="s">
        <v>316</v>
      </c>
      <c r="D1615" s="100" t="s">
        <v>292</v>
      </c>
      <c r="E1615" s="100" t="s">
        <v>318</v>
      </c>
      <c r="F1615" s="104">
        <f t="shared" ref="F1615:Q1615" si="1168">SUM(F1616:F1618)</f>
        <v>0</v>
      </c>
      <c r="G1615" s="104">
        <f t="shared" si="1168"/>
        <v>0</v>
      </c>
      <c r="H1615" s="104">
        <f t="shared" si="1168"/>
        <v>0</v>
      </c>
      <c r="I1615" s="104">
        <f t="shared" si="1168"/>
        <v>0</v>
      </c>
      <c r="J1615" s="104">
        <f t="shared" si="1168"/>
        <v>0</v>
      </c>
      <c r="K1615" s="104">
        <f t="shared" si="1168"/>
        <v>0</v>
      </c>
      <c r="L1615" s="104">
        <f t="shared" si="1168"/>
        <v>0</v>
      </c>
      <c r="M1615" s="104">
        <f t="shared" si="1168"/>
        <v>0</v>
      </c>
      <c r="N1615" s="104">
        <f t="shared" si="1168"/>
        <v>0</v>
      </c>
      <c r="O1615" s="104">
        <f t="shared" si="1168"/>
        <v>0</v>
      </c>
      <c r="P1615" s="104">
        <f t="shared" si="1168"/>
        <v>0</v>
      </c>
      <c r="Q1615" s="104">
        <f t="shared" si="1168"/>
        <v>0</v>
      </c>
    </row>
    <row r="1616" ht="24" customHeight="1" spans="1:17">
      <c r="A1616" s="99" t="s">
        <v>349</v>
      </c>
      <c r="B1616" s="99" t="s">
        <v>290</v>
      </c>
      <c r="C1616" s="99" t="s">
        <v>316</v>
      </c>
      <c r="D1616" s="48" t="s">
        <v>296</v>
      </c>
      <c r="E1616" s="48" t="s">
        <v>406</v>
      </c>
      <c r="F1616" s="105">
        <f t="shared" ref="F1616:F1618" si="1169">F1526</f>
        <v>0</v>
      </c>
      <c r="G1616" s="105">
        <f t="shared" ref="G1616:Q1616" si="1170">G1526+F1616</f>
        <v>0</v>
      </c>
      <c r="H1616" s="105">
        <f t="shared" si="1170"/>
        <v>0</v>
      </c>
      <c r="I1616" s="105">
        <f t="shared" si="1170"/>
        <v>0</v>
      </c>
      <c r="J1616" s="105">
        <f t="shared" si="1170"/>
        <v>0</v>
      </c>
      <c r="K1616" s="105">
        <f t="shared" si="1170"/>
        <v>0</v>
      </c>
      <c r="L1616" s="105">
        <f t="shared" si="1170"/>
        <v>0</v>
      </c>
      <c r="M1616" s="105">
        <f t="shared" si="1170"/>
        <v>0</v>
      </c>
      <c r="N1616" s="105">
        <f t="shared" si="1170"/>
        <v>0</v>
      </c>
      <c r="O1616" s="105">
        <f t="shared" si="1170"/>
        <v>0</v>
      </c>
      <c r="P1616" s="105">
        <f t="shared" si="1170"/>
        <v>0</v>
      </c>
      <c r="Q1616" s="105">
        <f t="shared" si="1170"/>
        <v>0</v>
      </c>
    </row>
    <row r="1617" ht="24" customHeight="1" spans="1:17">
      <c r="A1617" s="99" t="s">
        <v>349</v>
      </c>
      <c r="B1617" s="99" t="s">
        <v>290</v>
      </c>
      <c r="C1617" s="99" t="s">
        <v>316</v>
      </c>
      <c r="D1617" s="48" t="s">
        <v>296</v>
      </c>
      <c r="E1617" s="48" t="s">
        <v>82</v>
      </c>
      <c r="F1617" s="105">
        <f t="shared" si="1169"/>
        <v>0</v>
      </c>
      <c r="G1617" s="105">
        <f t="shared" ref="G1617:Q1617" si="1171">G1527+F1617</f>
        <v>0</v>
      </c>
      <c r="H1617" s="105">
        <f t="shared" si="1171"/>
        <v>0</v>
      </c>
      <c r="I1617" s="105">
        <f t="shared" si="1171"/>
        <v>0</v>
      </c>
      <c r="J1617" s="105">
        <f t="shared" si="1171"/>
        <v>0</v>
      </c>
      <c r="K1617" s="105">
        <f t="shared" si="1171"/>
        <v>0</v>
      </c>
      <c r="L1617" s="105">
        <f t="shared" si="1171"/>
        <v>0</v>
      </c>
      <c r="M1617" s="105">
        <f t="shared" si="1171"/>
        <v>0</v>
      </c>
      <c r="N1617" s="105">
        <f t="shared" si="1171"/>
        <v>0</v>
      </c>
      <c r="O1617" s="105">
        <f t="shared" si="1171"/>
        <v>0</v>
      </c>
      <c r="P1617" s="105">
        <f t="shared" si="1171"/>
        <v>0</v>
      </c>
      <c r="Q1617" s="105">
        <f t="shared" si="1171"/>
        <v>0</v>
      </c>
    </row>
    <row r="1618" ht="24" customHeight="1" spans="1:17">
      <c r="A1618" s="99" t="s">
        <v>349</v>
      </c>
      <c r="B1618" s="99" t="s">
        <v>290</v>
      </c>
      <c r="C1618" s="99" t="s">
        <v>316</v>
      </c>
      <c r="D1618" s="48" t="s">
        <v>296</v>
      </c>
      <c r="E1618" s="48" t="s">
        <v>86</v>
      </c>
      <c r="F1618" s="105">
        <f t="shared" si="1169"/>
        <v>0</v>
      </c>
      <c r="G1618" s="105">
        <f t="shared" ref="G1618:Q1618" si="1172">G1528+F1618</f>
        <v>0</v>
      </c>
      <c r="H1618" s="105">
        <f t="shared" si="1172"/>
        <v>0</v>
      </c>
      <c r="I1618" s="105">
        <f t="shared" si="1172"/>
        <v>0</v>
      </c>
      <c r="J1618" s="105">
        <f t="shared" si="1172"/>
        <v>0</v>
      </c>
      <c r="K1618" s="105">
        <f t="shared" si="1172"/>
        <v>0</v>
      </c>
      <c r="L1618" s="105">
        <f t="shared" si="1172"/>
        <v>0</v>
      </c>
      <c r="M1618" s="105">
        <f t="shared" si="1172"/>
        <v>0</v>
      </c>
      <c r="N1618" s="105">
        <f t="shared" si="1172"/>
        <v>0</v>
      </c>
      <c r="O1618" s="105">
        <f t="shared" si="1172"/>
        <v>0</v>
      </c>
      <c r="P1618" s="105">
        <f t="shared" si="1172"/>
        <v>0</v>
      </c>
      <c r="Q1618" s="105">
        <f t="shared" si="1172"/>
        <v>0</v>
      </c>
    </row>
    <row r="1619" ht="24" customHeight="1" spans="1:17">
      <c r="A1619" s="99" t="s">
        <v>349</v>
      </c>
      <c r="B1619" s="99" t="s">
        <v>290</v>
      </c>
      <c r="C1619" s="99" t="s">
        <v>316</v>
      </c>
      <c r="D1619" s="100" t="s">
        <v>292</v>
      </c>
      <c r="E1619" s="100" t="s">
        <v>319</v>
      </c>
      <c r="F1619" s="104">
        <f t="shared" ref="F1619:Q1619" si="1173">SUM(F1620:F1622)</f>
        <v>3</v>
      </c>
      <c r="G1619" s="104">
        <f t="shared" si="1173"/>
        <v>3</v>
      </c>
      <c r="H1619" s="104">
        <f t="shared" si="1173"/>
        <v>3</v>
      </c>
      <c r="I1619" s="104">
        <f t="shared" si="1173"/>
        <v>3</v>
      </c>
      <c r="J1619" s="104">
        <f t="shared" si="1173"/>
        <v>3</v>
      </c>
      <c r="K1619" s="104">
        <f t="shared" si="1173"/>
        <v>3</v>
      </c>
      <c r="L1619" s="104">
        <f t="shared" si="1173"/>
        <v>5</v>
      </c>
      <c r="M1619" s="104">
        <f t="shared" si="1173"/>
        <v>5</v>
      </c>
      <c r="N1619" s="104">
        <f t="shared" si="1173"/>
        <v>5</v>
      </c>
      <c r="O1619" s="104">
        <f t="shared" si="1173"/>
        <v>5</v>
      </c>
      <c r="P1619" s="104">
        <f t="shared" si="1173"/>
        <v>5</v>
      </c>
      <c r="Q1619" s="104">
        <f t="shared" si="1173"/>
        <v>7</v>
      </c>
    </row>
    <row r="1620" ht="24" customHeight="1" spans="1:17">
      <c r="A1620" s="99" t="s">
        <v>349</v>
      </c>
      <c r="B1620" s="99" t="s">
        <v>290</v>
      </c>
      <c r="C1620" s="99" t="s">
        <v>316</v>
      </c>
      <c r="D1620" s="48" t="s">
        <v>298</v>
      </c>
      <c r="E1620" s="48" t="s">
        <v>97</v>
      </c>
      <c r="F1620" s="105">
        <f t="shared" ref="F1620:F1622" si="1174">F1530</f>
        <v>0</v>
      </c>
      <c r="G1620" s="105">
        <f t="shared" ref="G1620:Q1620" si="1175">G1530+F1620</f>
        <v>0</v>
      </c>
      <c r="H1620" s="105">
        <f t="shared" si="1175"/>
        <v>0</v>
      </c>
      <c r="I1620" s="105">
        <f t="shared" si="1175"/>
        <v>0</v>
      </c>
      <c r="J1620" s="105">
        <f t="shared" si="1175"/>
        <v>0</v>
      </c>
      <c r="K1620" s="105">
        <f t="shared" si="1175"/>
        <v>0</v>
      </c>
      <c r="L1620" s="105">
        <f t="shared" si="1175"/>
        <v>0</v>
      </c>
      <c r="M1620" s="105">
        <f t="shared" si="1175"/>
        <v>0</v>
      </c>
      <c r="N1620" s="105">
        <f t="shared" si="1175"/>
        <v>0</v>
      </c>
      <c r="O1620" s="105">
        <f t="shared" si="1175"/>
        <v>0</v>
      </c>
      <c r="P1620" s="105">
        <f t="shared" si="1175"/>
        <v>0</v>
      </c>
      <c r="Q1620" s="105">
        <f t="shared" si="1175"/>
        <v>0</v>
      </c>
    </row>
    <row r="1621" ht="24" customHeight="1" spans="1:17">
      <c r="A1621" s="99" t="s">
        <v>349</v>
      </c>
      <c r="B1621" s="99" t="s">
        <v>290</v>
      </c>
      <c r="C1621" s="99" t="s">
        <v>316</v>
      </c>
      <c r="D1621" s="48" t="s">
        <v>298</v>
      </c>
      <c r="E1621" s="48" t="s">
        <v>87</v>
      </c>
      <c r="F1621" s="105">
        <f t="shared" si="1174"/>
        <v>3</v>
      </c>
      <c r="G1621" s="105">
        <f t="shared" ref="G1621:Q1621" si="1176">G1531+F1621</f>
        <v>3</v>
      </c>
      <c r="H1621" s="105">
        <f t="shared" si="1176"/>
        <v>3</v>
      </c>
      <c r="I1621" s="105">
        <f t="shared" si="1176"/>
        <v>3</v>
      </c>
      <c r="J1621" s="105">
        <f t="shared" si="1176"/>
        <v>3</v>
      </c>
      <c r="K1621" s="105">
        <f t="shared" si="1176"/>
        <v>3</v>
      </c>
      <c r="L1621" s="105">
        <f t="shared" si="1176"/>
        <v>5</v>
      </c>
      <c r="M1621" s="105">
        <f t="shared" si="1176"/>
        <v>5</v>
      </c>
      <c r="N1621" s="105">
        <f t="shared" si="1176"/>
        <v>5</v>
      </c>
      <c r="O1621" s="105">
        <f t="shared" si="1176"/>
        <v>5</v>
      </c>
      <c r="P1621" s="105">
        <f t="shared" si="1176"/>
        <v>5</v>
      </c>
      <c r="Q1621" s="105">
        <f t="shared" si="1176"/>
        <v>7</v>
      </c>
    </row>
    <row r="1622" ht="24" customHeight="1" spans="1:17">
      <c r="A1622" s="99" t="s">
        <v>349</v>
      </c>
      <c r="B1622" s="99" t="s">
        <v>290</v>
      </c>
      <c r="C1622" s="99" t="s">
        <v>316</v>
      </c>
      <c r="D1622" s="48" t="s">
        <v>298</v>
      </c>
      <c r="E1622" s="48" t="s">
        <v>83</v>
      </c>
      <c r="F1622" s="105">
        <f t="shared" si="1174"/>
        <v>0</v>
      </c>
      <c r="G1622" s="105">
        <f t="shared" ref="G1622:Q1622" si="1177">G1532+F1622</f>
        <v>0</v>
      </c>
      <c r="H1622" s="105">
        <f t="shared" si="1177"/>
        <v>0</v>
      </c>
      <c r="I1622" s="105">
        <f t="shared" si="1177"/>
        <v>0</v>
      </c>
      <c r="J1622" s="105">
        <f t="shared" si="1177"/>
        <v>0</v>
      </c>
      <c r="K1622" s="105">
        <f t="shared" si="1177"/>
        <v>0</v>
      </c>
      <c r="L1622" s="105">
        <f t="shared" si="1177"/>
        <v>0</v>
      </c>
      <c r="M1622" s="105">
        <f t="shared" si="1177"/>
        <v>0</v>
      </c>
      <c r="N1622" s="105">
        <f t="shared" si="1177"/>
        <v>0</v>
      </c>
      <c r="O1622" s="105">
        <f t="shared" si="1177"/>
        <v>0</v>
      </c>
      <c r="P1622" s="105">
        <f t="shared" si="1177"/>
        <v>0</v>
      </c>
      <c r="Q1622" s="105">
        <f t="shared" si="1177"/>
        <v>0</v>
      </c>
    </row>
    <row r="1623" ht="24" customHeight="1" spans="1:17">
      <c r="A1623" s="99" t="s">
        <v>349</v>
      </c>
      <c r="B1623" s="99" t="s">
        <v>299</v>
      </c>
      <c r="C1623" s="99" t="s">
        <v>316</v>
      </c>
      <c r="D1623" s="100" t="s">
        <v>292</v>
      </c>
      <c r="E1623" s="100" t="s">
        <v>320</v>
      </c>
      <c r="F1623" s="104">
        <f t="shared" ref="F1623:Q1623" si="1178">IF((SUM(F1624:F1629)-MAX(F1641,F1648))&lt;0,"ERR",SUM(F1624:F1629))</f>
        <v>2</v>
      </c>
      <c r="G1623" s="104">
        <f t="shared" si="1178"/>
        <v>2</v>
      </c>
      <c r="H1623" s="104">
        <f t="shared" si="1178"/>
        <v>2</v>
      </c>
      <c r="I1623" s="104">
        <f t="shared" si="1178"/>
        <v>2</v>
      </c>
      <c r="J1623" s="104">
        <f t="shared" si="1178"/>
        <v>3</v>
      </c>
      <c r="K1623" s="104">
        <f t="shared" si="1178"/>
        <v>3</v>
      </c>
      <c r="L1623" s="104">
        <f t="shared" si="1178"/>
        <v>5</v>
      </c>
      <c r="M1623" s="104">
        <f t="shared" si="1178"/>
        <v>5</v>
      </c>
      <c r="N1623" s="104">
        <f t="shared" si="1178"/>
        <v>5</v>
      </c>
      <c r="O1623" s="104">
        <f t="shared" si="1178"/>
        <v>5</v>
      </c>
      <c r="P1623" s="104">
        <f t="shared" si="1178"/>
        <v>5</v>
      </c>
      <c r="Q1623" s="104">
        <f t="shared" si="1178"/>
        <v>7</v>
      </c>
    </row>
    <row r="1624" ht="24" customHeight="1" spans="1:17">
      <c r="A1624" s="99" t="s">
        <v>349</v>
      </c>
      <c r="B1624" s="99" t="s">
        <v>299</v>
      </c>
      <c r="C1624" s="99" t="s">
        <v>316</v>
      </c>
      <c r="D1624" s="48" t="s">
        <v>31</v>
      </c>
      <c r="E1624" s="48" t="s">
        <v>406</v>
      </c>
      <c r="F1624" s="105">
        <f t="shared" ref="F1624:F1629" si="1179">F1534</f>
        <v>0</v>
      </c>
      <c r="G1624" s="105">
        <f t="shared" ref="G1624:Q1624" si="1180">G1534+F1624</f>
        <v>0</v>
      </c>
      <c r="H1624" s="105">
        <f t="shared" si="1180"/>
        <v>0</v>
      </c>
      <c r="I1624" s="105">
        <f t="shared" si="1180"/>
        <v>0</v>
      </c>
      <c r="J1624" s="105">
        <f t="shared" si="1180"/>
        <v>0</v>
      </c>
      <c r="K1624" s="105">
        <f t="shared" si="1180"/>
        <v>0</v>
      </c>
      <c r="L1624" s="105">
        <f t="shared" si="1180"/>
        <v>0</v>
      </c>
      <c r="M1624" s="105">
        <f t="shared" si="1180"/>
        <v>0</v>
      </c>
      <c r="N1624" s="105">
        <f t="shared" si="1180"/>
        <v>0</v>
      </c>
      <c r="O1624" s="105">
        <f t="shared" si="1180"/>
        <v>0</v>
      </c>
      <c r="P1624" s="105">
        <f t="shared" si="1180"/>
        <v>0</v>
      </c>
      <c r="Q1624" s="105">
        <f t="shared" si="1180"/>
        <v>0</v>
      </c>
    </row>
    <row r="1625" ht="24" customHeight="1" spans="1:17">
      <c r="A1625" s="99" t="s">
        <v>349</v>
      </c>
      <c r="B1625" s="99" t="s">
        <v>299</v>
      </c>
      <c r="C1625" s="99" t="s">
        <v>316</v>
      </c>
      <c r="D1625" s="48" t="s">
        <v>31</v>
      </c>
      <c r="E1625" s="48" t="s">
        <v>82</v>
      </c>
      <c r="F1625" s="105">
        <f t="shared" si="1179"/>
        <v>0</v>
      </c>
      <c r="G1625" s="105">
        <f t="shared" ref="G1625:Q1625" si="1181">G1535+F1625</f>
        <v>0</v>
      </c>
      <c r="H1625" s="105">
        <f t="shared" si="1181"/>
        <v>0</v>
      </c>
      <c r="I1625" s="105">
        <f t="shared" si="1181"/>
        <v>0</v>
      </c>
      <c r="J1625" s="105">
        <f t="shared" si="1181"/>
        <v>0</v>
      </c>
      <c r="K1625" s="105">
        <f t="shared" si="1181"/>
        <v>0</v>
      </c>
      <c r="L1625" s="105">
        <f t="shared" si="1181"/>
        <v>0</v>
      </c>
      <c r="M1625" s="105">
        <f t="shared" si="1181"/>
        <v>0</v>
      </c>
      <c r="N1625" s="105">
        <f t="shared" si="1181"/>
        <v>0</v>
      </c>
      <c r="O1625" s="105">
        <f t="shared" si="1181"/>
        <v>0</v>
      </c>
      <c r="P1625" s="105">
        <f t="shared" si="1181"/>
        <v>0</v>
      </c>
      <c r="Q1625" s="105">
        <f t="shared" si="1181"/>
        <v>0</v>
      </c>
    </row>
    <row r="1626" ht="24" customHeight="1" spans="1:17">
      <c r="A1626" s="99" t="s">
        <v>349</v>
      </c>
      <c r="B1626" s="99" t="s">
        <v>299</v>
      </c>
      <c r="C1626" s="99" t="s">
        <v>316</v>
      </c>
      <c r="D1626" s="48" t="s">
        <v>31</v>
      </c>
      <c r="E1626" s="48" t="s">
        <v>86</v>
      </c>
      <c r="F1626" s="105">
        <f t="shared" si="1179"/>
        <v>0</v>
      </c>
      <c r="G1626" s="105">
        <f t="shared" ref="G1626:Q1626" si="1182">G1536+F1626</f>
        <v>0</v>
      </c>
      <c r="H1626" s="105">
        <f t="shared" si="1182"/>
        <v>0</v>
      </c>
      <c r="I1626" s="105">
        <f t="shared" si="1182"/>
        <v>0</v>
      </c>
      <c r="J1626" s="105">
        <f t="shared" si="1182"/>
        <v>0</v>
      </c>
      <c r="K1626" s="105">
        <f t="shared" si="1182"/>
        <v>0</v>
      </c>
      <c r="L1626" s="105">
        <f t="shared" si="1182"/>
        <v>0</v>
      </c>
      <c r="M1626" s="105">
        <f t="shared" si="1182"/>
        <v>0</v>
      </c>
      <c r="N1626" s="105">
        <f t="shared" si="1182"/>
        <v>0</v>
      </c>
      <c r="O1626" s="105">
        <f t="shared" si="1182"/>
        <v>0</v>
      </c>
      <c r="P1626" s="105">
        <f t="shared" si="1182"/>
        <v>0</v>
      </c>
      <c r="Q1626" s="105">
        <f t="shared" si="1182"/>
        <v>0</v>
      </c>
    </row>
    <row r="1627" ht="24" customHeight="1" spans="1:17">
      <c r="A1627" s="99" t="s">
        <v>349</v>
      </c>
      <c r="B1627" s="99" t="s">
        <v>299</v>
      </c>
      <c r="C1627" s="99" t="s">
        <v>316</v>
      </c>
      <c r="D1627" s="48" t="s">
        <v>31</v>
      </c>
      <c r="E1627" s="48" t="s">
        <v>97</v>
      </c>
      <c r="F1627" s="105">
        <f t="shared" si="1179"/>
        <v>0</v>
      </c>
      <c r="G1627" s="105">
        <f t="shared" ref="G1627:Q1627" si="1183">G1537+F1627</f>
        <v>0</v>
      </c>
      <c r="H1627" s="105">
        <f t="shared" si="1183"/>
        <v>0</v>
      </c>
      <c r="I1627" s="105">
        <f t="shared" si="1183"/>
        <v>0</v>
      </c>
      <c r="J1627" s="105">
        <f t="shared" si="1183"/>
        <v>0</v>
      </c>
      <c r="K1627" s="105">
        <f t="shared" si="1183"/>
        <v>0</v>
      </c>
      <c r="L1627" s="105">
        <f t="shared" si="1183"/>
        <v>0</v>
      </c>
      <c r="M1627" s="105">
        <f t="shared" si="1183"/>
        <v>0</v>
      </c>
      <c r="N1627" s="105">
        <f t="shared" si="1183"/>
        <v>0</v>
      </c>
      <c r="O1627" s="105">
        <f t="shared" si="1183"/>
        <v>0</v>
      </c>
      <c r="P1627" s="105">
        <f t="shared" si="1183"/>
        <v>0</v>
      </c>
      <c r="Q1627" s="105">
        <f t="shared" si="1183"/>
        <v>0</v>
      </c>
    </row>
    <row r="1628" ht="24" customHeight="1" spans="1:17">
      <c r="A1628" s="99" t="s">
        <v>349</v>
      </c>
      <c r="B1628" s="99" t="s">
        <v>299</v>
      </c>
      <c r="C1628" s="99" t="s">
        <v>316</v>
      </c>
      <c r="D1628" s="48" t="s">
        <v>31</v>
      </c>
      <c r="E1628" s="48" t="s">
        <v>87</v>
      </c>
      <c r="F1628" s="105">
        <f t="shared" si="1179"/>
        <v>2</v>
      </c>
      <c r="G1628" s="105">
        <f t="shared" ref="G1628:Q1628" si="1184">G1538+F1628</f>
        <v>2</v>
      </c>
      <c r="H1628" s="105">
        <f t="shared" si="1184"/>
        <v>2</v>
      </c>
      <c r="I1628" s="105">
        <f t="shared" si="1184"/>
        <v>2</v>
      </c>
      <c r="J1628" s="105">
        <f t="shared" si="1184"/>
        <v>3</v>
      </c>
      <c r="K1628" s="105">
        <f t="shared" si="1184"/>
        <v>3</v>
      </c>
      <c r="L1628" s="105">
        <f t="shared" si="1184"/>
        <v>5</v>
      </c>
      <c r="M1628" s="105">
        <f t="shared" si="1184"/>
        <v>5</v>
      </c>
      <c r="N1628" s="105">
        <f t="shared" si="1184"/>
        <v>5</v>
      </c>
      <c r="O1628" s="105">
        <f t="shared" si="1184"/>
        <v>5</v>
      </c>
      <c r="P1628" s="105">
        <f t="shared" si="1184"/>
        <v>5</v>
      </c>
      <c r="Q1628" s="105">
        <f t="shared" si="1184"/>
        <v>7</v>
      </c>
    </row>
    <row r="1629" ht="24" customHeight="1" spans="1:17">
      <c r="A1629" s="99" t="s">
        <v>349</v>
      </c>
      <c r="B1629" s="99" t="s">
        <v>299</v>
      </c>
      <c r="C1629" s="99" t="s">
        <v>316</v>
      </c>
      <c r="D1629" s="48" t="s">
        <v>31</v>
      </c>
      <c r="E1629" s="48" t="s">
        <v>83</v>
      </c>
      <c r="F1629" s="105">
        <f t="shared" si="1179"/>
        <v>0</v>
      </c>
      <c r="G1629" s="105">
        <f t="shared" ref="G1629:Q1629" si="1185">G1539+F1629</f>
        <v>0</v>
      </c>
      <c r="H1629" s="105">
        <f t="shared" si="1185"/>
        <v>0</v>
      </c>
      <c r="I1629" s="105">
        <f t="shared" si="1185"/>
        <v>0</v>
      </c>
      <c r="J1629" s="105">
        <f t="shared" si="1185"/>
        <v>0</v>
      </c>
      <c r="K1629" s="105">
        <f t="shared" si="1185"/>
        <v>0</v>
      </c>
      <c r="L1629" s="105">
        <f t="shared" si="1185"/>
        <v>0</v>
      </c>
      <c r="M1629" s="105">
        <f t="shared" si="1185"/>
        <v>0</v>
      </c>
      <c r="N1629" s="105">
        <f t="shared" si="1185"/>
        <v>0</v>
      </c>
      <c r="O1629" s="105">
        <f t="shared" si="1185"/>
        <v>0</v>
      </c>
      <c r="P1629" s="105">
        <f t="shared" si="1185"/>
        <v>0</v>
      </c>
      <c r="Q1629" s="105">
        <f t="shared" si="1185"/>
        <v>0</v>
      </c>
    </row>
    <row r="1630" ht="24" customHeight="1" spans="1:17">
      <c r="A1630" s="99" t="s">
        <v>349</v>
      </c>
      <c r="B1630" s="99" t="s">
        <v>299</v>
      </c>
      <c r="C1630" s="99" t="s">
        <v>316</v>
      </c>
      <c r="D1630" s="48" t="s">
        <v>321</v>
      </c>
      <c r="E1630" s="48" t="s">
        <v>406</v>
      </c>
      <c r="F1630" s="112">
        <f t="shared" ref="F1630:Q1630" si="1186">IFERROR(F1624/F1623,"-")</f>
        <v>0</v>
      </c>
      <c r="G1630" s="112">
        <f t="shared" si="1186"/>
        <v>0</v>
      </c>
      <c r="H1630" s="112">
        <f t="shared" si="1186"/>
        <v>0</v>
      </c>
      <c r="I1630" s="112">
        <f t="shared" si="1186"/>
        <v>0</v>
      </c>
      <c r="J1630" s="112">
        <f t="shared" si="1186"/>
        <v>0</v>
      </c>
      <c r="K1630" s="112">
        <f t="shared" si="1186"/>
        <v>0</v>
      </c>
      <c r="L1630" s="112">
        <f t="shared" si="1186"/>
        <v>0</v>
      </c>
      <c r="M1630" s="112">
        <f t="shared" si="1186"/>
        <v>0</v>
      </c>
      <c r="N1630" s="112">
        <f t="shared" si="1186"/>
        <v>0</v>
      </c>
      <c r="O1630" s="112">
        <f t="shared" si="1186"/>
        <v>0</v>
      </c>
      <c r="P1630" s="112">
        <f t="shared" si="1186"/>
        <v>0</v>
      </c>
      <c r="Q1630" s="112">
        <f t="shared" si="1186"/>
        <v>0</v>
      </c>
    </row>
    <row r="1631" ht="24" customHeight="1" spans="1:17">
      <c r="A1631" s="99" t="s">
        <v>349</v>
      </c>
      <c r="B1631" s="99" t="s">
        <v>299</v>
      </c>
      <c r="C1631" s="99" t="s">
        <v>316</v>
      </c>
      <c r="D1631" s="48" t="s">
        <v>321</v>
      </c>
      <c r="E1631" s="48" t="s">
        <v>82</v>
      </c>
      <c r="F1631" s="112">
        <f t="shared" ref="F1631:Q1631" si="1187">IFERROR(F1625/F1623,"-")</f>
        <v>0</v>
      </c>
      <c r="G1631" s="112">
        <f t="shared" si="1187"/>
        <v>0</v>
      </c>
      <c r="H1631" s="112">
        <f t="shared" si="1187"/>
        <v>0</v>
      </c>
      <c r="I1631" s="112">
        <f t="shared" si="1187"/>
        <v>0</v>
      </c>
      <c r="J1631" s="112">
        <f t="shared" si="1187"/>
        <v>0</v>
      </c>
      <c r="K1631" s="112">
        <f t="shared" si="1187"/>
        <v>0</v>
      </c>
      <c r="L1631" s="112">
        <f t="shared" si="1187"/>
        <v>0</v>
      </c>
      <c r="M1631" s="112">
        <f t="shared" si="1187"/>
        <v>0</v>
      </c>
      <c r="N1631" s="112">
        <f t="shared" si="1187"/>
        <v>0</v>
      </c>
      <c r="O1631" s="112">
        <f t="shared" si="1187"/>
        <v>0</v>
      </c>
      <c r="P1631" s="112">
        <f t="shared" si="1187"/>
        <v>0</v>
      </c>
      <c r="Q1631" s="112">
        <f t="shared" si="1187"/>
        <v>0</v>
      </c>
    </row>
    <row r="1632" ht="24" customHeight="1" spans="1:17">
      <c r="A1632" s="99" t="s">
        <v>349</v>
      </c>
      <c r="B1632" s="99" t="s">
        <v>299</v>
      </c>
      <c r="C1632" s="99" t="s">
        <v>316</v>
      </c>
      <c r="D1632" s="48" t="s">
        <v>321</v>
      </c>
      <c r="E1632" s="48" t="s">
        <v>86</v>
      </c>
      <c r="F1632" s="112">
        <f t="shared" ref="F1632:Q1632" si="1188">IFERROR(F1626/F1623,"-")</f>
        <v>0</v>
      </c>
      <c r="G1632" s="112">
        <f t="shared" si="1188"/>
        <v>0</v>
      </c>
      <c r="H1632" s="112">
        <f t="shared" si="1188"/>
        <v>0</v>
      </c>
      <c r="I1632" s="112">
        <f t="shared" si="1188"/>
        <v>0</v>
      </c>
      <c r="J1632" s="112">
        <f t="shared" si="1188"/>
        <v>0</v>
      </c>
      <c r="K1632" s="112">
        <f t="shared" si="1188"/>
        <v>0</v>
      </c>
      <c r="L1632" s="112">
        <f t="shared" si="1188"/>
        <v>0</v>
      </c>
      <c r="M1632" s="112">
        <f t="shared" si="1188"/>
        <v>0</v>
      </c>
      <c r="N1632" s="112">
        <f t="shared" si="1188"/>
        <v>0</v>
      </c>
      <c r="O1632" s="112">
        <f t="shared" si="1188"/>
        <v>0</v>
      </c>
      <c r="P1632" s="112">
        <f t="shared" si="1188"/>
        <v>0</v>
      </c>
      <c r="Q1632" s="112">
        <f t="shared" si="1188"/>
        <v>0</v>
      </c>
    </row>
    <row r="1633" ht="24" customHeight="1" spans="1:17">
      <c r="A1633" s="99" t="s">
        <v>349</v>
      </c>
      <c r="B1633" s="99" t="s">
        <v>299</v>
      </c>
      <c r="C1633" s="99" t="s">
        <v>316</v>
      </c>
      <c r="D1633" s="48" t="s">
        <v>321</v>
      </c>
      <c r="E1633" s="48" t="s">
        <v>97</v>
      </c>
      <c r="F1633" s="112">
        <f t="shared" ref="F1633:Q1633" si="1189">IFERROR(F1627/F1623,"-")</f>
        <v>0</v>
      </c>
      <c r="G1633" s="112">
        <f t="shared" si="1189"/>
        <v>0</v>
      </c>
      <c r="H1633" s="112">
        <f t="shared" si="1189"/>
        <v>0</v>
      </c>
      <c r="I1633" s="112">
        <f t="shared" si="1189"/>
        <v>0</v>
      </c>
      <c r="J1633" s="112">
        <f t="shared" si="1189"/>
        <v>0</v>
      </c>
      <c r="K1633" s="112">
        <f t="shared" si="1189"/>
        <v>0</v>
      </c>
      <c r="L1633" s="112">
        <f t="shared" si="1189"/>
        <v>0</v>
      </c>
      <c r="M1633" s="112">
        <f t="shared" si="1189"/>
        <v>0</v>
      </c>
      <c r="N1633" s="112">
        <f t="shared" si="1189"/>
        <v>0</v>
      </c>
      <c r="O1633" s="112">
        <f t="shared" si="1189"/>
        <v>0</v>
      </c>
      <c r="P1633" s="112">
        <f t="shared" si="1189"/>
        <v>0</v>
      </c>
      <c r="Q1633" s="112">
        <f t="shared" si="1189"/>
        <v>0</v>
      </c>
    </row>
    <row r="1634" ht="24" customHeight="1" spans="1:17">
      <c r="A1634" s="99" t="s">
        <v>349</v>
      </c>
      <c r="B1634" s="99" t="s">
        <v>299</v>
      </c>
      <c r="C1634" s="99" t="s">
        <v>316</v>
      </c>
      <c r="D1634" s="48" t="s">
        <v>321</v>
      </c>
      <c r="E1634" s="48" t="s">
        <v>87</v>
      </c>
      <c r="F1634" s="112">
        <f t="shared" ref="F1634:Q1634" si="1190">IFERROR(F1628/F1623,"-")</f>
        <v>1</v>
      </c>
      <c r="G1634" s="112">
        <f t="shared" si="1190"/>
        <v>1</v>
      </c>
      <c r="H1634" s="112">
        <f t="shared" si="1190"/>
        <v>1</v>
      </c>
      <c r="I1634" s="112">
        <f t="shared" si="1190"/>
        <v>1</v>
      </c>
      <c r="J1634" s="112">
        <f t="shared" si="1190"/>
        <v>1</v>
      </c>
      <c r="K1634" s="112">
        <f t="shared" si="1190"/>
        <v>1</v>
      </c>
      <c r="L1634" s="112">
        <f t="shared" si="1190"/>
        <v>1</v>
      </c>
      <c r="M1634" s="112">
        <f t="shared" si="1190"/>
        <v>1</v>
      </c>
      <c r="N1634" s="112">
        <f t="shared" si="1190"/>
        <v>1</v>
      </c>
      <c r="O1634" s="112">
        <f t="shared" si="1190"/>
        <v>1</v>
      </c>
      <c r="P1634" s="112">
        <f t="shared" si="1190"/>
        <v>1</v>
      </c>
      <c r="Q1634" s="112">
        <f t="shared" si="1190"/>
        <v>1</v>
      </c>
    </row>
    <row r="1635" ht="24" customHeight="1" spans="1:17">
      <c r="A1635" s="99" t="s">
        <v>349</v>
      </c>
      <c r="B1635" s="99" t="s">
        <v>299</v>
      </c>
      <c r="C1635" s="99" t="s">
        <v>316</v>
      </c>
      <c r="D1635" s="48" t="s">
        <v>321</v>
      </c>
      <c r="E1635" s="48" t="s">
        <v>83</v>
      </c>
      <c r="F1635" s="112">
        <f t="shared" ref="F1635:Q1635" si="1191">IFERROR(F1629/F1623,"-")</f>
        <v>0</v>
      </c>
      <c r="G1635" s="112">
        <f t="shared" si="1191"/>
        <v>0</v>
      </c>
      <c r="H1635" s="112">
        <f t="shared" si="1191"/>
        <v>0</v>
      </c>
      <c r="I1635" s="112">
        <f t="shared" si="1191"/>
        <v>0</v>
      </c>
      <c r="J1635" s="112">
        <f t="shared" si="1191"/>
        <v>0</v>
      </c>
      <c r="K1635" s="112">
        <f t="shared" si="1191"/>
        <v>0</v>
      </c>
      <c r="L1635" s="112">
        <f t="shared" si="1191"/>
        <v>0</v>
      </c>
      <c r="M1635" s="112">
        <f t="shared" si="1191"/>
        <v>0</v>
      </c>
      <c r="N1635" s="112">
        <f t="shared" si="1191"/>
        <v>0</v>
      </c>
      <c r="O1635" s="112">
        <f t="shared" si="1191"/>
        <v>0</v>
      </c>
      <c r="P1635" s="112">
        <f t="shared" si="1191"/>
        <v>0</v>
      </c>
      <c r="Q1635" s="112">
        <f t="shared" si="1191"/>
        <v>0</v>
      </c>
    </row>
    <row r="1636" ht="24" customHeight="1" spans="1:17">
      <c r="A1636" s="99" t="s">
        <v>349</v>
      </c>
      <c r="B1636" s="99" t="s">
        <v>299</v>
      </c>
      <c r="C1636" s="99" t="s">
        <v>316</v>
      </c>
      <c r="D1636" s="47" t="s">
        <v>294</v>
      </c>
      <c r="E1636" s="47" t="s">
        <v>93</v>
      </c>
      <c r="F1636" s="106">
        <f t="shared" ref="F1636:F1640" si="1192">F1540</f>
        <v>2</v>
      </c>
      <c r="G1636" s="106">
        <f t="shared" ref="G1636:Q1636" si="1193">G1540+F1636</f>
        <v>2</v>
      </c>
      <c r="H1636" s="106">
        <f t="shared" si="1193"/>
        <v>2</v>
      </c>
      <c r="I1636" s="106">
        <f t="shared" si="1193"/>
        <v>2</v>
      </c>
      <c r="J1636" s="106">
        <f t="shared" si="1193"/>
        <v>3</v>
      </c>
      <c r="K1636" s="106">
        <f t="shared" si="1193"/>
        <v>3</v>
      </c>
      <c r="L1636" s="106">
        <f t="shared" si="1193"/>
        <v>3</v>
      </c>
      <c r="M1636" s="106">
        <f t="shared" si="1193"/>
        <v>3</v>
      </c>
      <c r="N1636" s="106">
        <f t="shared" si="1193"/>
        <v>3</v>
      </c>
      <c r="O1636" s="106">
        <f t="shared" si="1193"/>
        <v>3</v>
      </c>
      <c r="P1636" s="106">
        <f t="shared" si="1193"/>
        <v>3</v>
      </c>
      <c r="Q1636" s="106">
        <f t="shared" si="1193"/>
        <v>3</v>
      </c>
    </row>
    <row r="1637" ht="24" customHeight="1" spans="1:17">
      <c r="A1637" s="99" t="s">
        <v>349</v>
      </c>
      <c r="B1637" s="99" t="s">
        <v>299</v>
      </c>
      <c r="C1637" s="99" t="s">
        <v>316</v>
      </c>
      <c r="D1637" s="47" t="s">
        <v>294</v>
      </c>
      <c r="E1637" s="47" t="s">
        <v>85</v>
      </c>
      <c r="F1637" s="106">
        <f t="shared" si="1192"/>
        <v>0</v>
      </c>
      <c r="G1637" s="106">
        <f t="shared" ref="G1637:Q1637" si="1194">G1541+F1637</f>
        <v>0</v>
      </c>
      <c r="H1637" s="106">
        <f t="shared" si="1194"/>
        <v>0</v>
      </c>
      <c r="I1637" s="106">
        <f t="shared" si="1194"/>
        <v>0</v>
      </c>
      <c r="J1637" s="106">
        <f t="shared" si="1194"/>
        <v>0</v>
      </c>
      <c r="K1637" s="106">
        <f t="shared" si="1194"/>
        <v>0</v>
      </c>
      <c r="L1637" s="106">
        <f t="shared" si="1194"/>
        <v>0</v>
      </c>
      <c r="M1637" s="106">
        <f t="shared" si="1194"/>
        <v>0</v>
      </c>
      <c r="N1637" s="106">
        <f t="shared" si="1194"/>
        <v>0</v>
      </c>
      <c r="O1637" s="106">
        <f t="shared" si="1194"/>
        <v>0</v>
      </c>
      <c r="P1637" s="106">
        <f t="shared" si="1194"/>
        <v>0</v>
      </c>
      <c r="Q1637" s="106">
        <f t="shared" si="1194"/>
        <v>0</v>
      </c>
    </row>
    <row r="1638" ht="24" customHeight="1" spans="1:17">
      <c r="A1638" s="99" t="s">
        <v>349</v>
      </c>
      <c r="B1638" s="99" t="s">
        <v>299</v>
      </c>
      <c r="C1638" s="99" t="s">
        <v>316</v>
      </c>
      <c r="D1638" s="47" t="s">
        <v>294</v>
      </c>
      <c r="E1638" s="47" t="s">
        <v>81</v>
      </c>
      <c r="F1638" s="106">
        <f t="shared" si="1192"/>
        <v>0</v>
      </c>
      <c r="G1638" s="106">
        <f t="shared" ref="G1638:Q1638" si="1195">G1542+F1638</f>
        <v>0</v>
      </c>
      <c r="H1638" s="106">
        <f t="shared" si="1195"/>
        <v>0</v>
      </c>
      <c r="I1638" s="106">
        <f t="shared" si="1195"/>
        <v>0</v>
      </c>
      <c r="J1638" s="106">
        <f t="shared" si="1195"/>
        <v>0</v>
      </c>
      <c r="K1638" s="106">
        <f t="shared" si="1195"/>
        <v>0</v>
      </c>
      <c r="L1638" s="106">
        <f t="shared" si="1195"/>
        <v>2</v>
      </c>
      <c r="M1638" s="106">
        <f t="shared" si="1195"/>
        <v>2</v>
      </c>
      <c r="N1638" s="106">
        <f t="shared" si="1195"/>
        <v>2</v>
      </c>
      <c r="O1638" s="106">
        <f t="shared" si="1195"/>
        <v>2</v>
      </c>
      <c r="P1638" s="106">
        <f t="shared" si="1195"/>
        <v>2</v>
      </c>
      <c r="Q1638" s="106">
        <f t="shared" si="1195"/>
        <v>4</v>
      </c>
    </row>
    <row r="1639" ht="24" customHeight="1" spans="1:17">
      <c r="A1639" s="99" t="s">
        <v>349</v>
      </c>
      <c r="B1639" s="99" t="s">
        <v>299</v>
      </c>
      <c r="C1639" s="99" t="s">
        <v>316</v>
      </c>
      <c r="D1639" s="47" t="s">
        <v>294</v>
      </c>
      <c r="E1639" s="47" t="s">
        <v>96</v>
      </c>
      <c r="F1639" s="106">
        <f t="shared" si="1192"/>
        <v>0</v>
      </c>
      <c r="G1639" s="106">
        <f t="shared" ref="G1639:Q1639" si="1196">G1543+F1639</f>
        <v>0</v>
      </c>
      <c r="H1639" s="106">
        <f t="shared" si="1196"/>
        <v>0</v>
      </c>
      <c r="I1639" s="106">
        <f t="shared" si="1196"/>
        <v>0</v>
      </c>
      <c r="J1639" s="106">
        <f t="shared" si="1196"/>
        <v>0</v>
      </c>
      <c r="K1639" s="106">
        <f t="shared" si="1196"/>
        <v>0</v>
      </c>
      <c r="L1639" s="106">
        <f t="shared" si="1196"/>
        <v>0</v>
      </c>
      <c r="M1639" s="106">
        <f t="shared" si="1196"/>
        <v>0</v>
      </c>
      <c r="N1639" s="106">
        <f t="shared" si="1196"/>
        <v>0</v>
      </c>
      <c r="O1639" s="106">
        <f t="shared" si="1196"/>
        <v>0</v>
      </c>
      <c r="P1639" s="106">
        <f t="shared" si="1196"/>
        <v>0</v>
      </c>
      <c r="Q1639" s="106">
        <f t="shared" si="1196"/>
        <v>0</v>
      </c>
    </row>
    <row r="1640" ht="24" customHeight="1" spans="1:17">
      <c r="A1640" s="99" t="s">
        <v>349</v>
      </c>
      <c r="B1640" s="99" t="s">
        <v>299</v>
      </c>
      <c r="C1640" s="99" t="s">
        <v>316</v>
      </c>
      <c r="D1640" s="47" t="s">
        <v>294</v>
      </c>
      <c r="E1640" s="47" t="s">
        <v>160</v>
      </c>
      <c r="F1640" s="106">
        <f t="shared" si="1192"/>
        <v>0</v>
      </c>
      <c r="G1640" s="106">
        <f t="shared" ref="G1640:Q1640" si="1197">G1544+F1640</f>
        <v>0</v>
      </c>
      <c r="H1640" s="106">
        <f t="shared" si="1197"/>
        <v>0</v>
      </c>
      <c r="I1640" s="106">
        <f t="shared" si="1197"/>
        <v>0</v>
      </c>
      <c r="J1640" s="106">
        <f t="shared" si="1197"/>
        <v>0</v>
      </c>
      <c r="K1640" s="106">
        <f t="shared" si="1197"/>
        <v>0</v>
      </c>
      <c r="L1640" s="106">
        <f t="shared" si="1197"/>
        <v>0</v>
      </c>
      <c r="M1640" s="106">
        <f t="shared" si="1197"/>
        <v>0</v>
      </c>
      <c r="N1640" s="106">
        <f t="shared" si="1197"/>
        <v>0</v>
      </c>
      <c r="O1640" s="106">
        <f t="shared" si="1197"/>
        <v>0</v>
      </c>
      <c r="P1640" s="106">
        <f t="shared" si="1197"/>
        <v>0</v>
      </c>
      <c r="Q1640" s="106">
        <f t="shared" si="1197"/>
        <v>0</v>
      </c>
    </row>
    <row r="1641" ht="24" customHeight="1" spans="1:17">
      <c r="A1641" s="99" t="s">
        <v>349</v>
      </c>
      <c r="B1641" s="99" t="s">
        <v>299</v>
      </c>
      <c r="C1641" s="99" t="s">
        <v>316</v>
      </c>
      <c r="D1641" s="100" t="s">
        <v>292</v>
      </c>
      <c r="E1641" s="100" t="s">
        <v>322</v>
      </c>
      <c r="F1641" s="104">
        <f t="shared" ref="F1641:Q1641" si="1198">SUM(F1642:F1644)</f>
        <v>0</v>
      </c>
      <c r="G1641" s="104">
        <f t="shared" si="1198"/>
        <v>0</v>
      </c>
      <c r="H1641" s="104">
        <f t="shared" si="1198"/>
        <v>0</v>
      </c>
      <c r="I1641" s="104">
        <f t="shared" si="1198"/>
        <v>0</v>
      </c>
      <c r="J1641" s="104">
        <f t="shared" si="1198"/>
        <v>0</v>
      </c>
      <c r="K1641" s="104">
        <f t="shared" si="1198"/>
        <v>0</v>
      </c>
      <c r="L1641" s="104">
        <f t="shared" si="1198"/>
        <v>0</v>
      </c>
      <c r="M1641" s="104">
        <f t="shared" si="1198"/>
        <v>0</v>
      </c>
      <c r="N1641" s="104">
        <f t="shared" si="1198"/>
        <v>0</v>
      </c>
      <c r="O1641" s="104">
        <f t="shared" si="1198"/>
        <v>0</v>
      </c>
      <c r="P1641" s="104">
        <f t="shared" si="1198"/>
        <v>0</v>
      </c>
      <c r="Q1641" s="104">
        <f t="shared" si="1198"/>
        <v>0</v>
      </c>
    </row>
    <row r="1642" ht="24" customHeight="1" spans="1:17">
      <c r="A1642" s="99" t="s">
        <v>349</v>
      </c>
      <c r="B1642" s="99" t="s">
        <v>299</v>
      </c>
      <c r="C1642" s="99" t="s">
        <v>316</v>
      </c>
      <c r="D1642" s="48" t="s">
        <v>296</v>
      </c>
      <c r="E1642" s="48" t="s">
        <v>406</v>
      </c>
      <c r="F1642" s="105">
        <f t="shared" ref="F1642:F1644" si="1199">F1564</f>
        <v>0</v>
      </c>
      <c r="G1642" s="105">
        <f t="shared" ref="G1642:Q1642" si="1200">G1564+F1642</f>
        <v>0</v>
      </c>
      <c r="H1642" s="105">
        <f t="shared" si="1200"/>
        <v>0</v>
      </c>
      <c r="I1642" s="105">
        <f t="shared" si="1200"/>
        <v>0</v>
      </c>
      <c r="J1642" s="105">
        <f t="shared" si="1200"/>
        <v>0</v>
      </c>
      <c r="K1642" s="105">
        <f t="shared" si="1200"/>
        <v>0</v>
      </c>
      <c r="L1642" s="105">
        <f t="shared" si="1200"/>
        <v>0</v>
      </c>
      <c r="M1642" s="105">
        <f t="shared" si="1200"/>
        <v>0</v>
      </c>
      <c r="N1642" s="105">
        <f t="shared" si="1200"/>
        <v>0</v>
      </c>
      <c r="O1642" s="105">
        <f t="shared" si="1200"/>
        <v>0</v>
      </c>
      <c r="P1642" s="105">
        <f t="shared" si="1200"/>
        <v>0</v>
      </c>
      <c r="Q1642" s="105">
        <f t="shared" si="1200"/>
        <v>0</v>
      </c>
    </row>
    <row r="1643" ht="24" customHeight="1" spans="1:17">
      <c r="A1643" s="99" t="s">
        <v>349</v>
      </c>
      <c r="B1643" s="99" t="s">
        <v>299</v>
      </c>
      <c r="C1643" s="99" t="s">
        <v>316</v>
      </c>
      <c r="D1643" s="48" t="s">
        <v>296</v>
      </c>
      <c r="E1643" s="48" t="s">
        <v>82</v>
      </c>
      <c r="F1643" s="105">
        <f t="shared" si="1199"/>
        <v>0</v>
      </c>
      <c r="G1643" s="105">
        <f t="shared" ref="G1643:Q1643" si="1201">G1565+F1643</f>
        <v>0</v>
      </c>
      <c r="H1643" s="105">
        <f t="shared" si="1201"/>
        <v>0</v>
      </c>
      <c r="I1643" s="105">
        <f t="shared" si="1201"/>
        <v>0</v>
      </c>
      <c r="J1643" s="105">
        <f t="shared" si="1201"/>
        <v>0</v>
      </c>
      <c r="K1643" s="105">
        <f t="shared" si="1201"/>
        <v>0</v>
      </c>
      <c r="L1643" s="105">
        <f t="shared" si="1201"/>
        <v>0</v>
      </c>
      <c r="M1643" s="105">
        <f t="shared" si="1201"/>
        <v>0</v>
      </c>
      <c r="N1643" s="105">
        <f t="shared" si="1201"/>
        <v>0</v>
      </c>
      <c r="O1643" s="105">
        <f t="shared" si="1201"/>
        <v>0</v>
      </c>
      <c r="P1643" s="105">
        <f t="shared" si="1201"/>
        <v>0</v>
      </c>
      <c r="Q1643" s="105">
        <f t="shared" si="1201"/>
        <v>0</v>
      </c>
    </row>
    <row r="1644" ht="24" customHeight="1" spans="1:17">
      <c r="A1644" s="99" t="s">
        <v>349</v>
      </c>
      <c r="B1644" s="99" t="s">
        <v>299</v>
      </c>
      <c r="C1644" s="99" t="s">
        <v>316</v>
      </c>
      <c r="D1644" s="48" t="s">
        <v>296</v>
      </c>
      <c r="E1644" s="48" t="s">
        <v>86</v>
      </c>
      <c r="F1644" s="105">
        <f t="shared" si="1199"/>
        <v>0</v>
      </c>
      <c r="G1644" s="105">
        <f t="shared" ref="G1644:Q1644" si="1202">G1566+F1644</f>
        <v>0</v>
      </c>
      <c r="H1644" s="105">
        <f t="shared" si="1202"/>
        <v>0</v>
      </c>
      <c r="I1644" s="105">
        <f t="shared" si="1202"/>
        <v>0</v>
      </c>
      <c r="J1644" s="105">
        <f t="shared" si="1202"/>
        <v>0</v>
      </c>
      <c r="K1644" s="105">
        <f t="shared" si="1202"/>
        <v>0</v>
      </c>
      <c r="L1644" s="105">
        <f t="shared" si="1202"/>
        <v>0</v>
      </c>
      <c r="M1644" s="105">
        <f t="shared" si="1202"/>
        <v>0</v>
      </c>
      <c r="N1644" s="105">
        <f t="shared" si="1202"/>
        <v>0</v>
      </c>
      <c r="O1644" s="105">
        <f t="shared" si="1202"/>
        <v>0</v>
      </c>
      <c r="P1644" s="105">
        <f t="shared" si="1202"/>
        <v>0</v>
      </c>
      <c r="Q1644" s="105">
        <f t="shared" si="1202"/>
        <v>0</v>
      </c>
    </row>
    <row r="1645" ht="24" customHeight="1" spans="1:17">
      <c r="A1645" s="99" t="s">
        <v>349</v>
      </c>
      <c r="B1645" s="99" t="s">
        <v>299</v>
      </c>
      <c r="C1645" s="99" t="s">
        <v>316</v>
      </c>
      <c r="D1645" s="48" t="s">
        <v>323</v>
      </c>
      <c r="E1645" s="48" t="s">
        <v>406</v>
      </c>
      <c r="F1645" s="112" t="str">
        <f t="shared" ref="F1645:Q1645" si="1203">IFERROR(F1642/F1641,"-")</f>
        <v>-</v>
      </c>
      <c r="G1645" s="112" t="str">
        <f t="shared" si="1203"/>
        <v>-</v>
      </c>
      <c r="H1645" s="112" t="str">
        <f t="shared" si="1203"/>
        <v>-</v>
      </c>
      <c r="I1645" s="112" t="str">
        <f t="shared" si="1203"/>
        <v>-</v>
      </c>
      <c r="J1645" s="112" t="str">
        <f t="shared" si="1203"/>
        <v>-</v>
      </c>
      <c r="K1645" s="112" t="str">
        <f t="shared" si="1203"/>
        <v>-</v>
      </c>
      <c r="L1645" s="112" t="str">
        <f t="shared" si="1203"/>
        <v>-</v>
      </c>
      <c r="M1645" s="112" t="str">
        <f t="shared" si="1203"/>
        <v>-</v>
      </c>
      <c r="N1645" s="112" t="str">
        <f t="shared" si="1203"/>
        <v>-</v>
      </c>
      <c r="O1645" s="112" t="str">
        <f t="shared" si="1203"/>
        <v>-</v>
      </c>
      <c r="P1645" s="112" t="str">
        <f t="shared" si="1203"/>
        <v>-</v>
      </c>
      <c r="Q1645" s="112" t="str">
        <f t="shared" si="1203"/>
        <v>-</v>
      </c>
    </row>
    <row r="1646" ht="24" customHeight="1" spans="1:17">
      <c r="A1646" s="99" t="s">
        <v>349</v>
      </c>
      <c r="B1646" s="99" t="s">
        <v>299</v>
      </c>
      <c r="C1646" s="99" t="s">
        <v>316</v>
      </c>
      <c r="D1646" s="48" t="s">
        <v>323</v>
      </c>
      <c r="E1646" s="48" t="s">
        <v>82</v>
      </c>
      <c r="F1646" s="112" t="str">
        <f t="shared" ref="F1646:Q1646" si="1204">IFERROR(F1643/F1641,"-")</f>
        <v>-</v>
      </c>
      <c r="G1646" s="112" t="str">
        <f t="shared" si="1204"/>
        <v>-</v>
      </c>
      <c r="H1646" s="112" t="str">
        <f t="shared" si="1204"/>
        <v>-</v>
      </c>
      <c r="I1646" s="112" t="str">
        <f t="shared" si="1204"/>
        <v>-</v>
      </c>
      <c r="J1646" s="112" t="str">
        <f t="shared" si="1204"/>
        <v>-</v>
      </c>
      <c r="K1646" s="112" t="str">
        <f t="shared" si="1204"/>
        <v>-</v>
      </c>
      <c r="L1646" s="112" t="str">
        <f t="shared" si="1204"/>
        <v>-</v>
      </c>
      <c r="M1646" s="112" t="str">
        <f t="shared" si="1204"/>
        <v>-</v>
      </c>
      <c r="N1646" s="112" t="str">
        <f t="shared" si="1204"/>
        <v>-</v>
      </c>
      <c r="O1646" s="112" t="str">
        <f t="shared" si="1204"/>
        <v>-</v>
      </c>
      <c r="P1646" s="112" t="str">
        <f t="shared" si="1204"/>
        <v>-</v>
      </c>
      <c r="Q1646" s="112" t="str">
        <f t="shared" si="1204"/>
        <v>-</v>
      </c>
    </row>
    <row r="1647" ht="24" customHeight="1" spans="1:17">
      <c r="A1647" s="99" t="s">
        <v>349</v>
      </c>
      <c r="B1647" s="99" t="s">
        <v>299</v>
      </c>
      <c r="C1647" s="99" t="s">
        <v>316</v>
      </c>
      <c r="D1647" s="48" t="s">
        <v>323</v>
      </c>
      <c r="E1647" s="48" t="s">
        <v>86</v>
      </c>
      <c r="F1647" s="112" t="str">
        <f t="shared" ref="F1647:Q1647" si="1205">IFERROR(F1644/F1641,"-")</f>
        <v>-</v>
      </c>
      <c r="G1647" s="112" t="str">
        <f t="shared" si="1205"/>
        <v>-</v>
      </c>
      <c r="H1647" s="112" t="str">
        <f t="shared" si="1205"/>
        <v>-</v>
      </c>
      <c r="I1647" s="112" t="str">
        <f t="shared" si="1205"/>
        <v>-</v>
      </c>
      <c r="J1647" s="112" t="str">
        <f t="shared" si="1205"/>
        <v>-</v>
      </c>
      <c r="K1647" s="112" t="str">
        <f t="shared" si="1205"/>
        <v>-</v>
      </c>
      <c r="L1647" s="112" t="str">
        <f t="shared" si="1205"/>
        <v>-</v>
      </c>
      <c r="M1647" s="112" t="str">
        <f t="shared" si="1205"/>
        <v>-</v>
      </c>
      <c r="N1647" s="112" t="str">
        <f t="shared" si="1205"/>
        <v>-</v>
      </c>
      <c r="O1647" s="112" t="str">
        <f t="shared" si="1205"/>
        <v>-</v>
      </c>
      <c r="P1647" s="112" t="str">
        <f t="shared" si="1205"/>
        <v>-</v>
      </c>
      <c r="Q1647" s="112" t="str">
        <f t="shared" si="1205"/>
        <v>-</v>
      </c>
    </row>
    <row r="1648" ht="24" customHeight="1" spans="1:17">
      <c r="A1648" s="99" t="s">
        <v>349</v>
      </c>
      <c r="B1648" s="99" t="s">
        <v>299</v>
      </c>
      <c r="C1648" s="99" t="s">
        <v>316</v>
      </c>
      <c r="D1648" s="100" t="s">
        <v>292</v>
      </c>
      <c r="E1648" s="100" t="s">
        <v>324</v>
      </c>
      <c r="F1648" s="104">
        <f t="shared" ref="F1648:Q1648" si="1206">SUM(F1649:F1651)</f>
        <v>2</v>
      </c>
      <c r="G1648" s="104">
        <f t="shared" si="1206"/>
        <v>2</v>
      </c>
      <c r="H1648" s="104">
        <f t="shared" si="1206"/>
        <v>2</v>
      </c>
      <c r="I1648" s="104">
        <f t="shared" si="1206"/>
        <v>2</v>
      </c>
      <c r="J1648" s="104">
        <f t="shared" si="1206"/>
        <v>3</v>
      </c>
      <c r="K1648" s="104">
        <f t="shared" si="1206"/>
        <v>3</v>
      </c>
      <c r="L1648" s="104">
        <f t="shared" si="1206"/>
        <v>5</v>
      </c>
      <c r="M1648" s="104">
        <f t="shared" si="1206"/>
        <v>5</v>
      </c>
      <c r="N1648" s="104">
        <f t="shared" si="1206"/>
        <v>5</v>
      </c>
      <c r="O1648" s="104">
        <f t="shared" si="1206"/>
        <v>5</v>
      </c>
      <c r="P1648" s="104">
        <f t="shared" si="1206"/>
        <v>5</v>
      </c>
      <c r="Q1648" s="104">
        <f t="shared" si="1206"/>
        <v>7</v>
      </c>
    </row>
    <row r="1649" ht="24" customHeight="1" spans="1:17">
      <c r="A1649" s="99" t="s">
        <v>349</v>
      </c>
      <c r="B1649" s="99" t="s">
        <v>299</v>
      </c>
      <c r="C1649" s="99" t="s">
        <v>316</v>
      </c>
      <c r="D1649" s="48" t="s">
        <v>298</v>
      </c>
      <c r="E1649" s="48" t="s">
        <v>97</v>
      </c>
      <c r="F1649" s="105">
        <f t="shared" ref="F1649:F1651" si="1207">F1568</f>
        <v>0</v>
      </c>
      <c r="G1649" s="105">
        <f t="shared" ref="G1649:Q1649" si="1208">G1568+F1649</f>
        <v>0</v>
      </c>
      <c r="H1649" s="105">
        <f t="shared" si="1208"/>
        <v>0</v>
      </c>
      <c r="I1649" s="105">
        <f t="shared" si="1208"/>
        <v>0</v>
      </c>
      <c r="J1649" s="105">
        <f t="shared" si="1208"/>
        <v>0</v>
      </c>
      <c r="K1649" s="105">
        <f t="shared" si="1208"/>
        <v>0</v>
      </c>
      <c r="L1649" s="105">
        <f t="shared" si="1208"/>
        <v>0</v>
      </c>
      <c r="M1649" s="105">
        <f t="shared" si="1208"/>
        <v>0</v>
      </c>
      <c r="N1649" s="105">
        <f t="shared" si="1208"/>
        <v>0</v>
      </c>
      <c r="O1649" s="105">
        <f t="shared" si="1208"/>
        <v>0</v>
      </c>
      <c r="P1649" s="105">
        <f t="shared" si="1208"/>
        <v>0</v>
      </c>
      <c r="Q1649" s="105">
        <f t="shared" si="1208"/>
        <v>0</v>
      </c>
    </row>
    <row r="1650" ht="24" customHeight="1" spans="1:17">
      <c r="A1650" s="99" t="s">
        <v>349</v>
      </c>
      <c r="B1650" s="99" t="s">
        <v>299</v>
      </c>
      <c r="C1650" s="99" t="s">
        <v>316</v>
      </c>
      <c r="D1650" s="48" t="s">
        <v>298</v>
      </c>
      <c r="E1650" s="48" t="s">
        <v>87</v>
      </c>
      <c r="F1650" s="105">
        <f t="shared" si="1207"/>
        <v>2</v>
      </c>
      <c r="G1650" s="105">
        <f t="shared" ref="G1650:Q1650" si="1209">G1569+F1650</f>
        <v>2</v>
      </c>
      <c r="H1650" s="105">
        <f t="shared" si="1209"/>
        <v>2</v>
      </c>
      <c r="I1650" s="105">
        <f t="shared" si="1209"/>
        <v>2</v>
      </c>
      <c r="J1650" s="105">
        <f t="shared" si="1209"/>
        <v>3</v>
      </c>
      <c r="K1650" s="105">
        <f t="shared" si="1209"/>
        <v>3</v>
      </c>
      <c r="L1650" s="105">
        <f t="shared" si="1209"/>
        <v>5</v>
      </c>
      <c r="M1650" s="105">
        <f t="shared" si="1209"/>
        <v>5</v>
      </c>
      <c r="N1650" s="105">
        <f t="shared" si="1209"/>
        <v>5</v>
      </c>
      <c r="O1650" s="105">
        <f t="shared" si="1209"/>
        <v>5</v>
      </c>
      <c r="P1650" s="105">
        <f t="shared" si="1209"/>
        <v>5</v>
      </c>
      <c r="Q1650" s="105">
        <f t="shared" si="1209"/>
        <v>7</v>
      </c>
    </row>
    <row r="1651" ht="24" customHeight="1" spans="1:17">
      <c r="A1651" s="99" t="s">
        <v>349</v>
      </c>
      <c r="B1651" s="99" t="s">
        <v>299</v>
      </c>
      <c r="C1651" s="99" t="s">
        <v>316</v>
      </c>
      <c r="D1651" s="48" t="s">
        <v>298</v>
      </c>
      <c r="E1651" s="48" t="s">
        <v>83</v>
      </c>
      <c r="F1651" s="105">
        <f t="shared" si="1207"/>
        <v>0</v>
      </c>
      <c r="G1651" s="105">
        <f t="shared" ref="G1651:Q1651" si="1210">G1570+F1651</f>
        <v>0</v>
      </c>
      <c r="H1651" s="105">
        <f t="shared" si="1210"/>
        <v>0</v>
      </c>
      <c r="I1651" s="105">
        <f t="shared" si="1210"/>
        <v>0</v>
      </c>
      <c r="J1651" s="105">
        <f t="shared" si="1210"/>
        <v>0</v>
      </c>
      <c r="K1651" s="105">
        <f t="shared" si="1210"/>
        <v>0</v>
      </c>
      <c r="L1651" s="105">
        <f t="shared" si="1210"/>
        <v>0</v>
      </c>
      <c r="M1651" s="105">
        <f t="shared" si="1210"/>
        <v>0</v>
      </c>
      <c r="N1651" s="105">
        <f t="shared" si="1210"/>
        <v>0</v>
      </c>
      <c r="O1651" s="105">
        <f t="shared" si="1210"/>
        <v>0</v>
      </c>
      <c r="P1651" s="105">
        <f t="shared" si="1210"/>
        <v>0</v>
      </c>
      <c r="Q1651" s="105">
        <f t="shared" si="1210"/>
        <v>0</v>
      </c>
    </row>
    <row r="1652" ht="24" customHeight="1" spans="1:17">
      <c r="A1652" s="99" t="s">
        <v>349</v>
      </c>
      <c r="B1652" s="99" t="s">
        <v>299</v>
      </c>
      <c r="C1652" s="99" t="s">
        <v>316</v>
      </c>
      <c r="D1652" s="48" t="s">
        <v>325</v>
      </c>
      <c r="E1652" s="48" t="s">
        <v>97</v>
      </c>
      <c r="F1652" s="112">
        <f t="shared" ref="F1652:Q1652" si="1211">IFERROR(F1649/F1648,"-")</f>
        <v>0</v>
      </c>
      <c r="G1652" s="112">
        <f t="shared" si="1211"/>
        <v>0</v>
      </c>
      <c r="H1652" s="112">
        <f t="shared" si="1211"/>
        <v>0</v>
      </c>
      <c r="I1652" s="112">
        <f t="shared" si="1211"/>
        <v>0</v>
      </c>
      <c r="J1652" s="112">
        <f t="shared" si="1211"/>
        <v>0</v>
      </c>
      <c r="K1652" s="112">
        <f t="shared" si="1211"/>
        <v>0</v>
      </c>
      <c r="L1652" s="112">
        <f t="shared" si="1211"/>
        <v>0</v>
      </c>
      <c r="M1652" s="112">
        <f t="shared" si="1211"/>
        <v>0</v>
      </c>
      <c r="N1652" s="112">
        <f t="shared" si="1211"/>
        <v>0</v>
      </c>
      <c r="O1652" s="112">
        <f t="shared" si="1211"/>
        <v>0</v>
      </c>
      <c r="P1652" s="112">
        <f t="shared" si="1211"/>
        <v>0</v>
      </c>
      <c r="Q1652" s="112">
        <f t="shared" si="1211"/>
        <v>0</v>
      </c>
    </row>
    <row r="1653" ht="24" customHeight="1" spans="1:17">
      <c r="A1653" s="99" t="s">
        <v>349</v>
      </c>
      <c r="B1653" s="99" t="s">
        <v>299</v>
      </c>
      <c r="C1653" s="99" t="s">
        <v>316</v>
      </c>
      <c r="D1653" s="48" t="s">
        <v>325</v>
      </c>
      <c r="E1653" s="48" t="s">
        <v>87</v>
      </c>
      <c r="F1653" s="112">
        <f t="shared" ref="F1653:Q1653" si="1212">IFERROR(F1650/F1648,"-")</f>
        <v>1</v>
      </c>
      <c r="G1653" s="112">
        <f t="shared" si="1212"/>
        <v>1</v>
      </c>
      <c r="H1653" s="112">
        <f t="shared" si="1212"/>
        <v>1</v>
      </c>
      <c r="I1653" s="112">
        <f t="shared" si="1212"/>
        <v>1</v>
      </c>
      <c r="J1653" s="112">
        <f t="shared" si="1212"/>
        <v>1</v>
      </c>
      <c r="K1653" s="112">
        <f t="shared" si="1212"/>
        <v>1</v>
      </c>
      <c r="L1653" s="112">
        <f t="shared" si="1212"/>
        <v>1</v>
      </c>
      <c r="M1653" s="112">
        <f t="shared" si="1212"/>
        <v>1</v>
      </c>
      <c r="N1653" s="112">
        <f t="shared" si="1212"/>
        <v>1</v>
      </c>
      <c r="O1653" s="112">
        <f t="shared" si="1212"/>
        <v>1</v>
      </c>
      <c r="P1653" s="112">
        <f t="shared" si="1212"/>
        <v>1</v>
      </c>
      <c r="Q1653" s="112">
        <f t="shared" si="1212"/>
        <v>1</v>
      </c>
    </row>
    <row r="1654" ht="24" customHeight="1" spans="1:17">
      <c r="A1654" s="99" t="s">
        <v>349</v>
      </c>
      <c r="B1654" s="99" t="s">
        <v>299</v>
      </c>
      <c r="C1654" s="99" t="s">
        <v>316</v>
      </c>
      <c r="D1654" s="48" t="s">
        <v>325</v>
      </c>
      <c r="E1654" s="48" t="s">
        <v>83</v>
      </c>
      <c r="F1654" s="112">
        <f t="shared" ref="F1654:Q1654" si="1213">IFERROR(F1651/F1648,"-")</f>
        <v>0</v>
      </c>
      <c r="G1654" s="112">
        <f t="shared" si="1213"/>
        <v>0</v>
      </c>
      <c r="H1654" s="112">
        <f t="shared" si="1213"/>
        <v>0</v>
      </c>
      <c r="I1654" s="112">
        <f t="shared" si="1213"/>
        <v>0</v>
      </c>
      <c r="J1654" s="112">
        <f t="shared" si="1213"/>
        <v>0</v>
      </c>
      <c r="K1654" s="112">
        <f t="shared" si="1213"/>
        <v>0</v>
      </c>
      <c r="L1654" s="112">
        <f t="shared" si="1213"/>
        <v>0</v>
      </c>
      <c r="M1654" s="112">
        <f t="shared" si="1213"/>
        <v>0</v>
      </c>
      <c r="N1654" s="112">
        <f t="shared" si="1213"/>
        <v>0</v>
      </c>
      <c r="O1654" s="112">
        <f t="shared" si="1213"/>
        <v>0</v>
      </c>
      <c r="P1654" s="112">
        <f t="shared" si="1213"/>
        <v>0</v>
      </c>
      <c r="Q1654" s="112">
        <f t="shared" si="1213"/>
        <v>0</v>
      </c>
    </row>
    <row r="1655" ht="24" customHeight="1" spans="1:17">
      <c r="A1655" s="99" t="s">
        <v>349</v>
      </c>
      <c r="B1655" s="99" t="s">
        <v>299</v>
      </c>
      <c r="C1655" s="99" t="s">
        <v>316</v>
      </c>
      <c r="D1655" s="100" t="s">
        <v>292</v>
      </c>
      <c r="E1655" s="53" t="s">
        <v>326</v>
      </c>
      <c r="F1655" s="111">
        <f>IF((F1545-F1658-F1659-F1660-F1661-F1662)&lt;&gt;0,"ERR",F1545)</f>
        <v>1</v>
      </c>
      <c r="G1655" s="111">
        <f t="shared" ref="G1655:Q1655" si="1214">IF((G1545+F1655-G1658-G1659-G1660-G1661-G1662)&lt;&gt;0,"ERR",G1545+F1655)</f>
        <v>1</v>
      </c>
      <c r="H1655" s="111">
        <f t="shared" si="1214"/>
        <v>1</v>
      </c>
      <c r="I1655" s="111">
        <f t="shared" si="1214"/>
        <v>1</v>
      </c>
      <c r="J1655" s="111">
        <f t="shared" si="1214"/>
        <v>1</v>
      </c>
      <c r="K1655" s="111">
        <f t="shared" si="1214"/>
        <v>1</v>
      </c>
      <c r="L1655" s="111">
        <f t="shared" si="1214"/>
        <v>1</v>
      </c>
      <c r="M1655" s="111">
        <f t="shared" si="1214"/>
        <v>1</v>
      </c>
      <c r="N1655" s="111">
        <f t="shared" si="1214"/>
        <v>1</v>
      </c>
      <c r="O1655" s="111">
        <f t="shared" si="1214"/>
        <v>1</v>
      </c>
      <c r="P1655" s="111">
        <f t="shared" si="1214"/>
        <v>1</v>
      </c>
      <c r="Q1655" s="111">
        <f t="shared" si="1214"/>
        <v>2</v>
      </c>
    </row>
    <row r="1656" ht="24" customHeight="1" spans="1:17">
      <c r="A1656" s="99" t="s">
        <v>349</v>
      </c>
      <c r="B1656" s="99" t="s">
        <v>299</v>
      </c>
      <c r="C1656" s="99" t="s">
        <v>316</v>
      </c>
      <c r="D1656" s="100" t="s">
        <v>292</v>
      </c>
      <c r="E1656" s="53" t="s">
        <v>327</v>
      </c>
      <c r="F1656" s="111">
        <f>IF((F1546-F1663-F1664-F1665-F1666-F1667)&lt;&gt;0,"ERR",F1546)</f>
        <v>1</v>
      </c>
      <c r="G1656" s="111">
        <f t="shared" ref="G1656:Q1656" si="1215">IF((G1546+F1656-G1663-G1664-G1665-G1666-G1667)&lt;&gt;0,"ERR",G1546+F1656)</f>
        <v>1</v>
      </c>
      <c r="H1656" s="111">
        <f t="shared" si="1215"/>
        <v>1</v>
      </c>
      <c r="I1656" s="111">
        <f t="shared" si="1215"/>
        <v>1</v>
      </c>
      <c r="J1656" s="111">
        <f t="shared" si="1215"/>
        <v>2</v>
      </c>
      <c r="K1656" s="111">
        <f t="shared" si="1215"/>
        <v>2</v>
      </c>
      <c r="L1656" s="111">
        <f t="shared" si="1215"/>
        <v>2</v>
      </c>
      <c r="M1656" s="111">
        <f t="shared" si="1215"/>
        <v>2</v>
      </c>
      <c r="N1656" s="111">
        <f t="shared" si="1215"/>
        <v>2</v>
      </c>
      <c r="O1656" s="111">
        <f t="shared" si="1215"/>
        <v>2</v>
      </c>
      <c r="P1656" s="111">
        <f t="shared" si="1215"/>
        <v>2</v>
      </c>
      <c r="Q1656" s="111">
        <f t="shared" si="1215"/>
        <v>2</v>
      </c>
    </row>
    <row r="1657" ht="24" customHeight="1" spans="1:17">
      <c r="A1657" s="99" t="s">
        <v>349</v>
      </c>
      <c r="B1657" s="99" t="s">
        <v>299</v>
      </c>
      <c r="C1657" s="99" t="s">
        <v>316</v>
      </c>
      <c r="D1657" s="100" t="s">
        <v>292</v>
      </c>
      <c r="E1657" s="53" t="s">
        <v>328</v>
      </c>
      <c r="F1657" s="111">
        <f>IF((F1547-F1668-F1669-F1670-F1671-F1672)&lt;&gt;0,"ERR",F1547)</f>
        <v>0</v>
      </c>
      <c r="G1657" s="111">
        <f t="shared" ref="G1657:Q1657" si="1216">IF((G1547+F1657-G1668-G1669-G1670-G1671-G1672)&lt;&gt;0,"ERR",G1547+F1657)</f>
        <v>0</v>
      </c>
      <c r="H1657" s="111">
        <f t="shared" si="1216"/>
        <v>0</v>
      </c>
      <c r="I1657" s="111">
        <f t="shared" si="1216"/>
        <v>0</v>
      </c>
      <c r="J1657" s="111">
        <f t="shared" si="1216"/>
        <v>0</v>
      </c>
      <c r="K1657" s="111">
        <f t="shared" si="1216"/>
        <v>0</v>
      </c>
      <c r="L1657" s="111">
        <f t="shared" si="1216"/>
        <v>2</v>
      </c>
      <c r="M1657" s="111">
        <f t="shared" si="1216"/>
        <v>2</v>
      </c>
      <c r="N1657" s="111">
        <f t="shared" si="1216"/>
        <v>2</v>
      </c>
      <c r="O1657" s="111">
        <f t="shared" si="1216"/>
        <v>2</v>
      </c>
      <c r="P1657" s="111">
        <f t="shared" si="1216"/>
        <v>2</v>
      </c>
      <c r="Q1657" s="111">
        <f t="shared" si="1216"/>
        <v>3</v>
      </c>
    </row>
    <row r="1658" ht="24" customHeight="1" spans="1:17">
      <c r="A1658" s="99" t="s">
        <v>349</v>
      </c>
      <c r="B1658" s="99" t="s">
        <v>299</v>
      </c>
      <c r="C1658" s="99" t="s">
        <v>316</v>
      </c>
      <c r="D1658" s="53" t="s">
        <v>326</v>
      </c>
      <c r="E1658" s="53" t="s">
        <v>93</v>
      </c>
      <c r="F1658" s="111">
        <f t="shared" ref="F1658:F1672" si="1217">F1548</f>
        <v>1</v>
      </c>
      <c r="G1658" s="111">
        <f t="shared" ref="G1658:Q1658" si="1218">G1548+F1658</f>
        <v>1</v>
      </c>
      <c r="H1658" s="111">
        <f t="shared" si="1218"/>
        <v>1</v>
      </c>
      <c r="I1658" s="111">
        <f t="shared" si="1218"/>
        <v>1</v>
      </c>
      <c r="J1658" s="111">
        <f t="shared" si="1218"/>
        <v>1</v>
      </c>
      <c r="K1658" s="111">
        <f t="shared" si="1218"/>
        <v>1</v>
      </c>
      <c r="L1658" s="111">
        <f t="shared" si="1218"/>
        <v>1</v>
      </c>
      <c r="M1658" s="111">
        <f t="shared" si="1218"/>
        <v>1</v>
      </c>
      <c r="N1658" s="111">
        <f t="shared" si="1218"/>
        <v>1</v>
      </c>
      <c r="O1658" s="111">
        <f t="shared" si="1218"/>
        <v>1</v>
      </c>
      <c r="P1658" s="111">
        <f t="shared" si="1218"/>
        <v>1</v>
      </c>
      <c r="Q1658" s="111">
        <f t="shared" si="1218"/>
        <v>1</v>
      </c>
    </row>
    <row r="1659" ht="24" customHeight="1" spans="1:17">
      <c r="A1659" s="99" t="s">
        <v>349</v>
      </c>
      <c r="B1659" s="99" t="s">
        <v>299</v>
      </c>
      <c r="C1659" s="99" t="s">
        <v>316</v>
      </c>
      <c r="D1659" s="53" t="s">
        <v>326</v>
      </c>
      <c r="E1659" s="53" t="s">
        <v>85</v>
      </c>
      <c r="F1659" s="111">
        <f t="shared" si="1217"/>
        <v>0</v>
      </c>
      <c r="G1659" s="111">
        <f t="shared" ref="G1659:Q1659" si="1219">G1549+F1659</f>
        <v>0</v>
      </c>
      <c r="H1659" s="111">
        <f t="shared" si="1219"/>
        <v>0</v>
      </c>
      <c r="I1659" s="111">
        <f t="shared" si="1219"/>
        <v>0</v>
      </c>
      <c r="J1659" s="111">
        <f t="shared" si="1219"/>
        <v>0</v>
      </c>
      <c r="K1659" s="111">
        <f t="shared" si="1219"/>
        <v>0</v>
      </c>
      <c r="L1659" s="111">
        <f t="shared" si="1219"/>
        <v>0</v>
      </c>
      <c r="M1659" s="111">
        <f t="shared" si="1219"/>
        <v>0</v>
      </c>
      <c r="N1659" s="111">
        <f t="shared" si="1219"/>
        <v>0</v>
      </c>
      <c r="O1659" s="111">
        <f t="shared" si="1219"/>
        <v>0</v>
      </c>
      <c r="P1659" s="111">
        <f t="shared" si="1219"/>
        <v>0</v>
      </c>
      <c r="Q1659" s="111">
        <f t="shared" si="1219"/>
        <v>0</v>
      </c>
    </row>
    <row r="1660" ht="24" customHeight="1" spans="1:17">
      <c r="A1660" s="99" t="s">
        <v>349</v>
      </c>
      <c r="B1660" s="99" t="s">
        <v>299</v>
      </c>
      <c r="C1660" s="99" t="s">
        <v>316</v>
      </c>
      <c r="D1660" s="53" t="s">
        <v>326</v>
      </c>
      <c r="E1660" s="53" t="s">
        <v>81</v>
      </c>
      <c r="F1660" s="111">
        <f t="shared" si="1217"/>
        <v>0</v>
      </c>
      <c r="G1660" s="111">
        <f t="shared" ref="G1660:Q1660" si="1220">G1550+F1660</f>
        <v>0</v>
      </c>
      <c r="H1660" s="111">
        <f t="shared" si="1220"/>
        <v>0</v>
      </c>
      <c r="I1660" s="111">
        <f t="shared" si="1220"/>
        <v>0</v>
      </c>
      <c r="J1660" s="111">
        <f t="shared" si="1220"/>
        <v>0</v>
      </c>
      <c r="K1660" s="111">
        <f t="shared" si="1220"/>
        <v>0</v>
      </c>
      <c r="L1660" s="111">
        <f t="shared" si="1220"/>
        <v>0</v>
      </c>
      <c r="M1660" s="111">
        <f t="shared" si="1220"/>
        <v>0</v>
      </c>
      <c r="N1660" s="111">
        <f t="shared" si="1220"/>
        <v>0</v>
      </c>
      <c r="O1660" s="111">
        <f t="shared" si="1220"/>
        <v>0</v>
      </c>
      <c r="P1660" s="111">
        <f t="shared" si="1220"/>
        <v>0</v>
      </c>
      <c r="Q1660" s="111">
        <f t="shared" si="1220"/>
        <v>1</v>
      </c>
    </row>
    <row r="1661" ht="24" customHeight="1" spans="1:17">
      <c r="A1661" s="99" t="s">
        <v>349</v>
      </c>
      <c r="B1661" s="99" t="s">
        <v>299</v>
      </c>
      <c r="C1661" s="99" t="s">
        <v>316</v>
      </c>
      <c r="D1661" s="53" t="s">
        <v>326</v>
      </c>
      <c r="E1661" s="53" t="s">
        <v>96</v>
      </c>
      <c r="F1661" s="111">
        <f t="shared" si="1217"/>
        <v>0</v>
      </c>
      <c r="G1661" s="111">
        <f t="shared" ref="G1661:Q1661" si="1221">G1551+F1661</f>
        <v>0</v>
      </c>
      <c r="H1661" s="111">
        <f t="shared" si="1221"/>
        <v>0</v>
      </c>
      <c r="I1661" s="111">
        <f t="shared" si="1221"/>
        <v>0</v>
      </c>
      <c r="J1661" s="111">
        <f t="shared" si="1221"/>
        <v>0</v>
      </c>
      <c r="K1661" s="111">
        <f t="shared" si="1221"/>
        <v>0</v>
      </c>
      <c r="L1661" s="111">
        <f t="shared" si="1221"/>
        <v>0</v>
      </c>
      <c r="M1661" s="111">
        <f t="shared" si="1221"/>
        <v>0</v>
      </c>
      <c r="N1661" s="111">
        <f t="shared" si="1221"/>
        <v>0</v>
      </c>
      <c r="O1661" s="111">
        <f t="shared" si="1221"/>
        <v>0</v>
      </c>
      <c r="P1661" s="111">
        <f t="shared" si="1221"/>
        <v>0</v>
      </c>
      <c r="Q1661" s="111">
        <f t="shared" si="1221"/>
        <v>0</v>
      </c>
    </row>
    <row r="1662" ht="24" customHeight="1" spans="1:17">
      <c r="A1662" s="99" t="s">
        <v>349</v>
      </c>
      <c r="B1662" s="99" t="s">
        <v>299</v>
      </c>
      <c r="C1662" s="99" t="s">
        <v>316</v>
      </c>
      <c r="D1662" s="53" t="s">
        <v>326</v>
      </c>
      <c r="E1662" s="53" t="s">
        <v>160</v>
      </c>
      <c r="F1662" s="111">
        <f t="shared" si="1217"/>
        <v>0</v>
      </c>
      <c r="G1662" s="111">
        <f t="shared" ref="G1662:Q1662" si="1222">G1552+F1662</f>
        <v>0</v>
      </c>
      <c r="H1662" s="111">
        <f t="shared" si="1222"/>
        <v>0</v>
      </c>
      <c r="I1662" s="111">
        <f t="shared" si="1222"/>
        <v>0</v>
      </c>
      <c r="J1662" s="111">
        <f t="shared" si="1222"/>
        <v>0</v>
      </c>
      <c r="K1662" s="111">
        <f t="shared" si="1222"/>
        <v>0</v>
      </c>
      <c r="L1662" s="111">
        <f t="shared" si="1222"/>
        <v>0</v>
      </c>
      <c r="M1662" s="111">
        <f t="shared" si="1222"/>
        <v>0</v>
      </c>
      <c r="N1662" s="111">
        <f t="shared" si="1222"/>
        <v>0</v>
      </c>
      <c r="O1662" s="111">
        <f t="shared" si="1222"/>
        <v>0</v>
      </c>
      <c r="P1662" s="111">
        <f t="shared" si="1222"/>
        <v>0</v>
      </c>
      <c r="Q1662" s="111">
        <f t="shared" si="1222"/>
        <v>0</v>
      </c>
    </row>
    <row r="1663" ht="24" customHeight="1" spans="1:17">
      <c r="A1663" s="99" t="s">
        <v>349</v>
      </c>
      <c r="B1663" s="99" t="s">
        <v>299</v>
      </c>
      <c r="C1663" s="99" t="s">
        <v>316</v>
      </c>
      <c r="D1663" s="53" t="s">
        <v>327</v>
      </c>
      <c r="E1663" s="53" t="s">
        <v>93</v>
      </c>
      <c r="F1663" s="111">
        <f t="shared" si="1217"/>
        <v>1</v>
      </c>
      <c r="G1663" s="111">
        <f t="shared" ref="G1663:Q1663" si="1223">G1553+F1663</f>
        <v>1</v>
      </c>
      <c r="H1663" s="111">
        <f t="shared" si="1223"/>
        <v>1</v>
      </c>
      <c r="I1663" s="111">
        <f t="shared" si="1223"/>
        <v>1</v>
      </c>
      <c r="J1663" s="111">
        <f t="shared" si="1223"/>
        <v>2</v>
      </c>
      <c r="K1663" s="111">
        <f t="shared" si="1223"/>
        <v>2</v>
      </c>
      <c r="L1663" s="111">
        <f t="shared" si="1223"/>
        <v>2</v>
      </c>
      <c r="M1663" s="111">
        <f t="shared" si="1223"/>
        <v>2</v>
      </c>
      <c r="N1663" s="111">
        <f t="shared" si="1223"/>
        <v>2</v>
      </c>
      <c r="O1663" s="111">
        <f t="shared" si="1223"/>
        <v>2</v>
      </c>
      <c r="P1663" s="111">
        <f t="shared" si="1223"/>
        <v>2</v>
      </c>
      <c r="Q1663" s="111">
        <f t="shared" si="1223"/>
        <v>2</v>
      </c>
    </row>
    <row r="1664" ht="24" customHeight="1" spans="1:17">
      <c r="A1664" s="99" t="s">
        <v>349</v>
      </c>
      <c r="B1664" s="99" t="s">
        <v>299</v>
      </c>
      <c r="C1664" s="99" t="s">
        <v>316</v>
      </c>
      <c r="D1664" s="53" t="s">
        <v>327</v>
      </c>
      <c r="E1664" s="53" t="s">
        <v>85</v>
      </c>
      <c r="F1664" s="111">
        <f t="shared" si="1217"/>
        <v>0</v>
      </c>
      <c r="G1664" s="111">
        <f t="shared" ref="G1664:Q1664" si="1224">G1554+F1664</f>
        <v>0</v>
      </c>
      <c r="H1664" s="111">
        <f t="shared" si="1224"/>
        <v>0</v>
      </c>
      <c r="I1664" s="111">
        <f t="shared" si="1224"/>
        <v>0</v>
      </c>
      <c r="J1664" s="111">
        <f t="shared" si="1224"/>
        <v>0</v>
      </c>
      <c r="K1664" s="111">
        <f t="shared" si="1224"/>
        <v>0</v>
      </c>
      <c r="L1664" s="111">
        <f t="shared" si="1224"/>
        <v>0</v>
      </c>
      <c r="M1664" s="111">
        <f t="shared" si="1224"/>
        <v>0</v>
      </c>
      <c r="N1664" s="111">
        <f t="shared" si="1224"/>
        <v>0</v>
      </c>
      <c r="O1664" s="111">
        <f t="shared" si="1224"/>
        <v>0</v>
      </c>
      <c r="P1664" s="111">
        <f t="shared" si="1224"/>
        <v>0</v>
      </c>
      <c r="Q1664" s="111">
        <f t="shared" si="1224"/>
        <v>0</v>
      </c>
    </row>
    <row r="1665" ht="24" customHeight="1" spans="1:17">
      <c r="A1665" s="99" t="s">
        <v>349</v>
      </c>
      <c r="B1665" s="99" t="s">
        <v>299</v>
      </c>
      <c r="C1665" s="99" t="s">
        <v>316</v>
      </c>
      <c r="D1665" s="53" t="s">
        <v>327</v>
      </c>
      <c r="E1665" s="53" t="s">
        <v>81</v>
      </c>
      <c r="F1665" s="111">
        <f t="shared" si="1217"/>
        <v>0</v>
      </c>
      <c r="G1665" s="111">
        <f t="shared" ref="G1665:Q1665" si="1225">G1555+F1665</f>
        <v>0</v>
      </c>
      <c r="H1665" s="111">
        <f t="shared" si="1225"/>
        <v>0</v>
      </c>
      <c r="I1665" s="111">
        <f t="shared" si="1225"/>
        <v>0</v>
      </c>
      <c r="J1665" s="111">
        <f t="shared" si="1225"/>
        <v>0</v>
      </c>
      <c r="K1665" s="111">
        <f t="shared" si="1225"/>
        <v>0</v>
      </c>
      <c r="L1665" s="111">
        <f t="shared" si="1225"/>
        <v>0</v>
      </c>
      <c r="M1665" s="111">
        <f t="shared" si="1225"/>
        <v>0</v>
      </c>
      <c r="N1665" s="111">
        <f t="shared" si="1225"/>
        <v>0</v>
      </c>
      <c r="O1665" s="111">
        <f t="shared" si="1225"/>
        <v>0</v>
      </c>
      <c r="P1665" s="111">
        <f t="shared" si="1225"/>
        <v>0</v>
      </c>
      <c r="Q1665" s="111">
        <f t="shared" si="1225"/>
        <v>0</v>
      </c>
    </row>
    <row r="1666" ht="24" customHeight="1" spans="1:17">
      <c r="A1666" s="99" t="s">
        <v>349</v>
      </c>
      <c r="B1666" s="99" t="s">
        <v>299</v>
      </c>
      <c r="C1666" s="99" t="s">
        <v>316</v>
      </c>
      <c r="D1666" s="53" t="s">
        <v>327</v>
      </c>
      <c r="E1666" s="53" t="s">
        <v>96</v>
      </c>
      <c r="F1666" s="111">
        <f t="shared" si="1217"/>
        <v>0</v>
      </c>
      <c r="G1666" s="111">
        <f t="shared" ref="G1666:Q1666" si="1226">G1556+F1666</f>
        <v>0</v>
      </c>
      <c r="H1666" s="111">
        <f t="shared" si="1226"/>
        <v>0</v>
      </c>
      <c r="I1666" s="111">
        <f t="shared" si="1226"/>
        <v>0</v>
      </c>
      <c r="J1666" s="111">
        <f t="shared" si="1226"/>
        <v>0</v>
      </c>
      <c r="K1666" s="111">
        <f t="shared" si="1226"/>
        <v>0</v>
      </c>
      <c r="L1666" s="111">
        <f t="shared" si="1226"/>
        <v>0</v>
      </c>
      <c r="M1666" s="111">
        <f t="shared" si="1226"/>
        <v>0</v>
      </c>
      <c r="N1666" s="111">
        <f t="shared" si="1226"/>
        <v>0</v>
      </c>
      <c r="O1666" s="111">
        <f t="shared" si="1226"/>
        <v>0</v>
      </c>
      <c r="P1666" s="111">
        <f t="shared" si="1226"/>
        <v>0</v>
      </c>
      <c r="Q1666" s="111">
        <f t="shared" si="1226"/>
        <v>0</v>
      </c>
    </row>
    <row r="1667" ht="24" customHeight="1" spans="1:17">
      <c r="A1667" s="99" t="s">
        <v>349</v>
      </c>
      <c r="B1667" s="99" t="s">
        <v>299</v>
      </c>
      <c r="C1667" s="99" t="s">
        <v>316</v>
      </c>
      <c r="D1667" s="53" t="s">
        <v>327</v>
      </c>
      <c r="E1667" s="53" t="s">
        <v>160</v>
      </c>
      <c r="F1667" s="111">
        <f t="shared" si="1217"/>
        <v>0</v>
      </c>
      <c r="G1667" s="111">
        <f t="shared" ref="G1667:Q1667" si="1227">G1557+F1667</f>
        <v>0</v>
      </c>
      <c r="H1667" s="111">
        <f t="shared" si="1227"/>
        <v>0</v>
      </c>
      <c r="I1667" s="111">
        <f t="shared" si="1227"/>
        <v>0</v>
      </c>
      <c r="J1667" s="111">
        <f t="shared" si="1227"/>
        <v>0</v>
      </c>
      <c r="K1667" s="111">
        <f t="shared" si="1227"/>
        <v>0</v>
      </c>
      <c r="L1667" s="111">
        <f t="shared" si="1227"/>
        <v>0</v>
      </c>
      <c r="M1667" s="111">
        <f t="shared" si="1227"/>
        <v>0</v>
      </c>
      <c r="N1667" s="111">
        <f t="shared" si="1227"/>
        <v>0</v>
      </c>
      <c r="O1667" s="111">
        <f t="shared" si="1227"/>
        <v>0</v>
      </c>
      <c r="P1667" s="111">
        <f t="shared" si="1227"/>
        <v>0</v>
      </c>
      <c r="Q1667" s="111">
        <f t="shared" si="1227"/>
        <v>0</v>
      </c>
    </row>
    <row r="1668" ht="24" customHeight="1" spans="1:17">
      <c r="A1668" s="99" t="s">
        <v>349</v>
      </c>
      <c r="B1668" s="99" t="s">
        <v>299</v>
      </c>
      <c r="C1668" s="99" t="s">
        <v>316</v>
      </c>
      <c r="D1668" s="53" t="s">
        <v>328</v>
      </c>
      <c r="E1668" s="53" t="s">
        <v>93</v>
      </c>
      <c r="F1668" s="111">
        <f t="shared" si="1217"/>
        <v>0</v>
      </c>
      <c r="G1668" s="111">
        <f t="shared" ref="G1668:Q1668" si="1228">G1558+F1668</f>
        <v>0</v>
      </c>
      <c r="H1668" s="111">
        <f t="shared" si="1228"/>
        <v>0</v>
      </c>
      <c r="I1668" s="111">
        <f t="shared" si="1228"/>
        <v>0</v>
      </c>
      <c r="J1668" s="111">
        <f t="shared" si="1228"/>
        <v>0</v>
      </c>
      <c r="K1668" s="111">
        <f t="shared" si="1228"/>
        <v>0</v>
      </c>
      <c r="L1668" s="111">
        <f t="shared" si="1228"/>
        <v>0</v>
      </c>
      <c r="M1668" s="111">
        <f t="shared" si="1228"/>
        <v>0</v>
      </c>
      <c r="N1668" s="111">
        <f t="shared" si="1228"/>
        <v>0</v>
      </c>
      <c r="O1668" s="111">
        <f t="shared" si="1228"/>
        <v>0</v>
      </c>
      <c r="P1668" s="111">
        <f t="shared" si="1228"/>
        <v>0</v>
      </c>
      <c r="Q1668" s="111">
        <f t="shared" si="1228"/>
        <v>0</v>
      </c>
    </row>
    <row r="1669" ht="24" customHeight="1" spans="1:17">
      <c r="A1669" s="99" t="s">
        <v>349</v>
      </c>
      <c r="B1669" s="99" t="s">
        <v>299</v>
      </c>
      <c r="C1669" s="99" t="s">
        <v>316</v>
      </c>
      <c r="D1669" s="53" t="s">
        <v>328</v>
      </c>
      <c r="E1669" s="53" t="s">
        <v>85</v>
      </c>
      <c r="F1669" s="111">
        <f t="shared" si="1217"/>
        <v>0</v>
      </c>
      <c r="G1669" s="111">
        <f t="shared" ref="G1669:Q1669" si="1229">G1559+F1669</f>
        <v>0</v>
      </c>
      <c r="H1669" s="111">
        <f t="shared" si="1229"/>
        <v>0</v>
      </c>
      <c r="I1669" s="111">
        <f t="shared" si="1229"/>
        <v>0</v>
      </c>
      <c r="J1669" s="111">
        <f t="shared" si="1229"/>
        <v>0</v>
      </c>
      <c r="K1669" s="111">
        <f t="shared" si="1229"/>
        <v>0</v>
      </c>
      <c r="L1669" s="111">
        <f t="shared" si="1229"/>
        <v>0</v>
      </c>
      <c r="M1669" s="111">
        <f t="shared" si="1229"/>
        <v>0</v>
      </c>
      <c r="N1669" s="111">
        <f t="shared" si="1229"/>
        <v>0</v>
      </c>
      <c r="O1669" s="111">
        <f t="shared" si="1229"/>
        <v>0</v>
      </c>
      <c r="P1669" s="111">
        <f t="shared" si="1229"/>
        <v>0</v>
      </c>
      <c r="Q1669" s="111">
        <f t="shared" si="1229"/>
        <v>0</v>
      </c>
    </row>
    <row r="1670" ht="24" customHeight="1" spans="1:17">
      <c r="A1670" s="99" t="s">
        <v>349</v>
      </c>
      <c r="B1670" s="99" t="s">
        <v>299</v>
      </c>
      <c r="C1670" s="99" t="s">
        <v>316</v>
      </c>
      <c r="D1670" s="53" t="s">
        <v>328</v>
      </c>
      <c r="E1670" s="53" t="s">
        <v>81</v>
      </c>
      <c r="F1670" s="111">
        <f t="shared" si="1217"/>
        <v>0</v>
      </c>
      <c r="G1670" s="111">
        <f t="shared" ref="G1670:Q1670" si="1230">G1560+F1670</f>
        <v>0</v>
      </c>
      <c r="H1670" s="111">
        <f t="shared" si="1230"/>
        <v>0</v>
      </c>
      <c r="I1670" s="111">
        <f t="shared" si="1230"/>
        <v>0</v>
      </c>
      <c r="J1670" s="111">
        <f t="shared" si="1230"/>
        <v>0</v>
      </c>
      <c r="K1670" s="111">
        <f t="shared" si="1230"/>
        <v>0</v>
      </c>
      <c r="L1670" s="111">
        <f t="shared" si="1230"/>
        <v>2</v>
      </c>
      <c r="M1670" s="111">
        <f t="shared" si="1230"/>
        <v>2</v>
      </c>
      <c r="N1670" s="111">
        <f t="shared" si="1230"/>
        <v>2</v>
      </c>
      <c r="O1670" s="111">
        <f t="shared" si="1230"/>
        <v>2</v>
      </c>
      <c r="P1670" s="111">
        <f t="shared" si="1230"/>
        <v>2</v>
      </c>
      <c r="Q1670" s="111">
        <f t="shared" si="1230"/>
        <v>3</v>
      </c>
    </row>
    <row r="1671" ht="24" customHeight="1" spans="1:17">
      <c r="A1671" s="99" t="s">
        <v>349</v>
      </c>
      <c r="B1671" s="99" t="s">
        <v>299</v>
      </c>
      <c r="C1671" s="99" t="s">
        <v>316</v>
      </c>
      <c r="D1671" s="53" t="s">
        <v>328</v>
      </c>
      <c r="E1671" s="53" t="s">
        <v>96</v>
      </c>
      <c r="F1671" s="111">
        <f t="shared" si="1217"/>
        <v>0</v>
      </c>
      <c r="G1671" s="111">
        <f t="shared" ref="G1671:Q1671" si="1231">G1561+F1671</f>
        <v>0</v>
      </c>
      <c r="H1671" s="111">
        <f t="shared" si="1231"/>
        <v>0</v>
      </c>
      <c r="I1671" s="111">
        <f t="shared" si="1231"/>
        <v>0</v>
      </c>
      <c r="J1671" s="111">
        <f t="shared" si="1231"/>
        <v>0</v>
      </c>
      <c r="K1671" s="111">
        <f t="shared" si="1231"/>
        <v>0</v>
      </c>
      <c r="L1671" s="111">
        <f t="shared" si="1231"/>
        <v>0</v>
      </c>
      <c r="M1671" s="111">
        <f t="shared" si="1231"/>
        <v>0</v>
      </c>
      <c r="N1671" s="111">
        <f t="shared" si="1231"/>
        <v>0</v>
      </c>
      <c r="O1671" s="111">
        <f t="shared" si="1231"/>
        <v>0</v>
      </c>
      <c r="P1671" s="111">
        <f t="shared" si="1231"/>
        <v>0</v>
      </c>
      <c r="Q1671" s="111">
        <f t="shared" si="1231"/>
        <v>0</v>
      </c>
    </row>
    <row r="1672" ht="24" customHeight="1" spans="1:17">
      <c r="A1672" s="99" t="s">
        <v>349</v>
      </c>
      <c r="B1672" s="99" t="s">
        <v>299</v>
      </c>
      <c r="C1672" s="99" t="s">
        <v>316</v>
      </c>
      <c r="D1672" s="53" t="s">
        <v>328</v>
      </c>
      <c r="E1672" s="53" t="s">
        <v>160</v>
      </c>
      <c r="F1672" s="111">
        <f t="shared" si="1217"/>
        <v>0</v>
      </c>
      <c r="G1672" s="111">
        <f t="shared" ref="G1672:Q1672" si="1232">G1562+F1672</f>
        <v>0</v>
      </c>
      <c r="H1672" s="111">
        <f t="shared" si="1232"/>
        <v>0</v>
      </c>
      <c r="I1672" s="111">
        <f t="shared" si="1232"/>
        <v>0</v>
      </c>
      <c r="J1672" s="111">
        <f t="shared" si="1232"/>
        <v>0</v>
      </c>
      <c r="K1672" s="111">
        <f t="shared" si="1232"/>
        <v>0</v>
      </c>
      <c r="L1672" s="111">
        <f t="shared" si="1232"/>
        <v>0</v>
      </c>
      <c r="M1672" s="111">
        <f t="shared" si="1232"/>
        <v>0</v>
      </c>
      <c r="N1672" s="111">
        <f t="shared" si="1232"/>
        <v>0</v>
      </c>
      <c r="O1672" s="111">
        <f t="shared" si="1232"/>
        <v>0</v>
      </c>
      <c r="P1672" s="111">
        <f t="shared" si="1232"/>
        <v>0</v>
      </c>
      <c r="Q1672" s="111">
        <f t="shared" si="1232"/>
        <v>0</v>
      </c>
    </row>
    <row r="1673" ht="24" customHeight="1" spans="1:17">
      <c r="A1673" s="99" t="s">
        <v>349</v>
      </c>
      <c r="B1673" s="99" t="s">
        <v>299</v>
      </c>
      <c r="C1673" s="99" t="s">
        <v>329</v>
      </c>
      <c r="D1673" s="113" t="s">
        <v>292</v>
      </c>
      <c r="E1673" s="113" t="s">
        <v>330</v>
      </c>
      <c r="F1673" s="115">
        <f t="shared" ref="F1673:Q1673" si="1233">IF(F1603=0,"",F1623/F1603)</f>
        <v>0.666666666666667</v>
      </c>
      <c r="G1673" s="115">
        <f t="shared" si="1233"/>
        <v>0.666666666666667</v>
      </c>
      <c r="H1673" s="115">
        <f t="shared" si="1233"/>
        <v>0.666666666666667</v>
      </c>
      <c r="I1673" s="115">
        <f t="shared" si="1233"/>
        <v>0.666666666666667</v>
      </c>
      <c r="J1673" s="115">
        <f t="shared" si="1233"/>
        <v>1</v>
      </c>
      <c r="K1673" s="115">
        <f t="shared" si="1233"/>
        <v>1</v>
      </c>
      <c r="L1673" s="115">
        <f t="shared" si="1233"/>
        <v>1</v>
      </c>
      <c r="M1673" s="115">
        <f t="shared" si="1233"/>
        <v>1</v>
      </c>
      <c r="N1673" s="115">
        <f t="shared" si="1233"/>
        <v>1</v>
      </c>
      <c r="O1673" s="115">
        <f t="shared" si="1233"/>
        <v>1</v>
      </c>
      <c r="P1673" s="115">
        <f t="shared" si="1233"/>
        <v>1</v>
      </c>
      <c r="Q1673" s="115">
        <f t="shared" si="1233"/>
        <v>1</v>
      </c>
    </row>
    <row r="1674" ht="24" customHeight="1" spans="1:17">
      <c r="A1674" s="99" t="s">
        <v>349</v>
      </c>
      <c r="B1674" s="99" t="s">
        <v>299</v>
      </c>
      <c r="C1674" s="99" t="s">
        <v>329</v>
      </c>
      <c r="D1674" s="48" t="s">
        <v>296</v>
      </c>
      <c r="E1674" s="116" t="s">
        <v>406</v>
      </c>
      <c r="F1674" s="117" t="str">
        <f t="shared" ref="F1674:Q1674" si="1234">IF(F1604=0,"",F1624/F1604)</f>
        <v/>
      </c>
      <c r="G1674" s="117" t="str">
        <f t="shared" si="1234"/>
        <v/>
      </c>
      <c r="H1674" s="117" t="str">
        <f t="shared" si="1234"/>
        <v/>
      </c>
      <c r="I1674" s="117" t="str">
        <f t="shared" si="1234"/>
        <v/>
      </c>
      <c r="J1674" s="117" t="str">
        <f t="shared" si="1234"/>
        <v/>
      </c>
      <c r="K1674" s="117" t="str">
        <f t="shared" si="1234"/>
        <v/>
      </c>
      <c r="L1674" s="117" t="str">
        <f t="shared" si="1234"/>
        <v/>
      </c>
      <c r="M1674" s="117" t="str">
        <f t="shared" si="1234"/>
        <v/>
      </c>
      <c r="N1674" s="117" t="str">
        <f t="shared" si="1234"/>
        <v/>
      </c>
      <c r="O1674" s="117" t="str">
        <f t="shared" si="1234"/>
        <v/>
      </c>
      <c r="P1674" s="117" t="str">
        <f t="shared" si="1234"/>
        <v/>
      </c>
      <c r="Q1674" s="117" t="str">
        <f t="shared" si="1234"/>
        <v/>
      </c>
    </row>
    <row r="1675" ht="24" customHeight="1" spans="1:17">
      <c r="A1675" s="99" t="s">
        <v>349</v>
      </c>
      <c r="B1675" s="99" t="s">
        <v>299</v>
      </c>
      <c r="C1675" s="99" t="s">
        <v>329</v>
      </c>
      <c r="D1675" s="48" t="s">
        <v>296</v>
      </c>
      <c r="E1675" s="116" t="s">
        <v>82</v>
      </c>
      <c r="F1675" s="117" t="str">
        <f t="shared" ref="F1675:Q1675" si="1235">IF(F1605=0,"",F1625/F1605)</f>
        <v/>
      </c>
      <c r="G1675" s="117" t="str">
        <f t="shared" si="1235"/>
        <v/>
      </c>
      <c r="H1675" s="117" t="str">
        <f t="shared" si="1235"/>
        <v/>
      </c>
      <c r="I1675" s="117" t="str">
        <f t="shared" si="1235"/>
        <v/>
      </c>
      <c r="J1675" s="117" t="str">
        <f t="shared" si="1235"/>
        <v/>
      </c>
      <c r="K1675" s="117" t="str">
        <f t="shared" si="1235"/>
        <v/>
      </c>
      <c r="L1675" s="117" t="str">
        <f t="shared" si="1235"/>
        <v/>
      </c>
      <c r="M1675" s="117" t="str">
        <f t="shared" si="1235"/>
        <v/>
      </c>
      <c r="N1675" s="117" t="str">
        <f t="shared" si="1235"/>
        <v/>
      </c>
      <c r="O1675" s="117" t="str">
        <f t="shared" si="1235"/>
        <v/>
      </c>
      <c r="P1675" s="117" t="str">
        <f t="shared" si="1235"/>
        <v/>
      </c>
      <c r="Q1675" s="117" t="str">
        <f t="shared" si="1235"/>
        <v/>
      </c>
    </row>
    <row r="1676" ht="24" customHeight="1" spans="1:17">
      <c r="A1676" s="99" t="s">
        <v>349</v>
      </c>
      <c r="B1676" s="99" t="s">
        <v>299</v>
      </c>
      <c r="C1676" s="99" t="s">
        <v>329</v>
      </c>
      <c r="D1676" s="48" t="s">
        <v>296</v>
      </c>
      <c r="E1676" s="116" t="s">
        <v>86</v>
      </c>
      <c r="F1676" s="117" t="str">
        <f t="shared" ref="F1676:Q1676" si="1236">IF(F1606=0,"",F1626/F1606)</f>
        <v/>
      </c>
      <c r="G1676" s="117" t="str">
        <f t="shared" si="1236"/>
        <v/>
      </c>
      <c r="H1676" s="117" t="str">
        <f t="shared" si="1236"/>
        <v/>
      </c>
      <c r="I1676" s="117" t="str">
        <f t="shared" si="1236"/>
        <v/>
      </c>
      <c r="J1676" s="117" t="str">
        <f t="shared" si="1236"/>
        <v/>
      </c>
      <c r="K1676" s="117" t="str">
        <f t="shared" si="1236"/>
        <v/>
      </c>
      <c r="L1676" s="117" t="str">
        <f t="shared" si="1236"/>
        <v/>
      </c>
      <c r="M1676" s="117" t="str">
        <f t="shared" si="1236"/>
        <v/>
      </c>
      <c r="N1676" s="117" t="str">
        <f t="shared" si="1236"/>
        <v/>
      </c>
      <c r="O1676" s="117" t="str">
        <f t="shared" si="1236"/>
        <v/>
      </c>
      <c r="P1676" s="117" t="str">
        <f t="shared" si="1236"/>
        <v/>
      </c>
      <c r="Q1676" s="117" t="str">
        <f t="shared" si="1236"/>
        <v/>
      </c>
    </row>
    <row r="1677" ht="24" customHeight="1" spans="1:17">
      <c r="A1677" s="99" t="s">
        <v>349</v>
      </c>
      <c r="B1677" s="99" t="s">
        <v>299</v>
      </c>
      <c r="C1677" s="99" t="s">
        <v>329</v>
      </c>
      <c r="D1677" s="48" t="s">
        <v>298</v>
      </c>
      <c r="E1677" s="116" t="s">
        <v>97</v>
      </c>
      <c r="F1677" s="117" t="str">
        <f t="shared" ref="F1677:Q1677" si="1237">IF(F1607=0,"",F1627/F1607)</f>
        <v/>
      </c>
      <c r="G1677" s="117" t="str">
        <f t="shared" si="1237"/>
        <v/>
      </c>
      <c r="H1677" s="117" t="str">
        <f t="shared" si="1237"/>
        <v/>
      </c>
      <c r="I1677" s="117" t="str">
        <f t="shared" si="1237"/>
        <v/>
      </c>
      <c r="J1677" s="117" t="str">
        <f t="shared" si="1237"/>
        <v/>
      </c>
      <c r="K1677" s="117" t="str">
        <f t="shared" si="1237"/>
        <v/>
      </c>
      <c r="L1677" s="117" t="str">
        <f t="shared" si="1237"/>
        <v/>
      </c>
      <c r="M1677" s="117" t="str">
        <f t="shared" si="1237"/>
        <v/>
      </c>
      <c r="N1677" s="117" t="str">
        <f t="shared" si="1237"/>
        <v/>
      </c>
      <c r="O1677" s="117" t="str">
        <f t="shared" si="1237"/>
        <v/>
      </c>
      <c r="P1677" s="117" t="str">
        <f t="shared" si="1237"/>
        <v/>
      </c>
      <c r="Q1677" s="117" t="str">
        <f t="shared" si="1237"/>
        <v/>
      </c>
    </row>
    <row r="1678" ht="24" customHeight="1" spans="1:17">
      <c r="A1678" s="99" t="s">
        <v>349</v>
      </c>
      <c r="B1678" s="99" t="s">
        <v>299</v>
      </c>
      <c r="C1678" s="99" t="s">
        <v>329</v>
      </c>
      <c r="D1678" s="48" t="s">
        <v>298</v>
      </c>
      <c r="E1678" s="116" t="s">
        <v>87</v>
      </c>
      <c r="F1678" s="117">
        <f t="shared" ref="F1678:Q1678" si="1238">IF(F1608=0,"",F1628/F1608)</f>
        <v>0.666666666666667</v>
      </c>
      <c r="G1678" s="117">
        <f t="shared" si="1238"/>
        <v>0.666666666666667</v>
      </c>
      <c r="H1678" s="117">
        <f t="shared" si="1238"/>
        <v>0.666666666666667</v>
      </c>
      <c r="I1678" s="117">
        <f t="shared" si="1238"/>
        <v>0.666666666666667</v>
      </c>
      <c r="J1678" s="117">
        <f t="shared" si="1238"/>
        <v>1</v>
      </c>
      <c r="K1678" s="117">
        <f t="shared" si="1238"/>
        <v>1</v>
      </c>
      <c r="L1678" s="117">
        <f t="shared" si="1238"/>
        <v>1</v>
      </c>
      <c r="M1678" s="117">
        <f t="shared" si="1238"/>
        <v>1</v>
      </c>
      <c r="N1678" s="117">
        <f t="shared" si="1238"/>
        <v>1</v>
      </c>
      <c r="O1678" s="117">
        <f t="shared" si="1238"/>
        <v>1</v>
      </c>
      <c r="P1678" s="117">
        <f t="shared" si="1238"/>
        <v>1</v>
      </c>
      <c r="Q1678" s="117">
        <f t="shared" si="1238"/>
        <v>1</v>
      </c>
    </row>
    <row r="1679" ht="24" customHeight="1" spans="1:17">
      <c r="A1679" s="99" t="s">
        <v>349</v>
      </c>
      <c r="B1679" s="99" t="s">
        <v>299</v>
      </c>
      <c r="C1679" s="99" t="s">
        <v>329</v>
      </c>
      <c r="D1679" s="48" t="s">
        <v>298</v>
      </c>
      <c r="E1679" s="116" t="s">
        <v>83</v>
      </c>
      <c r="F1679" s="117" t="str">
        <f t="shared" ref="F1679:Q1679" si="1239">IF(F1609=0,"",F1629/F1609)</f>
        <v/>
      </c>
      <c r="G1679" s="117" t="str">
        <f t="shared" si="1239"/>
        <v/>
      </c>
      <c r="H1679" s="117" t="str">
        <f t="shared" si="1239"/>
        <v/>
      </c>
      <c r="I1679" s="117" t="str">
        <f t="shared" si="1239"/>
        <v/>
      </c>
      <c r="J1679" s="117" t="str">
        <f t="shared" si="1239"/>
        <v/>
      </c>
      <c r="K1679" s="117" t="str">
        <f t="shared" si="1239"/>
        <v/>
      </c>
      <c r="L1679" s="117" t="str">
        <f t="shared" si="1239"/>
        <v/>
      </c>
      <c r="M1679" s="117" t="str">
        <f t="shared" si="1239"/>
        <v/>
      </c>
      <c r="N1679" s="117" t="str">
        <f t="shared" si="1239"/>
        <v/>
      </c>
      <c r="O1679" s="117" t="str">
        <f t="shared" si="1239"/>
        <v/>
      </c>
      <c r="P1679" s="117" t="str">
        <f t="shared" si="1239"/>
        <v/>
      </c>
      <c r="Q1679" s="117" t="str">
        <f t="shared" si="1239"/>
        <v/>
      </c>
    </row>
    <row r="1680" ht="24" customHeight="1" spans="1:17">
      <c r="A1680" s="99" t="s">
        <v>349</v>
      </c>
      <c r="B1680" s="99" t="s">
        <v>299</v>
      </c>
      <c r="C1680" s="99" t="s">
        <v>329</v>
      </c>
      <c r="D1680" s="47" t="s">
        <v>294</v>
      </c>
      <c r="E1680" s="118" t="s">
        <v>93</v>
      </c>
      <c r="F1680" s="119">
        <f t="shared" ref="F1680:Q1680" si="1240">IF(F1610=0,"",F1636/F1610)</f>
        <v>0.666666666666667</v>
      </c>
      <c r="G1680" s="119">
        <f t="shared" si="1240"/>
        <v>0.666666666666667</v>
      </c>
      <c r="H1680" s="119">
        <f t="shared" si="1240"/>
        <v>0.666666666666667</v>
      </c>
      <c r="I1680" s="119">
        <f t="shared" si="1240"/>
        <v>0.666666666666667</v>
      </c>
      <c r="J1680" s="119">
        <f t="shared" si="1240"/>
        <v>1</v>
      </c>
      <c r="K1680" s="119">
        <f t="shared" si="1240"/>
        <v>1</v>
      </c>
      <c r="L1680" s="119">
        <f t="shared" si="1240"/>
        <v>1</v>
      </c>
      <c r="M1680" s="119">
        <f t="shared" si="1240"/>
        <v>1</v>
      </c>
      <c r="N1680" s="119">
        <f t="shared" si="1240"/>
        <v>1</v>
      </c>
      <c r="O1680" s="119">
        <f t="shared" si="1240"/>
        <v>1</v>
      </c>
      <c r="P1680" s="119">
        <f t="shared" si="1240"/>
        <v>1</v>
      </c>
      <c r="Q1680" s="119">
        <f t="shared" si="1240"/>
        <v>1</v>
      </c>
    </row>
    <row r="1681" ht="24" customHeight="1" spans="1:17">
      <c r="A1681" s="99" t="s">
        <v>349</v>
      </c>
      <c r="B1681" s="99" t="s">
        <v>299</v>
      </c>
      <c r="C1681" s="99" t="s">
        <v>329</v>
      </c>
      <c r="D1681" s="47" t="s">
        <v>294</v>
      </c>
      <c r="E1681" s="118" t="s">
        <v>85</v>
      </c>
      <c r="F1681" s="119" t="str">
        <f t="shared" ref="F1681:Q1681" si="1241">IF(F1611=0,"",F1637/F1611)</f>
        <v/>
      </c>
      <c r="G1681" s="119" t="str">
        <f t="shared" si="1241"/>
        <v/>
      </c>
      <c r="H1681" s="119" t="str">
        <f t="shared" si="1241"/>
        <v/>
      </c>
      <c r="I1681" s="119" t="str">
        <f t="shared" si="1241"/>
        <v/>
      </c>
      <c r="J1681" s="119" t="str">
        <f t="shared" si="1241"/>
        <v/>
      </c>
      <c r="K1681" s="119" t="str">
        <f t="shared" si="1241"/>
        <v/>
      </c>
      <c r="L1681" s="119" t="str">
        <f t="shared" si="1241"/>
        <v/>
      </c>
      <c r="M1681" s="119" t="str">
        <f t="shared" si="1241"/>
        <v/>
      </c>
      <c r="N1681" s="119" t="str">
        <f t="shared" si="1241"/>
        <v/>
      </c>
      <c r="O1681" s="119" t="str">
        <f t="shared" si="1241"/>
        <v/>
      </c>
      <c r="P1681" s="119" t="str">
        <f t="shared" si="1241"/>
        <v/>
      </c>
      <c r="Q1681" s="119" t="str">
        <f t="shared" si="1241"/>
        <v/>
      </c>
    </row>
    <row r="1682" ht="24" customHeight="1" spans="1:17">
      <c r="A1682" s="99" t="s">
        <v>349</v>
      </c>
      <c r="B1682" s="99" t="s">
        <v>299</v>
      </c>
      <c r="C1682" s="99" t="s">
        <v>329</v>
      </c>
      <c r="D1682" s="47" t="s">
        <v>294</v>
      </c>
      <c r="E1682" s="118" t="s">
        <v>81</v>
      </c>
      <c r="F1682" s="119" t="str">
        <f t="shared" ref="F1682:Q1682" si="1242">IF(F1612=0,"",F1638/F1612)</f>
        <v/>
      </c>
      <c r="G1682" s="119" t="str">
        <f t="shared" si="1242"/>
        <v/>
      </c>
      <c r="H1682" s="119" t="str">
        <f t="shared" si="1242"/>
        <v/>
      </c>
      <c r="I1682" s="119" t="str">
        <f t="shared" si="1242"/>
        <v/>
      </c>
      <c r="J1682" s="119" t="str">
        <f t="shared" si="1242"/>
        <v/>
      </c>
      <c r="K1682" s="119" t="str">
        <f t="shared" si="1242"/>
        <v/>
      </c>
      <c r="L1682" s="119">
        <f t="shared" si="1242"/>
        <v>1</v>
      </c>
      <c r="M1682" s="119">
        <f t="shared" si="1242"/>
        <v>1</v>
      </c>
      <c r="N1682" s="119">
        <f t="shared" si="1242"/>
        <v>1</v>
      </c>
      <c r="O1682" s="119">
        <f t="shared" si="1242"/>
        <v>1</v>
      </c>
      <c r="P1682" s="119">
        <f t="shared" si="1242"/>
        <v>1</v>
      </c>
      <c r="Q1682" s="119">
        <f t="shared" si="1242"/>
        <v>1</v>
      </c>
    </row>
    <row r="1683" ht="24" customHeight="1" spans="1:17">
      <c r="A1683" s="99" t="s">
        <v>349</v>
      </c>
      <c r="B1683" s="99" t="s">
        <v>299</v>
      </c>
      <c r="C1683" s="99" t="s">
        <v>329</v>
      </c>
      <c r="D1683" s="47" t="s">
        <v>294</v>
      </c>
      <c r="E1683" s="118" t="s">
        <v>96</v>
      </c>
      <c r="F1683" s="119" t="str">
        <f t="shared" ref="F1683:Q1683" si="1243">IF(F1613=0,"",F1639/F1613)</f>
        <v/>
      </c>
      <c r="G1683" s="119" t="str">
        <f t="shared" si="1243"/>
        <v/>
      </c>
      <c r="H1683" s="119" t="str">
        <f t="shared" si="1243"/>
        <v/>
      </c>
      <c r="I1683" s="119" t="str">
        <f t="shared" si="1243"/>
        <v/>
      </c>
      <c r="J1683" s="119" t="str">
        <f t="shared" si="1243"/>
        <v/>
      </c>
      <c r="K1683" s="119" t="str">
        <f t="shared" si="1243"/>
        <v/>
      </c>
      <c r="L1683" s="119" t="str">
        <f t="shared" si="1243"/>
        <v/>
      </c>
      <c r="M1683" s="119" t="str">
        <f t="shared" si="1243"/>
        <v/>
      </c>
      <c r="N1683" s="119" t="str">
        <f t="shared" si="1243"/>
        <v/>
      </c>
      <c r="O1683" s="119" t="str">
        <f t="shared" si="1243"/>
        <v/>
      </c>
      <c r="P1683" s="119" t="str">
        <f t="shared" si="1243"/>
        <v/>
      </c>
      <c r="Q1683" s="119" t="str">
        <f t="shared" si="1243"/>
        <v/>
      </c>
    </row>
    <row r="1684" ht="24" customHeight="1" spans="1:17">
      <c r="A1684" s="99" t="s">
        <v>349</v>
      </c>
      <c r="B1684" s="99" t="s">
        <v>299</v>
      </c>
      <c r="C1684" s="99" t="s">
        <v>329</v>
      </c>
      <c r="D1684" s="47" t="s">
        <v>294</v>
      </c>
      <c r="E1684" s="118" t="s">
        <v>160</v>
      </c>
      <c r="F1684" s="119" t="str">
        <f t="shared" ref="F1684:Q1684" si="1244">IF(F1614=0,"",F1640/F1614)</f>
        <v/>
      </c>
      <c r="G1684" s="119" t="str">
        <f t="shared" si="1244"/>
        <v/>
      </c>
      <c r="H1684" s="119" t="str">
        <f t="shared" si="1244"/>
        <v/>
      </c>
      <c r="I1684" s="119" t="str">
        <f t="shared" si="1244"/>
        <v/>
      </c>
      <c r="J1684" s="119" t="str">
        <f t="shared" si="1244"/>
        <v/>
      </c>
      <c r="K1684" s="119" t="str">
        <f t="shared" si="1244"/>
        <v/>
      </c>
      <c r="L1684" s="119" t="str">
        <f t="shared" si="1244"/>
        <v/>
      </c>
      <c r="M1684" s="119" t="str">
        <f t="shared" si="1244"/>
        <v/>
      </c>
      <c r="N1684" s="119" t="str">
        <f t="shared" si="1244"/>
        <v/>
      </c>
      <c r="O1684" s="119" t="str">
        <f t="shared" si="1244"/>
        <v/>
      </c>
      <c r="P1684" s="119" t="str">
        <f t="shared" si="1244"/>
        <v/>
      </c>
      <c r="Q1684" s="119" t="str">
        <f t="shared" si="1244"/>
        <v/>
      </c>
    </row>
    <row r="1685" ht="24" customHeight="1" spans="1:17">
      <c r="A1685" s="99" t="s">
        <v>349</v>
      </c>
      <c r="B1685" s="99" t="s">
        <v>299</v>
      </c>
      <c r="C1685" s="99" t="s">
        <v>329</v>
      </c>
      <c r="D1685" s="113" t="s">
        <v>292</v>
      </c>
      <c r="E1685" s="113" t="s">
        <v>331</v>
      </c>
      <c r="F1685" s="115" t="str">
        <f t="shared" ref="F1685:Q1685" si="1245">IF(F1615=0,"",F1641/F1615)</f>
        <v/>
      </c>
      <c r="G1685" s="115" t="str">
        <f t="shared" si="1245"/>
        <v/>
      </c>
      <c r="H1685" s="115" t="str">
        <f t="shared" si="1245"/>
        <v/>
      </c>
      <c r="I1685" s="115" t="str">
        <f t="shared" si="1245"/>
        <v/>
      </c>
      <c r="J1685" s="115" t="str">
        <f t="shared" si="1245"/>
        <v/>
      </c>
      <c r="K1685" s="115" t="str">
        <f t="shared" si="1245"/>
        <v/>
      </c>
      <c r="L1685" s="115" t="str">
        <f t="shared" si="1245"/>
        <v/>
      </c>
      <c r="M1685" s="115" t="str">
        <f t="shared" si="1245"/>
        <v/>
      </c>
      <c r="N1685" s="115" t="str">
        <f t="shared" si="1245"/>
        <v/>
      </c>
      <c r="O1685" s="115" t="str">
        <f t="shared" si="1245"/>
        <v/>
      </c>
      <c r="P1685" s="115" t="str">
        <f t="shared" si="1245"/>
        <v/>
      </c>
      <c r="Q1685" s="115" t="str">
        <f t="shared" si="1245"/>
        <v/>
      </c>
    </row>
    <row r="1686" ht="24" customHeight="1" spans="1:17">
      <c r="A1686" s="99" t="s">
        <v>349</v>
      </c>
      <c r="B1686" s="99" t="s">
        <v>299</v>
      </c>
      <c r="C1686" s="99" t="s">
        <v>329</v>
      </c>
      <c r="D1686" s="48" t="s">
        <v>296</v>
      </c>
      <c r="E1686" s="116" t="s">
        <v>406</v>
      </c>
      <c r="F1686" s="117" t="str">
        <f t="shared" ref="F1686:Q1686" si="1246">IF(F1616=0,"",F1642/F1616)</f>
        <v/>
      </c>
      <c r="G1686" s="117" t="str">
        <f t="shared" si="1246"/>
        <v/>
      </c>
      <c r="H1686" s="117" t="str">
        <f t="shared" si="1246"/>
        <v/>
      </c>
      <c r="I1686" s="117" t="str">
        <f t="shared" si="1246"/>
        <v/>
      </c>
      <c r="J1686" s="117" t="str">
        <f t="shared" si="1246"/>
        <v/>
      </c>
      <c r="K1686" s="117" t="str">
        <f t="shared" si="1246"/>
        <v/>
      </c>
      <c r="L1686" s="117" t="str">
        <f t="shared" si="1246"/>
        <v/>
      </c>
      <c r="M1686" s="117" t="str">
        <f t="shared" si="1246"/>
        <v/>
      </c>
      <c r="N1686" s="117" t="str">
        <f t="shared" si="1246"/>
        <v/>
      </c>
      <c r="O1686" s="117" t="str">
        <f t="shared" si="1246"/>
        <v/>
      </c>
      <c r="P1686" s="117" t="str">
        <f t="shared" si="1246"/>
        <v/>
      </c>
      <c r="Q1686" s="117" t="str">
        <f t="shared" si="1246"/>
        <v/>
      </c>
    </row>
    <row r="1687" ht="24" customHeight="1" spans="1:17">
      <c r="A1687" s="99" t="s">
        <v>349</v>
      </c>
      <c r="B1687" s="99" t="s">
        <v>299</v>
      </c>
      <c r="C1687" s="99" t="s">
        <v>329</v>
      </c>
      <c r="D1687" s="48" t="s">
        <v>296</v>
      </c>
      <c r="E1687" s="116" t="s">
        <v>82</v>
      </c>
      <c r="F1687" s="117" t="str">
        <f t="shared" ref="F1687:Q1687" si="1247">IF(F1617=0,"",F1643/F1617)</f>
        <v/>
      </c>
      <c r="G1687" s="117" t="str">
        <f t="shared" si="1247"/>
        <v/>
      </c>
      <c r="H1687" s="117" t="str">
        <f t="shared" si="1247"/>
        <v/>
      </c>
      <c r="I1687" s="117" t="str">
        <f t="shared" si="1247"/>
        <v/>
      </c>
      <c r="J1687" s="117" t="str">
        <f t="shared" si="1247"/>
        <v/>
      </c>
      <c r="K1687" s="117" t="str">
        <f t="shared" si="1247"/>
        <v/>
      </c>
      <c r="L1687" s="117" t="str">
        <f t="shared" si="1247"/>
        <v/>
      </c>
      <c r="M1687" s="117" t="str">
        <f t="shared" si="1247"/>
        <v/>
      </c>
      <c r="N1687" s="117" t="str">
        <f t="shared" si="1247"/>
        <v/>
      </c>
      <c r="O1687" s="117" t="str">
        <f t="shared" si="1247"/>
        <v/>
      </c>
      <c r="P1687" s="117" t="str">
        <f t="shared" si="1247"/>
        <v/>
      </c>
      <c r="Q1687" s="117" t="str">
        <f t="shared" si="1247"/>
        <v/>
      </c>
    </row>
    <row r="1688" ht="24" customHeight="1" spans="1:17">
      <c r="A1688" s="99" t="s">
        <v>349</v>
      </c>
      <c r="B1688" s="99" t="s">
        <v>299</v>
      </c>
      <c r="C1688" s="99" t="s">
        <v>329</v>
      </c>
      <c r="D1688" s="48" t="s">
        <v>296</v>
      </c>
      <c r="E1688" s="116" t="s">
        <v>86</v>
      </c>
      <c r="F1688" s="117" t="str">
        <f t="shared" ref="F1688:Q1688" si="1248">IF(F1618=0,"",F1644/F1618)</f>
        <v/>
      </c>
      <c r="G1688" s="117" t="str">
        <f t="shared" si="1248"/>
        <v/>
      </c>
      <c r="H1688" s="117" t="str">
        <f t="shared" si="1248"/>
        <v/>
      </c>
      <c r="I1688" s="117" t="str">
        <f t="shared" si="1248"/>
        <v/>
      </c>
      <c r="J1688" s="117" t="str">
        <f t="shared" si="1248"/>
        <v/>
      </c>
      <c r="K1688" s="117" t="str">
        <f t="shared" si="1248"/>
        <v/>
      </c>
      <c r="L1688" s="117" t="str">
        <f t="shared" si="1248"/>
        <v/>
      </c>
      <c r="M1688" s="117" t="str">
        <f t="shared" si="1248"/>
        <v/>
      </c>
      <c r="N1688" s="117" t="str">
        <f t="shared" si="1248"/>
        <v/>
      </c>
      <c r="O1688" s="117" t="str">
        <f t="shared" si="1248"/>
        <v/>
      </c>
      <c r="P1688" s="117" t="str">
        <f t="shared" si="1248"/>
        <v/>
      </c>
      <c r="Q1688" s="117" t="str">
        <f t="shared" si="1248"/>
        <v/>
      </c>
    </row>
    <row r="1689" ht="24" customHeight="1" spans="1:17">
      <c r="A1689" s="99" t="s">
        <v>349</v>
      </c>
      <c r="B1689" s="99" t="s">
        <v>299</v>
      </c>
      <c r="C1689" s="99" t="s">
        <v>329</v>
      </c>
      <c r="D1689" s="113" t="s">
        <v>292</v>
      </c>
      <c r="E1689" s="113" t="s">
        <v>332</v>
      </c>
      <c r="F1689" s="115">
        <f t="shared" ref="F1689:Q1689" si="1249">IF(F1619=0,"",F1648/F1619)</f>
        <v>0.666666666666667</v>
      </c>
      <c r="G1689" s="115">
        <f t="shared" si="1249"/>
        <v>0.666666666666667</v>
      </c>
      <c r="H1689" s="115">
        <f t="shared" si="1249"/>
        <v>0.666666666666667</v>
      </c>
      <c r="I1689" s="115">
        <f t="shared" si="1249"/>
        <v>0.666666666666667</v>
      </c>
      <c r="J1689" s="115">
        <f t="shared" si="1249"/>
        <v>1</v>
      </c>
      <c r="K1689" s="115">
        <f t="shared" si="1249"/>
        <v>1</v>
      </c>
      <c r="L1689" s="115">
        <f t="shared" si="1249"/>
        <v>1</v>
      </c>
      <c r="M1689" s="115">
        <f t="shared" si="1249"/>
        <v>1</v>
      </c>
      <c r="N1689" s="115">
        <f t="shared" si="1249"/>
        <v>1</v>
      </c>
      <c r="O1689" s="115">
        <f t="shared" si="1249"/>
        <v>1</v>
      </c>
      <c r="P1689" s="115">
        <f t="shared" si="1249"/>
        <v>1</v>
      </c>
      <c r="Q1689" s="115">
        <f t="shared" si="1249"/>
        <v>1</v>
      </c>
    </row>
    <row r="1690" ht="24" customHeight="1" spans="1:17">
      <c r="A1690" s="99" t="s">
        <v>349</v>
      </c>
      <c r="B1690" s="99" t="s">
        <v>299</v>
      </c>
      <c r="C1690" s="99" t="s">
        <v>329</v>
      </c>
      <c r="D1690" s="48" t="s">
        <v>298</v>
      </c>
      <c r="E1690" s="116" t="s">
        <v>97</v>
      </c>
      <c r="F1690" s="117" t="str">
        <f t="shared" ref="F1690:Q1690" si="1250">IF(F1620=0,"",F1649/F1620)</f>
        <v/>
      </c>
      <c r="G1690" s="117" t="str">
        <f t="shared" si="1250"/>
        <v/>
      </c>
      <c r="H1690" s="117" t="str">
        <f t="shared" si="1250"/>
        <v/>
      </c>
      <c r="I1690" s="117" t="str">
        <f t="shared" si="1250"/>
        <v/>
      </c>
      <c r="J1690" s="117" t="str">
        <f t="shared" si="1250"/>
        <v/>
      </c>
      <c r="K1690" s="117" t="str">
        <f t="shared" si="1250"/>
        <v/>
      </c>
      <c r="L1690" s="117" t="str">
        <f t="shared" si="1250"/>
        <v/>
      </c>
      <c r="M1690" s="117" t="str">
        <f t="shared" si="1250"/>
        <v/>
      </c>
      <c r="N1690" s="117" t="str">
        <f t="shared" si="1250"/>
        <v/>
      </c>
      <c r="O1690" s="117" t="str">
        <f t="shared" si="1250"/>
        <v/>
      </c>
      <c r="P1690" s="117" t="str">
        <f t="shared" si="1250"/>
        <v/>
      </c>
      <c r="Q1690" s="117" t="str">
        <f t="shared" si="1250"/>
        <v/>
      </c>
    </row>
    <row r="1691" ht="24" customHeight="1" spans="1:17">
      <c r="A1691" s="99" t="s">
        <v>349</v>
      </c>
      <c r="B1691" s="99" t="s">
        <v>299</v>
      </c>
      <c r="C1691" s="99" t="s">
        <v>329</v>
      </c>
      <c r="D1691" s="48" t="s">
        <v>298</v>
      </c>
      <c r="E1691" s="116" t="s">
        <v>87</v>
      </c>
      <c r="F1691" s="117">
        <f t="shared" ref="F1691:Q1691" si="1251">IF(F1621=0,"",F1650/F1621)</f>
        <v>0.666666666666667</v>
      </c>
      <c r="G1691" s="117">
        <f t="shared" si="1251"/>
        <v>0.666666666666667</v>
      </c>
      <c r="H1691" s="117">
        <f t="shared" si="1251"/>
        <v>0.666666666666667</v>
      </c>
      <c r="I1691" s="117">
        <f t="shared" si="1251"/>
        <v>0.666666666666667</v>
      </c>
      <c r="J1691" s="117">
        <f t="shared" si="1251"/>
        <v>1</v>
      </c>
      <c r="K1691" s="117">
        <f t="shared" si="1251"/>
        <v>1</v>
      </c>
      <c r="L1691" s="117">
        <f t="shared" si="1251"/>
        <v>1</v>
      </c>
      <c r="M1691" s="117">
        <f t="shared" si="1251"/>
        <v>1</v>
      </c>
      <c r="N1691" s="117">
        <f t="shared" si="1251"/>
        <v>1</v>
      </c>
      <c r="O1691" s="117">
        <f t="shared" si="1251"/>
        <v>1</v>
      </c>
      <c r="P1691" s="117">
        <f t="shared" si="1251"/>
        <v>1</v>
      </c>
      <c r="Q1691" s="117">
        <f t="shared" si="1251"/>
        <v>1</v>
      </c>
    </row>
    <row r="1692" ht="24" customHeight="1" spans="1:17">
      <c r="A1692" s="99" t="s">
        <v>349</v>
      </c>
      <c r="B1692" s="99" t="s">
        <v>299</v>
      </c>
      <c r="C1692" s="99" t="s">
        <v>329</v>
      </c>
      <c r="D1692" s="48" t="s">
        <v>298</v>
      </c>
      <c r="E1692" s="116" t="s">
        <v>83</v>
      </c>
      <c r="F1692" s="117" t="str">
        <f t="shared" ref="F1692:Q1692" si="1252">IF(F1622=0,"",F1651/F1622)</f>
        <v/>
      </c>
      <c r="G1692" s="117" t="str">
        <f t="shared" si="1252"/>
        <v/>
      </c>
      <c r="H1692" s="117" t="str">
        <f t="shared" si="1252"/>
        <v/>
      </c>
      <c r="I1692" s="117" t="str">
        <f t="shared" si="1252"/>
        <v/>
      </c>
      <c r="J1692" s="117" t="str">
        <f t="shared" si="1252"/>
        <v/>
      </c>
      <c r="K1692" s="117" t="str">
        <f t="shared" si="1252"/>
        <v/>
      </c>
      <c r="L1692" s="117" t="str">
        <f t="shared" si="1252"/>
        <v/>
      </c>
      <c r="M1692" s="117" t="str">
        <f t="shared" si="1252"/>
        <v/>
      </c>
      <c r="N1692" s="117" t="str">
        <f t="shared" si="1252"/>
        <v/>
      </c>
      <c r="O1692" s="117" t="str">
        <f t="shared" si="1252"/>
        <v/>
      </c>
      <c r="P1692" s="117" t="str">
        <f t="shared" si="1252"/>
        <v/>
      </c>
      <c r="Q1692" s="117" t="str">
        <f t="shared" si="1252"/>
        <v/>
      </c>
    </row>
    <row r="1693" ht="24" customHeight="1" spans="1:17">
      <c r="A1693" s="99" t="s">
        <v>349</v>
      </c>
      <c r="B1693" s="99" t="s">
        <v>299</v>
      </c>
      <c r="C1693" s="99" t="s">
        <v>333</v>
      </c>
      <c r="D1693" s="114" t="s">
        <v>292</v>
      </c>
      <c r="E1693" s="114" t="s">
        <v>300</v>
      </c>
      <c r="F1693" s="120">
        <f t="shared" ref="F1693:Q1693" si="1253">SUM(F1694:F1699)</f>
        <v>0.9247</v>
      </c>
      <c r="G1693" s="120">
        <f t="shared" si="1253"/>
        <v>0</v>
      </c>
      <c r="H1693" s="120">
        <f t="shared" si="1253"/>
        <v>0</v>
      </c>
      <c r="I1693" s="120">
        <f t="shared" si="1253"/>
        <v>0</v>
      </c>
      <c r="J1693" s="120">
        <f t="shared" si="1253"/>
        <v>1.909</v>
      </c>
      <c r="K1693" s="120">
        <f t="shared" si="1253"/>
        <v>0</v>
      </c>
      <c r="L1693" s="120">
        <f t="shared" si="1253"/>
        <v>3.1134</v>
      </c>
      <c r="M1693" s="120">
        <f t="shared" si="1253"/>
        <v>0</v>
      </c>
      <c r="N1693" s="120">
        <f t="shared" si="1253"/>
        <v>0</v>
      </c>
      <c r="O1693" s="120">
        <f t="shared" si="1253"/>
        <v>0</v>
      </c>
      <c r="P1693" s="120">
        <f t="shared" si="1253"/>
        <v>0</v>
      </c>
      <c r="Q1693" s="120">
        <f t="shared" si="1253"/>
        <v>1.7388</v>
      </c>
    </row>
    <row r="1694" ht="24" customHeight="1" spans="1:17">
      <c r="A1694" s="99" t="s">
        <v>349</v>
      </c>
      <c r="B1694" s="99" t="s">
        <v>299</v>
      </c>
      <c r="C1694" s="99" t="s">
        <v>333</v>
      </c>
      <c r="D1694" s="48" t="s">
        <v>31</v>
      </c>
      <c r="E1694" s="48" t="s">
        <v>406</v>
      </c>
      <c r="F1694" s="121">
        <f>SUMIFS('2024数据'!$BR$3:$BR$152,'2024数据'!$X$3:$X$152,"&gt;="&amp;DATE(2024,1,1),'2024数据'!$X$3:$X$152,"&lt;="&amp;DATE(2024,1,31),'2024数据'!$AE$3:$AE$152,$E1694)/10000</f>
        <v>0</v>
      </c>
      <c r="G1694" s="121">
        <f>SUMIFS('2024数据'!$BR$3:$BR$152,'2024数据'!$X$3:$X$152,"&gt;="&amp;DATE(2024,2,1),'2024数据'!$X$3:$X$152,"&lt;="&amp;DATE(2024,2,29),'2024数据'!$AE$3:$AE$152,$E1694)/10000</f>
        <v>0</v>
      </c>
      <c r="H1694" s="121">
        <f>SUMIFS('2024数据'!$BR$3:$BR$152,'2024数据'!$X$3:$X$152,"&gt;="&amp;DATE(2024,3,1),'2024数据'!$X$3:$X$152,"&lt;="&amp;DATE(2024,3,31),'2024数据'!$AE$3:$AE$152,$E1694)/10000</f>
        <v>0</v>
      </c>
      <c r="I1694" s="121">
        <f>SUMIFS('2024数据'!$BR$3:$BR$152,'2024数据'!$X$3:$X$152,"&gt;="&amp;DATE(2024,4,1),'2024数据'!$X$3:$X$152,"&lt;="&amp;DATE(2024,4,30),'2024数据'!$AE$3:$AE$152,$E1694)/10000</f>
        <v>0</v>
      </c>
      <c r="J1694" s="121">
        <f>SUMIFS('2024数据'!$BR$3:$BR$152,'2024数据'!$X$3:$X$152,"&gt;="&amp;DATE(2024,5,1),'2024数据'!$X$3:$X$152,"&lt;="&amp;DATE(2024,5,31),'2024数据'!$AE$3:$AE$152,$E1694)/10000</f>
        <v>0</v>
      </c>
      <c r="K1694" s="121">
        <f>SUMIFS('2024数据'!$BR$3:$BR$152,'2024数据'!$X$3:$X$152,"&gt;="&amp;DATE(2024,6,1),'2024数据'!$X$3:$X$152,"&lt;="&amp;DATE(2024,6,30),'2024数据'!$AE$3:$AE$152,$E1694)/10000</f>
        <v>0</v>
      </c>
      <c r="L1694" s="121">
        <f>SUMIFS('2024数据'!$BR$3:$BR$152,'2024数据'!$X$3:$X$152,"&gt;="&amp;DATE(2024,7,1),'2024数据'!$X$3:$X$152,"&lt;="&amp;DATE(2024,7,31),'2024数据'!$AE$3:$AE$152,$E1694)/10000</f>
        <v>0</v>
      </c>
      <c r="M1694" s="121">
        <f>SUMIFS('2024数据'!$BR$3:$BR$152,'2024数据'!$X$3:$X$152,"&gt;="&amp;DATE(2024,8,1),'2024数据'!$X$3:$X$152,"&lt;="&amp;DATE(2024,8,31),'2024数据'!$AE$3:$AE$152,$E1694)/10000</f>
        <v>0</v>
      </c>
      <c r="N1694" s="121">
        <f>SUMIFS('2024数据'!$BR$3:$BR$152,'2024数据'!$X$3:$X$152,"&gt;="&amp;DATE(2024,9,1),'2024数据'!$X$3:$X$152,"&lt;="&amp;DATE(2024,9,30),'2024数据'!$AE$3:$AE$152,$E1694)/10000</f>
        <v>0</v>
      </c>
      <c r="O1694" s="121">
        <f>SUMIFS('2024数据'!$BR$3:$BR$152,'2024数据'!$X$3:$X$152,"&gt;="&amp;DATE(2024,10,1),'2024数据'!$X$3:$X$152,"&lt;="&amp;DATE(2024,10,31),'2024数据'!$AE$3:$AE$152,$E1694)/10000</f>
        <v>0</v>
      </c>
      <c r="P1694" s="121">
        <f>SUMIFS('2024数据'!$BR$3:$BR$152,'2024数据'!$X$3:$X$152,"&gt;="&amp;DATE(2024,11,1),'2024数据'!$X$3:$X$152,"&lt;="&amp;DATE(2024,11,30),'2024数据'!$AE$3:$AE$152,$E1694)/10000</f>
        <v>0</v>
      </c>
      <c r="Q1694" s="121">
        <f>SUMIFS('2024数据'!$BR$3:$BR$152,'2024数据'!$X$3:$X$152,"&gt;="&amp;DATE(2024,12,1),'2024数据'!$X$3:$X$152,"&lt;="&amp;DATE(2024,12,31),'2024数据'!$AE$3:$AE$152,$E1694)/10000</f>
        <v>0</v>
      </c>
    </row>
    <row r="1695" ht="24" customHeight="1" spans="1:17">
      <c r="A1695" s="99" t="s">
        <v>349</v>
      </c>
      <c r="B1695" s="99" t="s">
        <v>299</v>
      </c>
      <c r="C1695" s="99" t="s">
        <v>333</v>
      </c>
      <c r="D1695" s="48" t="s">
        <v>31</v>
      </c>
      <c r="E1695" s="48" t="s">
        <v>82</v>
      </c>
      <c r="F1695" s="121">
        <f>SUMIFS('2024数据'!$BR$3:$BR$152,'2024数据'!$X$3:$X$152,"&gt;="&amp;DATE(2024,1,1),'2024数据'!$X$3:$X$152,"&lt;="&amp;DATE(2024,1,31),'2024数据'!$AE$3:$AE$152,$E1695)/10000</f>
        <v>0</v>
      </c>
      <c r="G1695" s="121">
        <f>SUMIFS('2024数据'!$BR$3:$BR$152,'2024数据'!$X$3:$X$152,"&gt;="&amp;DATE(2024,2,1),'2024数据'!$X$3:$X$152,"&lt;="&amp;DATE(2024,2,29),'2024数据'!$AE$3:$AE$152,$E1695)/10000</f>
        <v>0</v>
      </c>
      <c r="H1695" s="121">
        <f>SUMIFS('2024数据'!$BR$3:$BR$152,'2024数据'!$X$3:$X$152,"&gt;="&amp;DATE(2024,3,1),'2024数据'!$X$3:$X$152,"&lt;="&amp;DATE(2024,3,31),'2024数据'!$AE$3:$AE$152,$E1695)/10000</f>
        <v>0</v>
      </c>
      <c r="I1695" s="121">
        <f>SUMIFS('2024数据'!$BR$3:$BR$152,'2024数据'!$X$3:$X$152,"&gt;="&amp;DATE(2024,4,1),'2024数据'!$X$3:$X$152,"&lt;="&amp;DATE(2024,4,30),'2024数据'!$AE$3:$AE$152,$E1695)/10000</f>
        <v>0</v>
      </c>
      <c r="J1695" s="121">
        <f>SUMIFS('2024数据'!$BR$3:$BR$152,'2024数据'!$X$3:$X$152,"&gt;="&amp;DATE(2024,5,1),'2024数据'!$X$3:$X$152,"&lt;="&amp;DATE(2024,5,31),'2024数据'!$AE$3:$AE$152,$E1695)/10000</f>
        <v>0</v>
      </c>
      <c r="K1695" s="121">
        <f>SUMIFS('2024数据'!$BR$3:$BR$152,'2024数据'!$X$3:$X$152,"&gt;="&amp;DATE(2024,6,1),'2024数据'!$X$3:$X$152,"&lt;="&amp;DATE(2024,6,30),'2024数据'!$AE$3:$AE$152,$E1695)/10000</f>
        <v>0</v>
      </c>
      <c r="L1695" s="121">
        <f>SUMIFS('2024数据'!$BR$3:$BR$152,'2024数据'!$X$3:$X$152,"&gt;="&amp;DATE(2024,7,1),'2024数据'!$X$3:$X$152,"&lt;="&amp;DATE(2024,7,31),'2024数据'!$AE$3:$AE$152,$E1695)/10000</f>
        <v>0</v>
      </c>
      <c r="M1695" s="121">
        <f>SUMIFS('2024数据'!$BR$3:$BR$152,'2024数据'!$X$3:$X$152,"&gt;="&amp;DATE(2024,8,1),'2024数据'!$X$3:$X$152,"&lt;="&amp;DATE(2024,8,31),'2024数据'!$AE$3:$AE$152,$E1695)/10000</f>
        <v>0</v>
      </c>
      <c r="N1695" s="121">
        <f>SUMIFS('2024数据'!$BR$3:$BR$152,'2024数据'!$X$3:$X$152,"&gt;="&amp;DATE(2024,9,1),'2024数据'!$X$3:$X$152,"&lt;="&amp;DATE(2024,9,30),'2024数据'!$AE$3:$AE$152,$E1695)/10000</f>
        <v>0</v>
      </c>
      <c r="O1695" s="121">
        <f>SUMIFS('2024数据'!$BR$3:$BR$152,'2024数据'!$X$3:$X$152,"&gt;="&amp;DATE(2024,10,1),'2024数据'!$X$3:$X$152,"&lt;="&amp;DATE(2024,10,31),'2024数据'!$AE$3:$AE$152,$E1695)/10000</f>
        <v>0</v>
      </c>
      <c r="P1695" s="121">
        <f>SUMIFS('2024数据'!$BR$3:$BR$152,'2024数据'!$X$3:$X$152,"&gt;="&amp;DATE(2024,11,1),'2024数据'!$X$3:$X$152,"&lt;="&amp;DATE(2024,11,30),'2024数据'!$AE$3:$AE$152,$E1695)/10000</f>
        <v>0</v>
      </c>
      <c r="Q1695" s="121">
        <f>SUMIFS('2024数据'!$BR$3:$BR$152,'2024数据'!$X$3:$X$152,"&gt;="&amp;DATE(2024,12,1),'2024数据'!$X$3:$X$152,"&lt;="&amp;DATE(2024,12,31),'2024数据'!$AE$3:$AE$152,$E1695)/10000</f>
        <v>0</v>
      </c>
    </row>
    <row r="1696" ht="24" customHeight="1" spans="1:17">
      <c r="A1696" s="99" t="s">
        <v>349</v>
      </c>
      <c r="B1696" s="99" t="s">
        <v>299</v>
      </c>
      <c r="C1696" s="99" t="s">
        <v>333</v>
      </c>
      <c r="D1696" s="48" t="s">
        <v>31</v>
      </c>
      <c r="E1696" s="48" t="s">
        <v>86</v>
      </c>
      <c r="F1696" s="121">
        <f>SUMIFS('2024数据'!$BR$3:$BR$152,'2024数据'!$X$3:$X$152,"&gt;="&amp;DATE(2024,1,1),'2024数据'!$X$3:$X$152,"&lt;="&amp;DATE(2024,1,31),'2024数据'!$AE$3:$AE$152,$E1696)/10000</f>
        <v>0</v>
      </c>
      <c r="G1696" s="121">
        <f>SUMIFS('2024数据'!$BR$3:$BR$152,'2024数据'!$X$3:$X$152,"&gt;="&amp;DATE(2024,2,1),'2024数据'!$X$3:$X$152,"&lt;="&amp;DATE(2024,2,29),'2024数据'!$AE$3:$AE$152,$E1696)/10000</f>
        <v>0</v>
      </c>
      <c r="H1696" s="121">
        <f>SUMIFS('2024数据'!$BR$3:$BR$152,'2024数据'!$X$3:$X$152,"&gt;="&amp;DATE(2024,3,1),'2024数据'!$X$3:$X$152,"&lt;="&amp;DATE(2024,3,31),'2024数据'!$AE$3:$AE$152,$E1696)/10000</f>
        <v>0</v>
      </c>
      <c r="I1696" s="121">
        <f>SUMIFS('2024数据'!$BR$3:$BR$152,'2024数据'!$X$3:$X$152,"&gt;="&amp;DATE(2024,4,1),'2024数据'!$X$3:$X$152,"&lt;="&amp;DATE(2024,4,30),'2024数据'!$AE$3:$AE$152,$E1696)/10000</f>
        <v>0</v>
      </c>
      <c r="J1696" s="121">
        <f>SUMIFS('2024数据'!$BR$3:$BR$152,'2024数据'!$X$3:$X$152,"&gt;="&amp;DATE(2024,5,1),'2024数据'!$X$3:$X$152,"&lt;="&amp;DATE(2024,5,31),'2024数据'!$AE$3:$AE$152,$E1696)/10000</f>
        <v>0</v>
      </c>
      <c r="K1696" s="121">
        <f>SUMIFS('2024数据'!$BR$3:$BR$152,'2024数据'!$X$3:$X$152,"&gt;="&amp;DATE(2024,6,1),'2024数据'!$X$3:$X$152,"&lt;="&amp;DATE(2024,6,30),'2024数据'!$AE$3:$AE$152,$E1696)/10000</f>
        <v>0</v>
      </c>
      <c r="L1696" s="121">
        <f>SUMIFS('2024数据'!$BR$3:$BR$152,'2024数据'!$X$3:$X$152,"&gt;="&amp;DATE(2024,7,1),'2024数据'!$X$3:$X$152,"&lt;="&amp;DATE(2024,7,31),'2024数据'!$AE$3:$AE$152,$E1696)/10000</f>
        <v>0</v>
      </c>
      <c r="M1696" s="121">
        <f>SUMIFS('2024数据'!$BR$3:$BR$152,'2024数据'!$X$3:$X$152,"&gt;="&amp;DATE(2024,8,1),'2024数据'!$X$3:$X$152,"&lt;="&amp;DATE(2024,8,31),'2024数据'!$AE$3:$AE$152,$E1696)/10000</f>
        <v>0</v>
      </c>
      <c r="N1696" s="121">
        <f>SUMIFS('2024数据'!$BR$3:$BR$152,'2024数据'!$X$3:$X$152,"&gt;="&amp;DATE(2024,9,1),'2024数据'!$X$3:$X$152,"&lt;="&amp;DATE(2024,9,30),'2024数据'!$AE$3:$AE$152,$E1696)/10000</f>
        <v>0</v>
      </c>
      <c r="O1696" s="121">
        <f>SUMIFS('2024数据'!$BR$3:$BR$152,'2024数据'!$X$3:$X$152,"&gt;="&amp;DATE(2024,10,1),'2024数据'!$X$3:$X$152,"&lt;="&amp;DATE(2024,10,31),'2024数据'!$AE$3:$AE$152,$E1696)/10000</f>
        <v>0</v>
      </c>
      <c r="P1696" s="121">
        <f>SUMIFS('2024数据'!$BR$3:$BR$152,'2024数据'!$X$3:$X$152,"&gt;="&amp;DATE(2024,11,1),'2024数据'!$X$3:$X$152,"&lt;="&amp;DATE(2024,11,30),'2024数据'!$AE$3:$AE$152,$E1696)/10000</f>
        <v>0</v>
      </c>
      <c r="Q1696" s="121">
        <f>SUMIFS('2024数据'!$BR$3:$BR$152,'2024数据'!$X$3:$X$152,"&gt;="&amp;DATE(2024,12,1),'2024数据'!$X$3:$X$152,"&lt;="&amp;DATE(2024,12,31),'2024数据'!$AE$3:$AE$152,$E1696)/10000</f>
        <v>0</v>
      </c>
    </row>
    <row r="1697" ht="24" customHeight="1" spans="1:17">
      <c r="A1697" s="99" t="s">
        <v>349</v>
      </c>
      <c r="B1697" s="99" t="s">
        <v>299</v>
      </c>
      <c r="C1697" s="99" t="s">
        <v>333</v>
      </c>
      <c r="D1697" s="48" t="s">
        <v>31</v>
      </c>
      <c r="E1697" s="48" t="s">
        <v>97</v>
      </c>
      <c r="F1697" s="121">
        <f>SUMIFS('2024数据'!$BR$3:$BR$152,'2024数据'!$X$3:$X$152,"&gt;="&amp;DATE(2024,1,1),'2024数据'!$X$3:$X$152,"&lt;="&amp;DATE(2024,1,31),'2024数据'!$AE$3:$AE$152,$E1697)/10000</f>
        <v>0</v>
      </c>
      <c r="G1697" s="121">
        <f>SUMIFS('2024数据'!$BR$3:$BR$152,'2024数据'!$X$3:$X$152,"&gt;="&amp;DATE(2024,2,1),'2024数据'!$X$3:$X$152,"&lt;="&amp;DATE(2024,2,29),'2024数据'!$AE$3:$AE$152,$E1697)/10000</f>
        <v>0</v>
      </c>
      <c r="H1697" s="121">
        <f>SUMIFS('2024数据'!$BR$3:$BR$152,'2024数据'!$X$3:$X$152,"&gt;="&amp;DATE(2024,3,1),'2024数据'!$X$3:$X$152,"&lt;="&amp;DATE(2024,3,31),'2024数据'!$AE$3:$AE$152,$E1697)/10000</f>
        <v>0</v>
      </c>
      <c r="I1697" s="121">
        <f>SUMIFS('2024数据'!$BR$3:$BR$152,'2024数据'!$X$3:$X$152,"&gt;="&amp;DATE(2024,4,1),'2024数据'!$X$3:$X$152,"&lt;="&amp;DATE(2024,4,30),'2024数据'!$AE$3:$AE$152,$E1697)/10000</f>
        <v>0</v>
      </c>
      <c r="J1697" s="121">
        <f>SUMIFS('2024数据'!$BR$3:$BR$152,'2024数据'!$X$3:$X$152,"&gt;="&amp;DATE(2024,5,1),'2024数据'!$X$3:$X$152,"&lt;="&amp;DATE(2024,5,31),'2024数据'!$AE$3:$AE$152,$E1697)/10000</f>
        <v>0</v>
      </c>
      <c r="K1697" s="121">
        <f>SUMIFS('2024数据'!$BR$3:$BR$152,'2024数据'!$X$3:$X$152,"&gt;="&amp;DATE(2024,6,1),'2024数据'!$X$3:$X$152,"&lt;="&amp;DATE(2024,6,30),'2024数据'!$AE$3:$AE$152,$E1697)/10000</f>
        <v>0</v>
      </c>
      <c r="L1697" s="121">
        <f>SUMIFS('2024数据'!$BR$3:$BR$152,'2024数据'!$X$3:$X$152,"&gt;="&amp;DATE(2024,7,1),'2024数据'!$X$3:$X$152,"&lt;="&amp;DATE(2024,7,31),'2024数据'!$AE$3:$AE$152,$E1697)/10000</f>
        <v>0</v>
      </c>
      <c r="M1697" s="121">
        <f>SUMIFS('2024数据'!$BR$3:$BR$152,'2024数据'!$X$3:$X$152,"&gt;="&amp;DATE(2024,8,1),'2024数据'!$X$3:$X$152,"&lt;="&amp;DATE(2024,8,31),'2024数据'!$AE$3:$AE$152,$E1697)/10000</f>
        <v>0</v>
      </c>
      <c r="N1697" s="121">
        <f>SUMIFS('2024数据'!$BR$3:$BR$152,'2024数据'!$X$3:$X$152,"&gt;="&amp;DATE(2024,9,1),'2024数据'!$X$3:$X$152,"&lt;="&amp;DATE(2024,9,30),'2024数据'!$AE$3:$AE$152,$E1697)/10000</f>
        <v>0</v>
      </c>
      <c r="O1697" s="121">
        <f>SUMIFS('2024数据'!$BR$3:$BR$152,'2024数据'!$X$3:$X$152,"&gt;="&amp;DATE(2024,10,1),'2024数据'!$X$3:$X$152,"&lt;="&amp;DATE(2024,10,31),'2024数据'!$AE$3:$AE$152,$E1697)/10000</f>
        <v>0</v>
      </c>
      <c r="P1697" s="121">
        <f>SUMIFS('2024数据'!$BR$3:$BR$152,'2024数据'!$X$3:$X$152,"&gt;="&amp;DATE(2024,11,1),'2024数据'!$X$3:$X$152,"&lt;="&amp;DATE(2024,11,30),'2024数据'!$AE$3:$AE$152,$E1697)/10000</f>
        <v>0</v>
      </c>
      <c r="Q1697" s="121">
        <f>SUMIFS('2024数据'!$BR$3:$BR$152,'2024数据'!$X$3:$X$152,"&gt;="&amp;DATE(2024,12,1),'2024数据'!$X$3:$X$152,"&lt;="&amp;DATE(2024,12,31),'2024数据'!$AE$3:$AE$152,$E1697)/10000</f>
        <v>0</v>
      </c>
    </row>
    <row r="1698" ht="24" customHeight="1" spans="1:17">
      <c r="A1698" s="99" t="s">
        <v>349</v>
      </c>
      <c r="B1698" s="99" t="s">
        <v>299</v>
      </c>
      <c r="C1698" s="99" t="s">
        <v>333</v>
      </c>
      <c r="D1698" s="48" t="s">
        <v>31</v>
      </c>
      <c r="E1698" s="48" t="s">
        <v>87</v>
      </c>
      <c r="F1698" s="121">
        <f>SUMIFS('2024数据'!$BR$3:$BR$152,'2024数据'!$X$3:$X$152,"&gt;="&amp;DATE(2024,1,1),'2024数据'!$X$3:$X$152,"&lt;="&amp;DATE(2024,1,31),'2024数据'!$AE$3:$AE$152,$E1698)/10000</f>
        <v>0.9247</v>
      </c>
      <c r="G1698" s="121">
        <f>SUMIFS('2024数据'!$BR$3:$BR$152,'2024数据'!$X$3:$X$152,"&gt;="&amp;DATE(2024,2,1),'2024数据'!$X$3:$X$152,"&lt;="&amp;DATE(2024,2,29),'2024数据'!$AE$3:$AE$152,$E1698)/10000</f>
        <v>0</v>
      </c>
      <c r="H1698" s="121">
        <f>SUMIFS('2024数据'!$BR$3:$BR$152,'2024数据'!$X$3:$X$152,"&gt;="&amp;DATE(2024,3,1),'2024数据'!$X$3:$X$152,"&lt;="&amp;DATE(2024,3,31),'2024数据'!$AE$3:$AE$152,$E1698)/10000</f>
        <v>0</v>
      </c>
      <c r="I1698" s="121">
        <f>SUMIFS('2024数据'!$BR$3:$BR$152,'2024数据'!$X$3:$X$152,"&gt;="&amp;DATE(2024,4,1),'2024数据'!$X$3:$X$152,"&lt;="&amp;DATE(2024,4,30),'2024数据'!$AE$3:$AE$152,$E1698)/10000</f>
        <v>0</v>
      </c>
      <c r="J1698" s="121">
        <f>SUMIFS('2024数据'!$BR$3:$BR$152,'2024数据'!$X$3:$X$152,"&gt;="&amp;DATE(2024,5,1),'2024数据'!$X$3:$X$152,"&lt;="&amp;DATE(2024,5,31),'2024数据'!$AE$3:$AE$152,$E1698)/10000</f>
        <v>1.909</v>
      </c>
      <c r="K1698" s="121">
        <f>SUMIFS('2024数据'!$BR$3:$BR$152,'2024数据'!$X$3:$X$152,"&gt;="&amp;DATE(2024,6,1),'2024数据'!$X$3:$X$152,"&lt;="&amp;DATE(2024,6,30),'2024数据'!$AE$3:$AE$152,$E1698)/10000</f>
        <v>0</v>
      </c>
      <c r="L1698" s="121">
        <f>SUMIFS('2024数据'!$BR$3:$BR$152,'2024数据'!$X$3:$X$152,"&gt;="&amp;DATE(2024,7,1),'2024数据'!$X$3:$X$152,"&lt;="&amp;DATE(2024,7,31),'2024数据'!$AE$3:$AE$152,$E1698)/10000</f>
        <v>3.1134</v>
      </c>
      <c r="M1698" s="121">
        <f>SUMIFS('2024数据'!$BR$3:$BR$152,'2024数据'!$X$3:$X$152,"&gt;="&amp;DATE(2024,8,1),'2024数据'!$X$3:$X$152,"&lt;="&amp;DATE(2024,8,31),'2024数据'!$AE$3:$AE$152,$E1698)/10000</f>
        <v>0</v>
      </c>
      <c r="N1698" s="121">
        <f>SUMIFS('2024数据'!$BR$3:$BR$152,'2024数据'!$X$3:$X$152,"&gt;="&amp;DATE(2024,9,1),'2024数据'!$X$3:$X$152,"&lt;="&amp;DATE(2024,9,30),'2024数据'!$AE$3:$AE$152,$E1698)/10000</f>
        <v>0</v>
      </c>
      <c r="O1698" s="121">
        <f>SUMIFS('2024数据'!$BR$3:$BR$152,'2024数据'!$X$3:$X$152,"&gt;="&amp;DATE(2024,10,1),'2024数据'!$X$3:$X$152,"&lt;="&amp;DATE(2024,10,31),'2024数据'!$AE$3:$AE$152,$E1698)/10000</f>
        <v>0</v>
      </c>
      <c r="P1698" s="121">
        <f>SUMIFS('2024数据'!$BR$3:$BR$152,'2024数据'!$X$3:$X$152,"&gt;="&amp;DATE(2024,11,1),'2024数据'!$X$3:$X$152,"&lt;="&amp;DATE(2024,11,30),'2024数据'!$AE$3:$AE$152,$E1698)/10000</f>
        <v>0</v>
      </c>
      <c r="Q1698" s="121">
        <f>SUMIFS('2024数据'!$BR$3:$BR$152,'2024数据'!$X$3:$X$152,"&gt;="&amp;DATE(2024,12,1),'2024数据'!$X$3:$X$152,"&lt;="&amp;DATE(2024,12,31),'2024数据'!$AE$3:$AE$152,$E1698)/10000</f>
        <v>1.7388</v>
      </c>
    </row>
    <row r="1699" ht="24" customHeight="1" spans="1:17">
      <c r="A1699" s="99" t="s">
        <v>349</v>
      </c>
      <c r="B1699" s="99" t="s">
        <v>299</v>
      </c>
      <c r="C1699" s="99" t="s">
        <v>333</v>
      </c>
      <c r="D1699" s="48" t="s">
        <v>31</v>
      </c>
      <c r="E1699" s="48" t="s">
        <v>83</v>
      </c>
      <c r="F1699" s="121">
        <f>SUMIFS('2024数据'!$BR$3:$BR$152,'2024数据'!$X$3:$X$152,"&gt;="&amp;DATE(2024,1,1),'2024数据'!$X$3:$X$152,"&lt;="&amp;DATE(2024,1,31),'2024数据'!$AE$3:$AE$152,$E1699)/10000</f>
        <v>0</v>
      </c>
      <c r="G1699" s="121">
        <f>SUMIFS('2024数据'!$BR$3:$BR$152,'2024数据'!$X$3:$X$152,"&gt;="&amp;DATE(2024,2,1),'2024数据'!$X$3:$X$152,"&lt;="&amp;DATE(2024,2,29),'2024数据'!$AE$3:$AE$152,$E1699)/10000</f>
        <v>0</v>
      </c>
      <c r="H1699" s="121">
        <f>SUMIFS('2024数据'!$BR$3:$BR$152,'2024数据'!$X$3:$X$152,"&gt;="&amp;DATE(2024,3,1),'2024数据'!$X$3:$X$152,"&lt;="&amp;DATE(2024,3,31),'2024数据'!$AE$3:$AE$152,$E1699)/10000</f>
        <v>0</v>
      </c>
      <c r="I1699" s="121">
        <f>SUMIFS('2024数据'!$BR$3:$BR$152,'2024数据'!$X$3:$X$152,"&gt;="&amp;DATE(2024,4,1),'2024数据'!$X$3:$X$152,"&lt;="&amp;DATE(2024,4,30),'2024数据'!$AE$3:$AE$152,$E1699)/10000</f>
        <v>0</v>
      </c>
      <c r="J1699" s="121">
        <f>SUMIFS('2024数据'!$BR$3:$BR$152,'2024数据'!$X$3:$X$152,"&gt;="&amp;DATE(2024,5,1),'2024数据'!$X$3:$X$152,"&lt;="&amp;DATE(2024,5,31),'2024数据'!$AE$3:$AE$152,$E1699)/10000</f>
        <v>0</v>
      </c>
      <c r="K1699" s="121">
        <f>SUMIFS('2024数据'!$BR$3:$BR$152,'2024数据'!$X$3:$X$152,"&gt;="&amp;DATE(2024,6,1),'2024数据'!$X$3:$X$152,"&lt;="&amp;DATE(2024,6,30),'2024数据'!$AE$3:$AE$152,$E1699)/10000</f>
        <v>0</v>
      </c>
      <c r="L1699" s="121">
        <f>SUMIFS('2024数据'!$BR$3:$BR$152,'2024数据'!$X$3:$X$152,"&gt;="&amp;DATE(2024,7,1),'2024数据'!$X$3:$X$152,"&lt;="&amp;DATE(2024,7,31),'2024数据'!$AE$3:$AE$152,$E1699)/10000</f>
        <v>0</v>
      </c>
      <c r="M1699" s="121">
        <f>SUMIFS('2024数据'!$BR$3:$BR$152,'2024数据'!$X$3:$X$152,"&gt;="&amp;DATE(2024,8,1),'2024数据'!$X$3:$X$152,"&lt;="&amp;DATE(2024,8,31),'2024数据'!$AE$3:$AE$152,$E1699)/10000</f>
        <v>0</v>
      </c>
      <c r="N1699" s="121">
        <f>SUMIFS('2024数据'!$BR$3:$BR$152,'2024数据'!$X$3:$X$152,"&gt;="&amp;DATE(2024,9,1),'2024数据'!$X$3:$X$152,"&lt;="&amp;DATE(2024,9,30),'2024数据'!$AE$3:$AE$152,$E1699)/10000</f>
        <v>0</v>
      </c>
      <c r="O1699" s="121">
        <f>SUMIFS('2024数据'!$BR$3:$BR$152,'2024数据'!$X$3:$X$152,"&gt;="&amp;DATE(2024,10,1),'2024数据'!$X$3:$X$152,"&lt;="&amp;DATE(2024,10,31),'2024数据'!$AE$3:$AE$152,$E1699)/10000</f>
        <v>0</v>
      </c>
      <c r="P1699" s="121">
        <f>SUMIFS('2024数据'!$BR$3:$BR$152,'2024数据'!$X$3:$X$152,"&gt;="&amp;DATE(2024,11,1),'2024数据'!$X$3:$X$152,"&lt;="&amp;DATE(2024,11,30),'2024数据'!$AE$3:$AE$152,$E1699)/10000</f>
        <v>0</v>
      </c>
      <c r="Q1699" s="121">
        <f>SUMIFS('2024数据'!$BR$3:$BR$152,'2024数据'!$X$3:$X$152,"&gt;="&amp;DATE(2024,12,1),'2024数据'!$X$3:$X$152,"&lt;="&amp;DATE(2024,12,31),'2024数据'!$AE$3:$AE$152,$E1699)/10000</f>
        <v>0</v>
      </c>
    </row>
    <row r="1700" ht="24" customHeight="1" spans="1:17">
      <c r="A1700" s="99" t="s">
        <v>349</v>
      </c>
      <c r="B1700" s="99" t="s">
        <v>299</v>
      </c>
      <c r="C1700" s="99" t="s">
        <v>333</v>
      </c>
      <c r="D1700" s="47" t="s">
        <v>294</v>
      </c>
      <c r="E1700" s="47" t="s">
        <v>93</v>
      </c>
      <c r="F1700" s="121">
        <f>SUMIFS('2024数据'!$BR$3:$BR$152,'2024数据'!$X$3:$X$152,"&gt;="&amp;DATE(2024,1,1),'2024数据'!$X$3:$X$152,"&lt;="&amp;DATE(2024,1,31),'2024数据'!$B$3:$B$152,$E1700)/10000</f>
        <v>0.9247</v>
      </c>
      <c r="G1700" s="121">
        <f>SUMIFS('2024数据'!$BR$3:$BR$152,'2024数据'!$X$3:$X$152,"&gt;="&amp;DATE(2024,2,1),'2024数据'!$X$3:$X$152,"&lt;="&amp;DATE(2024,2,29),'2024数据'!$B$3:$B$152,$E1700)/10000</f>
        <v>0</v>
      </c>
      <c r="H1700" s="121">
        <f>SUMIFS('2024数据'!$BR$3:$BR$152,'2024数据'!$X$3:$X$152,"&gt;="&amp;DATE(2024,3,1),'2024数据'!$X$3:$X$152,"&lt;="&amp;DATE(2024,3,31),'2024数据'!$B$3:$B$152,$E1700)/10000</f>
        <v>0</v>
      </c>
      <c r="I1700" s="121">
        <f>SUMIFS('2024数据'!$BR$3:$BR$152,'2024数据'!$X$3:$X$152,"&gt;="&amp;DATE(2024,4,1),'2024数据'!$X$3:$X$152,"&lt;="&amp;DATE(2024,4,30),'2024数据'!$B$3:$B$152,$E1700)/10000</f>
        <v>0</v>
      </c>
      <c r="J1700" s="121">
        <f>SUMIFS('2024数据'!$BR$3:$BR$152,'2024数据'!$X$3:$X$152,"&gt;="&amp;DATE(2024,5,1),'2024数据'!$X$3:$X$152,"&lt;="&amp;DATE(2024,5,31),'2024数据'!$B$3:$B$152,$E1700)/10000</f>
        <v>1.909</v>
      </c>
      <c r="K1700" s="121">
        <f>SUMIFS('2024数据'!$BR$3:$BR$152,'2024数据'!$X$3:$X$152,"&gt;="&amp;DATE(2024,6,1),'2024数据'!$X$3:$X$152,"&lt;="&amp;DATE(2024,6,30),'2024数据'!$B$3:$B$152,$E1700)/10000</f>
        <v>0</v>
      </c>
      <c r="L1700" s="121">
        <f>SUMIFS('2024数据'!$BR$3:$BR$152,'2024数据'!$X$3:$X$152,"&gt;="&amp;DATE(2024,7,1),'2024数据'!$X$3:$X$152,"&lt;="&amp;DATE(2024,7,31),'2024数据'!$B$3:$B$152,$E1700)/10000</f>
        <v>0</v>
      </c>
      <c r="M1700" s="121">
        <f>SUMIFS('2024数据'!$BR$3:$BR$152,'2024数据'!$X$3:$X$152,"&gt;="&amp;DATE(2024,8,1),'2024数据'!$X$3:$X$152,"&lt;="&amp;DATE(2024,8,31),'2024数据'!$B$3:$B$152,$E1700)/10000</f>
        <v>0</v>
      </c>
      <c r="N1700" s="121">
        <f>SUMIFS('2024数据'!$BR$3:$BR$152,'2024数据'!$X$3:$X$152,"&gt;="&amp;DATE(2024,9,1),'2024数据'!$X$3:$X$152,"&lt;="&amp;DATE(2024,9,30),'2024数据'!$B$3:$B$152,$E1700)/10000</f>
        <v>0</v>
      </c>
      <c r="O1700" s="121">
        <f>SUMIFS('2024数据'!$BR$3:$BR$152,'2024数据'!$X$3:$X$152,"&gt;="&amp;DATE(2024,10,1),'2024数据'!$X$3:$X$152,"&lt;="&amp;DATE(2024,10,31),'2024数据'!$B$3:$B$152,$E1700)/10000</f>
        <v>0</v>
      </c>
      <c r="P1700" s="121">
        <f>SUMIFS('2024数据'!$BR$3:$BR$152,'2024数据'!$X$3:$X$152,"&gt;="&amp;DATE(2024,11,1),'2024数据'!$X$3:$X$152,"&lt;="&amp;DATE(2024,11,30),'2024数据'!$B$3:$B$152,$E1700)/10000</f>
        <v>0</v>
      </c>
      <c r="Q1700" s="121">
        <f>SUMIFS('2024数据'!$BR$3:$BR$152,'2024数据'!$X$3:$X$152,"&gt;="&amp;DATE(2024,12,1),'2024数据'!$X$3:$X$152,"&lt;="&amp;DATE(2024,12,31),'2024数据'!$B$3:$B$152,$E1700)/10000</f>
        <v>0</v>
      </c>
    </row>
    <row r="1701" ht="24" customHeight="1" spans="1:17">
      <c r="A1701" s="99" t="s">
        <v>349</v>
      </c>
      <c r="B1701" s="99" t="s">
        <v>299</v>
      </c>
      <c r="C1701" s="99" t="s">
        <v>333</v>
      </c>
      <c r="D1701" s="47" t="s">
        <v>294</v>
      </c>
      <c r="E1701" s="47" t="s">
        <v>85</v>
      </c>
      <c r="F1701" s="121">
        <f>SUMIFS('2024数据'!$BR$3:$BR$152,'2024数据'!$X$3:$X$152,"&gt;="&amp;DATE(2024,1,1),'2024数据'!$X$3:$X$152,"&lt;="&amp;DATE(2024,1,31),'2024数据'!$B$3:$B$152,$E1701)/10000</f>
        <v>0</v>
      </c>
      <c r="G1701" s="121">
        <f>SUMIFS('2024数据'!$BR$3:$BR$152,'2024数据'!$X$3:$X$152,"&gt;="&amp;DATE(2024,2,1),'2024数据'!$X$3:$X$152,"&lt;="&amp;DATE(2024,2,29),'2024数据'!$B$3:$B$152,$E1701)/10000</f>
        <v>0</v>
      </c>
      <c r="H1701" s="121">
        <f>SUMIFS('2024数据'!$BR$3:$BR$152,'2024数据'!$X$3:$X$152,"&gt;="&amp;DATE(2024,3,1),'2024数据'!$X$3:$X$152,"&lt;="&amp;DATE(2024,3,31),'2024数据'!$B$3:$B$152,$E1701)/10000</f>
        <v>0</v>
      </c>
      <c r="I1701" s="121">
        <f>SUMIFS('2024数据'!$BR$3:$BR$152,'2024数据'!$X$3:$X$152,"&gt;="&amp;DATE(2024,4,1),'2024数据'!$X$3:$X$152,"&lt;="&amp;DATE(2024,4,30),'2024数据'!$B$3:$B$152,$E1701)/10000</f>
        <v>0</v>
      </c>
      <c r="J1701" s="121">
        <f>SUMIFS('2024数据'!$BR$3:$BR$152,'2024数据'!$X$3:$X$152,"&gt;="&amp;DATE(2024,5,1),'2024数据'!$X$3:$X$152,"&lt;="&amp;DATE(2024,5,31),'2024数据'!$B$3:$B$152,$E1701)/10000</f>
        <v>0</v>
      </c>
      <c r="K1701" s="121">
        <f>SUMIFS('2024数据'!$BR$3:$BR$152,'2024数据'!$X$3:$X$152,"&gt;="&amp;DATE(2024,6,1),'2024数据'!$X$3:$X$152,"&lt;="&amp;DATE(2024,6,30),'2024数据'!$B$3:$B$152,$E1701)/10000</f>
        <v>0</v>
      </c>
      <c r="L1701" s="121">
        <f>SUMIFS('2024数据'!$BR$3:$BR$152,'2024数据'!$X$3:$X$152,"&gt;="&amp;DATE(2024,7,1),'2024数据'!$X$3:$X$152,"&lt;="&amp;DATE(2024,7,31),'2024数据'!$B$3:$B$152,$E1701)/10000</f>
        <v>0</v>
      </c>
      <c r="M1701" s="121">
        <f>SUMIFS('2024数据'!$BR$3:$BR$152,'2024数据'!$X$3:$X$152,"&gt;="&amp;DATE(2024,8,1),'2024数据'!$X$3:$X$152,"&lt;="&amp;DATE(2024,8,31),'2024数据'!$B$3:$B$152,$E1701)/10000</f>
        <v>0</v>
      </c>
      <c r="N1701" s="121">
        <f>SUMIFS('2024数据'!$BR$3:$BR$152,'2024数据'!$X$3:$X$152,"&gt;="&amp;DATE(2024,9,1),'2024数据'!$X$3:$X$152,"&lt;="&amp;DATE(2024,9,30),'2024数据'!$B$3:$B$152,$E1701)/10000</f>
        <v>0</v>
      </c>
      <c r="O1701" s="121">
        <f>SUMIFS('2024数据'!$BR$3:$BR$152,'2024数据'!$X$3:$X$152,"&gt;="&amp;DATE(2024,10,1),'2024数据'!$X$3:$X$152,"&lt;="&amp;DATE(2024,10,31),'2024数据'!$B$3:$B$152,$E1701)/10000</f>
        <v>0</v>
      </c>
      <c r="P1701" s="121">
        <f>SUMIFS('2024数据'!$BR$3:$BR$152,'2024数据'!$X$3:$X$152,"&gt;="&amp;DATE(2024,11,1),'2024数据'!$X$3:$X$152,"&lt;="&amp;DATE(2024,11,30),'2024数据'!$B$3:$B$152,$E1701)/10000</f>
        <v>0</v>
      </c>
      <c r="Q1701" s="121">
        <f>SUMIFS('2024数据'!$BR$3:$BR$152,'2024数据'!$X$3:$X$152,"&gt;="&amp;DATE(2024,12,1),'2024数据'!$X$3:$X$152,"&lt;="&amp;DATE(2024,12,31),'2024数据'!$B$3:$B$152,$E1701)/10000</f>
        <v>0</v>
      </c>
    </row>
    <row r="1702" ht="24" customHeight="1" spans="1:17">
      <c r="A1702" s="99" t="s">
        <v>349</v>
      </c>
      <c r="B1702" s="99" t="s">
        <v>299</v>
      </c>
      <c r="C1702" s="99" t="s">
        <v>333</v>
      </c>
      <c r="D1702" s="47" t="s">
        <v>294</v>
      </c>
      <c r="E1702" s="47" t="s">
        <v>81</v>
      </c>
      <c r="F1702" s="121">
        <f>SUMIFS('2024数据'!$BR$3:$BR$152,'2024数据'!$X$3:$X$152,"&gt;="&amp;DATE(2024,1,1),'2024数据'!$X$3:$X$152,"&lt;="&amp;DATE(2024,1,31),'2024数据'!$B$3:$B$152,$E1702)/10000</f>
        <v>0</v>
      </c>
      <c r="G1702" s="121">
        <f>SUMIFS('2024数据'!$BR$3:$BR$152,'2024数据'!$X$3:$X$152,"&gt;="&amp;DATE(2024,2,1),'2024数据'!$X$3:$X$152,"&lt;="&amp;DATE(2024,2,29),'2024数据'!$B$3:$B$152,$E1702)/10000</f>
        <v>0</v>
      </c>
      <c r="H1702" s="121">
        <f>SUMIFS('2024数据'!$BR$3:$BR$152,'2024数据'!$X$3:$X$152,"&gt;="&amp;DATE(2024,3,1),'2024数据'!$X$3:$X$152,"&lt;="&amp;DATE(2024,3,31),'2024数据'!$B$3:$B$152,$E1702)/10000</f>
        <v>0</v>
      </c>
      <c r="I1702" s="121">
        <f>SUMIFS('2024数据'!$BR$3:$BR$152,'2024数据'!$X$3:$X$152,"&gt;="&amp;DATE(2024,4,1),'2024数据'!$X$3:$X$152,"&lt;="&amp;DATE(2024,4,30),'2024数据'!$B$3:$B$152,$E1702)/10000</f>
        <v>0</v>
      </c>
      <c r="J1702" s="121">
        <f>SUMIFS('2024数据'!$BR$3:$BR$152,'2024数据'!$X$3:$X$152,"&gt;="&amp;DATE(2024,5,1),'2024数据'!$X$3:$X$152,"&lt;="&amp;DATE(2024,5,31),'2024数据'!$B$3:$B$152,$E1702)/10000</f>
        <v>0</v>
      </c>
      <c r="K1702" s="121">
        <f>SUMIFS('2024数据'!$BR$3:$BR$152,'2024数据'!$X$3:$X$152,"&gt;="&amp;DATE(2024,6,1),'2024数据'!$X$3:$X$152,"&lt;="&amp;DATE(2024,6,30),'2024数据'!$B$3:$B$152,$E1702)/10000</f>
        <v>0</v>
      </c>
      <c r="L1702" s="121">
        <f>SUMIFS('2024数据'!$BR$3:$BR$152,'2024数据'!$X$3:$X$152,"&gt;="&amp;DATE(2024,7,1),'2024数据'!$X$3:$X$152,"&lt;="&amp;DATE(2024,7,31),'2024数据'!$B$3:$B$152,$E1702)/10000</f>
        <v>3.1134</v>
      </c>
      <c r="M1702" s="121">
        <f>SUMIFS('2024数据'!$BR$3:$BR$152,'2024数据'!$X$3:$X$152,"&gt;="&amp;DATE(2024,8,1),'2024数据'!$X$3:$X$152,"&lt;="&amp;DATE(2024,8,31),'2024数据'!$B$3:$B$152,$E1702)/10000</f>
        <v>0</v>
      </c>
      <c r="N1702" s="121">
        <f>SUMIFS('2024数据'!$BR$3:$BR$152,'2024数据'!$X$3:$X$152,"&gt;="&amp;DATE(2024,9,1),'2024数据'!$X$3:$X$152,"&lt;="&amp;DATE(2024,9,30),'2024数据'!$B$3:$B$152,$E1702)/10000</f>
        <v>0</v>
      </c>
      <c r="O1702" s="121">
        <f>SUMIFS('2024数据'!$BR$3:$BR$152,'2024数据'!$X$3:$X$152,"&gt;="&amp;DATE(2024,10,1),'2024数据'!$X$3:$X$152,"&lt;="&amp;DATE(2024,10,31),'2024数据'!$B$3:$B$152,$E1702)/10000</f>
        <v>0</v>
      </c>
      <c r="P1702" s="121">
        <f>SUMIFS('2024数据'!$BR$3:$BR$152,'2024数据'!$X$3:$X$152,"&gt;="&amp;DATE(2024,11,1),'2024数据'!$X$3:$X$152,"&lt;="&amp;DATE(2024,11,30),'2024数据'!$B$3:$B$152,$E1702)/10000</f>
        <v>0</v>
      </c>
      <c r="Q1702" s="121">
        <f>SUMIFS('2024数据'!$BR$3:$BR$152,'2024数据'!$X$3:$X$152,"&gt;="&amp;DATE(2024,12,1),'2024数据'!$X$3:$X$152,"&lt;="&amp;DATE(2024,12,31),'2024数据'!$B$3:$B$152,$E1702)/10000</f>
        <v>1.7388</v>
      </c>
    </row>
    <row r="1703" ht="24" customHeight="1" spans="1:17">
      <c r="A1703" s="99" t="s">
        <v>349</v>
      </c>
      <c r="B1703" s="99" t="s">
        <v>299</v>
      </c>
      <c r="C1703" s="99" t="s">
        <v>333</v>
      </c>
      <c r="D1703" s="47" t="s">
        <v>294</v>
      </c>
      <c r="E1703" s="47" t="s">
        <v>96</v>
      </c>
      <c r="F1703" s="121">
        <f>SUMIFS('2024数据'!$BR$3:$BR$152,'2024数据'!$X$3:$X$152,"&gt;="&amp;DATE(2024,1,1),'2024数据'!$X$3:$X$152,"&lt;="&amp;DATE(2024,1,31),'2024数据'!$B$3:$B$152,$E1703)/10000</f>
        <v>0</v>
      </c>
      <c r="G1703" s="121">
        <f>SUMIFS('2024数据'!$BR$3:$BR$152,'2024数据'!$X$3:$X$152,"&gt;="&amp;DATE(2024,2,1),'2024数据'!$X$3:$X$152,"&lt;="&amp;DATE(2024,2,29),'2024数据'!$B$3:$B$152,$E1703)/10000</f>
        <v>0</v>
      </c>
      <c r="H1703" s="121">
        <f>SUMIFS('2024数据'!$BR$3:$BR$152,'2024数据'!$X$3:$X$152,"&gt;="&amp;DATE(2024,3,1),'2024数据'!$X$3:$X$152,"&lt;="&amp;DATE(2024,3,31),'2024数据'!$B$3:$B$152,$E1703)/10000</f>
        <v>0</v>
      </c>
      <c r="I1703" s="121">
        <f>SUMIFS('2024数据'!$BR$3:$BR$152,'2024数据'!$X$3:$X$152,"&gt;="&amp;DATE(2024,4,1),'2024数据'!$X$3:$X$152,"&lt;="&amp;DATE(2024,4,30),'2024数据'!$B$3:$B$152,$E1703)/10000</f>
        <v>0</v>
      </c>
      <c r="J1703" s="121">
        <f>SUMIFS('2024数据'!$BR$3:$BR$152,'2024数据'!$X$3:$X$152,"&gt;="&amp;DATE(2024,5,1),'2024数据'!$X$3:$X$152,"&lt;="&amp;DATE(2024,5,31),'2024数据'!$B$3:$B$152,$E1703)/10000</f>
        <v>0</v>
      </c>
      <c r="K1703" s="121">
        <f>SUMIFS('2024数据'!$BR$3:$BR$152,'2024数据'!$X$3:$X$152,"&gt;="&amp;DATE(2024,6,1),'2024数据'!$X$3:$X$152,"&lt;="&amp;DATE(2024,6,30),'2024数据'!$B$3:$B$152,$E1703)/10000</f>
        <v>0</v>
      </c>
      <c r="L1703" s="121">
        <f>SUMIFS('2024数据'!$BR$3:$BR$152,'2024数据'!$X$3:$X$152,"&gt;="&amp;DATE(2024,7,1),'2024数据'!$X$3:$X$152,"&lt;="&amp;DATE(2024,7,31),'2024数据'!$B$3:$B$152,$E1703)/10000</f>
        <v>0</v>
      </c>
      <c r="M1703" s="121">
        <f>SUMIFS('2024数据'!$BR$3:$BR$152,'2024数据'!$X$3:$X$152,"&gt;="&amp;DATE(2024,8,1),'2024数据'!$X$3:$X$152,"&lt;="&amp;DATE(2024,8,31),'2024数据'!$B$3:$B$152,$E1703)/10000</f>
        <v>0</v>
      </c>
      <c r="N1703" s="121">
        <f>SUMIFS('2024数据'!$BR$3:$BR$152,'2024数据'!$X$3:$X$152,"&gt;="&amp;DATE(2024,9,1),'2024数据'!$X$3:$X$152,"&lt;="&amp;DATE(2024,9,30),'2024数据'!$B$3:$B$152,$E1703)/10000</f>
        <v>0</v>
      </c>
      <c r="O1703" s="121">
        <f>SUMIFS('2024数据'!$BR$3:$BR$152,'2024数据'!$X$3:$X$152,"&gt;="&amp;DATE(2024,10,1),'2024数据'!$X$3:$X$152,"&lt;="&amp;DATE(2024,10,31),'2024数据'!$B$3:$B$152,$E1703)/10000</f>
        <v>0</v>
      </c>
      <c r="P1703" s="121">
        <f>SUMIFS('2024数据'!$BR$3:$BR$152,'2024数据'!$X$3:$X$152,"&gt;="&amp;DATE(2024,11,1),'2024数据'!$X$3:$X$152,"&lt;="&amp;DATE(2024,11,30),'2024数据'!$B$3:$B$152,$E1703)/10000</f>
        <v>0</v>
      </c>
      <c r="Q1703" s="121">
        <f>SUMIFS('2024数据'!$BR$3:$BR$152,'2024数据'!$X$3:$X$152,"&gt;="&amp;DATE(2024,12,1),'2024数据'!$X$3:$X$152,"&lt;="&amp;DATE(2024,12,31),'2024数据'!$B$3:$B$152,$E1703)/10000</f>
        <v>0</v>
      </c>
    </row>
    <row r="1704" ht="24" customHeight="1" spans="1:17">
      <c r="A1704" s="99" t="s">
        <v>349</v>
      </c>
      <c r="B1704" s="99" t="s">
        <v>299</v>
      </c>
      <c r="C1704" s="99" t="s">
        <v>333</v>
      </c>
      <c r="D1704" s="47" t="s">
        <v>294</v>
      </c>
      <c r="E1704" s="47" t="s">
        <v>160</v>
      </c>
      <c r="F1704" s="121">
        <f t="shared" ref="F1704:Q1704" si="1254">SUM(F1694:F1699)-SUM(F1700:F1703)</f>
        <v>0</v>
      </c>
      <c r="G1704" s="121">
        <f t="shared" si="1254"/>
        <v>0</v>
      </c>
      <c r="H1704" s="121">
        <f t="shared" si="1254"/>
        <v>0</v>
      </c>
      <c r="I1704" s="121">
        <f t="shared" si="1254"/>
        <v>0</v>
      </c>
      <c r="J1704" s="121">
        <f t="shared" si="1254"/>
        <v>0</v>
      </c>
      <c r="K1704" s="121">
        <f t="shared" si="1254"/>
        <v>0</v>
      </c>
      <c r="L1704" s="121">
        <f t="shared" si="1254"/>
        <v>0</v>
      </c>
      <c r="M1704" s="121">
        <f t="shared" si="1254"/>
        <v>0</v>
      </c>
      <c r="N1704" s="121">
        <f t="shared" si="1254"/>
        <v>0</v>
      </c>
      <c r="O1704" s="121">
        <f t="shared" si="1254"/>
        <v>0</v>
      </c>
      <c r="P1704" s="121">
        <f t="shared" si="1254"/>
        <v>0</v>
      </c>
      <c r="Q1704" s="121">
        <f t="shared" si="1254"/>
        <v>0</v>
      </c>
    </row>
    <row r="1705" ht="24" customHeight="1" spans="1:17">
      <c r="A1705" s="99" t="s">
        <v>349</v>
      </c>
      <c r="B1705" s="99" t="s">
        <v>299</v>
      </c>
      <c r="C1705" s="99" t="s">
        <v>336</v>
      </c>
      <c r="D1705" s="114" t="s">
        <v>292</v>
      </c>
      <c r="E1705" s="114" t="s">
        <v>300</v>
      </c>
      <c r="F1705" s="120">
        <f t="shared" ref="F1705:Q1705" si="1255">SUM(F1706:F1711)</f>
        <v>0.9405</v>
      </c>
      <c r="G1705" s="120">
        <f t="shared" si="1255"/>
        <v>0</v>
      </c>
      <c r="H1705" s="120">
        <f t="shared" si="1255"/>
        <v>0</v>
      </c>
      <c r="I1705" s="120">
        <f t="shared" si="1255"/>
        <v>0</v>
      </c>
      <c r="J1705" s="120">
        <f t="shared" si="1255"/>
        <v>1.9446</v>
      </c>
      <c r="K1705" s="120">
        <f t="shared" si="1255"/>
        <v>0</v>
      </c>
      <c r="L1705" s="120">
        <f t="shared" si="1255"/>
        <v>3.167</v>
      </c>
      <c r="M1705" s="120">
        <f t="shared" si="1255"/>
        <v>0</v>
      </c>
      <c r="N1705" s="120">
        <f t="shared" si="1255"/>
        <v>0</v>
      </c>
      <c r="O1705" s="120">
        <f t="shared" si="1255"/>
        <v>0</v>
      </c>
      <c r="P1705" s="120">
        <f t="shared" si="1255"/>
        <v>0</v>
      </c>
      <c r="Q1705" s="120">
        <f t="shared" si="1255"/>
        <v>1.7692</v>
      </c>
    </row>
    <row r="1706" ht="24" customHeight="1" spans="1:17">
      <c r="A1706" s="99" t="s">
        <v>349</v>
      </c>
      <c r="B1706" s="99" t="s">
        <v>299</v>
      </c>
      <c r="C1706" s="99" t="s">
        <v>336</v>
      </c>
      <c r="D1706" s="48" t="s">
        <v>31</v>
      </c>
      <c r="E1706" s="48" t="s">
        <v>406</v>
      </c>
      <c r="F1706" s="121">
        <f>SUMIFS('2024数据'!$BP$3:$BP$152,'2024数据'!$X$3:$X$152,"&gt;="&amp;DATE(2024,1,1),'2024数据'!$X$3:$X$152,"&lt;="&amp;DATE(2024,1,31),'2024数据'!$AE$3:$AE$152,$E1706)/10000</f>
        <v>0</v>
      </c>
      <c r="G1706" s="121">
        <f>SUMIFS('2024数据'!$BP$3:$BP$152,'2024数据'!$X$3:$X$152,"&gt;="&amp;DATE(2024,2,1),'2024数据'!$X$3:$X$152,"&lt;="&amp;DATE(2024,2,29),'2024数据'!$AE$3:$AE$152,$E1706)/10000</f>
        <v>0</v>
      </c>
      <c r="H1706" s="121">
        <f>SUMIFS('2024数据'!$BP$3:$BP$152,'2024数据'!$X$3:$X$152,"&gt;="&amp;DATE(2024,3,1),'2024数据'!$X$3:$X$152,"&lt;="&amp;DATE(2024,3,31),'2024数据'!$AE$3:$AE$152,$E1706)/10000</f>
        <v>0</v>
      </c>
      <c r="I1706" s="121">
        <f>SUMIFS('2024数据'!$BP$3:$BP$152,'2024数据'!$X$3:$X$152,"&gt;="&amp;DATE(2024,4,1),'2024数据'!$X$3:$X$152,"&lt;="&amp;DATE(2024,4,30),'2024数据'!$AE$3:$AE$152,$E1706)/10000</f>
        <v>0</v>
      </c>
      <c r="J1706" s="121">
        <f>SUMIFS('2024数据'!$BP$3:$BP$152,'2024数据'!$X$3:$X$152,"&gt;="&amp;DATE(2024,5,1),'2024数据'!$X$3:$X$152,"&lt;="&amp;DATE(2024,5,31),'2024数据'!$AE$3:$AE$152,$E1706)/10000</f>
        <v>0</v>
      </c>
      <c r="K1706" s="121">
        <f>SUMIFS('2024数据'!$BP$3:$BP$152,'2024数据'!$X$3:$X$152,"&gt;="&amp;DATE(2024,6,1),'2024数据'!$X$3:$X$152,"&lt;="&amp;DATE(2024,6,30),'2024数据'!$AE$3:$AE$152,$E1706)/10000</f>
        <v>0</v>
      </c>
      <c r="L1706" s="121">
        <f>SUMIFS('2024数据'!$BP$3:$BP$152,'2024数据'!$X$3:$X$152,"&gt;="&amp;DATE(2024,7,1),'2024数据'!$X$3:$X$152,"&lt;="&amp;DATE(2024,7,31),'2024数据'!$AE$3:$AE$152,$E1706)/10000</f>
        <v>0</v>
      </c>
      <c r="M1706" s="121">
        <f>SUMIFS('2024数据'!$BP$3:$BP$152,'2024数据'!$X$3:$X$152,"&gt;="&amp;DATE(2024,8,1),'2024数据'!$X$3:$X$152,"&lt;="&amp;DATE(2024,8,31),'2024数据'!$AE$3:$AE$152,$E1706)/10000</f>
        <v>0</v>
      </c>
      <c r="N1706" s="121">
        <f>SUMIFS('2024数据'!$BP$3:$BP$152,'2024数据'!$X$3:$X$152,"&gt;="&amp;DATE(2024,9,1),'2024数据'!$X$3:$X$152,"&lt;="&amp;DATE(2024,9,30),'2024数据'!$AE$3:$AE$152,$E1706)/10000</f>
        <v>0</v>
      </c>
      <c r="O1706" s="121">
        <f>SUMIFS('2024数据'!$BP$3:$BP$152,'2024数据'!$X$3:$X$152,"&gt;="&amp;DATE(2024,10,1),'2024数据'!$X$3:$X$152,"&lt;="&amp;DATE(2024,10,31),'2024数据'!$AE$3:$AE$152,$E1706)/10000</f>
        <v>0</v>
      </c>
      <c r="P1706" s="121">
        <f>SUMIFS('2024数据'!$BP$3:$BP$152,'2024数据'!$X$3:$X$152,"&gt;="&amp;DATE(2024,11,1),'2024数据'!$X$3:$X$152,"&lt;="&amp;DATE(2024,11,30),'2024数据'!$AE$3:$AE$152,$E1706)/10000</f>
        <v>0</v>
      </c>
      <c r="Q1706" s="121">
        <f>SUMIFS('2024数据'!$BP$3:$BP$152,'2024数据'!$X$3:$X$152,"&gt;="&amp;DATE(2024,12,1),'2024数据'!$X$3:$X$152,"&lt;="&amp;DATE(2024,12,31),'2024数据'!$AE$3:$AE$152,$E1706)/10000</f>
        <v>0</v>
      </c>
    </row>
    <row r="1707" ht="24" customHeight="1" spans="1:17">
      <c r="A1707" s="99" t="s">
        <v>349</v>
      </c>
      <c r="B1707" s="99" t="s">
        <v>299</v>
      </c>
      <c r="C1707" s="99" t="s">
        <v>336</v>
      </c>
      <c r="D1707" s="48" t="s">
        <v>31</v>
      </c>
      <c r="E1707" s="48" t="s">
        <v>82</v>
      </c>
      <c r="F1707" s="121">
        <f>SUMIFS('2024数据'!$BP$3:$BP$152,'2024数据'!$X$3:$X$152,"&gt;="&amp;DATE(2024,1,1),'2024数据'!$X$3:$X$152,"&lt;="&amp;DATE(2024,1,31),'2024数据'!$AE$3:$AE$152,$E1707)/10000</f>
        <v>0</v>
      </c>
      <c r="G1707" s="121">
        <f>SUMIFS('2024数据'!$BP$3:$BP$152,'2024数据'!$X$3:$X$152,"&gt;="&amp;DATE(2024,2,1),'2024数据'!$X$3:$X$152,"&lt;="&amp;DATE(2024,2,29),'2024数据'!$AE$3:$AE$152,$E1707)/10000</f>
        <v>0</v>
      </c>
      <c r="H1707" s="121">
        <f>SUMIFS('2024数据'!$BP$3:$BP$152,'2024数据'!$X$3:$X$152,"&gt;="&amp;DATE(2024,3,1),'2024数据'!$X$3:$X$152,"&lt;="&amp;DATE(2024,3,31),'2024数据'!$AE$3:$AE$152,$E1707)/10000</f>
        <v>0</v>
      </c>
      <c r="I1707" s="121">
        <f>SUMIFS('2024数据'!$BP$3:$BP$152,'2024数据'!$X$3:$X$152,"&gt;="&amp;DATE(2024,4,1),'2024数据'!$X$3:$X$152,"&lt;="&amp;DATE(2024,4,30),'2024数据'!$AE$3:$AE$152,$E1707)/10000</f>
        <v>0</v>
      </c>
      <c r="J1707" s="121">
        <f>SUMIFS('2024数据'!$BP$3:$BP$152,'2024数据'!$X$3:$X$152,"&gt;="&amp;DATE(2024,5,1),'2024数据'!$X$3:$X$152,"&lt;="&amp;DATE(2024,5,31),'2024数据'!$AE$3:$AE$152,$E1707)/10000</f>
        <v>0</v>
      </c>
      <c r="K1707" s="121">
        <f>SUMIFS('2024数据'!$BP$3:$BP$152,'2024数据'!$X$3:$X$152,"&gt;="&amp;DATE(2024,6,1),'2024数据'!$X$3:$X$152,"&lt;="&amp;DATE(2024,6,30),'2024数据'!$AE$3:$AE$152,$E1707)/10000</f>
        <v>0</v>
      </c>
      <c r="L1707" s="121">
        <f>SUMIFS('2024数据'!$BP$3:$BP$152,'2024数据'!$X$3:$X$152,"&gt;="&amp;DATE(2024,7,1),'2024数据'!$X$3:$X$152,"&lt;="&amp;DATE(2024,7,31),'2024数据'!$AE$3:$AE$152,$E1707)/10000</f>
        <v>0</v>
      </c>
      <c r="M1707" s="121">
        <f>SUMIFS('2024数据'!$BP$3:$BP$152,'2024数据'!$X$3:$X$152,"&gt;="&amp;DATE(2024,8,1),'2024数据'!$X$3:$X$152,"&lt;="&amp;DATE(2024,8,31),'2024数据'!$AE$3:$AE$152,$E1707)/10000</f>
        <v>0</v>
      </c>
      <c r="N1707" s="121">
        <f>SUMIFS('2024数据'!$BP$3:$BP$152,'2024数据'!$X$3:$X$152,"&gt;="&amp;DATE(2024,9,1),'2024数据'!$X$3:$X$152,"&lt;="&amp;DATE(2024,9,30),'2024数据'!$AE$3:$AE$152,$E1707)/10000</f>
        <v>0</v>
      </c>
      <c r="O1707" s="121">
        <f>SUMIFS('2024数据'!$BP$3:$BP$152,'2024数据'!$X$3:$X$152,"&gt;="&amp;DATE(2024,10,1),'2024数据'!$X$3:$X$152,"&lt;="&amp;DATE(2024,10,31),'2024数据'!$AE$3:$AE$152,$E1707)/10000</f>
        <v>0</v>
      </c>
      <c r="P1707" s="121">
        <f>SUMIFS('2024数据'!$BP$3:$BP$152,'2024数据'!$X$3:$X$152,"&gt;="&amp;DATE(2024,11,1),'2024数据'!$X$3:$X$152,"&lt;="&amp;DATE(2024,11,30),'2024数据'!$AE$3:$AE$152,$E1707)/10000</f>
        <v>0</v>
      </c>
      <c r="Q1707" s="121">
        <f>SUMIFS('2024数据'!$BP$3:$BP$152,'2024数据'!$X$3:$X$152,"&gt;="&amp;DATE(2024,12,1),'2024数据'!$X$3:$X$152,"&lt;="&amp;DATE(2024,12,31),'2024数据'!$AE$3:$AE$152,$E1707)/10000</f>
        <v>0</v>
      </c>
    </row>
    <row r="1708" ht="24" customHeight="1" spans="1:17">
      <c r="A1708" s="99" t="s">
        <v>349</v>
      </c>
      <c r="B1708" s="99" t="s">
        <v>299</v>
      </c>
      <c r="C1708" s="99" t="s">
        <v>336</v>
      </c>
      <c r="D1708" s="48" t="s">
        <v>31</v>
      </c>
      <c r="E1708" s="48" t="s">
        <v>86</v>
      </c>
      <c r="F1708" s="121">
        <f>SUMIFS('2024数据'!$BP$3:$BP$152,'2024数据'!$X$3:$X$152,"&gt;="&amp;DATE(2024,1,1),'2024数据'!$X$3:$X$152,"&lt;="&amp;DATE(2024,1,31),'2024数据'!$AE$3:$AE$152,$E1708)/10000</f>
        <v>0</v>
      </c>
      <c r="G1708" s="121">
        <f>SUMIFS('2024数据'!$BP$3:$BP$152,'2024数据'!$X$3:$X$152,"&gt;="&amp;DATE(2024,2,1),'2024数据'!$X$3:$X$152,"&lt;="&amp;DATE(2024,2,29),'2024数据'!$AE$3:$AE$152,$E1708)/10000</f>
        <v>0</v>
      </c>
      <c r="H1708" s="121">
        <f>SUMIFS('2024数据'!$BP$3:$BP$152,'2024数据'!$X$3:$X$152,"&gt;="&amp;DATE(2024,3,1),'2024数据'!$X$3:$X$152,"&lt;="&amp;DATE(2024,3,31),'2024数据'!$AE$3:$AE$152,$E1708)/10000</f>
        <v>0</v>
      </c>
      <c r="I1708" s="121">
        <f>SUMIFS('2024数据'!$BP$3:$BP$152,'2024数据'!$X$3:$X$152,"&gt;="&amp;DATE(2024,4,1),'2024数据'!$X$3:$X$152,"&lt;="&amp;DATE(2024,4,30),'2024数据'!$AE$3:$AE$152,$E1708)/10000</f>
        <v>0</v>
      </c>
      <c r="J1708" s="121">
        <f>SUMIFS('2024数据'!$BP$3:$BP$152,'2024数据'!$X$3:$X$152,"&gt;="&amp;DATE(2024,5,1),'2024数据'!$X$3:$X$152,"&lt;="&amp;DATE(2024,5,31),'2024数据'!$AE$3:$AE$152,$E1708)/10000</f>
        <v>0</v>
      </c>
      <c r="K1708" s="121">
        <f>SUMIFS('2024数据'!$BP$3:$BP$152,'2024数据'!$X$3:$X$152,"&gt;="&amp;DATE(2024,6,1),'2024数据'!$X$3:$X$152,"&lt;="&amp;DATE(2024,6,30),'2024数据'!$AE$3:$AE$152,$E1708)/10000</f>
        <v>0</v>
      </c>
      <c r="L1708" s="121">
        <f>SUMIFS('2024数据'!$BP$3:$BP$152,'2024数据'!$X$3:$X$152,"&gt;="&amp;DATE(2024,7,1),'2024数据'!$X$3:$X$152,"&lt;="&amp;DATE(2024,7,31),'2024数据'!$AE$3:$AE$152,$E1708)/10000</f>
        <v>0</v>
      </c>
      <c r="M1708" s="121">
        <f>SUMIFS('2024数据'!$BP$3:$BP$152,'2024数据'!$X$3:$X$152,"&gt;="&amp;DATE(2024,8,1),'2024数据'!$X$3:$X$152,"&lt;="&amp;DATE(2024,8,31),'2024数据'!$AE$3:$AE$152,$E1708)/10000</f>
        <v>0</v>
      </c>
      <c r="N1708" s="121">
        <f>SUMIFS('2024数据'!$BP$3:$BP$152,'2024数据'!$X$3:$X$152,"&gt;="&amp;DATE(2024,9,1),'2024数据'!$X$3:$X$152,"&lt;="&amp;DATE(2024,9,30),'2024数据'!$AE$3:$AE$152,$E1708)/10000</f>
        <v>0</v>
      </c>
      <c r="O1708" s="121">
        <f>SUMIFS('2024数据'!$BP$3:$BP$152,'2024数据'!$X$3:$X$152,"&gt;="&amp;DATE(2024,10,1),'2024数据'!$X$3:$X$152,"&lt;="&amp;DATE(2024,10,31),'2024数据'!$AE$3:$AE$152,$E1708)/10000</f>
        <v>0</v>
      </c>
      <c r="P1708" s="121">
        <f>SUMIFS('2024数据'!$BP$3:$BP$152,'2024数据'!$X$3:$X$152,"&gt;="&amp;DATE(2024,11,1),'2024数据'!$X$3:$X$152,"&lt;="&amp;DATE(2024,11,30),'2024数据'!$AE$3:$AE$152,$E1708)/10000</f>
        <v>0</v>
      </c>
      <c r="Q1708" s="121">
        <f>SUMIFS('2024数据'!$BP$3:$BP$152,'2024数据'!$X$3:$X$152,"&gt;="&amp;DATE(2024,12,1),'2024数据'!$X$3:$X$152,"&lt;="&amp;DATE(2024,12,31),'2024数据'!$AE$3:$AE$152,$E1708)/10000</f>
        <v>0</v>
      </c>
    </row>
    <row r="1709" ht="24" customHeight="1" spans="1:17">
      <c r="A1709" s="99" t="s">
        <v>349</v>
      </c>
      <c r="B1709" s="99" t="s">
        <v>299</v>
      </c>
      <c r="C1709" s="99" t="s">
        <v>336</v>
      </c>
      <c r="D1709" s="48" t="s">
        <v>31</v>
      </c>
      <c r="E1709" s="48" t="s">
        <v>97</v>
      </c>
      <c r="F1709" s="121">
        <f>SUMIFS('2024数据'!$BP$3:$BP$152,'2024数据'!$X$3:$X$152,"&gt;="&amp;DATE(2024,1,1),'2024数据'!$X$3:$X$152,"&lt;="&amp;DATE(2024,1,31),'2024数据'!$AE$3:$AE$152,$E1709)/10000</f>
        <v>0</v>
      </c>
      <c r="G1709" s="121">
        <f>SUMIFS('2024数据'!$BP$3:$BP$152,'2024数据'!$X$3:$X$152,"&gt;="&amp;DATE(2024,2,1),'2024数据'!$X$3:$X$152,"&lt;="&amp;DATE(2024,2,29),'2024数据'!$AE$3:$AE$152,$E1709)/10000</f>
        <v>0</v>
      </c>
      <c r="H1709" s="121">
        <f>SUMIFS('2024数据'!$BP$3:$BP$152,'2024数据'!$X$3:$X$152,"&gt;="&amp;DATE(2024,3,1),'2024数据'!$X$3:$X$152,"&lt;="&amp;DATE(2024,3,31),'2024数据'!$AE$3:$AE$152,$E1709)/10000</f>
        <v>0</v>
      </c>
      <c r="I1709" s="121">
        <f>SUMIFS('2024数据'!$BP$3:$BP$152,'2024数据'!$X$3:$X$152,"&gt;="&amp;DATE(2024,4,1),'2024数据'!$X$3:$X$152,"&lt;="&amp;DATE(2024,4,30),'2024数据'!$AE$3:$AE$152,$E1709)/10000</f>
        <v>0</v>
      </c>
      <c r="J1709" s="121">
        <f>SUMIFS('2024数据'!$BP$3:$BP$152,'2024数据'!$X$3:$X$152,"&gt;="&amp;DATE(2024,5,1),'2024数据'!$X$3:$X$152,"&lt;="&amp;DATE(2024,5,31),'2024数据'!$AE$3:$AE$152,$E1709)/10000</f>
        <v>0</v>
      </c>
      <c r="K1709" s="121">
        <f>SUMIFS('2024数据'!$BP$3:$BP$152,'2024数据'!$X$3:$X$152,"&gt;="&amp;DATE(2024,6,1),'2024数据'!$X$3:$X$152,"&lt;="&amp;DATE(2024,6,30),'2024数据'!$AE$3:$AE$152,$E1709)/10000</f>
        <v>0</v>
      </c>
      <c r="L1709" s="121">
        <f>SUMIFS('2024数据'!$BP$3:$BP$152,'2024数据'!$X$3:$X$152,"&gt;="&amp;DATE(2024,7,1),'2024数据'!$X$3:$X$152,"&lt;="&amp;DATE(2024,7,31),'2024数据'!$AE$3:$AE$152,$E1709)/10000</f>
        <v>0</v>
      </c>
      <c r="M1709" s="121">
        <f>SUMIFS('2024数据'!$BP$3:$BP$152,'2024数据'!$X$3:$X$152,"&gt;="&amp;DATE(2024,8,1),'2024数据'!$X$3:$X$152,"&lt;="&amp;DATE(2024,8,31),'2024数据'!$AE$3:$AE$152,$E1709)/10000</f>
        <v>0</v>
      </c>
      <c r="N1709" s="121">
        <f>SUMIFS('2024数据'!$BP$3:$BP$152,'2024数据'!$X$3:$X$152,"&gt;="&amp;DATE(2024,9,1),'2024数据'!$X$3:$X$152,"&lt;="&amp;DATE(2024,9,30),'2024数据'!$AE$3:$AE$152,$E1709)/10000</f>
        <v>0</v>
      </c>
      <c r="O1709" s="121">
        <f>SUMIFS('2024数据'!$BP$3:$BP$152,'2024数据'!$X$3:$X$152,"&gt;="&amp;DATE(2024,10,1),'2024数据'!$X$3:$X$152,"&lt;="&amp;DATE(2024,10,31),'2024数据'!$AE$3:$AE$152,$E1709)/10000</f>
        <v>0</v>
      </c>
      <c r="P1709" s="121">
        <f>SUMIFS('2024数据'!$BP$3:$BP$152,'2024数据'!$X$3:$X$152,"&gt;="&amp;DATE(2024,11,1),'2024数据'!$X$3:$X$152,"&lt;="&amp;DATE(2024,11,30),'2024数据'!$AE$3:$AE$152,$E1709)/10000</f>
        <v>0</v>
      </c>
      <c r="Q1709" s="121">
        <f>SUMIFS('2024数据'!$BP$3:$BP$152,'2024数据'!$X$3:$X$152,"&gt;="&amp;DATE(2024,12,1),'2024数据'!$X$3:$X$152,"&lt;="&amp;DATE(2024,12,31),'2024数据'!$AE$3:$AE$152,$E1709)/10000</f>
        <v>0</v>
      </c>
    </row>
    <row r="1710" ht="24" customHeight="1" spans="1:17">
      <c r="A1710" s="99" t="s">
        <v>349</v>
      </c>
      <c r="B1710" s="99" t="s">
        <v>299</v>
      </c>
      <c r="C1710" s="99" t="s">
        <v>336</v>
      </c>
      <c r="D1710" s="48" t="s">
        <v>31</v>
      </c>
      <c r="E1710" s="48" t="s">
        <v>87</v>
      </c>
      <c r="F1710" s="121">
        <f>SUMIFS('2024数据'!$BP$3:$BP$152,'2024数据'!$X$3:$X$152,"&gt;="&amp;DATE(2024,1,1),'2024数据'!$X$3:$X$152,"&lt;="&amp;DATE(2024,1,31),'2024数据'!$AE$3:$AE$152,$E1710)/10000</f>
        <v>0.9405</v>
      </c>
      <c r="G1710" s="121">
        <f>SUMIFS('2024数据'!$BP$3:$BP$152,'2024数据'!$X$3:$X$152,"&gt;="&amp;DATE(2024,2,1),'2024数据'!$X$3:$X$152,"&lt;="&amp;DATE(2024,2,29),'2024数据'!$AE$3:$AE$152,$E1710)/10000</f>
        <v>0</v>
      </c>
      <c r="H1710" s="121">
        <f>SUMIFS('2024数据'!$BP$3:$BP$152,'2024数据'!$X$3:$X$152,"&gt;="&amp;DATE(2024,3,1),'2024数据'!$X$3:$X$152,"&lt;="&amp;DATE(2024,3,31),'2024数据'!$AE$3:$AE$152,$E1710)/10000</f>
        <v>0</v>
      </c>
      <c r="I1710" s="121">
        <f>SUMIFS('2024数据'!$BP$3:$BP$152,'2024数据'!$X$3:$X$152,"&gt;="&amp;DATE(2024,4,1),'2024数据'!$X$3:$X$152,"&lt;="&amp;DATE(2024,4,30),'2024数据'!$AE$3:$AE$152,$E1710)/10000</f>
        <v>0</v>
      </c>
      <c r="J1710" s="121">
        <f>SUMIFS('2024数据'!$BP$3:$BP$152,'2024数据'!$X$3:$X$152,"&gt;="&amp;DATE(2024,5,1),'2024数据'!$X$3:$X$152,"&lt;="&amp;DATE(2024,5,31),'2024数据'!$AE$3:$AE$152,$E1710)/10000</f>
        <v>1.9446</v>
      </c>
      <c r="K1710" s="121">
        <f>SUMIFS('2024数据'!$BP$3:$BP$152,'2024数据'!$X$3:$X$152,"&gt;="&amp;DATE(2024,6,1),'2024数据'!$X$3:$X$152,"&lt;="&amp;DATE(2024,6,30),'2024数据'!$AE$3:$AE$152,$E1710)/10000</f>
        <v>0</v>
      </c>
      <c r="L1710" s="121">
        <f>SUMIFS('2024数据'!$BP$3:$BP$152,'2024数据'!$X$3:$X$152,"&gt;="&amp;DATE(2024,7,1),'2024数据'!$X$3:$X$152,"&lt;="&amp;DATE(2024,7,31),'2024数据'!$AE$3:$AE$152,$E1710)/10000</f>
        <v>3.167</v>
      </c>
      <c r="M1710" s="121">
        <f>SUMIFS('2024数据'!$BP$3:$BP$152,'2024数据'!$X$3:$X$152,"&gt;="&amp;DATE(2024,8,1),'2024数据'!$X$3:$X$152,"&lt;="&amp;DATE(2024,8,31),'2024数据'!$AE$3:$AE$152,$E1710)/10000</f>
        <v>0</v>
      </c>
      <c r="N1710" s="121">
        <f>SUMIFS('2024数据'!$BP$3:$BP$152,'2024数据'!$X$3:$X$152,"&gt;="&amp;DATE(2024,9,1),'2024数据'!$X$3:$X$152,"&lt;="&amp;DATE(2024,9,30),'2024数据'!$AE$3:$AE$152,$E1710)/10000</f>
        <v>0</v>
      </c>
      <c r="O1710" s="121">
        <f>SUMIFS('2024数据'!$BP$3:$BP$152,'2024数据'!$X$3:$X$152,"&gt;="&amp;DATE(2024,10,1),'2024数据'!$X$3:$X$152,"&lt;="&amp;DATE(2024,10,31),'2024数据'!$AE$3:$AE$152,$E1710)/10000</f>
        <v>0</v>
      </c>
      <c r="P1710" s="121">
        <f>SUMIFS('2024数据'!$BP$3:$BP$152,'2024数据'!$X$3:$X$152,"&gt;="&amp;DATE(2024,11,1),'2024数据'!$X$3:$X$152,"&lt;="&amp;DATE(2024,11,30),'2024数据'!$AE$3:$AE$152,$E1710)/10000</f>
        <v>0</v>
      </c>
      <c r="Q1710" s="121">
        <f>SUMIFS('2024数据'!$BP$3:$BP$152,'2024数据'!$X$3:$X$152,"&gt;="&amp;DATE(2024,12,1),'2024数据'!$X$3:$X$152,"&lt;="&amp;DATE(2024,12,31),'2024数据'!$AE$3:$AE$152,$E1710)/10000</f>
        <v>1.7692</v>
      </c>
    </row>
    <row r="1711" ht="24" customHeight="1" spans="1:17">
      <c r="A1711" s="99" t="s">
        <v>349</v>
      </c>
      <c r="B1711" s="99" t="s">
        <v>299</v>
      </c>
      <c r="C1711" s="99" t="s">
        <v>336</v>
      </c>
      <c r="D1711" s="48" t="s">
        <v>31</v>
      </c>
      <c r="E1711" s="48" t="s">
        <v>83</v>
      </c>
      <c r="F1711" s="121">
        <f>SUMIFS('2024数据'!$BP$3:$BP$152,'2024数据'!$X$3:$X$152,"&gt;="&amp;DATE(2024,1,1),'2024数据'!$X$3:$X$152,"&lt;="&amp;DATE(2024,1,31),'2024数据'!$AE$3:$AE$152,$E1711)/10000</f>
        <v>0</v>
      </c>
      <c r="G1711" s="121">
        <f>SUMIFS('2024数据'!$BP$3:$BP$152,'2024数据'!$X$3:$X$152,"&gt;="&amp;DATE(2024,2,1),'2024数据'!$X$3:$X$152,"&lt;="&amp;DATE(2024,2,29),'2024数据'!$AE$3:$AE$152,$E1711)/10000</f>
        <v>0</v>
      </c>
      <c r="H1711" s="121">
        <f>SUMIFS('2024数据'!$BP$3:$BP$152,'2024数据'!$X$3:$X$152,"&gt;="&amp;DATE(2024,3,1),'2024数据'!$X$3:$X$152,"&lt;="&amp;DATE(2024,3,31),'2024数据'!$AE$3:$AE$152,$E1711)/10000</f>
        <v>0</v>
      </c>
      <c r="I1711" s="121">
        <f>SUMIFS('2024数据'!$BP$3:$BP$152,'2024数据'!$X$3:$X$152,"&gt;="&amp;DATE(2024,4,1),'2024数据'!$X$3:$X$152,"&lt;="&amp;DATE(2024,4,30),'2024数据'!$AE$3:$AE$152,$E1711)/10000</f>
        <v>0</v>
      </c>
      <c r="J1711" s="121">
        <f>SUMIFS('2024数据'!$BP$3:$BP$152,'2024数据'!$X$3:$X$152,"&gt;="&amp;DATE(2024,5,1),'2024数据'!$X$3:$X$152,"&lt;="&amp;DATE(2024,5,31),'2024数据'!$AE$3:$AE$152,$E1711)/10000</f>
        <v>0</v>
      </c>
      <c r="K1711" s="121">
        <f>SUMIFS('2024数据'!$BP$3:$BP$152,'2024数据'!$X$3:$X$152,"&gt;="&amp;DATE(2024,6,1),'2024数据'!$X$3:$X$152,"&lt;="&amp;DATE(2024,6,30),'2024数据'!$AE$3:$AE$152,$E1711)/10000</f>
        <v>0</v>
      </c>
      <c r="L1711" s="121">
        <f>SUMIFS('2024数据'!$BP$3:$BP$152,'2024数据'!$X$3:$X$152,"&gt;="&amp;DATE(2024,7,1),'2024数据'!$X$3:$X$152,"&lt;="&amp;DATE(2024,7,31),'2024数据'!$AE$3:$AE$152,$E1711)/10000</f>
        <v>0</v>
      </c>
      <c r="M1711" s="121">
        <f>SUMIFS('2024数据'!$BP$3:$BP$152,'2024数据'!$X$3:$X$152,"&gt;="&amp;DATE(2024,8,1),'2024数据'!$X$3:$X$152,"&lt;="&amp;DATE(2024,8,31),'2024数据'!$AE$3:$AE$152,$E1711)/10000</f>
        <v>0</v>
      </c>
      <c r="N1711" s="121">
        <f>SUMIFS('2024数据'!$BP$3:$BP$152,'2024数据'!$X$3:$X$152,"&gt;="&amp;DATE(2024,9,1),'2024数据'!$X$3:$X$152,"&lt;="&amp;DATE(2024,9,30),'2024数据'!$AE$3:$AE$152,$E1711)/10000</f>
        <v>0</v>
      </c>
      <c r="O1711" s="121">
        <f>SUMIFS('2024数据'!$BP$3:$BP$152,'2024数据'!$X$3:$X$152,"&gt;="&amp;DATE(2024,10,1),'2024数据'!$X$3:$X$152,"&lt;="&amp;DATE(2024,10,31),'2024数据'!$AE$3:$AE$152,$E1711)/10000</f>
        <v>0</v>
      </c>
      <c r="P1711" s="121">
        <f>SUMIFS('2024数据'!$BP$3:$BP$152,'2024数据'!$X$3:$X$152,"&gt;="&amp;DATE(2024,11,1),'2024数据'!$X$3:$X$152,"&lt;="&amp;DATE(2024,11,30),'2024数据'!$AE$3:$AE$152,$E1711)/10000</f>
        <v>0</v>
      </c>
      <c r="Q1711" s="121">
        <f>SUMIFS('2024数据'!$BP$3:$BP$152,'2024数据'!$X$3:$X$152,"&gt;="&amp;DATE(2024,12,1),'2024数据'!$X$3:$X$152,"&lt;="&amp;DATE(2024,12,31),'2024数据'!$AE$3:$AE$152,$E1711)/10000</f>
        <v>0</v>
      </c>
    </row>
    <row r="1712" ht="24" customHeight="1" spans="1:17">
      <c r="A1712" s="99" t="s">
        <v>349</v>
      </c>
      <c r="B1712" s="99" t="s">
        <v>299</v>
      </c>
      <c r="C1712" s="99" t="s">
        <v>336</v>
      </c>
      <c r="D1712" s="47" t="s">
        <v>294</v>
      </c>
      <c r="E1712" s="47" t="s">
        <v>93</v>
      </c>
      <c r="F1712" s="121">
        <f>SUMIFS('2024数据'!$BP$3:$BP$152,'2024数据'!$X$3:$X$152,"&gt;="&amp;DATE(2024,1,1),'2024数据'!$X$3:$X$152,"&lt;="&amp;DATE(2024,1,31),'2024数据'!$B$3:$B$152,$E1712)/10000</f>
        <v>0.9405</v>
      </c>
      <c r="G1712" s="121">
        <f>SUMIFS('2024数据'!$BP$3:$BP$152,'2024数据'!$X$3:$X$152,"&gt;="&amp;DATE(2024,2,1),'2024数据'!$X$3:$X$152,"&lt;="&amp;DATE(2024,2,29),'2024数据'!$B$3:$B$152,$E1712)/10000</f>
        <v>0</v>
      </c>
      <c r="H1712" s="121">
        <f>SUMIFS('2024数据'!$BP$3:$BP$152,'2024数据'!$X$3:$X$152,"&gt;="&amp;DATE(2024,3,1),'2024数据'!$X$3:$X$152,"&lt;="&amp;DATE(2024,3,31),'2024数据'!$B$3:$B$152,$E1712)/10000</f>
        <v>0</v>
      </c>
      <c r="I1712" s="121">
        <f>SUMIFS('2024数据'!$BP$3:$BP$152,'2024数据'!$X$3:$X$152,"&gt;="&amp;DATE(2024,4,1),'2024数据'!$X$3:$X$152,"&lt;="&amp;DATE(2024,4,30),'2024数据'!$B$3:$B$152,$E1712)/10000</f>
        <v>0</v>
      </c>
      <c r="J1712" s="121">
        <f>SUMIFS('2024数据'!$BP$3:$BP$152,'2024数据'!$X$3:$X$152,"&gt;="&amp;DATE(2024,5,1),'2024数据'!$X$3:$X$152,"&lt;="&amp;DATE(2024,5,31),'2024数据'!$B$3:$B$152,$E1712)/10000</f>
        <v>1.9446</v>
      </c>
      <c r="K1712" s="121">
        <f>SUMIFS('2024数据'!$BP$3:$BP$152,'2024数据'!$X$3:$X$152,"&gt;="&amp;DATE(2024,6,1),'2024数据'!$X$3:$X$152,"&lt;="&amp;DATE(2024,6,30),'2024数据'!$B$3:$B$152,$E1712)/10000</f>
        <v>0</v>
      </c>
      <c r="L1712" s="121">
        <f>SUMIFS('2024数据'!$BP$3:$BP$152,'2024数据'!$X$3:$X$152,"&gt;="&amp;DATE(2024,7,1),'2024数据'!$X$3:$X$152,"&lt;="&amp;DATE(2024,7,31),'2024数据'!$B$3:$B$152,$E1712)/10000</f>
        <v>0</v>
      </c>
      <c r="M1712" s="121">
        <f>SUMIFS('2024数据'!$BP$3:$BP$152,'2024数据'!$X$3:$X$152,"&gt;="&amp;DATE(2024,8,1),'2024数据'!$X$3:$X$152,"&lt;="&amp;DATE(2024,8,31),'2024数据'!$B$3:$B$152,$E1712)/10000</f>
        <v>0</v>
      </c>
      <c r="N1712" s="121">
        <f>SUMIFS('2024数据'!$BP$3:$BP$152,'2024数据'!$X$3:$X$152,"&gt;="&amp;DATE(2024,9,1),'2024数据'!$X$3:$X$152,"&lt;="&amp;DATE(2024,9,30),'2024数据'!$B$3:$B$152,$E1712)/10000</f>
        <v>0</v>
      </c>
      <c r="O1712" s="121">
        <f>SUMIFS('2024数据'!$BP$3:$BP$152,'2024数据'!$X$3:$X$152,"&gt;="&amp;DATE(2024,10,1),'2024数据'!$X$3:$X$152,"&lt;="&amp;DATE(2024,10,31),'2024数据'!$B$3:$B$152,$E1712)/10000</f>
        <v>0</v>
      </c>
      <c r="P1712" s="121">
        <f>SUMIFS('2024数据'!$BP$3:$BP$152,'2024数据'!$X$3:$X$152,"&gt;="&amp;DATE(2024,11,1),'2024数据'!$X$3:$X$152,"&lt;="&amp;DATE(2024,11,30),'2024数据'!$B$3:$B$152,$E1712)/10000</f>
        <v>0</v>
      </c>
      <c r="Q1712" s="121">
        <f>SUMIFS('2024数据'!$BP$3:$BP$152,'2024数据'!$X$3:$X$152,"&gt;="&amp;DATE(2024,12,1),'2024数据'!$X$3:$X$152,"&lt;="&amp;DATE(2024,12,31),'2024数据'!$B$3:$B$152,$E1712)/10000</f>
        <v>0</v>
      </c>
    </row>
    <row r="1713" ht="24" customHeight="1" spans="1:17">
      <c r="A1713" s="99" t="s">
        <v>349</v>
      </c>
      <c r="B1713" s="99" t="s">
        <v>299</v>
      </c>
      <c r="C1713" s="99" t="s">
        <v>336</v>
      </c>
      <c r="D1713" s="47" t="s">
        <v>294</v>
      </c>
      <c r="E1713" s="47" t="s">
        <v>85</v>
      </c>
      <c r="F1713" s="121">
        <f>SUMIFS('2024数据'!$BP$3:$BP$152,'2024数据'!$X$3:$X$152,"&gt;="&amp;DATE(2024,1,1),'2024数据'!$X$3:$X$152,"&lt;="&amp;DATE(2024,1,31),'2024数据'!$B$3:$B$152,$E1713)/10000</f>
        <v>0</v>
      </c>
      <c r="G1713" s="121">
        <f>SUMIFS('2024数据'!$BP$3:$BP$152,'2024数据'!$X$3:$X$152,"&gt;="&amp;DATE(2024,2,1),'2024数据'!$X$3:$X$152,"&lt;="&amp;DATE(2024,2,29),'2024数据'!$B$3:$B$152,$E1713)/10000</f>
        <v>0</v>
      </c>
      <c r="H1713" s="121">
        <f>SUMIFS('2024数据'!$BP$3:$BP$152,'2024数据'!$X$3:$X$152,"&gt;="&amp;DATE(2024,3,1),'2024数据'!$X$3:$X$152,"&lt;="&amp;DATE(2024,3,31),'2024数据'!$B$3:$B$152,$E1713)/10000</f>
        <v>0</v>
      </c>
      <c r="I1713" s="121">
        <f>SUMIFS('2024数据'!$BP$3:$BP$152,'2024数据'!$X$3:$X$152,"&gt;="&amp;DATE(2024,4,1),'2024数据'!$X$3:$X$152,"&lt;="&amp;DATE(2024,4,30),'2024数据'!$B$3:$B$152,$E1713)/10000</f>
        <v>0</v>
      </c>
      <c r="J1713" s="121">
        <f>SUMIFS('2024数据'!$BP$3:$BP$152,'2024数据'!$X$3:$X$152,"&gt;="&amp;DATE(2024,5,1),'2024数据'!$X$3:$X$152,"&lt;="&amp;DATE(2024,5,31),'2024数据'!$B$3:$B$152,$E1713)/10000</f>
        <v>0</v>
      </c>
      <c r="K1713" s="121">
        <f>SUMIFS('2024数据'!$BP$3:$BP$152,'2024数据'!$X$3:$X$152,"&gt;="&amp;DATE(2024,6,1),'2024数据'!$X$3:$X$152,"&lt;="&amp;DATE(2024,6,30),'2024数据'!$B$3:$B$152,$E1713)/10000</f>
        <v>0</v>
      </c>
      <c r="L1713" s="121">
        <f>SUMIFS('2024数据'!$BP$3:$BP$152,'2024数据'!$X$3:$X$152,"&gt;="&amp;DATE(2024,7,1),'2024数据'!$X$3:$X$152,"&lt;="&amp;DATE(2024,7,31),'2024数据'!$B$3:$B$152,$E1713)/10000</f>
        <v>0</v>
      </c>
      <c r="M1713" s="121">
        <f>SUMIFS('2024数据'!$BP$3:$BP$152,'2024数据'!$X$3:$X$152,"&gt;="&amp;DATE(2024,8,1),'2024数据'!$X$3:$X$152,"&lt;="&amp;DATE(2024,8,31),'2024数据'!$B$3:$B$152,$E1713)/10000</f>
        <v>0</v>
      </c>
      <c r="N1713" s="121">
        <f>SUMIFS('2024数据'!$BP$3:$BP$152,'2024数据'!$X$3:$X$152,"&gt;="&amp;DATE(2024,9,1),'2024数据'!$X$3:$X$152,"&lt;="&amp;DATE(2024,9,30),'2024数据'!$B$3:$B$152,$E1713)/10000</f>
        <v>0</v>
      </c>
      <c r="O1713" s="121">
        <f>SUMIFS('2024数据'!$BP$3:$BP$152,'2024数据'!$X$3:$X$152,"&gt;="&amp;DATE(2024,10,1),'2024数据'!$X$3:$X$152,"&lt;="&amp;DATE(2024,10,31),'2024数据'!$B$3:$B$152,$E1713)/10000</f>
        <v>0</v>
      </c>
      <c r="P1713" s="121">
        <f>SUMIFS('2024数据'!$BP$3:$BP$152,'2024数据'!$X$3:$X$152,"&gt;="&amp;DATE(2024,11,1),'2024数据'!$X$3:$X$152,"&lt;="&amp;DATE(2024,11,30),'2024数据'!$B$3:$B$152,$E1713)/10000</f>
        <v>0</v>
      </c>
      <c r="Q1713" s="121">
        <f>SUMIFS('2024数据'!$BP$3:$BP$152,'2024数据'!$X$3:$X$152,"&gt;="&amp;DATE(2024,12,1),'2024数据'!$X$3:$X$152,"&lt;="&amp;DATE(2024,12,31),'2024数据'!$B$3:$B$152,$E1713)/10000</f>
        <v>0</v>
      </c>
    </row>
    <row r="1714" ht="24" customHeight="1" spans="1:17">
      <c r="A1714" s="99" t="s">
        <v>349</v>
      </c>
      <c r="B1714" s="99" t="s">
        <v>299</v>
      </c>
      <c r="C1714" s="99" t="s">
        <v>336</v>
      </c>
      <c r="D1714" s="47" t="s">
        <v>294</v>
      </c>
      <c r="E1714" s="47" t="s">
        <v>81</v>
      </c>
      <c r="F1714" s="121">
        <f>SUMIFS('2024数据'!$BP$3:$BP$152,'2024数据'!$X$3:$X$152,"&gt;="&amp;DATE(2024,1,1),'2024数据'!$X$3:$X$152,"&lt;="&amp;DATE(2024,1,31),'2024数据'!$B$3:$B$152,$E1714)/10000</f>
        <v>0</v>
      </c>
      <c r="G1714" s="121">
        <f>SUMIFS('2024数据'!$BP$3:$BP$152,'2024数据'!$X$3:$X$152,"&gt;="&amp;DATE(2024,2,1),'2024数据'!$X$3:$X$152,"&lt;="&amp;DATE(2024,2,29),'2024数据'!$B$3:$B$152,$E1714)/10000</f>
        <v>0</v>
      </c>
      <c r="H1714" s="121">
        <f>SUMIFS('2024数据'!$BP$3:$BP$152,'2024数据'!$X$3:$X$152,"&gt;="&amp;DATE(2024,3,1),'2024数据'!$X$3:$X$152,"&lt;="&amp;DATE(2024,3,31),'2024数据'!$B$3:$B$152,$E1714)/10000</f>
        <v>0</v>
      </c>
      <c r="I1714" s="121">
        <f>SUMIFS('2024数据'!$BP$3:$BP$152,'2024数据'!$X$3:$X$152,"&gt;="&amp;DATE(2024,4,1),'2024数据'!$X$3:$X$152,"&lt;="&amp;DATE(2024,4,30),'2024数据'!$B$3:$B$152,$E1714)/10000</f>
        <v>0</v>
      </c>
      <c r="J1714" s="121">
        <f>SUMIFS('2024数据'!$BP$3:$BP$152,'2024数据'!$X$3:$X$152,"&gt;="&amp;DATE(2024,5,1),'2024数据'!$X$3:$X$152,"&lt;="&amp;DATE(2024,5,31),'2024数据'!$B$3:$B$152,$E1714)/10000</f>
        <v>0</v>
      </c>
      <c r="K1714" s="121">
        <f>SUMIFS('2024数据'!$BP$3:$BP$152,'2024数据'!$X$3:$X$152,"&gt;="&amp;DATE(2024,6,1),'2024数据'!$X$3:$X$152,"&lt;="&amp;DATE(2024,6,30),'2024数据'!$B$3:$B$152,$E1714)/10000</f>
        <v>0</v>
      </c>
      <c r="L1714" s="121">
        <f>SUMIFS('2024数据'!$BP$3:$BP$152,'2024数据'!$X$3:$X$152,"&gt;="&amp;DATE(2024,7,1),'2024数据'!$X$3:$X$152,"&lt;="&amp;DATE(2024,7,31),'2024数据'!$B$3:$B$152,$E1714)/10000</f>
        <v>3.167</v>
      </c>
      <c r="M1714" s="121">
        <f>SUMIFS('2024数据'!$BP$3:$BP$152,'2024数据'!$X$3:$X$152,"&gt;="&amp;DATE(2024,8,1),'2024数据'!$X$3:$X$152,"&lt;="&amp;DATE(2024,8,31),'2024数据'!$B$3:$B$152,$E1714)/10000</f>
        <v>0</v>
      </c>
      <c r="N1714" s="121">
        <f>SUMIFS('2024数据'!$BP$3:$BP$152,'2024数据'!$X$3:$X$152,"&gt;="&amp;DATE(2024,9,1),'2024数据'!$X$3:$X$152,"&lt;="&amp;DATE(2024,9,30),'2024数据'!$B$3:$B$152,$E1714)/10000</f>
        <v>0</v>
      </c>
      <c r="O1714" s="121">
        <f>SUMIFS('2024数据'!$BP$3:$BP$152,'2024数据'!$X$3:$X$152,"&gt;="&amp;DATE(2024,10,1),'2024数据'!$X$3:$X$152,"&lt;="&amp;DATE(2024,10,31),'2024数据'!$B$3:$B$152,$E1714)/10000</f>
        <v>0</v>
      </c>
      <c r="P1714" s="121">
        <f>SUMIFS('2024数据'!$BP$3:$BP$152,'2024数据'!$X$3:$X$152,"&gt;="&amp;DATE(2024,11,1),'2024数据'!$X$3:$X$152,"&lt;="&amp;DATE(2024,11,30),'2024数据'!$B$3:$B$152,$E1714)/10000</f>
        <v>0</v>
      </c>
      <c r="Q1714" s="121">
        <f>SUMIFS('2024数据'!$BP$3:$BP$152,'2024数据'!$X$3:$X$152,"&gt;="&amp;DATE(2024,12,1),'2024数据'!$X$3:$X$152,"&lt;="&amp;DATE(2024,12,31),'2024数据'!$B$3:$B$152,$E1714)/10000</f>
        <v>1.7692</v>
      </c>
    </row>
    <row r="1715" ht="24" customHeight="1" spans="1:17">
      <c r="A1715" s="99" t="s">
        <v>349</v>
      </c>
      <c r="B1715" s="99" t="s">
        <v>299</v>
      </c>
      <c r="C1715" s="99" t="s">
        <v>336</v>
      </c>
      <c r="D1715" s="47" t="s">
        <v>294</v>
      </c>
      <c r="E1715" s="47" t="s">
        <v>96</v>
      </c>
      <c r="F1715" s="121">
        <f>SUMIFS('2024数据'!$BP$3:$BP$152,'2024数据'!$X$3:$X$152,"&gt;="&amp;DATE(2024,1,1),'2024数据'!$X$3:$X$152,"&lt;="&amp;DATE(2024,1,31),'2024数据'!$B$3:$B$152,$E1715)/10000</f>
        <v>0</v>
      </c>
      <c r="G1715" s="121">
        <f>SUMIFS('2024数据'!$BP$3:$BP$152,'2024数据'!$X$3:$X$152,"&gt;="&amp;DATE(2024,2,1),'2024数据'!$X$3:$X$152,"&lt;="&amp;DATE(2024,2,29),'2024数据'!$B$3:$B$152,$E1715)/10000</f>
        <v>0</v>
      </c>
      <c r="H1715" s="121">
        <f>SUMIFS('2024数据'!$BP$3:$BP$152,'2024数据'!$X$3:$X$152,"&gt;="&amp;DATE(2024,3,1),'2024数据'!$X$3:$X$152,"&lt;="&amp;DATE(2024,3,31),'2024数据'!$B$3:$B$152,$E1715)/10000</f>
        <v>0</v>
      </c>
      <c r="I1715" s="121">
        <f>SUMIFS('2024数据'!$BP$3:$BP$152,'2024数据'!$X$3:$X$152,"&gt;="&amp;DATE(2024,4,1),'2024数据'!$X$3:$X$152,"&lt;="&amp;DATE(2024,4,30),'2024数据'!$B$3:$B$152,$E1715)/10000</f>
        <v>0</v>
      </c>
      <c r="J1715" s="121">
        <f>SUMIFS('2024数据'!$BP$3:$BP$152,'2024数据'!$X$3:$X$152,"&gt;="&amp;DATE(2024,5,1),'2024数据'!$X$3:$X$152,"&lt;="&amp;DATE(2024,5,31),'2024数据'!$B$3:$B$152,$E1715)/10000</f>
        <v>0</v>
      </c>
      <c r="K1715" s="121">
        <f>SUMIFS('2024数据'!$BP$3:$BP$152,'2024数据'!$X$3:$X$152,"&gt;="&amp;DATE(2024,6,1),'2024数据'!$X$3:$X$152,"&lt;="&amp;DATE(2024,6,30),'2024数据'!$B$3:$B$152,$E1715)/10000</f>
        <v>0</v>
      </c>
      <c r="L1715" s="121">
        <f>SUMIFS('2024数据'!$BP$3:$BP$152,'2024数据'!$X$3:$X$152,"&gt;="&amp;DATE(2024,7,1),'2024数据'!$X$3:$X$152,"&lt;="&amp;DATE(2024,7,31),'2024数据'!$B$3:$B$152,$E1715)/10000</f>
        <v>0</v>
      </c>
      <c r="M1715" s="121">
        <f>SUMIFS('2024数据'!$BP$3:$BP$152,'2024数据'!$X$3:$X$152,"&gt;="&amp;DATE(2024,8,1),'2024数据'!$X$3:$X$152,"&lt;="&amp;DATE(2024,8,31),'2024数据'!$B$3:$B$152,$E1715)/10000</f>
        <v>0</v>
      </c>
      <c r="N1715" s="121">
        <f>SUMIFS('2024数据'!$BP$3:$BP$152,'2024数据'!$X$3:$X$152,"&gt;="&amp;DATE(2024,9,1),'2024数据'!$X$3:$X$152,"&lt;="&amp;DATE(2024,9,30),'2024数据'!$B$3:$B$152,$E1715)/10000</f>
        <v>0</v>
      </c>
      <c r="O1715" s="121">
        <f>SUMIFS('2024数据'!$BP$3:$BP$152,'2024数据'!$X$3:$X$152,"&gt;="&amp;DATE(2024,10,1),'2024数据'!$X$3:$X$152,"&lt;="&amp;DATE(2024,10,31),'2024数据'!$B$3:$B$152,$E1715)/10000</f>
        <v>0</v>
      </c>
      <c r="P1715" s="121">
        <f>SUMIFS('2024数据'!$BP$3:$BP$152,'2024数据'!$X$3:$X$152,"&gt;="&amp;DATE(2024,11,1),'2024数据'!$X$3:$X$152,"&lt;="&amp;DATE(2024,11,30),'2024数据'!$B$3:$B$152,$E1715)/10000</f>
        <v>0</v>
      </c>
      <c r="Q1715" s="121">
        <f>SUMIFS('2024数据'!$BP$3:$BP$152,'2024数据'!$X$3:$X$152,"&gt;="&amp;DATE(2024,12,1),'2024数据'!$X$3:$X$152,"&lt;="&amp;DATE(2024,12,31),'2024数据'!$B$3:$B$152,$E1715)/10000</f>
        <v>0</v>
      </c>
    </row>
    <row r="1716" ht="24" customHeight="1" spans="1:17">
      <c r="A1716" s="99" t="s">
        <v>349</v>
      </c>
      <c r="B1716" s="99" t="s">
        <v>299</v>
      </c>
      <c r="C1716" s="99" t="s">
        <v>336</v>
      </c>
      <c r="D1716" s="47" t="s">
        <v>294</v>
      </c>
      <c r="E1716" s="47" t="s">
        <v>160</v>
      </c>
      <c r="F1716" s="121">
        <f t="shared" ref="F1716:Q1716" si="1256">SUM(F1706:F1711)-SUM(F1712:F1715)</f>
        <v>0</v>
      </c>
      <c r="G1716" s="121">
        <f t="shared" si="1256"/>
        <v>0</v>
      </c>
      <c r="H1716" s="121">
        <f t="shared" si="1256"/>
        <v>0</v>
      </c>
      <c r="I1716" s="121">
        <f t="shared" si="1256"/>
        <v>0</v>
      </c>
      <c r="J1716" s="121">
        <f t="shared" si="1256"/>
        <v>0</v>
      </c>
      <c r="K1716" s="121">
        <f t="shared" si="1256"/>
        <v>0</v>
      </c>
      <c r="L1716" s="121">
        <f t="shared" si="1256"/>
        <v>0</v>
      </c>
      <c r="M1716" s="121">
        <f t="shared" si="1256"/>
        <v>0</v>
      </c>
      <c r="N1716" s="121">
        <f t="shared" si="1256"/>
        <v>0</v>
      </c>
      <c r="O1716" s="121">
        <f t="shared" si="1256"/>
        <v>0</v>
      </c>
      <c r="P1716" s="121">
        <f t="shared" si="1256"/>
        <v>0</v>
      </c>
      <c r="Q1716" s="121">
        <f t="shared" si="1256"/>
        <v>0</v>
      </c>
    </row>
    <row r="1717" ht="24" customHeight="1" spans="1:17">
      <c r="A1717" s="99" t="s">
        <v>349</v>
      </c>
      <c r="B1717" s="99" t="s">
        <v>299</v>
      </c>
      <c r="C1717" s="99" t="s">
        <v>333</v>
      </c>
      <c r="D1717" s="114" t="s">
        <v>292</v>
      </c>
      <c r="E1717" s="53" t="s">
        <v>337</v>
      </c>
      <c r="F1717" s="123">
        <f>SUMIFS('2024数据'!$BT$3:$BT$152,'2024数据'!$X$3:$X$152,"&gt;="&amp;DATE(2024,1,1),'2024数据'!$X$3:$X$152,"&lt;="&amp;DATE(2024,1,31),'2024数据'!$BS$3:$BS$152,$E1545)/10000</f>
        <v>0.0257</v>
      </c>
      <c r="G1717" s="123">
        <f>SUMIFS('2024数据'!$BT$3:$BT$152,'2024数据'!$X$3:$X$152,"&gt;="&amp;DATE(2024,2,1),'2024数据'!$X$3:$X$152,"&lt;="&amp;DATE(2024,2,29),'2024数据'!$BS$3:$BS$152,$E1545)/10000</f>
        <v>0</v>
      </c>
      <c r="H1717" s="123">
        <f>SUMIFS('2024数据'!$BT$3:$BT$152,'2024数据'!$X$3:$X$152,"&gt;="&amp;DATE(2024,3,1),'2024数据'!$X$3:$X$152,"&lt;="&amp;DATE(2024,3,31),'2024数据'!$BS$3:$BS$152,$E1545)/10000</f>
        <v>0</v>
      </c>
      <c r="I1717" s="123">
        <f>SUMIFS('2024数据'!$BT$3:$BT$152,'2024数据'!$X$3:$X$152,"&gt;="&amp;DATE(2024,4,1),'2024数据'!$X$3:$X$152,"&lt;="&amp;DATE(2024,4,30),'2024数据'!$BS$3:$BS$152,$E1545)/10000</f>
        <v>0</v>
      </c>
      <c r="J1717" s="123">
        <f>SUMIFS('2024数据'!$BT$3:$BT$152,'2024数据'!$X$3:$X$152,"&gt;="&amp;DATE(2024,5,1),'2024数据'!$X$3:$X$152,"&lt;="&amp;DATE(2024,5,31),'2024数据'!$BS$3:$BS$152,$E1545)/10000</f>
        <v>0</v>
      </c>
      <c r="K1717" s="123">
        <f>SUMIFS('2024数据'!$BT$3:$BT$152,'2024数据'!$X$3:$X$152,"&gt;="&amp;DATE(2024,6,1),'2024数据'!$X$3:$X$152,"&lt;="&amp;DATE(2024,6,30),'2024数据'!$BS$3:$BS$152,$E1545)/10000</f>
        <v>0</v>
      </c>
      <c r="L1717" s="123">
        <f>SUMIFS('2024数据'!$BT$3:$BT$152,'2024数据'!$X$3:$X$152,"&gt;="&amp;DATE(2024,7,1),'2024数据'!$X$3:$X$152,"&lt;="&amp;DATE(2024,7,31),'2024数据'!$BS$3:$BS$152,$E1545)/10000</f>
        <v>0</v>
      </c>
      <c r="M1717" s="123">
        <f>SUMIFS('2024数据'!$BT$3:$BT$152,'2024数据'!$X$3:$X$152,"&gt;="&amp;DATE(2024,8,1),'2024数据'!$X$3:$X$152,"&lt;="&amp;DATE(2024,8,31),'2024数据'!$BS$3:$BS$152,$E1545)/10000</f>
        <v>0</v>
      </c>
      <c r="N1717" s="123">
        <f>SUMIFS('2024数据'!$BT$3:$BT$152,'2024数据'!$X$3:$X$152,"&gt;="&amp;DATE(2024,9,1),'2024数据'!$X$3:$X$152,"&lt;="&amp;DATE(2024,9,30),'2024数据'!$BS$3:$BS$152,$E1545)/10000</f>
        <v>0</v>
      </c>
      <c r="O1717" s="123">
        <f>SUMIFS('2024数据'!$BT$3:$BT$152,'2024数据'!$X$3:$X$152,"&gt;="&amp;DATE(2024,10,1),'2024数据'!$X$3:$X$152,"&lt;="&amp;DATE(2024,10,31),'2024数据'!$BS$3:$BS$152,$E1545)/10000</f>
        <v>0</v>
      </c>
      <c r="P1717" s="123">
        <f>SUMIFS('2024数据'!$BT$3:$BT$152,'2024数据'!$X$3:$X$152,"&gt;="&amp;DATE(2024,11,1),'2024数据'!$X$3:$X$152,"&lt;="&amp;DATE(2024,11,30),'2024数据'!$BS$3:$BS$152,$E1545)/10000</f>
        <v>0</v>
      </c>
      <c r="Q1717" s="123">
        <f>SUMIFS('2024数据'!$BT$3:$BT$152,'2024数据'!$X$3:$X$152,"&gt;="&amp;DATE(2024,12,1),'2024数据'!$X$3:$X$152,"&lt;="&amp;DATE(2024,12,31),'2024数据'!$BS$3:$BS$152,$E1545)/10000</f>
        <v>0.0129</v>
      </c>
    </row>
    <row r="1718" ht="24" customHeight="1" spans="1:17">
      <c r="A1718" s="99" t="s">
        <v>349</v>
      </c>
      <c r="B1718" s="99" t="s">
        <v>299</v>
      </c>
      <c r="C1718" s="99" t="s">
        <v>333</v>
      </c>
      <c r="D1718" s="114" t="s">
        <v>292</v>
      </c>
      <c r="E1718" s="53" t="s">
        <v>338</v>
      </c>
      <c r="F1718" s="123">
        <f>SUMIFS('2024数据'!$BT$3:$BT$152,'2024数据'!$X$3:$X$152,"&gt;="&amp;DATE(2024,1,1),'2024数据'!$X$3:$X$152,"&lt;="&amp;DATE(2024,1,31),'2024数据'!$BS$3:$BS$152,$E1546)/10000</f>
        <v>0.0085</v>
      </c>
      <c r="G1718" s="123">
        <f>SUMIFS('2024数据'!$BT$3:$BT$152,'2024数据'!$X$3:$X$152,"&gt;="&amp;DATE(2024,2,1),'2024数据'!$X$3:$X$152,"&lt;="&amp;DATE(2024,2,29),'2024数据'!$BS$3:$BS$152,$E1546)/10000</f>
        <v>0</v>
      </c>
      <c r="H1718" s="123">
        <f>SUMIFS('2024数据'!$BT$3:$BT$152,'2024数据'!$X$3:$X$152,"&gt;="&amp;DATE(2024,3,1),'2024数据'!$X$3:$X$152,"&lt;="&amp;DATE(2024,3,31),'2024数据'!$BS$3:$BS$152,$E1546)/10000</f>
        <v>0</v>
      </c>
      <c r="I1718" s="123">
        <f>SUMIFS('2024数据'!$BT$3:$BT$152,'2024数据'!$X$3:$X$152,"&gt;="&amp;DATE(2024,4,1),'2024数据'!$X$3:$X$152,"&lt;="&amp;DATE(2024,4,30),'2024数据'!$BS$3:$BS$152,$E1546)/10000</f>
        <v>0</v>
      </c>
      <c r="J1718" s="123">
        <f>SUMIFS('2024数据'!$BT$3:$BT$152,'2024数据'!$X$3:$X$152,"&gt;="&amp;DATE(2024,5,1),'2024数据'!$X$3:$X$152,"&lt;="&amp;DATE(2024,5,31),'2024数据'!$BS$3:$BS$152,$E1546)/10000</f>
        <v>0.1069</v>
      </c>
      <c r="K1718" s="123">
        <f>SUMIFS('2024数据'!$BT$3:$BT$152,'2024数据'!$X$3:$X$152,"&gt;="&amp;DATE(2024,6,1),'2024数据'!$X$3:$X$152,"&lt;="&amp;DATE(2024,6,30),'2024数据'!$BS$3:$BS$152,$E1546)/10000</f>
        <v>0</v>
      </c>
      <c r="L1718" s="123">
        <f>SUMIFS('2024数据'!$BT$3:$BT$152,'2024数据'!$X$3:$X$152,"&gt;="&amp;DATE(2024,7,1),'2024数据'!$X$3:$X$152,"&lt;="&amp;DATE(2024,7,31),'2024数据'!$BS$3:$BS$152,$E1546)/10000</f>
        <v>0</v>
      </c>
      <c r="M1718" s="123">
        <f>SUMIFS('2024数据'!$BT$3:$BT$152,'2024数据'!$X$3:$X$152,"&gt;="&amp;DATE(2024,8,1),'2024数据'!$X$3:$X$152,"&lt;="&amp;DATE(2024,8,31),'2024数据'!$BS$3:$BS$152,$E1546)/10000</f>
        <v>0</v>
      </c>
      <c r="N1718" s="123">
        <f>SUMIFS('2024数据'!$BT$3:$BT$152,'2024数据'!$X$3:$X$152,"&gt;="&amp;DATE(2024,9,1),'2024数据'!$X$3:$X$152,"&lt;="&amp;DATE(2024,9,30),'2024数据'!$BS$3:$BS$152,$E1546)/10000</f>
        <v>0</v>
      </c>
      <c r="O1718" s="123">
        <f>SUMIFS('2024数据'!$BT$3:$BT$152,'2024数据'!$X$3:$X$152,"&gt;="&amp;DATE(2024,10,1),'2024数据'!$X$3:$X$152,"&lt;="&amp;DATE(2024,10,31),'2024数据'!$BS$3:$BS$152,$E1546)/10000</f>
        <v>0</v>
      </c>
      <c r="P1718" s="123">
        <f>SUMIFS('2024数据'!$BT$3:$BT$152,'2024数据'!$X$3:$X$152,"&gt;="&amp;DATE(2024,11,1),'2024数据'!$X$3:$X$152,"&lt;="&amp;DATE(2024,11,30),'2024数据'!$BS$3:$BS$152,$E1546)/10000</f>
        <v>0</v>
      </c>
      <c r="Q1718" s="123">
        <f>SUMIFS('2024数据'!$BT$3:$BT$152,'2024数据'!$X$3:$X$152,"&gt;="&amp;DATE(2024,12,1),'2024数据'!$X$3:$X$152,"&lt;="&amp;DATE(2024,12,31),'2024数据'!$BS$3:$BS$152,$E1546)/10000</f>
        <v>0</v>
      </c>
    </row>
    <row r="1719" ht="24" customHeight="1" spans="1:17">
      <c r="A1719" s="99" t="s">
        <v>349</v>
      </c>
      <c r="B1719" s="99" t="s">
        <v>299</v>
      </c>
      <c r="C1719" s="99" t="s">
        <v>333</v>
      </c>
      <c r="D1719" s="114" t="s">
        <v>292</v>
      </c>
      <c r="E1719" s="53" t="s">
        <v>339</v>
      </c>
      <c r="F1719" s="123">
        <f>SUMIFS('2024数据'!$BT$3:$BT$152,'2024数据'!$X$3:$X$152,"&gt;="&amp;DATE(2024,1,1),'2024数据'!$X$3:$X$152,"&lt;="&amp;DATE(2024,1,31),'2024数据'!$BS$3:$BS$152,$E1547)/10000</f>
        <v>0</v>
      </c>
      <c r="G1719" s="123">
        <f>SUMIFS('2024数据'!$BT$3:$BT$152,'2024数据'!$X$3:$X$152,"&gt;="&amp;DATE(2024,2,1),'2024数据'!$X$3:$X$152,"&lt;="&amp;DATE(2024,2,29),'2024数据'!$BS$3:$BS$152,$E1547)/10000</f>
        <v>0</v>
      </c>
      <c r="H1719" s="123">
        <f>SUMIFS('2024数据'!$BT$3:$BT$152,'2024数据'!$X$3:$X$152,"&gt;="&amp;DATE(2024,3,1),'2024数据'!$X$3:$X$152,"&lt;="&amp;DATE(2024,3,31),'2024数据'!$BS$3:$BS$152,$E1547)/10000</f>
        <v>0</v>
      </c>
      <c r="I1719" s="123">
        <f>SUMIFS('2024数据'!$BT$3:$BT$152,'2024数据'!$X$3:$X$152,"&gt;="&amp;DATE(2024,4,1),'2024数据'!$X$3:$X$152,"&lt;="&amp;DATE(2024,4,30),'2024数据'!$BS$3:$BS$152,$E1547)/10000</f>
        <v>0</v>
      </c>
      <c r="J1719" s="123">
        <f>SUMIFS('2024数据'!$BT$3:$BT$152,'2024数据'!$X$3:$X$152,"&gt;="&amp;DATE(2024,5,1),'2024数据'!$X$3:$X$152,"&lt;="&amp;DATE(2024,5,31),'2024数据'!$BS$3:$BS$152,$E1547)/10000</f>
        <v>0</v>
      </c>
      <c r="K1719" s="123">
        <f>SUMIFS('2024数据'!$BT$3:$BT$152,'2024数据'!$X$3:$X$152,"&gt;="&amp;DATE(2024,6,1),'2024数据'!$X$3:$X$152,"&lt;="&amp;DATE(2024,6,30),'2024数据'!$BS$3:$BS$152,$E1547)/10000</f>
        <v>0</v>
      </c>
      <c r="L1719" s="123">
        <f>SUMIFS('2024数据'!$BT$3:$BT$152,'2024数据'!$X$3:$X$152,"&gt;="&amp;DATE(2024,7,1),'2024数据'!$X$3:$X$152,"&lt;="&amp;DATE(2024,7,31),'2024数据'!$BS$3:$BS$152,$E1547)/10000</f>
        <v>0</v>
      </c>
      <c r="M1719" s="123">
        <f>SUMIFS('2024数据'!$BT$3:$BT$152,'2024数据'!$X$3:$X$152,"&gt;="&amp;DATE(2024,8,1),'2024数据'!$X$3:$X$152,"&lt;="&amp;DATE(2024,8,31),'2024数据'!$BS$3:$BS$152,$E1547)/10000</f>
        <v>0</v>
      </c>
      <c r="N1719" s="123">
        <f>SUMIFS('2024数据'!$BT$3:$BT$152,'2024数据'!$X$3:$X$152,"&gt;="&amp;DATE(2024,9,1),'2024数据'!$X$3:$X$152,"&lt;="&amp;DATE(2024,9,30),'2024数据'!$BS$3:$BS$152,$E1547)/10000</f>
        <v>0</v>
      </c>
      <c r="O1719" s="123">
        <f>SUMIFS('2024数据'!$BT$3:$BT$152,'2024数据'!$X$3:$X$152,"&gt;="&amp;DATE(2024,10,1),'2024数据'!$X$3:$X$152,"&lt;="&amp;DATE(2024,10,31),'2024数据'!$BS$3:$BS$152,$E1547)/10000</f>
        <v>0</v>
      </c>
      <c r="P1719" s="123">
        <f>SUMIFS('2024数据'!$BT$3:$BT$152,'2024数据'!$X$3:$X$152,"&gt;="&amp;DATE(2024,11,1),'2024数据'!$X$3:$X$152,"&lt;="&amp;DATE(2024,11,30),'2024数据'!$BS$3:$BS$152,$E1547)/10000</f>
        <v>0</v>
      </c>
      <c r="Q1719" s="123">
        <f>SUMIFS('2024数据'!$BT$3:$BT$152,'2024数据'!$X$3:$X$152,"&gt;="&amp;DATE(2024,12,1),'2024数据'!$X$3:$X$152,"&lt;="&amp;DATE(2024,12,31),'2024数据'!$BS$3:$BS$152,$E1547)/10000</f>
        <v>0</v>
      </c>
    </row>
    <row r="1720" ht="24" customHeight="1" spans="1:17">
      <c r="A1720" s="99" t="s">
        <v>349</v>
      </c>
      <c r="B1720" s="99" t="s">
        <v>299</v>
      </c>
      <c r="C1720" s="99" t="s">
        <v>333</v>
      </c>
      <c r="D1720" s="53" t="s">
        <v>303</v>
      </c>
      <c r="E1720" s="53" t="s">
        <v>93</v>
      </c>
      <c r="F1720" s="123">
        <f>SUMIFS('2024数据'!$BT$3:$BT$152,'2024数据'!$X$3:$X$152,"&gt;="&amp;DATE(2024,1,1),'2024数据'!$X$3:$X$152,"&lt;="&amp;DATE(2024,1,31),'2024数据'!$BS$3:$BS$152,$E1545,'2024数据'!$B$3:$B$152,'2024整理'!$E1700)/10000</f>
        <v>0.0257</v>
      </c>
      <c r="G1720" s="123">
        <f>SUMIFS('2024数据'!$BT$3:$BT$152,'2024数据'!$X$3:$X$152,"&gt;="&amp;DATE(2024,2,1),'2024数据'!$X$3:$X$152,"&lt;="&amp;DATE(2024,2,29),'2024数据'!$BS$3:$BS$152,$E1545,'2024数据'!$B$3:$B$152,'2024整理'!$E1700)/10000</f>
        <v>0</v>
      </c>
      <c r="H1720" s="123">
        <f>SUMIFS('2024数据'!$BT$3:$BT$152,'2024数据'!$X$3:$X$152,"&gt;="&amp;DATE(2024,3,1),'2024数据'!$X$3:$X$152,"&lt;="&amp;DATE(2024,3,31),'2024数据'!$BS$3:$BS$152,$E1545,'2024数据'!$B$3:$B$152,'2024整理'!$E1700)/10000</f>
        <v>0</v>
      </c>
      <c r="I1720" s="123">
        <f>SUMIFS('2024数据'!$BT$3:$BT$152,'2024数据'!$X$3:$X$152,"&gt;="&amp;DATE(2024,4,1),'2024数据'!$X$3:$X$152,"&lt;="&amp;DATE(2024,4,30),'2024数据'!$BS$3:$BS$152,$E1545,'2024数据'!$B$3:$B$152,'2024整理'!$E1700)/10000</f>
        <v>0</v>
      </c>
      <c r="J1720" s="123">
        <f>SUMIFS('2024数据'!$BT$3:$BT$152,'2024数据'!$X$3:$X$152,"&gt;="&amp;DATE(2024,5,1),'2024数据'!$X$3:$X$152,"&lt;="&amp;DATE(2024,5,31),'2024数据'!$BS$3:$BS$152,$E1545,'2024数据'!$B$3:$B$152,'2024整理'!$E1700)/10000</f>
        <v>0</v>
      </c>
      <c r="K1720" s="123">
        <f>SUMIFS('2024数据'!$BT$3:$BT$152,'2024数据'!$X$3:$X$152,"&gt;="&amp;DATE(2024,6,1),'2024数据'!$X$3:$X$152,"&lt;="&amp;DATE(2024,6,30),'2024数据'!$BS$3:$BS$152,$E1545,'2024数据'!$B$3:$B$152,'2024整理'!$E1700)/10000</f>
        <v>0</v>
      </c>
      <c r="L1720" s="123">
        <f>SUMIFS('2024数据'!$BT$3:$BT$152,'2024数据'!$X$3:$X$152,"&gt;="&amp;DATE(2024,7,1),'2024数据'!$X$3:$X$152,"&lt;="&amp;DATE(2024,7,31),'2024数据'!$BS$3:$BS$152,$E1545,'2024数据'!$B$3:$B$152,'2024整理'!$E1700)/10000</f>
        <v>0</v>
      </c>
      <c r="M1720" s="123">
        <f>SUMIFS('2024数据'!$BT$3:$BT$152,'2024数据'!$X$3:$X$152,"&gt;="&amp;DATE(2024,8,1),'2024数据'!$X$3:$X$152,"&lt;="&amp;DATE(2024,8,31),'2024数据'!$BS$3:$BS$152,$E1545,'2024数据'!$B$3:$B$152,'2024整理'!$E1700)/10000</f>
        <v>0</v>
      </c>
      <c r="N1720" s="123">
        <f>SUMIFS('2024数据'!$BT$3:$BT$152,'2024数据'!$X$3:$X$152,"&gt;="&amp;DATE(2024,9,1),'2024数据'!$X$3:$X$152,"&lt;="&amp;DATE(2024,9,30),'2024数据'!$BS$3:$BS$152,$E1545,'2024数据'!$B$3:$B$152,'2024整理'!$E1700)/10000</f>
        <v>0</v>
      </c>
      <c r="O1720" s="123">
        <f>SUMIFS('2024数据'!$BT$3:$BT$152,'2024数据'!$X$3:$X$152,"&gt;="&amp;DATE(2024,10,1),'2024数据'!$X$3:$X$152,"&lt;="&amp;DATE(2024,10,31),'2024数据'!$BS$3:$BS$152,$E1545,'2024数据'!$B$3:$B$152,'2024整理'!$E1700)/10000</f>
        <v>0</v>
      </c>
      <c r="P1720" s="123">
        <f>SUMIFS('2024数据'!$BT$3:$BT$152,'2024数据'!$X$3:$X$152,"&gt;="&amp;DATE(2024,11,1),'2024数据'!$X$3:$X$152,"&lt;="&amp;DATE(2024,11,30),'2024数据'!$BS$3:$BS$152,$E1545,'2024数据'!$B$3:$B$152,'2024整理'!$E1700)/10000</f>
        <v>0</v>
      </c>
      <c r="Q1720" s="123">
        <f>SUMIFS('2024数据'!$BT$3:$BT$152,'2024数据'!$X$3:$X$152,"&gt;="&amp;DATE(2024,12,1),'2024数据'!$X$3:$X$152,"&lt;="&amp;DATE(2024,12,31),'2024数据'!$BS$3:$BS$152,$E1545,'2024数据'!$B$3:$B$152,'2024整理'!$E1700)/10000</f>
        <v>0</v>
      </c>
    </row>
    <row r="1721" ht="24" customHeight="1" spans="1:17">
      <c r="A1721" s="99" t="s">
        <v>349</v>
      </c>
      <c r="B1721" s="99" t="s">
        <v>299</v>
      </c>
      <c r="C1721" s="99" t="s">
        <v>333</v>
      </c>
      <c r="D1721" s="53" t="s">
        <v>303</v>
      </c>
      <c r="E1721" s="53" t="s">
        <v>85</v>
      </c>
      <c r="F1721" s="123">
        <f>SUMIFS('2024数据'!$BT$3:$BT$152,'2024数据'!$X$3:$X$152,"&gt;="&amp;DATE(2024,1,1),'2024数据'!$X$3:$X$152,"&lt;="&amp;DATE(2024,1,31),'2024数据'!$BS$3:$BS$152,$E1545,'2024数据'!$B$3:$B$152,'2024整理'!$E1701)/10000</f>
        <v>0</v>
      </c>
      <c r="G1721" s="123">
        <f>SUMIFS('2024数据'!$BT$3:$BT$152,'2024数据'!$X$3:$X$152,"&gt;="&amp;DATE(2024,2,1),'2024数据'!$X$3:$X$152,"&lt;="&amp;DATE(2024,2,29),'2024数据'!$BS$3:$BS$152,$E1545,'2024数据'!$B$3:$B$152,'2024整理'!$E1701)/10000</f>
        <v>0</v>
      </c>
      <c r="H1721" s="123">
        <f>SUMIFS('2024数据'!$BT$3:$BT$152,'2024数据'!$X$3:$X$152,"&gt;="&amp;DATE(2024,3,1),'2024数据'!$X$3:$X$152,"&lt;="&amp;DATE(2024,3,31),'2024数据'!$BS$3:$BS$152,$E1545,'2024数据'!$B$3:$B$152,'2024整理'!$E1701)/10000</f>
        <v>0</v>
      </c>
      <c r="I1721" s="123">
        <f>SUMIFS('2024数据'!$BT$3:$BT$152,'2024数据'!$X$3:$X$152,"&gt;="&amp;DATE(2024,4,1),'2024数据'!$X$3:$X$152,"&lt;="&amp;DATE(2024,4,30),'2024数据'!$BS$3:$BS$152,$E1545,'2024数据'!$B$3:$B$152,'2024整理'!$E1701)/10000</f>
        <v>0</v>
      </c>
      <c r="J1721" s="123">
        <f>SUMIFS('2024数据'!$BT$3:$BT$152,'2024数据'!$X$3:$X$152,"&gt;="&amp;DATE(2024,5,1),'2024数据'!$X$3:$X$152,"&lt;="&amp;DATE(2024,5,31),'2024数据'!$BS$3:$BS$152,$E1545,'2024数据'!$B$3:$B$152,'2024整理'!$E1701)/10000</f>
        <v>0</v>
      </c>
      <c r="K1721" s="123">
        <f>SUMIFS('2024数据'!$BT$3:$BT$152,'2024数据'!$X$3:$X$152,"&gt;="&amp;DATE(2024,6,1),'2024数据'!$X$3:$X$152,"&lt;="&amp;DATE(2024,6,30),'2024数据'!$BS$3:$BS$152,$E1545,'2024数据'!$B$3:$B$152,'2024整理'!$E1701)/10000</f>
        <v>0</v>
      </c>
      <c r="L1721" s="123">
        <f>SUMIFS('2024数据'!$BT$3:$BT$152,'2024数据'!$X$3:$X$152,"&gt;="&amp;DATE(2024,7,1),'2024数据'!$X$3:$X$152,"&lt;="&amp;DATE(2024,7,31),'2024数据'!$BS$3:$BS$152,$E1545,'2024数据'!$B$3:$B$152,'2024整理'!$E1701)/10000</f>
        <v>0</v>
      </c>
      <c r="M1721" s="123">
        <f>SUMIFS('2024数据'!$BT$3:$BT$152,'2024数据'!$X$3:$X$152,"&gt;="&amp;DATE(2024,8,1),'2024数据'!$X$3:$X$152,"&lt;="&amp;DATE(2024,8,31),'2024数据'!$BS$3:$BS$152,$E1545,'2024数据'!$B$3:$B$152,'2024整理'!$E1701)/10000</f>
        <v>0</v>
      </c>
      <c r="N1721" s="123">
        <f>SUMIFS('2024数据'!$BT$3:$BT$152,'2024数据'!$X$3:$X$152,"&gt;="&amp;DATE(2024,9,1),'2024数据'!$X$3:$X$152,"&lt;="&amp;DATE(2024,9,30),'2024数据'!$BS$3:$BS$152,$E1545,'2024数据'!$B$3:$B$152,'2024整理'!$E1701)/10000</f>
        <v>0</v>
      </c>
      <c r="O1721" s="123">
        <f>SUMIFS('2024数据'!$BT$3:$BT$152,'2024数据'!$X$3:$X$152,"&gt;="&amp;DATE(2024,10,1),'2024数据'!$X$3:$X$152,"&lt;="&amp;DATE(2024,10,31),'2024数据'!$BS$3:$BS$152,$E1545,'2024数据'!$B$3:$B$152,'2024整理'!$E1701)/10000</f>
        <v>0</v>
      </c>
      <c r="P1721" s="123">
        <f>SUMIFS('2024数据'!$BT$3:$BT$152,'2024数据'!$X$3:$X$152,"&gt;="&amp;DATE(2024,11,1),'2024数据'!$X$3:$X$152,"&lt;="&amp;DATE(2024,11,30),'2024数据'!$BS$3:$BS$152,$E1545,'2024数据'!$B$3:$B$152,'2024整理'!$E1701)/10000</f>
        <v>0</v>
      </c>
      <c r="Q1721" s="123">
        <f>SUMIFS('2024数据'!$BT$3:$BT$152,'2024数据'!$X$3:$X$152,"&gt;="&amp;DATE(2024,12,1),'2024数据'!$X$3:$X$152,"&lt;="&amp;DATE(2024,12,31),'2024数据'!$BS$3:$BS$152,$E1545,'2024数据'!$B$3:$B$152,'2024整理'!$E1701)/10000</f>
        <v>0</v>
      </c>
    </row>
    <row r="1722" ht="24" customHeight="1" spans="1:17">
      <c r="A1722" s="99" t="s">
        <v>349</v>
      </c>
      <c r="B1722" s="99" t="s">
        <v>299</v>
      </c>
      <c r="C1722" s="99" t="s">
        <v>333</v>
      </c>
      <c r="D1722" s="53" t="s">
        <v>303</v>
      </c>
      <c r="E1722" s="53" t="s">
        <v>81</v>
      </c>
      <c r="F1722" s="123">
        <f>SUMIFS('2024数据'!$BT$3:$BT$152,'2024数据'!$X$3:$X$152,"&gt;="&amp;DATE(2024,1,1),'2024数据'!$X$3:$X$152,"&lt;="&amp;DATE(2024,1,31),'2024数据'!$BS$3:$BS$152,$E1545,'2024数据'!$B$3:$B$152,'2024整理'!$E1702)/10000</f>
        <v>0</v>
      </c>
      <c r="G1722" s="123">
        <f>SUMIFS('2024数据'!$BT$3:$BT$152,'2024数据'!$X$3:$X$152,"&gt;="&amp;DATE(2024,2,1),'2024数据'!$X$3:$X$152,"&lt;="&amp;DATE(2024,2,29),'2024数据'!$BS$3:$BS$152,$E1545,'2024数据'!$B$3:$B$152,'2024整理'!$E1702)/10000</f>
        <v>0</v>
      </c>
      <c r="H1722" s="123">
        <f>SUMIFS('2024数据'!$BT$3:$BT$152,'2024数据'!$X$3:$X$152,"&gt;="&amp;DATE(2024,3,1),'2024数据'!$X$3:$X$152,"&lt;="&amp;DATE(2024,3,31),'2024数据'!$BS$3:$BS$152,$E1545,'2024数据'!$B$3:$B$152,'2024整理'!$E1702)/10000</f>
        <v>0</v>
      </c>
      <c r="I1722" s="123">
        <f>SUMIFS('2024数据'!$BT$3:$BT$152,'2024数据'!$X$3:$X$152,"&gt;="&amp;DATE(2024,4,1),'2024数据'!$X$3:$X$152,"&lt;="&amp;DATE(2024,4,30),'2024数据'!$BS$3:$BS$152,$E1545,'2024数据'!$B$3:$B$152,'2024整理'!$E1702)/10000</f>
        <v>0</v>
      </c>
      <c r="J1722" s="123">
        <f>SUMIFS('2024数据'!$BT$3:$BT$152,'2024数据'!$X$3:$X$152,"&gt;="&amp;DATE(2024,5,1),'2024数据'!$X$3:$X$152,"&lt;="&amp;DATE(2024,5,31),'2024数据'!$BS$3:$BS$152,$E1545,'2024数据'!$B$3:$B$152,'2024整理'!$E1702)/10000</f>
        <v>0</v>
      </c>
      <c r="K1722" s="123">
        <f>SUMIFS('2024数据'!$BT$3:$BT$152,'2024数据'!$X$3:$X$152,"&gt;="&amp;DATE(2024,6,1),'2024数据'!$X$3:$X$152,"&lt;="&amp;DATE(2024,6,30),'2024数据'!$BS$3:$BS$152,$E1545,'2024数据'!$B$3:$B$152,'2024整理'!$E1702)/10000</f>
        <v>0</v>
      </c>
      <c r="L1722" s="123">
        <f>SUMIFS('2024数据'!$BT$3:$BT$152,'2024数据'!$X$3:$X$152,"&gt;="&amp;DATE(2024,7,1),'2024数据'!$X$3:$X$152,"&lt;="&amp;DATE(2024,7,31),'2024数据'!$BS$3:$BS$152,$E1545,'2024数据'!$B$3:$B$152,'2024整理'!$E1702)/10000</f>
        <v>0</v>
      </c>
      <c r="M1722" s="123">
        <f>SUMIFS('2024数据'!$BT$3:$BT$152,'2024数据'!$X$3:$X$152,"&gt;="&amp;DATE(2024,8,1),'2024数据'!$X$3:$X$152,"&lt;="&amp;DATE(2024,8,31),'2024数据'!$BS$3:$BS$152,$E1545,'2024数据'!$B$3:$B$152,'2024整理'!$E1702)/10000</f>
        <v>0</v>
      </c>
      <c r="N1722" s="123">
        <f>SUMIFS('2024数据'!$BT$3:$BT$152,'2024数据'!$X$3:$X$152,"&gt;="&amp;DATE(2024,9,1),'2024数据'!$X$3:$X$152,"&lt;="&amp;DATE(2024,9,30),'2024数据'!$BS$3:$BS$152,$E1545,'2024数据'!$B$3:$B$152,'2024整理'!$E1702)/10000</f>
        <v>0</v>
      </c>
      <c r="O1722" s="123">
        <f>SUMIFS('2024数据'!$BT$3:$BT$152,'2024数据'!$X$3:$X$152,"&gt;="&amp;DATE(2024,10,1),'2024数据'!$X$3:$X$152,"&lt;="&amp;DATE(2024,10,31),'2024数据'!$BS$3:$BS$152,$E1545,'2024数据'!$B$3:$B$152,'2024整理'!$E1702)/10000</f>
        <v>0</v>
      </c>
      <c r="P1722" s="123">
        <f>SUMIFS('2024数据'!$BT$3:$BT$152,'2024数据'!$X$3:$X$152,"&gt;="&amp;DATE(2024,11,1),'2024数据'!$X$3:$X$152,"&lt;="&amp;DATE(2024,11,30),'2024数据'!$BS$3:$BS$152,$E1545,'2024数据'!$B$3:$B$152,'2024整理'!$E1702)/10000</f>
        <v>0</v>
      </c>
      <c r="Q1722" s="123">
        <f>SUMIFS('2024数据'!$BT$3:$BT$152,'2024数据'!$X$3:$X$152,"&gt;="&amp;DATE(2024,12,1),'2024数据'!$X$3:$X$152,"&lt;="&amp;DATE(2024,12,31),'2024数据'!$BS$3:$BS$152,$E1545,'2024数据'!$B$3:$B$152,'2024整理'!$E1702)/10000</f>
        <v>0.0129</v>
      </c>
    </row>
    <row r="1723" ht="24" customHeight="1" spans="1:17">
      <c r="A1723" s="99" t="s">
        <v>349</v>
      </c>
      <c r="B1723" s="99" t="s">
        <v>299</v>
      </c>
      <c r="C1723" s="99" t="s">
        <v>333</v>
      </c>
      <c r="D1723" s="53" t="s">
        <v>303</v>
      </c>
      <c r="E1723" s="53" t="s">
        <v>96</v>
      </c>
      <c r="F1723" s="123">
        <f>SUMIFS('2024数据'!$BT$3:$BT$152,'2024数据'!$X$3:$X$152,"&gt;="&amp;DATE(2024,1,1),'2024数据'!$X$3:$X$152,"&lt;="&amp;DATE(2024,1,31),'2024数据'!$BS$3:$BS$152,$E1545,'2024数据'!$B$3:$B$152,'2024整理'!$E1703)/10000</f>
        <v>0</v>
      </c>
      <c r="G1723" s="123">
        <f>SUMIFS('2024数据'!$BT$3:$BT$152,'2024数据'!$X$3:$X$152,"&gt;="&amp;DATE(2024,2,1),'2024数据'!$X$3:$X$152,"&lt;="&amp;DATE(2024,2,29),'2024数据'!$BS$3:$BS$152,$E1545,'2024数据'!$B$3:$B$152,'2024整理'!$E1703)/10000</f>
        <v>0</v>
      </c>
      <c r="H1723" s="123">
        <f>SUMIFS('2024数据'!$BT$3:$BT$152,'2024数据'!$X$3:$X$152,"&gt;="&amp;DATE(2024,3,1),'2024数据'!$X$3:$X$152,"&lt;="&amp;DATE(2024,3,31),'2024数据'!$BS$3:$BS$152,$E1545,'2024数据'!$B$3:$B$152,'2024整理'!$E1703)/10000</f>
        <v>0</v>
      </c>
      <c r="I1723" s="123">
        <f>SUMIFS('2024数据'!$BT$3:$BT$152,'2024数据'!$X$3:$X$152,"&gt;="&amp;DATE(2024,4,1),'2024数据'!$X$3:$X$152,"&lt;="&amp;DATE(2024,4,30),'2024数据'!$BS$3:$BS$152,$E1545,'2024数据'!$B$3:$B$152,'2024整理'!$E1703)/10000</f>
        <v>0</v>
      </c>
      <c r="J1723" s="123">
        <f>SUMIFS('2024数据'!$BT$3:$BT$152,'2024数据'!$X$3:$X$152,"&gt;="&amp;DATE(2024,5,1),'2024数据'!$X$3:$X$152,"&lt;="&amp;DATE(2024,5,31),'2024数据'!$BS$3:$BS$152,$E1545,'2024数据'!$B$3:$B$152,'2024整理'!$E1703)/10000</f>
        <v>0</v>
      </c>
      <c r="K1723" s="123">
        <f>SUMIFS('2024数据'!$BT$3:$BT$152,'2024数据'!$X$3:$X$152,"&gt;="&amp;DATE(2024,6,1),'2024数据'!$X$3:$X$152,"&lt;="&amp;DATE(2024,6,30),'2024数据'!$BS$3:$BS$152,$E1545,'2024数据'!$B$3:$B$152,'2024整理'!$E1703)/10000</f>
        <v>0</v>
      </c>
      <c r="L1723" s="123">
        <f>SUMIFS('2024数据'!$BT$3:$BT$152,'2024数据'!$X$3:$X$152,"&gt;="&amp;DATE(2024,7,1),'2024数据'!$X$3:$X$152,"&lt;="&amp;DATE(2024,7,31),'2024数据'!$BS$3:$BS$152,$E1545,'2024数据'!$B$3:$B$152,'2024整理'!$E1703)/10000</f>
        <v>0</v>
      </c>
      <c r="M1723" s="123">
        <f>SUMIFS('2024数据'!$BT$3:$BT$152,'2024数据'!$X$3:$X$152,"&gt;="&amp;DATE(2024,8,1),'2024数据'!$X$3:$X$152,"&lt;="&amp;DATE(2024,8,31),'2024数据'!$BS$3:$BS$152,$E1545,'2024数据'!$B$3:$B$152,'2024整理'!$E1703)/10000</f>
        <v>0</v>
      </c>
      <c r="N1723" s="123">
        <f>SUMIFS('2024数据'!$BT$3:$BT$152,'2024数据'!$X$3:$X$152,"&gt;="&amp;DATE(2024,9,1),'2024数据'!$X$3:$X$152,"&lt;="&amp;DATE(2024,9,30),'2024数据'!$BS$3:$BS$152,$E1545,'2024数据'!$B$3:$B$152,'2024整理'!$E1703)/10000</f>
        <v>0</v>
      </c>
      <c r="O1723" s="123">
        <f>SUMIFS('2024数据'!$BT$3:$BT$152,'2024数据'!$X$3:$X$152,"&gt;="&amp;DATE(2024,10,1),'2024数据'!$X$3:$X$152,"&lt;="&amp;DATE(2024,10,31),'2024数据'!$BS$3:$BS$152,$E1545,'2024数据'!$B$3:$B$152,'2024整理'!$E1703)/10000</f>
        <v>0</v>
      </c>
      <c r="P1723" s="123">
        <f>SUMIFS('2024数据'!$BT$3:$BT$152,'2024数据'!$X$3:$X$152,"&gt;="&amp;DATE(2024,11,1),'2024数据'!$X$3:$X$152,"&lt;="&amp;DATE(2024,11,30),'2024数据'!$BS$3:$BS$152,$E1545,'2024数据'!$B$3:$B$152,'2024整理'!$E1703)/10000</f>
        <v>0</v>
      </c>
      <c r="Q1723" s="123">
        <f>SUMIFS('2024数据'!$BT$3:$BT$152,'2024数据'!$X$3:$X$152,"&gt;="&amp;DATE(2024,12,1),'2024数据'!$X$3:$X$152,"&lt;="&amp;DATE(2024,12,31),'2024数据'!$BS$3:$BS$152,$E1545,'2024数据'!$B$3:$B$152,'2024整理'!$E1703)/10000</f>
        <v>0</v>
      </c>
    </row>
    <row r="1724" ht="24" customHeight="1" spans="1:17">
      <c r="A1724" s="99" t="s">
        <v>349</v>
      </c>
      <c r="B1724" s="99" t="s">
        <v>299</v>
      </c>
      <c r="C1724" s="99" t="s">
        <v>333</v>
      </c>
      <c r="D1724" s="53" t="s">
        <v>303</v>
      </c>
      <c r="E1724" s="53" t="s">
        <v>160</v>
      </c>
      <c r="F1724" s="123">
        <f t="shared" ref="F1724:Q1724" si="1257">F1717-SUM(F1720:F1723)</f>
        <v>0</v>
      </c>
      <c r="G1724" s="123">
        <f t="shared" si="1257"/>
        <v>0</v>
      </c>
      <c r="H1724" s="123">
        <f t="shared" si="1257"/>
        <v>0</v>
      </c>
      <c r="I1724" s="123">
        <f t="shared" si="1257"/>
        <v>0</v>
      </c>
      <c r="J1724" s="123">
        <f t="shared" si="1257"/>
        <v>0</v>
      </c>
      <c r="K1724" s="123">
        <f t="shared" si="1257"/>
        <v>0</v>
      </c>
      <c r="L1724" s="123">
        <f t="shared" si="1257"/>
        <v>0</v>
      </c>
      <c r="M1724" s="123">
        <f t="shared" si="1257"/>
        <v>0</v>
      </c>
      <c r="N1724" s="123">
        <f t="shared" si="1257"/>
        <v>0</v>
      </c>
      <c r="O1724" s="123">
        <f t="shared" si="1257"/>
        <v>0</v>
      </c>
      <c r="P1724" s="123">
        <f t="shared" si="1257"/>
        <v>0</v>
      </c>
      <c r="Q1724" s="123">
        <f t="shared" si="1257"/>
        <v>0</v>
      </c>
    </row>
    <row r="1725" ht="24" customHeight="1" spans="1:17">
      <c r="A1725" s="99" t="s">
        <v>349</v>
      </c>
      <c r="B1725" s="99" t="s">
        <v>299</v>
      </c>
      <c r="C1725" s="99" t="s">
        <v>333</v>
      </c>
      <c r="D1725" s="53" t="s">
        <v>304</v>
      </c>
      <c r="E1725" s="53" t="s">
        <v>93</v>
      </c>
      <c r="F1725" s="123">
        <f>SUMIFS('2024数据'!$BT$3:$BT$152,'2024数据'!$X$3:$X$152,"&gt;="&amp;DATE(2024,1,1),'2024数据'!$X$3:$X$152,"&lt;="&amp;DATE(2024,1,31),'2024数据'!$BS$3:$BS$152,$E1546,'2024数据'!$B$3:$B$152,'2024整理'!$E1700)/10000</f>
        <v>0.0085</v>
      </c>
      <c r="G1725" s="123">
        <f>SUMIFS('2024数据'!$BT$3:$BT$152,'2024数据'!$X$3:$X$152,"&gt;="&amp;DATE(2024,2,1),'2024数据'!$X$3:$X$152,"&lt;="&amp;DATE(2024,2,29),'2024数据'!$BS$3:$BS$152,$E1546,'2024数据'!$B$3:$B$152,'2024整理'!$E1700)/10000</f>
        <v>0</v>
      </c>
      <c r="H1725" s="123">
        <f>SUMIFS('2024数据'!$BT$3:$BT$152,'2024数据'!$X$3:$X$152,"&gt;="&amp;DATE(2024,3,1),'2024数据'!$X$3:$X$152,"&lt;="&amp;DATE(2024,3,31),'2024数据'!$BS$3:$BS$152,$E1546,'2024数据'!$B$3:$B$152,'2024整理'!$E1700)/10000</f>
        <v>0</v>
      </c>
      <c r="I1725" s="123">
        <f>SUMIFS('2024数据'!$BT$3:$BT$152,'2024数据'!$X$3:$X$152,"&gt;="&amp;DATE(2024,4,1),'2024数据'!$X$3:$X$152,"&lt;="&amp;DATE(2024,4,30),'2024数据'!$BS$3:$BS$152,$E1546,'2024数据'!$B$3:$B$152,'2024整理'!$E1700)/10000</f>
        <v>0</v>
      </c>
      <c r="J1725" s="123">
        <f>SUMIFS('2024数据'!$BT$3:$BT$152,'2024数据'!$X$3:$X$152,"&gt;="&amp;DATE(2024,5,1),'2024数据'!$X$3:$X$152,"&lt;="&amp;DATE(2024,5,31),'2024数据'!$BS$3:$BS$152,$E1546,'2024数据'!$B$3:$B$152,'2024整理'!$E1700)/10000</f>
        <v>0.1069</v>
      </c>
      <c r="K1725" s="123">
        <f>SUMIFS('2024数据'!$BT$3:$BT$152,'2024数据'!$X$3:$X$152,"&gt;="&amp;DATE(2024,6,1),'2024数据'!$X$3:$X$152,"&lt;="&amp;DATE(2024,6,30),'2024数据'!$BS$3:$BS$152,$E1546,'2024数据'!$B$3:$B$152,'2024整理'!$E1700)/10000</f>
        <v>0</v>
      </c>
      <c r="L1725" s="123">
        <f>SUMIFS('2024数据'!$BT$3:$BT$152,'2024数据'!$X$3:$X$152,"&gt;="&amp;DATE(2024,7,1),'2024数据'!$X$3:$X$152,"&lt;="&amp;DATE(2024,7,31),'2024数据'!$BS$3:$BS$152,$E1546,'2024数据'!$B$3:$B$152,'2024整理'!$E1700)/10000</f>
        <v>0</v>
      </c>
      <c r="M1725" s="123">
        <f>SUMIFS('2024数据'!$BT$3:$BT$152,'2024数据'!$X$3:$X$152,"&gt;="&amp;DATE(2024,8,1),'2024数据'!$X$3:$X$152,"&lt;="&amp;DATE(2024,8,31),'2024数据'!$BS$3:$BS$152,$E1546,'2024数据'!$B$3:$B$152,'2024整理'!$E1700)/10000</f>
        <v>0</v>
      </c>
      <c r="N1725" s="123">
        <f>SUMIFS('2024数据'!$BT$3:$BT$152,'2024数据'!$X$3:$X$152,"&gt;="&amp;DATE(2024,9,1),'2024数据'!$X$3:$X$152,"&lt;="&amp;DATE(2024,9,30),'2024数据'!$BS$3:$BS$152,$E1546,'2024数据'!$B$3:$B$152,'2024整理'!$E1700)/10000</f>
        <v>0</v>
      </c>
      <c r="O1725" s="123">
        <f>SUMIFS('2024数据'!$BT$3:$BT$152,'2024数据'!$X$3:$X$152,"&gt;="&amp;DATE(2024,10,1),'2024数据'!$X$3:$X$152,"&lt;="&amp;DATE(2024,10,31),'2024数据'!$BS$3:$BS$152,$E1546,'2024数据'!$B$3:$B$152,'2024整理'!$E1700)/10000</f>
        <v>0</v>
      </c>
      <c r="P1725" s="123">
        <f>SUMIFS('2024数据'!$BT$3:$BT$152,'2024数据'!$X$3:$X$152,"&gt;="&amp;DATE(2024,11,1),'2024数据'!$X$3:$X$152,"&lt;="&amp;DATE(2024,11,30),'2024数据'!$BS$3:$BS$152,$E1546,'2024数据'!$B$3:$B$152,'2024整理'!$E1700)/10000</f>
        <v>0</v>
      </c>
      <c r="Q1725" s="123">
        <f>SUMIFS('2024数据'!$BT$3:$BT$152,'2024数据'!$X$3:$X$152,"&gt;="&amp;DATE(2024,12,1),'2024数据'!$X$3:$X$152,"&lt;="&amp;DATE(2024,12,31),'2024数据'!$BS$3:$BS$152,$E1546,'2024数据'!$B$3:$B$152,'2024整理'!$E1700)/10000</f>
        <v>0</v>
      </c>
    </row>
    <row r="1726" ht="24" customHeight="1" spans="1:17">
      <c r="A1726" s="99" t="s">
        <v>349</v>
      </c>
      <c r="B1726" s="99" t="s">
        <v>299</v>
      </c>
      <c r="C1726" s="99" t="s">
        <v>333</v>
      </c>
      <c r="D1726" s="53" t="s">
        <v>304</v>
      </c>
      <c r="E1726" s="53" t="s">
        <v>85</v>
      </c>
      <c r="F1726" s="123">
        <f>SUMIFS('2024数据'!$BT$3:$BT$152,'2024数据'!$X$3:$X$152,"&gt;="&amp;DATE(2024,1,1),'2024数据'!$X$3:$X$152,"&lt;="&amp;DATE(2024,1,31),'2024数据'!$BS$3:$BS$152,$E1546,'2024数据'!$B$3:$B$152,'2024整理'!$E1701)/10000</f>
        <v>0</v>
      </c>
      <c r="G1726" s="123">
        <f>SUMIFS('2024数据'!$BT$3:$BT$152,'2024数据'!$X$3:$X$152,"&gt;="&amp;DATE(2024,2,1),'2024数据'!$X$3:$X$152,"&lt;="&amp;DATE(2024,2,29),'2024数据'!$BS$3:$BS$152,$E1546,'2024数据'!$B$3:$B$152,'2024整理'!$E1701)/10000</f>
        <v>0</v>
      </c>
      <c r="H1726" s="123">
        <f>SUMIFS('2024数据'!$BT$3:$BT$152,'2024数据'!$X$3:$X$152,"&gt;="&amp;DATE(2024,3,1),'2024数据'!$X$3:$X$152,"&lt;="&amp;DATE(2024,3,31),'2024数据'!$BS$3:$BS$152,$E1546,'2024数据'!$B$3:$B$152,'2024整理'!$E1701)/10000</f>
        <v>0</v>
      </c>
      <c r="I1726" s="123">
        <f>SUMIFS('2024数据'!$BT$3:$BT$152,'2024数据'!$X$3:$X$152,"&gt;="&amp;DATE(2024,4,1),'2024数据'!$X$3:$X$152,"&lt;="&amp;DATE(2024,4,30),'2024数据'!$BS$3:$BS$152,$E1546,'2024数据'!$B$3:$B$152,'2024整理'!$E1701)/10000</f>
        <v>0</v>
      </c>
      <c r="J1726" s="123">
        <f>SUMIFS('2024数据'!$BT$3:$BT$152,'2024数据'!$X$3:$X$152,"&gt;="&amp;DATE(2024,5,1),'2024数据'!$X$3:$X$152,"&lt;="&amp;DATE(2024,5,31),'2024数据'!$BS$3:$BS$152,$E1546,'2024数据'!$B$3:$B$152,'2024整理'!$E1701)/10000</f>
        <v>0</v>
      </c>
      <c r="K1726" s="123">
        <f>SUMIFS('2024数据'!$BT$3:$BT$152,'2024数据'!$X$3:$X$152,"&gt;="&amp;DATE(2024,6,1),'2024数据'!$X$3:$X$152,"&lt;="&amp;DATE(2024,6,30),'2024数据'!$BS$3:$BS$152,$E1546,'2024数据'!$B$3:$B$152,'2024整理'!$E1701)/10000</f>
        <v>0</v>
      </c>
      <c r="L1726" s="123">
        <f>SUMIFS('2024数据'!$BT$3:$BT$152,'2024数据'!$X$3:$X$152,"&gt;="&amp;DATE(2024,7,1),'2024数据'!$X$3:$X$152,"&lt;="&amp;DATE(2024,7,31),'2024数据'!$BS$3:$BS$152,$E1546,'2024数据'!$B$3:$B$152,'2024整理'!$E1701)/10000</f>
        <v>0</v>
      </c>
      <c r="M1726" s="123">
        <f>SUMIFS('2024数据'!$BT$3:$BT$152,'2024数据'!$X$3:$X$152,"&gt;="&amp;DATE(2024,8,1),'2024数据'!$X$3:$X$152,"&lt;="&amp;DATE(2024,8,31),'2024数据'!$BS$3:$BS$152,$E1546,'2024数据'!$B$3:$B$152,'2024整理'!$E1701)/10000</f>
        <v>0</v>
      </c>
      <c r="N1726" s="123">
        <f>SUMIFS('2024数据'!$BT$3:$BT$152,'2024数据'!$X$3:$X$152,"&gt;="&amp;DATE(2024,9,1),'2024数据'!$X$3:$X$152,"&lt;="&amp;DATE(2024,9,30),'2024数据'!$BS$3:$BS$152,$E1546,'2024数据'!$B$3:$B$152,'2024整理'!$E1701)/10000</f>
        <v>0</v>
      </c>
      <c r="O1726" s="123">
        <f>SUMIFS('2024数据'!$BT$3:$BT$152,'2024数据'!$X$3:$X$152,"&gt;="&amp;DATE(2024,10,1),'2024数据'!$X$3:$X$152,"&lt;="&amp;DATE(2024,10,31),'2024数据'!$BS$3:$BS$152,$E1546,'2024数据'!$B$3:$B$152,'2024整理'!$E1701)/10000</f>
        <v>0</v>
      </c>
      <c r="P1726" s="123">
        <f>SUMIFS('2024数据'!$BT$3:$BT$152,'2024数据'!$X$3:$X$152,"&gt;="&amp;DATE(2024,11,1),'2024数据'!$X$3:$X$152,"&lt;="&amp;DATE(2024,11,30),'2024数据'!$BS$3:$BS$152,$E1546,'2024数据'!$B$3:$B$152,'2024整理'!$E1701)/10000</f>
        <v>0</v>
      </c>
      <c r="Q1726" s="123">
        <f>SUMIFS('2024数据'!$BT$3:$BT$152,'2024数据'!$X$3:$X$152,"&gt;="&amp;DATE(2024,12,1),'2024数据'!$X$3:$X$152,"&lt;="&amp;DATE(2024,12,31),'2024数据'!$BS$3:$BS$152,$E1546,'2024数据'!$B$3:$B$152,'2024整理'!$E1701)/10000</f>
        <v>0</v>
      </c>
    </row>
    <row r="1727" ht="24" customHeight="1" spans="1:17">
      <c r="A1727" s="99" t="s">
        <v>349</v>
      </c>
      <c r="B1727" s="99" t="s">
        <v>299</v>
      </c>
      <c r="C1727" s="99" t="s">
        <v>333</v>
      </c>
      <c r="D1727" s="53" t="s">
        <v>304</v>
      </c>
      <c r="E1727" s="53" t="s">
        <v>81</v>
      </c>
      <c r="F1727" s="123">
        <f>SUMIFS('2024数据'!$BT$3:$BT$152,'2024数据'!$X$3:$X$152,"&gt;="&amp;DATE(2024,1,1),'2024数据'!$X$3:$X$152,"&lt;="&amp;DATE(2024,1,31),'2024数据'!$BS$3:$BS$152,$E1546,'2024数据'!$B$3:$B$152,'2024整理'!$E1702)/10000</f>
        <v>0</v>
      </c>
      <c r="G1727" s="123">
        <f>SUMIFS('2024数据'!$BT$3:$BT$152,'2024数据'!$X$3:$X$152,"&gt;="&amp;DATE(2024,2,1),'2024数据'!$X$3:$X$152,"&lt;="&amp;DATE(2024,2,29),'2024数据'!$BS$3:$BS$152,$E1546,'2024数据'!$B$3:$B$152,'2024整理'!$E1702)/10000</f>
        <v>0</v>
      </c>
      <c r="H1727" s="123">
        <f>SUMIFS('2024数据'!$BT$3:$BT$152,'2024数据'!$X$3:$X$152,"&gt;="&amp;DATE(2024,3,1),'2024数据'!$X$3:$X$152,"&lt;="&amp;DATE(2024,3,31),'2024数据'!$BS$3:$BS$152,$E1546,'2024数据'!$B$3:$B$152,'2024整理'!$E1702)/10000</f>
        <v>0</v>
      </c>
      <c r="I1727" s="123">
        <f>SUMIFS('2024数据'!$BT$3:$BT$152,'2024数据'!$X$3:$X$152,"&gt;="&amp;DATE(2024,4,1),'2024数据'!$X$3:$X$152,"&lt;="&amp;DATE(2024,4,30),'2024数据'!$BS$3:$BS$152,$E1546,'2024数据'!$B$3:$B$152,'2024整理'!$E1702)/10000</f>
        <v>0</v>
      </c>
      <c r="J1727" s="123">
        <f>SUMIFS('2024数据'!$BT$3:$BT$152,'2024数据'!$X$3:$X$152,"&gt;="&amp;DATE(2024,5,1),'2024数据'!$X$3:$X$152,"&lt;="&amp;DATE(2024,5,31),'2024数据'!$BS$3:$BS$152,$E1546,'2024数据'!$B$3:$B$152,'2024整理'!$E1702)/10000</f>
        <v>0</v>
      </c>
      <c r="K1727" s="123">
        <f>SUMIFS('2024数据'!$BT$3:$BT$152,'2024数据'!$X$3:$X$152,"&gt;="&amp;DATE(2024,6,1),'2024数据'!$X$3:$X$152,"&lt;="&amp;DATE(2024,6,30),'2024数据'!$BS$3:$BS$152,$E1546,'2024数据'!$B$3:$B$152,'2024整理'!$E1702)/10000</f>
        <v>0</v>
      </c>
      <c r="L1727" s="123">
        <f>SUMIFS('2024数据'!$BT$3:$BT$152,'2024数据'!$X$3:$X$152,"&gt;="&amp;DATE(2024,7,1),'2024数据'!$X$3:$X$152,"&lt;="&amp;DATE(2024,7,31),'2024数据'!$BS$3:$BS$152,$E1546,'2024数据'!$B$3:$B$152,'2024整理'!$E1702)/10000</f>
        <v>0</v>
      </c>
      <c r="M1727" s="123">
        <f>SUMIFS('2024数据'!$BT$3:$BT$152,'2024数据'!$X$3:$X$152,"&gt;="&amp;DATE(2024,8,1),'2024数据'!$X$3:$X$152,"&lt;="&amp;DATE(2024,8,31),'2024数据'!$BS$3:$BS$152,$E1546,'2024数据'!$B$3:$B$152,'2024整理'!$E1702)/10000</f>
        <v>0</v>
      </c>
      <c r="N1727" s="123">
        <f>SUMIFS('2024数据'!$BT$3:$BT$152,'2024数据'!$X$3:$X$152,"&gt;="&amp;DATE(2024,9,1),'2024数据'!$X$3:$X$152,"&lt;="&amp;DATE(2024,9,30),'2024数据'!$BS$3:$BS$152,$E1546,'2024数据'!$B$3:$B$152,'2024整理'!$E1702)/10000</f>
        <v>0</v>
      </c>
      <c r="O1727" s="123">
        <f>SUMIFS('2024数据'!$BT$3:$BT$152,'2024数据'!$X$3:$X$152,"&gt;="&amp;DATE(2024,10,1),'2024数据'!$X$3:$X$152,"&lt;="&amp;DATE(2024,10,31),'2024数据'!$BS$3:$BS$152,$E1546,'2024数据'!$B$3:$B$152,'2024整理'!$E1702)/10000</f>
        <v>0</v>
      </c>
      <c r="P1727" s="123">
        <f>SUMIFS('2024数据'!$BT$3:$BT$152,'2024数据'!$X$3:$X$152,"&gt;="&amp;DATE(2024,11,1),'2024数据'!$X$3:$X$152,"&lt;="&amp;DATE(2024,11,30),'2024数据'!$BS$3:$BS$152,$E1546,'2024数据'!$B$3:$B$152,'2024整理'!$E1702)/10000</f>
        <v>0</v>
      </c>
      <c r="Q1727" s="123">
        <f>SUMIFS('2024数据'!$BT$3:$BT$152,'2024数据'!$X$3:$X$152,"&gt;="&amp;DATE(2024,12,1),'2024数据'!$X$3:$X$152,"&lt;="&amp;DATE(2024,12,31),'2024数据'!$BS$3:$BS$152,$E1546,'2024数据'!$B$3:$B$152,'2024整理'!$E1702)/10000</f>
        <v>0</v>
      </c>
    </row>
    <row r="1728" ht="24" customHeight="1" spans="1:17">
      <c r="A1728" s="99" t="s">
        <v>349</v>
      </c>
      <c r="B1728" s="99" t="s">
        <v>299</v>
      </c>
      <c r="C1728" s="99" t="s">
        <v>333</v>
      </c>
      <c r="D1728" s="53" t="s">
        <v>304</v>
      </c>
      <c r="E1728" s="53" t="s">
        <v>96</v>
      </c>
      <c r="F1728" s="123">
        <f>SUMIFS('2024数据'!$BT$3:$BT$152,'2024数据'!$X$3:$X$152,"&gt;="&amp;DATE(2024,1,1),'2024数据'!$X$3:$X$152,"&lt;="&amp;DATE(2024,1,31),'2024数据'!$BS$3:$BS$152,$E1546,'2024数据'!$B$3:$B$152,'2024整理'!$E1703)/10000</f>
        <v>0</v>
      </c>
      <c r="G1728" s="123">
        <f>SUMIFS('2024数据'!$BT$3:$BT$152,'2024数据'!$X$3:$X$152,"&gt;="&amp;DATE(2024,2,1),'2024数据'!$X$3:$X$152,"&lt;="&amp;DATE(2024,2,29),'2024数据'!$BS$3:$BS$152,$E1546,'2024数据'!$B$3:$B$152,'2024整理'!$E1703)/10000</f>
        <v>0</v>
      </c>
      <c r="H1728" s="123">
        <f>SUMIFS('2024数据'!$BT$3:$BT$152,'2024数据'!$X$3:$X$152,"&gt;="&amp;DATE(2024,3,1),'2024数据'!$X$3:$X$152,"&lt;="&amp;DATE(2024,3,31),'2024数据'!$BS$3:$BS$152,$E1546,'2024数据'!$B$3:$B$152,'2024整理'!$E1703)/10000</f>
        <v>0</v>
      </c>
      <c r="I1728" s="123">
        <f>SUMIFS('2024数据'!$BT$3:$BT$152,'2024数据'!$X$3:$X$152,"&gt;="&amp;DATE(2024,4,1),'2024数据'!$X$3:$X$152,"&lt;="&amp;DATE(2024,4,30),'2024数据'!$BS$3:$BS$152,$E1546,'2024数据'!$B$3:$B$152,'2024整理'!$E1703)/10000</f>
        <v>0</v>
      </c>
      <c r="J1728" s="123">
        <f>SUMIFS('2024数据'!$BT$3:$BT$152,'2024数据'!$X$3:$X$152,"&gt;="&amp;DATE(2024,5,1),'2024数据'!$X$3:$X$152,"&lt;="&amp;DATE(2024,5,31),'2024数据'!$BS$3:$BS$152,$E1546,'2024数据'!$B$3:$B$152,'2024整理'!$E1703)/10000</f>
        <v>0</v>
      </c>
      <c r="K1728" s="123">
        <f>SUMIFS('2024数据'!$BT$3:$BT$152,'2024数据'!$X$3:$X$152,"&gt;="&amp;DATE(2024,6,1),'2024数据'!$X$3:$X$152,"&lt;="&amp;DATE(2024,6,30),'2024数据'!$BS$3:$BS$152,$E1546,'2024数据'!$B$3:$B$152,'2024整理'!$E1703)/10000</f>
        <v>0</v>
      </c>
      <c r="L1728" s="123">
        <f>SUMIFS('2024数据'!$BT$3:$BT$152,'2024数据'!$X$3:$X$152,"&gt;="&amp;DATE(2024,7,1),'2024数据'!$X$3:$X$152,"&lt;="&amp;DATE(2024,7,31),'2024数据'!$BS$3:$BS$152,$E1546,'2024数据'!$B$3:$B$152,'2024整理'!$E1703)/10000</f>
        <v>0</v>
      </c>
      <c r="M1728" s="123">
        <f>SUMIFS('2024数据'!$BT$3:$BT$152,'2024数据'!$X$3:$X$152,"&gt;="&amp;DATE(2024,8,1),'2024数据'!$X$3:$X$152,"&lt;="&amp;DATE(2024,8,31),'2024数据'!$BS$3:$BS$152,$E1546,'2024数据'!$B$3:$B$152,'2024整理'!$E1703)/10000</f>
        <v>0</v>
      </c>
      <c r="N1728" s="123">
        <f>SUMIFS('2024数据'!$BT$3:$BT$152,'2024数据'!$X$3:$X$152,"&gt;="&amp;DATE(2024,9,1),'2024数据'!$X$3:$X$152,"&lt;="&amp;DATE(2024,9,30),'2024数据'!$BS$3:$BS$152,$E1546,'2024数据'!$B$3:$B$152,'2024整理'!$E1703)/10000</f>
        <v>0</v>
      </c>
      <c r="O1728" s="123">
        <f>SUMIFS('2024数据'!$BT$3:$BT$152,'2024数据'!$X$3:$X$152,"&gt;="&amp;DATE(2024,10,1),'2024数据'!$X$3:$X$152,"&lt;="&amp;DATE(2024,10,31),'2024数据'!$BS$3:$BS$152,$E1546,'2024数据'!$B$3:$B$152,'2024整理'!$E1703)/10000</f>
        <v>0</v>
      </c>
      <c r="P1728" s="123">
        <f>SUMIFS('2024数据'!$BT$3:$BT$152,'2024数据'!$X$3:$X$152,"&gt;="&amp;DATE(2024,11,1),'2024数据'!$X$3:$X$152,"&lt;="&amp;DATE(2024,11,30),'2024数据'!$BS$3:$BS$152,$E1546,'2024数据'!$B$3:$B$152,'2024整理'!$E1703)/10000</f>
        <v>0</v>
      </c>
      <c r="Q1728" s="123">
        <f>SUMIFS('2024数据'!$BT$3:$BT$152,'2024数据'!$X$3:$X$152,"&gt;="&amp;DATE(2024,12,1),'2024数据'!$X$3:$X$152,"&lt;="&amp;DATE(2024,12,31),'2024数据'!$BS$3:$BS$152,$E1546,'2024数据'!$B$3:$B$152,'2024整理'!$E1703)/10000</f>
        <v>0</v>
      </c>
    </row>
    <row r="1729" ht="24" customHeight="1" spans="1:17">
      <c r="A1729" s="99" t="s">
        <v>349</v>
      </c>
      <c r="B1729" s="99" t="s">
        <v>299</v>
      </c>
      <c r="C1729" s="99" t="s">
        <v>333</v>
      </c>
      <c r="D1729" s="53" t="s">
        <v>304</v>
      </c>
      <c r="E1729" s="53" t="s">
        <v>160</v>
      </c>
      <c r="F1729" s="123">
        <f t="shared" ref="F1729:Q1729" si="1258">F1718-SUM(F1725:F1728)</f>
        <v>0</v>
      </c>
      <c r="G1729" s="123">
        <f t="shared" si="1258"/>
        <v>0</v>
      </c>
      <c r="H1729" s="123">
        <f t="shared" si="1258"/>
        <v>0</v>
      </c>
      <c r="I1729" s="123">
        <f t="shared" si="1258"/>
        <v>0</v>
      </c>
      <c r="J1729" s="123">
        <f t="shared" si="1258"/>
        <v>0</v>
      </c>
      <c r="K1729" s="123">
        <f t="shared" si="1258"/>
        <v>0</v>
      </c>
      <c r="L1729" s="123">
        <f t="shared" si="1258"/>
        <v>0</v>
      </c>
      <c r="M1729" s="123">
        <f t="shared" si="1258"/>
        <v>0</v>
      </c>
      <c r="N1729" s="123">
        <f t="shared" si="1258"/>
        <v>0</v>
      </c>
      <c r="O1729" s="123">
        <f t="shared" si="1258"/>
        <v>0</v>
      </c>
      <c r="P1729" s="123">
        <f t="shared" si="1258"/>
        <v>0</v>
      </c>
      <c r="Q1729" s="123">
        <f t="shared" si="1258"/>
        <v>0</v>
      </c>
    </row>
    <row r="1730" ht="24" customHeight="1" spans="1:17">
      <c r="A1730" s="99" t="s">
        <v>349</v>
      </c>
      <c r="B1730" s="99" t="s">
        <v>299</v>
      </c>
      <c r="C1730" s="99" t="s">
        <v>336</v>
      </c>
      <c r="D1730" s="114" t="s">
        <v>292</v>
      </c>
      <c r="E1730" s="122" t="s">
        <v>337</v>
      </c>
      <c r="F1730" s="124">
        <f>SUMIFS('2024数据'!$BT$3:$BT$152,'2024数据'!$X$3:$X$152,"&gt;="&amp;DATE(2024,1,1),'2024数据'!$X$3:$X$152,"&lt;="&amp;DATE(2024,1,31),'2024数据'!$BS$3:$BS$152,$E1545)/10000</f>
        <v>0.0257</v>
      </c>
      <c r="G1730" s="124">
        <f>SUMIFS('2024数据'!$BT$3:$BT$152,'2024数据'!$X$3:$X$152,"&gt;="&amp;DATE(2024,2,1),'2024数据'!$X$3:$X$152,"&lt;="&amp;DATE(2024,2,29),'2024数据'!$BS$3:$BS$152,$E1545)/10000</f>
        <v>0</v>
      </c>
      <c r="H1730" s="124">
        <f>SUMIFS('2024数据'!$BT$3:$BT$152,'2024数据'!$X$3:$X$152,"&gt;="&amp;DATE(2024,3,1),'2024数据'!$X$3:$X$152,"&lt;="&amp;DATE(2024,3,31),'2024数据'!$BS$3:$BS$152,$E1545)/10000</f>
        <v>0</v>
      </c>
      <c r="I1730" s="124">
        <f>SUMIFS('2024数据'!$BT$3:$BT$152,'2024数据'!$X$3:$X$152,"&gt;="&amp;DATE(2024,4,1),'2024数据'!$X$3:$X$152,"&lt;="&amp;DATE(2024,4,30),'2024数据'!$BS$3:$BS$152,$E1545)/10000</f>
        <v>0</v>
      </c>
      <c r="J1730" s="124">
        <f>SUMIFS('2024数据'!$BT$3:$BT$152,'2024数据'!$X$3:$X$152,"&gt;="&amp;DATE(2024,5,1),'2024数据'!$X$3:$X$152,"&lt;="&amp;DATE(2024,5,31),'2024数据'!$BS$3:$BS$152,$E1545)/10000</f>
        <v>0</v>
      </c>
      <c r="K1730" s="124">
        <f>SUMIFS('2024数据'!$BT$3:$BT$152,'2024数据'!$X$3:$X$152,"&gt;="&amp;DATE(2024,6,1),'2024数据'!$X$3:$X$152,"&lt;="&amp;DATE(2024,6,30),'2024数据'!$BS$3:$BS$152,$E1545)/10000</f>
        <v>0</v>
      </c>
      <c r="L1730" s="124">
        <f>SUMIFS('2024数据'!$BT$3:$BT$152,'2024数据'!$X$3:$X$152,"&gt;="&amp;DATE(2024,7,1),'2024数据'!$X$3:$X$152,"&lt;="&amp;DATE(2024,7,31),'2024数据'!$BS$3:$BS$152,$E1545)/10000</f>
        <v>0</v>
      </c>
      <c r="M1730" s="124">
        <f>SUMIFS('2024数据'!$BT$3:$BT$152,'2024数据'!$X$3:$X$152,"&gt;="&amp;DATE(2024,8,1),'2024数据'!$X$3:$X$152,"&lt;="&amp;DATE(2024,8,31),'2024数据'!$BS$3:$BS$152,$E1545)/10000</f>
        <v>0</v>
      </c>
      <c r="N1730" s="124">
        <f>SUMIFS('2024数据'!$BT$3:$BT$152,'2024数据'!$X$3:$X$152,"&gt;="&amp;DATE(2024,9,1),'2024数据'!$X$3:$X$152,"&lt;="&amp;DATE(2024,9,30),'2024数据'!$BS$3:$BS$152,$E1545)/10000</f>
        <v>0</v>
      </c>
      <c r="O1730" s="124">
        <f>SUMIFS('2024数据'!$BT$3:$BT$152,'2024数据'!$X$3:$X$152,"&gt;="&amp;DATE(2024,10,1),'2024数据'!$X$3:$X$152,"&lt;="&amp;DATE(2024,10,31),'2024数据'!$BS$3:$BS$152,$E1545)/10000</f>
        <v>0</v>
      </c>
      <c r="P1730" s="124">
        <f>SUMIFS('2024数据'!$BT$3:$BT$152,'2024数据'!$X$3:$X$152,"&gt;="&amp;DATE(2024,11,1),'2024数据'!$X$3:$X$152,"&lt;="&amp;DATE(2024,11,30),'2024数据'!$BS$3:$BS$152,$E1545)/10000</f>
        <v>0</v>
      </c>
      <c r="Q1730" s="124">
        <f>SUMIFS('2024数据'!$BT$3:$BT$152,'2024数据'!$X$3:$X$152,"&gt;="&amp;DATE(2024,12,1),'2024数据'!$X$3:$X$152,"&lt;="&amp;DATE(2024,12,31),'2024数据'!$BS$3:$BS$152,$E1545)/10000</f>
        <v>0.0129</v>
      </c>
    </row>
    <row r="1731" ht="24" customHeight="1" spans="1:17">
      <c r="A1731" s="99" t="s">
        <v>349</v>
      </c>
      <c r="B1731" s="99" t="s">
        <v>299</v>
      </c>
      <c r="C1731" s="99" t="s">
        <v>336</v>
      </c>
      <c r="D1731" s="114" t="s">
        <v>292</v>
      </c>
      <c r="E1731" s="122" t="s">
        <v>338</v>
      </c>
      <c r="F1731" s="124">
        <f>SUMIFS('2024数据'!$BT$3:$BT$152,'2024数据'!$X$3:$X$152,"&gt;="&amp;DATE(2024,1,1),'2024数据'!$X$3:$X$152,"&lt;="&amp;DATE(2024,1,31),'2024数据'!$BS$3:$BS$152,$E1546)/10000</f>
        <v>0.0085</v>
      </c>
      <c r="G1731" s="124">
        <f>SUMIFS('2024数据'!$BT$3:$BT$152,'2024数据'!$X$3:$X$152,"&gt;="&amp;DATE(2024,2,1),'2024数据'!$X$3:$X$152,"&lt;="&amp;DATE(2024,2,29),'2024数据'!$BS$3:$BS$152,$E1546)/10000</f>
        <v>0</v>
      </c>
      <c r="H1731" s="124">
        <f>SUMIFS('2024数据'!$BT$3:$BT$152,'2024数据'!$X$3:$X$152,"&gt;="&amp;DATE(2024,3,1),'2024数据'!$X$3:$X$152,"&lt;="&amp;DATE(2024,3,31),'2024数据'!$BS$3:$BS$152,$E1546)/10000</f>
        <v>0</v>
      </c>
      <c r="I1731" s="124">
        <f>SUMIFS('2024数据'!$BT$3:$BT$152,'2024数据'!$X$3:$X$152,"&gt;="&amp;DATE(2024,4,1),'2024数据'!$X$3:$X$152,"&lt;="&amp;DATE(2024,4,30),'2024数据'!$BS$3:$BS$152,$E1546)/10000</f>
        <v>0</v>
      </c>
      <c r="J1731" s="124">
        <f>SUMIFS('2024数据'!$BT$3:$BT$152,'2024数据'!$X$3:$X$152,"&gt;="&amp;DATE(2024,5,1),'2024数据'!$X$3:$X$152,"&lt;="&amp;DATE(2024,5,31),'2024数据'!$BS$3:$BS$152,$E1546)/10000</f>
        <v>0.1069</v>
      </c>
      <c r="K1731" s="124">
        <f>SUMIFS('2024数据'!$BT$3:$BT$152,'2024数据'!$X$3:$X$152,"&gt;="&amp;DATE(2024,6,1),'2024数据'!$X$3:$X$152,"&lt;="&amp;DATE(2024,6,30),'2024数据'!$BS$3:$BS$152,$E1546)/10000</f>
        <v>0</v>
      </c>
      <c r="L1731" s="124">
        <f>SUMIFS('2024数据'!$BT$3:$BT$152,'2024数据'!$X$3:$X$152,"&gt;="&amp;DATE(2024,7,1),'2024数据'!$X$3:$X$152,"&lt;="&amp;DATE(2024,7,31),'2024数据'!$BS$3:$BS$152,$E1546)/10000</f>
        <v>0</v>
      </c>
      <c r="M1731" s="124">
        <f>SUMIFS('2024数据'!$BT$3:$BT$152,'2024数据'!$X$3:$X$152,"&gt;="&amp;DATE(2024,8,1),'2024数据'!$X$3:$X$152,"&lt;="&amp;DATE(2024,8,31),'2024数据'!$BS$3:$BS$152,$E1546)/10000</f>
        <v>0</v>
      </c>
      <c r="N1731" s="124">
        <f>SUMIFS('2024数据'!$BT$3:$BT$152,'2024数据'!$X$3:$X$152,"&gt;="&amp;DATE(2024,9,1),'2024数据'!$X$3:$X$152,"&lt;="&amp;DATE(2024,9,30),'2024数据'!$BS$3:$BS$152,$E1546)/10000</f>
        <v>0</v>
      </c>
      <c r="O1731" s="124">
        <f>SUMIFS('2024数据'!$BT$3:$BT$152,'2024数据'!$X$3:$X$152,"&gt;="&amp;DATE(2024,10,1),'2024数据'!$X$3:$X$152,"&lt;="&amp;DATE(2024,10,31),'2024数据'!$BS$3:$BS$152,$E1546)/10000</f>
        <v>0</v>
      </c>
      <c r="P1731" s="124">
        <f>SUMIFS('2024数据'!$BT$3:$BT$152,'2024数据'!$X$3:$X$152,"&gt;="&amp;DATE(2024,11,1),'2024数据'!$X$3:$X$152,"&lt;="&amp;DATE(2024,11,30),'2024数据'!$BS$3:$BS$152,$E1546)/10000</f>
        <v>0</v>
      </c>
      <c r="Q1731" s="124">
        <f>SUMIFS('2024数据'!$BT$3:$BT$152,'2024数据'!$X$3:$X$152,"&gt;="&amp;DATE(2024,12,1),'2024数据'!$X$3:$X$152,"&lt;="&amp;DATE(2024,12,31),'2024数据'!$BS$3:$BS$152,$E1546)/10000</f>
        <v>0</v>
      </c>
    </row>
    <row r="1732" ht="24" customHeight="1" spans="1:17">
      <c r="A1732" s="99" t="s">
        <v>349</v>
      </c>
      <c r="B1732" s="99" t="s">
        <v>299</v>
      </c>
      <c r="C1732" s="99" t="s">
        <v>336</v>
      </c>
      <c r="D1732" s="114" t="s">
        <v>292</v>
      </c>
      <c r="E1732" s="122" t="s">
        <v>339</v>
      </c>
      <c r="F1732" s="124">
        <f>SUMIFS('2024数据'!$BT$3:$BT$152,'2024数据'!$X$3:$X$152,"&gt;="&amp;DATE(2024,1,1),'2024数据'!$X$3:$X$152,"&lt;="&amp;DATE(2024,1,31),'2024数据'!$BS$3:$BS$152,$E1547)/10000</f>
        <v>0</v>
      </c>
      <c r="G1732" s="124">
        <f>SUMIFS('2024数据'!$BT$3:$BT$152,'2024数据'!$X$3:$X$152,"&gt;="&amp;DATE(2024,2,1),'2024数据'!$X$3:$X$152,"&lt;="&amp;DATE(2024,2,29),'2024数据'!$BS$3:$BS$152,$E1547)/10000</f>
        <v>0</v>
      </c>
      <c r="H1732" s="124">
        <f>SUMIFS('2024数据'!$BT$3:$BT$152,'2024数据'!$X$3:$X$152,"&gt;="&amp;DATE(2024,3,1),'2024数据'!$X$3:$X$152,"&lt;="&amp;DATE(2024,3,31),'2024数据'!$BS$3:$BS$152,$E1547)/10000</f>
        <v>0</v>
      </c>
      <c r="I1732" s="124">
        <f>SUMIFS('2024数据'!$BT$3:$BT$152,'2024数据'!$X$3:$X$152,"&gt;="&amp;DATE(2024,4,1),'2024数据'!$X$3:$X$152,"&lt;="&amp;DATE(2024,4,30),'2024数据'!$BS$3:$BS$152,$E1547)/10000</f>
        <v>0</v>
      </c>
      <c r="J1732" s="124">
        <f>SUMIFS('2024数据'!$BT$3:$BT$152,'2024数据'!$X$3:$X$152,"&gt;="&amp;DATE(2024,5,1),'2024数据'!$X$3:$X$152,"&lt;="&amp;DATE(2024,5,31),'2024数据'!$BS$3:$BS$152,$E1547)/10000</f>
        <v>0</v>
      </c>
      <c r="K1732" s="124">
        <f>SUMIFS('2024数据'!$BT$3:$BT$152,'2024数据'!$X$3:$X$152,"&gt;="&amp;DATE(2024,6,1),'2024数据'!$X$3:$X$152,"&lt;="&amp;DATE(2024,6,30),'2024数据'!$BS$3:$BS$152,$E1547)/10000</f>
        <v>0</v>
      </c>
      <c r="L1732" s="124">
        <f>SUMIFS('2024数据'!$BT$3:$BT$152,'2024数据'!$X$3:$X$152,"&gt;="&amp;DATE(2024,7,1),'2024数据'!$X$3:$X$152,"&lt;="&amp;DATE(2024,7,31),'2024数据'!$BS$3:$BS$152,$E1547)/10000</f>
        <v>0</v>
      </c>
      <c r="M1732" s="124">
        <f>SUMIFS('2024数据'!$BT$3:$BT$152,'2024数据'!$X$3:$X$152,"&gt;="&amp;DATE(2024,8,1),'2024数据'!$X$3:$X$152,"&lt;="&amp;DATE(2024,8,31),'2024数据'!$BS$3:$BS$152,$E1547)/10000</f>
        <v>0</v>
      </c>
      <c r="N1732" s="124">
        <f>SUMIFS('2024数据'!$BT$3:$BT$152,'2024数据'!$X$3:$X$152,"&gt;="&amp;DATE(2024,9,1),'2024数据'!$X$3:$X$152,"&lt;="&amp;DATE(2024,9,30),'2024数据'!$BS$3:$BS$152,$E1547)/10000</f>
        <v>0</v>
      </c>
      <c r="O1732" s="124">
        <f>SUMIFS('2024数据'!$BT$3:$BT$152,'2024数据'!$X$3:$X$152,"&gt;="&amp;DATE(2024,10,1),'2024数据'!$X$3:$X$152,"&lt;="&amp;DATE(2024,10,31),'2024数据'!$BS$3:$BS$152,$E1547)/10000</f>
        <v>0</v>
      </c>
      <c r="P1732" s="124">
        <f>SUMIFS('2024数据'!$BT$3:$BT$152,'2024数据'!$X$3:$X$152,"&gt;="&amp;DATE(2024,11,1),'2024数据'!$X$3:$X$152,"&lt;="&amp;DATE(2024,11,30),'2024数据'!$BS$3:$BS$152,$E1547)/10000</f>
        <v>0</v>
      </c>
      <c r="Q1732" s="124">
        <f>SUMIFS('2024数据'!$BT$3:$BT$152,'2024数据'!$X$3:$X$152,"&gt;="&amp;DATE(2024,12,1),'2024数据'!$X$3:$X$152,"&lt;="&amp;DATE(2024,12,31),'2024数据'!$BS$3:$BS$152,$E1547)/10000</f>
        <v>0</v>
      </c>
    </row>
    <row r="1733" ht="24" customHeight="1" spans="1:17">
      <c r="A1733" s="99" t="s">
        <v>349</v>
      </c>
      <c r="B1733" s="99" t="s">
        <v>299</v>
      </c>
      <c r="C1733" s="99" t="s">
        <v>336</v>
      </c>
      <c r="D1733" s="122" t="s">
        <v>303</v>
      </c>
      <c r="E1733" s="122" t="s">
        <v>93</v>
      </c>
      <c r="F1733" s="124">
        <f>SUMIFS('2024数据'!$BT$3:$BT$152,'2024数据'!$X$3:$X$152,"&gt;="&amp;DATE(2024,1,1),'2024数据'!$X$3:$X$152,"&lt;="&amp;DATE(2024,1,31),'2024数据'!$BS$3:$BS$152,$E1545,'2024数据'!$B$3:$B$152,'2024整理'!$E1712)/10000</f>
        <v>0.0257</v>
      </c>
      <c r="G1733" s="124">
        <f>SUMIFS('2024数据'!$BT$3:$BT$152,'2024数据'!$X$3:$X$152,"&gt;="&amp;DATE(2024,2,1),'2024数据'!$X$3:$X$152,"&lt;="&amp;DATE(2024,2,29),'2024数据'!$BS$3:$BS$152,$E1545,'2024数据'!$B$3:$B$152,'2024整理'!$E1712)/10000</f>
        <v>0</v>
      </c>
      <c r="H1733" s="124">
        <f>SUMIFS('2024数据'!$BT$3:$BT$152,'2024数据'!$X$3:$X$152,"&gt;="&amp;DATE(2024,3,1),'2024数据'!$X$3:$X$152,"&lt;="&amp;DATE(2024,3,31),'2024数据'!$BS$3:$BS$152,$E1545,'2024数据'!$B$3:$B$152,'2024整理'!$E1712)/10000</f>
        <v>0</v>
      </c>
      <c r="I1733" s="124">
        <f>SUMIFS('2024数据'!$BT$3:$BT$152,'2024数据'!$X$3:$X$152,"&gt;="&amp;DATE(2024,4,1),'2024数据'!$X$3:$X$152,"&lt;="&amp;DATE(2024,4,30),'2024数据'!$BS$3:$BS$152,$E1545,'2024数据'!$B$3:$B$152,'2024整理'!$E1712)/10000</f>
        <v>0</v>
      </c>
      <c r="J1733" s="124">
        <f>SUMIFS('2024数据'!$BT$3:$BT$152,'2024数据'!$X$3:$X$152,"&gt;="&amp;DATE(2024,5,1),'2024数据'!$X$3:$X$152,"&lt;="&amp;DATE(2024,5,31),'2024数据'!$BS$3:$BS$152,$E1545,'2024数据'!$B$3:$B$152,'2024整理'!$E1712)/10000</f>
        <v>0</v>
      </c>
      <c r="K1733" s="124">
        <f>SUMIFS('2024数据'!$BT$3:$BT$152,'2024数据'!$X$3:$X$152,"&gt;="&amp;DATE(2024,6,1),'2024数据'!$X$3:$X$152,"&lt;="&amp;DATE(2024,6,30),'2024数据'!$BS$3:$BS$152,$E1545,'2024数据'!$B$3:$B$152,'2024整理'!$E1712)/10000</f>
        <v>0</v>
      </c>
      <c r="L1733" s="124">
        <f>SUMIFS('2024数据'!$BT$3:$BT$152,'2024数据'!$X$3:$X$152,"&gt;="&amp;DATE(2024,7,1),'2024数据'!$X$3:$X$152,"&lt;="&amp;DATE(2024,7,31),'2024数据'!$BS$3:$BS$152,$E1545,'2024数据'!$B$3:$B$152,'2024整理'!$E1712)/10000</f>
        <v>0</v>
      </c>
      <c r="M1733" s="124">
        <f>SUMIFS('2024数据'!$BT$3:$BT$152,'2024数据'!$X$3:$X$152,"&gt;="&amp;DATE(2024,8,1),'2024数据'!$X$3:$X$152,"&lt;="&amp;DATE(2024,8,31),'2024数据'!$BS$3:$BS$152,$E1545,'2024数据'!$B$3:$B$152,'2024整理'!$E1712)/10000</f>
        <v>0</v>
      </c>
      <c r="N1733" s="124">
        <f>SUMIFS('2024数据'!$BT$3:$BT$152,'2024数据'!$X$3:$X$152,"&gt;="&amp;DATE(2024,9,1),'2024数据'!$X$3:$X$152,"&lt;="&amp;DATE(2024,9,30),'2024数据'!$BS$3:$BS$152,$E1545,'2024数据'!$B$3:$B$152,'2024整理'!$E1712)/10000</f>
        <v>0</v>
      </c>
      <c r="O1733" s="124">
        <f>SUMIFS('2024数据'!$BT$3:$BT$152,'2024数据'!$X$3:$X$152,"&gt;="&amp;DATE(2024,10,1),'2024数据'!$X$3:$X$152,"&lt;="&amp;DATE(2024,10,31),'2024数据'!$BS$3:$BS$152,$E1545,'2024数据'!$B$3:$B$152,'2024整理'!$E1712)/10000</f>
        <v>0</v>
      </c>
      <c r="P1733" s="124">
        <f>SUMIFS('2024数据'!$BT$3:$BT$152,'2024数据'!$X$3:$X$152,"&gt;="&amp;DATE(2024,11,1),'2024数据'!$X$3:$X$152,"&lt;="&amp;DATE(2024,11,30),'2024数据'!$BS$3:$BS$152,$E1545,'2024数据'!$B$3:$B$152,'2024整理'!$E1712)/10000</f>
        <v>0</v>
      </c>
      <c r="Q1733" s="124">
        <f>SUMIFS('2024数据'!$BT$3:$BT$152,'2024数据'!$X$3:$X$152,"&gt;="&amp;DATE(2024,12,1),'2024数据'!$X$3:$X$152,"&lt;="&amp;DATE(2024,12,31),'2024数据'!$BS$3:$BS$152,$E1545,'2024数据'!$B$3:$B$152,'2024整理'!$E1712)/10000</f>
        <v>0</v>
      </c>
    </row>
    <row r="1734" ht="24" customHeight="1" spans="1:17">
      <c r="A1734" s="99" t="s">
        <v>349</v>
      </c>
      <c r="B1734" s="99" t="s">
        <v>299</v>
      </c>
      <c r="C1734" s="99" t="s">
        <v>336</v>
      </c>
      <c r="D1734" s="122" t="s">
        <v>303</v>
      </c>
      <c r="E1734" s="122" t="s">
        <v>85</v>
      </c>
      <c r="F1734" s="124">
        <f>SUMIFS('2024数据'!$BT$3:$BT$152,'2024数据'!$X$3:$X$152,"&gt;="&amp;DATE(2024,1,1),'2024数据'!$X$3:$X$152,"&lt;="&amp;DATE(2024,1,31),'2024数据'!$BS$3:$BS$152,$E1545,'2024数据'!$B$3:$B$152,'2024整理'!$E1713)/10000</f>
        <v>0</v>
      </c>
      <c r="G1734" s="124">
        <f>SUMIFS('2024数据'!$BT$3:$BT$152,'2024数据'!$X$3:$X$152,"&gt;="&amp;DATE(2024,2,1),'2024数据'!$X$3:$X$152,"&lt;="&amp;DATE(2024,2,29),'2024数据'!$BS$3:$BS$152,$E1545,'2024数据'!$B$3:$B$152,'2024整理'!$E1713)/10000</f>
        <v>0</v>
      </c>
      <c r="H1734" s="124">
        <f>SUMIFS('2024数据'!$BT$3:$BT$152,'2024数据'!$X$3:$X$152,"&gt;="&amp;DATE(2024,3,1),'2024数据'!$X$3:$X$152,"&lt;="&amp;DATE(2024,3,31),'2024数据'!$BS$3:$BS$152,$E1545,'2024数据'!$B$3:$B$152,'2024整理'!$E1713)/10000</f>
        <v>0</v>
      </c>
      <c r="I1734" s="124">
        <f>SUMIFS('2024数据'!$BT$3:$BT$152,'2024数据'!$X$3:$X$152,"&gt;="&amp;DATE(2024,4,1),'2024数据'!$X$3:$X$152,"&lt;="&amp;DATE(2024,4,30),'2024数据'!$BS$3:$BS$152,$E1545,'2024数据'!$B$3:$B$152,'2024整理'!$E1713)/10000</f>
        <v>0</v>
      </c>
      <c r="J1734" s="124">
        <f>SUMIFS('2024数据'!$BT$3:$BT$152,'2024数据'!$X$3:$X$152,"&gt;="&amp;DATE(2024,5,1),'2024数据'!$X$3:$X$152,"&lt;="&amp;DATE(2024,5,31),'2024数据'!$BS$3:$BS$152,$E1545,'2024数据'!$B$3:$B$152,'2024整理'!$E1713)/10000</f>
        <v>0</v>
      </c>
      <c r="K1734" s="124">
        <f>SUMIFS('2024数据'!$BT$3:$BT$152,'2024数据'!$X$3:$X$152,"&gt;="&amp;DATE(2024,6,1),'2024数据'!$X$3:$X$152,"&lt;="&amp;DATE(2024,6,30),'2024数据'!$BS$3:$BS$152,$E1545,'2024数据'!$B$3:$B$152,'2024整理'!$E1713)/10000</f>
        <v>0</v>
      </c>
      <c r="L1734" s="124">
        <f>SUMIFS('2024数据'!$BT$3:$BT$152,'2024数据'!$X$3:$X$152,"&gt;="&amp;DATE(2024,7,1),'2024数据'!$X$3:$X$152,"&lt;="&amp;DATE(2024,7,31),'2024数据'!$BS$3:$BS$152,$E1545,'2024数据'!$B$3:$B$152,'2024整理'!$E1713)/10000</f>
        <v>0</v>
      </c>
      <c r="M1734" s="124">
        <f>SUMIFS('2024数据'!$BT$3:$BT$152,'2024数据'!$X$3:$X$152,"&gt;="&amp;DATE(2024,8,1),'2024数据'!$X$3:$X$152,"&lt;="&amp;DATE(2024,8,31),'2024数据'!$BS$3:$BS$152,$E1545,'2024数据'!$B$3:$B$152,'2024整理'!$E1713)/10000</f>
        <v>0</v>
      </c>
      <c r="N1734" s="124">
        <f>SUMIFS('2024数据'!$BT$3:$BT$152,'2024数据'!$X$3:$X$152,"&gt;="&amp;DATE(2024,9,1),'2024数据'!$X$3:$X$152,"&lt;="&amp;DATE(2024,9,30),'2024数据'!$BS$3:$BS$152,$E1545,'2024数据'!$B$3:$B$152,'2024整理'!$E1713)/10000</f>
        <v>0</v>
      </c>
      <c r="O1734" s="124">
        <f>SUMIFS('2024数据'!$BT$3:$BT$152,'2024数据'!$X$3:$X$152,"&gt;="&amp;DATE(2024,10,1),'2024数据'!$X$3:$X$152,"&lt;="&amp;DATE(2024,10,31),'2024数据'!$BS$3:$BS$152,$E1545,'2024数据'!$B$3:$B$152,'2024整理'!$E1713)/10000</f>
        <v>0</v>
      </c>
      <c r="P1734" s="124">
        <f>SUMIFS('2024数据'!$BT$3:$BT$152,'2024数据'!$X$3:$X$152,"&gt;="&amp;DATE(2024,11,1),'2024数据'!$X$3:$X$152,"&lt;="&amp;DATE(2024,11,30),'2024数据'!$BS$3:$BS$152,$E1545,'2024数据'!$B$3:$B$152,'2024整理'!$E1713)/10000</f>
        <v>0</v>
      </c>
      <c r="Q1734" s="124">
        <f>SUMIFS('2024数据'!$BT$3:$BT$152,'2024数据'!$X$3:$X$152,"&gt;="&amp;DATE(2024,12,1),'2024数据'!$X$3:$X$152,"&lt;="&amp;DATE(2024,12,31),'2024数据'!$BS$3:$BS$152,$E1545,'2024数据'!$B$3:$B$152,'2024整理'!$E1713)/10000</f>
        <v>0</v>
      </c>
    </row>
    <row r="1735" ht="24" customHeight="1" spans="1:17">
      <c r="A1735" s="99" t="s">
        <v>349</v>
      </c>
      <c r="B1735" s="99" t="s">
        <v>299</v>
      </c>
      <c r="C1735" s="99" t="s">
        <v>336</v>
      </c>
      <c r="D1735" s="122" t="s">
        <v>303</v>
      </c>
      <c r="E1735" s="122" t="s">
        <v>81</v>
      </c>
      <c r="F1735" s="124">
        <f>SUMIFS('2024数据'!$BT$3:$BT$152,'2024数据'!$X$3:$X$152,"&gt;="&amp;DATE(2024,1,1),'2024数据'!$X$3:$X$152,"&lt;="&amp;DATE(2024,1,31),'2024数据'!$BS$3:$BS$152,$E1545,'2024数据'!$B$3:$B$152,'2024整理'!$E1714)/10000</f>
        <v>0</v>
      </c>
      <c r="G1735" s="124">
        <f>SUMIFS('2024数据'!$BT$3:$BT$152,'2024数据'!$X$3:$X$152,"&gt;="&amp;DATE(2024,2,1),'2024数据'!$X$3:$X$152,"&lt;="&amp;DATE(2024,2,29),'2024数据'!$BS$3:$BS$152,$E1545,'2024数据'!$B$3:$B$152,'2024整理'!$E1714)/10000</f>
        <v>0</v>
      </c>
      <c r="H1735" s="124">
        <f>SUMIFS('2024数据'!$BT$3:$BT$152,'2024数据'!$X$3:$X$152,"&gt;="&amp;DATE(2024,3,1),'2024数据'!$X$3:$X$152,"&lt;="&amp;DATE(2024,3,31),'2024数据'!$BS$3:$BS$152,$E1545,'2024数据'!$B$3:$B$152,'2024整理'!$E1714)/10000</f>
        <v>0</v>
      </c>
      <c r="I1735" s="124">
        <f>SUMIFS('2024数据'!$BT$3:$BT$152,'2024数据'!$X$3:$X$152,"&gt;="&amp;DATE(2024,4,1),'2024数据'!$X$3:$X$152,"&lt;="&amp;DATE(2024,4,30),'2024数据'!$BS$3:$BS$152,$E1545,'2024数据'!$B$3:$B$152,'2024整理'!$E1714)/10000</f>
        <v>0</v>
      </c>
      <c r="J1735" s="124">
        <f>SUMIFS('2024数据'!$BT$3:$BT$152,'2024数据'!$X$3:$X$152,"&gt;="&amp;DATE(2024,5,1),'2024数据'!$X$3:$X$152,"&lt;="&amp;DATE(2024,5,31),'2024数据'!$BS$3:$BS$152,$E1545,'2024数据'!$B$3:$B$152,'2024整理'!$E1714)/10000</f>
        <v>0</v>
      </c>
      <c r="K1735" s="124">
        <f>SUMIFS('2024数据'!$BT$3:$BT$152,'2024数据'!$X$3:$X$152,"&gt;="&amp;DATE(2024,6,1),'2024数据'!$X$3:$X$152,"&lt;="&amp;DATE(2024,6,30),'2024数据'!$BS$3:$BS$152,$E1545,'2024数据'!$B$3:$B$152,'2024整理'!$E1714)/10000</f>
        <v>0</v>
      </c>
      <c r="L1735" s="124">
        <f>SUMIFS('2024数据'!$BT$3:$BT$152,'2024数据'!$X$3:$X$152,"&gt;="&amp;DATE(2024,7,1),'2024数据'!$X$3:$X$152,"&lt;="&amp;DATE(2024,7,31),'2024数据'!$BS$3:$BS$152,$E1545,'2024数据'!$B$3:$B$152,'2024整理'!$E1714)/10000</f>
        <v>0</v>
      </c>
      <c r="M1735" s="124">
        <f>SUMIFS('2024数据'!$BT$3:$BT$152,'2024数据'!$X$3:$X$152,"&gt;="&amp;DATE(2024,8,1),'2024数据'!$X$3:$X$152,"&lt;="&amp;DATE(2024,8,31),'2024数据'!$BS$3:$BS$152,$E1545,'2024数据'!$B$3:$B$152,'2024整理'!$E1714)/10000</f>
        <v>0</v>
      </c>
      <c r="N1735" s="124">
        <f>SUMIFS('2024数据'!$BT$3:$BT$152,'2024数据'!$X$3:$X$152,"&gt;="&amp;DATE(2024,9,1),'2024数据'!$X$3:$X$152,"&lt;="&amp;DATE(2024,9,30),'2024数据'!$BS$3:$BS$152,$E1545,'2024数据'!$B$3:$B$152,'2024整理'!$E1714)/10000</f>
        <v>0</v>
      </c>
      <c r="O1735" s="124">
        <f>SUMIFS('2024数据'!$BT$3:$BT$152,'2024数据'!$X$3:$X$152,"&gt;="&amp;DATE(2024,10,1),'2024数据'!$X$3:$X$152,"&lt;="&amp;DATE(2024,10,31),'2024数据'!$BS$3:$BS$152,$E1545,'2024数据'!$B$3:$B$152,'2024整理'!$E1714)/10000</f>
        <v>0</v>
      </c>
      <c r="P1735" s="124">
        <f>SUMIFS('2024数据'!$BT$3:$BT$152,'2024数据'!$X$3:$X$152,"&gt;="&amp;DATE(2024,11,1),'2024数据'!$X$3:$X$152,"&lt;="&amp;DATE(2024,11,30),'2024数据'!$BS$3:$BS$152,$E1545,'2024数据'!$B$3:$B$152,'2024整理'!$E1714)/10000</f>
        <v>0</v>
      </c>
      <c r="Q1735" s="124">
        <f>SUMIFS('2024数据'!$BT$3:$BT$152,'2024数据'!$X$3:$X$152,"&gt;="&amp;DATE(2024,12,1),'2024数据'!$X$3:$X$152,"&lt;="&amp;DATE(2024,12,31),'2024数据'!$BS$3:$BS$152,$E1545,'2024数据'!$B$3:$B$152,'2024整理'!$E1714)/10000</f>
        <v>0.0129</v>
      </c>
    </row>
    <row r="1736" ht="24" customHeight="1" spans="1:17">
      <c r="A1736" s="99" t="s">
        <v>349</v>
      </c>
      <c r="B1736" s="99" t="s">
        <v>299</v>
      </c>
      <c r="C1736" s="99" t="s">
        <v>336</v>
      </c>
      <c r="D1736" s="122" t="s">
        <v>303</v>
      </c>
      <c r="E1736" s="122" t="s">
        <v>96</v>
      </c>
      <c r="F1736" s="124">
        <f>SUMIFS('2024数据'!$BT$3:$BT$152,'2024数据'!$X$3:$X$152,"&gt;="&amp;DATE(2024,1,1),'2024数据'!$X$3:$X$152,"&lt;="&amp;DATE(2024,1,31),'2024数据'!$BS$3:$BS$152,$E1545,'2024数据'!$B$3:$B$152,'2024整理'!$E1715)/10000</f>
        <v>0</v>
      </c>
      <c r="G1736" s="124">
        <f>SUMIFS('2024数据'!$BT$3:$BT$152,'2024数据'!$X$3:$X$152,"&gt;="&amp;DATE(2024,2,1),'2024数据'!$X$3:$X$152,"&lt;="&amp;DATE(2024,2,29),'2024数据'!$BS$3:$BS$152,$E1545,'2024数据'!$B$3:$B$152,'2024整理'!$E1715)/10000</f>
        <v>0</v>
      </c>
      <c r="H1736" s="124">
        <f>SUMIFS('2024数据'!$BT$3:$BT$152,'2024数据'!$X$3:$X$152,"&gt;="&amp;DATE(2024,3,1),'2024数据'!$X$3:$X$152,"&lt;="&amp;DATE(2024,3,31),'2024数据'!$BS$3:$BS$152,$E1545,'2024数据'!$B$3:$B$152,'2024整理'!$E1715)/10000</f>
        <v>0</v>
      </c>
      <c r="I1736" s="124">
        <f>SUMIFS('2024数据'!$BT$3:$BT$152,'2024数据'!$X$3:$X$152,"&gt;="&amp;DATE(2024,4,1),'2024数据'!$X$3:$X$152,"&lt;="&amp;DATE(2024,4,30),'2024数据'!$BS$3:$BS$152,$E1545,'2024数据'!$B$3:$B$152,'2024整理'!$E1715)/10000</f>
        <v>0</v>
      </c>
      <c r="J1736" s="124">
        <f>SUMIFS('2024数据'!$BT$3:$BT$152,'2024数据'!$X$3:$X$152,"&gt;="&amp;DATE(2024,5,1),'2024数据'!$X$3:$X$152,"&lt;="&amp;DATE(2024,5,31),'2024数据'!$BS$3:$BS$152,$E1545,'2024数据'!$B$3:$B$152,'2024整理'!$E1715)/10000</f>
        <v>0</v>
      </c>
      <c r="K1736" s="124">
        <f>SUMIFS('2024数据'!$BT$3:$BT$152,'2024数据'!$X$3:$X$152,"&gt;="&amp;DATE(2024,6,1),'2024数据'!$X$3:$X$152,"&lt;="&amp;DATE(2024,6,30),'2024数据'!$BS$3:$BS$152,$E1545,'2024数据'!$B$3:$B$152,'2024整理'!$E1715)/10000</f>
        <v>0</v>
      </c>
      <c r="L1736" s="124">
        <f>SUMIFS('2024数据'!$BT$3:$BT$152,'2024数据'!$X$3:$X$152,"&gt;="&amp;DATE(2024,7,1),'2024数据'!$X$3:$X$152,"&lt;="&amp;DATE(2024,7,31),'2024数据'!$BS$3:$BS$152,$E1545,'2024数据'!$B$3:$B$152,'2024整理'!$E1715)/10000</f>
        <v>0</v>
      </c>
      <c r="M1736" s="124">
        <f>SUMIFS('2024数据'!$BT$3:$BT$152,'2024数据'!$X$3:$X$152,"&gt;="&amp;DATE(2024,8,1),'2024数据'!$X$3:$X$152,"&lt;="&amp;DATE(2024,8,31),'2024数据'!$BS$3:$BS$152,$E1545,'2024数据'!$B$3:$B$152,'2024整理'!$E1715)/10000</f>
        <v>0</v>
      </c>
      <c r="N1736" s="124">
        <f>SUMIFS('2024数据'!$BT$3:$BT$152,'2024数据'!$X$3:$X$152,"&gt;="&amp;DATE(2024,9,1),'2024数据'!$X$3:$X$152,"&lt;="&amp;DATE(2024,9,30),'2024数据'!$BS$3:$BS$152,$E1545,'2024数据'!$B$3:$B$152,'2024整理'!$E1715)/10000</f>
        <v>0</v>
      </c>
      <c r="O1736" s="124">
        <f>SUMIFS('2024数据'!$BT$3:$BT$152,'2024数据'!$X$3:$X$152,"&gt;="&amp;DATE(2024,10,1),'2024数据'!$X$3:$X$152,"&lt;="&amp;DATE(2024,10,31),'2024数据'!$BS$3:$BS$152,$E1545,'2024数据'!$B$3:$B$152,'2024整理'!$E1715)/10000</f>
        <v>0</v>
      </c>
      <c r="P1736" s="124">
        <f>SUMIFS('2024数据'!$BT$3:$BT$152,'2024数据'!$X$3:$X$152,"&gt;="&amp;DATE(2024,11,1),'2024数据'!$X$3:$X$152,"&lt;="&amp;DATE(2024,11,30),'2024数据'!$BS$3:$BS$152,$E1545,'2024数据'!$B$3:$B$152,'2024整理'!$E1715)/10000</f>
        <v>0</v>
      </c>
      <c r="Q1736" s="124">
        <f>SUMIFS('2024数据'!$BT$3:$BT$152,'2024数据'!$X$3:$X$152,"&gt;="&amp;DATE(2024,12,1),'2024数据'!$X$3:$X$152,"&lt;="&amp;DATE(2024,12,31),'2024数据'!$BS$3:$BS$152,$E1545,'2024数据'!$B$3:$B$152,'2024整理'!$E1715)/10000</f>
        <v>0</v>
      </c>
    </row>
    <row r="1737" ht="24" customHeight="1" spans="1:17">
      <c r="A1737" s="99" t="s">
        <v>349</v>
      </c>
      <c r="B1737" s="99" t="s">
        <v>299</v>
      </c>
      <c r="C1737" s="99" t="s">
        <v>336</v>
      </c>
      <c r="D1737" s="122" t="s">
        <v>303</v>
      </c>
      <c r="E1737" s="122" t="s">
        <v>160</v>
      </c>
      <c r="F1737" s="124">
        <f t="shared" ref="F1737:Q1737" si="1259">F1730-SUM(F1733:F1736)</f>
        <v>0</v>
      </c>
      <c r="G1737" s="124">
        <f t="shared" si="1259"/>
        <v>0</v>
      </c>
      <c r="H1737" s="124">
        <f t="shared" si="1259"/>
        <v>0</v>
      </c>
      <c r="I1737" s="124">
        <f t="shared" si="1259"/>
        <v>0</v>
      </c>
      <c r="J1737" s="124">
        <f t="shared" si="1259"/>
        <v>0</v>
      </c>
      <c r="K1737" s="124">
        <f t="shared" si="1259"/>
        <v>0</v>
      </c>
      <c r="L1737" s="124">
        <f t="shared" si="1259"/>
        <v>0</v>
      </c>
      <c r="M1737" s="124">
        <f t="shared" si="1259"/>
        <v>0</v>
      </c>
      <c r="N1737" s="124">
        <f t="shared" si="1259"/>
        <v>0</v>
      </c>
      <c r="O1737" s="124">
        <f t="shared" si="1259"/>
        <v>0</v>
      </c>
      <c r="P1737" s="124">
        <f t="shared" si="1259"/>
        <v>0</v>
      </c>
      <c r="Q1737" s="124">
        <f t="shared" si="1259"/>
        <v>0</v>
      </c>
    </row>
    <row r="1738" ht="24" customHeight="1" spans="1:17">
      <c r="A1738" s="99" t="s">
        <v>349</v>
      </c>
      <c r="B1738" s="99" t="s">
        <v>299</v>
      </c>
      <c r="C1738" s="99" t="s">
        <v>336</v>
      </c>
      <c r="D1738" s="122" t="s">
        <v>304</v>
      </c>
      <c r="E1738" s="122" t="s">
        <v>93</v>
      </c>
      <c r="F1738" s="124">
        <f>SUMIFS('2024数据'!$BT$3:$BT$152,'2024数据'!$X$3:$X$152,"&gt;="&amp;DATE(2024,1,1),'2024数据'!$X$3:$X$152,"&lt;="&amp;DATE(2024,1,31),'2024数据'!$BS$3:$BS$152,$E1546,'2024数据'!$B$3:$B$152,'2024整理'!$E1712)/10000</f>
        <v>0.0085</v>
      </c>
      <c r="G1738" s="124">
        <f>SUMIFS('2024数据'!$BT$3:$BT$152,'2024数据'!$X$3:$X$152,"&gt;="&amp;DATE(2024,2,1),'2024数据'!$X$3:$X$152,"&lt;="&amp;DATE(2024,2,29),'2024数据'!$BS$3:$BS$152,$E1546,'2024数据'!$B$3:$B$152,'2024整理'!$E1712)/10000</f>
        <v>0</v>
      </c>
      <c r="H1738" s="124">
        <f>SUMIFS('2024数据'!$BT$3:$BT$152,'2024数据'!$X$3:$X$152,"&gt;="&amp;DATE(2024,3,1),'2024数据'!$X$3:$X$152,"&lt;="&amp;DATE(2024,3,31),'2024数据'!$BS$3:$BS$152,$E1546,'2024数据'!$B$3:$B$152,'2024整理'!$E1712)/10000</f>
        <v>0</v>
      </c>
      <c r="I1738" s="124">
        <f>SUMIFS('2024数据'!$BT$3:$BT$152,'2024数据'!$X$3:$X$152,"&gt;="&amp;DATE(2024,4,1),'2024数据'!$X$3:$X$152,"&lt;="&amp;DATE(2024,4,30),'2024数据'!$BS$3:$BS$152,$E1546,'2024数据'!$B$3:$B$152,'2024整理'!$E1712)/10000</f>
        <v>0</v>
      </c>
      <c r="J1738" s="124">
        <f>SUMIFS('2024数据'!$BT$3:$BT$152,'2024数据'!$X$3:$X$152,"&gt;="&amp;DATE(2024,5,1),'2024数据'!$X$3:$X$152,"&lt;="&amp;DATE(2024,5,31),'2024数据'!$BS$3:$BS$152,$E1546,'2024数据'!$B$3:$B$152,'2024整理'!$E1712)/10000</f>
        <v>0.1069</v>
      </c>
      <c r="K1738" s="124">
        <f>SUMIFS('2024数据'!$BT$3:$BT$152,'2024数据'!$X$3:$X$152,"&gt;="&amp;DATE(2024,6,1),'2024数据'!$X$3:$X$152,"&lt;="&amp;DATE(2024,6,30),'2024数据'!$BS$3:$BS$152,$E1546,'2024数据'!$B$3:$B$152,'2024整理'!$E1712)/10000</f>
        <v>0</v>
      </c>
      <c r="L1738" s="124">
        <f>SUMIFS('2024数据'!$BT$3:$BT$152,'2024数据'!$X$3:$X$152,"&gt;="&amp;DATE(2024,7,1),'2024数据'!$X$3:$X$152,"&lt;="&amp;DATE(2024,7,31),'2024数据'!$BS$3:$BS$152,$E1546,'2024数据'!$B$3:$B$152,'2024整理'!$E1712)/10000</f>
        <v>0</v>
      </c>
      <c r="M1738" s="124">
        <f>SUMIFS('2024数据'!$BT$3:$BT$152,'2024数据'!$X$3:$X$152,"&gt;="&amp;DATE(2024,8,1),'2024数据'!$X$3:$X$152,"&lt;="&amp;DATE(2024,8,31),'2024数据'!$BS$3:$BS$152,$E1546,'2024数据'!$B$3:$B$152,'2024整理'!$E1712)/10000</f>
        <v>0</v>
      </c>
      <c r="N1738" s="124">
        <f>SUMIFS('2024数据'!$BT$3:$BT$152,'2024数据'!$X$3:$X$152,"&gt;="&amp;DATE(2024,9,1),'2024数据'!$X$3:$X$152,"&lt;="&amp;DATE(2024,9,30),'2024数据'!$BS$3:$BS$152,$E1546,'2024数据'!$B$3:$B$152,'2024整理'!$E1712)/10000</f>
        <v>0</v>
      </c>
      <c r="O1738" s="124">
        <f>SUMIFS('2024数据'!$BT$3:$BT$152,'2024数据'!$X$3:$X$152,"&gt;="&amp;DATE(2024,10,1),'2024数据'!$X$3:$X$152,"&lt;="&amp;DATE(2024,10,31),'2024数据'!$BS$3:$BS$152,$E1546,'2024数据'!$B$3:$B$152,'2024整理'!$E1712)/10000</f>
        <v>0</v>
      </c>
      <c r="P1738" s="124">
        <f>SUMIFS('2024数据'!$BT$3:$BT$152,'2024数据'!$X$3:$X$152,"&gt;="&amp;DATE(2024,11,1),'2024数据'!$X$3:$X$152,"&lt;="&amp;DATE(2024,11,30),'2024数据'!$BS$3:$BS$152,$E1546,'2024数据'!$B$3:$B$152,'2024整理'!$E1712)/10000</f>
        <v>0</v>
      </c>
      <c r="Q1738" s="124">
        <f>SUMIFS('2024数据'!$BT$3:$BT$152,'2024数据'!$X$3:$X$152,"&gt;="&amp;DATE(2024,12,1),'2024数据'!$X$3:$X$152,"&lt;="&amp;DATE(2024,12,31),'2024数据'!$BS$3:$BS$152,$E1546,'2024数据'!$B$3:$B$152,'2024整理'!$E1712)/10000</f>
        <v>0</v>
      </c>
    </row>
    <row r="1739" ht="24" customHeight="1" spans="1:17">
      <c r="A1739" s="99" t="s">
        <v>349</v>
      </c>
      <c r="B1739" s="99" t="s">
        <v>299</v>
      </c>
      <c r="C1739" s="99" t="s">
        <v>336</v>
      </c>
      <c r="D1739" s="122" t="s">
        <v>304</v>
      </c>
      <c r="E1739" s="122" t="s">
        <v>85</v>
      </c>
      <c r="F1739" s="124">
        <f>SUMIFS('2024数据'!$BT$3:$BT$152,'2024数据'!$X$3:$X$152,"&gt;="&amp;DATE(2024,1,1),'2024数据'!$X$3:$X$152,"&lt;="&amp;DATE(2024,1,31),'2024数据'!$BS$3:$BS$152,$E1546,'2024数据'!$B$3:$B$152,'2024整理'!$E1713)/10000</f>
        <v>0</v>
      </c>
      <c r="G1739" s="124">
        <f>SUMIFS('2024数据'!$BT$3:$BT$152,'2024数据'!$X$3:$X$152,"&gt;="&amp;DATE(2024,2,1),'2024数据'!$X$3:$X$152,"&lt;="&amp;DATE(2024,2,29),'2024数据'!$BS$3:$BS$152,$E1546,'2024数据'!$B$3:$B$152,'2024整理'!$E1713)/10000</f>
        <v>0</v>
      </c>
      <c r="H1739" s="124">
        <f>SUMIFS('2024数据'!$BT$3:$BT$152,'2024数据'!$X$3:$X$152,"&gt;="&amp;DATE(2024,3,1),'2024数据'!$X$3:$X$152,"&lt;="&amp;DATE(2024,3,31),'2024数据'!$BS$3:$BS$152,$E1546,'2024数据'!$B$3:$B$152,'2024整理'!$E1713)/10000</f>
        <v>0</v>
      </c>
      <c r="I1739" s="124">
        <f>SUMIFS('2024数据'!$BT$3:$BT$152,'2024数据'!$X$3:$X$152,"&gt;="&amp;DATE(2024,4,1),'2024数据'!$X$3:$X$152,"&lt;="&amp;DATE(2024,4,30),'2024数据'!$BS$3:$BS$152,$E1546,'2024数据'!$B$3:$B$152,'2024整理'!$E1713)/10000</f>
        <v>0</v>
      </c>
      <c r="J1739" s="124">
        <f>SUMIFS('2024数据'!$BT$3:$BT$152,'2024数据'!$X$3:$X$152,"&gt;="&amp;DATE(2024,5,1),'2024数据'!$X$3:$X$152,"&lt;="&amp;DATE(2024,5,31),'2024数据'!$BS$3:$BS$152,$E1546,'2024数据'!$B$3:$B$152,'2024整理'!$E1713)/10000</f>
        <v>0</v>
      </c>
      <c r="K1739" s="124">
        <f>SUMIFS('2024数据'!$BT$3:$BT$152,'2024数据'!$X$3:$X$152,"&gt;="&amp;DATE(2024,6,1),'2024数据'!$X$3:$X$152,"&lt;="&amp;DATE(2024,6,30),'2024数据'!$BS$3:$BS$152,$E1546,'2024数据'!$B$3:$B$152,'2024整理'!$E1713)/10000</f>
        <v>0</v>
      </c>
      <c r="L1739" s="124">
        <f>SUMIFS('2024数据'!$BT$3:$BT$152,'2024数据'!$X$3:$X$152,"&gt;="&amp;DATE(2024,7,1),'2024数据'!$X$3:$X$152,"&lt;="&amp;DATE(2024,7,31),'2024数据'!$BS$3:$BS$152,$E1546,'2024数据'!$B$3:$B$152,'2024整理'!$E1713)/10000</f>
        <v>0</v>
      </c>
      <c r="M1739" s="124">
        <f>SUMIFS('2024数据'!$BT$3:$BT$152,'2024数据'!$X$3:$X$152,"&gt;="&amp;DATE(2024,8,1),'2024数据'!$X$3:$X$152,"&lt;="&amp;DATE(2024,8,31),'2024数据'!$BS$3:$BS$152,$E1546,'2024数据'!$B$3:$B$152,'2024整理'!$E1713)/10000</f>
        <v>0</v>
      </c>
      <c r="N1739" s="124">
        <f>SUMIFS('2024数据'!$BT$3:$BT$152,'2024数据'!$X$3:$X$152,"&gt;="&amp;DATE(2024,9,1),'2024数据'!$X$3:$X$152,"&lt;="&amp;DATE(2024,9,30),'2024数据'!$BS$3:$BS$152,$E1546,'2024数据'!$B$3:$B$152,'2024整理'!$E1713)/10000</f>
        <v>0</v>
      </c>
      <c r="O1739" s="124">
        <f>SUMIFS('2024数据'!$BT$3:$BT$152,'2024数据'!$X$3:$X$152,"&gt;="&amp;DATE(2024,10,1),'2024数据'!$X$3:$X$152,"&lt;="&amp;DATE(2024,10,31),'2024数据'!$BS$3:$BS$152,$E1546,'2024数据'!$B$3:$B$152,'2024整理'!$E1713)/10000</f>
        <v>0</v>
      </c>
      <c r="P1739" s="124">
        <f>SUMIFS('2024数据'!$BT$3:$BT$152,'2024数据'!$X$3:$X$152,"&gt;="&amp;DATE(2024,11,1),'2024数据'!$X$3:$X$152,"&lt;="&amp;DATE(2024,11,30),'2024数据'!$BS$3:$BS$152,$E1546,'2024数据'!$B$3:$B$152,'2024整理'!$E1713)/10000</f>
        <v>0</v>
      </c>
      <c r="Q1739" s="124">
        <f>SUMIFS('2024数据'!$BT$3:$BT$152,'2024数据'!$X$3:$X$152,"&gt;="&amp;DATE(2024,12,1),'2024数据'!$X$3:$X$152,"&lt;="&amp;DATE(2024,12,31),'2024数据'!$BS$3:$BS$152,$E1546,'2024数据'!$B$3:$B$152,'2024整理'!$E1713)/10000</f>
        <v>0</v>
      </c>
    </row>
    <row r="1740" ht="24" customHeight="1" spans="1:17">
      <c r="A1740" s="99" t="s">
        <v>349</v>
      </c>
      <c r="B1740" s="99" t="s">
        <v>299</v>
      </c>
      <c r="C1740" s="99" t="s">
        <v>336</v>
      </c>
      <c r="D1740" s="122" t="s">
        <v>304</v>
      </c>
      <c r="E1740" s="122" t="s">
        <v>81</v>
      </c>
      <c r="F1740" s="124">
        <f>SUMIFS('2024数据'!$BT$3:$BT$152,'2024数据'!$X$3:$X$152,"&gt;="&amp;DATE(2024,1,1),'2024数据'!$X$3:$X$152,"&lt;="&amp;DATE(2024,1,31),'2024数据'!$BS$3:$BS$152,$E1546,'2024数据'!$B$3:$B$152,'2024整理'!$E1714)/10000</f>
        <v>0</v>
      </c>
      <c r="G1740" s="124">
        <f>SUMIFS('2024数据'!$BT$3:$BT$152,'2024数据'!$X$3:$X$152,"&gt;="&amp;DATE(2024,2,1),'2024数据'!$X$3:$X$152,"&lt;="&amp;DATE(2024,2,29),'2024数据'!$BS$3:$BS$152,$E1546,'2024数据'!$B$3:$B$152,'2024整理'!$E1714)/10000</f>
        <v>0</v>
      </c>
      <c r="H1740" s="124">
        <f>SUMIFS('2024数据'!$BT$3:$BT$152,'2024数据'!$X$3:$X$152,"&gt;="&amp;DATE(2024,3,1),'2024数据'!$X$3:$X$152,"&lt;="&amp;DATE(2024,3,31),'2024数据'!$BS$3:$BS$152,$E1546,'2024数据'!$B$3:$B$152,'2024整理'!$E1714)/10000</f>
        <v>0</v>
      </c>
      <c r="I1740" s="124">
        <f>SUMIFS('2024数据'!$BT$3:$BT$152,'2024数据'!$X$3:$X$152,"&gt;="&amp;DATE(2024,4,1),'2024数据'!$X$3:$X$152,"&lt;="&amp;DATE(2024,4,30),'2024数据'!$BS$3:$BS$152,$E1546,'2024数据'!$B$3:$B$152,'2024整理'!$E1714)/10000</f>
        <v>0</v>
      </c>
      <c r="J1740" s="124">
        <f>SUMIFS('2024数据'!$BT$3:$BT$152,'2024数据'!$X$3:$X$152,"&gt;="&amp;DATE(2024,5,1),'2024数据'!$X$3:$X$152,"&lt;="&amp;DATE(2024,5,31),'2024数据'!$BS$3:$BS$152,$E1546,'2024数据'!$B$3:$B$152,'2024整理'!$E1714)/10000</f>
        <v>0</v>
      </c>
      <c r="K1740" s="124">
        <f>SUMIFS('2024数据'!$BT$3:$BT$152,'2024数据'!$X$3:$X$152,"&gt;="&amp;DATE(2024,6,1),'2024数据'!$X$3:$X$152,"&lt;="&amp;DATE(2024,6,30),'2024数据'!$BS$3:$BS$152,$E1546,'2024数据'!$B$3:$B$152,'2024整理'!$E1714)/10000</f>
        <v>0</v>
      </c>
      <c r="L1740" s="124">
        <f>SUMIFS('2024数据'!$BT$3:$BT$152,'2024数据'!$X$3:$X$152,"&gt;="&amp;DATE(2024,7,1),'2024数据'!$X$3:$X$152,"&lt;="&amp;DATE(2024,7,31),'2024数据'!$BS$3:$BS$152,$E1546,'2024数据'!$B$3:$B$152,'2024整理'!$E1714)/10000</f>
        <v>0</v>
      </c>
      <c r="M1740" s="124">
        <f>SUMIFS('2024数据'!$BT$3:$BT$152,'2024数据'!$X$3:$X$152,"&gt;="&amp;DATE(2024,8,1),'2024数据'!$X$3:$X$152,"&lt;="&amp;DATE(2024,8,31),'2024数据'!$BS$3:$BS$152,$E1546,'2024数据'!$B$3:$B$152,'2024整理'!$E1714)/10000</f>
        <v>0</v>
      </c>
      <c r="N1740" s="124">
        <f>SUMIFS('2024数据'!$BT$3:$BT$152,'2024数据'!$X$3:$X$152,"&gt;="&amp;DATE(2024,9,1),'2024数据'!$X$3:$X$152,"&lt;="&amp;DATE(2024,9,30),'2024数据'!$BS$3:$BS$152,$E1546,'2024数据'!$B$3:$B$152,'2024整理'!$E1714)/10000</f>
        <v>0</v>
      </c>
      <c r="O1740" s="124">
        <f>SUMIFS('2024数据'!$BT$3:$BT$152,'2024数据'!$X$3:$X$152,"&gt;="&amp;DATE(2024,10,1),'2024数据'!$X$3:$X$152,"&lt;="&amp;DATE(2024,10,31),'2024数据'!$BS$3:$BS$152,$E1546,'2024数据'!$B$3:$B$152,'2024整理'!$E1714)/10000</f>
        <v>0</v>
      </c>
      <c r="P1740" s="124">
        <f>SUMIFS('2024数据'!$BT$3:$BT$152,'2024数据'!$X$3:$X$152,"&gt;="&amp;DATE(2024,11,1),'2024数据'!$X$3:$X$152,"&lt;="&amp;DATE(2024,11,30),'2024数据'!$BS$3:$BS$152,$E1546,'2024数据'!$B$3:$B$152,'2024整理'!$E1714)/10000</f>
        <v>0</v>
      </c>
      <c r="Q1740" s="124">
        <f>SUMIFS('2024数据'!$BT$3:$BT$152,'2024数据'!$X$3:$X$152,"&gt;="&amp;DATE(2024,12,1),'2024数据'!$X$3:$X$152,"&lt;="&amp;DATE(2024,12,31),'2024数据'!$BS$3:$BS$152,$E1546,'2024数据'!$B$3:$B$152,'2024整理'!$E1714)/10000</f>
        <v>0</v>
      </c>
    </row>
    <row r="1741" ht="24" customHeight="1" spans="1:17">
      <c r="A1741" s="99" t="s">
        <v>349</v>
      </c>
      <c r="B1741" s="99" t="s">
        <v>299</v>
      </c>
      <c r="C1741" s="99" t="s">
        <v>336</v>
      </c>
      <c r="D1741" s="122" t="s">
        <v>304</v>
      </c>
      <c r="E1741" s="122" t="s">
        <v>96</v>
      </c>
      <c r="F1741" s="124">
        <f>SUMIFS('2024数据'!$BT$3:$BT$152,'2024数据'!$X$3:$X$152,"&gt;="&amp;DATE(2024,1,1),'2024数据'!$X$3:$X$152,"&lt;="&amp;DATE(2024,1,31),'2024数据'!$BS$3:$BS$152,$E1546,'2024数据'!$B$3:$B$152,'2024整理'!$E1715)/10000</f>
        <v>0</v>
      </c>
      <c r="G1741" s="124">
        <f>SUMIFS('2024数据'!$BT$3:$BT$152,'2024数据'!$X$3:$X$152,"&gt;="&amp;DATE(2024,2,1),'2024数据'!$X$3:$X$152,"&lt;="&amp;DATE(2024,2,29),'2024数据'!$BS$3:$BS$152,$E1546,'2024数据'!$B$3:$B$152,'2024整理'!$E1715)/10000</f>
        <v>0</v>
      </c>
      <c r="H1741" s="124">
        <f>SUMIFS('2024数据'!$BT$3:$BT$152,'2024数据'!$X$3:$X$152,"&gt;="&amp;DATE(2024,3,1),'2024数据'!$X$3:$X$152,"&lt;="&amp;DATE(2024,3,31),'2024数据'!$BS$3:$BS$152,$E1546,'2024数据'!$B$3:$B$152,'2024整理'!$E1715)/10000</f>
        <v>0</v>
      </c>
      <c r="I1741" s="124">
        <f>SUMIFS('2024数据'!$BT$3:$BT$152,'2024数据'!$X$3:$X$152,"&gt;="&amp;DATE(2024,4,1),'2024数据'!$X$3:$X$152,"&lt;="&amp;DATE(2024,4,30),'2024数据'!$BS$3:$BS$152,$E1546,'2024数据'!$B$3:$B$152,'2024整理'!$E1715)/10000</f>
        <v>0</v>
      </c>
      <c r="J1741" s="124">
        <f>SUMIFS('2024数据'!$BT$3:$BT$152,'2024数据'!$X$3:$X$152,"&gt;="&amp;DATE(2024,5,1),'2024数据'!$X$3:$X$152,"&lt;="&amp;DATE(2024,5,31),'2024数据'!$BS$3:$BS$152,$E1546,'2024数据'!$B$3:$B$152,'2024整理'!$E1715)/10000</f>
        <v>0</v>
      </c>
      <c r="K1741" s="124">
        <f>SUMIFS('2024数据'!$BT$3:$BT$152,'2024数据'!$X$3:$X$152,"&gt;="&amp;DATE(2024,6,1),'2024数据'!$X$3:$X$152,"&lt;="&amp;DATE(2024,6,30),'2024数据'!$BS$3:$BS$152,$E1546,'2024数据'!$B$3:$B$152,'2024整理'!$E1715)/10000</f>
        <v>0</v>
      </c>
      <c r="L1741" s="124">
        <f>SUMIFS('2024数据'!$BT$3:$BT$152,'2024数据'!$X$3:$X$152,"&gt;="&amp;DATE(2024,7,1),'2024数据'!$X$3:$X$152,"&lt;="&amp;DATE(2024,7,31),'2024数据'!$BS$3:$BS$152,$E1546,'2024数据'!$B$3:$B$152,'2024整理'!$E1715)/10000</f>
        <v>0</v>
      </c>
      <c r="M1741" s="124">
        <f>SUMIFS('2024数据'!$BT$3:$BT$152,'2024数据'!$X$3:$X$152,"&gt;="&amp;DATE(2024,8,1),'2024数据'!$X$3:$X$152,"&lt;="&amp;DATE(2024,8,31),'2024数据'!$BS$3:$BS$152,$E1546,'2024数据'!$B$3:$B$152,'2024整理'!$E1715)/10000</f>
        <v>0</v>
      </c>
      <c r="N1741" s="124">
        <f>SUMIFS('2024数据'!$BT$3:$BT$152,'2024数据'!$X$3:$X$152,"&gt;="&amp;DATE(2024,9,1),'2024数据'!$X$3:$X$152,"&lt;="&amp;DATE(2024,9,30),'2024数据'!$BS$3:$BS$152,$E1546,'2024数据'!$B$3:$B$152,'2024整理'!$E1715)/10000</f>
        <v>0</v>
      </c>
      <c r="O1741" s="124">
        <f>SUMIFS('2024数据'!$BT$3:$BT$152,'2024数据'!$X$3:$X$152,"&gt;="&amp;DATE(2024,10,1),'2024数据'!$X$3:$X$152,"&lt;="&amp;DATE(2024,10,31),'2024数据'!$BS$3:$BS$152,$E1546,'2024数据'!$B$3:$B$152,'2024整理'!$E1715)/10000</f>
        <v>0</v>
      </c>
      <c r="P1741" s="124">
        <f>SUMIFS('2024数据'!$BT$3:$BT$152,'2024数据'!$X$3:$X$152,"&gt;="&amp;DATE(2024,11,1),'2024数据'!$X$3:$X$152,"&lt;="&amp;DATE(2024,11,30),'2024数据'!$BS$3:$BS$152,$E1546,'2024数据'!$B$3:$B$152,'2024整理'!$E1715)/10000</f>
        <v>0</v>
      </c>
      <c r="Q1741" s="124">
        <f>SUMIFS('2024数据'!$BT$3:$BT$152,'2024数据'!$X$3:$X$152,"&gt;="&amp;DATE(2024,12,1),'2024数据'!$X$3:$X$152,"&lt;="&amp;DATE(2024,12,31),'2024数据'!$BS$3:$BS$152,$E1546,'2024数据'!$B$3:$B$152,'2024整理'!$E1715)/10000</f>
        <v>0</v>
      </c>
    </row>
    <row r="1742" ht="24" customHeight="1" spans="1:17">
      <c r="A1742" s="99" t="s">
        <v>349</v>
      </c>
      <c r="B1742" s="99" t="s">
        <v>299</v>
      </c>
      <c r="C1742" s="99" t="s">
        <v>336</v>
      </c>
      <c r="D1742" s="122" t="s">
        <v>304</v>
      </c>
      <c r="E1742" s="122" t="s">
        <v>160</v>
      </c>
      <c r="F1742" s="124">
        <f t="shared" ref="F1742:Q1742" si="1260">F1731-SUM(F1738:F1741)</f>
        <v>0</v>
      </c>
      <c r="G1742" s="124">
        <f t="shared" si="1260"/>
        <v>0</v>
      </c>
      <c r="H1742" s="124">
        <f t="shared" si="1260"/>
        <v>0</v>
      </c>
      <c r="I1742" s="124">
        <f t="shared" si="1260"/>
        <v>0</v>
      </c>
      <c r="J1742" s="124">
        <f t="shared" si="1260"/>
        <v>0</v>
      </c>
      <c r="K1742" s="124">
        <f t="shared" si="1260"/>
        <v>0</v>
      </c>
      <c r="L1742" s="124">
        <f t="shared" si="1260"/>
        <v>0</v>
      </c>
      <c r="M1742" s="124">
        <f t="shared" si="1260"/>
        <v>0</v>
      </c>
      <c r="N1742" s="124">
        <f t="shared" si="1260"/>
        <v>0</v>
      </c>
      <c r="O1742" s="124">
        <f t="shared" si="1260"/>
        <v>0</v>
      </c>
      <c r="P1742" s="124">
        <f t="shared" si="1260"/>
        <v>0</v>
      </c>
      <c r="Q1742" s="124">
        <f t="shared" si="1260"/>
        <v>0</v>
      </c>
    </row>
    <row r="1743" ht="24" customHeight="1" spans="1:17">
      <c r="A1743" s="99" t="s">
        <v>349</v>
      </c>
      <c r="B1743" s="99" t="s">
        <v>299</v>
      </c>
      <c r="C1743" s="99" t="s">
        <v>343</v>
      </c>
      <c r="D1743" s="114" t="s">
        <v>292</v>
      </c>
      <c r="E1743" s="114" t="s">
        <v>320</v>
      </c>
      <c r="F1743" s="120">
        <f t="shared" ref="F1743:Q1743" si="1261">IF(SUM(F1744:F1749)&lt;&gt;SUM(F1756:F1760),"ERR",SUM(F1744:F1749))</f>
        <v>0.9247</v>
      </c>
      <c r="G1743" s="120">
        <f t="shared" si="1261"/>
        <v>0.9247</v>
      </c>
      <c r="H1743" s="120">
        <f t="shared" si="1261"/>
        <v>0.9247</v>
      </c>
      <c r="I1743" s="120">
        <f t="shared" si="1261"/>
        <v>0.9247</v>
      </c>
      <c r="J1743" s="120">
        <f t="shared" si="1261"/>
        <v>2.8337</v>
      </c>
      <c r="K1743" s="120">
        <f t="shared" si="1261"/>
        <v>2.8337</v>
      </c>
      <c r="L1743" s="120">
        <f t="shared" si="1261"/>
        <v>5.9471</v>
      </c>
      <c r="M1743" s="120">
        <f t="shared" si="1261"/>
        <v>5.9471</v>
      </c>
      <c r="N1743" s="120">
        <f t="shared" si="1261"/>
        <v>5.9471</v>
      </c>
      <c r="O1743" s="120">
        <f t="shared" si="1261"/>
        <v>5.9471</v>
      </c>
      <c r="P1743" s="120">
        <f t="shared" si="1261"/>
        <v>5.9471</v>
      </c>
      <c r="Q1743" s="120">
        <f t="shared" si="1261"/>
        <v>7.6859</v>
      </c>
    </row>
    <row r="1744" ht="24" customHeight="1" spans="1:17">
      <c r="A1744" s="99" t="s">
        <v>349</v>
      </c>
      <c r="B1744" s="99" t="s">
        <v>299</v>
      </c>
      <c r="C1744" s="99" t="s">
        <v>343</v>
      </c>
      <c r="D1744" s="48" t="s">
        <v>31</v>
      </c>
      <c r="E1744" s="48" t="s">
        <v>406</v>
      </c>
      <c r="F1744" s="121">
        <f t="shared" ref="F1744:F1749" si="1262">F1694</f>
        <v>0</v>
      </c>
      <c r="G1744" s="121">
        <f t="shared" ref="G1744:Q1744" si="1263">F1744+G1694</f>
        <v>0</v>
      </c>
      <c r="H1744" s="121">
        <f t="shared" si="1263"/>
        <v>0</v>
      </c>
      <c r="I1744" s="121">
        <f t="shared" si="1263"/>
        <v>0</v>
      </c>
      <c r="J1744" s="121">
        <f t="shared" si="1263"/>
        <v>0</v>
      </c>
      <c r="K1744" s="121">
        <f t="shared" si="1263"/>
        <v>0</v>
      </c>
      <c r="L1744" s="121">
        <f t="shared" si="1263"/>
        <v>0</v>
      </c>
      <c r="M1744" s="121">
        <f t="shared" si="1263"/>
        <v>0</v>
      </c>
      <c r="N1744" s="121">
        <f t="shared" si="1263"/>
        <v>0</v>
      </c>
      <c r="O1744" s="121">
        <f t="shared" si="1263"/>
        <v>0</v>
      </c>
      <c r="P1744" s="121">
        <f t="shared" si="1263"/>
        <v>0</v>
      </c>
      <c r="Q1744" s="121">
        <f t="shared" si="1263"/>
        <v>0</v>
      </c>
    </row>
    <row r="1745" ht="24" customHeight="1" spans="1:17">
      <c r="A1745" s="99" t="s">
        <v>349</v>
      </c>
      <c r="B1745" s="99" t="s">
        <v>299</v>
      </c>
      <c r="C1745" s="99" t="s">
        <v>343</v>
      </c>
      <c r="D1745" s="48" t="s">
        <v>31</v>
      </c>
      <c r="E1745" s="48" t="s">
        <v>82</v>
      </c>
      <c r="F1745" s="121">
        <f t="shared" si="1262"/>
        <v>0</v>
      </c>
      <c r="G1745" s="121">
        <f t="shared" ref="G1745:Q1745" si="1264">F1745+G1695</f>
        <v>0</v>
      </c>
      <c r="H1745" s="121">
        <f t="shared" si="1264"/>
        <v>0</v>
      </c>
      <c r="I1745" s="121">
        <f t="shared" si="1264"/>
        <v>0</v>
      </c>
      <c r="J1745" s="121">
        <f t="shared" si="1264"/>
        <v>0</v>
      </c>
      <c r="K1745" s="121">
        <f t="shared" si="1264"/>
        <v>0</v>
      </c>
      <c r="L1745" s="121">
        <f t="shared" si="1264"/>
        <v>0</v>
      </c>
      <c r="M1745" s="121">
        <f t="shared" si="1264"/>
        <v>0</v>
      </c>
      <c r="N1745" s="121">
        <f t="shared" si="1264"/>
        <v>0</v>
      </c>
      <c r="O1745" s="121">
        <f t="shared" si="1264"/>
        <v>0</v>
      </c>
      <c r="P1745" s="121">
        <f t="shared" si="1264"/>
        <v>0</v>
      </c>
      <c r="Q1745" s="121">
        <f t="shared" si="1264"/>
        <v>0</v>
      </c>
    </row>
    <row r="1746" ht="24" customHeight="1" spans="1:17">
      <c r="A1746" s="99" t="s">
        <v>349</v>
      </c>
      <c r="B1746" s="99" t="s">
        <v>299</v>
      </c>
      <c r="C1746" s="99" t="s">
        <v>343</v>
      </c>
      <c r="D1746" s="48" t="s">
        <v>31</v>
      </c>
      <c r="E1746" s="48" t="s">
        <v>86</v>
      </c>
      <c r="F1746" s="121">
        <f t="shared" si="1262"/>
        <v>0</v>
      </c>
      <c r="G1746" s="121">
        <f t="shared" ref="G1746:Q1746" si="1265">F1746+G1696</f>
        <v>0</v>
      </c>
      <c r="H1746" s="121">
        <f t="shared" si="1265"/>
        <v>0</v>
      </c>
      <c r="I1746" s="121">
        <f t="shared" si="1265"/>
        <v>0</v>
      </c>
      <c r="J1746" s="121">
        <f t="shared" si="1265"/>
        <v>0</v>
      </c>
      <c r="K1746" s="121">
        <f t="shared" si="1265"/>
        <v>0</v>
      </c>
      <c r="L1746" s="121">
        <f t="shared" si="1265"/>
        <v>0</v>
      </c>
      <c r="M1746" s="121">
        <f t="shared" si="1265"/>
        <v>0</v>
      </c>
      <c r="N1746" s="121">
        <f t="shared" si="1265"/>
        <v>0</v>
      </c>
      <c r="O1746" s="121">
        <f t="shared" si="1265"/>
        <v>0</v>
      </c>
      <c r="P1746" s="121">
        <f t="shared" si="1265"/>
        <v>0</v>
      </c>
      <c r="Q1746" s="121">
        <f t="shared" si="1265"/>
        <v>0</v>
      </c>
    </row>
    <row r="1747" ht="24" customHeight="1" spans="1:17">
      <c r="A1747" s="99" t="s">
        <v>349</v>
      </c>
      <c r="B1747" s="99" t="s">
        <v>299</v>
      </c>
      <c r="C1747" s="99" t="s">
        <v>343</v>
      </c>
      <c r="D1747" s="48" t="s">
        <v>31</v>
      </c>
      <c r="E1747" s="48" t="s">
        <v>97</v>
      </c>
      <c r="F1747" s="121">
        <f t="shared" si="1262"/>
        <v>0</v>
      </c>
      <c r="G1747" s="121">
        <f t="shared" ref="G1747:Q1747" si="1266">F1747+G1697</f>
        <v>0</v>
      </c>
      <c r="H1747" s="121">
        <f t="shared" si="1266"/>
        <v>0</v>
      </c>
      <c r="I1747" s="121">
        <f t="shared" si="1266"/>
        <v>0</v>
      </c>
      <c r="J1747" s="121">
        <f t="shared" si="1266"/>
        <v>0</v>
      </c>
      <c r="K1747" s="121">
        <f t="shared" si="1266"/>
        <v>0</v>
      </c>
      <c r="L1747" s="121">
        <f t="shared" si="1266"/>
        <v>0</v>
      </c>
      <c r="M1747" s="121">
        <f t="shared" si="1266"/>
        <v>0</v>
      </c>
      <c r="N1747" s="121">
        <f t="shared" si="1266"/>
        <v>0</v>
      </c>
      <c r="O1747" s="121">
        <f t="shared" si="1266"/>
        <v>0</v>
      </c>
      <c r="P1747" s="121">
        <f t="shared" si="1266"/>
        <v>0</v>
      </c>
      <c r="Q1747" s="121">
        <f t="shared" si="1266"/>
        <v>0</v>
      </c>
    </row>
    <row r="1748" ht="24" customHeight="1" spans="1:17">
      <c r="A1748" s="99" t="s">
        <v>349</v>
      </c>
      <c r="B1748" s="99" t="s">
        <v>299</v>
      </c>
      <c r="C1748" s="99" t="s">
        <v>343</v>
      </c>
      <c r="D1748" s="48" t="s">
        <v>31</v>
      </c>
      <c r="E1748" s="48" t="s">
        <v>87</v>
      </c>
      <c r="F1748" s="121">
        <f t="shared" si="1262"/>
        <v>0.9247</v>
      </c>
      <c r="G1748" s="121">
        <f t="shared" ref="G1748:Q1748" si="1267">F1748+G1698</f>
        <v>0.9247</v>
      </c>
      <c r="H1748" s="121">
        <f t="shared" si="1267"/>
        <v>0.9247</v>
      </c>
      <c r="I1748" s="121">
        <f t="shared" si="1267"/>
        <v>0.9247</v>
      </c>
      <c r="J1748" s="121">
        <f t="shared" si="1267"/>
        <v>2.8337</v>
      </c>
      <c r="K1748" s="121">
        <f t="shared" si="1267"/>
        <v>2.8337</v>
      </c>
      <c r="L1748" s="121">
        <f t="shared" si="1267"/>
        <v>5.9471</v>
      </c>
      <c r="M1748" s="121">
        <f t="shared" si="1267"/>
        <v>5.9471</v>
      </c>
      <c r="N1748" s="121">
        <f t="shared" si="1267"/>
        <v>5.9471</v>
      </c>
      <c r="O1748" s="121">
        <f t="shared" si="1267"/>
        <v>5.9471</v>
      </c>
      <c r="P1748" s="121">
        <f t="shared" si="1267"/>
        <v>5.9471</v>
      </c>
      <c r="Q1748" s="121">
        <f t="shared" si="1267"/>
        <v>7.6859</v>
      </c>
    </row>
    <row r="1749" ht="24" customHeight="1" spans="1:17">
      <c r="A1749" s="99" t="s">
        <v>349</v>
      </c>
      <c r="B1749" s="99" t="s">
        <v>299</v>
      </c>
      <c r="C1749" s="99" t="s">
        <v>343</v>
      </c>
      <c r="D1749" s="48" t="s">
        <v>31</v>
      </c>
      <c r="E1749" s="48" t="s">
        <v>83</v>
      </c>
      <c r="F1749" s="121">
        <f t="shared" si="1262"/>
        <v>0</v>
      </c>
      <c r="G1749" s="121">
        <f t="shared" ref="G1749:Q1749" si="1268">F1749+G1699</f>
        <v>0</v>
      </c>
      <c r="H1749" s="121">
        <f t="shared" si="1268"/>
        <v>0</v>
      </c>
      <c r="I1749" s="121">
        <f t="shared" si="1268"/>
        <v>0</v>
      </c>
      <c r="J1749" s="121">
        <f t="shared" si="1268"/>
        <v>0</v>
      </c>
      <c r="K1749" s="121">
        <f t="shared" si="1268"/>
        <v>0</v>
      </c>
      <c r="L1749" s="121">
        <f t="shared" si="1268"/>
        <v>0</v>
      </c>
      <c r="M1749" s="121">
        <f t="shared" si="1268"/>
        <v>0</v>
      </c>
      <c r="N1749" s="121">
        <f t="shared" si="1268"/>
        <v>0</v>
      </c>
      <c r="O1749" s="121">
        <f t="shared" si="1268"/>
        <v>0</v>
      </c>
      <c r="P1749" s="121">
        <f t="shared" si="1268"/>
        <v>0</v>
      </c>
      <c r="Q1749" s="121">
        <f t="shared" si="1268"/>
        <v>0</v>
      </c>
    </row>
    <row r="1750" ht="24" customHeight="1" spans="1:17">
      <c r="A1750" s="99" t="s">
        <v>349</v>
      </c>
      <c r="B1750" s="99" t="s">
        <v>299</v>
      </c>
      <c r="C1750" s="99" t="s">
        <v>343</v>
      </c>
      <c r="D1750" s="48" t="s">
        <v>321</v>
      </c>
      <c r="E1750" s="48" t="s">
        <v>406</v>
      </c>
      <c r="F1750" s="112">
        <f t="shared" ref="F1750:Q1750" si="1269">IFERROR(F1744/F1743,"-")</f>
        <v>0</v>
      </c>
      <c r="G1750" s="112">
        <f t="shared" si="1269"/>
        <v>0</v>
      </c>
      <c r="H1750" s="112">
        <f t="shared" si="1269"/>
        <v>0</v>
      </c>
      <c r="I1750" s="112">
        <f t="shared" si="1269"/>
        <v>0</v>
      </c>
      <c r="J1750" s="112">
        <f t="shared" si="1269"/>
        <v>0</v>
      </c>
      <c r="K1750" s="112">
        <f t="shared" si="1269"/>
        <v>0</v>
      </c>
      <c r="L1750" s="112">
        <f t="shared" si="1269"/>
        <v>0</v>
      </c>
      <c r="M1750" s="112">
        <f t="shared" si="1269"/>
        <v>0</v>
      </c>
      <c r="N1750" s="112">
        <f t="shared" si="1269"/>
        <v>0</v>
      </c>
      <c r="O1750" s="112">
        <f t="shared" si="1269"/>
        <v>0</v>
      </c>
      <c r="P1750" s="112">
        <f t="shared" si="1269"/>
        <v>0</v>
      </c>
      <c r="Q1750" s="112">
        <f t="shared" si="1269"/>
        <v>0</v>
      </c>
    </row>
    <row r="1751" ht="24" customHeight="1" spans="1:17">
      <c r="A1751" s="99" t="s">
        <v>349</v>
      </c>
      <c r="B1751" s="99" t="s">
        <v>299</v>
      </c>
      <c r="C1751" s="99" t="s">
        <v>343</v>
      </c>
      <c r="D1751" s="48" t="s">
        <v>321</v>
      </c>
      <c r="E1751" s="48" t="s">
        <v>82</v>
      </c>
      <c r="F1751" s="112">
        <f t="shared" ref="F1751:Q1751" si="1270">IFERROR(F1745/F1743,"-")</f>
        <v>0</v>
      </c>
      <c r="G1751" s="112">
        <f t="shared" si="1270"/>
        <v>0</v>
      </c>
      <c r="H1751" s="112">
        <f t="shared" si="1270"/>
        <v>0</v>
      </c>
      <c r="I1751" s="112">
        <f t="shared" si="1270"/>
        <v>0</v>
      </c>
      <c r="J1751" s="112">
        <f t="shared" si="1270"/>
        <v>0</v>
      </c>
      <c r="K1751" s="112">
        <f t="shared" si="1270"/>
        <v>0</v>
      </c>
      <c r="L1751" s="112">
        <f t="shared" si="1270"/>
        <v>0</v>
      </c>
      <c r="M1751" s="112">
        <f t="shared" si="1270"/>
        <v>0</v>
      </c>
      <c r="N1751" s="112">
        <f t="shared" si="1270"/>
        <v>0</v>
      </c>
      <c r="O1751" s="112">
        <f t="shared" si="1270"/>
        <v>0</v>
      </c>
      <c r="P1751" s="112">
        <f t="shared" si="1270"/>
        <v>0</v>
      </c>
      <c r="Q1751" s="112">
        <f t="shared" si="1270"/>
        <v>0</v>
      </c>
    </row>
    <row r="1752" ht="24" customHeight="1" spans="1:17">
      <c r="A1752" s="99" t="s">
        <v>349</v>
      </c>
      <c r="B1752" s="99" t="s">
        <v>299</v>
      </c>
      <c r="C1752" s="99" t="s">
        <v>343</v>
      </c>
      <c r="D1752" s="48" t="s">
        <v>321</v>
      </c>
      <c r="E1752" s="48" t="s">
        <v>86</v>
      </c>
      <c r="F1752" s="112">
        <f t="shared" ref="F1752:Q1752" si="1271">IFERROR(F1746/F1743,"-")</f>
        <v>0</v>
      </c>
      <c r="G1752" s="112">
        <f t="shared" si="1271"/>
        <v>0</v>
      </c>
      <c r="H1752" s="112">
        <f t="shared" si="1271"/>
        <v>0</v>
      </c>
      <c r="I1752" s="112">
        <f t="shared" si="1271"/>
        <v>0</v>
      </c>
      <c r="J1752" s="112">
        <f t="shared" si="1271"/>
        <v>0</v>
      </c>
      <c r="K1752" s="112">
        <f t="shared" si="1271"/>
        <v>0</v>
      </c>
      <c r="L1752" s="112">
        <f t="shared" si="1271"/>
        <v>0</v>
      </c>
      <c r="M1752" s="112">
        <f t="shared" si="1271"/>
        <v>0</v>
      </c>
      <c r="N1752" s="112">
        <f t="shared" si="1271"/>
        <v>0</v>
      </c>
      <c r="O1752" s="112">
        <f t="shared" si="1271"/>
        <v>0</v>
      </c>
      <c r="P1752" s="112">
        <f t="shared" si="1271"/>
        <v>0</v>
      </c>
      <c r="Q1752" s="112">
        <f t="shared" si="1271"/>
        <v>0</v>
      </c>
    </row>
    <row r="1753" ht="24" customHeight="1" spans="1:17">
      <c r="A1753" s="99" t="s">
        <v>349</v>
      </c>
      <c r="B1753" s="99" t="s">
        <v>299</v>
      </c>
      <c r="C1753" s="99" t="s">
        <v>343</v>
      </c>
      <c r="D1753" s="48" t="s">
        <v>321</v>
      </c>
      <c r="E1753" s="48" t="s">
        <v>97</v>
      </c>
      <c r="F1753" s="112">
        <f t="shared" ref="F1753:Q1753" si="1272">IFERROR(F1747/F1743,"-")</f>
        <v>0</v>
      </c>
      <c r="G1753" s="112">
        <f t="shared" si="1272"/>
        <v>0</v>
      </c>
      <c r="H1753" s="112">
        <f t="shared" si="1272"/>
        <v>0</v>
      </c>
      <c r="I1753" s="112">
        <f t="shared" si="1272"/>
        <v>0</v>
      </c>
      <c r="J1753" s="112">
        <f t="shared" si="1272"/>
        <v>0</v>
      </c>
      <c r="K1753" s="112">
        <f t="shared" si="1272"/>
        <v>0</v>
      </c>
      <c r="L1753" s="112">
        <f t="shared" si="1272"/>
        <v>0</v>
      </c>
      <c r="M1753" s="112">
        <f t="shared" si="1272"/>
        <v>0</v>
      </c>
      <c r="N1753" s="112">
        <f t="shared" si="1272"/>
        <v>0</v>
      </c>
      <c r="O1753" s="112">
        <f t="shared" si="1272"/>
        <v>0</v>
      </c>
      <c r="P1753" s="112">
        <f t="shared" si="1272"/>
        <v>0</v>
      </c>
      <c r="Q1753" s="112">
        <f t="shared" si="1272"/>
        <v>0</v>
      </c>
    </row>
    <row r="1754" ht="24" customHeight="1" spans="1:17">
      <c r="A1754" s="99" t="s">
        <v>349</v>
      </c>
      <c r="B1754" s="99" t="s">
        <v>299</v>
      </c>
      <c r="C1754" s="99" t="s">
        <v>343</v>
      </c>
      <c r="D1754" s="48" t="s">
        <v>321</v>
      </c>
      <c r="E1754" s="48" t="s">
        <v>87</v>
      </c>
      <c r="F1754" s="112">
        <f t="shared" ref="F1754:Q1754" si="1273">IFERROR(F1748/F1743,"-")</f>
        <v>1</v>
      </c>
      <c r="G1754" s="112">
        <f t="shared" si="1273"/>
        <v>1</v>
      </c>
      <c r="H1754" s="112">
        <f t="shared" si="1273"/>
        <v>1</v>
      </c>
      <c r="I1754" s="112">
        <f t="shared" si="1273"/>
        <v>1</v>
      </c>
      <c r="J1754" s="112">
        <f t="shared" si="1273"/>
        <v>1</v>
      </c>
      <c r="K1754" s="112">
        <f t="shared" si="1273"/>
        <v>1</v>
      </c>
      <c r="L1754" s="112">
        <f t="shared" si="1273"/>
        <v>1</v>
      </c>
      <c r="M1754" s="112">
        <f t="shared" si="1273"/>
        <v>1</v>
      </c>
      <c r="N1754" s="112">
        <f t="shared" si="1273"/>
        <v>1</v>
      </c>
      <c r="O1754" s="112">
        <f t="shared" si="1273"/>
        <v>1</v>
      </c>
      <c r="P1754" s="112">
        <f t="shared" si="1273"/>
        <v>1</v>
      </c>
      <c r="Q1754" s="112">
        <f t="shared" si="1273"/>
        <v>1</v>
      </c>
    </row>
    <row r="1755" ht="24" customHeight="1" spans="1:17">
      <c r="A1755" s="99" t="s">
        <v>349</v>
      </c>
      <c r="B1755" s="99" t="s">
        <v>299</v>
      </c>
      <c r="C1755" s="99" t="s">
        <v>343</v>
      </c>
      <c r="D1755" s="48" t="s">
        <v>321</v>
      </c>
      <c r="E1755" s="48" t="s">
        <v>83</v>
      </c>
      <c r="F1755" s="112">
        <f t="shared" ref="F1755:Q1755" si="1274">IFERROR(F1749/F1743,"-")</f>
        <v>0</v>
      </c>
      <c r="G1755" s="112">
        <f t="shared" si="1274"/>
        <v>0</v>
      </c>
      <c r="H1755" s="112">
        <f t="shared" si="1274"/>
        <v>0</v>
      </c>
      <c r="I1755" s="112">
        <f t="shared" si="1274"/>
        <v>0</v>
      </c>
      <c r="J1755" s="112">
        <f t="shared" si="1274"/>
        <v>0</v>
      </c>
      <c r="K1755" s="112">
        <f t="shared" si="1274"/>
        <v>0</v>
      </c>
      <c r="L1755" s="112">
        <f t="shared" si="1274"/>
        <v>0</v>
      </c>
      <c r="M1755" s="112">
        <f t="shared" si="1274"/>
        <v>0</v>
      </c>
      <c r="N1755" s="112">
        <f t="shared" si="1274"/>
        <v>0</v>
      </c>
      <c r="O1755" s="112">
        <f t="shared" si="1274"/>
        <v>0</v>
      </c>
      <c r="P1755" s="112">
        <f t="shared" si="1274"/>
        <v>0</v>
      </c>
      <c r="Q1755" s="112">
        <f t="shared" si="1274"/>
        <v>0</v>
      </c>
    </row>
    <row r="1756" ht="24" customHeight="1" spans="1:17">
      <c r="A1756" s="99" t="s">
        <v>349</v>
      </c>
      <c r="B1756" s="99" t="s">
        <v>299</v>
      </c>
      <c r="C1756" s="99" t="s">
        <v>343</v>
      </c>
      <c r="D1756" s="47" t="s">
        <v>294</v>
      </c>
      <c r="E1756" s="47" t="s">
        <v>93</v>
      </c>
      <c r="F1756" s="125">
        <f t="shared" ref="F1756:F1760" si="1275">F1700</f>
        <v>0.9247</v>
      </c>
      <c r="G1756" s="125">
        <f t="shared" ref="G1756:Q1756" si="1276">F1756+G1700</f>
        <v>0.9247</v>
      </c>
      <c r="H1756" s="125">
        <f t="shared" si="1276"/>
        <v>0.9247</v>
      </c>
      <c r="I1756" s="125">
        <f t="shared" si="1276"/>
        <v>0.9247</v>
      </c>
      <c r="J1756" s="125">
        <f t="shared" si="1276"/>
        <v>2.8337</v>
      </c>
      <c r="K1756" s="125">
        <f t="shared" si="1276"/>
        <v>2.8337</v>
      </c>
      <c r="L1756" s="125">
        <f t="shared" si="1276"/>
        <v>2.8337</v>
      </c>
      <c r="M1756" s="125">
        <f t="shared" si="1276"/>
        <v>2.8337</v>
      </c>
      <c r="N1756" s="125">
        <f t="shared" si="1276"/>
        <v>2.8337</v>
      </c>
      <c r="O1756" s="125">
        <f t="shared" si="1276"/>
        <v>2.8337</v>
      </c>
      <c r="P1756" s="125">
        <f t="shared" si="1276"/>
        <v>2.8337</v>
      </c>
      <c r="Q1756" s="125">
        <f t="shared" si="1276"/>
        <v>2.8337</v>
      </c>
    </row>
    <row r="1757" ht="24" customHeight="1" spans="1:17">
      <c r="A1757" s="99" t="s">
        <v>349</v>
      </c>
      <c r="B1757" s="99" t="s">
        <v>299</v>
      </c>
      <c r="C1757" s="99" t="s">
        <v>343</v>
      </c>
      <c r="D1757" s="47" t="s">
        <v>294</v>
      </c>
      <c r="E1757" s="47" t="s">
        <v>85</v>
      </c>
      <c r="F1757" s="125">
        <f t="shared" si="1275"/>
        <v>0</v>
      </c>
      <c r="G1757" s="125">
        <f t="shared" ref="G1757:Q1757" si="1277">F1757+G1701</f>
        <v>0</v>
      </c>
      <c r="H1757" s="125">
        <f t="shared" si="1277"/>
        <v>0</v>
      </c>
      <c r="I1757" s="125">
        <f t="shared" si="1277"/>
        <v>0</v>
      </c>
      <c r="J1757" s="125">
        <f t="shared" si="1277"/>
        <v>0</v>
      </c>
      <c r="K1757" s="125">
        <f t="shared" si="1277"/>
        <v>0</v>
      </c>
      <c r="L1757" s="125">
        <f t="shared" si="1277"/>
        <v>0</v>
      </c>
      <c r="M1757" s="125">
        <f t="shared" si="1277"/>
        <v>0</v>
      </c>
      <c r="N1757" s="125">
        <f t="shared" si="1277"/>
        <v>0</v>
      </c>
      <c r="O1757" s="125">
        <f t="shared" si="1277"/>
        <v>0</v>
      </c>
      <c r="P1757" s="125">
        <f t="shared" si="1277"/>
        <v>0</v>
      </c>
      <c r="Q1757" s="125">
        <f t="shared" si="1277"/>
        <v>0</v>
      </c>
    </row>
    <row r="1758" ht="24" customHeight="1" spans="1:17">
      <c r="A1758" s="99" t="s">
        <v>349</v>
      </c>
      <c r="B1758" s="99" t="s">
        <v>299</v>
      </c>
      <c r="C1758" s="99" t="s">
        <v>343</v>
      </c>
      <c r="D1758" s="47" t="s">
        <v>294</v>
      </c>
      <c r="E1758" s="47" t="s">
        <v>81</v>
      </c>
      <c r="F1758" s="125">
        <f t="shared" si="1275"/>
        <v>0</v>
      </c>
      <c r="G1758" s="125">
        <f t="shared" ref="G1758:Q1758" si="1278">F1758+G1702</f>
        <v>0</v>
      </c>
      <c r="H1758" s="125">
        <f t="shared" si="1278"/>
        <v>0</v>
      </c>
      <c r="I1758" s="125">
        <f t="shared" si="1278"/>
        <v>0</v>
      </c>
      <c r="J1758" s="125">
        <f t="shared" si="1278"/>
        <v>0</v>
      </c>
      <c r="K1758" s="125">
        <f t="shared" si="1278"/>
        <v>0</v>
      </c>
      <c r="L1758" s="125">
        <f t="shared" si="1278"/>
        <v>3.1134</v>
      </c>
      <c r="M1758" s="125">
        <f t="shared" si="1278"/>
        <v>3.1134</v>
      </c>
      <c r="N1758" s="125">
        <f t="shared" si="1278"/>
        <v>3.1134</v>
      </c>
      <c r="O1758" s="125">
        <f t="shared" si="1278"/>
        <v>3.1134</v>
      </c>
      <c r="P1758" s="125">
        <f t="shared" si="1278"/>
        <v>3.1134</v>
      </c>
      <c r="Q1758" s="125">
        <f t="shared" si="1278"/>
        <v>4.8522</v>
      </c>
    </row>
    <row r="1759" ht="24" customHeight="1" spans="1:17">
      <c r="A1759" s="99" t="s">
        <v>349</v>
      </c>
      <c r="B1759" s="99" t="s">
        <v>299</v>
      </c>
      <c r="C1759" s="99" t="s">
        <v>343</v>
      </c>
      <c r="D1759" s="47" t="s">
        <v>294</v>
      </c>
      <c r="E1759" s="47" t="s">
        <v>96</v>
      </c>
      <c r="F1759" s="125">
        <f t="shared" si="1275"/>
        <v>0</v>
      </c>
      <c r="G1759" s="125">
        <f t="shared" ref="G1759:Q1759" si="1279">F1759+G1703</f>
        <v>0</v>
      </c>
      <c r="H1759" s="125">
        <f t="shared" si="1279"/>
        <v>0</v>
      </c>
      <c r="I1759" s="125">
        <f t="shared" si="1279"/>
        <v>0</v>
      </c>
      <c r="J1759" s="125">
        <f t="shared" si="1279"/>
        <v>0</v>
      </c>
      <c r="K1759" s="125">
        <f t="shared" si="1279"/>
        <v>0</v>
      </c>
      <c r="L1759" s="125">
        <f t="shared" si="1279"/>
        <v>0</v>
      </c>
      <c r="M1759" s="125">
        <f t="shared" si="1279"/>
        <v>0</v>
      </c>
      <c r="N1759" s="125">
        <f t="shared" si="1279"/>
        <v>0</v>
      </c>
      <c r="O1759" s="125">
        <f t="shared" si="1279"/>
        <v>0</v>
      </c>
      <c r="P1759" s="125">
        <f t="shared" si="1279"/>
        <v>0</v>
      </c>
      <c r="Q1759" s="125">
        <f t="shared" si="1279"/>
        <v>0</v>
      </c>
    </row>
    <row r="1760" ht="24" customHeight="1" spans="1:17">
      <c r="A1760" s="99" t="s">
        <v>349</v>
      </c>
      <c r="B1760" s="99" t="s">
        <v>299</v>
      </c>
      <c r="C1760" s="99" t="s">
        <v>343</v>
      </c>
      <c r="D1760" s="47" t="s">
        <v>294</v>
      </c>
      <c r="E1760" s="47" t="s">
        <v>160</v>
      </c>
      <c r="F1760" s="125">
        <f t="shared" si="1275"/>
        <v>0</v>
      </c>
      <c r="G1760" s="125">
        <f t="shared" ref="G1760:Q1760" si="1280">F1760+G1704</f>
        <v>0</v>
      </c>
      <c r="H1760" s="125">
        <f t="shared" si="1280"/>
        <v>0</v>
      </c>
      <c r="I1760" s="125">
        <f t="shared" si="1280"/>
        <v>0</v>
      </c>
      <c r="J1760" s="125">
        <f t="shared" si="1280"/>
        <v>0</v>
      </c>
      <c r="K1760" s="125">
        <f t="shared" si="1280"/>
        <v>0</v>
      </c>
      <c r="L1760" s="125">
        <f t="shared" si="1280"/>
        <v>0</v>
      </c>
      <c r="M1760" s="125">
        <f t="shared" si="1280"/>
        <v>0</v>
      </c>
      <c r="N1760" s="125">
        <f t="shared" si="1280"/>
        <v>0</v>
      </c>
      <c r="O1760" s="125">
        <f t="shared" si="1280"/>
        <v>0</v>
      </c>
      <c r="P1760" s="125">
        <f t="shared" si="1280"/>
        <v>0</v>
      </c>
      <c r="Q1760" s="125">
        <f t="shared" si="1280"/>
        <v>0</v>
      </c>
    </row>
    <row r="1761" ht="24" customHeight="1" spans="1:17">
      <c r="A1761" s="99" t="s">
        <v>349</v>
      </c>
      <c r="B1761" s="99" t="s">
        <v>299</v>
      </c>
      <c r="C1761" s="99" t="s">
        <v>343</v>
      </c>
      <c r="D1761" s="47" t="s">
        <v>321</v>
      </c>
      <c r="E1761" s="47" t="s">
        <v>93</v>
      </c>
      <c r="F1761" s="126">
        <f t="shared" ref="F1761:Q1761" si="1281">IFERROR(F1756/F1743,"-")</f>
        <v>1</v>
      </c>
      <c r="G1761" s="126">
        <f t="shared" si="1281"/>
        <v>1</v>
      </c>
      <c r="H1761" s="126">
        <f t="shared" si="1281"/>
        <v>1</v>
      </c>
      <c r="I1761" s="126">
        <f t="shared" si="1281"/>
        <v>1</v>
      </c>
      <c r="J1761" s="126">
        <f t="shared" si="1281"/>
        <v>1</v>
      </c>
      <c r="K1761" s="126">
        <f t="shared" si="1281"/>
        <v>1</v>
      </c>
      <c r="L1761" s="126">
        <f t="shared" si="1281"/>
        <v>0.476484336903701</v>
      </c>
      <c r="M1761" s="126">
        <f t="shared" si="1281"/>
        <v>0.476484336903701</v>
      </c>
      <c r="N1761" s="126">
        <f t="shared" si="1281"/>
        <v>0.476484336903701</v>
      </c>
      <c r="O1761" s="126">
        <f t="shared" si="1281"/>
        <v>0.476484336903701</v>
      </c>
      <c r="P1761" s="126">
        <f t="shared" si="1281"/>
        <v>0.476484336903701</v>
      </c>
      <c r="Q1761" s="126">
        <f t="shared" si="1281"/>
        <v>0.368688117201629</v>
      </c>
    </row>
    <row r="1762" ht="24" customHeight="1" spans="1:17">
      <c r="A1762" s="99" t="s">
        <v>349</v>
      </c>
      <c r="B1762" s="99" t="s">
        <v>299</v>
      </c>
      <c r="C1762" s="99" t="s">
        <v>343</v>
      </c>
      <c r="D1762" s="47" t="s">
        <v>321</v>
      </c>
      <c r="E1762" s="47" t="s">
        <v>85</v>
      </c>
      <c r="F1762" s="126">
        <f t="shared" ref="F1762:Q1762" si="1282">IFERROR(F1757/F1743,"-")</f>
        <v>0</v>
      </c>
      <c r="G1762" s="126">
        <f t="shared" si="1282"/>
        <v>0</v>
      </c>
      <c r="H1762" s="126">
        <f t="shared" si="1282"/>
        <v>0</v>
      </c>
      <c r="I1762" s="126">
        <f t="shared" si="1282"/>
        <v>0</v>
      </c>
      <c r="J1762" s="126">
        <f t="shared" si="1282"/>
        <v>0</v>
      </c>
      <c r="K1762" s="126">
        <f t="shared" si="1282"/>
        <v>0</v>
      </c>
      <c r="L1762" s="126">
        <f t="shared" si="1282"/>
        <v>0</v>
      </c>
      <c r="M1762" s="126">
        <f t="shared" si="1282"/>
        <v>0</v>
      </c>
      <c r="N1762" s="126">
        <f t="shared" si="1282"/>
        <v>0</v>
      </c>
      <c r="O1762" s="126">
        <f t="shared" si="1282"/>
        <v>0</v>
      </c>
      <c r="P1762" s="126">
        <f t="shared" si="1282"/>
        <v>0</v>
      </c>
      <c r="Q1762" s="126">
        <f t="shared" si="1282"/>
        <v>0</v>
      </c>
    </row>
    <row r="1763" ht="24" customHeight="1" spans="1:17">
      <c r="A1763" s="99" t="s">
        <v>349</v>
      </c>
      <c r="B1763" s="99" t="s">
        <v>299</v>
      </c>
      <c r="C1763" s="99" t="s">
        <v>343</v>
      </c>
      <c r="D1763" s="47" t="s">
        <v>321</v>
      </c>
      <c r="E1763" s="47" t="s">
        <v>81</v>
      </c>
      <c r="F1763" s="126">
        <f t="shared" ref="F1763:Q1763" si="1283">IFERROR(F1758/F1743,"-")</f>
        <v>0</v>
      </c>
      <c r="G1763" s="126">
        <f t="shared" si="1283"/>
        <v>0</v>
      </c>
      <c r="H1763" s="126">
        <f t="shared" si="1283"/>
        <v>0</v>
      </c>
      <c r="I1763" s="126">
        <f t="shared" si="1283"/>
        <v>0</v>
      </c>
      <c r="J1763" s="126">
        <f t="shared" si="1283"/>
        <v>0</v>
      </c>
      <c r="K1763" s="126">
        <f t="shared" si="1283"/>
        <v>0</v>
      </c>
      <c r="L1763" s="126">
        <f t="shared" si="1283"/>
        <v>0.523515663096299</v>
      </c>
      <c r="M1763" s="126">
        <f t="shared" si="1283"/>
        <v>0.523515663096299</v>
      </c>
      <c r="N1763" s="126">
        <f t="shared" si="1283"/>
        <v>0.523515663096299</v>
      </c>
      <c r="O1763" s="126">
        <f t="shared" si="1283"/>
        <v>0.523515663096299</v>
      </c>
      <c r="P1763" s="126">
        <f t="shared" si="1283"/>
        <v>0.523515663096299</v>
      </c>
      <c r="Q1763" s="126">
        <f t="shared" si="1283"/>
        <v>0.631311882798371</v>
      </c>
    </row>
    <row r="1764" ht="24" customHeight="1" spans="1:17">
      <c r="A1764" s="99" t="s">
        <v>349</v>
      </c>
      <c r="B1764" s="99" t="s">
        <v>299</v>
      </c>
      <c r="C1764" s="99" t="s">
        <v>343</v>
      </c>
      <c r="D1764" s="47" t="s">
        <v>321</v>
      </c>
      <c r="E1764" s="47" t="s">
        <v>96</v>
      </c>
      <c r="F1764" s="126">
        <f t="shared" ref="F1764:Q1764" si="1284">IFERROR(F1759/F1743,"-")</f>
        <v>0</v>
      </c>
      <c r="G1764" s="126">
        <f t="shared" si="1284"/>
        <v>0</v>
      </c>
      <c r="H1764" s="126">
        <f t="shared" si="1284"/>
        <v>0</v>
      </c>
      <c r="I1764" s="126">
        <f t="shared" si="1284"/>
        <v>0</v>
      </c>
      <c r="J1764" s="126">
        <f t="shared" si="1284"/>
        <v>0</v>
      </c>
      <c r="K1764" s="126">
        <f t="shared" si="1284"/>
        <v>0</v>
      </c>
      <c r="L1764" s="126">
        <f t="shared" si="1284"/>
        <v>0</v>
      </c>
      <c r="M1764" s="126">
        <f t="shared" si="1284"/>
        <v>0</v>
      </c>
      <c r="N1764" s="126">
        <f t="shared" si="1284"/>
        <v>0</v>
      </c>
      <c r="O1764" s="126">
        <f t="shared" si="1284"/>
        <v>0</v>
      </c>
      <c r="P1764" s="126">
        <f t="shared" si="1284"/>
        <v>0</v>
      </c>
      <c r="Q1764" s="126">
        <f t="shared" si="1284"/>
        <v>0</v>
      </c>
    </row>
    <row r="1765" ht="24" customHeight="1" spans="1:17">
      <c r="A1765" s="99" t="s">
        <v>349</v>
      </c>
      <c r="B1765" s="99" t="s">
        <v>299</v>
      </c>
      <c r="C1765" s="99" t="s">
        <v>343</v>
      </c>
      <c r="D1765" s="47" t="s">
        <v>321</v>
      </c>
      <c r="E1765" s="47" t="s">
        <v>160</v>
      </c>
      <c r="F1765" s="126">
        <f t="shared" ref="F1765:Q1765" si="1285">IFERROR(F1760/F1743,"-")</f>
        <v>0</v>
      </c>
      <c r="G1765" s="126">
        <f t="shared" si="1285"/>
        <v>0</v>
      </c>
      <c r="H1765" s="126">
        <f t="shared" si="1285"/>
        <v>0</v>
      </c>
      <c r="I1765" s="126">
        <f t="shared" si="1285"/>
        <v>0</v>
      </c>
      <c r="J1765" s="126">
        <f t="shared" si="1285"/>
        <v>0</v>
      </c>
      <c r="K1765" s="126">
        <f t="shared" si="1285"/>
        <v>0</v>
      </c>
      <c r="L1765" s="126">
        <f t="shared" si="1285"/>
        <v>0</v>
      </c>
      <c r="M1765" s="126">
        <f t="shared" si="1285"/>
        <v>0</v>
      </c>
      <c r="N1765" s="126">
        <f t="shared" si="1285"/>
        <v>0</v>
      </c>
      <c r="O1765" s="126">
        <f t="shared" si="1285"/>
        <v>0</v>
      </c>
      <c r="P1765" s="126">
        <f t="shared" si="1285"/>
        <v>0</v>
      </c>
      <c r="Q1765" s="126">
        <f t="shared" si="1285"/>
        <v>0</v>
      </c>
    </row>
    <row r="1766" ht="24" customHeight="1" spans="1:17">
      <c r="A1766" s="99" t="s">
        <v>349</v>
      </c>
      <c r="B1766" s="99" t="s">
        <v>299</v>
      </c>
      <c r="C1766" s="99" t="s">
        <v>344</v>
      </c>
      <c r="D1766" s="114" t="s">
        <v>292</v>
      </c>
      <c r="E1766" s="114" t="s">
        <v>320</v>
      </c>
      <c r="F1766" s="120">
        <f t="shared" ref="F1766:Q1766" si="1286">IF(SUM(F1767:F1772)&lt;&gt;SUM(F1779:F1783),"ERR",SUM(F1767:F1772))</f>
        <v>0.9405</v>
      </c>
      <c r="G1766" s="120">
        <f t="shared" si="1286"/>
        <v>0.9405</v>
      </c>
      <c r="H1766" s="120">
        <f t="shared" si="1286"/>
        <v>0.9405</v>
      </c>
      <c r="I1766" s="120">
        <f t="shared" si="1286"/>
        <v>0.9405</v>
      </c>
      <c r="J1766" s="120">
        <f t="shared" si="1286"/>
        <v>2.8851</v>
      </c>
      <c r="K1766" s="120">
        <f t="shared" si="1286"/>
        <v>2.8851</v>
      </c>
      <c r="L1766" s="120">
        <f t="shared" si="1286"/>
        <v>6.0521</v>
      </c>
      <c r="M1766" s="120">
        <f t="shared" si="1286"/>
        <v>6.0521</v>
      </c>
      <c r="N1766" s="120">
        <f t="shared" si="1286"/>
        <v>6.0521</v>
      </c>
      <c r="O1766" s="120">
        <f t="shared" si="1286"/>
        <v>6.0521</v>
      </c>
      <c r="P1766" s="120">
        <f t="shared" si="1286"/>
        <v>6.0521</v>
      </c>
      <c r="Q1766" s="120">
        <f t="shared" si="1286"/>
        <v>7.8213</v>
      </c>
    </row>
    <row r="1767" ht="24" customHeight="1" spans="1:17">
      <c r="A1767" s="99" t="s">
        <v>349</v>
      </c>
      <c r="B1767" s="99" t="s">
        <v>299</v>
      </c>
      <c r="C1767" s="99" t="s">
        <v>344</v>
      </c>
      <c r="D1767" s="48" t="s">
        <v>31</v>
      </c>
      <c r="E1767" s="48" t="s">
        <v>406</v>
      </c>
      <c r="F1767" s="121">
        <f t="shared" ref="F1767:F1772" si="1287">F1706</f>
        <v>0</v>
      </c>
      <c r="G1767" s="121">
        <f t="shared" ref="G1767:Q1767" si="1288">F1767+G1706</f>
        <v>0</v>
      </c>
      <c r="H1767" s="121">
        <f t="shared" si="1288"/>
        <v>0</v>
      </c>
      <c r="I1767" s="121">
        <f t="shared" si="1288"/>
        <v>0</v>
      </c>
      <c r="J1767" s="121">
        <f t="shared" si="1288"/>
        <v>0</v>
      </c>
      <c r="K1767" s="121">
        <f t="shared" si="1288"/>
        <v>0</v>
      </c>
      <c r="L1767" s="121">
        <f t="shared" si="1288"/>
        <v>0</v>
      </c>
      <c r="M1767" s="121">
        <f t="shared" si="1288"/>
        <v>0</v>
      </c>
      <c r="N1767" s="121">
        <f t="shared" si="1288"/>
        <v>0</v>
      </c>
      <c r="O1767" s="121">
        <f t="shared" si="1288"/>
        <v>0</v>
      </c>
      <c r="P1767" s="121">
        <f t="shared" si="1288"/>
        <v>0</v>
      </c>
      <c r="Q1767" s="121">
        <f t="shared" si="1288"/>
        <v>0</v>
      </c>
    </row>
    <row r="1768" ht="24" customHeight="1" spans="1:17">
      <c r="A1768" s="99" t="s">
        <v>349</v>
      </c>
      <c r="B1768" s="99" t="s">
        <v>299</v>
      </c>
      <c r="C1768" s="99" t="s">
        <v>344</v>
      </c>
      <c r="D1768" s="48" t="s">
        <v>31</v>
      </c>
      <c r="E1768" s="48" t="s">
        <v>82</v>
      </c>
      <c r="F1768" s="121">
        <f t="shared" si="1287"/>
        <v>0</v>
      </c>
      <c r="G1768" s="121">
        <f t="shared" ref="G1768:Q1768" si="1289">F1768+G1707</f>
        <v>0</v>
      </c>
      <c r="H1768" s="121">
        <f t="shared" si="1289"/>
        <v>0</v>
      </c>
      <c r="I1768" s="121">
        <f t="shared" si="1289"/>
        <v>0</v>
      </c>
      <c r="J1768" s="121">
        <f t="shared" si="1289"/>
        <v>0</v>
      </c>
      <c r="K1768" s="121">
        <f t="shared" si="1289"/>
        <v>0</v>
      </c>
      <c r="L1768" s="121">
        <f t="shared" si="1289"/>
        <v>0</v>
      </c>
      <c r="M1768" s="121">
        <f t="shared" si="1289"/>
        <v>0</v>
      </c>
      <c r="N1768" s="121">
        <f t="shared" si="1289"/>
        <v>0</v>
      </c>
      <c r="O1768" s="121">
        <f t="shared" si="1289"/>
        <v>0</v>
      </c>
      <c r="P1768" s="121">
        <f t="shared" si="1289"/>
        <v>0</v>
      </c>
      <c r="Q1768" s="121">
        <f t="shared" si="1289"/>
        <v>0</v>
      </c>
    </row>
    <row r="1769" ht="24" customHeight="1" spans="1:17">
      <c r="A1769" s="99" t="s">
        <v>349</v>
      </c>
      <c r="B1769" s="99" t="s">
        <v>299</v>
      </c>
      <c r="C1769" s="99" t="s">
        <v>344</v>
      </c>
      <c r="D1769" s="48" t="s">
        <v>31</v>
      </c>
      <c r="E1769" s="48" t="s">
        <v>86</v>
      </c>
      <c r="F1769" s="121">
        <f t="shared" si="1287"/>
        <v>0</v>
      </c>
      <c r="G1769" s="121">
        <f t="shared" ref="G1769:Q1769" si="1290">F1769+G1708</f>
        <v>0</v>
      </c>
      <c r="H1769" s="121">
        <f t="shared" si="1290"/>
        <v>0</v>
      </c>
      <c r="I1769" s="121">
        <f t="shared" si="1290"/>
        <v>0</v>
      </c>
      <c r="J1769" s="121">
        <f t="shared" si="1290"/>
        <v>0</v>
      </c>
      <c r="K1769" s="121">
        <f t="shared" si="1290"/>
        <v>0</v>
      </c>
      <c r="L1769" s="121">
        <f t="shared" si="1290"/>
        <v>0</v>
      </c>
      <c r="M1769" s="121">
        <f t="shared" si="1290"/>
        <v>0</v>
      </c>
      <c r="N1769" s="121">
        <f t="shared" si="1290"/>
        <v>0</v>
      </c>
      <c r="O1769" s="121">
        <f t="shared" si="1290"/>
        <v>0</v>
      </c>
      <c r="P1769" s="121">
        <f t="shared" si="1290"/>
        <v>0</v>
      </c>
      <c r="Q1769" s="121">
        <f t="shared" si="1290"/>
        <v>0</v>
      </c>
    </row>
    <row r="1770" ht="24" customHeight="1" spans="1:17">
      <c r="A1770" s="99" t="s">
        <v>349</v>
      </c>
      <c r="B1770" s="99" t="s">
        <v>299</v>
      </c>
      <c r="C1770" s="99" t="s">
        <v>344</v>
      </c>
      <c r="D1770" s="48" t="s">
        <v>31</v>
      </c>
      <c r="E1770" s="48" t="s">
        <v>97</v>
      </c>
      <c r="F1770" s="121">
        <f t="shared" si="1287"/>
        <v>0</v>
      </c>
      <c r="G1770" s="121">
        <f t="shared" ref="G1770:Q1770" si="1291">F1770+G1709</f>
        <v>0</v>
      </c>
      <c r="H1770" s="121">
        <f t="shared" si="1291"/>
        <v>0</v>
      </c>
      <c r="I1770" s="121">
        <f t="shared" si="1291"/>
        <v>0</v>
      </c>
      <c r="J1770" s="121">
        <f t="shared" si="1291"/>
        <v>0</v>
      </c>
      <c r="K1770" s="121">
        <f t="shared" si="1291"/>
        <v>0</v>
      </c>
      <c r="L1770" s="121">
        <f t="shared" si="1291"/>
        <v>0</v>
      </c>
      <c r="M1770" s="121">
        <f t="shared" si="1291"/>
        <v>0</v>
      </c>
      <c r="N1770" s="121">
        <f t="shared" si="1291"/>
        <v>0</v>
      </c>
      <c r="O1770" s="121">
        <f t="shared" si="1291"/>
        <v>0</v>
      </c>
      <c r="P1770" s="121">
        <f t="shared" si="1291"/>
        <v>0</v>
      </c>
      <c r="Q1770" s="121">
        <f t="shared" si="1291"/>
        <v>0</v>
      </c>
    </row>
    <row r="1771" ht="24" customHeight="1" spans="1:17">
      <c r="A1771" s="99" t="s">
        <v>349</v>
      </c>
      <c r="B1771" s="99" t="s">
        <v>299</v>
      </c>
      <c r="C1771" s="99" t="s">
        <v>344</v>
      </c>
      <c r="D1771" s="48" t="s">
        <v>31</v>
      </c>
      <c r="E1771" s="48" t="s">
        <v>87</v>
      </c>
      <c r="F1771" s="121">
        <f t="shared" si="1287"/>
        <v>0.9405</v>
      </c>
      <c r="G1771" s="121">
        <f t="shared" ref="G1771:Q1771" si="1292">F1771+G1710</f>
        <v>0.9405</v>
      </c>
      <c r="H1771" s="121">
        <f t="shared" si="1292"/>
        <v>0.9405</v>
      </c>
      <c r="I1771" s="121">
        <f t="shared" si="1292"/>
        <v>0.9405</v>
      </c>
      <c r="J1771" s="121">
        <f t="shared" si="1292"/>
        <v>2.8851</v>
      </c>
      <c r="K1771" s="121">
        <f t="shared" si="1292"/>
        <v>2.8851</v>
      </c>
      <c r="L1771" s="121">
        <f t="shared" si="1292"/>
        <v>6.0521</v>
      </c>
      <c r="M1771" s="121">
        <f t="shared" si="1292"/>
        <v>6.0521</v>
      </c>
      <c r="N1771" s="121">
        <f t="shared" si="1292"/>
        <v>6.0521</v>
      </c>
      <c r="O1771" s="121">
        <f t="shared" si="1292"/>
        <v>6.0521</v>
      </c>
      <c r="P1771" s="121">
        <f t="shared" si="1292"/>
        <v>6.0521</v>
      </c>
      <c r="Q1771" s="121">
        <f t="shared" si="1292"/>
        <v>7.8213</v>
      </c>
    </row>
    <row r="1772" ht="24" customHeight="1" spans="1:17">
      <c r="A1772" s="99" t="s">
        <v>349</v>
      </c>
      <c r="B1772" s="99" t="s">
        <v>299</v>
      </c>
      <c r="C1772" s="99" t="s">
        <v>344</v>
      </c>
      <c r="D1772" s="48" t="s">
        <v>31</v>
      </c>
      <c r="E1772" s="48" t="s">
        <v>83</v>
      </c>
      <c r="F1772" s="121">
        <f t="shared" si="1287"/>
        <v>0</v>
      </c>
      <c r="G1772" s="121">
        <f t="shared" ref="G1772:Q1772" si="1293">F1772+G1711</f>
        <v>0</v>
      </c>
      <c r="H1772" s="121">
        <f t="shared" si="1293"/>
        <v>0</v>
      </c>
      <c r="I1772" s="121">
        <f t="shared" si="1293"/>
        <v>0</v>
      </c>
      <c r="J1772" s="121">
        <f t="shared" si="1293"/>
        <v>0</v>
      </c>
      <c r="K1772" s="121">
        <f t="shared" si="1293"/>
        <v>0</v>
      </c>
      <c r="L1772" s="121">
        <f t="shared" si="1293"/>
        <v>0</v>
      </c>
      <c r="M1772" s="121">
        <f t="shared" si="1293"/>
        <v>0</v>
      </c>
      <c r="N1772" s="121">
        <f t="shared" si="1293"/>
        <v>0</v>
      </c>
      <c r="O1772" s="121">
        <f t="shared" si="1293"/>
        <v>0</v>
      </c>
      <c r="P1772" s="121">
        <f t="shared" si="1293"/>
        <v>0</v>
      </c>
      <c r="Q1772" s="121">
        <f t="shared" si="1293"/>
        <v>0</v>
      </c>
    </row>
    <row r="1773" ht="24" customHeight="1" spans="1:17">
      <c r="A1773" s="99" t="s">
        <v>349</v>
      </c>
      <c r="B1773" s="99" t="s">
        <v>299</v>
      </c>
      <c r="C1773" s="99" t="s">
        <v>344</v>
      </c>
      <c r="D1773" s="48" t="s">
        <v>321</v>
      </c>
      <c r="E1773" s="48" t="s">
        <v>406</v>
      </c>
      <c r="F1773" s="112">
        <f t="shared" ref="F1773:Q1773" si="1294">IFERROR(F1767/F1766,"-")</f>
        <v>0</v>
      </c>
      <c r="G1773" s="112">
        <f t="shared" si="1294"/>
        <v>0</v>
      </c>
      <c r="H1773" s="112">
        <f t="shared" si="1294"/>
        <v>0</v>
      </c>
      <c r="I1773" s="112">
        <f t="shared" si="1294"/>
        <v>0</v>
      </c>
      <c r="J1773" s="112">
        <f t="shared" si="1294"/>
        <v>0</v>
      </c>
      <c r="K1773" s="112">
        <f t="shared" si="1294"/>
        <v>0</v>
      </c>
      <c r="L1773" s="112">
        <f t="shared" si="1294"/>
        <v>0</v>
      </c>
      <c r="M1773" s="112">
        <f t="shared" si="1294"/>
        <v>0</v>
      </c>
      <c r="N1773" s="112">
        <f t="shared" si="1294"/>
        <v>0</v>
      </c>
      <c r="O1773" s="112">
        <f t="shared" si="1294"/>
        <v>0</v>
      </c>
      <c r="P1773" s="112">
        <f t="shared" si="1294"/>
        <v>0</v>
      </c>
      <c r="Q1773" s="112">
        <f t="shared" si="1294"/>
        <v>0</v>
      </c>
    </row>
    <row r="1774" ht="24" customHeight="1" spans="1:17">
      <c r="A1774" s="99" t="s">
        <v>349</v>
      </c>
      <c r="B1774" s="99" t="s">
        <v>299</v>
      </c>
      <c r="C1774" s="99" t="s">
        <v>344</v>
      </c>
      <c r="D1774" s="48" t="s">
        <v>321</v>
      </c>
      <c r="E1774" s="48" t="s">
        <v>82</v>
      </c>
      <c r="F1774" s="112">
        <f t="shared" ref="F1774:Q1774" si="1295">IFERROR(F1768/F1766,"-")</f>
        <v>0</v>
      </c>
      <c r="G1774" s="112">
        <f t="shared" si="1295"/>
        <v>0</v>
      </c>
      <c r="H1774" s="112">
        <f t="shared" si="1295"/>
        <v>0</v>
      </c>
      <c r="I1774" s="112">
        <f t="shared" si="1295"/>
        <v>0</v>
      </c>
      <c r="J1774" s="112">
        <f t="shared" si="1295"/>
        <v>0</v>
      </c>
      <c r="K1774" s="112">
        <f t="shared" si="1295"/>
        <v>0</v>
      </c>
      <c r="L1774" s="112">
        <f t="shared" si="1295"/>
        <v>0</v>
      </c>
      <c r="M1774" s="112">
        <f t="shared" si="1295"/>
        <v>0</v>
      </c>
      <c r="N1774" s="112">
        <f t="shared" si="1295"/>
        <v>0</v>
      </c>
      <c r="O1774" s="112">
        <f t="shared" si="1295"/>
        <v>0</v>
      </c>
      <c r="P1774" s="112">
        <f t="shared" si="1295"/>
        <v>0</v>
      </c>
      <c r="Q1774" s="112">
        <f t="shared" si="1295"/>
        <v>0</v>
      </c>
    </row>
    <row r="1775" ht="24" customHeight="1" spans="1:17">
      <c r="A1775" s="99" t="s">
        <v>349</v>
      </c>
      <c r="B1775" s="99" t="s">
        <v>299</v>
      </c>
      <c r="C1775" s="99" t="s">
        <v>344</v>
      </c>
      <c r="D1775" s="48" t="s">
        <v>321</v>
      </c>
      <c r="E1775" s="48" t="s">
        <v>86</v>
      </c>
      <c r="F1775" s="112">
        <f t="shared" ref="F1775:Q1775" si="1296">IFERROR(F1769/F1766,"-")</f>
        <v>0</v>
      </c>
      <c r="G1775" s="112">
        <f t="shared" si="1296"/>
        <v>0</v>
      </c>
      <c r="H1775" s="112">
        <f t="shared" si="1296"/>
        <v>0</v>
      </c>
      <c r="I1775" s="112">
        <f t="shared" si="1296"/>
        <v>0</v>
      </c>
      <c r="J1775" s="112">
        <f t="shared" si="1296"/>
        <v>0</v>
      </c>
      <c r="K1775" s="112">
        <f t="shared" si="1296"/>
        <v>0</v>
      </c>
      <c r="L1775" s="112">
        <f t="shared" si="1296"/>
        <v>0</v>
      </c>
      <c r="M1775" s="112">
        <f t="shared" si="1296"/>
        <v>0</v>
      </c>
      <c r="N1775" s="112">
        <f t="shared" si="1296"/>
        <v>0</v>
      </c>
      <c r="O1775" s="112">
        <f t="shared" si="1296"/>
        <v>0</v>
      </c>
      <c r="P1775" s="112">
        <f t="shared" si="1296"/>
        <v>0</v>
      </c>
      <c r="Q1775" s="112">
        <f t="shared" si="1296"/>
        <v>0</v>
      </c>
    </row>
    <row r="1776" ht="24" customHeight="1" spans="1:17">
      <c r="A1776" s="99" t="s">
        <v>349</v>
      </c>
      <c r="B1776" s="99" t="s">
        <v>299</v>
      </c>
      <c r="C1776" s="99" t="s">
        <v>344</v>
      </c>
      <c r="D1776" s="48" t="s">
        <v>321</v>
      </c>
      <c r="E1776" s="48" t="s">
        <v>97</v>
      </c>
      <c r="F1776" s="112">
        <f t="shared" ref="F1776:Q1776" si="1297">IFERROR(F1770/F1766,"-")</f>
        <v>0</v>
      </c>
      <c r="G1776" s="112">
        <f t="shared" si="1297"/>
        <v>0</v>
      </c>
      <c r="H1776" s="112">
        <f t="shared" si="1297"/>
        <v>0</v>
      </c>
      <c r="I1776" s="112">
        <f t="shared" si="1297"/>
        <v>0</v>
      </c>
      <c r="J1776" s="112">
        <f t="shared" si="1297"/>
        <v>0</v>
      </c>
      <c r="K1776" s="112">
        <f t="shared" si="1297"/>
        <v>0</v>
      </c>
      <c r="L1776" s="112">
        <f t="shared" si="1297"/>
        <v>0</v>
      </c>
      <c r="M1776" s="112">
        <f t="shared" si="1297"/>
        <v>0</v>
      </c>
      <c r="N1776" s="112">
        <f t="shared" si="1297"/>
        <v>0</v>
      </c>
      <c r="O1776" s="112">
        <f t="shared" si="1297"/>
        <v>0</v>
      </c>
      <c r="P1776" s="112">
        <f t="shared" si="1297"/>
        <v>0</v>
      </c>
      <c r="Q1776" s="112">
        <f t="shared" si="1297"/>
        <v>0</v>
      </c>
    </row>
    <row r="1777" ht="24" customHeight="1" spans="1:17">
      <c r="A1777" s="99" t="s">
        <v>349</v>
      </c>
      <c r="B1777" s="99" t="s">
        <v>299</v>
      </c>
      <c r="C1777" s="99" t="s">
        <v>344</v>
      </c>
      <c r="D1777" s="48" t="s">
        <v>321</v>
      </c>
      <c r="E1777" s="48" t="s">
        <v>87</v>
      </c>
      <c r="F1777" s="112">
        <f t="shared" ref="F1777:Q1777" si="1298">IFERROR(F1771/F1766,"-")</f>
        <v>1</v>
      </c>
      <c r="G1777" s="112">
        <f t="shared" si="1298"/>
        <v>1</v>
      </c>
      <c r="H1777" s="112">
        <f t="shared" si="1298"/>
        <v>1</v>
      </c>
      <c r="I1777" s="112">
        <f t="shared" si="1298"/>
        <v>1</v>
      </c>
      <c r="J1777" s="112">
        <f t="shared" si="1298"/>
        <v>1</v>
      </c>
      <c r="K1777" s="112">
        <f t="shared" si="1298"/>
        <v>1</v>
      </c>
      <c r="L1777" s="112">
        <f t="shared" si="1298"/>
        <v>1</v>
      </c>
      <c r="M1777" s="112">
        <f t="shared" si="1298"/>
        <v>1</v>
      </c>
      <c r="N1777" s="112">
        <f t="shared" si="1298"/>
        <v>1</v>
      </c>
      <c r="O1777" s="112">
        <f t="shared" si="1298"/>
        <v>1</v>
      </c>
      <c r="P1777" s="112">
        <f t="shared" si="1298"/>
        <v>1</v>
      </c>
      <c r="Q1777" s="112">
        <f t="shared" si="1298"/>
        <v>1</v>
      </c>
    </row>
    <row r="1778" ht="24" customHeight="1" spans="1:17">
      <c r="A1778" s="99" t="s">
        <v>349</v>
      </c>
      <c r="B1778" s="99" t="s">
        <v>299</v>
      </c>
      <c r="C1778" s="99" t="s">
        <v>344</v>
      </c>
      <c r="D1778" s="48" t="s">
        <v>321</v>
      </c>
      <c r="E1778" s="48" t="s">
        <v>83</v>
      </c>
      <c r="F1778" s="112">
        <f t="shared" ref="F1778:Q1778" si="1299">IFERROR(F1772/F1766,"-")</f>
        <v>0</v>
      </c>
      <c r="G1778" s="112">
        <f t="shared" si="1299"/>
        <v>0</v>
      </c>
      <c r="H1778" s="112">
        <f t="shared" si="1299"/>
        <v>0</v>
      </c>
      <c r="I1778" s="112">
        <f t="shared" si="1299"/>
        <v>0</v>
      </c>
      <c r="J1778" s="112">
        <f t="shared" si="1299"/>
        <v>0</v>
      </c>
      <c r="K1778" s="112">
        <f t="shared" si="1299"/>
        <v>0</v>
      </c>
      <c r="L1778" s="112">
        <f t="shared" si="1299"/>
        <v>0</v>
      </c>
      <c r="M1778" s="112">
        <f t="shared" si="1299"/>
        <v>0</v>
      </c>
      <c r="N1778" s="112">
        <f t="shared" si="1299"/>
        <v>0</v>
      </c>
      <c r="O1778" s="112">
        <f t="shared" si="1299"/>
        <v>0</v>
      </c>
      <c r="P1778" s="112">
        <f t="shared" si="1299"/>
        <v>0</v>
      </c>
      <c r="Q1778" s="112">
        <f t="shared" si="1299"/>
        <v>0</v>
      </c>
    </row>
    <row r="1779" ht="24" customHeight="1" spans="1:17">
      <c r="A1779" s="99" t="s">
        <v>349</v>
      </c>
      <c r="B1779" s="99" t="s">
        <v>299</v>
      </c>
      <c r="C1779" s="99" t="s">
        <v>344</v>
      </c>
      <c r="D1779" s="47" t="s">
        <v>294</v>
      </c>
      <c r="E1779" s="47" t="s">
        <v>93</v>
      </c>
      <c r="F1779" s="125">
        <f t="shared" ref="F1779:F1783" si="1300">F1712</f>
        <v>0.9405</v>
      </c>
      <c r="G1779" s="125">
        <f t="shared" ref="G1779:Q1779" si="1301">F1779+G1712</f>
        <v>0.9405</v>
      </c>
      <c r="H1779" s="125">
        <f t="shared" si="1301"/>
        <v>0.9405</v>
      </c>
      <c r="I1779" s="125">
        <f t="shared" si="1301"/>
        <v>0.9405</v>
      </c>
      <c r="J1779" s="125">
        <f t="shared" si="1301"/>
        <v>2.8851</v>
      </c>
      <c r="K1779" s="125">
        <f t="shared" si="1301"/>
        <v>2.8851</v>
      </c>
      <c r="L1779" s="125">
        <f t="shared" si="1301"/>
        <v>2.8851</v>
      </c>
      <c r="M1779" s="125">
        <f t="shared" si="1301"/>
        <v>2.8851</v>
      </c>
      <c r="N1779" s="125">
        <f t="shared" si="1301"/>
        <v>2.8851</v>
      </c>
      <c r="O1779" s="125">
        <f t="shared" si="1301"/>
        <v>2.8851</v>
      </c>
      <c r="P1779" s="125">
        <f t="shared" si="1301"/>
        <v>2.8851</v>
      </c>
      <c r="Q1779" s="125">
        <f t="shared" si="1301"/>
        <v>2.8851</v>
      </c>
    </row>
    <row r="1780" ht="24" customHeight="1" spans="1:17">
      <c r="A1780" s="99" t="s">
        <v>349</v>
      </c>
      <c r="B1780" s="99" t="s">
        <v>299</v>
      </c>
      <c r="C1780" s="99" t="s">
        <v>344</v>
      </c>
      <c r="D1780" s="47" t="s">
        <v>294</v>
      </c>
      <c r="E1780" s="47" t="s">
        <v>85</v>
      </c>
      <c r="F1780" s="125">
        <f t="shared" si="1300"/>
        <v>0</v>
      </c>
      <c r="G1780" s="125">
        <f t="shared" ref="G1780:Q1780" si="1302">F1780+G1713</f>
        <v>0</v>
      </c>
      <c r="H1780" s="125">
        <f t="shared" si="1302"/>
        <v>0</v>
      </c>
      <c r="I1780" s="125">
        <f t="shared" si="1302"/>
        <v>0</v>
      </c>
      <c r="J1780" s="125">
        <f t="shared" si="1302"/>
        <v>0</v>
      </c>
      <c r="K1780" s="125">
        <f t="shared" si="1302"/>
        <v>0</v>
      </c>
      <c r="L1780" s="125">
        <f t="shared" si="1302"/>
        <v>0</v>
      </c>
      <c r="M1780" s="125">
        <f t="shared" si="1302"/>
        <v>0</v>
      </c>
      <c r="N1780" s="125">
        <f t="shared" si="1302"/>
        <v>0</v>
      </c>
      <c r="O1780" s="125">
        <f t="shared" si="1302"/>
        <v>0</v>
      </c>
      <c r="P1780" s="125">
        <f t="shared" si="1302"/>
        <v>0</v>
      </c>
      <c r="Q1780" s="125">
        <f t="shared" si="1302"/>
        <v>0</v>
      </c>
    </row>
    <row r="1781" ht="24" customHeight="1" spans="1:17">
      <c r="A1781" s="99" t="s">
        <v>349</v>
      </c>
      <c r="B1781" s="99" t="s">
        <v>299</v>
      </c>
      <c r="C1781" s="99" t="s">
        <v>344</v>
      </c>
      <c r="D1781" s="47" t="s">
        <v>294</v>
      </c>
      <c r="E1781" s="47" t="s">
        <v>81</v>
      </c>
      <c r="F1781" s="125">
        <f t="shared" si="1300"/>
        <v>0</v>
      </c>
      <c r="G1781" s="125">
        <f t="shared" ref="G1781:Q1781" si="1303">F1781+G1714</f>
        <v>0</v>
      </c>
      <c r="H1781" s="125">
        <f t="shared" si="1303"/>
        <v>0</v>
      </c>
      <c r="I1781" s="125">
        <f t="shared" si="1303"/>
        <v>0</v>
      </c>
      <c r="J1781" s="125">
        <f t="shared" si="1303"/>
        <v>0</v>
      </c>
      <c r="K1781" s="125">
        <f t="shared" si="1303"/>
        <v>0</v>
      </c>
      <c r="L1781" s="125">
        <f t="shared" si="1303"/>
        <v>3.167</v>
      </c>
      <c r="M1781" s="125">
        <f t="shared" si="1303"/>
        <v>3.167</v>
      </c>
      <c r="N1781" s="125">
        <f t="shared" si="1303"/>
        <v>3.167</v>
      </c>
      <c r="O1781" s="125">
        <f t="shared" si="1303"/>
        <v>3.167</v>
      </c>
      <c r="P1781" s="125">
        <f t="shared" si="1303"/>
        <v>3.167</v>
      </c>
      <c r="Q1781" s="125">
        <f t="shared" si="1303"/>
        <v>4.9362</v>
      </c>
    </row>
    <row r="1782" ht="24" customHeight="1" spans="1:17">
      <c r="A1782" s="99" t="s">
        <v>349</v>
      </c>
      <c r="B1782" s="99" t="s">
        <v>299</v>
      </c>
      <c r="C1782" s="99" t="s">
        <v>344</v>
      </c>
      <c r="D1782" s="47" t="s">
        <v>294</v>
      </c>
      <c r="E1782" s="47" t="s">
        <v>96</v>
      </c>
      <c r="F1782" s="125">
        <f t="shared" si="1300"/>
        <v>0</v>
      </c>
      <c r="G1782" s="125">
        <f t="shared" ref="G1782:Q1782" si="1304">F1782+G1715</f>
        <v>0</v>
      </c>
      <c r="H1782" s="125">
        <f t="shared" si="1304"/>
        <v>0</v>
      </c>
      <c r="I1782" s="125">
        <f t="shared" si="1304"/>
        <v>0</v>
      </c>
      <c r="J1782" s="125">
        <f t="shared" si="1304"/>
        <v>0</v>
      </c>
      <c r="K1782" s="125">
        <f t="shared" si="1304"/>
        <v>0</v>
      </c>
      <c r="L1782" s="125">
        <f t="shared" si="1304"/>
        <v>0</v>
      </c>
      <c r="M1782" s="125">
        <f t="shared" si="1304"/>
        <v>0</v>
      </c>
      <c r="N1782" s="125">
        <f t="shared" si="1304"/>
        <v>0</v>
      </c>
      <c r="O1782" s="125">
        <f t="shared" si="1304"/>
        <v>0</v>
      </c>
      <c r="P1782" s="125">
        <f t="shared" si="1304"/>
        <v>0</v>
      </c>
      <c r="Q1782" s="125">
        <f t="shared" si="1304"/>
        <v>0</v>
      </c>
    </row>
    <row r="1783" ht="24" customHeight="1" spans="1:17">
      <c r="A1783" s="99" t="s">
        <v>349</v>
      </c>
      <c r="B1783" s="99" t="s">
        <v>299</v>
      </c>
      <c r="C1783" s="99" t="s">
        <v>344</v>
      </c>
      <c r="D1783" s="47" t="s">
        <v>294</v>
      </c>
      <c r="E1783" s="47" t="s">
        <v>160</v>
      </c>
      <c r="F1783" s="125">
        <f t="shared" si="1300"/>
        <v>0</v>
      </c>
      <c r="G1783" s="125">
        <f t="shared" ref="G1783:Q1783" si="1305">F1783+G1716</f>
        <v>0</v>
      </c>
      <c r="H1783" s="125">
        <f t="shared" si="1305"/>
        <v>0</v>
      </c>
      <c r="I1783" s="125">
        <f t="shared" si="1305"/>
        <v>0</v>
      </c>
      <c r="J1783" s="125">
        <f t="shared" si="1305"/>
        <v>0</v>
      </c>
      <c r="K1783" s="125">
        <f t="shared" si="1305"/>
        <v>0</v>
      </c>
      <c r="L1783" s="125">
        <f t="shared" si="1305"/>
        <v>0</v>
      </c>
      <c r="M1783" s="125">
        <f t="shared" si="1305"/>
        <v>0</v>
      </c>
      <c r="N1783" s="125">
        <f t="shared" si="1305"/>
        <v>0</v>
      </c>
      <c r="O1783" s="125">
        <f t="shared" si="1305"/>
        <v>0</v>
      </c>
      <c r="P1783" s="125">
        <f t="shared" si="1305"/>
        <v>0</v>
      </c>
      <c r="Q1783" s="125">
        <f t="shared" si="1305"/>
        <v>0</v>
      </c>
    </row>
    <row r="1784" ht="24" customHeight="1" spans="1:17">
      <c r="A1784" s="99" t="s">
        <v>349</v>
      </c>
      <c r="B1784" s="99" t="s">
        <v>299</v>
      </c>
      <c r="C1784" s="99" t="s">
        <v>344</v>
      </c>
      <c r="D1784" s="47" t="s">
        <v>321</v>
      </c>
      <c r="E1784" s="47" t="s">
        <v>93</v>
      </c>
      <c r="F1784" s="126">
        <f t="shared" ref="F1784:Q1784" si="1306">IFERROR(F1779/F1766,"-")</f>
        <v>1</v>
      </c>
      <c r="G1784" s="126">
        <f t="shared" si="1306"/>
        <v>1</v>
      </c>
      <c r="H1784" s="126">
        <f t="shared" si="1306"/>
        <v>1</v>
      </c>
      <c r="I1784" s="126">
        <f t="shared" si="1306"/>
        <v>1</v>
      </c>
      <c r="J1784" s="126">
        <f t="shared" si="1306"/>
        <v>1</v>
      </c>
      <c r="K1784" s="126">
        <f t="shared" si="1306"/>
        <v>1</v>
      </c>
      <c r="L1784" s="126">
        <f t="shared" si="1306"/>
        <v>0.476710563275557</v>
      </c>
      <c r="M1784" s="126">
        <f t="shared" si="1306"/>
        <v>0.476710563275557</v>
      </c>
      <c r="N1784" s="126">
        <f t="shared" si="1306"/>
        <v>0.476710563275557</v>
      </c>
      <c r="O1784" s="126">
        <f t="shared" si="1306"/>
        <v>0.476710563275557</v>
      </c>
      <c r="P1784" s="126">
        <f t="shared" si="1306"/>
        <v>0.476710563275557</v>
      </c>
      <c r="Q1784" s="126">
        <f t="shared" si="1306"/>
        <v>0.368877296613095</v>
      </c>
    </row>
    <row r="1785" ht="24" customHeight="1" spans="1:17">
      <c r="A1785" s="99" t="s">
        <v>349</v>
      </c>
      <c r="B1785" s="99" t="s">
        <v>299</v>
      </c>
      <c r="C1785" s="99" t="s">
        <v>344</v>
      </c>
      <c r="D1785" s="47" t="s">
        <v>321</v>
      </c>
      <c r="E1785" s="47" t="s">
        <v>85</v>
      </c>
      <c r="F1785" s="126">
        <f t="shared" ref="F1785:Q1785" si="1307">IFERROR(F1780/F1766,"-")</f>
        <v>0</v>
      </c>
      <c r="G1785" s="126">
        <f t="shared" si="1307"/>
        <v>0</v>
      </c>
      <c r="H1785" s="126">
        <f t="shared" si="1307"/>
        <v>0</v>
      </c>
      <c r="I1785" s="126">
        <f t="shared" si="1307"/>
        <v>0</v>
      </c>
      <c r="J1785" s="126">
        <f t="shared" si="1307"/>
        <v>0</v>
      </c>
      <c r="K1785" s="126">
        <f t="shared" si="1307"/>
        <v>0</v>
      </c>
      <c r="L1785" s="126">
        <f t="shared" si="1307"/>
        <v>0</v>
      </c>
      <c r="M1785" s="126">
        <f t="shared" si="1307"/>
        <v>0</v>
      </c>
      <c r="N1785" s="126">
        <f t="shared" si="1307"/>
        <v>0</v>
      </c>
      <c r="O1785" s="126">
        <f t="shared" si="1307"/>
        <v>0</v>
      </c>
      <c r="P1785" s="126">
        <f t="shared" si="1307"/>
        <v>0</v>
      </c>
      <c r="Q1785" s="126">
        <f t="shared" si="1307"/>
        <v>0</v>
      </c>
    </row>
    <row r="1786" ht="24" customHeight="1" spans="1:17">
      <c r="A1786" s="99" t="s">
        <v>349</v>
      </c>
      <c r="B1786" s="99" t="s">
        <v>299</v>
      </c>
      <c r="C1786" s="99" t="s">
        <v>344</v>
      </c>
      <c r="D1786" s="47" t="s">
        <v>321</v>
      </c>
      <c r="E1786" s="47" t="s">
        <v>81</v>
      </c>
      <c r="F1786" s="126">
        <f t="shared" ref="F1786:Q1786" si="1308">IFERROR(F1781/F1766,"-")</f>
        <v>0</v>
      </c>
      <c r="G1786" s="126">
        <f t="shared" si="1308"/>
        <v>0</v>
      </c>
      <c r="H1786" s="126">
        <f t="shared" si="1308"/>
        <v>0</v>
      </c>
      <c r="I1786" s="126">
        <f t="shared" si="1308"/>
        <v>0</v>
      </c>
      <c r="J1786" s="126">
        <f t="shared" si="1308"/>
        <v>0</v>
      </c>
      <c r="K1786" s="126">
        <f t="shared" si="1308"/>
        <v>0</v>
      </c>
      <c r="L1786" s="126">
        <f t="shared" si="1308"/>
        <v>0.523289436724443</v>
      </c>
      <c r="M1786" s="126">
        <f t="shared" si="1308"/>
        <v>0.523289436724443</v>
      </c>
      <c r="N1786" s="126">
        <f t="shared" si="1308"/>
        <v>0.523289436724443</v>
      </c>
      <c r="O1786" s="126">
        <f t="shared" si="1308"/>
        <v>0.523289436724443</v>
      </c>
      <c r="P1786" s="126">
        <f t="shared" si="1308"/>
        <v>0.523289436724443</v>
      </c>
      <c r="Q1786" s="126">
        <f t="shared" si="1308"/>
        <v>0.631122703386905</v>
      </c>
    </row>
    <row r="1787" ht="24" customHeight="1" spans="1:17">
      <c r="A1787" s="99" t="s">
        <v>349</v>
      </c>
      <c r="B1787" s="99" t="s">
        <v>299</v>
      </c>
      <c r="C1787" s="99" t="s">
        <v>344</v>
      </c>
      <c r="D1787" s="47" t="s">
        <v>321</v>
      </c>
      <c r="E1787" s="47" t="s">
        <v>96</v>
      </c>
      <c r="F1787" s="126">
        <f t="shared" ref="F1787:Q1787" si="1309">IFERROR(F1782/F1766,"-")</f>
        <v>0</v>
      </c>
      <c r="G1787" s="126">
        <f t="shared" si="1309"/>
        <v>0</v>
      </c>
      <c r="H1787" s="126">
        <f t="shared" si="1309"/>
        <v>0</v>
      </c>
      <c r="I1787" s="126">
        <f t="shared" si="1309"/>
        <v>0</v>
      </c>
      <c r="J1787" s="126">
        <f t="shared" si="1309"/>
        <v>0</v>
      </c>
      <c r="K1787" s="126">
        <f t="shared" si="1309"/>
        <v>0</v>
      </c>
      <c r="L1787" s="126">
        <f t="shared" si="1309"/>
        <v>0</v>
      </c>
      <c r="M1787" s="126">
        <f t="shared" si="1309"/>
        <v>0</v>
      </c>
      <c r="N1787" s="126">
        <f t="shared" si="1309"/>
        <v>0</v>
      </c>
      <c r="O1787" s="126">
        <f t="shared" si="1309"/>
        <v>0</v>
      </c>
      <c r="P1787" s="126">
        <f t="shared" si="1309"/>
        <v>0</v>
      </c>
      <c r="Q1787" s="126">
        <f t="shared" si="1309"/>
        <v>0</v>
      </c>
    </row>
    <row r="1788" ht="24" customHeight="1" spans="1:17">
      <c r="A1788" s="99" t="s">
        <v>349</v>
      </c>
      <c r="B1788" s="99" t="s">
        <v>299</v>
      </c>
      <c r="C1788" s="99" t="s">
        <v>344</v>
      </c>
      <c r="D1788" s="47" t="s">
        <v>321</v>
      </c>
      <c r="E1788" s="47" t="s">
        <v>160</v>
      </c>
      <c r="F1788" s="126">
        <f t="shared" ref="F1788:Q1788" si="1310">IFERROR(F1783/F1766,"-")</f>
        <v>0</v>
      </c>
      <c r="G1788" s="126">
        <f t="shared" si="1310"/>
        <v>0</v>
      </c>
      <c r="H1788" s="126">
        <f t="shared" si="1310"/>
        <v>0</v>
      </c>
      <c r="I1788" s="126">
        <f t="shared" si="1310"/>
        <v>0</v>
      </c>
      <c r="J1788" s="126">
        <f t="shared" si="1310"/>
        <v>0</v>
      </c>
      <c r="K1788" s="126">
        <f t="shared" si="1310"/>
        <v>0</v>
      </c>
      <c r="L1788" s="126">
        <f t="shared" si="1310"/>
        <v>0</v>
      </c>
      <c r="M1788" s="126">
        <f t="shared" si="1310"/>
        <v>0</v>
      </c>
      <c r="N1788" s="126">
        <f t="shared" si="1310"/>
        <v>0</v>
      </c>
      <c r="O1788" s="126">
        <f t="shared" si="1310"/>
        <v>0</v>
      </c>
      <c r="P1788" s="126">
        <f t="shared" si="1310"/>
        <v>0</v>
      </c>
      <c r="Q1788" s="126">
        <f t="shared" si="1310"/>
        <v>0</v>
      </c>
    </row>
    <row r="1789" ht="24" customHeight="1" spans="1:17">
      <c r="A1789" s="99" t="s">
        <v>349</v>
      </c>
      <c r="B1789" s="99" t="s">
        <v>299</v>
      </c>
      <c r="C1789" s="99" t="s">
        <v>343</v>
      </c>
      <c r="D1789" s="114" t="s">
        <v>292</v>
      </c>
      <c r="E1789" s="53" t="s">
        <v>326</v>
      </c>
      <c r="F1789" s="123">
        <f t="shared" ref="F1789:F1814" si="1311">F1717</f>
        <v>0.0257</v>
      </c>
      <c r="G1789" s="123">
        <f t="shared" ref="G1789:Q1789" si="1312">F1789+G1717</f>
        <v>0.0257</v>
      </c>
      <c r="H1789" s="123">
        <f t="shared" si="1312"/>
        <v>0.0257</v>
      </c>
      <c r="I1789" s="123">
        <f t="shared" si="1312"/>
        <v>0.0257</v>
      </c>
      <c r="J1789" s="123">
        <f t="shared" si="1312"/>
        <v>0.0257</v>
      </c>
      <c r="K1789" s="123">
        <f t="shared" si="1312"/>
        <v>0.0257</v>
      </c>
      <c r="L1789" s="123">
        <f t="shared" si="1312"/>
        <v>0.0257</v>
      </c>
      <c r="M1789" s="123">
        <f t="shared" si="1312"/>
        <v>0.0257</v>
      </c>
      <c r="N1789" s="123">
        <f t="shared" si="1312"/>
        <v>0.0257</v>
      </c>
      <c r="O1789" s="123">
        <f t="shared" si="1312"/>
        <v>0.0257</v>
      </c>
      <c r="P1789" s="123">
        <f t="shared" si="1312"/>
        <v>0.0257</v>
      </c>
      <c r="Q1789" s="123">
        <f t="shared" si="1312"/>
        <v>0.0386</v>
      </c>
    </row>
    <row r="1790" ht="24" customHeight="1" spans="1:17">
      <c r="A1790" s="99" t="s">
        <v>349</v>
      </c>
      <c r="B1790" s="99" t="s">
        <v>299</v>
      </c>
      <c r="C1790" s="99" t="s">
        <v>343</v>
      </c>
      <c r="D1790" s="114" t="s">
        <v>292</v>
      </c>
      <c r="E1790" s="53" t="s">
        <v>327</v>
      </c>
      <c r="F1790" s="123">
        <f t="shared" si="1311"/>
        <v>0.0085</v>
      </c>
      <c r="G1790" s="123">
        <f t="shared" ref="G1790:Q1790" si="1313">F1790+G1718</f>
        <v>0.0085</v>
      </c>
      <c r="H1790" s="123">
        <f t="shared" si="1313"/>
        <v>0.0085</v>
      </c>
      <c r="I1790" s="123">
        <f t="shared" si="1313"/>
        <v>0.0085</v>
      </c>
      <c r="J1790" s="123">
        <f t="shared" si="1313"/>
        <v>0.1154</v>
      </c>
      <c r="K1790" s="123">
        <f t="shared" si="1313"/>
        <v>0.1154</v>
      </c>
      <c r="L1790" s="123">
        <f t="shared" si="1313"/>
        <v>0.1154</v>
      </c>
      <c r="M1790" s="123">
        <f t="shared" si="1313"/>
        <v>0.1154</v>
      </c>
      <c r="N1790" s="123">
        <f t="shared" si="1313"/>
        <v>0.1154</v>
      </c>
      <c r="O1790" s="123">
        <f t="shared" si="1313"/>
        <v>0.1154</v>
      </c>
      <c r="P1790" s="123">
        <f t="shared" si="1313"/>
        <v>0.1154</v>
      </c>
      <c r="Q1790" s="123">
        <f t="shared" si="1313"/>
        <v>0.1154</v>
      </c>
    </row>
    <row r="1791" ht="24" customHeight="1" spans="1:17">
      <c r="A1791" s="99" t="s">
        <v>349</v>
      </c>
      <c r="B1791" s="99" t="s">
        <v>299</v>
      </c>
      <c r="C1791" s="99" t="s">
        <v>343</v>
      </c>
      <c r="D1791" s="114" t="s">
        <v>292</v>
      </c>
      <c r="E1791" s="53" t="s">
        <v>328</v>
      </c>
      <c r="F1791" s="123">
        <f t="shared" si="1311"/>
        <v>0</v>
      </c>
      <c r="G1791" s="123">
        <f t="shared" ref="G1791:Q1791" si="1314">F1791+G1719</f>
        <v>0</v>
      </c>
      <c r="H1791" s="123">
        <f t="shared" si="1314"/>
        <v>0</v>
      </c>
      <c r="I1791" s="123">
        <f t="shared" si="1314"/>
        <v>0</v>
      </c>
      <c r="J1791" s="123">
        <f t="shared" si="1314"/>
        <v>0</v>
      </c>
      <c r="K1791" s="123">
        <f t="shared" si="1314"/>
        <v>0</v>
      </c>
      <c r="L1791" s="123">
        <f t="shared" si="1314"/>
        <v>0</v>
      </c>
      <c r="M1791" s="123">
        <f t="shared" si="1314"/>
        <v>0</v>
      </c>
      <c r="N1791" s="123">
        <f t="shared" si="1314"/>
        <v>0</v>
      </c>
      <c r="O1791" s="123">
        <f t="shared" si="1314"/>
        <v>0</v>
      </c>
      <c r="P1791" s="123">
        <f t="shared" si="1314"/>
        <v>0</v>
      </c>
      <c r="Q1791" s="123">
        <f t="shared" si="1314"/>
        <v>0</v>
      </c>
    </row>
    <row r="1792" ht="24" customHeight="1" spans="1:17">
      <c r="A1792" s="99" t="s">
        <v>349</v>
      </c>
      <c r="B1792" s="99" t="s">
        <v>299</v>
      </c>
      <c r="C1792" s="99" t="s">
        <v>343</v>
      </c>
      <c r="D1792" s="53" t="s">
        <v>326</v>
      </c>
      <c r="E1792" s="53" t="s">
        <v>93</v>
      </c>
      <c r="F1792" s="123">
        <f t="shared" si="1311"/>
        <v>0.0257</v>
      </c>
      <c r="G1792" s="123">
        <f t="shared" ref="G1792:Q1792" si="1315">F1792+G1720</f>
        <v>0.0257</v>
      </c>
      <c r="H1792" s="123">
        <f t="shared" si="1315"/>
        <v>0.0257</v>
      </c>
      <c r="I1792" s="123">
        <f t="shared" si="1315"/>
        <v>0.0257</v>
      </c>
      <c r="J1792" s="123">
        <f t="shared" si="1315"/>
        <v>0.0257</v>
      </c>
      <c r="K1792" s="123">
        <f t="shared" si="1315"/>
        <v>0.0257</v>
      </c>
      <c r="L1792" s="123">
        <f t="shared" si="1315"/>
        <v>0.0257</v>
      </c>
      <c r="M1792" s="123">
        <f t="shared" si="1315"/>
        <v>0.0257</v>
      </c>
      <c r="N1792" s="123">
        <f t="shared" si="1315"/>
        <v>0.0257</v>
      </c>
      <c r="O1792" s="123">
        <f t="shared" si="1315"/>
        <v>0.0257</v>
      </c>
      <c r="P1792" s="123">
        <f t="shared" si="1315"/>
        <v>0.0257</v>
      </c>
      <c r="Q1792" s="123">
        <f t="shared" si="1315"/>
        <v>0.0257</v>
      </c>
    </row>
    <row r="1793" ht="24" customHeight="1" spans="1:17">
      <c r="A1793" s="99" t="s">
        <v>349</v>
      </c>
      <c r="B1793" s="99" t="s">
        <v>299</v>
      </c>
      <c r="C1793" s="99" t="s">
        <v>343</v>
      </c>
      <c r="D1793" s="53" t="s">
        <v>326</v>
      </c>
      <c r="E1793" s="53" t="s">
        <v>85</v>
      </c>
      <c r="F1793" s="123">
        <f t="shared" si="1311"/>
        <v>0</v>
      </c>
      <c r="G1793" s="123">
        <f t="shared" ref="G1793:Q1793" si="1316">F1793+G1721</f>
        <v>0</v>
      </c>
      <c r="H1793" s="123">
        <f t="shared" si="1316"/>
        <v>0</v>
      </c>
      <c r="I1793" s="123">
        <f t="shared" si="1316"/>
        <v>0</v>
      </c>
      <c r="J1793" s="123">
        <f t="shared" si="1316"/>
        <v>0</v>
      </c>
      <c r="K1793" s="123">
        <f t="shared" si="1316"/>
        <v>0</v>
      </c>
      <c r="L1793" s="123">
        <f t="shared" si="1316"/>
        <v>0</v>
      </c>
      <c r="M1793" s="123">
        <f t="shared" si="1316"/>
        <v>0</v>
      </c>
      <c r="N1793" s="123">
        <f t="shared" si="1316"/>
        <v>0</v>
      </c>
      <c r="O1793" s="123">
        <f t="shared" si="1316"/>
        <v>0</v>
      </c>
      <c r="P1793" s="123">
        <f t="shared" si="1316"/>
        <v>0</v>
      </c>
      <c r="Q1793" s="123">
        <f t="shared" si="1316"/>
        <v>0</v>
      </c>
    </row>
    <row r="1794" ht="24" customHeight="1" spans="1:17">
      <c r="A1794" s="99" t="s">
        <v>349</v>
      </c>
      <c r="B1794" s="99" t="s">
        <v>299</v>
      </c>
      <c r="C1794" s="99" t="s">
        <v>343</v>
      </c>
      <c r="D1794" s="53" t="s">
        <v>326</v>
      </c>
      <c r="E1794" s="53" t="s">
        <v>81</v>
      </c>
      <c r="F1794" s="123">
        <f t="shared" si="1311"/>
        <v>0</v>
      </c>
      <c r="G1794" s="123">
        <f t="shared" ref="G1794:Q1794" si="1317">F1794+G1722</f>
        <v>0</v>
      </c>
      <c r="H1794" s="123">
        <f t="shared" si="1317"/>
        <v>0</v>
      </c>
      <c r="I1794" s="123">
        <f t="shared" si="1317"/>
        <v>0</v>
      </c>
      <c r="J1794" s="123">
        <f t="shared" si="1317"/>
        <v>0</v>
      </c>
      <c r="K1794" s="123">
        <f t="shared" si="1317"/>
        <v>0</v>
      </c>
      <c r="L1794" s="123">
        <f t="shared" si="1317"/>
        <v>0</v>
      </c>
      <c r="M1794" s="123">
        <f t="shared" si="1317"/>
        <v>0</v>
      </c>
      <c r="N1794" s="123">
        <f t="shared" si="1317"/>
        <v>0</v>
      </c>
      <c r="O1794" s="123">
        <f t="shared" si="1317"/>
        <v>0</v>
      </c>
      <c r="P1794" s="123">
        <f t="shared" si="1317"/>
        <v>0</v>
      </c>
      <c r="Q1794" s="123">
        <f t="shared" si="1317"/>
        <v>0.0129</v>
      </c>
    </row>
    <row r="1795" ht="24" customHeight="1" spans="1:17">
      <c r="A1795" s="99" t="s">
        <v>349</v>
      </c>
      <c r="B1795" s="99" t="s">
        <v>299</v>
      </c>
      <c r="C1795" s="99" t="s">
        <v>343</v>
      </c>
      <c r="D1795" s="53" t="s">
        <v>326</v>
      </c>
      <c r="E1795" s="53" t="s">
        <v>96</v>
      </c>
      <c r="F1795" s="123">
        <f t="shared" si="1311"/>
        <v>0</v>
      </c>
      <c r="G1795" s="123">
        <f t="shared" ref="G1795:Q1795" si="1318">F1795+G1723</f>
        <v>0</v>
      </c>
      <c r="H1795" s="123">
        <f t="shared" si="1318"/>
        <v>0</v>
      </c>
      <c r="I1795" s="123">
        <f t="shared" si="1318"/>
        <v>0</v>
      </c>
      <c r="J1795" s="123">
        <f t="shared" si="1318"/>
        <v>0</v>
      </c>
      <c r="K1795" s="123">
        <f t="shared" si="1318"/>
        <v>0</v>
      </c>
      <c r="L1795" s="123">
        <f t="shared" si="1318"/>
        <v>0</v>
      </c>
      <c r="M1795" s="123">
        <f t="shared" si="1318"/>
        <v>0</v>
      </c>
      <c r="N1795" s="123">
        <f t="shared" si="1318"/>
        <v>0</v>
      </c>
      <c r="O1795" s="123">
        <f t="shared" si="1318"/>
        <v>0</v>
      </c>
      <c r="P1795" s="123">
        <f t="shared" si="1318"/>
        <v>0</v>
      </c>
      <c r="Q1795" s="123">
        <f t="shared" si="1318"/>
        <v>0</v>
      </c>
    </row>
    <row r="1796" ht="24" customHeight="1" spans="1:17">
      <c r="A1796" s="99" t="s">
        <v>349</v>
      </c>
      <c r="B1796" s="99" t="s">
        <v>299</v>
      </c>
      <c r="C1796" s="99" t="s">
        <v>343</v>
      </c>
      <c r="D1796" s="53" t="s">
        <v>326</v>
      </c>
      <c r="E1796" s="53" t="s">
        <v>160</v>
      </c>
      <c r="F1796" s="123">
        <f t="shared" si="1311"/>
        <v>0</v>
      </c>
      <c r="G1796" s="123">
        <f t="shared" ref="G1796:Q1796" si="1319">F1796+G1724</f>
        <v>0</v>
      </c>
      <c r="H1796" s="123">
        <f t="shared" si="1319"/>
        <v>0</v>
      </c>
      <c r="I1796" s="123">
        <f t="shared" si="1319"/>
        <v>0</v>
      </c>
      <c r="J1796" s="123">
        <f t="shared" si="1319"/>
        <v>0</v>
      </c>
      <c r="K1796" s="123">
        <f t="shared" si="1319"/>
        <v>0</v>
      </c>
      <c r="L1796" s="123">
        <f t="shared" si="1319"/>
        <v>0</v>
      </c>
      <c r="M1796" s="123">
        <f t="shared" si="1319"/>
        <v>0</v>
      </c>
      <c r="N1796" s="123">
        <f t="shared" si="1319"/>
        <v>0</v>
      </c>
      <c r="O1796" s="123">
        <f t="shared" si="1319"/>
        <v>0</v>
      </c>
      <c r="P1796" s="123">
        <f t="shared" si="1319"/>
        <v>0</v>
      </c>
      <c r="Q1796" s="123">
        <f t="shared" si="1319"/>
        <v>0</v>
      </c>
    </row>
    <row r="1797" ht="24" customHeight="1" spans="1:17">
      <c r="A1797" s="99" t="s">
        <v>349</v>
      </c>
      <c r="B1797" s="99" t="s">
        <v>299</v>
      </c>
      <c r="C1797" s="99" t="s">
        <v>343</v>
      </c>
      <c r="D1797" s="53" t="s">
        <v>327</v>
      </c>
      <c r="E1797" s="53" t="s">
        <v>93</v>
      </c>
      <c r="F1797" s="123">
        <f t="shared" si="1311"/>
        <v>0.0085</v>
      </c>
      <c r="G1797" s="123">
        <f t="shared" ref="G1797:Q1797" si="1320">F1797+G1725</f>
        <v>0.0085</v>
      </c>
      <c r="H1797" s="123">
        <f t="shared" si="1320"/>
        <v>0.0085</v>
      </c>
      <c r="I1797" s="123">
        <f t="shared" si="1320"/>
        <v>0.0085</v>
      </c>
      <c r="J1797" s="123">
        <f t="shared" si="1320"/>
        <v>0.1154</v>
      </c>
      <c r="K1797" s="123">
        <f t="shared" si="1320"/>
        <v>0.1154</v>
      </c>
      <c r="L1797" s="123">
        <f t="shared" si="1320"/>
        <v>0.1154</v>
      </c>
      <c r="M1797" s="123">
        <f t="shared" si="1320"/>
        <v>0.1154</v>
      </c>
      <c r="N1797" s="123">
        <f t="shared" si="1320"/>
        <v>0.1154</v>
      </c>
      <c r="O1797" s="123">
        <f t="shared" si="1320"/>
        <v>0.1154</v>
      </c>
      <c r="P1797" s="123">
        <f t="shared" si="1320"/>
        <v>0.1154</v>
      </c>
      <c r="Q1797" s="123">
        <f t="shared" si="1320"/>
        <v>0.1154</v>
      </c>
    </row>
    <row r="1798" ht="24" customHeight="1" spans="1:17">
      <c r="A1798" s="99" t="s">
        <v>349</v>
      </c>
      <c r="B1798" s="99" t="s">
        <v>299</v>
      </c>
      <c r="C1798" s="99" t="s">
        <v>343</v>
      </c>
      <c r="D1798" s="53" t="s">
        <v>327</v>
      </c>
      <c r="E1798" s="53" t="s">
        <v>85</v>
      </c>
      <c r="F1798" s="123">
        <f t="shared" si="1311"/>
        <v>0</v>
      </c>
      <c r="G1798" s="123">
        <f t="shared" ref="G1798:Q1798" si="1321">F1798+G1726</f>
        <v>0</v>
      </c>
      <c r="H1798" s="123">
        <f t="shared" si="1321"/>
        <v>0</v>
      </c>
      <c r="I1798" s="123">
        <f t="shared" si="1321"/>
        <v>0</v>
      </c>
      <c r="J1798" s="123">
        <f t="shared" si="1321"/>
        <v>0</v>
      </c>
      <c r="K1798" s="123">
        <f t="shared" si="1321"/>
        <v>0</v>
      </c>
      <c r="L1798" s="123">
        <f t="shared" si="1321"/>
        <v>0</v>
      </c>
      <c r="M1798" s="123">
        <f t="shared" si="1321"/>
        <v>0</v>
      </c>
      <c r="N1798" s="123">
        <f t="shared" si="1321"/>
        <v>0</v>
      </c>
      <c r="O1798" s="123">
        <f t="shared" si="1321"/>
        <v>0</v>
      </c>
      <c r="P1798" s="123">
        <f t="shared" si="1321"/>
        <v>0</v>
      </c>
      <c r="Q1798" s="123">
        <f t="shared" si="1321"/>
        <v>0</v>
      </c>
    </row>
    <row r="1799" ht="24" customHeight="1" spans="1:17">
      <c r="A1799" s="99" t="s">
        <v>349</v>
      </c>
      <c r="B1799" s="99" t="s">
        <v>299</v>
      </c>
      <c r="C1799" s="99" t="s">
        <v>343</v>
      </c>
      <c r="D1799" s="53" t="s">
        <v>327</v>
      </c>
      <c r="E1799" s="53" t="s">
        <v>81</v>
      </c>
      <c r="F1799" s="123">
        <f t="shared" si="1311"/>
        <v>0</v>
      </c>
      <c r="G1799" s="123">
        <f t="shared" ref="G1799:Q1799" si="1322">F1799+G1727</f>
        <v>0</v>
      </c>
      <c r="H1799" s="123">
        <f t="shared" si="1322"/>
        <v>0</v>
      </c>
      <c r="I1799" s="123">
        <f t="shared" si="1322"/>
        <v>0</v>
      </c>
      <c r="J1799" s="123">
        <f t="shared" si="1322"/>
        <v>0</v>
      </c>
      <c r="K1799" s="123">
        <f t="shared" si="1322"/>
        <v>0</v>
      </c>
      <c r="L1799" s="123">
        <f t="shared" si="1322"/>
        <v>0</v>
      </c>
      <c r="M1799" s="123">
        <f t="shared" si="1322"/>
        <v>0</v>
      </c>
      <c r="N1799" s="123">
        <f t="shared" si="1322"/>
        <v>0</v>
      </c>
      <c r="O1799" s="123">
        <f t="shared" si="1322"/>
        <v>0</v>
      </c>
      <c r="P1799" s="123">
        <f t="shared" si="1322"/>
        <v>0</v>
      </c>
      <c r="Q1799" s="123">
        <f t="shared" si="1322"/>
        <v>0</v>
      </c>
    </row>
    <row r="1800" ht="24" customHeight="1" spans="1:17">
      <c r="A1800" s="99" t="s">
        <v>349</v>
      </c>
      <c r="B1800" s="99" t="s">
        <v>299</v>
      </c>
      <c r="C1800" s="99" t="s">
        <v>343</v>
      </c>
      <c r="D1800" s="53" t="s">
        <v>327</v>
      </c>
      <c r="E1800" s="53" t="s">
        <v>96</v>
      </c>
      <c r="F1800" s="123">
        <f t="shared" si="1311"/>
        <v>0</v>
      </c>
      <c r="G1800" s="123">
        <f t="shared" ref="G1800:Q1800" si="1323">F1800+G1728</f>
        <v>0</v>
      </c>
      <c r="H1800" s="123">
        <f t="shared" si="1323"/>
        <v>0</v>
      </c>
      <c r="I1800" s="123">
        <f t="shared" si="1323"/>
        <v>0</v>
      </c>
      <c r="J1800" s="123">
        <f t="shared" si="1323"/>
        <v>0</v>
      </c>
      <c r="K1800" s="123">
        <f t="shared" si="1323"/>
        <v>0</v>
      </c>
      <c r="L1800" s="123">
        <f t="shared" si="1323"/>
        <v>0</v>
      </c>
      <c r="M1800" s="123">
        <f t="shared" si="1323"/>
        <v>0</v>
      </c>
      <c r="N1800" s="123">
        <f t="shared" si="1323"/>
        <v>0</v>
      </c>
      <c r="O1800" s="123">
        <f t="shared" si="1323"/>
        <v>0</v>
      </c>
      <c r="P1800" s="123">
        <f t="shared" si="1323"/>
        <v>0</v>
      </c>
      <c r="Q1800" s="123">
        <f t="shared" si="1323"/>
        <v>0</v>
      </c>
    </row>
    <row r="1801" ht="24" customHeight="1" spans="1:17">
      <c r="A1801" s="99" t="s">
        <v>349</v>
      </c>
      <c r="B1801" s="99" t="s">
        <v>299</v>
      </c>
      <c r="C1801" s="99" t="s">
        <v>343</v>
      </c>
      <c r="D1801" s="53" t="s">
        <v>327</v>
      </c>
      <c r="E1801" s="53" t="s">
        <v>160</v>
      </c>
      <c r="F1801" s="123">
        <f t="shared" si="1311"/>
        <v>0</v>
      </c>
      <c r="G1801" s="123">
        <f t="shared" ref="G1801:Q1801" si="1324">F1801+G1729</f>
        <v>0</v>
      </c>
      <c r="H1801" s="123">
        <f t="shared" si="1324"/>
        <v>0</v>
      </c>
      <c r="I1801" s="123">
        <f t="shared" si="1324"/>
        <v>0</v>
      </c>
      <c r="J1801" s="123">
        <f t="shared" si="1324"/>
        <v>0</v>
      </c>
      <c r="K1801" s="123">
        <f t="shared" si="1324"/>
        <v>0</v>
      </c>
      <c r="L1801" s="123">
        <f t="shared" si="1324"/>
        <v>0</v>
      </c>
      <c r="M1801" s="123">
        <f t="shared" si="1324"/>
        <v>0</v>
      </c>
      <c r="N1801" s="123">
        <f t="shared" si="1324"/>
        <v>0</v>
      </c>
      <c r="O1801" s="123">
        <f t="shared" si="1324"/>
        <v>0</v>
      </c>
      <c r="P1801" s="123">
        <f t="shared" si="1324"/>
        <v>0</v>
      </c>
      <c r="Q1801" s="123">
        <f t="shared" si="1324"/>
        <v>0</v>
      </c>
    </row>
    <row r="1802" ht="24" customHeight="1" spans="1:17">
      <c r="A1802" s="99" t="s">
        <v>349</v>
      </c>
      <c r="B1802" s="99" t="s">
        <v>299</v>
      </c>
      <c r="C1802" s="99" t="s">
        <v>344</v>
      </c>
      <c r="D1802" s="114" t="s">
        <v>292</v>
      </c>
      <c r="E1802" s="122" t="s">
        <v>326</v>
      </c>
      <c r="F1802" s="124">
        <f t="shared" si="1311"/>
        <v>0.0257</v>
      </c>
      <c r="G1802" s="124">
        <f t="shared" ref="G1802:Q1802" si="1325">F1802+G1730</f>
        <v>0.0257</v>
      </c>
      <c r="H1802" s="124">
        <f t="shared" si="1325"/>
        <v>0.0257</v>
      </c>
      <c r="I1802" s="124">
        <f t="shared" si="1325"/>
        <v>0.0257</v>
      </c>
      <c r="J1802" s="124">
        <f t="shared" si="1325"/>
        <v>0.0257</v>
      </c>
      <c r="K1802" s="124">
        <f t="shared" si="1325"/>
        <v>0.0257</v>
      </c>
      <c r="L1802" s="124">
        <f t="shared" si="1325"/>
        <v>0.0257</v>
      </c>
      <c r="M1802" s="124">
        <f t="shared" si="1325"/>
        <v>0.0257</v>
      </c>
      <c r="N1802" s="124">
        <f t="shared" si="1325"/>
        <v>0.0257</v>
      </c>
      <c r="O1802" s="124">
        <f t="shared" si="1325"/>
        <v>0.0257</v>
      </c>
      <c r="P1802" s="124">
        <f t="shared" si="1325"/>
        <v>0.0257</v>
      </c>
      <c r="Q1802" s="124">
        <f t="shared" si="1325"/>
        <v>0.0386</v>
      </c>
    </row>
    <row r="1803" ht="24" customHeight="1" spans="1:17">
      <c r="A1803" s="99" t="s">
        <v>349</v>
      </c>
      <c r="B1803" s="99" t="s">
        <v>299</v>
      </c>
      <c r="C1803" s="99" t="s">
        <v>344</v>
      </c>
      <c r="D1803" s="114" t="s">
        <v>292</v>
      </c>
      <c r="E1803" s="122" t="s">
        <v>327</v>
      </c>
      <c r="F1803" s="124">
        <f t="shared" si="1311"/>
        <v>0.0085</v>
      </c>
      <c r="G1803" s="124">
        <f t="shared" ref="G1803:Q1803" si="1326">F1803+G1731</f>
        <v>0.0085</v>
      </c>
      <c r="H1803" s="124">
        <f t="shared" si="1326"/>
        <v>0.0085</v>
      </c>
      <c r="I1803" s="124">
        <f t="shared" si="1326"/>
        <v>0.0085</v>
      </c>
      <c r="J1803" s="124">
        <f t="shared" si="1326"/>
        <v>0.1154</v>
      </c>
      <c r="K1803" s="124">
        <f t="shared" si="1326"/>
        <v>0.1154</v>
      </c>
      <c r="L1803" s="124">
        <f t="shared" si="1326"/>
        <v>0.1154</v>
      </c>
      <c r="M1803" s="124">
        <f t="shared" si="1326"/>
        <v>0.1154</v>
      </c>
      <c r="N1803" s="124">
        <f t="shared" si="1326"/>
        <v>0.1154</v>
      </c>
      <c r="O1803" s="124">
        <f t="shared" si="1326"/>
        <v>0.1154</v>
      </c>
      <c r="P1803" s="124">
        <f t="shared" si="1326"/>
        <v>0.1154</v>
      </c>
      <c r="Q1803" s="124">
        <f t="shared" si="1326"/>
        <v>0.1154</v>
      </c>
    </row>
    <row r="1804" ht="24" customHeight="1" spans="1:17">
      <c r="A1804" s="99" t="s">
        <v>349</v>
      </c>
      <c r="B1804" s="99" t="s">
        <v>299</v>
      </c>
      <c r="C1804" s="99" t="s">
        <v>344</v>
      </c>
      <c r="D1804" s="114" t="s">
        <v>292</v>
      </c>
      <c r="E1804" s="122" t="s">
        <v>328</v>
      </c>
      <c r="F1804" s="124">
        <f t="shared" si="1311"/>
        <v>0</v>
      </c>
      <c r="G1804" s="124">
        <f t="shared" ref="G1804:Q1804" si="1327">F1804+G1732</f>
        <v>0</v>
      </c>
      <c r="H1804" s="124">
        <f t="shared" si="1327"/>
        <v>0</v>
      </c>
      <c r="I1804" s="124">
        <f t="shared" si="1327"/>
        <v>0</v>
      </c>
      <c r="J1804" s="124">
        <f t="shared" si="1327"/>
        <v>0</v>
      </c>
      <c r="K1804" s="124">
        <f t="shared" si="1327"/>
        <v>0</v>
      </c>
      <c r="L1804" s="124">
        <f t="shared" si="1327"/>
        <v>0</v>
      </c>
      <c r="M1804" s="124">
        <f t="shared" si="1327"/>
        <v>0</v>
      </c>
      <c r="N1804" s="124">
        <f t="shared" si="1327"/>
        <v>0</v>
      </c>
      <c r="O1804" s="124">
        <f t="shared" si="1327"/>
        <v>0</v>
      </c>
      <c r="P1804" s="124">
        <f t="shared" si="1327"/>
        <v>0</v>
      </c>
      <c r="Q1804" s="124">
        <f t="shared" si="1327"/>
        <v>0</v>
      </c>
    </row>
    <row r="1805" ht="24" customHeight="1" spans="1:17">
      <c r="A1805" s="99" t="s">
        <v>349</v>
      </c>
      <c r="B1805" s="99" t="s">
        <v>299</v>
      </c>
      <c r="C1805" s="99" t="s">
        <v>344</v>
      </c>
      <c r="D1805" s="122" t="s">
        <v>326</v>
      </c>
      <c r="E1805" s="122" t="s">
        <v>93</v>
      </c>
      <c r="F1805" s="124">
        <f t="shared" si="1311"/>
        <v>0.0257</v>
      </c>
      <c r="G1805" s="124">
        <f t="shared" ref="G1805:Q1805" si="1328">F1805+G1733</f>
        <v>0.0257</v>
      </c>
      <c r="H1805" s="124">
        <f t="shared" si="1328"/>
        <v>0.0257</v>
      </c>
      <c r="I1805" s="124">
        <f t="shared" si="1328"/>
        <v>0.0257</v>
      </c>
      <c r="J1805" s="124">
        <f t="shared" si="1328"/>
        <v>0.0257</v>
      </c>
      <c r="K1805" s="124">
        <f t="shared" si="1328"/>
        <v>0.0257</v>
      </c>
      <c r="L1805" s="124">
        <f t="shared" si="1328"/>
        <v>0.0257</v>
      </c>
      <c r="M1805" s="124">
        <f t="shared" si="1328"/>
        <v>0.0257</v>
      </c>
      <c r="N1805" s="124">
        <f t="shared" si="1328"/>
        <v>0.0257</v>
      </c>
      <c r="O1805" s="124">
        <f t="shared" si="1328"/>
        <v>0.0257</v>
      </c>
      <c r="P1805" s="124">
        <f t="shared" si="1328"/>
        <v>0.0257</v>
      </c>
      <c r="Q1805" s="124">
        <f t="shared" si="1328"/>
        <v>0.0257</v>
      </c>
    </row>
    <row r="1806" ht="24" customHeight="1" spans="1:17">
      <c r="A1806" s="99" t="s">
        <v>349</v>
      </c>
      <c r="B1806" s="99" t="s">
        <v>299</v>
      </c>
      <c r="C1806" s="99" t="s">
        <v>344</v>
      </c>
      <c r="D1806" s="122" t="s">
        <v>326</v>
      </c>
      <c r="E1806" s="122" t="s">
        <v>85</v>
      </c>
      <c r="F1806" s="124">
        <f t="shared" si="1311"/>
        <v>0</v>
      </c>
      <c r="G1806" s="124">
        <f t="shared" ref="G1806:Q1806" si="1329">F1806+G1734</f>
        <v>0</v>
      </c>
      <c r="H1806" s="124">
        <f t="shared" si="1329"/>
        <v>0</v>
      </c>
      <c r="I1806" s="124">
        <f t="shared" si="1329"/>
        <v>0</v>
      </c>
      <c r="J1806" s="124">
        <f t="shared" si="1329"/>
        <v>0</v>
      </c>
      <c r="K1806" s="124">
        <f t="shared" si="1329"/>
        <v>0</v>
      </c>
      <c r="L1806" s="124">
        <f t="shared" si="1329"/>
        <v>0</v>
      </c>
      <c r="M1806" s="124">
        <f t="shared" si="1329"/>
        <v>0</v>
      </c>
      <c r="N1806" s="124">
        <f t="shared" si="1329"/>
        <v>0</v>
      </c>
      <c r="O1806" s="124">
        <f t="shared" si="1329"/>
        <v>0</v>
      </c>
      <c r="P1806" s="124">
        <f t="shared" si="1329"/>
        <v>0</v>
      </c>
      <c r="Q1806" s="124">
        <f t="shared" si="1329"/>
        <v>0</v>
      </c>
    </row>
    <row r="1807" ht="24" customHeight="1" spans="1:17">
      <c r="A1807" s="99" t="s">
        <v>349</v>
      </c>
      <c r="B1807" s="99" t="s">
        <v>299</v>
      </c>
      <c r="C1807" s="99" t="s">
        <v>344</v>
      </c>
      <c r="D1807" s="122" t="s">
        <v>326</v>
      </c>
      <c r="E1807" s="122" t="s">
        <v>81</v>
      </c>
      <c r="F1807" s="124">
        <f t="shared" si="1311"/>
        <v>0</v>
      </c>
      <c r="G1807" s="124">
        <f t="shared" ref="G1807:Q1807" si="1330">F1807+G1735</f>
        <v>0</v>
      </c>
      <c r="H1807" s="124">
        <f t="shared" si="1330"/>
        <v>0</v>
      </c>
      <c r="I1807" s="124">
        <f t="shared" si="1330"/>
        <v>0</v>
      </c>
      <c r="J1807" s="124">
        <f t="shared" si="1330"/>
        <v>0</v>
      </c>
      <c r="K1807" s="124">
        <f t="shared" si="1330"/>
        <v>0</v>
      </c>
      <c r="L1807" s="124">
        <f t="shared" si="1330"/>
        <v>0</v>
      </c>
      <c r="M1807" s="124">
        <f t="shared" si="1330"/>
        <v>0</v>
      </c>
      <c r="N1807" s="124">
        <f t="shared" si="1330"/>
        <v>0</v>
      </c>
      <c r="O1807" s="124">
        <f t="shared" si="1330"/>
        <v>0</v>
      </c>
      <c r="P1807" s="124">
        <f t="shared" si="1330"/>
        <v>0</v>
      </c>
      <c r="Q1807" s="124">
        <f t="shared" si="1330"/>
        <v>0.0129</v>
      </c>
    </row>
    <row r="1808" ht="24" customHeight="1" spans="1:17">
      <c r="A1808" s="99" t="s">
        <v>349</v>
      </c>
      <c r="B1808" s="99" t="s">
        <v>299</v>
      </c>
      <c r="C1808" s="99" t="s">
        <v>344</v>
      </c>
      <c r="D1808" s="122" t="s">
        <v>326</v>
      </c>
      <c r="E1808" s="122" t="s">
        <v>96</v>
      </c>
      <c r="F1808" s="124">
        <f t="shared" si="1311"/>
        <v>0</v>
      </c>
      <c r="G1808" s="124">
        <f t="shared" ref="G1808:Q1808" si="1331">F1808+G1736</f>
        <v>0</v>
      </c>
      <c r="H1808" s="124">
        <f t="shared" si="1331"/>
        <v>0</v>
      </c>
      <c r="I1808" s="124">
        <f t="shared" si="1331"/>
        <v>0</v>
      </c>
      <c r="J1808" s="124">
        <f t="shared" si="1331"/>
        <v>0</v>
      </c>
      <c r="K1808" s="124">
        <f t="shared" si="1331"/>
        <v>0</v>
      </c>
      <c r="L1808" s="124">
        <f t="shared" si="1331"/>
        <v>0</v>
      </c>
      <c r="M1808" s="124">
        <f t="shared" si="1331"/>
        <v>0</v>
      </c>
      <c r="N1808" s="124">
        <f t="shared" si="1331"/>
        <v>0</v>
      </c>
      <c r="O1808" s="124">
        <f t="shared" si="1331"/>
        <v>0</v>
      </c>
      <c r="P1808" s="124">
        <f t="shared" si="1331"/>
        <v>0</v>
      </c>
      <c r="Q1808" s="124">
        <f t="shared" si="1331"/>
        <v>0</v>
      </c>
    </row>
    <row r="1809" ht="24" customHeight="1" spans="1:17">
      <c r="A1809" s="99" t="s">
        <v>349</v>
      </c>
      <c r="B1809" s="99" t="s">
        <v>299</v>
      </c>
      <c r="C1809" s="99" t="s">
        <v>344</v>
      </c>
      <c r="D1809" s="122" t="s">
        <v>326</v>
      </c>
      <c r="E1809" s="122" t="s">
        <v>160</v>
      </c>
      <c r="F1809" s="124">
        <f t="shared" si="1311"/>
        <v>0</v>
      </c>
      <c r="G1809" s="124">
        <f t="shared" ref="G1809:Q1809" si="1332">F1809+G1737</f>
        <v>0</v>
      </c>
      <c r="H1809" s="124">
        <f t="shared" si="1332"/>
        <v>0</v>
      </c>
      <c r="I1809" s="124">
        <f t="shared" si="1332"/>
        <v>0</v>
      </c>
      <c r="J1809" s="124">
        <f t="shared" si="1332"/>
        <v>0</v>
      </c>
      <c r="K1809" s="124">
        <f t="shared" si="1332"/>
        <v>0</v>
      </c>
      <c r="L1809" s="124">
        <f t="shared" si="1332"/>
        <v>0</v>
      </c>
      <c r="M1809" s="124">
        <f t="shared" si="1332"/>
        <v>0</v>
      </c>
      <c r="N1809" s="124">
        <f t="shared" si="1332"/>
        <v>0</v>
      </c>
      <c r="O1809" s="124">
        <f t="shared" si="1332"/>
        <v>0</v>
      </c>
      <c r="P1809" s="124">
        <f t="shared" si="1332"/>
        <v>0</v>
      </c>
      <c r="Q1809" s="124">
        <f t="shared" si="1332"/>
        <v>0</v>
      </c>
    </row>
    <row r="1810" ht="24" customHeight="1" spans="1:17">
      <c r="A1810" s="99" t="s">
        <v>349</v>
      </c>
      <c r="B1810" s="99" t="s">
        <v>299</v>
      </c>
      <c r="C1810" s="99" t="s">
        <v>344</v>
      </c>
      <c r="D1810" s="122" t="s">
        <v>327</v>
      </c>
      <c r="E1810" s="122" t="s">
        <v>93</v>
      </c>
      <c r="F1810" s="124">
        <f t="shared" si="1311"/>
        <v>0.0085</v>
      </c>
      <c r="G1810" s="124">
        <f t="shared" ref="G1810:Q1810" si="1333">F1810+G1738</f>
        <v>0.0085</v>
      </c>
      <c r="H1810" s="124">
        <f t="shared" si="1333"/>
        <v>0.0085</v>
      </c>
      <c r="I1810" s="124">
        <f t="shared" si="1333"/>
        <v>0.0085</v>
      </c>
      <c r="J1810" s="124">
        <f t="shared" si="1333"/>
        <v>0.1154</v>
      </c>
      <c r="K1810" s="124">
        <f t="shared" si="1333"/>
        <v>0.1154</v>
      </c>
      <c r="L1810" s="124">
        <f t="shared" si="1333"/>
        <v>0.1154</v>
      </c>
      <c r="M1810" s="124">
        <f t="shared" si="1333"/>
        <v>0.1154</v>
      </c>
      <c r="N1810" s="124">
        <f t="shared" si="1333"/>
        <v>0.1154</v>
      </c>
      <c r="O1810" s="124">
        <f t="shared" si="1333"/>
        <v>0.1154</v>
      </c>
      <c r="P1810" s="124">
        <f t="shared" si="1333"/>
        <v>0.1154</v>
      </c>
      <c r="Q1810" s="124">
        <f t="shared" si="1333"/>
        <v>0.1154</v>
      </c>
    </row>
    <row r="1811" ht="24" customHeight="1" spans="1:17">
      <c r="A1811" s="99" t="s">
        <v>349</v>
      </c>
      <c r="B1811" s="99" t="s">
        <v>299</v>
      </c>
      <c r="C1811" s="99" t="s">
        <v>344</v>
      </c>
      <c r="D1811" s="122" t="s">
        <v>327</v>
      </c>
      <c r="E1811" s="122" t="s">
        <v>85</v>
      </c>
      <c r="F1811" s="124">
        <f t="shared" si="1311"/>
        <v>0</v>
      </c>
      <c r="G1811" s="124">
        <f t="shared" ref="G1811:Q1811" si="1334">F1811+G1739</f>
        <v>0</v>
      </c>
      <c r="H1811" s="124">
        <f t="shared" si="1334"/>
        <v>0</v>
      </c>
      <c r="I1811" s="124">
        <f t="shared" si="1334"/>
        <v>0</v>
      </c>
      <c r="J1811" s="124">
        <f t="shared" si="1334"/>
        <v>0</v>
      </c>
      <c r="K1811" s="124">
        <f t="shared" si="1334"/>
        <v>0</v>
      </c>
      <c r="L1811" s="124">
        <f t="shared" si="1334"/>
        <v>0</v>
      </c>
      <c r="M1811" s="124">
        <f t="shared" si="1334"/>
        <v>0</v>
      </c>
      <c r="N1811" s="124">
        <f t="shared" si="1334"/>
        <v>0</v>
      </c>
      <c r="O1811" s="124">
        <f t="shared" si="1334"/>
        <v>0</v>
      </c>
      <c r="P1811" s="124">
        <f t="shared" si="1334"/>
        <v>0</v>
      </c>
      <c r="Q1811" s="124">
        <f t="shared" si="1334"/>
        <v>0</v>
      </c>
    </row>
    <row r="1812" ht="24" customHeight="1" spans="1:17">
      <c r="A1812" s="99" t="s">
        <v>349</v>
      </c>
      <c r="B1812" s="99" t="s">
        <v>299</v>
      </c>
      <c r="C1812" s="99" t="s">
        <v>344</v>
      </c>
      <c r="D1812" s="122" t="s">
        <v>327</v>
      </c>
      <c r="E1812" s="122" t="s">
        <v>81</v>
      </c>
      <c r="F1812" s="124">
        <f t="shared" si="1311"/>
        <v>0</v>
      </c>
      <c r="G1812" s="124">
        <f t="shared" ref="G1812:Q1812" si="1335">F1812+G1740</f>
        <v>0</v>
      </c>
      <c r="H1812" s="124">
        <f t="shared" si="1335"/>
        <v>0</v>
      </c>
      <c r="I1812" s="124">
        <f t="shared" si="1335"/>
        <v>0</v>
      </c>
      <c r="J1812" s="124">
        <f t="shared" si="1335"/>
        <v>0</v>
      </c>
      <c r="K1812" s="124">
        <f t="shared" si="1335"/>
        <v>0</v>
      </c>
      <c r="L1812" s="124">
        <f t="shared" si="1335"/>
        <v>0</v>
      </c>
      <c r="M1812" s="124">
        <f t="shared" si="1335"/>
        <v>0</v>
      </c>
      <c r="N1812" s="124">
        <f t="shared" si="1335"/>
        <v>0</v>
      </c>
      <c r="O1812" s="124">
        <f t="shared" si="1335"/>
        <v>0</v>
      </c>
      <c r="P1812" s="124">
        <f t="shared" si="1335"/>
        <v>0</v>
      </c>
      <c r="Q1812" s="124">
        <f t="shared" si="1335"/>
        <v>0</v>
      </c>
    </row>
    <row r="1813" ht="24" customHeight="1" spans="1:17">
      <c r="A1813" s="99" t="s">
        <v>349</v>
      </c>
      <c r="B1813" s="99" t="s">
        <v>299</v>
      </c>
      <c r="C1813" s="99" t="s">
        <v>344</v>
      </c>
      <c r="D1813" s="122" t="s">
        <v>327</v>
      </c>
      <c r="E1813" s="122" t="s">
        <v>96</v>
      </c>
      <c r="F1813" s="124">
        <f t="shared" si="1311"/>
        <v>0</v>
      </c>
      <c r="G1813" s="124">
        <f t="shared" ref="G1813:Q1813" si="1336">F1813+G1741</f>
        <v>0</v>
      </c>
      <c r="H1813" s="124">
        <f t="shared" si="1336"/>
        <v>0</v>
      </c>
      <c r="I1813" s="124">
        <f t="shared" si="1336"/>
        <v>0</v>
      </c>
      <c r="J1813" s="124">
        <f t="shared" si="1336"/>
        <v>0</v>
      </c>
      <c r="K1813" s="124">
        <f t="shared" si="1336"/>
        <v>0</v>
      </c>
      <c r="L1813" s="124">
        <f t="shared" si="1336"/>
        <v>0</v>
      </c>
      <c r="M1813" s="124">
        <f t="shared" si="1336"/>
        <v>0</v>
      </c>
      <c r="N1813" s="124">
        <f t="shared" si="1336"/>
        <v>0</v>
      </c>
      <c r="O1813" s="124">
        <f t="shared" si="1336"/>
        <v>0</v>
      </c>
      <c r="P1813" s="124">
        <f t="shared" si="1336"/>
        <v>0</v>
      </c>
      <c r="Q1813" s="124">
        <f t="shared" si="1336"/>
        <v>0</v>
      </c>
    </row>
    <row r="1814" ht="24" customHeight="1" spans="1:17">
      <c r="A1814" s="99" t="s">
        <v>349</v>
      </c>
      <c r="B1814" s="99" t="s">
        <v>299</v>
      </c>
      <c r="C1814" s="99" t="s">
        <v>344</v>
      </c>
      <c r="D1814" s="122" t="s">
        <v>327</v>
      </c>
      <c r="E1814" s="122" t="s">
        <v>160</v>
      </c>
      <c r="F1814" s="124">
        <f t="shared" si="1311"/>
        <v>0</v>
      </c>
      <c r="G1814" s="124">
        <f t="shared" ref="G1814:Q1814" si="1337">F1814+G1742</f>
        <v>0</v>
      </c>
      <c r="H1814" s="124">
        <f t="shared" si="1337"/>
        <v>0</v>
      </c>
      <c r="I1814" s="124">
        <f t="shared" si="1337"/>
        <v>0</v>
      </c>
      <c r="J1814" s="124">
        <f t="shared" si="1337"/>
        <v>0</v>
      </c>
      <c r="K1814" s="124">
        <f t="shared" si="1337"/>
        <v>0</v>
      </c>
      <c r="L1814" s="124">
        <f t="shared" si="1337"/>
        <v>0</v>
      </c>
      <c r="M1814" s="124">
        <f t="shared" si="1337"/>
        <v>0</v>
      </c>
      <c r="N1814" s="124">
        <f t="shared" si="1337"/>
        <v>0</v>
      </c>
      <c r="O1814" s="124">
        <f t="shared" si="1337"/>
        <v>0</v>
      </c>
      <c r="P1814" s="124">
        <f t="shared" si="1337"/>
        <v>0</v>
      </c>
      <c r="Q1814" s="124">
        <f t="shared" si="1337"/>
        <v>0</v>
      </c>
    </row>
    <row r="1815" ht="24" customHeight="1" spans="1:35">
      <c r="A1815" s="99" t="s">
        <v>350</v>
      </c>
      <c r="B1815" s="99" t="s">
        <v>290</v>
      </c>
      <c r="C1815" s="99" t="s">
        <v>291</v>
      </c>
      <c r="D1815" s="100" t="s">
        <v>292</v>
      </c>
      <c r="E1815" s="100" t="s">
        <v>293</v>
      </c>
      <c r="F1815" s="104">
        <f t="shared" ref="F1815:Q1815" si="1338">IF((SUM(F1816:F1821)-MAX(F1827,F1831))&lt;0,"ERR",SUM(F1816:F1821))</f>
        <v>3</v>
      </c>
      <c r="G1815" s="104">
        <f t="shared" si="1338"/>
        <v>2</v>
      </c>
      <c r="H1815" s="104">
        <f t="shared" si="1338"/>
        <v>2</v>
      </c>
      <c r="I1815" s="104">
        <f t="shared" si="1338"/>
        <v>3</v>
      </c>
      <c r="J1815" s="104">
        <f t="shared" si="1338"/>
        <v>1</v>
      </c>
      <c r="K1815" s="104">
        <f t="shared" si="1338"/>
        <v>0</v>
      </c>
      <c r="L1815" s="104">
        <f t="shared" si="1338"/>
        <v>1</v>
      </c>
      <c r="M1815" s="104">
        <f t="shared" si="1338"/>
        <v>4</v>
      </c>
      <c r="N1815" s="104">
        <f t="shared" si="1338"/>
        <v>2</v>
      </c>
      <c r="O1815" s="104">
        <f t="shared" si="1338"/>
        <v>2</v>
      </c>
      <c r="P1815" s="104">
        <f t="shared" si="1338"/>
        <v>3</v>
      </c>
      <c r="Q1815" s="104">
        <f t="shared" si="1338"/>
        <v>2</v>
      </c>
      <c r="S1815" s="108" t="s">
        <v>272</v>
      </c>
      <c r="T1815" s="108" t="s">
        <v>273</v>
      </c>
      <c r="U1815" s="108" t="s">
        <v>274</v>
      </c>
      <c r="V1815" s="98" t="s">
        <v>275</v>
      </c>
      <c r="W1815" s="98" t="s">
        <v>276</v>
      </c>
      <c r="X1815" s="102" t="s">
        <v>277</v>
      </c>
      <c r="Y1815" s="103" t="s">
        <v>278</v>
      </c>
      <c r="Z1815" s="102" t="s">
        <v>279</v>
      </c>
      <c r="AA1815" s="103" t="s">
        <v>280</v>
      </c>
      <c r="AB1815" s="102" t="s">
        <v>281</v>
      </c>
      <c r="AC1815" s="103" t="s">
        <v>282</v>
      </c>
      <c r="AD1815" s="102" t="s">
        <v>283</v>
      </c>
      <c r="AE1815" s="103" t="s">
        <v>284</v>
      </c>
      <c r="AF1815" s="102" t="s">
        <v>285</v>
      </c>
      <c r="AG1815" s="103" t="s">
        <v>286</v>
      </c>
      <c r="AH1815" s="102" t="s">
        <v>287</v>
      </c>
      <c r="AI1815" s="107" t="s">
        <v>288</v>
      </c>
    </row>
    <row r="1816" ht="24" customHeight="1" spans="1:17">
      <c r="A1816" s="99" t="s">
        <v>350</v>
      </c>
      <c r="B1816" s="99" t="s">
        <v>290</v>
      </c>
      <c r="C1816" s="99" t="s">
        <v>291</v>
      </c>
      <c r="D1816" s="48" t="s">
        <v>31</v>
      </c>
      <c r="E1816" s="48" t="s">
        <v>406</v>
      </c>
      <c r="F1816" s="105">
        <f>COUNTIFS('2024数据'!$AA$3:$AA$152,"&gt;="&amp;DATE(2023,1,1),'2024数据'!$AA$3:$AA$152,"&lt;="&amp;DATE(2024,1,31),'2024数据'!$AE$3:$AE$152,$E1816)</f>
        <v>0</v>
      </c>
      <c r="G1816" s="105">
        <f>COUNTIFS('2024数据'!$AA$3:$AA$152,"&gt;="&amp;DATE(2024,2,1),'2024数据'!$AA$3:$AA$152,"&lt;="&amp;DATE(2024,2,29),'2024数据'!$AE$3:$AE$152,$E1816)</f>
        <v>1</v>
      </c>
      <c r="H1816" s="105">
        <f>COUNTIFS('2024数据'!$AA$3:$AA$152,"&gt;="&amp;DATE(2024,3,1),'2024数据'!$AA$3:$AA$152,"&lt;="&amp;DATE(2024,3,31),'2024数据'!$AE$3:$AE$152,$E1816)</f>
        <v>1</v>
      </c>
      <c r="I1816" s="105">
        <f>COUNTIFS('2024数据'!$AA$3:$AA$152,"&gt;="&amp;DATE(2024,4,1),'2024数据'!$AA$3:$AA$152,"&lt;="&amp;DATE(2024,4,30),'2024数据'!$AE$3:$AE$152,$E1816)</f>
        <v>1</v>
      </c>
      <c r="J1816" s="105">
        <f>COUNTIFS('2024数据'!$AA$3:$AA$152,"&gt;="&amp;DATE(2024,5,1),'2024数据'!$AA$3:$AA$152,"&lt;="&amp;DATE(2024,5,31),'2024数据'!$AE$3:$AE$152,$E1816)</f>
        <v>0</v>
      </c>
      <c r="K1816" s="105">
        <f>COUNTIFS('2024数据'!$AA$3:$AA$152,"&gt;="&amp;DATE(2024,6,1),'2024数据'!$AA$3:$AA$152,"&lt;="&amp;DATE(2024,6,30),'2024数据'!$AE$3:$AE$152,$E1816)</f>
        <v>0</v>
      </c>
      <c r="L1816" s="105">
        <f>COUNTIFS('2024数据'!$AA$3:$AA$152,"&gt;="&amp;DATE(2024,7,1),'2024数据'!$AA$3:$AA$152,"&lt;="&amp;DATE(2024,7,31),'2024数据'!$AE$3:$AE$152,$E1816)</f>
        <v>0</v>
      </c>
      <c r="M1816" s="105">
        <f>COUNTIFS('2024数据'!$AA$3:$AA$152,"&gt;="&amp;DATE(2024,8,1),'2024数据'!$AA$3:$AA$152,"&lt;="&amp;DATE(2024,8,31),'2024数据'!$AE$3:$AE$152,$E1816)</f>
        <v>1</v>
      </c>
      <c r="N1816" s="105">
        <f>COUNTIFS('2024数据'!$AA$3:$AA$152,"&gt;="&amp;DATE(2024,9,1),'2024数据'!$AA$3:$AA$152,"&lt;="&amp;DATE(2024,9,30),'2024数据'!$AE$3:$AE$152,$E1816)</f>
        <v>0</v>
      </c>
      <c r="O1816" s="105">
        <f>COUNTIFS('2024数据'!$AA$3:$AA$152,"&gt;="&amp;DATE(2024,10,1),'2024数据'!$AA$3:$AA$152,"&lt;="&amp;DATE(2024,10,31),'2024数据'!$AE$3:$AE$152,$E1816)</f>
        <v>1</v>
      </c>
      <c r="P1816" s="105">
        <f>COUNTIFS('2024数据'!$AA$3:$AA$152,"&gt;="&amp;DATE(2024,11,1),'2024数据'!$AA$3:$AA$152,"&lt;="&amp;DATE(2024,11,30),'2024数据'!$AE$3:$AE$152,$E1816)</f>
        <v>1</v>
      </c>
      <c r="Q1816" s="105">
        <f>COUNTIFS('2024数据'!$AA$3:$AA$152,"&gt;="&amp;DATE(2024,12,1),'2024数据'!$AA$3:$AA$152,"&lt;="&amp;DATE(2024,12,31),'2024数据'!$AE$3:$AE$152,$E1816)</f>
        <v>0</v>
      </c>
    </row>
    <row r="1817" ht="24" customHeight="1" spans="1:17">
      <c r="A1817" s="99" t="s">
        <v>350</v>
      </c>
      <c r="B1817" s="99" t="s">
        <v>290</v>
      </c>
      <c r="C1817" s="99" t="s">
        <v>291</v>
      </c>
      <c r="D1817" s="48" t="s">
        <v>31</v>
      </c>
      <c r="E1817" s="48" t="s">
        <v>82</v>
      </c>
      <c r="F1817" s="105">
        <f>COUNTIFS('2024数据'!$AA$3:$AA$152,"&gt;="&amp;DATE(2023,1,1),'2024数据'!$AA$3:$AA$152,"&lt;="&amp;DATE(2024,1,31),'2024数据'!$AE$3:$AE$152,$E1817)</f>
        <v>2</v>
      </c>
      <c r="G1817" s="105">
        <f>COUNTIFS('2024数据'!$AA$3:$AA$152,"&gt;="&amp;DATE(2024,2,1),'2024数据'!$AA$3:$AA$152,"&lt;="&amp;DATE(2024,2,29),'2024数据'!$AE$3:$AE$152,$E1817)</f>
        <v>0</v>
      </c>
      <c r="H1817" s="105">
        <f>COUNTIFS('2024数据'!$AA$3:$AA$152,"&gt;="&amp;DATE(2024,3,1),'2024数据'!$AA$3:$AA$152,"&lt;="&amp;DATE(2024,3,31),'2024数据'!$AE$3:$AE$152,$E1817)</f>
        <v>1</v>
      </c>
      <c r="I1817" s="105">
        <f>COUNTIFS('2024数据'!$AA$3:$AA$152,"&gt;="&amp;DATE(2024,4,1),'2024数据'!$AA$3:$AA$152,"&lt;="&amp;DATE(2024,4,30),'2024数据'!$AE$3:$AE$152,$E1817)</f>
        <v>0</v>
      </c>
      <c r="J1817" s="105">
        <f>COUNTIFS('2024数据'!$AA$3:$AA$152,"&gt;="&amp;DATE(2024,5,1),'2024数据'!$AA$3:$AA$152,"&lt;="&amp;DATE(2024,5,31),'2024数据'!$AE$3:$AE$152,$E1817)</f>
        <v>0</v>
      </c>
      <c r="K1817" s="105">
        <f>COUNTIFS('2024数据'!$AA$3:$AA$152,"&gt;="&amp;DATE(2024,6,1),'2024数据'!$AA$3:$AA$152,"&lt;="&amp;DATE(2024,6,30),'2024数据'!$AE$3:$AE$152,$E1817)</f>
        <v>0</v>
      </c>
      <c r="L1817" s="105">
        <f>COUNTIFS('2024数据'!$AA$3:$AA$152,"&gt;="&amp;DATE(2024,7,1),'2024数据'!$AA$3:$AA$152,"&lt;="&amp;DATE(2024,7,31),'2024数据'!$AE$3:$AE$152,$E1817)</f>
        <v>0</v>
      </c>
      <c r="M1817" s="105">
        <f>COUNTIFS('2024数据'!$AA$3:$AA$152,"&gt;="&amp;DATE(2024,8,1),'2024数据'!$AA$3:$AA$152,"&lt;="&amp;DATE(2024,8,31),'2024数据'!$AE$3:$AE$152,$E1817)</f>
        <v>1</v>
      </c>
      <c r="N1817" s="105">
        <f>COUNTIFS('2024数据'!$AA$3:$AA$152,"&gt;="&amp;DATE(2024,9,1),'2024数据'!$AA$3:$AA$152,"&lt;="&amp;DATE(2024,9,30),'2024数据'!$AE$3:$AE$152,$E1817)</f>
        <v>1</v>
      </c>
      <c r="O1817" s="105">
        <f>COUNTIFS('2024数据'!$AA$3:$AA$152,"&gt;="&amp;DATE(2024,10,1),'2024数据'!$AA$3:$AA$152,"&lt;="&amp;DATE(2024,10,31),'2024数据'!$AE$3:$AE$152,$E1817)</f>
        <v>0</v>
      </c>
      <c r="P1817" s="105">
        <f>COUNTIFS('2024数据'!$AA$3:$AA$152,"&gt;="&amp;DATE(2024,11,1),'2024数据'!$AA$3:$AA$152,"&lt;="&amp;DATE(2024,11,30),'2024数据'!$AE$3:$AE$152,$E1817)</f>
        <v>0</v>
      </c>
      <c r="Q1817" s="105">
        <f>COUNTIFS('2024数据'!$AA$3:$AA$152,"&gt;="&amp;DATE(2024,12,1),'2024数据'!$AA$3:$AA$152,"&lt;="&amp;DATE(2024,12,31),'2024数据'!$AE$3:$AE$152,$E1817)</f>
        <v>0</v>
      </c>
    </row>
    <row r="1818" ht="24" customHeight="1" spans="1:17">
      <c r="A1818" s="99" t="s">
        <v>350</v>
      </c>
      <c r="B1818" s="99" t="s">
        <v>290</v>
      </c>
      <c r="C1818" s="99" t="s">
        <v>291</v>
      </c>
      <c r="D1818" s="48" t="s">
        <v>31</v>
      </c>
      <c r="E1818" s="48" t="s">
        <v>86</v>
      </c>
      <c r="F1818" s="105">
        <f>COUNTIFS('2024数据'!$AA$3:$AA$152,"&gt;="&amp;DATE(2023,1,1),'2024数据'!$AA$3:$AA$152,"&lt;="&amp;DATE(2024,1,31),'2024数据'!$AE$3:$AE$152,$E1818)</f>
        <v>0</v>
      </c>
      <c r="G1818" s="105">
        <f>COUNTIFS('2024数据'!$AA$3:$AA$152,"&gt;="&amp;DATE(2024,2,1),'2024数据'!$AA$3:$AA$152,"&lt;="&amp;DATE(2024,2,29),'2024数据'!$AE$3:$AE$152,$E1818)</f>
        <v>1</v>
      </c>
      <c r="H1818" s="105">
        <f>COUNTIFS('2024数据'!$AA$3:$AA$152,"&gt;="&amp;DATE(2024,3,1),'2024数据'!$AA$3:$AA$152,"&lt;="&amp;DATE(2024,3,31),'2024数据'!$AE$3:$AE$152,$E1818)</f>
        <v>0</v>
      </c>
      <c r="I1818" s="105">
        <f>COUNTIFS('2024数据'!$AA$3:$AA$152,"&gt;="&amp;DATE(2024,4,1),'2024数据'!$AA$3:$AA$152,"&lt;="&amp;DATE(2024,4,30),'2024数据'!$AE$3:$AE$152,$E1818)</f>
        <v>0</v>
      </c>
      <c r="J1818" s="105">
        <f>COUNTIFS('2024数据'!$AA$3:$AA$152,"&gt;="&amp;DATE(2024,5,1),'2024数据'!$AA$3:$AA$152,"&lt;="&amp;DATE(2024,5,31),'2024数据'!$AE$3:$AE$152,$E1818)</f>
        <v>0</v>
      </c>
      <c r="K1818" s="105">
        <f>COUNTIFS('2024数据'!$AA$3:$AA$152,"&gt;="&amp;DATE(2024,6,1),'2024数据'!$AA$3:$AA$152,"&lt;="&amp;DATE(2024,6,30),'2024数据'!$AE$3:$AE$152,$E1818)</f>
        <v>0</v>
      </c>
      <c r="L1818" s="105">
        <f>COUNTIFS('2024数据'!$AA$3:$AA$152,"&gt;="&amp;DATE(2024,7,1),'2024数据'!$AA$3:$AA$152,"&lt;="&amp;DATE(2024,7,31),'2024数据'!$AE$3:$AE$152,$E1818)</f>
        <v>0</v>
      </c>
      <c r="M1818" s="105">
        <f>COUNTIFS('2024数据'!$AA$3:$AA$152,"&gt;="&amp;DATE(2024,8,1),'2024数据'!$AA$3:$AA$152,"&lt;="&amp;DATE(2024,8,31),'2024数据'!$AE$3:$AE$152,$E1818)</f>
        <v>0</v>
      </c>
      <c r="N1818" s="105">
        <f>COUNTIFS('2024数据'!$AA$3:$AA$152,"&gt;="&amp;DATE(2024,9,1),'2024数据'!$AA$3:$AA$152,"&lt;="&amp;DATE(2024,9,30),'2024数据'!$AE$3:$AE$152,$E1818)</f>
        <v>0</v>
      </c>
      <c r="O1818" s="105">
        <f>COUNTIFS('2024数据'!$AA$3:$AA$152,"&gt;="&amp;DATE(2024,10,1),'2024数据'!$AA$3:$AA$152,"&lt;="&amp;DATE(2024,10,31),'2024数据'!$AE$3:$AE$152,$E1818)</f>
        <v>0</v>
      </c>
      <c r="P1818" s="105">
        <f>COUNTIFS('2024数据'!$AA$3:$AA$152,"&gt;="&amp;DATE(2024,11,1),'2024数据'!$AA$3:$AA$152,"&lt;="&amp;DATE(2024,11,30),'2024数据'!$AE$3:$AE$152,$E1818)</f>
        <v>0</v>
      </c>
      <c r="Q1818" s="105">
        <f>COUNTIFS('2024数据'!$AA$3:$AA$152,"&gt;="&amp;DATE(2024,12,1),'2024数据'!$AA$3:$AA$152,"&lt;="&amp;DATE(2024,12,31),'2024数据'!$AE$3:$AE$152,$E1818)</f>
        <v>0</v>
      </c>
    </row>
    <row r="1819" ht="24" customHeight="1" spans="1:17">
      <c r="A1819" s="99" t="s">
        <v>350</v>
      </c>
      <c r="B1819" s="99" t="s">
        <v>290</v>
      </c>
      <c r="C1819" s="99" t="s">
        <v>291</v>
      </c>
      <c r="D1819" s="48" t="s">
        <v>31</v>
      </c>
      <c r="E1819" s="48" t="s">
        <v>97</v>
      </c>
      <c r="F1819" s="105">
        <f>COUNTIFS('2024数据'!$AA$3:$AA$152,"&gt;="&amp;DATE(2023,1,1),'2024数据'!$AA$3:$AA$152,"&lt;="&amp;DATE(2024,1,31),'2024数据'!$AE$3:$AE$152,$E1819)</f>
        <v>0</v>
      </c>
      <c r="G1819" s="105">
        <f>COUNTIFS('2024数据'!$AA$3:$AA$152,"&gt;="&amp;DATE(2024,2,1),'2024数据'!$AA$3:$AA$152,"&lt;="&amp;DATE(2024,2,29),'2024数据'!$AE$3:$AE$152,$E1819)</f>
        <v>0</v>
      </c>
      <c r="H1819" s="105">
        <f>COUNTIFS('2024数据'!$AA$3:$AA$152,"&gt;="&amp;DATE(2024,3,1),'2024数据'!$AA$3:$AA$152,"&lt;="&amp;DATE(2024,3,31),'2024数据'!$AE$3:$AE$152,$E1819)</f>
        <v>0</v>
      </c>
      <c r="I1819" s="105">
        <f>COUNTIFS('2024数据'!$AA$3:$AA$152,"&gt;="&amp;DATE(2024,4,1),'2024数据'!$AA$3:$AA$152,"&lt;="&amp;DATE(2024,4,30),'2024数据'!$AE$3:$AE$152,$E1819)</f>
        <v>1</v>
      </c>
      <c r="J1819" s="105">
        <f>COUNTIFS('2024数据'!$AA$3:$AA$152,"&gt;="&amp;DATE(2024,5,1),'2024数据'!$AA$3:$AA$152,"&lt;="&amp;DATE(2024,5,31),'2024数据'!$AE$3:$AE$152,$E1819)</f>
        <v>1</v>
      </c>
      <c r="K1819" s="105">
        <f>COUNTIFS('2024数据'!$AA$3:$AA$152,"&gt;="&amp;DATE(2024,6,1),'2024数据'!$AA$3:$AA$152,"&lt;="&amp;DATE(2024,6,30),'2024数据'!$AE$3:$AE$152,$E1819)</f>
        <v>0</v>
      </c>
      <c r="L1819" s="105">
        <f>COUNTIFS('2024数据'!$AA$3:$AA$152,"&gt;="&amp;DATE(2024,7,1),'2024数据'!$AA$3:$AA$152,"&lt;="&amp;DATE(2024,7,31),'2024数据'!$AE$3:$AE$152,$E1819)</f>
        <v>1</v>
      </c>
      <c r="M1819" s="105">
        <f>COUNTIFS('2024数据'!$AA$3:$AA$152,"&gt;="&amp;DATE(2024,8,1),'2024数据'!$AA$3:$AA$152,"&lt;="&amp;DATE(2024,8,31),'2024数据'!$AE$3:$AE$152,$E1819)</f>
        <v>1</v>
      </c>
      <c r="N1819" s="105">
        <f>COUNTIFS('2024数据'!$AA$3:$AA$152,"&gt;="&amp;DATE(2024,9,1),'2024数据'!$AA$3:$AA$152,"&lt;="&amp;DATE(2024,9,30),'2024数据'!$AE$3:$AE$152,$E1819)</f>
        <v>1</v>
      </c>
      <c r="O1819" s="105">
        <f>COUNTIFS('2024数据'!$AA$3:$AA$152,"&gt;="&amp;DATE(2024,10,1),'2024数据'!$AA$3:$AA$152,"&lt;="&amp;DATE(2024,10,31),'2024数据'!$AE$3:$AE$152,$E1819)</f>
        <v>0</v>
      </c>
      <c r="P1819" s="105">
        <f>COUNTIFS('2024数据'!$AA$3:$AA$152,"&gt;="&amp;DATE(2024,11,1),'2024数据'!$AA$3:$AA$152,"&lt;="&amp;DATE(2024,11,30),'2024数据'!$AE$3:$AE$152,$E1819)</f>
        <v>2</v>
      </c>
      <c r="Q1819" s="105">
        <f>COUNTIFS('2024数据'!$AA$3:$AA$152,"&gt;="&amp;DATE(2024,12,1),'2024数据'!$AA$3:$AA$152,"&lt;="&amp;DATE(2024,12,31),'2024数据'!$AE$3:$AE$152,$E1819)</f>
        <v>0</v>
      </c>
    </row>
    <row r="1820" ht="24" customHeight="1" spans="1:17">
      <c r="A1820" s="99" t="s">
        <v>350</v>
      </c>
      <c r="B1820" s="99" t="s">
        <v>290</v>
      </c>
      <c r="C1820" s="99" t="s">
        <v>291</v>
      </c>
      <c r="D1820" s="48" t="s">
        <v>31</v>
      </c>
      <c r="E1820" s="48" t="s">
        <v>87</v>
      </c>
      <c r="F1820" s="105">
        <f>COUNTIFS('2024数据'!$AA$3:$AA$152,"&gt;="&amp;DATE(2023,1,1),'2024数据'!$AA$3:$AA$152,"&lt;="&amp;DATE(2024,1,31),'2024数据'!$AE$3:$AE$152,$E1820)</f>
        <v>1</v>
      </c>
      <c r="G1820" s="105">
        <f>COUNTIFS('2024数据'!$AA$3:$AA$152,"&gt;="&amp;DATE(2024,2,1),'2024数据'!$AA$3:$AA$152,"&lt;="&amp;DATE(2024,2,29),'2024数据'!$AE$3:$AE$152,$E1820)</f>
        <v>0</v>
      </c>
      <c r="H1820" s="105">
        <f>COUNTIFS('2024数据'!$AA$3:$AA$152,"&gt;="&amp;DATE(2024,3,1),'2024数据'!$AA$3:$AA$152,"&lt;="&amp;DATE(2024,3,31),'2024数据'!$AE$3:$AE$152,$E1820)</f>
        <v>0</v>
      </c>
      <c r="I1820" s="105">
        <f>COUNTIFS('2024数据'!$AA$3:$AA$152,"&gt;="&amp;DATE(2024,4,1),'2024数据'!$AA$3:$AA$152,"&lt;="&amp;DATE(2024,4,30),'2024数据'!$AE$3:$AE$152,$E1820)</f>
        <v>1</v>
      </c>
      <c r="J1820" s="105">
        <f>COUNTIFS('2024数据'!$AA$3:$AA$152,"&gt;="&amp;DATE(2024,5,1),'2024数据'!$AA$3:$AA$152,"&lt;="&amp;DATE(2024,5,31),'2024数据'!$AE$3:$AE$152,$E1820)</f>
        <v>0</v>
      </c>
      <c r="K1820" s="105">
        <f>COUNTIFS('2024数据'!$AA$3:$AA$152,"&gt;="&amp;DATE(2024,6,1),'2024数据'!$AA$3:$AA$152,"&lt;="&amp;DATE(2024,6,30),'2024数据'!$AE$3:$AE$152,$E1820)</f>
        <v>0</v>
      </c>
      <c r="L1820" s="105">
        <f>COUNTIFS('2024数据'!$AA$3:$AA$152,"&gt;="&amp;DATE(2024,7,1),'2024数据'!$AA$3:$AA$152,"&lt;="&amp;DATE(2024,7,31),'2024数据'!$AE$3:$AE$152,$E1820)</f>
        <v>0</v>
      </c>
      <c r="M1820" s="105">
        <f>COUNTIFS('2024数据'!$AA$3:$AA$152,"&gt;="&amp;DATE(2024,8,1),'2024数据'!$AA$3:$AA$152,"&lt;="&amp;DATE(2024,8,31),'2024数据'!$AE$3:$AE$152,$E1820)</f>
        <v>1</v>
      </c>
      <c r="N1820" s="105">
        <f>COUNTIFS('2024数据'!$AA$3:$AA$152,"&gt;="&amp;DATE(2024,9,1),'2024数据'!$AA$3:$AA$152,"&lt;="&amp;DATE(2024,9,30),'2024数据'!$AE$3:$AE$152,$E1820)</f>
        <v>0</v>
      </c>
      <c r="O1820" s="105">
        <f>COUNTIFS('2024数据'!$AA$3:$AA$152,"&gt;="&amp;DATE(2024,10,1),'2024数据'!$AA$3:$AA$152,"&lt;="&amp;DATE(2024,10,31),'2024数据'!$AE$3:$AE$152,$E1820)</f>
        <v>1</v>
      </c>
      <c r="P1820" s="105">
        <f>COUNTIFS('2024数据'!$AA$3:$AA$152,"&gt;="&amp;DATE(2024,11,1),'2024数据'!$AA$3:$AA$152,"&lt;="&amp;DATE(2024,11,30),'2024数据'!$AE$3:$AE$152,$E1820)</f>
        <v>0</v>
      </c>
      <c r="Q1820" s="105">
        <f>COUNTIFS('2024数据'!$AA$3:$AA$152,"&gt;="&amp;DATE(2024,12,1),'2024数据'!$AA$3:$AA$152,"&lt;="&amp;DATE(2024,12,31),'2024数据'!$AE$3:$AE$152,$E1820)</f>
        <v>2</v>
      </c>
    </row>
    <row r="1821" ht="24" customHeight="1" spans="1:17">
      <c r="A1821" s="99" t="s">
        <v>350</v>
      </c>
      <c r="B1821" s="99" t="s">
        <v>290</v>
      </c>
      <c r="C1821" s="99" t="s">
        <v>291</v>
      </c>
      <c r="D1821" s="48" t="s">
        <v>31</v>
      </c>
      <c r="E1821" s="48" t="s">
        <v>83</v>
      </c>
      <c r="F1821" s="105">
        <f>COUNTIFS('2024数据'!$AA$3:$AA$152,"&gt;="&amp;DATE(2023,1,1),'2024数据'!$AA$3:$AA$152,"&lt;="&amp;DATE(2024,1,31),'2024数据'!$AE$3:$AE$152,$E1821)</f>
        <v>0</v>
      </c>
      <c r="G1821" s="105">
        <f>COUNTIFS('2024数据'!$AA$3:$AA$152,"&gt;="&amp;DATE(2024,2,1),'2024数据'!$AA$3:$AA$152,"&lt;="&amp;DATE(2024,2,29),'2024数据'!$AE$3:$AE$152,$E1821)</f>
        <v>0</v>
      </c>
      <c r="H1821" s="105">
        <f>COUNTIFS('2024数据'!$AA$3:$AA$152,"&gt;="&amp;DATE(2024,3,1),'2024数据'!$AA$3:$AA$152,"&lt;="&amp;DATE(2024,3,31),'2024数据'!$AE$3:$AE$152,$E1821)</f>
        <v>0</v>
      </c>
      <c r="I1821" s="105">
        <f>COUNTIFS('2024数据'!$AA$3:$AA$152,"&gt;="&amp;DATE(2024,4,1),'2024数据'!$AA$3:$AA$152,"&lt;="&amp;DATE(2024,4,30),'2024数据'!$AE$3:$AE$152,$E1821)</f>
        <v>0</v>
      </c>
      <c r="J1821" s="105">
        <f>COUNTIFS('2024数据'!$AA$3:$AA$152,"&gt;="&amp;DATE(2024,5,1),'2024数据'!$AA$3:$AA$152,"&lt;="&amp;DATE(2024,5,31),'2024数据'!$AE$3:$AE$152,$E1821)</f>
        <v>0</v>
      </c>
      <c r="K1821" s="105">
        <f>COUNTIFS('2024数据'!$AA$3:$AA$152,"&gt;="&amp;DATE(2024,6,1),'2024数据'!$AA$3:$AA$152,"&lt;="&amp;DATE(2024,6,30),'2024数据'!$AE$3:$AE$152,$E1821)</f>
        <v>0</v>
      </c>
      <c r="L1821" s="105">
        <f>COUNTIFS('2024数据'!$AA$3:$AA$152,"&gt;="&amp;DATE(2024,7,1),'2024数据'!$AA$3:$AA$152,"&lt;="&amp;DATE(2024,7,31),'2024数据'!$AE$3:$AE$152,$E1821)</f>
        <v>0</v>
      </c>
      <c r="M1821" s="105">
        <f>COUNTIFS('2024数据'!$AA$3:$AA$152,"&gt;="&amp;DATE(2024,8,1),'2024数据'!$AA$3:$AA$152,"&lt;="&amp;DATE(2024,8,31),'2024数据'!$AE$3:$AE$152,$E1821)</f>
        <v>0</v>
      </c>
      <c r="N1821" s="105">
        <f>COUNTIFS('2024数据'!$AA$3:$AA$152,"&gt;="&amp;DATE(2024,9,1),'2024数据'!$AA$3:$AA$152,"&lt;="&amp;DATE(2024,9,30),'2024数据'!$AE$3:$AE$152,$E1821)</f>
        <v>0</v>
      </c>
      <c r="O1821" s="105">
        <f>COUNTIFS('2024数据'!$AA$3:$AA$152,"&gt;="&amp;DATE(2024,10,1),'2024数据'!$AA$3:$AA$152,"&lt;="&amp;DATE(2024,10,31),'2024数据'!$AE$3:$AE$152,$E1821)</f>
        <v>0</v>
      </c>
      <c r="P1821" s="105">
        <f>COUNTIFS('2024数据'!$AA$3:$AA$152,"&gt;="&amp;DATE(2024,11,1),'2024数据'!$AA$3:$AA$152,"&lt;="&amp;DATE(2024,11,30),'2024数据'!$AE$3:$AE$152,$E1821)</f>
        <v>0</v>
      </c>
      <c r="Q1821" s="105">
        <f>COUNTIFS('2024数据'!$AA$3:$AA$152,"&gt;="&amp;DATE(2024,12,1),'2024数据'!$AA$3:$AA$152,"&lt;="&amp;DATE(2024,12,31),'2024数据'!$AE$3:$AE$152,$E1821)</f>
        <v>0</v>
      </c>
    </row>
    <row r="1822" ht="24" customHeight="1" spans="1:17">
      <c r="A1822" s="99" t="s">
        <v>350</v>
      </c>
      <c r="B1822" s="99" t="s">
        <v>290</v>
      </c>
      <c r="C1822" s="99" t="s">
        <v>291</v>
      </c>
      <c r="D1822" s="47" t="s">
        <v>294</v>
      </c>
      <c r="E1822" s="47" t="s">
        <v>93</v>
      </c>
      <c r="F1822" s="106">
        <f>COUNTIFS('2024数据'!$AA$3:$AA$152,"&gt;="&amp;DATE(2023,1,1),'2024数据'!$AA$3:$AA$152,"&lt;="&amp;DATE(2024,1,31),'2024数据'!$B$3:$B$152,$E1822)</f>
        <v>1</v>
      </c>
      <c r="G1822" s="106">
        <f>COUNTIFS('2024数据'!$AA$3:$AA$152,"&gt;="&amp;DATE(2024,2,1),'2024数据'!$AA$3:$AA$152,"&lt;="&amp;DATE(2024,2,29),'2024数据'!$B$3:$B$152,$E1822)</f>
        <v>2</v>
      </c>
      <c r="H1822" s="106">
        <f>COUNTIFS('2024数据'!$AA$3:$AA$152,"&gt;="&amp;DATE(2024,3,1),'2024数据'!$AA$3:$AA$152,"&lt;="&amp;DATE(2024,3,31),'2024数据'!$B$3:$B$152,$E1822)</f>
        <v>1</v>
      </c>
      <c r="I1822" s="106">
        <f>COUNTIFS('2024数据'!$AA$3:$AA$152,"&gt;="&amp;DATE(2024,4,1),'2024数据'!$AA$3:$AA$152,"&lt;="&amp;DATE(2024,4,30),'2024数据'!$B$3:$B$152,$E1822)</f>
        <v>2</v>
      </c>
      <c r="J1822" s="106">
        <f>COUNTIFS('2024数据'!$AA$3:$AA$152,"&gt;="&amp;DATE(2024,5,1),'2024数据'!$AA$3:$AA$152,"&lt;="&amp;DATE(2024,5,31),'2024数据'!$B$3:$B$152,$E1822)</f>
        <v>0</v>
      </c>
      <c r="K1822" s="106">
        <f>COUNTIFS('2024数据'!$AA$3:$AA$152,"&gt;="&amp;DATE(2024,6,1),'2024数据'!$AA$3:$AA$152,"&lt;="&amp;DATE(2024,6,30),'2024数据'!$B$3:$B$152,$E1822)</f>
        <v>0</v>
      </c>
      <c r="L1822" s="106">
        <f>COUNTIFS('2024数据'!$AA$3:$AA$152,"&gt;="&amp;DATE(2024,7,1),'2024数据'!$AA$3:$AA$152,"&lt;="&amp;DATE(2024,7,31),'2024数据'!$B$3:$B$152,$E1822)</f>
        <v>1</v>
      </c>
      <c r="M1822" s="106">
        <f>COUNTIFS('2024数据'!$AA$3:$AA$152,"&gt;="&amp;DATE(2024,8,1),'2024数据'!$AA$3:$AA$152,"&lt;="&amp;DATE(2024,8,31),'2024数据'!$B$3:$B$152,$E1822)</f>
        <v>2</v>
      </c>
      <c r="N1822" s="106">
        <f>COUNTIFS('2024数据'!$AA$3:$AA$152,"&gt;="&amp;DATE(2024,9,1),'2024数据'!$AA$3:$AA$152,"&lt;="&amp;DATE(2024,9,30),'2024数据'!$B$3:$B$152,$E1822)</f>
        <v>0</v>
      </c>
      <c r="O1822" s="106">
        <f>COUNTIFS('2024数据'!$AA$3:$AA$152,"&gt;="&amp;DATE(2024,10,1),'2024数据'!$AA$3:$AA$152,"&lt;="&amp;DATE(2024,10,31),'2024数据'!$B$3:$B$152,$E1822)</f>
        <v>1</v>
      </c>
      <c r="P1822" s="106">
        <f>COUNTIFS('2024数据'!$AA$3:$AA$152,"&gt;="&amp;DATE(2024,11,1),'2024数据'!$AA$3:$AA$152,"&lt;="&amp;DATE(2024,11,30),'2024数据'!$B$3:$B$152,$E1822)</f>
        <v>3</v>
      </c>
      <c r="Q1822" s="106">
        <f>COUNTIFS('2024数据'!$AA$3:$AA$152,"&gt;="&amp;DATE(2024,12,1),'2024数据'!$AA$3:$AA$152,"&lt;="&amp;DATE(2024,12,31),'2024数据'!$B$3:$B$152,$E1822)</f>
        <v>0</v>
      </c>
    </row>
    <row r="1823" ht="24" customHeight="1" spans="1:17">
      <c r="A1823" s="99" t="s">
        <v>350</v>
      </c>
      <c r="B1823" s="99" t="s">
        <v>290</v>
      </c>
      <c r="C1823" s="99" t="s">
        <v>291</v>
      </c>
      <c r="D1823" s="47" t="s">
        <v>294</v>
      </c>
      <c r="E1823" s="47" t="s">
        <v>85</v>
      </c>
      <c r="F1823" s="106">
        <f>COUNTIFS('2024数据'!$AA$3:$AA$152,"&gt;="&amp;DATE(2023,1,1),'2024数据'!$AA$3:$AA$152,"&lt;="&amp;DATE(2024,1,31),'2024数据'!$B$3:$B$152,$E1823)</f>
        <v>2</v>
      </c>
      <c r="G1823" s="106">
        <f>COUNTIFS('2024数据'!$AA$3:$AA$152,"&gt;="&amp;DATE(2024,2,1),'2024数据'!$AA$3:$AA$152,"&lt;="&amp;DATE(2024,2,29),'2024数据'!$B$3:$B$152,$E1823)</f>
        <v>0</v>
      </c>
      <c r="H1823" s="106">
        <f>COUNTIFS('2024数据'!$AA$3:$AA$152,"&gt;="&amp;DATE(2024,3,1),'2024数据'!$AA$3:$AA$152,"&lt;="&amp;DATE(2024,3,31),'2024数据'!$B$3:$B$152,$E1823)</f>
        <v>1</v>
      </c>
      <c r="I1823" s="106">
        <f>COUNTIFS('2024数据'!$AA$3:$AA$152,"&gt;="&amp;DATE(2024,4,1),'2024数据'!$AA$3:$AA$152,"&lt;="&amp;DATE(2024,4,30),'2024数据'!$B$3:$B$152,$E1823)</f>
        <v>1</v>
      </c>
      <c r="J1823" s="106">
        <f>COUNTIFS('2024数据'!$AA$3:$AA$152,"&gt;="&amp;DATE(2024,5,1),'2024数据'!$AA$3:$AA$152,"&lt;="&amp;DATE(2024,5,31),'2024数据'!$B$3:$B$152,$E1823)</f>
        <v>1</v>
      </c>
      <c r="K1823" s="106">
        <f>COUNTIFS('2024数据'!$AA$3:$AA$152,"&gt;="&amp;DATE(2024,6,1),'2024数据'!$AA$3:$AA$152,"&lt;="&amp;DATE(2024,6,30),'2024数据'!$B$3:$B$152,$E1823)</f>
        <v>0</v>
      </c>
      <c r="L1823" s="106">
        <f>COUNTIFS('2024数据'!$AA$3:$AA$152,"&gt;="&amp;DATE(2024,7,1),'2024数据'!$AA$3:$AA$152,"&lt;="&amp;DATE(2024,7,31),'2024数据'!$B$3:$B$152,$E1823)</f>
        <v>0</v>
      </c>
      <c r="M1823" s="106">
        <f>COUNTIFS('2024数据'!$AA$3:$AA$152,"&gt;="&amp;DATE(2024,8,1),'2024数据'!$AA$3:$AA$152,"&lt;="&amp;DATE(2024,8,31),'2024数据'!$B$3:$B$152,$E1823)</f>
        <v>1</v>
      </c>
      <c r="N1823" s="106">
        <f>COUNTIFS('2024数据'!$AA$3:$AA$152,"&gt;="&amp;DATE(2024,9,1),'2024数据'!$AA$3:$AA$152,"&lt;="&amp;DATE(2024,9,30),'2024数据'!$B$3:$B$152,$E1823)</f>
        <v>2</v>
      </c>
      <c r="O1823" s="106">
        <f>COUNTIFS('2024数据'!$AA$3:$AA$152,"&gt;="&amp;DATE(2024,10,1),'2024数据'!$AA$3:$AA$152,"&lt;="&amp;DATE(2024,10,31),'2024数据'!$B$3:$B$152,$E1823)</f>
        <v>1</v>
      </c>
      <c r="P1823" s="106">
        <f>COUNTIFS('2024数据'!$AA$3:$AA$152,"&gt;="&amp;DATE(2024,11,1),'2024数据'!$AA$3:$AA$152,"&lt;="&amp;DATE(2024,11,30),'2024数据'!$B$3:$B$152,$E1823)</f>
        <v>0</v>
      </c>
      <c r="Q1823" s="106">
        <f>COUNTIFS('2024数据'!$AA$3:$AA$152,"&gt;="&amp;DATE(2024,12,1),'2024数据'!$AA$3:$AA$152,"&lt;="&amp;DATE(2024,12,31),'2024数据'!$B$3:$B$152,$E1823)</f>
        <v>0</v>
      </c>
    </row>
    <row r="1824" ht="24" customHeight="1" spans="1:17">
      <c r="A1824" s="99" t="s">
        <v>350</v>
      </c>
      <c r="B1824" s="99" t="s">
        <v>290</v>
      </c>
      <c r="C1824" s="99" t="s">
        <v>291</v>
      </c>
      <c r="D1824" s="47" t="s">
        <v>294</v>
      </c>
      <c r="E1824" s="47" t="s">
        <v>81</v>
      </c>
      <c r="F1824" s="106">
        <f>COUNTIFS('2024数据'!$AA$3:$AA$152,"&gt;="&amp;DATE(2023,1,1),'2024数据'!$AA$3:$AA$152,"&lt;="&amp;DATE(2024,1,31),'2024数据'!$B$3:$B$152,$E1824)</f>
        <v>0</v>
      </c>
      <c r="G1824" s="106">
        <f>COUNTIFS('2024数据'!$AA$3:$AA$152,"&gt;="&amp;DATE(2024,2,1),'2024数据'!$AA$3:$AA$152,"&lt;="&amp;DATE(2024,2,29),'2024数据'!$B$3:$B$152,$E1824)</f>
        <v>0</v>
      </c>
      <c r="H1824" s="106">
        <f>COUNTIFS('2024数据'!$AA$3:$AA$152,"&gt;="&amp;DATE(2024,3,1),'2024数据'!$AA$3:$AA$152,"&lt;="&amp;DATE(2024,3,31),'2024数据'!$B$3:$B$152,$E1824)</f>
        <v>0</v>
      </c>
      <c r="I1824" s="106">
        <f>COUNTIFS('2024数据'!$AA$3:$AA$152,"&gt;="&amp;DATE(2024,4,1),'2024数据'!$AA$3:$AA$152,"&lt;="&amp;DATE(2024,4,30),'2024数据'!$B$3:$B$152,$E1824)</f>
        <v>0</v>
      </c>
      <c r="J1824" s="106">
        <f>COUNTIFS('2024数据'!$AA$3:$AA$152,"&gt;="&amp;DATE(2024,5,1),'2024数据'!$AA$3:$AA$152,"&lt;="&amp;DATE(2024,5,31),'2024数据'!$B$3:$B$152,$E1824)</f>
        <v>0</v>
      </c>
      <c r="K1824" s="106">
        <f>COUNTIFS('2024数据'!$AA$3:$AA$152,"&gt;="&amp;DATE(2024,6,1),'2024数据'!$AA$3:$AA$152,"&lt;="&amp;DATE(2024,6,30),'2024数据'!$B$3:$B$152,$E1824)</f>
        <v>0</v>
      </c>
      <c r="L1824" s="106">
        <f>COUNTIFS('2024数据'!$AA$3:$AA$152,"&gt;="&amp;DATE(2024,7,1),'2024数据'!$AA$3:$AA$152,"&lt;="&amp;DATE(2024,7,31),'2024数据'!$B$3:$B$152,$E1824)</f>
        <v>0</v>
      </c>
      <c r="M1824" s="106">
        <f>COUNTIFS('2024数据'!$AA$3:$AA$152,"&gt;="&amp;DATE(2024,8,1),'2024数据'!$AA$3:$AA$152,"&lt;="&amp;DATE(2024,8,31),'2024数据'!$B$3:$B$152,$E1824)</f>
        <v>0</v>
      </c>
      <c r="N1824" s="106">
        <f>COUNTIFS('2024数据'!$AA$3:$AA$152,"&gt;="&amp;DATE(2024,9,1),'2024数据'!$AA$3:$AA$152,"&lt;="&amp;DATE(2024,9,30),'2024数据'!$B$3:$B$152,$E1824)</f>
        <v>0</v>
      </c>
      <c r="O1824" s="106">
        <f>COUNTIFS('2024数据'!$AA$3:$AA$152,"&gt;="&amp;DATE(2024,10,1),'2024数据'!$AA$3:$AA$152,"&lt;="&amp;DATE(2024,10,31),'2024数据'!$B$3:$B$152,$E1824)</f>
        <v>0</v>
      </c>
      <c r="P1824" s="106">
        <f>COUNTIFS('2024数据'!$AA$3:$AA$152,"&gt;="&amp;DATE(2024,11,1),'2024数据'!$AA$3:$AA$152,"&lt;="&amp;DATE(2024,11,30),'2024数据'!$B$3:$B$152,$E1824)</f>
        <v>0</v>
      </c>
      <c r="Q1824" s="106">
        <f>COUNTIFS('2024数据'!$AA$3:$AA$152,"&gt;="&amp;DATE(2024,12,1),'2024数据'!$AA$3:$AA$152,"&lt;="&amp;DATE(2024,12,31),'2024数据'!$B$3:$B$152,$E1824)</f>
        <v>2</v>
      </c>
    </row>
    <row r="1825" ht="24" customHeight="1" spans="1:17">
      <c r="A1825" s="99" t="s">
        <v>350</v>
      </c>
      <c r="B1825" s="99" t="s">
        <v>290</v>
      </c>
      <c r="C1825" s="99" t="s">
        <v>291</v>
      </c>
      <c r="D1825" s="47" t="s">
        <v>294</v>
      </c>
      <c r="E1825" s="47" t="s">
        <v>96</v>
      </c>
      <c r="F1825" s="106">
        <f>COUNTIFS('2024数据'!$AA$3:$AA$152,"&gt;="&amp;DATE(2023,1,1),'2024数据'!$AA$3:$AA$152,"&lt;="&amp;DATE(2024,1,31),'2024数据'!$B$3:$B$152,$E1825)</f>
        <v>0</v>
      </c>
      <c r="G1825" s="106">
        <f>COUNTIFS('2024数据'!$AA$3:$AA$152,"&gt;="&amp;DATE(2024,2,1),'2024数据'!$AA$3:$AA$152,"&lt;="&amp;DATE(2024,2,29),'2024数据'!$B$3:$B$152,$E1825)</f>
        <v>0</v>
      </c>
      <c r="H1825" s="106">
        <f>COUNTIFS('2024数据'!$AA$3:$AA$152,"&gt;="&amp;DATE(2024,3,1),'2024数据'!$AA$3:$AA$152,"&lt;="&amp;DATE(2024,3,31),'2024数据'!$B$3:$B$152,$E1825)</f>
        <v>0</v>
      </c>
      <c r="I1825" s="106">
        <f>COUNTIFS('2024数据'!$AA$3:$AA$152,"&gt;="&amp;DATE(2024,4,1),'2024数据'!$AA$3:$AA$152,"&lt;="&amp;DATE(2024,4,30),'2024数据'!$B$3:$B$152,$E1825)</f>
        <v>0</v>
      </c>
      <c r="J1825" s="106">
        <f>COUNTIFS('2024数据'!$AA$3:$AA$152,"&gt;="&amp;DATE(2024,5,1),'2024数据'!$AA$3:$AA$152,"&lt;="&amp;DATE(2024,5,31),'2024数据'!$B$3:$B$152,$E1825)</f>
        <v>0</v>
      </c>
      <c r="K1825" s="106">
        <f>COUNTIFS('2024数据'!$AA$3:$AA$152,"&gt;="&amp;DATE(2024,6,1),'2024数据'!$AA$3:$AA$152,"&lt;="&amp;DATE(2024,6,30),'2024数据'!$B$3:$B$152,$E1825)</f>
        <v>0</v>
      </c>
      <c r="L1825" s="106">
        <f>COUNTIFS('2024数据'!$AA$3:$AA$152,"&gt;="&amp;DATE(2024,7,1),'2024数据'!$AA$3:$AA$152,"&lt;="&amp;DATE(2024,7,31),'2024数据'!$B$3:$B$152,$E1825)</f>
        <v>0</v>
      </c>
      <c r="M1825" s="106">
        <f>COUNTIFS('2024数据'!$AA$3:$AA$152,"&gt;="&amp;DATE(2024,8,1),'2024数据'!$AA$3:$AA$152,"&lt;="&amp;DATE(2024,8,31),'2024数据'!$B$3:$B$152,$E1825)</f>
        <v>1</v>
      </c>
      <c r="N1825" s="106">
        <f>COUNTIFS('2024数据'!$AA$3:$AA$152,"&gt;="&amp;DATE(2024,9,1),'2024数据'!$AA$3:$AA$152,"&lt;="&amp;DATE(2024,9,30),'2024数据'!$B$3:$B$152,$E1825)</f>
        <v>0</v>
      </c>
      <c r="O1825" s="106">
        <f>COUNTIFS('2024数据'!$AA$3:$AA$152,"&gt;="&amp;DATE(2024,10,1),'2024数据'!$AA$3:$AA$152,"&lt;="&amp;DATE(2024,10,31),'2024数据'!$B$3:$B$152,$E1825)</f>
        <v>0</v>
      </c>
      <c r="P1825" s="106">
        <f>COUNTIFS('2024数据'!$AA$3:$AA$152,"&gt;="&amp;DATE(2024,11,1),'2024数据'!$AA$3:$AA$152,"&lt;="&amp;DATE(2024,11,30),'2024数据'!$B$3:$B$152,$E1825)</f>
        <v>0</v>
      </c>
      <c r="Q1825" s="106">
        <f>COUNTIFS('2024数据'!$AA$3:$AA$152,"&gt;="&amp;DATE(2024,12,1),'2024数据'!$AA$3:$AA$152,"&lt;="&amp;DATE(2024,12,31),'2024数据'!$B$3:$B$152,$E1825)</f>
        <v>0</v>
      </c>
    </row>
    <row r="1826" ht="24" customHeight="1" spans="1:17">
      <c r="A1826" s="99" t="s">
        <v>350</v>
      </c>
      <c r="B1826" s="99" t="s">
        <v>290</v>
      </c>
      <c r="C1826" s="99" t="s">
        <v>291</v>
      </c>
      <c r="D1826" s="47" t="s">
        <v>294</v>
      </c>
      <c r="E1826" s="47" t="s">
        <v>160</v>
      </c>
      <c r="F1826" s="106">
        <f t="shared" ref="F1826:Q1826" si="1339">SUM(F1816:F1821)-SUM(F1822:F1825)</f>
        <v>0</v>
      </c>
      <c r="G1826" s="106">
        <f t="shared" si="1339"/>
        <v>0</v>
      </c>
      <c r="H1826" s="106">
        <f t="shared" si="1339"/>
        <v>0</v>
      </c>
      <c r="I1826" s="106">
        <f t="shared" si="1339"/>
        <v>0</v>
      </c>
      <c r="J1826" s="106">
        <f t="shared" si="1339"/>
        <v>0</v>
      </c>
      <c r="K1826" s="106">
        <f t="shared" si="1339"/>
        <v>0</v>
      </c>
      <c r="L1826" s="106">
        <f t="shared" si="1339"/>
        <v>0</v>
      </c>
      <c r="M1826" s="106">
        <f t="shared" si="1339"/>
        <v>0</v>
      </c>
      <c r="N1826" s="106">
        <f t="shared" si="1339"/>
        <v>0</v>
      </c>
      <c r="O1826" s="106">
        <f t="shared" si="1339"/>
        <v>0</v>
      </c>
      <c r="P1826" s="106">
        <f t="shared" si="1339"/>
        <v>0</v>
      </c>
      <c r="Q1826" s="106">
        <f t="shared" si="1339"/>
        <v>0</v>
      </c>
    </row>
    <row r="1827" ht="24" customHeight="1" spans="1:17">
      <c r="A1827" s="99" t="s">
        <v>350</v>
      </c>
      <c r="B1827" s="99" t="s">
        <v>290</v>
      </c>
      <c r="C1827" s="99" t="s">
        <v>291</v>
      </c>
      <c r="D1827" s="100" t="s">
        <v>292</v>
      </c>
      <c r="E1827" s="100" t="s">
        <v>295</v>
      </c>
      <c r="F1827" s="104">
        <f t="shared" ref="F1827:Q1827" si="1340">SUM(F1828:F1830)</f>
        <v>2</v>
      </c>
      <c r="G1827" s="104">
        <f t="shared" si="1340"/>
        <v>2</v>
      </c>
      <c r="H1827" s="104">
        <f t="shared" si="1340"/>
        <v>2</v>
      </c>
      <c r="I1827" s="104">
        <f t="shared" si="1340"/>
        <v>1</v>
      </c>
      <c r="J1827" s="104">
        <f t="shared" si="1340"/>
        <v>0</v>
      </c>
      <c r="K1827" s="104">
        <f t="shared" si="1340"/>
        <v>0</v>
      </c>
      <c r="L1827" s="104">
        <f t="shared" si="1340"/>
        <v>0</v>
      </c>
      <c r="M1827" s="104">
        <f t="shared" si="1340"/>
        <v>2</v>
      </c>
      <c r="N1827" s="104">
        <f t="shared" si="1340"/>
        <v>1</v>
      </c>
      <c r="O1827" s="104">
        <f t="shared" si="1340"/>
        <v>1</v>
      </c>
      <c r="P1827" s="104">
        <f t="shared" si="1340"/>
        <v>1</v>
      </c>
      <c r="Q1827" s="104">
        <f t="shared" si="1340"/>
        <v>2</v>
      </c>
    </row>
    <row r="1828" ht="24" customHeight="1" spans="1:17">
      <c r="A1828" s="99" t="s">
        <v>350</v>
      </c>
      <c r="B1828" s="99" t="s">
        <v>290</v>
      </c>
      <c r="C1828" s="99" t="s">
        <v>291</v>
      </c>
      <c r="D1828" s="48" t="s">
        <v>296</v>
      </c>
      <c r="E1828" s="48" t="s">
        <v>406</v>
      </c>
      <c r="F1828" s="105">
        <f>COUNTIFS('2024数据'!$AA$3:$AA$152,"&gt;="&amp;DATE(2023,1,1),'2024数据'!$AA$3:$AA$152,"&lt;="&amp;DATE(2024,1,31),'2024数据'!$AF$3:$AF$152,$E1828)</f>
        <v>0</v>
      </c>
      <c r="G1828" s="105">
        <f>COUNTIFS('2024数据'!$AA$3:$AA$152,"&gt;="&amp;DATE(2024,2,1),'2024数据'!$AA$3:$AA$152,"&lt;="&amp;DATE(2024,2,29),'2024数据'!$AF$3:$AF$152,$E1828)</f>
        <v>1</v>
      </c>
      <c r="H1828" s="105">
        <f>COUNTIFS('2024数据'!$AA$3:$AA$152,"&gt;="&amp;DATE(2024,3,1),'2024数据'!$AA$3:$AA$152,"&lt;="&amp;DATE(2024,3,31),'2024数据'!$AF$3:$AF$152,$E1828)</f>
        <v>1</v>
      </c>
      <c r="I1828" s="105">
        <f>COUNTIFS('2024数据'!$AA$3:$AA$152,"&gt;="&amp;DATE(2024,4,1),'2024数据'!$AA$3:$AA$152,"&lt;="&amp;DATE(2024,4,30),'2024数据'!$AF$3:$AF$152,$E1828)</f>
        <v>1</v>
      </c>
      <c r="J1828" s="105">
        <f>COUNTIFS('2024数据'!$AA$3:$AA$152,"&gt;="&amp;DATE(2024,5,1),'2024数据'!$AA$3:$AA$152,"&lt;="&amp;DATE(2024,5,31),'2024数据'!$AF$3:$AF$152,$E1828)</f>
        <v>0</v>
      </c>
      <c r="K1828" s="105">
        <f>COUNTIFS('2024数据'!$AA$3:$AA$152,"&gt;="&amp;DATE(2024,6,1),'2024数据'!$AA$3:$AA$152,"&lt;="&amp;DATE(2024,6,30),'2024数据'!$AF$3:$AF$152,$E1828)</f>
        <v>0</v>
      </c>
      <c r="L1828" s="105">
        <f>COUNTIFS('2024数据'!$AA$3:$AA$152,"&gt;="&amp;DATE(2024,7,1),'2024数据'!$AA$3:$AA$152,"&lt;="&amp;DATE(2024,7,31),'2024数据'!$AF$3:$AF$152,$E1828)</f>
        <v>0</v>
      </c>
      <c r="M1828" s="105">
        <f>COUNTIFS('2024数据'!$AA$3:$AA$152,"&gt;="&amp;DATE(2024,8,1),'2024数据'!$AA$3:$AA$152,"&lt;="&amp;DATE(2024,8,31),'2024数据'!$AF$3:$AF$152,$E1828)</f>
        <v>1</v>
      </c>
      <c r="N1828" s="105">
        <f>COUNTIFS('2024数据'!$AA$3:$AA$152,"&gt;="&amp;DATE(2024,9,1),'2024数据'!$AA$3:$AA$152,"&lt;="&amp;DATE(2024,9,30),'2024数据'!$AF$3:$AF$152,$E1828)</f>
        <v>0</v>
      </c>
      <c r="O1828" s="105">
        <f>COUNTIFS('2024数据'!$AA$3:$AA$152,"&gt;="&amp;DATE(2024,10,1),'2024数据'!$AA$3:$AA$152,"&lt;="&amp;DATE(2024,10,31),'2024数据'!$AF$3:$AF$152,$E1828)</f>
        <v>1</v>
      </c>
      <c r="P1828" s="105">
        <f>COUNTIFS('2024数据'!$AA$3:$AA$152,"&gt;="&amp;DATE(2024,11,1),'2024数据'!$AA$3:$AA$152,"&lt;="&amp;DATE(2024,11,30),'2024数据'!$AF$3:$AF$152,$E1828)</f>
        <v>1</v>
      </c>
      <c r="Q1828" s="105">
        <f>COUNTIFS('2024数据'!$AA$3:$AA$152,"&gt;="&amp;DATE(2024,12,1),'2024数据'!$AA$3:$AA$152,"&lt;="&amp;DATE(2024,12,31),'2024数据'!$AF$3:$AF$152,$E1828)</f>
        <v>2</v>
      </c>
    </row>
    <row r="1829" ht="24" customHeight="1" spans="1:17">
      <c r="A1829" s="99" t="s">
        <v>350</v>
      </c>
      <c r="B1829" s="99" t="s">
        <v>290</v>
      </c>
      <c r="C1829" s="99" t="s">
        <v>291</v>
      </c>
      <c r="D1829" s="48" t="s">
        <v>296</v>
      </c>
      <c r="E1829" s="48" t="s">
        <v>82</v>
      </c>
      <c r="F1829" s="105">
        <f>COUNTIFS('2024数据'!$AA$3:$AA$152,"&gt;="&amp;DATE(2023,1,1),'2024数据'!$AA$3:$AA$152,"&lt;="&amp;DATE(2024,1,31),'2024数据'!$AF$3:$AF$152,$E1829)</f>
        <v>2</v>
      </c>
      <c r="G1829" s="105">
        <f>COUNTIFS('2024数据'!$AA$3:$AA$152,"&gt;="&amp;DATE(2024,2,1),'2024数据'!$AA$3:$AA$152,"&lt;="&amp;DATE(2024,2,29),'2024数据'!$AF$3:$AF$152,$E1829)</f>
        <v>0</v>
      </c>
      <c r="H1829" s="105">
        <f>COUNTIFS('2024数据'!$AA$3:$AA$152,"&gt;="&amp;DATE(2024,3,1),'2024数据'!$AA$3:$AA$152,"&lt;="&amp;DATE(2024,3,31),'2024数据'!$AF$3:$AF$152,$E1829)</f>
        <v>1</v>
      </c>
      <c r="I1829" s="105">
        <f>COUNTIFS('2024数据'!$AA$3:$AA$152,"&gt;="&amp;DATE(2024,4,1),'2024数据'!$AA$3:$AA$152,"&lt;="&amp;DATE(2024,4,30),'2024数据'!$AF$3:$AF$152,$E1829)</f>
        <v>0</v>
      </c>
      <c r="J1829" s="105">
        <f>COUNTIFS('2024数据'!$AA$3:$AA$152,"&gt;="&amp;DATE(2024,5,1),'2024数据'!$AA$3:$AA$152,"&lt;="&amp;DATE(2024,5,31),'2024数据'!$AF$3:$AF$152,$E1829)</f>
        <v>0</v>
      </c>
      <c r="K1829" s="105">
        <f>COUNTIFS('2024数据'!$AA$3:$AA$152,"&gt;="&amp;DATE(2024,6,1),'2024数据'!$AA$3:$AA$152,"&lt;="&amp;DATE(2024,6,30),'2024数据'!$AF$3:$AF$152,$E1829)</f>
        <v>0</v>
      </c>
      <c r="L1829" s="105">
        <f>COUNTIFS('2024数据'!$AA$3:$AA$152,"&gt;="&amp;DATE(2024,7,1),'2024数据'!$AA$3:$AA$152,"&lt;="&amp;DATE(2024,7,31),'2024数据'!$AF$3:$AF$152,$E1829)</f>
        <v>0</v>
      </c>
      <c r="M1829" s="105">
        <f>COUNTIFS('2024数据'!$AA$3:$AA$152,"&gt;="&amp;DATE(2024,8,1),'2024数据'!$AA$3:$AA$152,"&lt;="&amp;DATE(2024,8,31),'2024数据'!$AF$3:$AF$152,$E1829)</f>
        <v>1</v>
      </c>
      <c r="N1829" s="105">
        <f>COUNTIFS('2024数据'!$AA$3:$AA$152,"&gt;="&amp;DATE(2024,9,1),'2024数据'!$AA$3:$AA$152,"&lt;="&amp;DATE(2024,9,30),'2024数据'!$AF$3:$AF$152,$E1829)</f>
        <v>1</v>
      </c>
      <c r="O1829" s="105">
        <f>COUNTIFS('2024数据'!$AA$3:$AA$152,"&gt;="&amp;DATE(2024,10,1),'2024数据'!$AA$3:$AA$152,"&lt;="&amp;DATE(2024,10,31),'2024数据'!$AF$3:$AF$152,$E1829)</f>
        <v>0</v>
      </c>
      <c r="P1829" s="105">
        <f>COUNTIFS('2024数据'!$AA$3:$AA$152,"&gt;="&amp;DATE(2024,11,1),'2024数据'!$AA$3:$AA$152,"&lt;="&amp;DATE(2024,11,30),'2024数据'!$AF$3:$AF$152,$E1829)</f>
        <v>0</v>
      </c>
      <c r="Q1829" s="105">
        <f>COUNTIFS('2024数据'!$AA$3:$AA$152,"&gt;="&amp;DATE(2024,12,1),'2024数据'!$AA$3:$AA$152,"&lt;="&amp;DATE(2024,12,31),'2024数据'!$AF$3:$AF$152,$E1829)</f>
        <v>0</v>
      </c>
    </row>
    <row r="1830" ht="24" customHeight="1" spans="1:17">
      <c r="A1830" s="99" t="s">
        <v>350</v>
      </c>
      <c r="B1830" s="99" t="s">
        <v>290</v>
      </c>
      <c r="C1830" s="99" t="s">
        <v>291</v>
      </c>
      <c r="D1830" s="48" t="s">
        <v>296</v>
      </c>
      <c r="E1830" s="48" t="s">
        <v>86</v>
      </c>
      <c r="F1830" s="105">
        <f>COUNTIFS('2024数据'!$AA$3:$AA$152,"&gt;="&amp;DATE(2023,1,1),'2024数据'!$AA$3:$AA$152,"&lt;="&amp;DATE(2024,1,31),'2024数据'!$AF$3:$AF$152,$E1830)</f>
        <v>0</v>
      </c>
      <c r="G1830" s="105">
        <f>COUNTIFS('2024数据'!$AA$3:$AA$152,"&gt;="&amp;DATE(2024,2,1),'2024数据'!$AA$3:$AA$152,"&lt;="&amp;DATE(2024,2,29),'2024数据'!$AF$3:$AF$152,$E1830)</f>
        <v>1</v>
      </c>
      <c r="H1830" s="105">
        <f>COUNTIFS('2024数据'!$AA$3:$AA$152,"&gt;="&amp;DATE(2024,3,1),'2024数据'!$AA$3:$AA$152,"&lt;="&amp;DATE(2024,3,31),'2024数据'!$AF$3:$AF$152,$E1830)</f>
        <v>0</v>
      </c>
      <c r="I1830" s="105">
        <f>COUNTIFS('2024数据'!$AA$3:$AA$152,"&gt;="&amp;DATE(2024,4,1),'2024数据'!$AA$3:$AA$152,"&lt;="&amp;DATE(2024,4,30),'2024数据'!$AF$3:$AF$152,$E1830)</f>
        <v>0</v>
      </c>
      <c r="J1830" s="105">
        <f>COUNTIFS('2024数据'!$AA$3:$AA$152,"&gt;="&amp;DATE(2024,5,1),'2024数据'!$AA$3:$AA$152,"&lt;="&amp;DATE(2024,5,31),'2024数据'!$AF$3:$AF$152,$E1830)</f>
        <v>0</v>
      </c>
      <c r="K1830" s="105">
        <f>COUNTIFS('2024数据'!$AA$3:$AA$152,"&gt;="&amp;DATE(2024,6,1),'2024数据'!$AA$3:$AA$152,"&lt;="&amp;DATE(2024,6,30),'2024数据'!$AF$3:$AF$152,$E1830)</f>
        <v>0</v>
      </c>
      <c r="L1830" s="105">
        <f>COUNTIFS('2024数据'!$AA$3:$AA$152,"&gt;="&amp;DATE(2024,7,1),'2024数据'!$AA$3:$AA$152,"&lt;="&amp;DATE(2024,7,31),'2024数据'!$AF$3:$AF$152,$E1830)</f>
        <v>0</v>
      </c>
      <c r="M1830" s="105">
        <f>COUNTIFS('2024数据'!$AA$3:$AA$152,"&gt;="&amp;DATE(2024,8,1),'2024数据'!$AA$3:$AA$152,"&lt;="&amp;DATE(2024,8,31),'2024数据'!$AF$3:$AF$152,$E1830)</f>
        <v>0</v>
      </c>
      <c r="N1830" s="105">
        <f>COUNTIFS('2024数据'!$AA$3:$AA$152,"&gt;="&amp;DATE(2024,9,1),'2024数据'!$AA$3:$AA$152,"&lt;="&amp;DATE(2024,9,30),'2024数据'!$AF$3:$AF$152,$E1830)</f>
        <v>0</v>
      </c>
      <c r="O1830" s="105">
        <f>COUNTIFS('2024数据'!$AA$3:$AA$152,"&gt;="&amp;DATE(2024,10,1),'2024数据'!$AA$3:$AA$152,"&lt;="&amp;DATE(2024,10,31),'2024数据'!$AF$3:$AF$152,$E1830)</f>
        <v>0</v>
      </c>
      <c r="P1830" s="105">
        <f>COUNTIFS('2024数据'!$AA$3:$AA$152,"&gt;="&amp;DATE(2024,11,1),'2024数据'!$AA$3:$AA$152,"&lt;="&amp;DATE(2024,11,30),'2024数据'!$AF$3:$AF$152,$E1830)</f>
        <v>0</v>
      </c>
      <c r="Q1830" s="105">
        <f>COUNTIFS('2024数据'!$AA$3:$AA$152,"&gt;="&amp;DATE(2024,12,1),'2024数据'!$AA$3:$AA$152,"&lt;="&amp;DATE(2024,12,31),'2024数据'!$AF$3:$AF$152,$E1830)</f>
        <v>0</v>
      </c>
    </row>
    <row r="1831" ht="24" customHeight="1" spans="1:17">
      <c r="A1831" s="99" t="s">
        <v>350</v>
      </c>
      <c r="B1831" s="99" t="s">
        <v>290</v>
      </c>
      <c r="C1831" s="99" t="s">
        <v>291</v>
      </c>
      <c r="D1831" s="100" t="s">
        <v>292</v>
      </c>
      <c r="E1831" s="100" t="s">
        <v>297</v>
      </c>
      <c r="F1831" s="104">
        <f t="shared" ref="F1831:Q1831" si="1341">SUM(F1832:F1834)</f>
        <v>1</v>
      </c>
      <c r="G1831" s="104">
        <f t="shared" si="1341"/>
        <v>0</v>
      </c>
      <c r="H1831" s="104">
        <f t="shared" si="1341"/>
        <v>2</v>
      </c>
      <c r="I1831" s="104">
        <f t="shared" si="1341"/>
        <v>3</v>
      </c>
      <c r="J1831" s="104">
        <f t="shared" si="1341"/>
        <v>1</v>
      </c>
      <c r="K1831" s="104">
        <f t="shared" si="1341"/>
        <v>0</v>
      </c>
      <c r="L1831" s="104">
        <f t="shared" si="1341"/>
        <v>1</v>
      </c>
      <c r="M1831" s="104">
        <f t="shared" si="1341"/>
        <v>2</v>
      </c>
      <c r="N1831" s="104">
        <f t="shared" si="1341"/>
        <v>1</v>
      </c>
      <c r="O1831" s="104">
        <f t="shared" si="1341"/>
        <v>2</v>
      </c>
      <c r="P1831" s="104">
        <f t="shared" si="1341"/>
        <v>3</v>
      </c>
      <c r="Q1831" s="104">
        <f t="shared" si="1341"/>
        <v>2</v>
      </c>
    </row>
    <row r="1832" ht="24" customHeight="1" spans="1:17">
      <c r="A1832" s="99" t="s">
        <v>350</v>
      </c>
      <c r="B1832" s="99" t="s">
        <v>290</v>
      </c>
      <c r="C1832" s="99" t="s">
        <v>291</v>
      </c>
      <c r="D1832" s="48" t="s">
        <v>298</v>
      </c>
      <c r="E1832" s="48" t="s">
        <v>97</v>
      </c>
      <c r="F1832" s="105">
        <f>COUNTIFS('2024数据'!$AA$3:$AA$152,"&gt;="&amp;DATE(2023,1,1),'2024数据'!$AA$3:$AA$152,"&lt;="&amp;DATE(2024,1,31),'2024数据'!$AG$3:$AG$152,$E1832)</f>
        <v>0</v>
      </c>
      <c r="G1832" s="105">
        <f>COUNTIFS('2024数据'!$AA$3:$AA$152,"&gt;="&amp;DATE(2024,2,1),'2024数据'!$AA$3:$AA$152,"&lt;="&amp;DATE(2024,2,29),'2024数据'!$AG$3:$AG$152,$E1832)</f>
        <v>0</v>
      </c>
      <c r="H1832" s="105">
        <f>COUNTIFS('2024数据'!$AA$3:$AA$152,"&gt;="&amp;DATE(2024,3,1),'2024数据'!$AA$3:$AA$152,"&lt;="&amp;DATE(2024,3,31),'2024数据'!$AG$3:$AG$152,$E1832)</f>
        <v>2</v>
      </c>
      <c r="I1832" s="105">
        <f>COUNTIFS('2024数据'!$AA$3:$AA$152,"&gt;="&amp;DATE(2024,4,1),'2024数据'!$AA$3:$AA$152,"&lt;="&amp;DATE(2024,4,30),'2024数据'!$AG$3:$AG$152,$E1832)</f>
        <v>1</v>
      </c>
      <c r="J1832" s="105">
        <f>COUNTIFS('2024数据'!$AA$3:$AA$152,"&gt;="&amp;DATE(2024,5,1),'2024数据'!$AA$3:$AA$152,"&lt;="&amp;DATE(2024,5,31),'2024数据'!$AG$3:$AG$152,$E1832)</f>
        <v>1</v>
      </c>
      <c r="K1832" s="105">
        <f>COUNTIFS('2024数据'!$AA$3:$AA$152,"&gt;="&amp;DATE(2024,6,1),'2024数据'!$AA$3:$AA$152,"&lt;="&amp;DATE(2024,6,30),'2024数据'!$AG$3:$AG$152,$E1832)</f>
        <v>0</v>
      </c>
      <c r="L1832" s="105">
        <f>COUNTIFS('2024数据'!$AA$3:$AA$152,"&gt;="&amp;DATE(2024,7,1),'2024数据'!$AA$3:$AA$152,"&lt;="&amp;DATE(2024,7,31),'2024数据'!$AG$3:$AG$152,$E1832)</f>
        <v>1</v>
      </c>
      <c r="M1832" s="105">
        <f>COUNTIFS('2024数据'!$AA$3:$AA$152,"&gt;="&amp;DATE(2024,8,1),'2024数据'!$AA$3:$AA$152,"&lt;="&amp;DATE(2024,8,31),'2024数据'!$AG$3:$AG$152,$E1832)</f>
        <v>1</v>
      </c>
      <c r="N1832" s="105">
        <f>COUNTIFS('2024数据'!$AA$3:$AA$152,"&gt;="&amp;DATE(2024,9,1),'2024数据'!$AA$3:$AA$152,"&lt;="&amp;DATE(2024,9,30),'2024数据'!$AG$3:$AG$152,$E1832)</f>
        <v>1</v>
      </c>
      <c r="O1832" s="105">
        <f>COUNTIFS('2024数据'!$AA$3:$AA$152,"&gt;="&amp;DATE(2024,10,1),'2024数据'!$AA$3:$AA$152,"&lt;="&amp;DATE(2024,10,31),'2024数据'!$AG$3:$AG$152,$E1832)</f>
        <v>1</v>
      </c>
      <c r="P1832" s="105">
        <f>COUNTIFS('2024数据'!$AA$3:$AA$152,"&gt;="&amp;DATE(2024,11,1),'2024数据'!$AA$3:$AA$152,"&lt;="&amp;DATE(2024,11,30),'2024数据'!$AG$3:$AG$152,$E1832)</f>
        <v>2</v>
      </c>
      <c r="Q1832" s="105">
        <f>COUNTIFS('2024数据'!$AA$3:$AA$152,"&gt;="&amp;DATE(2024,12,1),'2024数据'!$AA$3:$AA$152,"&lt;="&amp;DATE(2024,12,31),'2024数据'!$AG$3:$AG$152,$E1832)</f>
        <v>0</v>
      </c>
    </row>
    <row r="1833" ht="24" customHeight="1" spans="1:17">
      <c r="A1833" s="99" t="s">
        <v>350</v>
      </c>
      <c r="B1833" s="99" t="s">
        <v>290</v>
      </c>
      <c r="C1833" s="99" t="s">
        <v>291</v>
      </c>
      <c r="D1833" s="48" t="s">
        <v>298</v>
      </c>
      <c r="E1833" s="48" t="s">
        <v>87</v>
      </c>
      <c r="F1833" s="105">
        <f>COUNTIFS('2024数据'!$AA$3:$AA$152,"&gt;="&amp;DATE(2023,1,1),'2024数据'!$AA$3:$AA$152,"&lt;="&amp;DATE(2024,1,31),'2024数据'!$AG$3:$AG$152,$E1833)</f>
        <v>1</v>
      </c>
      <c r="G1833" s="105">
        <f>COUNTIFS('2024数据'!$AA$3:$AA$152,"&gt;="&amp;DATE(2024,2,1),'2024数据'!$AA$3:$AA$152,"&lt;="&amp;DATE(2024,2,29),'2024数据'!$AG$3:$AG$152,$E1833)</f>
        <v>0</v>
      </c>
      <c r="H1833" s="105">
        <f>COUNTIFS('2024数据'!$AA$3:$AA$152,"&gt;="&amp;DATE(2024,3,1),'2024数据'!$AA$3:$AA$152,"&lt;="&amp;DATE(2024,3,31),'2024数据'!$AG$3:$AG$152,$E1833)</f>
        <v>0</v>
      </c>
      <c r="I1833" s="105">
        <f>COUNTIFS('2024数据'!$AA$3:$AA$152,"&gt;="&amp;DATE(2024,4,1),'2024数据'!$AA$3:$AA$152,"&lt;="&amp;DATE(2024,4,30),'2024数据'!$AG$3:$AG$152,$E1833)</f>
        <v>2</v>
      </c>
      <c r="J1833" s="105">
        <f>COUNTIFS('2024数据'!$AA$3:$AA$152,"&gt;="&amp;DATE(2024,5,1),'2024数据'!$AA$3:$AA$152,"&lt;="&amp;DATE(2024,5,31),'2024数据'!$AG$3:$AG$152,$E1833)</f>
        <v>0</v>
      </c>
      <c r="K1833" s="105">
        <f>COUNTIFS('2024数据'!$AA$3:$AA$152,"&gt;="&amp;DATE(2024,6,1),'2024数据'!$AA$3:$AA$152,"&lt;="&amp;DATE(2024,6,30),'2024数据'!$AG$3:$AG$152,$E1833)</f>
        <v>0</v>
      </c>
      <c r="L1833" s="105">
        <f>COUNTIFS('2024数据'!$AA$3:$AA$152,"&gt;="&amp;DATE(2024,7,1),'2024数据'!$AA$3:$AA$152,"&lt;="&amp;DATE(2024,7,31),'2024数据'!$AG$3:$AG$152,$E1833)</f>
        <v>0</v>
      </c>
      <c r="M1833" s="105">
        <f>COUNTIFS('2024数据'!$AA$3:$AA$152,"&gt;="&amp;DATE(2024,8,1),'2024数据'!$AA$3:$AA$152,"&lt;="&amp;DATE(2024,8,31),'2024数据'!$AG$3:$AG$152,$E1833)</f>
        <v>1</v>
      </c>
      <c r="N1833" s="105">
        <f>COUNTIFS('2024数据'!$AA$3:$AA$152,"&gt;="&amp;DATE(2024,9,1),'2024数据'!$AA$3:$AA$152,"&lt;="&amp;DATE(2024,9,30),'2024数据'!$AG$3:$AG$152,$E1833)</f>
        <v>0</v>
      </c>
      <c r="O1833" s="105">
        <f>COUNTIFS('2024数据'!$AA$3:$AA$152,"&gt;="&amp;DATE(2024,10,1),'2024数据'!$AA$3:$AA$152,"&lt;="&amp;DATE(2024,10,31),'2024数据'!$AG$3:$AG$152,$E1833)</f>
        <v>1</v>
      </c>
      <c r="P1833" s="105">
        <f>COUNTIFS('2024数据'!$AA$3:$AA$152,"&gt;="&amp;DATE(2024,11,1),'2024数据'!$AA$3:$AA$152,"&lt;="&amp;DATE(2024,11,30),'2024数据'!$AG$3:$AG$152,$E1833)</f>
        <v>1</v>
      </c>
      <c r="Q1833" s="105">
        <f>COUNTIFS('2024数据'!$AA$3:$AA$152,"&gt;="&amp;DATE(2024,12,1),'2024数据'!$AA$3:$AA$152,"&lt;="&amp;DATE(2024,12,31),'2024数据'!$AG$3:$AG$152,$E1833)</f>
        <v>2</v>
      </c>
    </row>
    <row r="1834" ht="24" customHeight="1" spans="1:17">
      <c r="A1834" s="99" t="s">
        <v>350</v>
      </c>
      <c r="B1834" s="99" t="s">
        <v>290</v>
      </c>
      <c r="C1834" s="99" t="s">
        <v>291</v>
      </c>
      <c r="D1834" s="48" t="s">
        <v>298</v>
      </c>
      <c r="E1834" s="48" t="s">
        <v>83</v>
      </c>
      <c r="F1834" s="105">
        <f>COUNTIFS('2024数据'!$AA$3:$AA$152,"&gt;="&amp;DATE(2023,1,1),'2024数据'!$AA$3:$AA$152,"&lt;="&amp;DATE(2024,1,31),'2024数据'!$AG$3:$AG$152,$E1834)</f>
        <v>0</v>
      </c>
      <c r="G1834" s="105">
        <f>COUNTIFS('2024数据'!$AA$3:$AA$152,"&gt;="&amp;DATE(2024,2,1),'2024数据'!$AA$3:$AA$152,"&lt;="&amp;DATE(2024,2,29),'2024数据'!$AG$3:$AG$152,$E1834)</f>
        <v>0</v>
      </c>
      <c r="H1834" s="105">
        <f>COUNTIFS('2024数据'!$AA$3:$AA$152,"&gt;="&amp;DATE(2024,3,1),'2024数据'!$AA$3:$AA$152,"&lt;="&amp;DATE(2024,3,31),'2024数据'!$AG$3:$AG$152,$E1834)</f>
        <v>0</v>
      </c>
      <c r="I1834" s="105">
        <f>COUNTIFS('2024数据'!$AA$3:$AA$152,"&gt;="&amp;DATE(2024,4,1),'2024数据'!$AA$3:$AA$152,"&lt;="&amp;DATE(2024,4,30),'2024数据'!$AG$3:$AG$152,$E1834)</f>
        <v>0</v>
      </c>
      <c r="J1834" s="105">
        <f>COUNTIFS('2024数据'!$AA$3:$AA$152,"&gt;="&amp;DATE(2024,5,1),'2024数据'!$AA$3:$AA$152,"&lt;="&amp;DATE(2024,5,31),'2024数据'!$AG$3:$AG$152,$E1834)</f>
        <v>0</v>
      </c>
      <c r="K1834" s="105">
        <f>COUNTIFS('2024数据'!$AA$3:$AA$152,"&gt;="&amp;DATE(2024,6,1),'2024数据'!$AA$3:$AA$152,"&lt;="&amp;DATE(2024,6,30),'2024数据'!$AG$3:$AG$152,$E1834)</f>
        <v>0</v>
      </c>
      <c r="L1834" s="105">
        <f>COUNTIFS('2024数据'!$AA$3:$AA$152,"&gt;="&amp;DATE(2024,7,1),'2024数据'!$AA$3:$AA$152,"&lt;="&amp;DATE(2024,7,31),'2024数据'!$AG$3:$AG$152,$E1834)</f>
        <v>0</v>
      </c>
      <c r="M1834" s="105">
        <f>COUNTIFS('2024数据'!$AA$3:$AA$152,"&gt;="&amp;DATE(2024,8,1),'2024数据'!$AA$3:$AA$152,"&lt;="&amp;DATE(2024,8,31),'2024数据'!$AG$3:$AG$152,$E1834)</f>
        <v>0</v>
      </c>
      <c r="N1834" s="105">
        <f>COUNTIFS('2024数据'!$AA$3:$AA$152,"&gt;="&amp;DATE(2024,9,1),'2024数据'!$AA$3:$AA$152,"&lt;="&amp;DATE(2024,9,30),'2024数据'!$AG$3:$AG$152,$E1834)</f>
        <v>0</v>
      </c>
      <c r="O1834" s="105">
        <f>COUNTIFS('2024数据'!$AA$3:$AA$152,"&gt;="&amp;DATE(2024,10,1),'2024数据'!$AA$3:$AA$152,"&lt;="&amp;DATE(2024,10,31),'2024数据'!$AG$3:$AG$152,$E1834)</f>
        <v>0</v>
      </c>
      <c r="P1834" s="105">
        <f>COUNTIFS('2024数据'!$AA$3:$AA$152,"&gt;="&amp;DATE(2024,11,1),'2024数据'!$AA$3:$AA$152,"&lt;="&amp;DATE(2024,11,30),'2024数据'!$AG$3:$AG$152,$E1834)</f>
        <v>0</v>
      </c>
      <c r="Q1834" s="105">
        <f>COUNTIFS('2024数据'!$AA$3:$AA$152,"&gt;="&amp;DATE(2024,12,1),'2024数据'!$AA$3:$AA$152,"&lt;="&amp;DATE(2024,12,31),'2024数据'!$AG$3:$AG$152,$E1834)</f>
        <v>0</v>
      </c>
    </row>
    <row r="1835" ht="24" customHeight="1" spans="1:17">
      <c r="A1835" s="99" t="s">
        <v>350</v>
      </c>
      <c r="B1835" s="99" t="s">
        <v>299</v>
      </c>
      <c r="C1835" s="99" t="s">
        <v>291</v>
      </c>
      <c r="D1835" s="100" t="s">
        <v>292</v>
      </c>
      <c r="E1835" s="100" t="s">
        <v>300</v>
      </c>
      <c r="F1835" s="104">
        <f t="shared" ref="F1835:Q1835" si="1342">IF((SUM(F1836:F1841)-MAX(F1865,F1869))&lt;0,"ERR",SUM(F1836:F1841))</f>
        <v>2</v>
      </c>
      <c r="G1835" s="104">
        <f t="shared" si="1342"/>
        <v>1</v>
      </c>
      <c r="H1835" s="104">
        <f t="shared" si="1342"/>
        <v>2</v>
      </c>
      <c r="I1835" s="104">
        <f t="shared" si="1342"/>
        <v>0</v>
      </c>
      <c r="J1835" s="104">
        <f t="shared" si="1342"/>
        <v>4</v>
      </c>
      <c r="K1835" s="104">
        <f t="shared" si="1342"/>
        <v>2</v>
      </c>
      <c r="L1835" s="104">
        <f t="shared" si="1342"/>
        <v>0</v>
      </c>
      <c r="M1835" s="104">
        <f t="shared" si="1342"/>
        <v>1</v>
      </c>
      <c r="N1835" s="104">
        <f t="shared" si="1342"/>
        <v>6</v>
      </c>
      <c r="O1835" s="104">
        <f t="shared" si="1342"/>
        <v>1</v>
      </c>
      <c r="P1835" s="104">
        <f t="shared" si="1342"/>
        <v>4</v>
      </c>
      <c r="Q1835" s="104">
        <f t="shared" si="1342"/>
        <v>2</v>
      </c>
    </row>
    <row r="1836" ht="24" customHeight="1" spans="1:17">
      <c r="A1836" s="99" t="s">
        <v>350</v>
      </c>
      <c r="B1836" s="99" t="s">
        <v>299</v>
      </c>
      <c r="C1836" s="99" t="s">
        <v>291</v>
      </c>
      <c r="D1836" s="48" t="s">
        <v>31</v>
      </c>
      <c r="E1836" s="48" t="s">
        <v>406</v>
      </c>
      <c r="F1836" s="105">
        <f>COUNTIFS('2024数据'!$AB$3:$AB$152,"&gt;="&amp;DATE(2024,1,1),'2024数据'!$AB$3:$AB$152,"&lt;="&amp;DATE(2024,1,31),'2024数据'!$AE$3:$AE$152,$E1836)</f>
        <v>0</v>
      </c>
      <c r="G1836" s="105">
        <f>COUNTIFS('2024数据'!$AB$3:$AB$152,"&gt;="&amp;DATE(2024,2,1),'2024数据'!$AB$3:$AB$152,"&lt;="&amp;DATE(2024,2,29),'2024数据'!$AE$3:$AE$152,$E1836)</f>
        <v>0</v>
      </c>
      <c r="H1836" s="105">
        <f>COUNTIFS('2024数据'!$AB$3:$AB$152,"&gt;="&amp;DATE(2024,3,1),'2024数据'!$AB$3:$AB$152,"&lt;="&amp;DATE(2024,3,31),'2024数据'!$AE$3:$AE$152,$E1836)</f>
        <v>1</v>
      </c>
      <c r="I1836" s="105">
        <f>COUNTIFS('2024数据'!$AB$3:$AB$152,"&gt;="&amp;DATE(2024,4,1),'2024数据'!$AB$3:$AB$152,"&lt;="&amp;DATE(2024,4,30),'2024数据'!$AE$3:$AE$152,$E1836)</f>
        <v>0</v>
      </c>
      <c r="J1836" s="105">
        <f>COUNTIFS('2024数据'!$AB$3:$AB$152,"&gt;="&amp;DATE(2024,5,1),'2024数据'!$AB$3:$AB$152,"&lt;="&amp;DATE(2024,5,31),'2024数据'!$AE$3:$AE$152,$E1836)</f>
        <v>2</v>
      </c>
      <c r="K1836" s="105">
        <f>COUNTIFS('2024数据'!$AB$3:$AB$152,"&gt;="&amp;DATE(2024,6,1),'2024数据'!$AB$3:$AB$152,"&lt;="&amp;DATE(2024,6,30),'2024数据'!$AE$3:$AE$152,$E1836)</f>
        <v>0</v>
      </c>
      <c r="L1836" s="105">
        <f>COUNTIFS('2024数据'!$AB$3:$AB$152,"&gt;="&amp;DATE(2024,7,1),'2024数据'!$AB$3:$AB$152,"&lt;="&amp;DATE(2024,7,31),'2024数据'!$AE$3:$AE$152,$E1836)</f>
        <v>0</v>
      </c>
      <c r="M1836" s="105">
        <f>COUNTIFS('2024数据'!$AB$3:$AB$152,"&gt;="&amp;DATE(2024,8,1),'2024数据'!$AB$3:$AB$152,"&lt;="&amp;DATE(2024,8,31),'2024数据'!$AE$3:$AE$152,$E1836)</f>
        <v>0</v>
      </c>
      <c r="N1836" s="105">
        <f>COUNTIFS('2024数据'!$AB$3:$AB$152,"&gt;="&amp;DATE(2024,9,1),'2024数据'!$AB$3:$AB$152,"&lt;="&amp;DATE(2024,9,30),'2024数据'!$AE$3:$AE$152,$E1836)</f>
        <v>1</v>
      </c>
      <c r="O1836" s="105">
        <f>COUNTIFS('2024数据'!$AB$3:$AB$152,"&gt;="&amp;DATE(2024,10,1),'2024数据'!$AB$3:$AB$152,"&lt;="&amp;DATE(2024,10,31),'2024数据'!$AE$3:$AE$152,$E1836)</f>
        <v>0</v>
      </c>
      <c r="P1836" s="105">
        <f>COUNTIFS('2024数据'!$AB$3:$AB$152,"&gt;="&amp;DATE(2024,11,1),'2024数据'!$AB$3:$AB$152,"&lt;="&amp;DATE(2024,11,30),'2024数据'!$AE$3:$AE$152,$E1836)</f>
        <v>2</v>
      </c>
      <c r="Q1836" s="105">
        <f>COUNTIFS('2024数据'!$AB$3:$AB$152,"&gt;="&amp;DATE(2024,12,1),'2024数据'!$AB$3:$AB$152,"&lt;="&amp;DATE(2024,12,31),'2024数据'!$AE$3:$AE$152,$E1836)</f>
        <v>0</v>
      </c>
    </row>
    <row r="1837" ht="24" customHeight="1" spans="1:17">
      <c r="A1837" s="99" t="s">
        <v>350</v>
      </c>
      <c r="B1837" s="99" t="s">
        <v>299</v>
      </c>
      <c r="C1837" s="99" t="s">
        <v>291</v>
      </c>
      <c r="D1837" s="48" t="s">
        <v>31</v>
      </c>
      <c r="E1837" s="48" t="s">
        <v>82</v>
      </c>
      <c r="F1837" s="105">
        <f>COUNTIFS('2024数据'!$AB$3:$AB$152,"&gt;="&amp;DATE(2024,1,1),'2024数据'!$AB$3:$AB$152,"&lt;="&amp;DATE(2024,1,31),'2024数据'!$AE$3:$AE$152,$E1837)</f>
        <v>2</v>
      </c>
      <c r="G1837" s="105">
        <f>COUNTIFS('2024数据'!$AB$3:$AB$152,"&gt;="&amp;DATE(2024,2,1),'2024数据'!$AB$3:$AB$152,"&lt;="&amp;DATE(2024,2,29),'2024数据'!$AE$3:$AE$152,$E1837)</f>
        <v>0</v>
      </c>
      <c r="H1837" s="105">
        <f>COUNTIFS('2024数据'!$AB$3:$AB$152,"&gt;="&amp;DATE(2024,3,1),'2024数据'!$AB$3:$AB$152,"&lt;="&amp;DATE(2024,3,31),'2024数据'!$AE$3:$AE$152,$E1837)</f>
        <v>0</v>
      </c>
      <c r="I1837" s="105">
        <f>COUNTIFS('2024数据'!$AB$3:$AB$152,"&gt;="&amp;DATE(2024,4,1),'2024数据'!$AB$3:$AB$152,"&lt;="&amp;DATE(2024,4,30),'2024数据'!$AE$3:$AE$152,$E1837)</f>
        <v>0</v>
      </c>
      <c r="J1837" s="105">
        <f>COUNTIFS('2024数据'!$AB$3:$AB$152,"&gt;="&amp;DATE(2024,5,1),'2024数据'!$AB$3:$AB$152,"&lt;="&amp;DATE(2024,5,31),'2024数据'!$AE$3:$AE$152,$E1837)</f>
        <v>1</v>
      </c>
      <c r="K1837" s="105">
        <f>COUNTIFS('2024数据'!$AB$3:$AB$152,"&gt;="&amp;DATE(2024,6,1),'2024数据'!$AB$3:$AB$152,"&lt;="&amp;DATE(2024,6,30),'2024数据'!$AE$3:$AE$152,$E1837)</f>
        <v>0</v>
      </c>
      <c r="L1837" s="105">
        <f>COUNTIFS('2024数据'!$AB$3:$AB$152,"&gt;="&amp;DATE(2024,7,1),'2024数据'!$AB$3:$AB$152,"&lt;="&amp;DATE(2024,7,31),'2024数据'!$AE$3:$AE$152,$E1837)</f>
        <v>0</v>
      </c>
      <c r="M1837" s="105">
        <f>COUNTIFS('2024数据'!$AB$3:$AB$152,"&gt;="&amp;DATE(2024,8,1),'2024数据'!$AB$3:$AB$152,"&lt;="&amp;DATE(2024,8,31),'2024数据'!$AE$3:$AE$152,$E1837)</f>
        <v>0</v>
      </c>
      <c r="N1837" s="105">
        <f>COUNTIFS('2024数据'!$AB$3:$AB$152,"&gt;="&amp;DATE(2024,9,1),'2024数据'!$AB$3:$AB$152,"&lt;="&amp;DATE(2024,9,30),'2024数据'!$AE$3:$AE$152,$E1837)</f>
        <v>2</v>
      </c>
      <c r="O1837" s="105">
        <f>COUNTIFS('2024数据'!$AB$3:$AB$152,"&gt;="&amp;DATE(2024,10,1),'2024数据'!$AB$3:$AB$152,"&lt;="&amp;DATE(2024,10,31),'2024数据'!$AE$3:$AE$152,$E1837)</f>
        <v>0</v>
      </c>
      <c r="P1837" s="105">
        <f>COUNTIFS('2024数据'!$AB$3:$AB$152,"&gt;="&amp;DATE(2024,11,1),'2024数据'!$AB$3:$AB$152,"&lt;="&amp;DATE(2024,11,30),'2024数据'!$AE$3:$AE$152,$E1837)</f>
        <v>0</v>
      </c>
      <c r="Q1837" s="105">
        <f>COUNTIFS('2024数据'!$AB$3:$AB$152,"&gt;="&amp;DATE(2024,12,1),'2024数据'!$AB$3:$AB$152,"&lt;="&amp;DATE(2024,12,31),'2024数据'!$AE$3:$AE$152,$E1837)</f>
        <v>0</v>
      </c>
    </row>
    <row r="1838" ht="24" customHeight="1" spans="1:17">
      <c r="A1838" s="99" t="s">
        <v>350</v>
      </c>
      <c r="B1838" s="99" t="s">
        <v>299</v>
      </c>
      <c r="C1838" s="99" t="s">
        <v>291</v>
      </c>
      <c r="D1838" s="48" t="s">
        <v>31</v>
      </c>
      <c r="E1838" s="48" t="s">
        <v>86</v>
      </c>
      <c r="F1838" s="105">
        <f>COUNTIFS('2024数据'!$AB$3:$AB$152,"&gt;="&amp;DATE(2024,1,1),'2024数据'!$AB$3:$AB$152,"&lt;="&amp;DATE(2024,1,31),'2024数据'!$AE$3:$AE$152,$E1838)</f>
        <v>0</v>
      </c>
      <c r="G1838" s="105">
        <f>COUNTIFS('2024数据'!$AB$3:$AB$152,"&gt;="&amp;DATE(2024,2,1),'2024数据'!$AB$3:$AB$152,"&lt;="&amp;DATE(2024,2,29),'2024数据'!$AE$3:$AE$152,$E1838)</f>
        <v>0</v>
      </c>
      <c r="H1838" s="105">
        <f>COUNTIFS('2024数据'!$AB$3:$AB$152,"&gt;="&amp;DATE(2024,3,1),'2024数据'!$AB$3:$AB$152,"&lt;="&amp;DATE(2024,3,31),'2024数据'!$AE$3:$AE$152,$E1838)</f>
        <v>1</v>
      </c>
      <c r="I1838" s="105">
        <f>COUNTIFS('2024数据'!$AB$3:$AB$152,"&gt;="&amp;DATE(2024,4,1),'2024数据'!$AB$3:$AB$152,"&lt;="&amp;DATE(2024,4,30),'2024数据'!$AE$3:$AE$152,$E1838)</f>
        <v>0</v>
      </c>
      <c r="J1838" s="105">
        <f>COUNTIFS('2024数据'!$AB$3:$AB$152,"&gt;="&amp;DATE(2024,5,1),'2024数据'!$AB$3:$AB$152,"&lt;="&amp;DATE(2024,5,31),'2024数据'!$AE$3:$AE$152,$E1838)</f>
        <v>0</v>
      </c>
      <c r="K1838" s="105">
        <f>COUNTIFS('2024数据'!$AB$3:$AB$152,"&gt;="&amp;DATE(2024,6,1),'2024数据'!$AB$3:$AB$152,"&lt;="&amp;DATE(2024,6,30),'2024数据'!$AE$3:$AE$152,$E1838)</f>
        <v>0</v>
      </c>
      <c r="L1838" s="105">
        <f>COUNTIFS('2024数据'!$AB$3:$AB$152,"&gt;="&amp;DATE(2024,7,1),'2024数据'!$AB$3:$AB$152,"&lt;="&amp;DATE(2024,7,31),'2024数据'!$AE$3:$AE$152,$E1838)</f>
        <v>0</v>
      </c>
      <c r="M1838" s="105">
        <f>COUNTIFS('2024数据'!$AB$3:$AB$152,"&gt;="&amp;DATE(2024,8,1),'2024数据'!$AB$3:$AB$152,"&lt;="&amp;DATE(2024,8,31),'2024数据'!$AE$3:$AE$152,$E1838)</f>
        <v>0</v>
      </c>
      <c r="N1838" s="105">
        <f>COUNTIFS('2024数据'!$AB$3:$AB$152,"&gt;="&amp;DATE(2024,9,1),'2024数据'!$AB$3:$AB$152,"&lt;="&amp;DATE(2024,9,30),'2024数据'!$AE$3:$AE$152,$E1838)</f>
        <v>0</v>
      </c>
      <c r="O1838" s="105">
        <f>COUNTIFS('2024数据'!$AB$3:$AB$152,"&gt;="&amp;DATE(2024,10,1),'2024数据'!$AB$3:$AB$152,"&lt;="&amp;DATE(2024,10,31),'2024数据'!$AE$3:$AE$152,$E1838)</f>
        <v>0</v>
      </c>
      <c r="P1838" s="105">
        <f>COUNTIFS('2024数据'!$AB$3:$AB$152,"&gt;="&amp;DATE(2024,11,1),'2024数据'!$AB$3:$AB$152,"&lt;="&amp;DATE(2024,11,30),'2024数据'!$AE$3:$AE$152,$E1838)</f>
        <v>0</v>
      </c>
      <c r="Q1838" s="105">
        <f>COUNTIFS('2024数据'!$AB$3:$AB$152,"&gt;="&amp;DATE(2024,12,1),'2024数据'!$AB$3:$AB$152,"&lt;="&amp;DATE(2024,12,31),'2024数据'!$AE$3:$AE$152,$E1838)</f>
        <v>0</v>
      </c>
    </row>
    <row r="1839" ht="24" customHeight="1" spans="1:17">
      <c r="A1839" s="99" t="s">
        <v>350</v>
      </c>
      <c r="B1839" s="99" t="s">
        <v>299</v>
      </c>
      <c r="C1839" s="99" t="s">
        <v>291</v>
      </c>
      <c r="D1839" s="48" t="s">
        <v>31</v>
      </c>
      <c r="E1839" s="48" t="s">
        <v>97</v>
      </c>
      <c r="F1839" s="105">
        <f>COUNTIFS('2024数据'!$AB$3:$AB$152,"&gt;="&amp;DATE(2024,1,1),'2024数据'!$AB$3:$AB$152,"&lt;="&amp;DATE(2024,1,31),'2024数据'!$AE$3:$AE$152,$E1839)</f>
        <v>0</v>
      </c>
      <c r="G1839" s="105">
        <f>COUNTIFS('2024数据'!$AB$3:$AB$152,"&gt;="&amp;DATE(2024,2,1),'2024数据'!$AB$3:$AB$152,"&lt;="&amp;DATE(2024,2,29),'2024数据'!$AE$3:$AE$152,$E1839)</f>
        <v>0</v>
      </c>
      <c r="H1839" s="105">
        <f>COUNTIFS('2024数据'!$AB$3:$AB$152,"&gt;="&amp;DATE(2024,3,1),'2024数据'!$AB$3:$AB$152,"&lt;="&amp;DATE(2024,3,31),'2024数据'!$AE$3:$AE$152,$E1839)</f>
        <v>0</v>
      </c>
      <c r="I1839" s="105">
        <f>COUNTIFS('2024数据'!$AB$3:$AB$152,"&gt;="&amp;DATE(2024,4,1),'2024数据'!$AB$3:$AB$152,"&lt;="&amp;DATE(2024,4,30),'2024数据'!$AE$3:$AE$152,$E1839)</f>
        <v>0</v>
      </c>
      <c r="J1839" s="105">
        <f>COUNTIFS('2024数据'!$AB$3:$AB$152,"&gt;="&amp;DATE(2024,5,1),'2024数据'!$AB$3:$AB$152,"&lt;="&amp;DATE(2024,5,31),'2024数据'!$AE$3:$AE$152,$E1839)</f>
        <v>1</v>
      </c>
      <c r="K1839" s="105">
        <f>COUNTIFS('2024数据'!$AB$3:$AB$152,"&gt;="&amp;DATE(2024,6,1),'2024数据'!$AB$3:$AB$152,"&lt;="&amp;DATE(2024,6,30),'2024数据'!$AE$3:$AE$152,$E1839)</f>
        <v>1</v>
      </c>
      <c r="L1839" s="105">
        <f>COUNTIFS('2024数据'!$AB$3:$AB$152,"&gt;="&amp;DATE(2024,7,1),'2024数据'!$AB$3:$AB$152,"&lt;="&amp;DATE(2024,7,31),'2024数据'!$AE$3:$AE$152,$E1839)</f>
        <v>0</v>
      </c>
      <c r="M1839" s="105">
        <f>COUNTIFS('2024数据'!$AB$3:$AB$152,"&gt;="&amp;DATE(2024,8,1),'2024数据'!$AB$3:$AB$152,"&lt;="&amp;DATE(2024,8,31),'2024数据'!$AE$3:$AE$152,$E1839)</f>
        <v>1</v>
      </c>
      <c r="N1839" s="105">
        <f>COUNTIFS('2024数据'!$AB$3:$AB$152,"&gt;="&amp;DATE(2024,9,1),'2024数据'!$AB$3:$AB$152,"&lt;="&amp;DATE(2024,9,30),'2024数据'!$AE$3:$AE$152,$E1839)</f>
        <v>2</v>
      </c>
      <c r="O1839" s="105">
        <f>COUNTIFS('2024数据'!$AB$3:$AB$152,"&gt;="&amp;DATE(2024,10,1),'2024数据'!$AB$3:$AB$152,"&lt;="&amp;DATE(2024,10,31),'2024数据'!$AE$3:$AE$152,$E1839)</f>
        <v>0</v>
      </c>
      <c r="P1839" s="105">
        <f>COUNTIFS('2024数据'!$AB$3:$AB$152,"&gt;="&amp;DATE(2024,11,1),'2024数据'!$AB$3:$AB$152,"&lt;="&amp;DATE(2024,11,30),'2024数据'!$AE$3:$AE$152,$E1839)</f>
        <v>2</v>
      </c>
      <c r="Q1839" s="105">
        <f>COUNTIFS('2024数据'!$AB$3:$AB$152,"&gt;="&amp;DATE(2024,12,1),'2024数据'!$AB$3:$AB$152,"&lt;="&amp;DATE(2024,12,31),'2024数据'!$AE$3:$AE$152,$E1839)</f>
        <v>0</v>
      </c>
    </row>
    <row r="1840" ht="24" customHeight="1" spans="1:17">
      <c r="A1840" s="99" t="s">
        <v>350</v>
      </c>
      <c r="B1840" s="99" t="s">
        <v>299</v>
      </c>
      <c r="C1840" s="99" t="s">
        <v>291</v>
      </c>
      <c r="D1840" s="48" t="s">
        <v>31</v>
      </c>
      <c r="E1840" s="48" t="s">
        <v>87</v>
      </c>
      <c r="F1840" s="105">
        <f>COUNTIFS('2024数据'!$AB$3:$AB$152,"&gt;="&amp;DATE(2024,1,1),'2024数据'!$AB$3:$AB$152,"&lt;="&amp;DATE(2024,1,31),'2024数据'!$AE$3:$AE$152,$E1840)</f>
        <v>0</v>
      </c>
      <c r="G1840" s="105">
        <f>COUNTIFS('2024数据'!$AB$3:$AB$152,"&gt;="&amp;DATE(2024,2,1),'2024数据'!$AB$3:$AB$152,"&lt;="&amp;DATE(2024,2,29),'2024数据'!$AE$3:$AE$152,$E1840)</f>
        <v>1</v>
      </c>
      <c r="H1840" s="105">
        <f>COUNTIFS('2024数据'!$AB$3:$AB$152,"&gt;="&amp;DATE(2024,3,1),'2024数据'!$AB$3:$AB$152,"&lt;="&amp;DATE(2024,3,31),'2024数据'!$AE$3:$AE$152,$E1840)</f>
        <v>0</v>
      </c>
      <c r="I1840" s="105">
        <f>COUNTIFS('2024数据'!$AB$3:$AB$152,"&gt;="&amp;DATE(2024,4,1),'2024数据'!$AB$3:$AB$152,"&lt;="&amp;DATE(2024,4,30),'2024数据'!$AE$3:$AE$152,$E1840)</f>
        <v>0</v>
      </c>
      <c r="J1840" s="105">
        <f>COUNTIFS('2024数据'!$AB$3:$AB$152,"&gt;="&amp;DATE(2024,5,1),'2024数据'!$AB$3:$AB$152,"&lt;="&amp;DATE(2024,5,31),'2024数据'!$AE$3:$AE$152,$E1840)</f>
        <v>0</v>
      </c>
      <c r="K1840" s="105">
        <f>COUNTIFS('2024数据'!$AB$3:$AB$152,"&gt;="&amp;DATE(2024,6,1),'2024数据'!$AB$3:$AB$152,"&lt;="&amp;DATE(2024,6,30),'2024数据'!$AE$3:$AE$152,$E1840)</f>
        <v>1</v>
      </c>
      <c r="L1840" s="105">
        <f>COUNTIFS('2024数据'!$AB$3:$AB$152,"&gt;="&amp;DATE(2024,7,1),'2024数据'!$AB$3:$AB$152,"&lt;="&amp;DATE(2024,7,31),'2024数据'!$AE$3:$AE$152,$E1840)</f>
        <v>0</v>
      </c>
      <c r="M1840" s="105">
        <f>COUNTIFS('2024数据'!$AB$3:$AB$152,"&gt;="&amp;DATE(2024,8,1),'2024数据'!$AB$3:$AB$152,"&lt;="&amp;DATE(2024,8,31),'2024数据'!$AE$3:$AE$152,$E1840)</f>
        <v>0</v>
      </c>
      <c r="N1840" s="105">
        <f>COUNTIFS('2024数据'!$AB$3:$AB$152,"&gt;="&amp;DATE(2024,9,1),'2024数据'!$AB$3:$AB$152,"&lt;="&amp;DATE(2024,9,30),'2024数据'!$AE$3:$AE$152,$E1840)</f>
        <v>1</v>
      </c>
      <c r="O1840" s="105">
        <f>COUNTIFS('2024数据'!$AB$3:$AB$152,"&gt;="&amp;DATE(2024,10,1),'2024数据'!$AB$3:$AB$152,"&lt;="&amp;DATE(2024,10,31),'2024数据'!$AE$3:$AE$152,$E1840)</f>
        <v>1</v>
      </c>
      <c r="P1840" s="105">
        <f>COUNTIFS('2024数据'!$AB$3:$AB$152,"&gt;="&amp;DATE(2024,11,1),'2024数据'!$AB$3:$AB$152,"&lt;="&amp;DATE(2024,11,30),'2024数据'!$AE$3:$AE$152,$E1840)</f>
        <v>0</v>
      </c>
      <c r="Q1840" s="105">
        <f>COUNTIFS('2024数据'!$AB$3:$AB$152,"&gt;="&amp;DATE(2024,12,1),'2024数据'!$AB$3:$AB$152,"&lt;="&amp;DATE(2024,12,31),'2024数据'!$AE$3:$AE$152,$E1840)</f>
        <v>2</v>
      </c>
    </row>
    <row r="1841" ht="24" customHeight="1" spans="1:17">
      <c r="A1841" s="99" t="s">
        <v>350</v>
      </c>
      <c r="B1841" s="99" t="s">
        <v>299</v>
      </c>
      <c r="C1841" s="99" t="s">
        <v>291</v>
      </c>
      <c r="D1841" s="48" t="s">
        <v>31</v>
      </c>
      <c r="E1841" s="48" t="s">
        <v>83</v>
      </c>
      <c r="F1841" s="105">
        <f>COUNTIFS('2024数据'!$AB$3:$AB$152,"&gt;="&amp;DATE(2024,1,1),'2024数据'!$AB$3:$AB$152,"&lt;="&amp;DATE(2024,1,31),'2024数据'!$AE$3:$AE$152,$E1841)</f>
        <v>0</v>
      </c>
      <c r="G1841" s="105">
        <f>COUNTIFS('2024数据'!$AB$3:$AB$152,"&gt;="&amp;DATE(2024,2,1),'2024数据'!$AB$3:$AB$152,"&lt;="&amp;DATE(2024,2,29),'2024数据'!$AE$3:$AE$152,$E1841)</f>
        <v>0</v>
      </c>
      <c r="H1841" s="105">
        <f>COUNTIFS('2024数据'!$AB$3:$AB$152,"&gt;="&amp;DATE(2024,3,1),'2024数据'!$AB$3:$AB$152,"&lt;="&amp;DATE(2024,3,31),'2024数据'!$AE$3:$AE$152,$E1841)</f>
        <v>0</v>
      </c>
      <c r="I1841" s="105">
        <f>COUNTIFS('2024数据'!$AB$3:$AB$152,"&gt;="&amp;DATE(2024,4,1),'2024数据'!$AB$3:$AB$152,"&lt;="&amp;DATE(2024,4,30),'2024数据'!$AE$3:$AE$152,$E1841)</f>
        <v>0</v>
      </c>
      <c r="J1841" s="105">
        <f>COUNTIFS('2024数据'!$AB$3:$AB$152,"&gt;="&amp;DATE(2024,5,1),'2024数据'!$AB$3:$AB$152,"&lt;="&amp;DATE(2024,5,31),'2024数据'!$AE$3:$AE$152,$E1841)</f>
        <v>0</v>
      </c>
      <c r="K1841" s="105">
        <f>COUNTIFS('2024数据'!$AB$3:$AB$152,"&gt;="&amp;DATE(2024,6,1),'2024数据'!$AB$3:$AB$152,"&lt;="&amp;DATE(2024,6,30),'2024数据'!$AE$3:$AE$152,$E1841)</f>
        <v>0</v>
      </c>
      <c r="L1841" s="105">
        <f>COUNTIFS('2024数据'!$AB$3:$AB$152,"&gt;="&amp;DATE(2024,7,1),'2024数据'!$AB$3:$AB$152,"&lt;="&amp;DATE(2024,7,31),'2024数据'!$AE$3:$AE$152,$E1841)</f>
        <v>0</v>
      </c>
      <c r="M1841" s="105">
        <f>COUNTIFS('2024数据'!$AB$3:$AB$152,"&gt;="&amp;DATE(2024,8,1),'2024数据'!$AB$3:$AB$152,"&lt;="&amp;DATE(2024,8,31),'2024数据'!$AE$3:$AE$152,$E1841)</f>
        <v>0</v>
      </c>
      <c r="N1841" s="105">
        <f>COUNTIFS('2024数据'!$AB$3:$AB$152,"&gt;="&amp;DATE(2024,9,1),'2024数据'!$AB$3:$AB$152,"&lt;="&amp;DATE(2024,9,30),'2024数据'!$AE$3:$AE$152,$E1841)</f>
        <v>0</v>
      </c>
      <c r="O1841" s="105">
        <f>COUNTIFS('2024数据'!$AB$3:$AB$152,"&gt;="&amp;DATE(2024,10,1),'2024数据'!$AB$3:$AB$152,"&lt;="&amp;DATE(2024,10,31),'2024数据'!$AE$3:$AE$152,$E1841)</f>
        <v>0</v>
      </c>
      <c r="P1841" s="105">
        <f>COUNTIFS('2024数据'!$AB$3:$AB$152,"&gt;="&amp;DATE(2024,11,1),'2024数据'!$AB$3:$AB$152,"&lt;="&amp;DATE(2024,11,30),'2024数据'!$AE$3:$AE$152,$E1841)</f>
        <v>0</v>
      </c>
      <c r="Q1841" s="105">
        <f>COUNTIFS('2024数据'!$AB$3:$AB$152,"&gt;="&amp;DATE(2024,12,1),'2024数据'!$AB$3:$AB$152,"&lt;="&amp;DATE(2024,12,31),'2024数据'!$AE$3:$AE$152,$E1841)</f>
        <v>0</v>
      </c>
    </row>
    <row r="1842" ht="24" customHeight="1" spans="1:17">
      <c r="A1842" s="99" t="s">
        <v>350</v>
      </c>
      <c r="B1842" s="99" t="s">
        <v>299</v>
      </c>
      <c r="C1842" s="99" t="s">
        <v>291</v>
      </c>
      <c r="D1842" s="47" t="s">
        <v>294</v>
      </c>
      <c r="E1842" s="47" t="s">
        <v>93</v>
      </c>
      <c r="F1842" s="106">
        <f>COUNTIFS('2024数据'!$AB$3:$AB$152,"&gt;="&amp;DATE(2024,1,1),'2024数据'!$AB$3:$AB$152,"&lt;="&amp;DATE(2024,1,31),'2024数据'!$B$3:$B$152,$E1842)</f>
        <v>1</v>
      </c>
      <c r="G1842" s="106">
        <f>COUNTIFS('2024数据'!$AB$3:$AB$152,"&gt;="&amp;DATE(2024,2,1),'2024数据'!$AB$3:$AB$152,"&lt;="&amp;DATE(2024,2,29),'2024数据'!$B$3:$B$152,$E1842)</f>
        <v>0</v>
      </c>
      <c r="H1842" s="106">
        <f>COUNTIFS('2024数据'!$AB$3:$AB$152,"&gt;="&amp;DATE(2024,3,1),'2024数据'!$AB$3:$AB$152,"&lt;="&amp;DATE(2024,3,31),'2024数据'!$B$3:$B$152,$E1842)</f>
        <v>2</v>
      </c>
      <c r="I1842" s="106">
        <f>COUNTIFS('2024数据'!$AB$3:$AB$152,"&gt;="&amp;DATE(2024,4,1),'2024数据'!$AB$3:$AB$152,"&lt;="&amp;DATE(2024,4,30),'2024数据'!$B$3:$B$152,$E1842)</f>
        <v>0</v>
      </c>
      <c r="J1842" s="106">
        <f>COUNTIFS('2024数据'!$AB$3:$AB$152,"&gt;="&amp;DATE(2024,5,1),'2024数据'!$AB$3:$AB$152,"&lt;="&amp;DATE(2024,5,31),'2024数据'!$B$3:$B$152,$E1842)</f>
        <v>2</v>
      </c>
      <c r="K1842" s="106">
        <f>COUNTIFS('2024数据'!$AB$3:$AB$152,"&gt;="&amp;DATE(2024,6,1),'2024数据'!$AB$3:$AB$152,"&lt;="&amp;DATE(2024,6,30),'2024数据'!$B$3:$B$152,$E1842)</f>
        <v>1</v>
      </c>
      <c r="L1842" s="106">
        <f>COUNTIFS('2024数据'!$AB$3:$AB$152,"&gt;="&amp;DATE(2024,7,1),'2024数据'!$AB$3:$AB$152,"&lt;="&amp;DATE(2024,7,31),'2024数据'!$B$3:$B$152,$E1842)</f>
        <v>0</v>
      </c>
      <c r="M1842" s="106">
        <f>COUNTIFS('2024数据'!$AB$3:$AB$152,"&gt;="&amp;DATE(2024,8,1),'2024数据'!$AB$3:$AB$152,"&lt;="&amp;DATE(2024,8,31),'2024数据'!$B$3:$B$152,$E1842)</f>
        <v>1</v>
      </c>
      <c r="N1842" s="106">
        <f>COUNTIFS('2024数据'!$AB$3:$AB$152,"&gt;="&amp;DATE(2024,9,1),'2024数据'!$AB$3:$AB$152,"&lt;="&amp;DATE(2024,9,30),'2024数据'!$B$3:$B$152,$E1842)</f>
        <v>2</v>
      </c>
      <c r="O1842" s="106">
        <f>COUNTIFS('2024数据'!$AB$3:$AB$152,"&gt;="&amp;DATE(2024,10,1),'2024数据'!$AB$3:$AB$152,"&lt;="&amp;DATE(2024,10,31),'2024数据'!$B$3:$B$152,$E1842)</f>
        <v>0</v>
      </c>
      <c r="P1842" s="106">
        <f>COUNTIFS('2024数据'!$AB$3:$AB$152,"&gt;="&amp;DATE(2024,11,1),'2024数据'!$AB$3:$AB$152,"&lt;="&amp;DATE(2024,11,30),'2024数据'!$B$3:$B$152,$E1842)</f>
        <v>4</v>
      </c>
      <c r="Q1842" s="106">
        <f>COUNTIFS('2024数据'!$AB$3:$AB$152,"&gt;="&amp;DATE(2024,12,1),'2024数据'!$AB$3:$AB$152,"&lt;="&amp;DATE(2024,12,31),'2024数据'!$B$3:$B$152,$E1842)</f>
        <v>0</v>
      </c>
    </row>
    <row r="1843" ht="24" customHeight="1" spans="1:17">
      <c r="A1843" s="99" t="s">
        <v>350</v>
      </c>
      <c r="B1843" s="99" t="s">
        <v>299</v>
      </c>
      <c r="C1843" s="99" t="s">
        <v>291</v>
      </c>
      <c r="D1843" s="47" t="s">
        <v>294</v>
      </c>
      <c r="E1843" s="47" t="s">
        <v>85</v>
      </c>
      <c r="F1843" s="106">
        <f>COUNTIFS('2024数据'!$AB$3:$AB$152,"&gt;="&amp;DATE(2024,1,1),'2024数据'!$AB$3:$AB$152,"&lt;="&amp;DATE(2024,1,31),'2024数据'!$B$3:$B$152,$E1843)</f>
        <v>1</v>
      </c>
      <c r="G1843" s="106">
        <f>COUNTIFS('2024数据'!$AB$3:$AB$152,"&gt;="&amp;DATE(2024,2,1),'2024数据'!$AB$3:$AB$152,"&lt;="&amp;DATE(2024,2,29),'2024数据'!$B$3:$B$152,$E1843)</f>
        <v>1</v>
      </c>
      <c r="H1843" s="106">
        <f>COUNTIFS('2024数据'!$AB$3:$AB$152,"&gt;="&amp;DATE(2024,3,1),'2024数据'!$AB$3:$AB$152,"&lt;="&amp;DATE(2024,3,31),'2024数据'!$B$3:$B$152,$E1843)</f>
        <v>0</v>
      </c>
      <c r="I1843" s="106">
        <f>COUNTIFS('2024数据'!$AB$3:$AB$152,"&gt;="&amp;DATE(2024,4,1),'2024数据'!$AB$3:$AB$152,"&lt;="&amp;DATE(2024,4,30),'2024数据'!$B$3:$B$152,$E1843)</f>
        <v>0</v>
      </c>
      <c r="J1843" s="106">
        <f>COUNTIFS('2024数据'!$AB$3:$AB$152,"&gt;="&amp;DATE(2024,5,1),'2024数据'!$AB$3:$AB$152,"&lt;="&amp;DATE(2024,5,31),'2024数据'!$B$3:$B$152,$E1843)</f>
        <v>2</v>
      </c>
      <c r="K1843" s="106">
        <f>COUNTIFS('2024数据'!$AB$3:$AB$152,"&gt;="&amp;DATE(2024,6,1),'2024数据'!$AB$3:$AB$152,"&lt;="&amp;DATE(2024,6,30),'2024数据'!$B$3:$B$152,$E1843)</f>
        <v>1</v>
      </c>
      <c r="L1843" s="106">
        <f>COUNTIFS('2024数据'!$AB$3:$AB$152,"&gt;="&amp;DATE(2024,7,1),'2024数据'!$AB$3:$AB$152,"&lt;="&amp;DATE(2024,7,31),'2024数据'!$B$3:$B$152,$E1843)</f>
        <v>0</v>
      </c>
      <c r="M1843" s="106">
        <f>COUNTIFS('2024数据'!$AB$3:$AB$152,"&gt;="&amp;DATE(2024,8,1),'2024数据'!$AB$3:$AB$152,"&lt;="&amp;DATE(2024,8,31),'2024数据'!$B$3:$B$152,$E1843)</f>
        <v>0</v>
      </c>
      <c r="N1843" s="106">
        <f>COUNTIFS('2024数据'!$AB$3:$AB$152,"&gt;="&amp;DATE(2024,9,1),'2024数据'!$AB$3:$AB$152,"&lt;="&amp;DATE(2024,9,30),'2024数据'!$B$3:$B$152,$E1843)</f>
        <v>3</v>
      </c>
      <c r="O1843" s="106">
        <f>COUNTIFS('2024数据'!$AB$3:$AB$152,"&gt;="&amp;DATE(2024,10,1),'2024数据'!$AB$3:$AB$152,"&lt;="&amp;DATE(2024,10,31),'2024数据'!$B$3:$B$152,$E1843)</f>
        <v>1</v>
      </c>
      <c r="P1843" s="106">
        <f>COUNTIFS('2024数据'!$AB$3:$AB$152,"&gt;="&amp;DATE(2024,11,1),'2024数据'!$AB$3:$AB$152,"&lt;="&amp;DATE(2024,11,30),'2024数据'!$B$3:$B$152,$E1843)</f>
        <v>0</v>
      </c>
      <c r="Q1843" s="106">
        <f>COUNTIFS('2024数据'!$AB$3:$AB$152,"&gt;="&amp;DATE(2024,12,1),'2024数据'!$AB$3:$AB$152,"&lt;="&amp;DATE(2024,12,31),'2024数据'!$B$3:$B$152,$E1843)</f>
        <v>0</v>
      </c>
    </row>
    <row r="1844" ht="24" customHeight="1" spans="1:17">
      <c r="A1844" s="99" t="s">
        <v>350</v>
      </c>
      <c r="B1844" s="99" t="s">
        <v>299</v>
      </c>
      <c r="C1844" s="99" t="s">
        <v>291</v>
      </c>
      <c r="D1844" s="47" t="s">
        <v>294</v>
      </c>
      <c r="E1844" s="47" t="s">
        <v>81</v>
      </c>
      <c r="F1844" s="106">
        <f>COUNTIFS('2024数据'!$AB$3:$AB$152,"&gt;="&amp;DATE(2024,1,1),'2024数据'!$AB$3:$AB$152,"&lt;="&amp;DATE(2024,1,31),'2024数据'!$B$3:$B$152,$E1844)</f>
        <v>0</v>
      </c>
      <c r="G1844" s="106">
        <f>COUNTIFS('2024数据'!$AB$3:$AB$152,"&gt;="&amp;DATE(2024,2,1),'2024数据'!$AB$3:$AB$152,"&lt;="&amp;DATE(2024,2,29),'2024数据'!$B$3:$B$152,$E1844)</f>
        <v>0</v>
      </c>
      <c r="H1844" s="106">
        <f>COUNTIFS('2024数据'!$AB$3:$AB$152,"&gt;="&amp;DATE(2024,3,1),'2024数据'!$AB$3:$AB$152,"&lt;="&amp;DATE(2024,3,31),'2024数据'!$B$3:$B$152,$E1844)</f>
        <v>0</v>
      </c>
      <c r="I1844" s="106">
        <f>COUNTIFS('2024数据'!$AB$3:$AB$152,"&gt;="&amp;DATE(2024,4,1),'2024数据'!$AB$3:$AB$152,"&lt;="&amp;DATE(2024,4,30),'2024数据'!$B$3:$B$152,$E1844)</f>
        <v>0</v>
      </c>
      <c r="J1844" s="106">
        <f>COUNTIFS('2024数据'!$AB$3:$AB$152,"&gt;="&amp;DATE(2024,5,1),'2024数据'!$AB$3:$AB$152,"&lt;="&amp;DATE(2024,5,31),'2024数据'!$B$3:$B$152,$E1844)</f>
        <v>0</v>
      </c>
      <c r="K1844" s="106">
        <f>COUNTIFS('2024数据'!$AB$3:$AB$152,"&gt;="&amp;DATE(2024,6,1),'2024数据'!$AB$3:$AB$152,"&lt;="&amp;DATE(2024,6,30),'2024数据'!$B$3:$B$152,$E1844)</f>
        <v>0</v>
      </c>
      <c r="L1844" s="106">
        <f>COUNTIFS('2024数据'!$AB$3:$AB$152,"&gt;="&amp;DATE(2024,7,1),'2024数据'!$AB$3:$AB$152,"&lt;="&amp;DATE(2024,7,31),'2024数据'!$B$3:$B$152,$E1844)</f>
        <v>0</v>
      </c>
      <c r="M1844" s="106">
        <f>COUNTIFS('2024数据'!$AB$3:$AB$152,"&gt;="&amp;DATE(2024,8,1),'2024数据'!$AB$3:$AB$152,"&lt;="&amp;DATE(2024,8,31),'2024数据'!$B$3:$B$152,$E1844)</f>
        <v>0</v>
      </c>
      <c r="N1844" s="106">
        <f>COUNTIFS('2024数据'!$AB$3:$AB$152,"&gt;="&amp;DATE(2024,9,1),'2024数据'!$AB$3:$AB$152,"&lt;="&amp;DATE(2024,9,30),'2024数据'!$B$3:$B$152,$E1844)</f>
        <v>0</v>
      </c>
      <c r="O1844" s="106">
        <f>COUNTIFS('2024数据'!$AB$3:$AB$152,"&gt;="&amp;DATE(2024,10,1),'2024数据'!$AB$3:$AB$152,"&lt;="&amp;DATE(2024,10,31),'2024数据'!$B$3:$B$152,$E1844)</f>
        <v>0</v>
      </c>
      <c r="P1844" s="106">
        <f>COUNTIFS('2024数据'!$AB$3:$AB$152,"&gt;="&amp;DATE(2024,11,1),'2024数据'!$AB$3:$AB$152,"&lt;="&amp;DATE(2024,11,30),'2024数据'!$B$3:$B$152,$E1844)</f>
        <v>0</v>
      </c>
      <c r="Q1844" s="106">
        <f>COUNTIFS('2024数据'!$AB$3:$AB$152,"&gt;="&amp;DATE(2024,12,1),'2024数据'!$AB$3:$AB$152,"&lt;="&amp;DATE(2024,12,31),'2024数据'!$B$3:$B$152,$E1844)</f>
        <v>2</v>
      </c>
    </row>
    <row r="1845" ht="24" customHeight="1" spans="1:17">
      <c r="A1845" s="99" t="s">
        <v>350</v>
      </c>
      <c r="B1845" s="99" t="s">
        <v>299</v>
      </c>
      <c r="C1845" s="99" t="s">
        <v>291</v>
      </c>
      <c r="D1845" s="47" t="s">
        <v>294</v>
      </c>
      <c r="E1845" s="47" t="s">
        <v>96</v>
      </c>
      <c r="F1845" s="106">
        <f>COUNTIFS('2024数据'!$AB$3:$AB$152,"&gt;="&amp;DATE(2024,1,1),'2024数据'!$AB$3:$AB$152,"&lt;="&amp;DATE(2024,1,31),'2024数据'!$B$3:$B$152,$E1845)</f>
        <v>0</v>
      </c>
      <c r="G1845" s="106">
        <f>COUNTIFS('2024数据'!$AB$3:$AB$152,"&gt;="&amp;DATE(2024,2,1),'2024数据'!$AB$3:$AB$152,"&lt;="&amp;DATE(2024,2,29),'2024数据'!$B$3:$B$152,$E1845)</f>
        <v>0</v>
      </c>
      <c r="H1845" s="106">
        <f>COUNTIFS('2024数据'!$AB$3:$AB$152,"&gt;="&amp;DATE(2024,3,1),'2024数据'!$AB$3:$AB$152,"&lt;="&amp;DATE(2024,3,31),'2024数据'!$B$3:$B$152,$E1845)</f>
        <v>0</v>
      </c>
      <c r="I1845" s="106">
        <f>COUNTIFS('2024数据'!$AB$3:$AB$152,"&gt;="&amp;DATE(2024,4,1),'2024数据'!$AB$3:$AB$152,"&lt;="&amp;DATE(2024,4,30),'2024数据'!$B$3:$B$152,$E1845)</f>
        <v>0</v>
      </c>
      <c r="J1845" s="106">
        <f>COUNTIFS('2024数据'!$AB$3:$AB$152,"&gt;="&amp;DATE(2024,5,1),'2024数据'!$AB$3:$AB$152,"&lt;="&amp;DATE(2024,5,31),'2024数据'!$B$3:$B$152,$E1845)</f>
        <v>0</v>
      </c>
      <c r="K1845" s="106">
        <f>COUNTIFS('2024数据'!$AB$3:$AB$152,"&gt;="&amp;DATE(2024,6,1),'2024数据'!$AB$3:$AB$152,"&lt;="&amp;DATE(2024,6,30),'2024数据'!$B$3:$B$152,$E1845)</f>
        <v>0</v>
      </c>
      <c r="L1845" s="106">
        <f>COUNTIFS('2024数据'!$AB$3:$AB$152,"&gt;="&amp;DATE(2024,7,1),'2024数据'!$AB$3:$AB$152,"&lt;="&amp;DATE(2024,7,31),'2024数据'!$B$3:$B$152,$E1845)</f>
        <v>0</v>
      </c>
      <c r="M1845" s="106">
        <f>COUNTIFS('2024数据'!$AB$3:$AB$152,"&gt;="&amp;DATE(2024,8,1),'2024数据'!$AB$3:$AB$152,"&lt;="&amp;DATE(2024,8,31),'2024数据'!$B$3:$B$152,$E1845)</f>
        <v>0</v>
      </c>
      <c r="N1845" s="106">
        <f>COUNTIFS('2024数据'!$AB$3:$AB$152,"&gt;="&amp;DATE(2024,9,1),'2024数据'!$AB$3:$AB$152,"&lt;="&amp;DATE(2024,9,30),'2024数据'!$B$3:$B$152,$E1845)</f>
        <v>1</v>
      </c>
      <c r="O1845" s="106">
        <f>COUNTIFS('2024数据'!$AB$3:$AB$152,"&gt;="&amp;DATE(2024,10,1),'2024数据'!$AB$3:$AB$152,"&lt;="&amp;DATE(2024,10,31),'2024数据'!$B$3:$B$152,$E1845)</f>
        <v>0</v>
      </c>
      <c r="P1845" s="106">
        <f>COUNTIFS('2024数据'!$AB$3:$AB$152,"&gt;="&amp;DATE(2024,11,1),'2024数据'!$AB$3:$AB$152,"&lt;="&amp;DATE(2024,11,30),'2024数据'!$B$3:$B$152,$E1845)</f>
        <v>0</v>
      </c>
      <c r="Q1845" s="106">
        <f>COUNTIFS('2024数据'!$AB$3:$AB$152,"&gt;="&amp;DATE(2024,12,1),'2024数据'!$AB$3:$AB$152,"&lt;="&amp;DATE(2024,12,31),'2024数据'!$B$3:$B$152,$E1845)</f>
        <v>0</v>
      </c>
    </row>
    <row r="1846" ht="24" customHeight="1" spans="1:17">
      <c r="A1846" s="99" t="s">
        <v>350</v>
      </c>
      <c r="B1846" s="99" t="s">
        <v>299</v>
      </c>
      <c r="C1846" s="99" t="s">
        <v>291</v>
      </c>
      <c r="D1846" s="47" t="s">
        <v>294</v>
      </c>
      <c r="E1846" s="47" t="s">
        <v>160</v>
      </c>
      <c r="F1846" s="106">
        <f t="shared" ref="F1846:Q1846" si="1343">SUM(F1836:F1841)-SUM(F1842:F1845)</f>
        <v>0</v>
      </c>
      <c r="G1846" s="106">
        <f t="shared" si="1343"/>
        <v>0</v>
      </c>
      <c r="H1846" s="106">
        <f t="shared" si="1343"/>
        <v>0</v>
      </c>
      <c r="I1846" s="106">
        <f t="shared" si="1343"/>
        <v>0</v>
      </c>
      <c r="J1846" s="106">
        <f t="shared" si="1343"/>
        <v>0</v>
      </c>
      <c r="K1846" s="106">
        <f t="shared" si="1343"/>
        <v>0</v>
      </c>
      <c r="L1846" s="106">
        <f t="shared" si="1343"/>
        <v>0</v>
      </c>
      <c r="M1846" s="106">
        <f t="shared" si="1343"/>
        <v>0</v>
      </c>
      <c r="N1846" s="106">
        <f t="shared" si="1343"/>
        <v>0</v>
      </c>
      <c r="O1846" s="106">
        <f t="shared" si="1343"/>
        <v>0</v>
      </c>
      <c r="P1846" s="106">
        <f t="shared" si="1343"/>
        <v>0</v>
      </c>
      <c r="Q1846" s="106">
        <f t="shared" si="1343"/>
        <v>0</v>
      </c>
    </row>
    <row r="1847" ht="24" customHeight="1" spans="1:17">
      <c r="A1847" s="99" t="s">
        <v>350</v>
      </c>
      <c r="B1847" s="99" t="s">
        <v>299</v>
      </c>
      <c r="C1847" s="99" t="s">
        <v>291</v>
      </c>
      <c r="D1847" s="100" t="s">
        <v>292</v>
      </c>
      <c r="E1847" s="110" t="s">
        <v>301</v>
      </c>
      <c r="F1847" s="111">
        <f>COUNTIFS('2024数据'!$AB$3:$AB$152,"&gt;="&amp;DATE(2024,1,1),'2024数据'!$AB$3:$AB$152,"&lt;="&amp;DATE(2024,1,31),'2024数据'!$BY$3:$BY$152,$E1847)</f>
        <v>1</v>
      </c>
      <c r="G1847" s="111">
        <f>COUNTIFS('2024数据'!$AB$3:$AB$152,"&gt;="&amp;DATE(2024,2,1),'2024数据'!$AB$3:$AB$152,"&lt;="&amp;DATE(2024,2,29),'2024数据'!$BY$3:$BY$152,$E1847)</f>
        <v>0</v>
      </c>
      <c r="H1847" s="111">
        <f>COUNTIFS('2024数据'!$AB$3:$AB$152,"&gt;="&amp;DATE(2024,3,1),'2024数据'!$AB$3:$AB$152,"&lt;="&amp;DATE(2024,3,31),'2024数据'!$BY$3:$BY$152,$E1847)</f>
        <v>2</v>
      </c>
      <c r="I1847" s="111">
        <f>COUNTIFS('2024数据'!$AB$3:$AB$152,"&gt;="&amp;DATE(2024,4,1),'2024数据'!$AB$3:$AB$152,"&lt;="&amp;DATE(2024,4,30),'2024数据'!$BY$3:$BY$152,$E1847)</f>
        <v>0</v>
      </c>
      <c r="J1847" s="111">
        <f>COUNTIFS('2024数据'!$AB$3:$AB$152,"&gt;="&amp;DATE(2024,5,1),'2024数据'!$AB$3:$AB$152,"&lt;="&amp;DATE(2024,5,31),'2024数据'!$BY$3:$BY$152,$E1847)</f>
        <v>2</v>
      </c>
      <c r="K1847" s="111">
        <f>COUNTIFS('2024数据'!$AB$3:$AB$152,"&gt;="&amp;DATE(2024,6,1),'2024数据'!$AB$3:$AB$152,"&lt;="&amp;DATE(2024,6,30),'2024数据'!$BY$3:$BY$152,$E1847)</f>
        <v>0</v>
      </c>
      <c r="L1847" s="111">
        <f>COUNTIFS('2024数据'!$AB$3:$AB$152,"&gt;="&amp;DATE(2024,7,1),'2024数据'!$AB$3:$AB$152,"&lt;="&amp;DATE(2024,7,31),'2024数据'!$BY$3:$BY$152,$E1847)</f>
        <v>0</v>
      </c>
      <c r="M1847" s="111">
        <f>COUNTIFS('2024数据'!$AB$3:$AB$152,"&gt;="&amp;DATE(2024,8,1),'2024数据'!$AB$3:$AB$152,"&lt;="&amp;DATE(2024,8,31),'2024数据'!$BY$3:$BY$152,$E1847)</f>
        <v>0</v>
      </c>
      <c r="N1847" s="111">
        <f>COUNTIFS('2024数据'!$AB$3:$AB$152,"&gt;="&amp;DATE(2024,9,1),'2024数据'!$AB$3:$AB$152,"&lt;="&amp;DATE(2024,9,30),'2024数据'!$BY$3:$BY$152,$E1847)</f>
        <v>4</v>
      </c>
      <c r="O1847" s="111">
        <f>COUNTIFS('2024数据'!$AB$3:$AB$152,"&gt;="&amp;DATE(2024,10,1),'2024数据'!$AB$3:$AB$152,"&lt;="&amp;DATE(2024,10,31),'2024数据'!$BY$3:$BY$152,$E1847)</f>
        <v>1</v>
      </c>
      <c r="P1847" s="111">
        <f>COUNTIFS('2024数据'!$AB$3:$AB$152,"&gt;="&amp;DATE(2024,11,1),'2024数据'!$AB$3:$AB$152,"&lt;="&amp;DATE(2024,11,30),'2024数据'!$BY$3:$BY$152,$E1847)</f>
        <v>0</v>
      </c>
      <c r="Q1847" s="111">
        <f>COUNTIFS('2024数据'!$AB$3:$AB$152,"&gt;="&amp;DATE(2024,12,1),'2024数据'!$AB$3:$AB$152,"&lt;="&amp;DATE(2024,12,31),'2024数据'!$BY$3:$BY$152,$E1847)</f>
        <v>0</v>
      </c>
    </row>
    <row r="1848" ht="24" customHeight="1" spans="1:17">
      <c r="A1848" s="99" t="s">
        <v>350</v>
      </c>
      <c r="B1848" s="99" t="s">
        <v>299</v>
      </c>
      <c r="C1848" s="99" t="s">
        <v>291</v>
      </c>
      <c r="D1848" s="100" t="s">
        <v>292</v>
      </c>
      <c r="E1848" s="110" t="s">
        <v>302</v>
      </c>
      <c r="F1848" s="111">
        <f>COUNTIFS('2024数据'!$AB$3:$AB$152,"&gt;="&amp;DATE(2024,1,1),'2024数据'!$AB$3:$AB$152,"&lt;="&amp;DATE(2024,1,31),'2024数据'!$BY$3:$BY$152,$E1848)</f>
        <v>1</v>
      </c>
      <c r="G1848" s="111">
        <f>COUNTIFS('2024数据'!$AB$3:$AB$152,"&gt;="&amp;DATE(2024,2,1),'2024数据'!$AB$3:$AB$152,"&lt;="&amp;DATE(2024,2,29),'2024数据'!$BY$3:$BY$152,$E1848)</f>
        <v>1</v>
      </c>
      <c r="H1848" s="111">
        <f>COUNTIFS('2024数据'!$AB$3:$AB$152,"&gt;="&amp;DATE(2024,3,1),'2024数据'!$AB$3:$AB$152,"&lt;="&amp;DATE(2024,3,31),'2024数据'!$BY$3:$BY$152,$E1848)</f>
        <v>0</v>
      </c>
      <c r="I1848" s="111">
        <f>COUNTIFS('2024数据'!$AB$3:$AB$152,"&gt;="&amp;DATE(2024,4,1),'2024数据'!$AB$3:$AB$152,"&lt;="&amp;DATE(2024,4,30),'2024数据'!$BY$3:$BY$152,$E1848)</f>
        <v>0</v>
      </c>
      <c r="J1848" s="111">
        <f>COUNTIFS('2024数据'!$AB$3:$AB$152,"&gt;="&amp;DATE(2024,5,1),'2024数据'!$AB$3:$AB$152,"&lt;="&amp;DATE(2024,5,31),'2024数据'!$BY$3:$BY$152,$E1848)</f>
        <v>1</v>
      </c>
      <c r="K1848" s="111">
        <f>COUNTIFS('2024数据'!$AB$3:$AB$152,"&gt;="&amp;DATE(2024,6,1),'2024数据'!$AB$3:$AB$152,"&lt;="&amp;DATE(2024,6,30),'2024数据'!$BY$3:$BY$152,$E1848)</f>
        <v>1</v>
      </c>
      <c r="L1848" s="111">
        <f>COUNTIFS('2024数据'!$AB$3:$AB$152,"&gt;="&amp;DATE(2024,7,1),'2024数据'!$AB$3:$AB$152,"&lt;="&amp;DATE(2024,7,31),'2024数据'!$BY$3:$BY$152,$E1848)</f>
        <v>0</v>
      </c>
      <c r="M1848" s="111">
        <f>COUNTIFS('2024数据'!$AB$3:$AB$152,"&gt;="&amp;DATE(2024,8,1),'2024数据'!$AB$3:$AB$152,"&lt;="&amp;DATE(2024,8,31),'2024数据'!$BY$3:$BY$152,$E1848)</f>
        <v>0</v>
      </c>
      <c r="N1848" s="111">
        <f>COUNTIFS('2024数据'!$AB$3:$AB$152,"&gt;="&amp;DATE(2024,9,1),'2024数据'!$AB$3:$AB$152,"&lt;="&amp;DATE(2024,9,30),'2024数据'!$BY$3:$BY$152,$E1848)</f>
        <v>1</v>
      </c>
      <c r="O1848" s="111">
        <f>COUNTIFS('2024数据'!$AB$3:$AB$152,"&gt;="&amp;DATE(2024,10,1),'2024数据'!$AB$3:$AB$152,"&lt;="&amp;DATE(2024,10,31),'2024数据'!$BY$3:$BY$152,$E1848)</f>
        <v>0</v>
      </c>
      <c r="P1848" s="111">
        <f>COUNTIFS('2024数据'!$AB$3:$AB$152,"&gt;="&amp;DATE(2024,11,1),'2024数据'!$AB$3:$AB$152,"&lt;="&amp;DATE(2024,11,30),'2024数据'!$BY$3:$BY$152,$E1848)</f>
        <v>3</v>
      </c>
      <c r="Q1848" s="111">
        <f>COUNTIFS('2024数据'!$AB$3:$AB$152,"&gt;="&amp;DATE(2024,12,1),'2024数据'!$AB$3:$AB$152,"&lt;="&amp;DATE(2024,12,31),'2024数据'!$BY$3:$BY$152,$E1848)</f>
        <v>1</v>
      </c>
    </row>
    <row r="1849" ht="24" customHeight="1" spans="1:17">
      <c r="A1849" s="99" t="s">
        <v>350</v>
      </c>
      <c r="B1849" s="99" t="s">
        <v>299</v>
      </c>
      <c r="C1849" s="99" t="s">
        <v>291</v>
      </c>
      <c r="D1849" s="100" t="s">
        <v>292</v>
      </c>
      <c r="E1849" s="110" t="s">
        <v>150</v>
      </c>
      <c r="F1849" s="111">
        <f>COUNTIFS('2024数据'!$AB$3:$AB$152,"&gt;="&amp;DATE(2024,1,1),'2024数据'!$AB$3:$AB$152,"&lt;="&amp;DATE(2024,1,31),'2024数据'!$BY$3:$BY$152,$E1849)</f>
        <v>0</v>
      </c>
      <c r="G1849" s="111">
        <f>COUNTIFS('2024数据'!$AB$3:$AB$152,"&gt;="&amp;DATE(2024,2,1),'2024数据'!$AB$3:$AB$152,"&lt;="&amp;DATE(2024,2,29),'2024数据'!$BY$3:$BY$152,$E1849)</f>
        <v>0</v>
      </c>
      <c r="H1849" s="111">
        <f>COUNTIFS('2024数据'!$AB$3:$AB$152,"&gt;="&amp;DATE(2024,3,1),'2024数据'!$AB$3:$AB$152,"&lt;="&amp;DATE(2024,3,31),'2024数据'!$BY$3:$BY$152,$E1849)</f>
        <v>0</v>
      </c>
      <c r="I1849" s="111">
        <f>COUNTIFS('2024数据'!$AB$3:$AB$152,"&gt;="&amp;DATE(2024,4,1),'2024数据'!$AB$3:$AB$152,"&lt;="&amp;DATE(2024,4,30),'2024数据'!$BY$3:$BY$152,$E1849)</f>
        <v>0</v>
      </c>
      <c r="J1849" s="111">
        <f>COUNTIFS('2024数据'!$AB$3:$AB$152,"&gt;="&amp;DATE(2024,5,1),'2024数据'!$AB$3:$AB$152,"&lt;="&amp;DATE(2024,5,31),'2024数据'!$BY$3:$BY$152,$E1849)</f>
        <v>1</v>
      </c>
      <c r="K1849" s="111">
        <f>COUNTIFS('2024数据'!$AB$3:$AB$152,"&gt;="&amp;DATE(2024,6,1),'2024数据'!$AB$3:$AB$152,"&lt;="&amp;DATE(2024,6,30),'2024数据'!$BY$3:$BY$152,$E1849)</f>
        <v>1</v>
      </c>
      <c r="L1849" s="111">
        <f>COUNTIFS('2024数据'!$AB$3:$AB$152,"&gt;="&amp;DATE(2024,7,1),'2024数据'!$AB$3:$AB$152,"&lt;="&amp;DATE(2024,7,31),'2024数据'!$BY$3:$BY$152,$E1849)</f>
        <v>0</v>
      </c>
      <c r="M1849" s="111">
        <f>COUNTIFS('2024数据'!$AB$3:$AB$152,"&gt;="&amp;DATE(2024,8,1),'2024数据'!$AB$3:$AB$152,"&lt;="&amp;DATE(2024,8,31),'2024数据'!$BY$3:$BY$152,$E1849)</f>
        <v>1</v>
      </c>
      <c r="N1849" s="111">
        <f>COUNTIFS('2024数据'!$AB$3:$AB$152,"&gt;="&amp;DATE(2024,9,1),'2024数据'!$AB$3:$AB$152,"&lt;="&amp;DATE(2024,9,30),'2024数据'!$BY$3:$BY$152,$E1849)</f>
        <v>1</v>
      </c>
      <c r="O1849" s="111">
        <f>COUNTIFS('2024数据'!$AB$3:$AB$152,"&gt;="&amp;DATE(2024,10,1),'2024数据'!$AB$3:$AB$152,"&lt;="&amp;DATE(2024,10,31),'2024数据'!$BY$3:$BY$152,$E1849)</f>
        <v>0</v>
      </c>
      <c r="P1849" s="111">
        <f>COUNTIFS('2024数据'!$AB$3:$AB$152,"&gt;="&amp;DATE(2024,11,1),'2024数据'!$AB$3:$AB$152,"&lt;="&amp;DATE(2024,11,30),'2024数据'!$BY$3:$BY$152,$E1849)</f>
        <v>1</v>
      </c>
      <c r="Q1849" s="111">
        <f>COUNTIFS('2024数据'!$AB$3:$AB$152,"&gt;="&amp;DATE(2024,12,1),'2024数据'!$AB$3:$AB$152,"&lt;="&amp;DATE(2024,12,31),'2024数据'!$BY$3:$BY$152,$E1849)</f>
        <v>1</v>
      </c>
    </row>
    <row r="1850" ht="24" customHeight="1" spans="1:17">
      <c r="A1850" s="99" t="s">
        <v>350</v>
      </c>
      <c r="B1850" s="99" t="s">
        <v>299</v>
      </c>
      <c r="C1850" s="99" t="s">
        <v>291</v>
      </c>
      <c r="D1850" s="53" t="s">
        <v>303</v>
      </c>
      <c r="E1850" s="53" t="s">
        <v>93</v>
      </c>
      <c r="F1850" s="111">
        <f>COUNTIFS('2024数据'!$AB$3:$AB$152,"&gt;="&amp;DATE(2024,1,1),'2024数据'!$AB$3:$AB$152,"&lt;="&amp;DATE(2024,1,31),'2024数据'!$BY$3:$BY$152,$E$35,'2024数据'!$B$3:$B$152,'2024整理'!$E1842)</f>
        <v>0</v>
      </c>
      <c r="G1850" s="111">
        <f>COUNTIFS('2024数据'!$AB$3:$AB$152,"&gt;="&amp;DATE(2024,2,1),'2024数据'!$AB$3:$AB$152,"&lt;="&amp;DATE(2024,2,29),'2024数据'!$BY$3:$BY$152,$E$35,'2024数据'!$B$3:$B$152,'2024整理'!$E1842)</f>
        <v>0</v>
      </c>
      <c r="H1850" s="111">
        <f>COUNTIFS('2024数据'!$AB$3:$AB$152,"&gt;="&amp;DATE(2024,3,1),'2024数据'!$AB$3:$AB$152,"&lt;="&amp;DATE(2024,3,31),'2024数据'!$BY$3:$BY$152,$E$35,'2024数据'!$B$3:$B$152,'2024整理'!$E1842)</f>
        <v>2</v>
      </c>
      <c r="I1850" s="111">
        <f>COUNTIFS('2024数据'!$AB$3:$AB$152,"&gt;="&amp;DATE(2024,4,1),'2024数据'!$AB$3:$AB$152,"&lt;="&amp;DATE(2024,4,30),'2024数据'!$BY$3:$BY$152,$E$35,'2024数据'!$B$3:$B$152,'2024整理'!$E1842)</f>
        <v>0</v>
      </c>
      <c r="J1850" s="111">
        <f>COUNTIFS('2024数据'!$AB$3:$AB$152,"&gt;="&amp;DATE(2024,5,1),'2024数据'!$AB$3:$AB$152,"&lt;="&amp;DATE(2024,5,31),'2024数据'!$BY$3:$BY$152,$E$35,'2024数据'!$B$3:$B$152,'2024整理'!$E1842)</f>
        <v>1</v>
      </c>
      <c r="K1850" s="111">
        <f>COUNTIFS('2024数据'!$AB$3:$AB$152,"&gt;="&amp;DATE(2024,6,1),'2024数据'!$AB$3:$AB$152,"&lt;="&amp;DATE(2024,6,30),'2024数据'!$BY$3:$BY$152,$E$35,'2024数据'!$B$3:$B$152,'2024整理'!$E1842)</f>
        <v>0</v>
      </c>
      <c r="L1850" s="111">
        <f>COUNTIFS('2024数据'!$AB$3:$AB$152,"&gt;="&amp;DATE(2024,7,1),'2024数据'!$AB$3:$AB$152,"&lt;="&amp;DATE(2024,7,31),'2024数据'!$BY$3:$BY$152,$E$35,'2024数据'!$B$3:$B$152,'2024整理'!$E1842)</f>
        <v>0</v>
      </c>
      <c r="M1850" s="111">
        <f>COUNTIFS('2024数据'!$AB$3:$AB$152,"&gt;="&amp;DATE(2024,8,1),'2024数据'!$AB$3:$AB$152,"&lt;="&amp;DATE(2024,8,31),'2024数据'!$BY$3:$BY$152,$E$35,'2024数据'!$B$3:$B$152,'2024整理'!$E1842)</f>
        <v>0</v>
      </c>
      <c r="N1850" s="111">
        <f>COUNTIFS('2024数据'!$AB$3:$AB$152,"&gt;="&amp;DATE(2024,9,1),'2024数据'!$AB$3:$AB$152,"&lt;="&amp;DATE(2024,9,30),'2024数据'!$BY$3:$BY$152,$E$35,'2024数据'!$B$3:$B$152,'2024整理'!$E1842)</f>
        <v>0</v>
      </c>
      <c r="O1850" s="111">
        <f>COUNTIFS('2024数据'!$AB$3:$AB$152,"&gt;="&amp;DATE(2024,10,1),'2024数据'!$AB$3:$AB$152,"&lt;="&amp;DATE(2024,10,31),'2024数据'!$BY$3:$BY$152,$E$35,'2024数据'!$B$3:$B$152,'2024整理'!$E1842)</f>
        <v>0</v>
      </c>
      <c r="P1850" s="111">
        <f>COUNTIFS('2024数据'!$AB$3:$AB$152,"&gt;="&amp;DATE(2024,11,1),'2024数据'!$AB$3:$AB$152,"&lt;="&amp;DATE(2024,11,30),'2024数据'!$BY$3:$BY$152,$E$35,'2024数据'!$B$3:$B$152,'2024整理'!$E1842)</f>
        <v>0</v>
      </c>
      <c r="Q1850" s="111">
        <f>COUNTIFS('2024数据'!$AB$3:$AB$152,"&gt;="&amp;DATE(2024,12,1),'2024数据'!$AB$3:$AB$152,"&lt;="&amp;DATE(2024,12,31),'2024数据'!$BY$3:$BY$152,$E$35,'2024数据'!$B$3:$B$152,'2024整理'!$E1842)</f>
        <v>0</v>
      </c>
    </row>
    <row r="1851" ht="24" customHeight="1" spans="1:17">
      <c r="A1851" s="99" t="s">
        <v>350</v>
      </c>
      <c r="B1851" s="99" t="s">
        <v>299</v>
      </c>
      <c r="C1851" s="99" t="s">
        <v>291</v>
      </c>
      <c r="D1851" s="53" t="s">
        <v>303</v>
      </c>
      <c r="E1851" s="53" t="s">
        <v>85</v>
      </c>
      <c r="F1851" s="111">
        <f>COUNTIFS('2024数据'!$AB$3:$AB$152,"&gt;="&amp;DATE(2024,1,1),'2024数据'!$AB$3:$AB$152,"&lt;="&amp;DATE(2024,1,31),'2024数据'!$BY$3:$BY$152,$E$35,'2024数据'!$B$3:$B$152,'2024整理'!$E1843)</f>
        <v>1</v>
      </c>
      <c r="G1851" s="111">
        <f>COUNTIFS('2024数据'!$AB$3:$AB$152,"&gt;="&amp;DATE(2024,2,1),'2024数据'!$AB$3:$AB$152,"&lt;="&amp;DATE(2024,2,29),'2024数据'!$BY$3:$BY$152,$E$35,'2024数据'!$B$3:$B$152,'2024整理'!$E1843)</f>
        <v>0</v>
      </c>
      <c r="H1851" s="111">
        <f>COUNTIFS('2024数据'!$AB$3:$AB$152,"&gt;="&amp;DATE(2024,3,1),'2024数据'!$AB$3:$AB$152,"&lt;="&amp;DATE(2024,3,31),'2024数据'!$BY$3:$BY$152,$E$35,'2024数据'!$B$3:$B$152,'2024整理'!$E1843)</f>
        <v>0</v>
      </c>
      <c r="I1851" s="111">
        <f>COUNTIFS('2024数据'!$AB$3:$AB$152,"&gt;="&amp;DATE(2024,4,1),'2024数据'!$AB$3:$AB$152,"&lt;="&amp;DATE(2024,4,30),'2024数据'!$BY$3:$BY$152,$E$35,'2024数据'!$B$3:$B$152,'2024整理'!$E1843)</f>
        <v>0</v>
      </c>
      <c r="J1851" s="111">
        <f>COUNTIFS('2024数据'!$AB$3:$AB$152,"&gt;="&amp;DATE(2024,5,1),'2024数据'!$AB$3:$AB$152,"&lt;="&amp;DATE(2024,5,31),'2024数据'!$BY$3:$BY$152,$E$35,'2024数据'!$B$3:$B$152,'2024整理'!$E1843)</f>
        <v>1</v>
      </c>
      <c r="K1851" s="111">
        <f>COUNTIFS('2024数据'!$AB$3:$AB$152,"&gt;="&amp;DATE(2024,6,1),'2024数据'!$AB$3:$AB$152,"&lt;="&amp;DATE(2024,6,30),'2024数据'!$BY$3:$BY$152,$E$35,'2024数据'!$B$3:$B$152,'2024整理'!$E1843)</f>
        <v>0</v>
      </c>
      <c r="L1851" s="111">
        <f>COUNTIFS('2024数据'!$AB$3:$AB$152,"&gt;="&amp;DATE(2024,7,1),'2024数据'!$AB$3:$AB$152,"&lt;="&amp;DATE(2024,7,31),'2024数据'!$BY$3:$BY$152,$E$35,'2024数据'!$B$3:$B$152,'2024整理'!$E1843)</f>
        <v>0</v>
      </c>
      <c r="M1851" s="111">
        <f>COUNTIFS('2024数据'!$AB$3:$AB$152,"&gt;="&amp;DATE(2024,8,1),'2024数据'!$AB$3:$AB$152,"&lt;="&amp;DATE(2024,8,31),'2024数据'!$BY$3:$BY$152,$E$35,'2024数据'!$B$3:$B$152,'2024整理'!$E1843)</f>
        <v>0</v>
      </c>
      <c r="N1851" s="111">
        <f>COUNTIFS('2024数据'!$AB$3:$AB$152,"&gt;="&amp;DATE(2024,9,1),'2024数据'!$AB$3:$AB$152,"&lt;="&amp;DATE(2024,9,30),'2024数据'!$BY$3:$BY$152,$E$35,'2024数据'!$B$3:$B$152,'2024整理'!$E1843)</f>
        <v>3</v>
      </c>
      <c r="O1851" s="111">
        <f>COUNTIFS('2024数据'!$AB$3:$AB$152,"&gt;="&amp;DATE(2024,10,1),'2024数据'!$AB$3:$AB$152,"&lt;="&amp;DATE(2024,10,31),'2024数据'!$BY$3:$BY$152,$E$35,'2024数据'!$B$3:$B$152,'2024整理'!$E1843)</f>
        <v>1</v>
      </c>
      <c r="P1851" s="111">
        <f>COUNTIFS('2024数据'!$AB$3:$AB$152,"&gt;="&amp;DATE(2024,11,1),'2024数据'!$AB$3:$AB$152,"&lt;="&amp;DATE(2024,11,30),'2024数据'!$BY$3:$BY$152,$E$35,'2024数据'!$B$3:$B$152,'2024整理'!$E1843)</f>
        <v>0</v>
      </c>
      <c r="Q1851" s="111">
        <f>COUNTIFS('2024数据'!$AB$3:$AB$152,"&gt;="&amp;DATE(2024,12,1),'2024数据'!$AB$3:$AB$152,"&lt;="&amp;DATE(2024,12,31),'2024数据'!$BY$3:$BY$152,$E$35,'2024数据'!$B$3:$B$152,'2024整理'!$E1843)</f>
        <v>0</v>
      </c>
    </row>
    <row r="1852" ht="24" customHeight="1" spans="1:17">
      <c r="A1852" s="99" t="s">
        <v>350</v>
      </c>
      <c r="B1852" s="99" t="s">
        <v>299</v>
      </c>
      <c r="C1852" s="99" t="s">
        <v>291</v>
      </c>
      <c r="D1852" s="53" t="s">
        <v>303</v>
      </c>
      <c r="E1852" s="53" t="s">
        <v>81</v>
      </c>
      <c r="F1852" s="111">
        <f>COUNTIFS('2024数据'!$AB$3:$AB$152,"&gt;="&amp;DATE(2024,1,1),'2024数据'!$AB$3:$AB$152,"&lt;="&amp;DATE(2024,1,31),'2024数据'!$BY$3:$BY$152,$E$35,'2024数据'!$B$3:$B$152,'2024整理'!$E1844)</f>
        <v>0</v>
      </c>
      <c r="G1852" s="111">
        <f>COUNTIFS('2024数据'!$AB$3:$AB$152,"&gt;="&amp;DATE(2024,2,1),'2024数据'!$AB$3:$AB$152,"&lt;="&amp;DATE(2024,2,29),'2024数据'!$BY$3:$BY$152,$E$35,'2024数据'!$B$3:$B$152,'2024整理'!$E1844)</f>
        <v>0</v>
      </c>
      <c r="H1852" s="111">
        <f>COUNTIFS('2024数据'!$AB$3:$AB$152,"&gt;="&amp;DATE(2024,3,1),'2024数据'!$AB$3:$AB$152,"&lt;="&amp;DATE(2024,3,31),'2024数据'!$BY$3:$BY$152,$E$35,'2024数据'!$B$3:$B$152,'2024整理'!$E1844)</f>
        <v>0</v>
      </c>
      <c r="I1852" s="111">
        <f>COUNTIFS('2024数据'!$AB$3:$AB$152,"&gt;="&amp;DATE(2024,4,1),'2024数据'!$AB$3:$AB$152,"&lt;="&amp;DATE(2024,4,30),'2024数据'!$BY$3:$BY$152,$E$35,'2024数据'!$B$3:$B$152,'2024整理'!$E1844)</f>
        <v>0</v>
      </c>
      <c r="J1852" s="111">
        <f>COUNTIFS('2024数据'!$AB$3:$AB$152,"&gt;="&amp;DATE(2024,5,1),'2024数据'!$AB$3:$AB$152,"&lt;="&amp;DATE(2024,5,31),'2024数据'!$BY$3:$BY$152,$E$35,'2024数据'!$B$3:$B$152,'2024整理'!$E1844)</f>
        <v>0</v>
      </c>
      <c r="K1852" s="111">
        <f>COUNTIFS('2024数据'!$AB$3:$AB$152,"&gt;="&amp;DATE(2024,6,1),'2024数据'!$AB$3:$AB$152,"&lt;="&amp;DATE(2024,6,30),'2024数据'!$BY$3:$BY$152,$E$35,'2024数据'!$B$3:$B$152,'2024整理'!$E1844)</f>
        <v>0</v>
      </c>
      <c r="L1852" s="111">
        <f>COUNTIFS('2024数据'!$AB$3:$AB$152,"&gt;="&amp;DATE(2024,7,1),'2024数据'!$AB$3:$AB$152,"&lt;="&amp;DATE(2024,7,31),'2024数据'!$BY$3:$BY$152,$E$35,'2024数据'!$B$3:$B$152,'2024整理'!$E1844)</f>
        <v>0</v>
      </c>
      <c r="M1852" s="111">
        <f>COUNTIFS('2024数据'!$AB$3:$AB$152,"&gt;="&amp;DATE(2024,8,1),'2024数据'!$AB$3:$AB$152,"&lt;="&amp;DATE(2024,8,31),'2024数据'!$BY$3:$BY$152,$E$35,'2024数据'!$B$3:$B$152,'2024整理'!$E1844)</f>
        <v>0</v>
      </c>
      <c r="N1852" s="111">
        <f>COUNTIFS('2024数据'!$AB$3:$AB$152,"&gt;="&amp;DATE(2024,9,1),'2024数据'!$AB$3:$AB$152,"&lt;="&amp;DATE(2024,9,30),'2024数据'!$BY$3:$BY$152,$E$35,'2024数据'!$B$3:$B$152,'2024整理'!$E1844)</f>
        <v>0</v>
      </c>
      <c r="O1852" s="111">
        <f>COUNTIFS('2024数据'!$AB$3:$AB$152,"&gt;="&amp;DATE(2024,10,1),'2024数据'!$AB$3:$AB$152,"&lt;="&amp;DATE(2024,10,31),'2024数据'!$BY$3:$BY$152,$E$35,'2024数据'!$B$3:$B$152,'2024整理'!$E1844)</f>
        <v>0</v>
      </c>
      <c r="P1852" s="111">
        <f>COUNTIFS('2024数据'!$AB$3:$AB$152,"&gt;="&amp;DATE(2024,11,1),'2024数据'!$AB$3:$AB$152,"&lt;="&amp;DATE(2024,11,30),'2024数据'!$BY$3:$BY$152,$E$35,'2024数据'!$B$3:$B$152,'2024整理'!$E1844)</f>
        <v>0</v>
      </c>
      <c r="Q1852" s="111">
        <f>COUNTIFS('2024数据'!$AB$3:$AB$152,"&gt;="&amp;DATE(2024,12,1),'2024数据'!$AB$3:$AB$152,"&lt;="&amp;DATE(2024,12,31),'2024数据'!$BY$3:$BY$152,$E$35,'2024数据'!$B$3:$B$152,'2024整理'!$E1844)</f>
        <v>0</v>
      </c>
    </row>
    <row r="1853" ht="24" customHeight="1" spans="1:17">
      <c r="A1853" s="99" t="s">
        <v>350</v>
      </c>
      <c r="B1853" s="99" t="s">
        <v>299</v>
      </c>
      <c r="C1853" s="99" t="s">
        <v>291</v>
      </c>
      <c r="D1853" s="53" t="s">
        <v>303</v>
      </c>
      <c r="E1853" s="53" t="s">
        <v>96</v>
      </c>
      <c r="F1853" s="111">
        <f>COUNTIFS('2024数据'!$AB$3:$AB$152,"&gt;="&amp;DATE(2024,1,1),'2024数据'!$AB$3:$AB$152,"&lt;="&amp;DATE(2024,1,31),'2024数据'!$BY$3:$BY$152,$E$35,'2024数据'!$B$3:$B$152,'2024整理'!$E1845)</f>
        <v>0</v>
      </c>
      <c r="G1853" s="111">
        <f>COUNTIFS('2024数据'!$AB$3:$AB$152,"&gt;="&amp;DATE(2024,2,1),'2024数据'!$AB$3:$AB$152,"&lt;="&amp;DATE(2024,2,29),'2024数据'!$BY$3:$BY$152,$E$35,'2024数据'!$B$3:$B$152,'2024整理'!$E1845)</f>
        <v>0</v>
      </c>
      <c r="H1853" s="111">
        <f>COUNTIFS('2024数据'!$AB$3:$AB$152,"&gt;="&amp;DATE(2024,3,1),'2024数据'!$AB$3:$AB$152,"&lt;="&amp;DATE(2024,3,31),'2024数据'!$BY$3:$BY$152,$E$35,'2024数据'!$B$3:$B$152,'2024整理'!$E1845)</f>
        <v>0</v>
      </c>
      <c r="I1853" s="111">
        <f>COUNTIFS('2024数据'!$AB$3:$AB$152,"&gt;="&amp;DATE(2024,4,1),'2024数据'!$AB$3:$AB$152,"&lt;="&amp;DATE(2024,4,30),'2024数据'!$BY$3:$BY$152,$E$35,'2024数据'!$B$3:$B$152,'2024整理'!$E1845)</f>
        <v>0</v>
      </c>
      <c r="J1853" s="111">
        <f>COUNTIFS('2024数据'!$AB$3:$AB$152,"&gt;="&amp;DATE(2024,5,1),'2024数据'!$AB$3:$AB$152,"&lt;="&amp;DATE(2024,5,31),'2024数据'!$BY$3:$BY$152,$E$35,'2024数据'!$B$3:$B$152,'2024整理'!$E1845)</f>
        <v>0</v>
      </c>
      <c r="K1853" s="111">
        <f>COUNTIFS('2024数据'!$AB$3:$AB$152,"&gt;="&amp;DATE(2024,6,1),'2024数据'!$AB$3:$AB$152,"&lt;="&amp;DATE(2024,6,30),'2024数据'!$BY$3:$BY$152,$E$35,'2024数据'!$B$3:$B$152,'2024整理'!$E1845)</f>
        <v>0</v>
      </c>
      <c r="L1853" s="111">
        <f>COUNTIFS('2024数据'!$AB$3:$AB$152,"&gt;="&amp;DATE(2024,7,1),'2024数据'!$AB$3:$AB$152,"&lt;="&amp;DATE(2024,7,31),'2024数据'!$BY$3:$BY$152,$E$35,'2024数据'!$B$3:$B$152,'2024整理'!$E1845)</f>
        <v>0</v>
      </c>
      <c r="M1853" s="111">
        <f>COUNTIFS('2024数据'!$AB$3:$AB$152,"&gt;="&amp;DATE(2024,8,1),'2024数据'!$AB$3:$AB$152,"&lt;="&amp;DATE(2024,8,31),'2024数据'!$BY$3:$BY$152,$E$35,'2024数据'!$B$3:$B$152,'2024整理'!$E1845)</f>
        <v>0</v>
      </c>
      <c r="N1853" s="111">
        <f>COUNTIFS('2024数据'!$AB$3:$AB$152,"&gt;="&amp;DATE(2024,9,1),'2024数据'!$AB$3:$AB$152,"&lt;="&amp;DATE(2024,9,30),'2024数据'!$BY$3:$BY$152,$E$35,'2024数据'!$B$3:$B$152,'2024整理'!$E1845)</f>
        <v>1</v>
      </c>
      <c r="O1853" s="111">
        <f>COUNTIFS('2024数据'!$AB$3:$AB$152,"&gt;="&amp;DATE(2024,10,1),'2024数据'!$AB$3:$AB$152,"&lt;="&amp;DATE(2024,10,31),'2024数据'!$BY$3:$BY$152,$E$35,'2024数据'!$B$3:$B$152,'2024整理'!$E1845)</f>
        <v>0</v>
      </c>
      <c r="P1853" s="111">
        <f>COUNTIFS('2024数据'!$AB$3:$AB$152,"&gt;="&amp;DATE(2024,11,1),'2024数据'!$AB$3:$AB$152,"&lt;="&amp;DATE(2024,11,30),'2024数据'!$BY$3:$BY$152,$E$35,'2024数据'!$B$3:$B$152,'2024整理'!$E1845)</f>
        <v>0</v>
      </c>
      <c r="Q1853" s="111">
        <f>COUNTIFS('2024数据'!$AB$3:$AB$152,"&gt;="&amp;DATE(2024,12,1),'2024数据'!$AB$3:$AB$152,"&lt;="&amp;DATE(2024,12,31),'2024数据'!$BY$3:$BY$152,$E$35,'2024数据'!$B$3:$B$152,'2024整理'!$E1845)</f>
        <v>0</v>
      </c>
    </row>
    <row r="1854" ht="24" customHeight="1" spans="1:17">
      <c r="A1854" s="99" t="s">
        <v>350</v>
      </c>
      <c r="B1854" s="99" t="s">
        <v>299</v>
      </c>
      <c r="C1854" s="99" t="s">
        <v>291</v>
      </c>
      <c r="D1854" s="53" t="s">
        <v>303</v>
      </c>
      <c r="E1854" s="53" t="s">
        <v>160</v>
      </c>
      <c r="F1854" s="111">
        <f>COUNTIFS('2024数据'!$AB$3:$AB$152,"&gt;="&amp;DATE(2024,1,1),'2024数据'!$AB$3:$AB$152,"&lt;="&amp;DATE(2024,1,31),'2024数据'!$BY$3:$BY$152,$E$35,'2024数据'!$B$3:$B$152,'2024整理'!$E1846)</f>
        <v>0</v>
      </c>
      <c r="G1854" s="111">
        <f>COUNTIFS('2024数据'!$AB$3:$AB$152,"&gt;="&amp;DATE(2024,2,1),'2024数据'!$AB$3:$AB$152,"&lt;="&amp;DATE(2024,2,29),'2024数据'!$BY$3:$BY$152,$E$35,'2024数据'!$B$3:$B$152,'2024整理'!$E1846)</f>
        <v>0</v>
      </c>
      <c r="H1854" s="111">
        <f>COUNTIFS('2024数据'!$AB$3:$AB$152,"&gt;="&amp;DATE(2024,3,1),'2024数据'!$AB$3:$AB$152,"&lt;="&amp;DATE(2024,3,31),'2024数据'!$BY$3:$BY$152,$E$35,'2024数据'!$B$3:$B$152,'2024整理'!$E1846)</f>
        <v>0</v>
      </c>
      <c r="I1854" s="111">
        <f>COUNTIFS('2024数据'!$AB$3:$AB$152,"&gt;="&amp;DATE(2024,4,1),'2024数据'!$AB$3:$AB$152,"&lt;="&amp;DATE(2024,4,30),'2024数据'!$BY$3:$BY$152,$E$35,'2024数据'!$B$3:$B$152,'2024整理'!$E1846)</f>
        <v>0</v>
      </c>
      <c r="J1854" s="111">
        <f>COUNTIFS('2024数据'!$AB$3:$AB$152,"&gt;="&amp;DATE(2024,5,1),'2024数据'!$AB$3:$AB$152,"&lt;="&amp;DATE(2024,5,31),'2024数据'!$BY$3:$BY$152,$E$35,'2024数据'!$B$3:$B$152,'2024整理'!$E1846)</f>
        <v>0</v>
      </c>
      <c r="K1854" s="111">
        <f>COUNTIFS('2024数据'!$AB$3:$AB$152,"&gt;="&amp;DATE(2024,6,1),'2024数据'!$AB$3:$AB$152,"&lt;="&amp;DATE(2024,6,30),'2024数据'!$BY$3:$BY$152,$E$35,'2024数据'!$B$3:$B$152,'2024整理'!$E1846)</f>
        <v>0</v>
      </c>
      <c r="L1854" s="111">
        <f>COUNTIFS('2024数据'!$AB$3:$AB$152,"&gt;="&amp;DATE(2024,7,1),'2024数据'!$AB$3:$AB$152,"&lt;="&amp;DATE(2024,7,31),'2024数据'!$BY$3:$BY$152,$E$35,'2024数据'!$B$3:$B$152,'2024整理'!$E1846)</f>
        <v>0</v>
      </c>
      <c r="M1854" s="111">
        <f>COUNTIFS('2024数据'!$AB$3:$AB$152,"&gt;="&amp;DATE(2024,8,1),'2024数据'!$AB$3:$AB$152,"&lt;="&amp;DATE(2024,8,31),'2024数据'!$BY$3:$BY$152,$E$35,'2024数据'!$B$3:$B$152,'2024整理'!$E1846)</f>
        <v>0</v>
      </c>
      <c r="N1854" s="111">
        <f>COUNTIFS('2024数据'!$AB$3:$AB$152,"&gt;="&amp;DATE(2024,9,1),'2024数据'!$AB$3:$AB$152,"&lt;="&amp;DATE(2024,9,30),'2024数据'!$BY$3:$BY$152,$E$35,'2024数据'!$B$3:$B$152,'2024整理'!$E1846)</f>
        <v>0</v>
      </c>
      <c r="O1854" s="111">
        <f>COUNTIFS('2024数据'!$AB$3:$AB$152,"&gt;="&amp;DATE(2024,10,1),'2024数据'!$AB$3:$AB$152,"&lt;="&amp;DATE(2024,10,31),'2024数据'!$BY$3:$BY$152,$E$35,'2024数据'!$B$3:$B$152,'2024整理'!$E1846)</f>
        <v>0</v>
      </c>
      <c r="P1854" s="111">
        <f>COUNTIFS('2024数据'!$AB$3:$AB$152,"&gt;="&amp;DATE(2024,11,1),'2024数据'!$AB$3:$AB$152,"&lt;="&amp;DATE(2024,11,30),'2024数据'!$BY$3:$BY$152,$E$35,'2024数据'!$B$3:$B$152,'2024整理'!$E1846)</f>
        <v>0</v>
      </c>
      <c r="Q1854" s="111">
        <f>COUNTIFS('2024数据'!$AB$3:$AB$152,"&gt;="&amp;DATE(2024,12,1),'2024数据'!$AB$3:$AB$152,"&lt;="&amp;DATE(2024,12,31),'2024数据'!$BY$3:$BY$152,$E$35,'2024数据'!$B$3:$B$152,'2024整理'!$E1846)</f>
        <v>0</v>
      </c>
    </row>
    <row r="1855" ht="24" customHeight="1" spans="1:17">
      <c r="A1855" s="99" t="s">
        <v>350</v>
      </c>
      <c r="B1855" s="99" t="s">
        <v>299</v>
      </c>
      <c r="C1855" s="99" t="s">
        <v>291</v>
      </c>
      <c r="D1855" s="53" t="s">
        <v>304</v>
      </c>
      <c r="E1855" s="53" t="s">
        <v>93</v>
      </c>
      <c r="F1855" s="111">
        <f>COUNTIFS('2024数据'!$AB$3:$AB$152,"&gt;="&amp;DATE(2024,1,1),'2024数据'!$AB$3:$AB$152,"&lt;="&amp;DATE(2024,1,31),'2024数据'!$BY$3:$BY$152,$E$36,'2024数据'!$B$3:$B$152,'2024整理'!$E1842)</f>
        <v>1</v>
      </c>
      <c r="G1855" s="111">
        <f>COUNTIFS('2024数据'!$AB$3:$AB$152,"&gt;="&amp;DATE(2024,2,1),'2024数据'!$AB$3:$AB$152,"&lt;="&amp;DATE(2024,2,29),'2024数据'!$BY$3:$BY$152,$E$36,'2024数据'!$B$3:$B$152,'2024整理'!$E1842)</f>
        <v>0</v>
      </c>
      <c r="H1855" s="111">
        <f>COUNTIFS('2024数据'!$AB$3:$AB$152,"&gt;="&amp;DATE(2024,3,1),'2024数据'!$AB$3:$AB$152,"&lt;="&amp;DATE(2024,3,31),'2024数据'!$BY$3:$BY$152,$E$36,'2024数据'!$B$3:$B$152,'2024整理'!$E1842)</f>
        <v>0</v>
      </c>
      <c r="I1855" s="111">
        <f>COUNTIFS('2024数据'!$AB$3:$AB$152,"&gt;="&amp;DATE(2024,4,1),'2024数据'!$AB$3:$AB$152,"&lt;="&amp;DATE(2024,4,30),'2024数据'!$BY$3:$BY$152,$E$36,'2024数据'!$B$3:$B$152,'2024整理'!$E1842)</f>
        <v>0</v>
      </c>
      <c r="J1855" s="111">
        <f>COUNTIFS('2024数据'!$AB$3:$AB$152,"&gt;="&amp;DATE(2024,5,1),'2024数据'!$AB$3:$AB$152,"&lt;="&amp;DATE(2024,5,31),'2024数据'!$BY$3:$BY$152,$E$36,'2024数据'!$B$3:$B$152,'2024整理'!$E1842)</f>
        <v>1</v>
      </c>
      <c r="K1855" s="111">
        <f>COUNTIFS('2024数据'!$AB$3:$AB$152,"&gt;="&amp;DATE(2024,6,1),'2024数据'!$AB$3:$AB$152,"&lt;="&amp;DATE(2024,6,30),'2024数据'!$BY$3:$BY$152,$E$36,'2024数据'!$B$3:$B$152,'2024整理'!$E1842)</f>
        <v>1</v>
      </c>
      <c r="L1855" s="111">
        <f>COUNTIFS('2024数据'!$AB$3:$AB$152,"&gt;="&amp;DATE(2024,7,1),'2024数据'!$AB$3:$AB$152,"&lt;="&amp;DATE(2024,7,31),'2024数据'!$BY$3:$BY$152,$E$36,'2024数据'!$B$3:$B$152,'2024整理'!$E1842)</f>
        <v>0</v>
      </c>
      <c r="M1855" s="111">
        <f>COUNTIFS('2024数据'!$AB$3:$AB$152,"&gt;="&amp;DATE(2024,8,1),'2024数据'!$AB$3:$AB$152,"&lt;="&amp;DATE(2024,8,31),'2024数据'!$BY$3:$BY$152,$E$36,'2024数据'!$B$3:$B$152,'2024整理'!$E1842)</f>
        <v>0</v>
      </c>
      <c r="N1855" s="111">
        <f>COUNTIFS('2024数据'!$AB$3:$AB$152,"&gt;="&amp;DATE(2024,9,1),'2024数据'!$AB$3:$AB$152,"&lt;="&amp;DATE(2024,9,30),'2024数据'!$BY$3:$BY$152,$E$36,'2024数据'!$B$3:$B$152,'2024整理'!$E1842)</f>
        <v>1</v>
      </c>
      <c r="O1855" s="111">
        <f>COUNTIFS('2024数据'!$AB$3:$AB$152,"&gt;="&amp;DATE(2024,10,1),'2024数据'!$AB$3:$AB$152,"&lt;="&amp;DATE(2024,10,31),'2024数据'!$BY$3:$BY$152,$E$36,'2024数据'!$B$3:$B$152,'2024整理'!$E1842)</f>
        <v>0</v>
      </c>
      <c r="P1855" s="111">
        <f>COUNTIFS('2024数据'!$AB$3:$AB$152,"&gt;="&amp;DATE(2024,11,1),'2024数据'!$AB$3:$AB$152,"&lt;="&amp;DATE(2024,11,30),'2024数据'!$BY$3:$BY$152,$E$36,'2024数据'!$B$3:$B$152,'2024整理'!$E1842)</f>
        <v>3</v>
      </c>
      <c r="Q1855" s="111">
        <f>COUNTIFS('2024数据'!$AB$3:$AB$152,"&gt;="&amp;DATE(2024,12,1),'2024数据'!$AB$3:$AB$152,"&lt;="&amp;DATE(2024,12,31),'2024数据'!$BY$3:$BY$152,$E$36,'2024数据'!$B$3:$B$152,'2024整理'!$E1842)</f>
        <v>0</v>
      </c>
    </row>
    <row r="1856" ht="24" customHeight="1" spans="1:17">
      <c r="A1856" s="99" t="s">
        <v>350</v>
      </c>
      <c r="B1856" s="99" t="s">
        <v>299</v>
      </c>
      <c r="C1856" s="99" t="s">
        <v>291</v>
      </c>
      <c r="D1856" s="53" t="s">
        <v>304</v>
      </c>
      <c r="E1856" s="53" t="s">
        <v>85</v>
      </c>
      <c r="F1856" s="111">
        <f>COUNTIFS('2024数据'!$AB$3:$AB$152,"&gt;="&amp;DATE(2024,1,1),'2024数据'!$AB$3:$AB$152,"&lt;="&amp;DATE(2024,1,31),'2024数据'!$BY$3:$BY$152,$E$36,'2024数据'!$B$3:$B$152,'2024整理'!$E1843)</f>
        <v>0</v>
      </c>
      <c r="G1856" s="111">
        <f>COUNTIFS('2024数据'!$AB$3:$AB$152,"&gt;="&amp;DATE(2024,2,1),'2024数据'!$AB$3:$AB$152,"&lt;="&amp;DATE(2024,2,29),'2024数据'!$BY$3:$BY$152,$E$36,'2024数据'!$B$3:$B$152,'2024整理'!$E1843)</f>
        <v>1</v>
      </c>
      <c r="H1856" s="111">
        <f>COUNTIFS('2024数据'!$AB$3:$AB$152,"&gt;="&amp;DATE(2024,3,1),'2024数据'!$AB$3:$AB$152,"&lt;="&amp;DATE(2024,3,31),'2024数据'!$BY$3:$BY$152,$E$36,'2024数据'!$B$3:$B$152,'2024整理'!$E1843)</f>
        <v>0</v>
      </c>
      <c r="I1856" s="111">
        <f>COUNTIFS('2024数据'!$AB$3:$AB$152,"&gt;="&amp;DATE(2024,4,1),'2024数据'!$AB$3:$AB$152,"&lt;="&amp;DATE(2024,4,30),'2024数据'!$BY$3:$BY$152,$E$36,'2024数据'!$B$3:$B$152,'2024整理'!$E1843)</f>
        <v>0</v>
      </c>
      <c r="J1856" s="111">
        <f>COUNTIFS('2024数据'!$AB$3:$AB$152,"&gt;="&amp;DATE(2024,5,1),'2024数据'!$AB$3:$AB$152,"&lt;="&amp;DATE(2024,5,31),'2024数据'!$BY$3:$BY$152,$E$36,'2024数据'!$B$3:$B$152,'2024整理'!$E1843)</f>
        <v>0</v>
      </c>
      <c r="K1856" s="111">
        <f>COUNTIFS('2024数据'!$AB$3:$AB$152,"&gt;="&amp;DATE(2024,6,1),'2024数据'!$AB$3:$AB$152,"&lt;="&amp;DATE(2024,6,30),'2024数据'!$BY$3:$BY$152,$E$36,'2024数据'!$B$3:$B$152,'2024整理'!$E1843)</f>
        <v>0</v>
      </c>
      <c r="L1856" s="111">
        <f>COUNTIFS('2024数据'!$AB$3:$AB$152,"&gt;="&amp;DATE(2024,7,1),'2024数据'!$AB$3:$AB$152,"&lt;="&amp;DATE(2024,7,31),'2024数据'!$BY$3:$BY$152,$E$36,'2024数据'!$B$3:$B$152,'2024整理'!$E1843)</f>
        <v>0</v>
      </c>
      <c r="M1856" s="111">
        <f>COUNTIFS('2024数据'!$AB$3:$AB$152,"&gt;="&amp;DATE(2024,8,1),'2024数据'!$AB$3:$AB$152,"&lt;="&amp;DATE(2024,8,31),'2024数据'!$BY$3:$BY$152,$E$36,'2024数据'!$B$3:$B$152,'2024整理'!$E1843)</f>
        <v>0</v>
      </c>
      <c r="N1856" s="111">
        <f>COUNTIFS('2024数据'!$AB$3:$AB$152,"&gt;="&amp;DATE(2024,9,1),'2024数据'!$AB$3:$AB$152,"&lt;="&amp;DATE(2024,9,30),'2024数据'!$BY$3:$BY$152,$E$36,'2024数据'!$B$3:$B$152,'2024整理'!$E1843)</f>
        <v>0</v>
      </c>
      <c r="O1856" s="111">
        <f>COUNTIFS('2024数据'!$AB$3:$AB$152,"&gt;="&amp;DATE(2024,10,1),'2024数据'!$AB$3:$AB$152,"&lt;="&amp;DATE(2024,10,31),'2024数据'!$BY$3:$BY$152,$E$36,'2024数据'!$B$3:$B$152,'2024整理'!$E1843)</f>
        <v>0</v>
      </c>
      <c r="P1856" s="111">
        <f>COUNTIFS('2024数据'!$AB$3:$AB$152,"&gt;="&amp;DATE(2024,11,1),'2024数据'!$AB$3:$AB$152,"&lt;="&amp;DATE(2024,11,30),'2024数据'!$BY$3:$BY$152,$E$36,'2024数据'!$B$3:$B$152,'2024整理'!$E1843)</f>
        <v>0</v>
      </c>
      <c r="Q1856" s="111">
        <f>COUNTIFS('2024数据'!$AB$3:$AB$152,"&gt;="&amp;DATE(2024,12,1),'2024数据'!$AB$3:$AB$152,"&lt;="&amp;DATE(2024,12,31),'2024数据'!$BY$3:$BY$152,$E$36,'2024数据'!$B$3:$B$152,'2024整理'!$E1843)</f>
        <v>0</v>
      </c>
    </row>
    <row r="1857" ht="24" customHeight="1" spans="1:17">
      <c r="A1857" s="99" t="s">
        <v>350</v>
      </c>
      <c r="B1857" s="99" t="s">
        <v>299</v>
      </c>
      <c r="C1857" s="99" t="s">
        <v>291</v>
      </c>
      <c r="D1857" s="53" t="s">
        <v>304</v>
      </c>
      <c r="E1857" s="53" t="s">
        <v>81</v>
      </c>
      <c r="F1857" s="111">
        <f>COUNTIFS('2024数据'!$AB$3:$AB$152,"&gt;="&amp;DATE(2024,1,1),'2024数据'!$AB$3:$AB$152,"&lt;="&amp;DATE(2024,1,31),'2024数据'!$BY$3:$BY$152,$E$36,'2024数据'!$B$3:$B$152,'2024整理'!$E1844)</f>
        <v>0</v>
      </c>
      <c r="G1857" s="111">
        <f>COUNTIFS('2024数据'!$AB$3:$AB$152,"&gt;="&amp;DATE(2024,2,1),'2024数据'!$AB$3:$AB$152,"&lt;="&amp;DATE(2024,2,29),'2024数据'!$BY$3:$BY$152,$E$36,'2024数据'!$B$3:$B$152,'2024整理'!$E1844)</f>
        <v>0</v>
      </c>
      <c r="H1857" s="111">
        <f>COUNTIFS('2024数据'!$AB$3:$AB$152,"&gt;="&amp;DATE(2024,3,1),'2024数据'!$AB$3:$AB$152,"&lt;="&amp;DATE(2024,3,31),'2024数据'!$BY$3:$BY$152,$E$36,'2024数据'!$B$3:$B$152,'2024整理'!$E1844)</f>
        <v>0</v>
      </c>
      <c r="I1857" s="111">
        <f>COUNTIFS('2024数据'!$AB$3:$AB$152,"&gt;="&amp;DATE(2024,4,1),'2024数据'!$AB$3:$AB$152,"&lt;="&amp;DATE(2024,4,30),'2024数据'!$BY$3:$BY$152,$E$36,'2024数据'!$B$3:$B$152,'2024整理'!$E1844)</f>
        <v>0</v>
      </c>
      <c r="J1857" s="111">
        <f>COUNTIFS('2024数据'!$AB$3:$AB$152,"&gt;="&amp;DATE(2024,5,1),'2024数据'!$AB$3:$AB$152,"&lt;="&amp;DATE(2024,5,31),'2024数据'!$BY$3:$BY$152,$E$36,'2024数据'!$B$3:$B$152,'2024整理'!$E1844)</f>
        <v>0</v>
      </c>
      <c r="K1857" s="111">
        <f>COUNTIFS('2024数据'!$AB$3:$AB$152,"&gt;="&amp;DATE(2024,6,1),'2024数据'!$AB$3:$AB$152,"&lt;="&amp;DATE(2024,6,30),'2024数据'!$BY$3:$BY$152,$E$36,'2024数据'!$B$3:$B$152,'2024整理'!$E1844)</f>
        <v>0</v>
      </c>
      <c r="L1857" s="111">
        <f>COUNTIFS('2024数据'!$AB$3:$AB$152,"&gt;="&amp;DATE(2024,7,1),'2024数据'!$AB$3:$AB$152,"&lt;="&amp;DATE(2024,7,31),'2024数据'!$BY$3:$BY$152,$E$36,'2024数据'!$B$3:$B$152,'2024整理'!$E1844)</f>
        <v>0</v>
      </c>
      <c r="M1857" s="111">
        <f>COUNTIFS('2024数据'!$AB$3:$AB$152,"&gt;="&amp;DATE(2024,8,1),'2024数据'!$AB$3:$AB$152,"&lt;="&amp;DATE(2024,8,31),'2024数据'!$BY$3:$BY$152,$E$36,'2024数据'!$B$3:$B$152,'2024整理'!$E1844)</f>
        <v>0</v>
      </c>
      <c r="N1857" s="111">
        <f>COUNTIFS('2024数据'!$AB$3:$AB$152,"&gt;="&amp;DATE(2024,9,1),'2024数据'!$AB$3:$AB$152,"&lt;="&amp;DATE(2024,9,30),'2024数据'!$BY$3:$BY$152,$E$36,'2024数据'!$B$3:$B$152,'2024整理'!$E1844)</f>
        <v>0</v>
      </c>
      <c r="O1857" s="111">
        <f>COUNTIFS('2024数据'!$AB$3:$AB$152,"&gt;="&amp;DATE(2024,10,1),'2024数据'!$AB$3:$AB$152,"&lt;="&amp;DATE(2024,10,31),'2024数据'!$BY$3:$BY$152,$E$36,'2024数据'!$B$3:$B$152,'2024整理'!$E1844)</f>
        <v>0</v>
      </c>
      <c r="P1857" s="111">
        <f>COUNTIFS('2024数据'!$AB$3:$AB$152,"&gt;="&amp;DATE(2024,11,1),'2024数据'!$AB$3:$AB$152,"&lt;="&amp;DATE(2024,11,30),'2024数据'!$BY$3:$BY$152,$E$36,'2024数据'!$B$3:$B$152,'2024整理'!$E1844)</f>
        <v>0</v>
      </c>
      <c r="Q1857" s="111">
        <f>COUNTIFS('2024数据'!$AB$3:$AB$152,"&gt;="&amp;DATE(2024,12,1),'2024数据'!$AB$3:$AB$152,"&lt;="&amp;DATE(2024,12,31),'2024数据'!$BY$3:$BY$152,$E$36,'2024数据'!$B$3:$B$152,'2024整理'!$E1844)</f>
        <v>1</v>
      </c>
    </row>
    <row r="1858" ht="24" customHeight="1" spans="1:17">
      <c r="A1858" s="99" t="s">
        <v>350</v>
      </c>
      <c r="B1858" s="99" t="s">
        <v>299</v>
      </c>
      <c r="C1858" s="99" t="s">
        <v>291</v>
      </c>
      <c r="D1858" s="53" t="s">
        <v>304</v>
      </c>
      <c r="E1858" s="53" t="s">
        <v>96</v>
      </c>
      <c r="F1858" s="111">
        <f>COUNTIFS('2024数据'!$AB$3:$AB$152,"&gt;="&amp;DATE(2024,1,1),'2024数据'!$AB$3:$AB$152,"&lt;="&amp;DATE(2024,1,31),'2024数据'!$BY$3:$BY$152,$E$36,'2024数据'!$B$3:$B$152,'2024整理'!$E1845)</f>
        <v>0</v>
      </c>
      <c r="G1858" s="111">
        <f>COUNTIFS('2024数据'!$AB$3:$AB$152,"&gt;="&amp;DATE(2024,2,1),'2024数据'!$AB$3:$AB$152,"&lt;="&amp;DATE(2024,2,29),'2024数据'!$BY$3:$BY$152,$E$36,'2024数据'!$B$3:$B$152,'2024整理'!$E1845)</f>
        <v>0</v>
      </c>
      <c r="H1858" s="111">
        <f>COUNTIFS('2024数据'!$AB$3:$AB$152,"&gt;="&amp;DATE(2024,3,1),'2024数据'!$AB$3:$AB$152,"&lt;="&amp;DATE(2024,3,31),'2024数据'!$BY$3:$BY$152,$E$36,'2024数据'!$B$3:$B$152,'2024整理'!$E1845)</f>
        <v>0</v>
      </c>
      <c r="I1858" s="111">
        <f>COUNTIFS('2024数据'!$AB$3:$AB$152,"&gt;="&amp;DATE(2024,4,1),'2024数据'!$AB$3:$AB$152,"&lt;="&amp;DATE(2024,4,30),'2024数据'!$BY$3:$BY$152,$E$36,'2024数据'!$B$3:$B$152,'2024整理'!$E1845)</f>
        <v>0</v>
      </c>
      <c r="J1858" s="111">
        <f>COUNTIFS('2024数据'!$AB$3:$AB$152,"&gt;="&amp;DATE(2024,5,1),'2024数据'!$AB$3:$AB$152,"&lt;="&amp;DATE(2024,5,31),'2024数据'!$BY$3:$BY$152,$E$36,'2024数据'!$B$3:$B$152,'2024整理'!$E1845)</f>
        <v>0</v>
      </c>
      <c r="K1858" s="111">
        <f>COUNTIFS('2024数据'!$AB$3:$AB$152,"&gt;="&amp;DATE(2024,6,1),'2024数据'!$AB$3:$AB$152,"&lt;="&amp;DATE(2024,6,30),'2024数据'!$BY$3:$BY$152,$E$36,'2024数据'!$B$3:$B$152,'2024整理'!$E1845)</f>
        <v>0</v>
      </c>
      <c r="L1858" s="111">
        <f>COUNTIFS('2024数据'!$AB$3:$AB$152,"&gt;="&amp;DATE(2024,7,1),'2024数据'!$AB$3:$AB$152,"&lt;="&amp;DATE(2024,7,31),'2024数据'!$BY$3:$BY$152,$E$36,'2024数据'!$B$3:$B$152,'2024整理'!$E1845)</f>
        <v>0</v>
      </c>
      <c r="M1858" s="111">
        <f>COUNTIFS('2024数据'!$AB$3:$AB$152,"&gt;="&amp;DATE(2024,8,1),'2024数据'!$AB$3:$AB$152,"&lt;="&amp;DATE(2024,8,31),'2024数据'!$BY$3:$BY$152,$E$36,'2024数据'!$B$3:$B$152,'2024整理'!$E1845)</f>
        <v>0</v>
      </c>
      <c r="N1858" s="111">
        <f>COUNTIFS('2024数据'!$AB$3:$AB$152,"&gt;="&amp;DATE(2024,9,1),'2024数据'!$AB$3:$AB$152,"&lt;="&amp;DATE(2024,9,30),'2024数据'!$BY$3:$BY$152,$E$36,'2024数据'!$B$3:$B$152,'2024整理'!$E1845)</f>
        <v>0</v>
      </c>
      <c r="O1858" s="111">
        <f>COUNTIFS('2024数据'!$AB$3:$AB$152,"&gt;="&amp;DATE(2024,10,1),'2024数据'!$AB$3:$AB$152,"&lt;="&amp;DATE(2024,10,31),'2024数据'!$BY$3:$BY$152,$E$36,'2024数据'!$B$3:$B$152,'2024整理'!$E1845)</f>
        <v>0</v>
      </c>
      <c r="P1858" s="111">
        <f>COUNTIFS('2024数据'!$AB$3:$AB$152,"&gt;="&amp;DATE(2024,11,1),'2024数据'!$AB$3:$AB$152,"&lt;="&amp;DATE(2024,11,30),'2024数据'!$BY$3:$BY$152,$E$36,'2024数据'!$B$3:$B$152,'2024整理'!$E1845)</f>
        <v>0</v>
      </c>
      <c r="Q1858" s="111">
        <f>COUNTIFS('2024数据'!$AB$3:$AB$152,"&gt;="&amp;DATE(2024,12,1),'2024数据'!$AB$3:$AB$152,"&lt;="&amp;DATE(2024,12,31),'2024数据'!$BY$3:$BY$152,$E$36,'2024数据'!$B$3:$B$152,'2024整理'!$E1845)</f>
        <v>0</v>
      </c>
    </row>
    <row r="1859" ht="24" customHeight="1" spans="1:17">
      <c r="A1859" s="99" t="s">
        <v>350</v>
      </c>
      <c r="B1859" s="99" t="s">
        <v>299</v>
      </c>
      <c r="C1859" s="99" t="s">
        <v>291</v>
      </c>
      <c r="D1859" s="53" t="s">
        <v>304</v>
      </c>
      <c r="E1859" s="53" t="s">
        <v>160</v>
      </c>
      <c r="F1859" s="111">
        <f>COUNTIFS('2024数据'!$AB$3:$AB$152,"&gt;="&amp;DATE(2024,1,1),'2024数据'!$AB$3:$AB$152,"&lt;="&amp;DATE(2024,1,31),'2024数据'!$BY$3:$BY$152,$E$36,'2024数据'!$B$3:$B$152,'2024整理'!$E1846)</f>
        <v>0</v>
      </c>
      <c r="G1859" s="111">
        <f>COUNTIFS('2024数据'!$AB$3:$AB$152,"&gt;="&amp;DATE(2024,2,1),'2024数据'!$AB$3:$AB$152,"&lt;="&amp;DATE(2024,2,29),'2024数据'!$BY$3:$BY$152,$E$36,'2024数据'!$B$3:$B$152,'2024整理'!$E1846)</f>
        <v>0</v>
      </c>
      <c r="H1859" s="111">
        <f>COUNTIFS('2024数据'!$AB$3:$AB$152,"&gt;="&amp;DATE(2024,3,1),'2024数据'!$AB$3:$AB$152,"&lt;="&amp;DATE(2024,3,31),'2024数据'!$BY$3:$BY$152,$E$36,'2024数据'!$B$3:$B$152,'2024整理'!$E1846)</f>
        <v>0</v>
      </c>
      <c r="I1859" s="111">
        <f>COUNTIFS('2024数据'!$AB$3:$AB$152,"&gt;="&amp;DATE(2024,4,1),'2024数据'!$AB$3:$AB$152,"&lt;="&amp;DATE(2024,4,30),'2024数据'!$BY$3:$BY$152,$E$36,'2024数据'!$B$3:$B$152,'2024整理'!$E1846)</f>
        <v>0</v>
      </c>
      <c r="J1859" s="111">
        <f>COUNTIFS('2024数据'!$AB$3:$AB$152,"&gt;="&amp;DATE(2024,5,1),'2024数据'!$AB$3:$AB$152,"&lt;="&amp;DATE(2024,5,31),'2024数据'!$BY$3:$BY$152,$E$36,'2024数据'!$B$3:$B$152,'2024整理'!$E1846)</f>
        <v>0</v>
      </c>
      <c r="K1859" s="111">
        <f>COUNTIFS('2024数据'!$AB$3:$AB$152,"&gt;="&amp;DATE(2024,6,1),'2024数据'!$AB$3:$AB$152,"&lt;="&amp;DATE(2024,6,30),'2024数据'!$BY$3:$BY$152,$E$36,'2024数据'!$B$3:$B$152,'2024整理'!$E1846)</f>
        <v>0</v>
      </c>
      <c r="L1859" s="111">
        <f>COUNTIFS('2024数据'!$AB$3:$AB$152,"&gt;="&amp;DATE(2024,7,1),'2024数据'!$AB$3:$AB$152,"&lt;="&amp;DATE(2024,7,31),'2024数据'!$BY$3:$BY$152,$E$36,'2024数据'!$B$3:$B$152,'2024整理'!$E1846)</f>
        <v>0</v>
      </c>
      <c r="M1859" s="111">
        <f>COUNTIFS('2024数据'!$AB$3:$AB$152,"&gt;="&amp;DATE(2024,8,1),'2024数据'!$AB$3:$AB$152,"&lt;="&amp;DATE(2024,8,31),'2024数据'!$BY$3:$BY$152,$E$36,'2024数据'!$B$3:$B$152,'2024整理'!$E1846)</f>
        <v>0</v>
      </c>
      <c r="N1859" s="111">
        <f>COUNTIFS('2024数据'!$AB$3:$AB$152,"&gt;="&amp;DATE(2024,9,1),'2024数据'!$AB$3:$AB$152,"&lt;="&amp;DATE(2024,9,30),'2024数据'!$BY$3:$BY$152,$E$36,'2024数据'!$B$3:$B$152,'2024整理'!$E1846)</f>
        <v>0</v>
      </c>
      <c r="O1859" s="111">
        <f>COUNTIFS('2024数据'!$AB$3:$AB$152,"&gt;="&amp;DATE(2024,10,1),'2024数据'!$AB$3:$AB$152,"&lt;="&amp;DATE(2024,10,31),'2024数据'!$BY$3:$BY$152,$E$36,'2024数据'!$B$3:$B$152,'2024整理'!$E1846)</f>
        <v>0</v>
      </c>
      <c r="P1859" s="111">
        <f>COUNTIFS('2024数据'!$AB$3:$AB$152,"&gt;="&amp;DATE(2024,11,1),'2024数据'!$AB$3:$AB$152,"&lt;="&amp;DATE(2024,11,30),'2024数据'!$BY$3:$BY$152,$E$36,'2024数据'!$B$3:$B$152,'2024整理'!$E1846)</f>
        <v>0</v>
      </c>
      <c r="Q1859" s="111">
        <f>COUNTIFS('2024数据'!$AB$3:$AB$152,"&gt;="&amp;DATE(2024,12,1),'2024数据'!$AB$3:$AB$152,"&lt;="&amp;DATE(2024,12,31),'2024数据'!$BY$3:$BY$152,$E$36,'2024数据'!$B$3:$B$152,'2024整理'!$E1846)</f>
        <v>0</v>
      </c>
    </row>
    <row r="1860" ht="24" customHeight="1" spans="1:17">
      <c r="A1860" s="99" t="s">
        <v>350</v>
      </c>
      <c r="B1860" s="99" t="s">
        <v>299</v>
      </c>
      <c r="C1860" s="99" t="s">
        <v>291</v>
      </c>
      <c r="D1860" s="53" t="s">
        <v>305</v>
      </c>
      <c r="E1860" s="53" t="s">
        <v>93</v>
      </c>
      <c r="F1860" s="111">
        <f>COUNTIFS('2024数据'!$AB$3:$AB$152,"&gt;="&amp;DATE(2024,1,1),'2024数据'!$AB$3:$AB$152,"&lt;="&amp;DATE(2024,1,31),'2024数据'!$BY$3:$BY$152,$E$37,'2024数据'!$B$3:$B$152,'2024整理'!$E1842)</f>
        <v>0</v>
      </c>
      <c r="G1860" s="111">
        <f>COUNTIFS('2024数据'!$AB$3:$AB$152,"&gt;="&amp;DATE(2024,2,1),'2024数据'!$AB$3:$AB$152,"&lt;="&amp;DATE(2024,2,29),'2024数据'!$BY$3:$BY$152,$E$37,'2024数据'!$B$3:$B$152,'2024整理'!$E1842)</f>
        <v>0</v>
      </c>
      <c r="H1860" s="111">
        <f>COUNTIFS('2024数据'!$AB$3:$AB$152,"&gt;="&amp;DATE(2024,3,1),'2024数据'!$AB$3:$AB$152,"&lt;="&amp;DATE(2024,3,31),'2024数据'!$BY$3:$BY$152,$E$37,'2024数据'!$B$3:$B$152,'2024整理'!$E1842)</f>
        <v>0</v>
      </c>
      <c r="I1860" s="111">
        <f>COUNTIFS('2024数据'!$AB$3:$AB$152,"&gt;="&amp;DATE(2024,4,1),'2024数据'!$AB$3:$AB$152,"&lt;="&amp;DATE(2024,4,30),'2024数据'!$BY$3:$BY$152,$E$37,'2024数据'!$B$3:$B$152,'2024整理'!$E1842)</f>
        <v>0</v>
      </c>
      <c r="J1860" s="111">
        <f>COUNTIFS('2024数据'!$AB$3:$AB$152,"&gt;="&amp;DATE(2024,5,1),'2024数据'!$AB$3:$AB$152,"&lt;="&amp;DATE(2024,5,31),'2024数据'!$BY$3:$BY$152,$E$37,'2024数据'!$B$3:$B$152,'2024整理'!$E1842)</f>
        <v>0</v>
      </c>
      <c r="K1860" s="111">
        <f>COUNTIFS('2024数据'!$AB$3:$AB$152,"&gt;="&amp;DATE(2024,6,1),'2024数据'!$AB$3:$AB$152,"&lt;="&amp;DATE(2024,6,30),'2024数据'!$BY$3:$BY$152,$E$37,'2024数据'!$B$3:$B$152,'2024整理'!$E1842)</f>
        <v>0</v>
      </c>
      <c r="L1860" s="111">
        <f>COUNTIFS('2024数据'!$AB$3:$AB$152,"&gt;="&amp;DATE(2024,7,1),'2024数据'!$AB$3:$AB$152,"&lt;="&amp;DATE(2024,7,31),'2024数据'!$BY$3:$BY$152,$E$37,'2024数据'!$B$3:$B$152,'2024整理'!$E1842)</f>
        <v>0</v>
      </c>
      <c r="M1860" s="111">
        <f>COUNTIFS('2024数据'!$AB$3:$AB$152,"&gt;="&amp;DATE(2024,8,1),'2024数据'!$AB$3:$AB$152,"&lt;="&amp;DATE(2024,8,31),'2024数据'!$BY$3:$BY$152,$E$37,'2024数据'!$B$3:$B$152,'2024整理'!$E1842)</f>
        <v>1</v>
      </c>
      <c r="N1860" s="111">
        <f>COUNTIFS('2024数据'!$AB$3:$AB$152,"&gt;="&amp;DATE(2024,9,1),'2024数据'!$AB$3:$AB$152,"&lt;="&amp;DATE(2024,9,30),'2024数据'!$BY$3:$BY$152,$E$37,'2024数据'!$B$3:$B$152,'2024整理'!$E1842)</f>
        <v>1</v>
      </c>
      <c r="O1860" s="111">
        <f>COUNTIFS('2024数据'!$AB$3:$AB$152,"&gt;="&amp;DATE(2024,10,1),'2024数据'!$AB$3:$AB$152,"&lt;="&amp;DATE(2024,10,31),'2024数据'!$BY$3:$BY$152,$E$37,'2024数据'!$B$3:$B$152,'2024整理'!$E1842)</f>
        <v>0</v>
      </c>
      <c r="P1860" s="111">
        <f>COUNTIFS('2024数据'!$AB$3:$AB$152,"&gt;="&amp;DATE(2024,11,1),'2024数据'!$AB$3:$AB$152,"&lt;="&amp;DATE(2024,11,30),'2024数据'!$BY$3:$BY$152,$E$37,'2024数据'!$B$3:$B$152,'2024整理'!$E1842)</f>
        <v>1</v>
      </c>
      <c r="Q1860" s="111">
        <f>COUNTIFS('2024数据'!$AB$3:$AB$152,"&gt;="&amp;DATE(2024,12,1),'2024数据'!$AB$3:$AB$152,"&lt;="&amp;DATE(2024,12,31),'2024数据'!$BY$3:$BY$152,$E$37,'2024数据'!$B$3:$B$152,'2024整理'!$E1842)</f>
        <v>0</v>
      </c>
    </row>
    <row r="1861" ht="24" customHeight="1" spans="1:17">
      <c r="A1861" s="99" t="s">
        <v>350</v>
      </c>
      <c r="B1861" s="99" t="s">
        <v>299</v>
      </c>
      <c r="C1861" s="99" t="s">
        <v>291</v>
      </c>
      <c r="D1861" s="53" t="s">
        <v>305</v>
      </c>
      <c r="E1861" s="53" t="s">
        <v>85</v>
      </c>
      <c r="F1861" s="111">
        <f>COUNTIFS('2024数据'!$AB$3:$AB$152,"&gt;="&amp;DATE(2024,1,1),'2024数据'!$AB$3:$AB$152,"&lt;="&amp;DATE(2024,1,31),'2024数据'!$BY$3:$BY$152,$E$37,'2024数据'!$B$3:$B$152,'2024整理'!$E1843)</f>
        <v>0</v>
      </c>
      <c r="G1861" s="111">
        <f>COUNTIFS('2024数据'!$AB$3:$AB$152,"&gt;="&amp;DATE(2024,2,1),'2024数据'!$AB$3:$AB$152,"&lt;="&amp;DATE(2024,2,29),'2024数据'!$BY$3:$BY$152,$E$37,'2024数据'!$B$3:$B$152,'2024整理'!$E1843)</f>
        <v>0</v>
      </c>
      <c r="H1861" s="111">
        <f>COUNTIFS('2024数据'!$AB$3:$AB$152,"&gt;="&amp;DATE(2024,3,1),'2024数据'!$AB$3:$AB$152,"&lt;="&amp;DATE(2024,3,31),'2024数据'!$BY$3:$BY$152,$E$37,'2024数据'!$B$3:$B$152,'2024整理'!$E1843)</f>
        <v>0</v>
      </c>
      <c r="I1861" s="111">
        <f>COUNTIFS('2024数据'!$AB$3:$AB$152,"&gt;="&amp;DATE(2024,4,1),'2024数据'!$AB$3:$AB$152,"&lt;="&amp;DATE(2024,4,30),'2024数据'!$BY$3:$BY$152,$E$37,'2024数据'!$B$3:$B$152,'2024整理'!$E1843)</f>
        <v>0</v>
      </c>
      <c r="J1861" s="111">
        <f>COUNTIFS('2024数据'!$AB$3:$AB$152,"&gt;="&amp;DATE(2024,5,1),'2024数据'!$AB$3:$AB$152,"&lt;="&amp;DATE(2024,5,31),'2024数据'!$BY$3:$BY$152,$E$37,'2024数据'!$B$3:$B$152,'2024整理'!$E1843)</f>
        <v>1</v>
      </c>
      <c r="K1861" s="111">
        <f>COUNTIFS('2024数据'!$AB$3:$AB$152,"&gt;="&amp;DATE(2024,6,1),'2024数据'!$AB$3:$AB$152,"&lt;="&amp;DATE(2024,6,30),'2024数据'!$BY$3:$BY$152,$E$37,'2024数据'!$B$3:$B$152,'2024整理'!$E1843)</f>
        <v>1</v>
      </c>
      <c r="L1861" s="111">
        <f>COUNTIFS('2024数据'!$AB$3:$AB$152,"&gt;="&amp;DATE(2024,7,1),'2024数据'!$AB$3:$AB$152,"&lt;="&amp;DATE(2024,7,31),'2024数据'!$BY$3:$BY$152,$E$37,'2024数据'!$B$3:$B$152,'2024整理'!$E1843)</f>
        <v>0</v>
      </c>
      <c r="M1861" s="111">
        <f>COUNTIFS('2024数据'!$AB$3:$AB$152,"&gt;="&amp;DATE(2024,8,1),'2024数据'!$AB$3:$AB$152,"&lt;="&amp;DATE(2024,8,31),'2024数据'!$BY$3:$BY$152,$E$37,'2024数据'!$B$3:$B$152,'2024整理'!$E1843)</f>
        <v>0</v>
      </c>
      <c r="N1861" s="111">
        <f>COUNTIFS('2024数据'!$AB$3:$AB$152,"&gt;="&amp;DATE(2024,9,1),'2024数据'!$AB$3:$AB$152,"&lt;="&amp;DATE(2024,9,30),'2024数据'!$BY$3:$BY$152,$E$37,'2024数据'!$B$3:$B$152,'2024整理'!$E1843)</f>
        <v>0</v>
      </c>
      <c r="O1861" s="111">
        <f>COUNTIFS('2024数据'!$AB$3:$AB$152,"&gt;="&amp;DATE(2024,10,1),'2024数据'!$AB$3:$AB$152,"&lt;="&amp;DATE(2024,10,31),'2024数据'!$BY$3:$BY$152,$E$37,'2024数据'!$B$3:$B$152,'2024整理'!$E1843)</f>
        <v>0</v>
      </c>
      <c r="P1861" s="111">
        <f>COUNTIFS('2024数据'!$AB$3:$AB$152,"&gt;="&amp;DATE(2024,11,1),'2024数据'!$AB$3:$AB$152,"&lt;="&amp;DATE(2024,11,30),'2024数据'!$BY$3:$BY$152,$E$37,'2024数据'!$B$3:$B$152,'2024整理'!$E1843)</f>
        <v>0</v>
      </c>
      <c r="Q1861" s="111">
        <f>COUNTIFS('2024数据'!$AB$3:$AB$152,"&gt;="&amp;DATE(2024,12,1),'2024数据'!$AB$3:$AB$152,"&lt;="&amp;DATE(2024,12,31),'2024数据'!$BY$3:$BY$152,$E$37,'2024数据'!$B$3:$B$152,'2024整理'!$E1843)</f>
        <v>0</v>
      </c>
    </row>
    <row r="1862" ht="24" customHeight="1" spans="1:17">
      <c r="A1862" s="99" t="s">
        <v>350</v>
      </c>
      <c r="B1862" s="99" t="s">
        <v>299</v>
      </c>
      <c r="C1862" s="99" t="s">
        <v>291</v>
      </c>
      <c r="D1862" s="53" t="s">
        <v>305</v>
      </c>
      <c r="E1862" s="53" t="s">
        <v>81</v>
      </c>
      <c r="F1862" s="111">
        <f>COUNTIFS('2024数据'!$AB$3:$AB$152,"&gt;="&amp;DATE(2024,1,1),'2024数据'!$AB$3:$AB$152,"&lt;="&amp;DATE(2024,1,31),'2024数据'!$BY$3:$BY$152,$E$37,'2024数据'!$B$3:$B$152,'2024整理'!$E1844)</f>
        <v>0</v>
      </c>
      <c r="G1862" s="111">
        <f>COUNTIFS('2024数据'!$AB$3:$AB$152,"&gt;="&amp;DATE(2024,2,1),'2024数据'!$AB$3:$AB$152,"&lt;="&amp;DATE(2024,2,29),'2024数据'!$BY$3:$BY$152,$E$37,'2024数据'!$B$3:$B$152,'2024整理'!$E1844)</f>
        <v>0</v>
      </c>
      <c r="H1862" s="111">
        <f>COUNTIFS('2024数据'!$AB$3:$AB$152,"&gt;="&amp;DATE(2024,3,1),'2024数据'!$AB$3:$AB$152,"&lt;="&amp;DATE(2024,3,31),'2024数据'!$BY$3:$BY$152,$E$37,'2024数据'!$B$3:$B$152,'2024整理'!$E1844)</f>
        <v>0</v>
      </c>
      <c r="I1862" s="111">
        <f>COUNTIFS('2024数据'!$AB$3:$AB$152,"&gt;="&amp;DATE(2024,4,1),'2024数据'!$AB$3:$AB$152,"&lt;="&amp;DATE(2024,4,30),'2024数据'!$BY$3:$BY$152,$E$37,'2024数据'!$B$3:$B$152,'2024整理'!$E1844)</f>
        <v>0</v>
      </c>
      <c r="J1862" s="111">
        <f>COUNTIFS('2024数据'!$AB$3:$AB$152,"&gt;="&amp;DATE(2024,5,1),'2024数据'!$AB$3:$AB$152,"&lt;="&amp;DATE(2024,5,31),'2024数据'!$BY$3:$BY$152,$E$37,'2024数据'!$B$3:$B$152,'2024整理'!$E1844)</f>
        <v>0</v>
      </c>
      <c r="K1862" s="111">
        <f>COUNTIFS('2024数据'!$AB$3:$AB$152,"&gt;="&amp;DATE(2024,6,1),'2024数据'!$AB$3:$AB$152,"&lt;="&amp;DATE(2024,6,30),'2024数据'!$BY$3:$BY$152,$E$37,'2024数据'!$B$3:$B$152,'2024整理'!$E1844)</f>
        <v>0</v>
      </c>
      <c r="L1862" s="111">
        <f>COUNTIFS('2024数据'!$AB$3:$AB$152,"&gt;="&amp;DATE(2024,7,1),'2024数据'!$AB$3:$AB$152,"&lt;="&amp;DATE(2024,7,31),'2024数据'!$BY$3:$BY$152,$E$37,'2024数据'!$B$3:$B$152,'2024整理'!$E1844)</f>
        <v>0</v>
      </c>
      <c r="M1862" s="111">
        <f>COUNTIFS('2024数据'!$AB$3:$AB$152,"&gt;="&amp;DATE(2024,8,1),'2024数据'!$AB$3:$AB$152,"&lt;="&amp;DATE(2024,8,31),'2024数据'!$BY$3:$BY$152,$E$37,'2024数据'!$B$3:$B$152,'2024整理'!$E1844)</f>
        <v>0</v>
      </c>
      <c r="N1862" s="111">
        <f>COUNTIFS('2024数据'!$AB$3:$AB$152,"&gt;="&amp;DATE(2024,9,1),'2024数据'!$AB$3:$AB$152,"&lt;="&amp;DATE(2024,9,30),'2024数据'!$BY$3:$BY$152,$E$37,'2024数据'!$B$3:$B$152,'2024整理'!$E1844)</f>
        <v>0</v>
      </c>
      <c r="O1862" s="111">
        <f>COUNTIFS('2024数据'!$AB$3:$AB$152,"&gt;="&amp;DATE(2024,10,1),'2024数据'!$AB$3:$AB$152,"&lt;="&amp;DATE(2024,10,31),'2024数据'!$BY$3:$BY$152,$E$37,'2024数据'!$B$3:$B$152,'2024整理'!$E1844)</f>
        <v>0</v>
      </c>
      <c r="P1862" s="111">
        <f>COUNTIFS('2024数据'!$AB$3:$AB$152,"&gt;="&amp;DATE(2024,11,1),'2024数据'!$AB$3:$AB$152,"&lt;="&amp;DATE(2024,11,30),'2024数据'!$BY$3:$BY$152,$E$37,'2024数据'!$B$3:$B$152,'2024整理'!$E1844)</f>
        <v>0</v>
      </c>
      <c r="Q1862" s="111">
        <f>COUNTIFS('2024数据'!$AB$3:$AB$152,"&gt;="&amp;DATE(2024,12,1),'2024数据'!$AB$3:$AB$152,"&lt;="&amp;DATE(2024,12,31),'2024数据'!$BY$3:$BY$152,$E$37,'2024数据'!$B$3:$B$152,'2024整理'!$E1844)</f>
        <v>1</v>
      </c>
    </row>
    <row r="1863" ht="24" customHeight="1" spans="1:17">
      <c r="A1863" s="99" t="s">
        <v>350</v>
      </c>
      <c r="B1863" s="99" t="s">
        <v>299</v>
      </c>
      <c r="C1863" s="99" t="s">
        <v>291</v>
      </c>
      <c r="D1863" s="53" t="s">
        <v>305</v>
      </c>
      <c r="E1863" s="53" t="s">
        <v>96</v>
      </c>
      <c r="F1863" s="111">
        <f>COUNTIFS('2024数据'!$AB$3:$AB$152,"&gt;="&amp;DATE(2024,1,1),'2024数据'!$AB$3:$AB$152,"&lt;="&amp;DATE(2024,1,31),'2024数据'!$BY$3:$BY$152,$E$37,'2024数据'!$B$3:$B$152,'2024整理'!$E1845)</f>
        <v>0</v>
      </c>
      <c r="G1863" s="111">
        <f>COUNTIFS('2024数据'!$AB$3:$AB$152,"&gt;="&amp;DATE(2024,2,1),'2024数据'!$AB$3:$AB$152,"&lt;="&amp;DATE(2024,2,29),'2024数据'!$BY$3:$BY$152,$E$37,'2024数据'!$B$3:$B$152,'2024整理'!$E1845)</f>
        <v>0</v>
      </c>
      <c r="H1863" s="111">
        <f>COUNTIFS('2024数据'!$AB$3:$AB$152,"&gt;="&amp;DATE(2024,3,1),'2024数据'!$AB$3:$AB$152,"&lt;="&amp;DATE(2024,3,31),'2024数据'!$BY$3:$BY$152,$E$37,'2024数据'!$B$3:$B$152,'2024整理'!$E1845)</f>
        <v>0</v>
      </c>
      <c r="I1863" s="111">
        <f>COUNTIFS('2024数据'!$AB$3:$AB$152,"&gt;="&amp;DATE(2024,4,1),'2024数据'!$AB$3:$AB$152,"&lt;="&amp;DATE(2024,4,30),'2024数据'!$BY$3:$BY$152,$E$37,'2024数据'!$B$3:$B$152,'2024整理'!$E1845)</f>
        <v>0</v>
      </c>
      <c r="J1863" s="111">
        <f>COUNTIFS('2024数据'!$AB$3:$AB$152,"&gt;="&amp;DATE(2024,5,1),'2024数据'!$AB$3:$AB$152,"&lt;="&amp;DATE(2024,5,31),'2024数据'!$BY$3:$BY$152,$E$37,'2024数据'!$B$3:$B$152,'2024整理'!$E1845)</f>
        <v>0</v>
      </c>
      <c r="K1863" s="111">
        <f>COUNTIFS('2024数据'!$AB$3:$AB$152,"&gt;="&amp;DATE(2024,6,1),'2024数据'!$AB$3:$AB$152,"&lt;="&amp;DATE(2024,6,30),'2024数据'!$BY$3:$BY$152,$E$37,'2024数据'!$B$3:$B$152,'2024整理'!$E1845)</f>
        <v>0</v>
      </c>
      <c r="L1863" s="111">
        <f>COUNTIFS('2024数据'!$AB$3:$AB$152,"&gt;="&amp;DATE(2024,7,1),'2024数据'!$AB$3:$AB$152,"&lt;="&amp;DATE(2024,7,31),'2024数据'!$BY$3:$BY$152,$E$37,'2024数据'!$B$3:$B$152,'2024整理'!$E1845)</f>
        <v>0</v>
      </c>
      <c r="M1863" s="111">
        <f>COUNTIFS('2024数据'!$AB$3:$AB$152,"&gt;="&amp;DATE(2024,8,1),'2024数据'!$AB$3:$AB$152,"&lt;="&amp;DATE(2024,8,31),'2024数据'!$BY$3:$BY$152,$E$37,'2024数据'!$B$3:$B$152,'2024整理'!$E1845)</f>
        <v>0</v>
      </c>
      <c r="N1863" s="111">
        <f>COUNTIFS('2024数据'!$AB$3:$AB$152,"&gt;="&amp;DATE(2024,9,1),'2024数据'!$AB$3:$AB$152,"&lt;="&amp;DATE(2024,9,30),'2024数据'!$BY$3:$BY$152,$E$37,'2024数据'!$B$3:$B$152,'2024整理'!$E1845)</f>
        <v>0</v>
      </c>
      <c r="O1863" s="111">
        <f>COUNTIFS('2024数据'!$AB$3:$AB$152,"&gt;="&amp;DATE(2024,10,1),'2024数据'!$AB$3:$AB$152,"&lt;="&amp;DATE(2024,10,31),'2024数据'!$BY$3:$BY$152,$E$37,'2024数据'!$B$3:$B$152,'2024整理'!$E1845)</f>
        <v>0</v>
      </c>
      <c r="P1863" s="111">
        <f>COUNTIFS('2024数据'!$AB$3:$AB$152,"&gt;="&amp;DATE(2024,11,1),'2024数据'!$AB$3:$AB$152,"&lt;="&amp;DATE(2024,11,30),'2024数据'!$BY$3:$BY$152,$E$37,'2024数据'!$B$3:$B$152,'2024整理'!$E1845)</f>
        <v>0</v>
      </c>
      <c r="Q1863" s="111">
        <f>COUNTIFS('2024数据'!$AB$3:$AB$152,"&gt;="&amp;DATE(2024,12,1),'2024数据'!$AB$3:$AB$152,"&lt;="&amp;DATE(2024,12,31),'2024数据'!$BY$3:$BY$152,$E$37,'2024数据'!$B$3:$B$152,'2024整理'!$E1845)</f>
        <v>0</v>
      </c>
    </row>
    <row r="1864" ht="24" customHeight="1" spans="1:17">
      <c r="A1864" s="99" t="s">
        <v>350</v>
      </c>
      <c r="B1864" s="99" t="s">
        <v>299</v>
      </c>
      <c r="C1864" s="99" t="s">
        <v>291</v>
      </c>
      <c r="D1864" s="53" t="s">
        <v>305</v>
      </c>
      <c r="E1864" s="53" t="s">
        <v>160</v>
      </c>
      <c r="F1864" s="111">
        <f>COUNTIFS('2024数据'!$AB$3:$AB$152,"&gt;="&amp;DATE(2024,1,1),'2024数据'!$AB$3:$AB$152,"&lt;="&amp;DATE(2024,1,31),'2024数据'!$BY$3:$BY$152,$E$37,'2024数据'!$B$3:$B$152,'2024整理'!$E1846)</f>
        <v>0</v>
      </c>
      <c r="G1864" s="111">
        <f>COUNTIFS('2024数据'!$AB$3:$AB$152,"&gt;="&amp;DATE(2024,2,1),'2024数据'!$AB$3:$AB$152,"&lt;="&amp;DATE(2024,2,29),'2024数据'!$BY$3:$BY$152,$E$37,'2024数据'!$B$3:$B$152,'2024整理'!$E1846)</f>
        <v>0</v>
      </c>
      <c r="H1864" s="111">
        <f>COUNTIFS('2024数据'!$AB$3:$AB$152,"&gt;="&amp;DATE(2024,3,1),'2024数据'!$AB$3:$AB$152,"&lt;="&amp;DATE(2024,3,31),'2024数据'!$BY$3:$BY$152,$E$37,'2024数据'!$B$3:$B$152,'2024整理'!$E1846)</f>
        <v>0</v>
      </c>
      <c r="I1864" s="111">
        <f>COUNTIFS('2024数据'!$AB$3:$AB$152,"&gt;="&amp;DATE(2024,4,1),'2024数据'!$AB$3:$AB$152,"&lt;="&amp;DATE(2024,4,30),'2024数据'!$BY$3:$BY$152,$E$37,'2024数据'!$B$3:$B$152,'2024整理'!$E1846)</f>
        <v>0</v>
      </c>
      <c r="J1864" s="111">
        <f>COUNTIFS('2024数据'!$AB$3:$AB$152,"&gt;="&amp;DATE(2024,5,1),'2024数据'!$AB$3:$AB$152,"&lt;="&amp;DATE(2024,5,31),'2024数据'!$BY$3:$BY$152,$E$37,'2024数据'!$B$3:$B$152,'2024整理'!$E1846)</f>
        <v>0</v>
      </c>
      <c r="K1864" s="111">
        <f>COUNTIFS('2024数据'!$AB$3:$AB$152,"&gt;="&amp;DATE(2024,6,1),'2024数据'!$AB$3:$AB$152,"&lt;="&amp;DATE(2024,6,30),'2024数据'!$BY$3:$BY$152,$E$37,'2024数据'!$B$3:$B$152,'2024整理'!$E1846)</f>
        <v>0</v>
      </c>
      <c r="L1864" s="111">
        <f>COUNTIFS('2024数据'!$AB$3:$AB$152,"&gt;="&amp;DATE(2024,7,1),'2024数据'!$AB$3:$AB$152,"&lt;="&amp;DATE(2024,7,31),'2024数据'!$BY$3:$BY$152,$E$37,'2024数据'!$B$3:$B$152,'2024整理'!$E1846)</f>
        <v>0</v>
      </c>
      <c r="M1864" s="111">
        <f>COUNTIFS('2024数据'!$AB$3:$AB$152,"&gt;="&amp;DATE(2024,8,1),'2024数据'!$AB$3:$AB$152,"&lt;="&amp;DATE(2024,8,31),'2024数据'!$BY$3:$BY$152,$E$37,'2024数据'!$B$3:$B$152,'2024整理'!$E1846)</f>
        <v>0</v>
      </c>
      <c r="N1864" s="111">
        <f>COUNTIFS('2024数据'!$AB$3:$AB$152,"&gt;="&amp;DATE(2024,9,1),'2024数据'!$AB$3:$AB$152,"&lt;="&amp;DATE(2024,9,30),'2024数据'!$BY$3:$BY$152,$E$37,'2024数据'!$B$3:$B$152,'2024整理'!$E1846)</f>
        <v>0</v>
      </c>
      <c r="O1864" s="111">
        <f>COUNTIFS('2024数据'!$AB$3:$AB$152,"&gt;="&amp;DATE(2024,10,1),'2024数据'!$AB$3:$AB$152,"&lt;="&amp;DATE(2024,10,31),'2024数据'!$BY$3:$BY$152,$E$37,'2024数据'!$B$3:$B$152,'2024整理'!$E1846)</f>
        <v>0</v>
      </c>
      <c r="P1864" s="111">
        <f>COUNTIFS('2024数据'!$AB$3:$AB$152,"&gt;="&amp;DATE(2024,11,1),'2024数据'!$AB$3:$AB$152,"&lt;="&amp;DATE(2024,11,30),'2024数据'!$BY$3:$BY$152,$E$37,'2024数据'!$B$3:$B$152,'2024整理'!$E1846)</f>
        <v>0</v>
      </c>
      <c r="Q1864" s="111">
        <f>COUNTIFS('2024数据'!$AB$3:$AB$152,"&gt;="&amp;DATE(2024,12,1),'2024数据'!$AB$3:$AB$152,"&lt;="&amp;DATE(2024,12,31),'2024数据'!$BY$3:$BY$152,$E$37,'2024数据'!$B$3:$B$152,'2024整理'!$E1846)</f>
        <v>0</v>
      </c>
    </row>
    <row r="1865" ht="24" customHeight="1" spans="1:17">
      <c r="A1865" s="99" t="s">
        <v>350</v>
      </c>
      <c r="B1865" s="99" t="s">
        <v>299</v>
      </c>
      <c r="C1865" s="99" t="s">
        <v>291</v>
      </c>
      <c r="D1865" s="100" t="s">
        <v>292</v>
      </c>
      <c r="E1865" s="100" t="s">
        <v>306</v>
      </c>
      <c r="F1865" s="104">
        <f t="shared" ref="F1865:Q1865" si="1344">SUM(F1866:F1868)</f>
        <v>2</v>
      </c>
      <c r="G1865" s="104">
        <f t="shared" si="1344"/>
        <v>0</v>
      </c>
      <c r="H1865" s="104">
        <f t="shared" si="1344"/>
        <v>2</v>
      </c>
      <c r="I1865" s="104">
        <f t="shared" si="1344"/>
        <v>0</v>
      </c>
      <c r="J1865" s="104">
        <f t="shared" si="1344"/>
        <v>3</v>
      </c>
      <c r="K1865" s="104">
        <f t="shared" si="1344"/>
        <v>0</v>
      </c>
      <c r="L1865" s="104">
        <f t="shared" si="1344"/>
        <v>0</v>
      </c>
      <c r="M1865" s="104">
        <f t="shared" si="1344"/>
        <v>0</v>
      </c>
      <c r="N1865" s="104">
        <f t="shared" si="1344"/>
        <v>3</v>
      </c>
      <c r="O1865" s="104">
        <f t="shared" si="1344"/>
        <v>0</v>
      </c>
      <c r="P1865" s="104">
        <f t="shared" si="1344"/>
        <v>2</v>
      </c>
      <c r="Q1865" s="104">
        <f t="shared" si="1344"/>
        <v>2</v>
      </c>
    </row>
    <row r="1866" ht="24" customHeight="1" spans="1:17">
      <c r="A1866" s="99" t="s">
        <v>350</v>
      </c>
      <c r="B1866" s="99" t="s">
        <v>299</v>
      </c>
      <c r="C1866" s="99" t="s">
        <v>291</v>
      </c>
      <c r="D1866" s="48" t="s">
        <v>296</v>
      </c>
      <c r="E1866" s="48" t="s">
        <v>406</v>
      </c>
      <c r="F1866" s="105">
        <f>COUNTIFS('2024数据'!$AB$3:$AB$152,"&gt;="&amp;DATE(2024,1,1),'2024数据'!$AB$3:$AB$152,"&lt;="&amp;DATE(2024,1,31),'2024数据'!$AF$3:$AF$152,$E1866)</f>
        <v>0</v>
      </c>
      <c r="G1866" s="105">
        <f>COUNTIFS('2024数据'!$AB$3:$AB$152,"&gt;="&amp;DATE(2024,2,1),'2024数据'!$AB$3:$AB$152,"&lt;="&amp;DATE(2024,2,29),'2024数据'!$AF$3:$AF$152,$E1866)</f>
        <v>0</v>
      </c>
      <c r="H1866" s="105">
        <f>COUNTIFS('2024数据'!$AB$3:$AB$152,"&gt;="&amp;DATE(2024,3,1),'2024数据'!$AB$3:$AB$152,"&lt;="&amp;DATE(2024,3,31),'2024数据'!$AF$3:$AF$152,$E1866)</f>
        <v>1</v>
      </c>
      <c r="I1866" s="105">
        <f>COUNTIFS('2024数据'!$AB$3:$AB$152,"&gt;="&amp;DATE(2024,4,1),'2024数据'!$AB$3:$AB$152,"&lt;="&amp;DATE(2024,4,30),'2024数据'!$AF$3:$AF$152,$E1866)</f>
        <v>0</v>
      </c>
      <c r="J1866" s="105">
        <f>COUNTIFS('2024数据'!$AB$3:$AB$152,"&gt;="&amp;DATE(2024,5,1),'2024数据'!$AB$3:$AB$152,"&lt;="&amp;DATE(2024,5,31),'2024数据'!$AF$3:$AF$152,$E1866)</f>
        <v>2</v>
      </c>
      <c r="K1866" s="105">
        <f>COUNTIFS('2024数据'!$AB$3:$AB$152,"&gt;="&amp;DATE(2024,6,1),'2024数据'!$AB$3:$AB$152,"&lt;="&amp;DATE(2024,6,30),'2024数据'!$AF$3:$AF$152,$E1866)</f>
        <v>0</v>
      </c>
      <c r="L1866" s="105">
        <f>COUNTIFS('2024数据'!$AB$3:$AB$152,"&gt;="&amp;DATE(2024,7,1),'2024数据'!$AB$3:$AB$152,"&lt;="&amp;DATE(2024,7,31),'2024数据'!$AF$3:$AF$152,$E1866)</f>
        <v>0</v>
      </c>
      <c r="M1866" s="105">
        <f>COUNTIFS('2024数据'!$AB$3:$AB$152,"&gt;="&amp;DATE(2024,8,1),'2024数据'!$AB$3:$AB$152,"&lt;="&amp;DATE(2024,8,31),'2024数据'!$AF$3:$AF$152,$E1866)</f>
        <v>0</v>
      </c>
      <c r="N1866" s="105">
        <f>COUNTIFS('2024数据'!$AB$3:$AB$152,"&gt;="&amp;DATE(2024,9,1),'2024数据'!$AB$3:$AB$152,"&lt;="&amp;DATE(2024,9,30),'2024数据'!$AF$3:$AF$152,$E1866)</f>
        <v>1</v>
      </c>
      <c r="O1866" s="105">
        <f>COUNTIFS('2024数据'!$AB$3:$AB$152,"&gt;="&amp;DATE(2024,10,1),'2024数据'!$AB$3:$AB$152,"&lt;="&amp;DATE(2024,10,31),'2024数据'!$AF$3:$AF$152,$E1866)</f>
        <v>0</v>
      </c>
      <c r="P1866" s="105">
        <f>COUNTIFS('2024数据'!$AB$3:$AB$152,"&gt;="&amp;DATE(2024,11,1),'2024数据'!$AB$3:$AB$152,"&lt;="&amp;DATE(2024,11,30),'2024数据'!$AF$3:$AF$152,$E1866)</f>
        <v>2</v>
      </c>
      <c r="Q1866" s="105">
        <f>COUNTIFS('2024数据'!$AB$3:$AB$152,"&gt;="&amp;DATE(2024,12,1),'2024数据'!$AB$3:$AB$152,"&lt;="&amp;DATE(2024,12,31),'2024数据'!$AF$3:$AF$152,$E1866)</f>
        <v>2</v>
      </c>
    </row>
    <row r="1867" ht="24" customHeight="1" spans="1:17">
      <c r="A1867" s="99" t="s">
        <v>350</v>
      </c>
      <c r="B1867" s="99" t="s">
        <v>299</v>
      </c>
      <c r="C1867" s="99" t="s">
        <v>291</v>
      </c>
      <c r="D1867" s="48" t="s">
        <v>296</v>
      </c>
      <c r="E1867" s="48" t="s">
        <v>82</v>
      </c>
      <c r="F1867" s="105">
        <f>COUNTIFS('2024数据'!$AB$3:$AB$152,"&gt;="&amp;DATE(2024,1,1),'2024数据'!$AB$3:$AB$152,"&lt;="&amp;DATE(2024,1,31),'2024数据'!$AF$3:$AF$152,$E1867)</f>
        <v>2</v>
      </c>
      <c r="G1867" s="105">
        <f>COUNTIFS('2024数据'!$AB$3:$AB$152,"&gt;="&amp;DATE(2024,2,1),'2024数据'!$AB$3:$AB$152,"&lt;="&amp;DATE(2024,2,29),'2024数据'!$AF$3:$AF$152,$E1867)</f>
        <v>0</v>
      </c>
      <c r="H1867" s="105">
        <f>COUNTIFS('2024数据'!$AB$3:$AB$152,"&gt;="&amp;DATE(2024,3,1),'2024数据'!$AB$3:$AB$152,"&lt;="&amp;DATE(2024,3,31),'2024数据'!$AF$3:$AF$152,$E1867)</f>
        <v>0</v>
      </c>
      <c r="I1867" s="105">
        <f>COUNTIFS('2024数据'!$AB$3:$AB$152,"&gt;="&amp;DATE(2024,4,1),'2024数据'!$AB$3:$AB$152,"&lt;="&amp;DATE(2024,4,30),'2024数据'!$AF$3:$AF$152,$E1867)</f>
        <v>0</v>
      </c>
      <c r="J1867" s="105">
        <f>COUNTIFS('2024数据'!$AB$3:$AB$152,"&gt;="&amp;DATE(2024,5,1),'2024数据'!$AB$3:$AB$152,"&lt;="&amp;DATE(2024,5,31),'2024数据'!$AF$3:$AF$152,$E1867)</f>
        <v>1</v>
      </c>
      <c r="K1867" s="105">
        <f>COUNTIFS('2024数据'!$AB$3:$AB$152,"&gt;="&amp;DATE(2024,6,1),'2024数据'!$AB$3:$AB$152,"&lt;="&amp;DATE(2024,6,30),'2024数据'!$AF$3:$AF$152,$E1867)</f>
        <v>0</v>
      </c>
      <c r="L1867" s="105">
        <f>COUNTIFS('2024数据'!$AB$3:$AB$152,"&gt;="&amp;DATE(2024,7,1),'2024数据'!$AB$3:$AB$152,"&lt;="&amp;DATE(2024,7,31),'2024数据'!$AF$3:$AF$152,$E1867)</f>
        <v>0</v>
      </c>
      <c r="M1867" s="105">
        <f>COUNTIFS('2024数据'!$AB$3:$AB$152,"&gt;="&amp;DATE(2024,8,1),'2024数据'!$AB$3:$AB$152,"&lt;="&amp;DATE(2024,8,31),'2024数据'!$AF$3:$AF$152,$E1867)</f>
        <v>0</v>
      </c>
      <c r="N1867" s="105">
        <f>COUNTIFS('2024数据'!$AB$3:$AB$152,"&gt;="&amp;DATE(2024,9,1),'2024数据'!$AB$3:$AB$152,"&lt;="&amp;DATE(2024,9,30),'2024数据'!$AF$3:$AF$152,$E1867)</f>
        <v>2</v>
      </c>
      <c r="O1867" s="105">
        <f>COUNTIFS('2024数据'!$AB$3:$AB$152,"&gt;="&amp;DATE(2024,10,1),'2024数据'!$AB$3:$AB$152,"&lt;="&amp;DATE(2024,10,31),'2024数据'!$AF$3:$AF$152,$E1867)</f>
        <v>0</v>
      </c>
      <c r="P1867" s="105">
        <f>COUNTIFS('2024数据'!$AB$3:$AB$152,"&gt;="&amp;DATE(2024,11,1),'2024数据'!$AB$3:$AB$152,"&lt;="&amp;DATE(2024,11,30),'2024数据'!$AF$3:$AF$152,$E1867)</f>
        <v>0</v>
      </c>
      <c r="Q1867" s="105">
        <f>COUNTIFS('2024数据'!$AB$3:$AB$152,"&gt;="&amp;DATE(2024,12,1),'2024数据'!$AB$3:$AB$152,"&lt;="&amp;DATE(2024,12,31),'2024数据'!$AF$3:$AF$152,$E1867)</f>
        <v>0</v>
      </c>
    </row>
    <row r="1868" ht="24" customHeight="1" spans="1:17">
      <c r="A1868" s="99" t="s">
        <v>350</v>
      </c>
      <c r="B1868" s="99" t="s">
        <v>299</v>
      </c>
      <c r="C1868" s="99" t="s">
        <v>291</v>
      </c>
      <c r="D1868" s="48" t="s">
        <v>296</v>
      </c>
      <c r="E1868" s="48" t="s">
        <v>86</v>
      </c>
      <c r="F1868" s="105">
        <f>COUNTIFS('2024数据'!$AB$3:$AB$152,"&gt;="&amp;DATE(2024,1,1),'2024数据'!$AB$3:$AB$152,"&lt;="&amp;DATE(2024,1,31),'2024数据'!$AF$3:$AF$152,$E1868)</f>
        <v>0</v>
      </c>
      <c r="G1868" s="105">
        <f>COUNTIFS('2024数据'!$AB$3:$AB$152,"&gt;="&amp;DATE(2024,2,1),'2024数据'!$AB$3:$AB$152,"&lt;="&amp;DATE(2024,2,29),'2024数据'!$AF$3:$AF$152,$E1868)</f>
        <v>0</v>
      </c>
      <c r="H1868" s="105">
        <f>COUNTIFS('2024数据'!$AB$3:$AB$152,"&gt;="&amp;DATE(2024,3,1),'2024数据'!$AB$3:$AB$152,"&lt;="&amp;DATE(2024,3,31),'2024数据'!$AF$3:$AF$152,$E1868)</f>
        <v>1</v>
      </c>
      <c r="I1868" s="105">
        <f>COUNTIFS('2024数据'!$AB$3:$AB$152,"&gt;="&amp;DATE(2024,4,1),'2024数据'!$AB$3:$AB$152,"&lt;="&amp;DATE(2024,4,30),'2024数据'!$AF$3:$AF$152,$E1868)</f>
        <v>0</v>
      </c>
      <c r="J1868" s="105">
        <f>COUNTIFS('2024数据'!$AB$3:$AB$152,"&gt;="&amp;DATE(2024,5,1),'2024数据'!$AB$3:$AB$152,"&lt;="&amp;DATE(2024,5,31),'2024数据'!$AF$3:$AF$152,$E1868)</f>
        <v>0</v>
      </c>
      <c r="K1868" s="105">
        <f>COUNTIFS('2024数据'!$AB$3:$AB$152,"&gt;="&amp;DATE(2024,6,1),'2024数据'!$AB$3:$AB$152,"&lt;="&amp;DATE(2024,6,30),'2024数据'!$AF$3:$AF$152,$E1868)</f>
        <v>0</v>
      </c>
      <c r="L1868" s="105">
        <f>COUNTIFS('2024数据'!$AB$3:$AB$152,"&gt;="&amp;DATE(2024,7,1),'2024数据'!$AB$3:$AB$152,"&lt;="&amp;DATE(2024,7,31),'2024数据'!$AF$3:$AF$152,$E1868)</f>
        <v>0</v>
      </c>
      <c r="M1868" s="105">
        <f>COUNTIFS('2024数据'!$AB$3:$AB$152,"&gt;="&amp;DATE(2024,8,1),'2024数据'!$AB$3:$AB$152,"&lt;="&amp;DATE(2024,8,31),'2024数据'!$AF$3:$AF$152,$E1868)</f>
        <v>0</v>
      </c>
      <c r="N1868" s="105">
        <f>COUNTIFS('2024数据'!$AB$3:$AB$152,"&gt;="&amp;DATE(2024,9,1),'2024数据'!$AB$3:$AB$152,"&lt;="&amp;DATE(2024,9,30),'2024数据'!$AF$3:$AF$152,$E1868)</f>
        <v>0</v>
      </c>
      <c r="O1868" s="105">
        <f>COUNTIFS('2024数据'!$AB$3:$AB$152,"&gt;="&amp;DATE(2024,10,1),'2024数据'!$AB$3:$AB$152,"&lt;="&amp;DATE(2024,10,31),'2024数据'!$AF$3:$AF$152,$E1868)</f>
        <v>0</v>
      </c>
      <c r="P1868" s="105">
        <f>COUNTIFS('2024数据'!$AB$3:$AB$152,"&gt;="&amp;DATE(2024,11,1),'2024数据'!$AB$3:$AB$152,"&lt;="&amp;DATE(2024,11,30),'2024数据'!$AF$3:$AF$152,$E1868)</f>
        <v>0</v>
      </c>
      <c r="Q1868" s="105">
        <f>COUNTIFS('2024数据'!$AB$3:$AB$152,"&gt;="&amp;DATE(2024,12,1),'2024数据'!$AB$3:$AB$152,"&lt;="&amp;DATE(2024,12,31),'2024数据'!$AF$3:$AF$152,$E1868)</f>
        <v>0</v>
      </c>
    </row>
    <row r="1869" ht="24" customHeight="1" spans="1:17">
      <c r="A1869" s="99" t="s">
        <v>350</v>
      </c>
      <c r="B1869" s="99" t="s">
        <v>299</v>
      </c>
      <c r="C1869" s="99" t="s">
        <v>291</v>
      </c>
      <c r="D1869" s="100" t="s">
        <v>292</v>
      </c>
      <c r="E1869" s="100" t="s">
        <v>307</v>
      </c>
      <c r="F1869" s="104">
        <f t="shared" ref="F1869:Q1869" si="1345">SUM(F1870:F1872)</f>
        <v>0</v>
      </c>
      <c r="G1869" s="104">
        <f t="shared" si="1345"/>
        <v>1</v>
      </c>
      <c r="H1869" s="104">
        <f t="shared" si="1345"/>
        <v>0</v>
      </c>
      <c r="I1869" s="104">
        <f t="shared" si="1345"/>
        <v>0</v>
      </c>
      <c r="J1869" s="104">
        <f t="shared" si="1345"/>
        <v>4</v>
      </c>
      <c r="K1869" s="104">
        <f t="shared" si="1345"/>
        <v>2</v>
      </c>
      <c r="L1869" s="104">
        <f t="shared" si="1345"/>
        <v>0</v>
      </c>
      <c r="M1869" s="104">
        <f t="shared" si="1345"/>
        <v>1</v>
      </c>
      <c r="N1869" s="104">
        <f t="shared" si="1345"/>
        <v>3</v>
      </c>
      <c r="O1869" s="104">
        <f t="shared" si="1345"/>
        <v>1</v>
      </c>
      <c r="P1869" s="104">
        <f t="shared" si="1345"/>
        <v>4</v>
      </c>
      <c r="Q1869" s="104">
        <f t="shared" si="1345"/>
        <v>2</v>
      </c>
    </row>
    <row r="1870" ht="24" customHeight="1" spans="1:17">
      <c r="A1870" s="99" t="s">
        <v>350</v>
      </c>
      <c r="B1870" s="99" t="s">
        <v>299</v>
      </c>
      <c r="C1870" s="99" t="s">
        <v>291</v>
      </c>
      <c r="D1870" s="48" t="s">
        <v>298</v>
      </c>
      <c r="E1870" s="48" t="s">
        <v>97</v>
      </c>
      <c r="F1870" s="105">
        <f>COUNTIFS('2024数据'!$AB$3:$AB$152,"&gt;="&amp;DATE(2024,1,1),'2024数据'!$AB$3:$AB$152,"&lt;="&amp;DATE(2024,1,31),'2024数据'!$AG$3:$AG$152,$E1870)</f>
        <v>0</v>
      </c>
      <c r="G1870" s="105">
        <f>COUNTIFS('2024数据'!$AB$3:$AB$152,"&gt;="&amp;DATE(2024,2,1),'2024数据'!$AB$3:$AB$152,"&lt;="&amp;DATE(2024,2,29),'2024数据'!$AG$3:$AG$152,$E1870)</f>
        <v>0</v>
      </c>
      <c r="H1870" s="105">
        <f>COUNTIFS('2024数据'!$AB$3:$AB$152,"&gt;="&amp;DATE(2024,3,1),'2024数据'!$AB$3:$AB$152,"&lt;="&amp;DATE(2024,3,31),'2024数据'!$AG$3:$AG$152,$E1870)</f>
        <v>0</v>
      </c>
      <c r="I1870" s="105">
        <f>COUNTIFS('2024数据'!$AB$3:$AB$152,"&gt;="&amp;DATE(2024,4,1),'2024数据'!$AB$3:$AB$152,"&lt;="&amp;DATE(2024,4,30),'2024数据'!$AG$3:$AG$152,$E1870)</f>
        <v>0</v>
      </c>
      <c r="J1870" s="105">
        <f>COUNTIFS('2024数据'!$AB$3:$AB$152,"&gt;="&amp;DATE(2024,5,1),'2024数据'!$AB$3:$AB$152,"&lt;="&amp;DATE(2024,5,31),'2024数据'!$AG$3:$AG$152,$E1870)</f>
        <v>3</v>
      </c>
      <c r="K1870" s="105">
        <f>COUNTIFS('2024数据'!$AB$3:$AB$152,"&gt;="&amp;DATE(2024,6,1),'2024数据'!$AB$3:$AB$152,"&lt;="&amp;DATE(2024,6,30),'2024数据'!$AG$3:$AG$152,$E1870)</f>
        <v>1</v>
      </c>
      <c r="L1870" s="105">
        <f>COUNTIFS('2024数据'!$AB$3:$AB$152,"&gt;="&amp;DATE(2024,7,1),'2024数据'!$AB$3:$AB$152,"&lt;="&amp;DATE(2024,7,31),'2024数据'!$AG$3:$AG$152,$E1870)</f>
        <v>0</v>
      </c>
      <c r="M1870" s="105">
        <f>COUNTIFS('2024数据'!$AB$3:$AB$152,"&gt;="&amp;DATE(2024,8,1),'2024数据'!$AB$3:$AB$152,"&lt;="&amp;DATE(2024,8,31),'2024数据'!$AG$3:$AG$152,$E1870)</f>
        <v>1</v>
      </c>
      <c r="N1870" s="105">
        <f>COUNTIFS('2024数据'!$AB$3:$AB$152,"&gt;="&amp;DATE(2024,9,1),'2024数据'!$AB$3:$AB$152,"&lt;="&amp;DATE(2024,9,30),'2024数据'!$AG$3:$AG$152,$E1870)</f>
        <v>2</v>
      </c>
      <c r="O1870" s="105">
        <f>COUNTIFS('2024数据'!$AB$3:$AB$152,"&gt;="&amp;DATE(2024,10,1),'2024数据'!$AB$3:$AB$152,"&lt;="&amp;DATE(2024,10,31),'2024数据'!$AG$3:$AG$152,$E1870)</f>
        <v>0</v>
      </c>
      <c r="P1870" s="105">
        <f>COUNTIFS('2024数据'!$AB$3:$AB$152,"&gt;="&amp;DATE(2024,11,1),'2024数据'!$AB$3:$AB$152,"&lt;="&amp;DATE(2024,11,30),'2024数据'!$AG$3:$AG$152,$E1870)</f>
        <v>3</v>
      </c>
      <c r="Q1870" s="105">
        <f>COUNTIFS('2024数据'!$AB$3:$AB$152,"&gt;="&amp;DATE(2024,12,1),'2024数据'!$AB$3:$AB$152,"&lt;="&amp;DATE(2024,12,31),'2024数据'!$AG$3:$AG$152,$E1870)</f>
        <v>0</v>
      </c>
    </row>
    <row r="1871" ht="24" customHeight="1" spans="1:17">
      <c r="A1871" s="99" t="s">
        <v>350</v>
      </c>
      <c r="B1871" s="99" t="s">
        <v>299</v>
      </c>
      <c r="C1871" s="99" t="s">
        <v>291</v>
      </c>
      <c r="D1871" s="48" t="s">
        <v>298</v>
      </c>
      <c r="E1871" s="48" t="s">
        <v>87</v>
      </c>
      <c r="F1871" s="105">
        <f>COUNTIFS('2024数据'!$AB$3:$AB$152,"&gt;="&amp;DATE(2024,1,1),'2024数据'!$AB$3:$AB$152,"&lt;="&amp;DATE(2024,1,31),'2024数据'!$AG$3:$AG$152,$E1871)</f>
        <v>0</v>
      </c>
      <c r="G1871" s="105">
        <f>COUNTIFS('2024数据'!$AB$3:$AB$152,"&gt;="&amp;DATE(2024,2,1),'2024数据'!$AB$3:$AB$152,"&lt;="&amp;DATE(2024,2,29),'2024数据'!$AG$3:$AG$152,$E1871)</f>
        <v>1</v>
      </c>
      <c r="H1871" s="105">
        <f>COUNTIFS('2024数据'!$AB$3:$AB$152,"&gt;="&amp;DATE(2024,3,1),'2024数据'!$AB$3:$AB$152,"&lt;="&amp;DATE(2024,3,31),'2024数据'!$AG$3:$AG$152,$E1871)</f>
        <v>0</v>
      </c>
      <c r="I1871" s="105">
        <f>COUNTIFS('2024数据'!$AB$3:$AB$152,"&gt;="&amp;DATE(2024,4,1),'2024数据'!$AB$3:$AB$152,"&lt;="&amp;DATE(2024,4,30),'2024数据'!$AG$3:$AG$152,$E1871)</f>
        <v>0</v>
      </c>
      <c r="J1871" s="105">
        <f>COUNTIFS('2024数据'!$AB$3:$AB$152,"&gt;="&amp;DATE(2024,5,1),'2024数据'!$AB$3:$AB$152,"&lt;="&amp;DATE(2024,5,31),'2024数据'!$AG$3:$AG$152,$E1871)</f>
        <v>1</v>
      </c>
      <c r="K1871" s="105">
        <f>COUNTIFS('2024数据'!$AB$3:$AB$152,"&gt;="&amp;DATE(2024,6,1),'2024数据'!$AB$3:$AB$152,"&lt;="&amp;DATE(2024,6,30),'2024数据'!$AG$3:$AG$152,$E1871)</f>
        <v>1</v>
      </c>
      <c r="L1871" s="105">
        <f>COUNTIFS('2024数据'!$AB$3:$AB$152,"&gt;="&amp;DATE(2024,7,1),'2024数据'!$AB$3:$AB$152,"&lt;="&amp;DATE(2024,7,31),'2024数据'!$AG$3:$AG$152,$E1871)</f>
        <v>0</v>
      </c>
      <c r="M1871" s="105">
        <f>COUNTIFS('2024数据'!$AB$3:$AB$152,"&gt;="&amp;DATE(2024,8,1),'2024数据'!$AB$3:$AB$152,"&lt;="&amp;DATE(2024,8,31),'2024数据'!$AG$3:$AG$152,$E1871)</f>
        <v>0</v>
      </c>
      <c r="N1871" s="105">
        <f>COUNTIFS('2024数据'!$AB$3:$AB$152,"&gt;="&amp;DATE(2024,9,1),'2024数据'!$AB$3:$AB$152,"&lt;="&amp;DATE(2024,9,30),'2024数据'!$AG$3:$AG$152,$E1871)</f>
        <v>1</v>
      </c>
      <c r="O1871" s="105">
        <f>COUNTIFS('2024数据'!$AB$3:$AB$152,"&gt;="&amp;DATE(2024,10,1),'2024数据'!$AB$3:$AB$152,"&lt;="&amp;DATE(2024,10,31),'2024数据'!$AG$3:$AG$152,$E1871)</f>
        <v>1</v>
      </c>
      <c r="P1871" s="105">
        <f>COUNTIFS('2024数据'!$AB$3:$AB$152,"&gt;="&amp;DATE(2024,11,1),'2024数据'!$AB$3:$AB$152,"&lt;="&amp;DATE(2024,11,30),'2024数据'!$AG$3:$AG$152,$E1871)</f>
        <v>1</v>
      </c>
      <c r="Q1871" s="105">
        <f>COUNTIFS('2024数据'!$AB$3:$AB$152,"&gt;="&amp;DATE(2024,12,1),'2024数据'!$AB$3:$AB$152,"&lt;="&amp;DATE(2024,12,31),'2024数据'!$AG$3:$AG$152,$E1871)</f>
        <v>2</v>
      </c>
    </row>
    <row r="1872" ht="24" customHeight="1" spans="1:17">
      <c r="A1872" s="99" t="s">
        <v>350</v>
      </c>
      <c r="B1872" s="99" t="s">
        <v>299</v>
      </c>
      <c r="C1872" s="99" t="s">
        <v>291</v>
      </c>
      <c r="D1872" s="48" t="s">
        <v>298</v>
      </c>
      <c r="E1872" s="48" t="s">
        <v>83</v>
      </c>
      <c r="F1872" s="105">
        <f>COUNTIFS('2024数据'!$AB$3:$AB$152,"&gt;="&amp;DATE(2024,1,1),'2024数据'!$AB$3:$AB$152,"&lt;="&amp;DATE(2024,1,31),'2024数据'!$AG$3:$AG$152,$E1872)</f>
        <v>0</v>
      </c>
      <c r="G1872" s="105">
        <f>COUNTIFS('2024数据'!$AB$3:$AB$152,"&gt;="&amp;DATE(2024,2,1),'2024数据'!$AB$3:$AB$152,"&lt;="&amp;DATE(2024,2,29),'2024数据'!$AG$3:$AG$152,$E1872)</f>
        <v>0</v>
      </c>
      <c r="H1872" s="105">
        <f>COUNTIFS('2024数据'!$AB$3:$AB$152,"&gt;="&amp;DATE(2024,3,1),'2024数据'!$AB$3:$AB$152,"&lt;="&amp;DATE(2024,3,31),'2024数据'!$AG$3:$AG$152,$E1872)</f>
        <v>0</v>
      </c>
      <c r="I1872" s="105">
        <f>COUNTIFS('2024数据'!$AB$3:$AB$152,"&gt;="&amp;DATE(2024,4,1),'2024数据'!$AB$3:$AB$152,"&lt;="&amp;DATE(2024,4,30),'2024数据'!$AG$3:$AG$152,$E1872)</f>
        <v>0</v>
      </c>
      <c r="J1872" s="105">
        <f>COUNTIFS('2024数据'!$AB$3:$AB$152,"&gt;="&amp;DATE(2024,5,1),'2024数据'!$AB$3:$AB$152,"&lt;="&amp;DATE(2024,5,31),'2024数据'!$AG$3:$AG$152,$E1872)</f>
        <v>0</v>
      </c>
      <c r="K1872" s="105">
        <f>COUNTIFS('2024数据'!$AB$3:$AB$152,"&gt;="&amp;DATE(2024,6,1),'2024数据'!$AB$3:$AB$152,"&lt;="&amp;DATE(2024,6,30),'2024数据'!$AG$3:$AG$152,$E1872)</f>
        <v>0</v>
      </c>
      <c r="L1872" s="105">
        <f>COUNTIFS('2024数据'!$AB$3:$AB$152,"&gt;="&amp;DATE(2024,7,1),'2024数据'!$AB$3:$AB$152,"&lt;="&amp;DATE(2024,7,31),'2024数据'!$AG$3:$AG$152,$E1872)</f>
        <v>0</v>
      </c>
      <c r="M1872" s="105">
        <f>COUNTIFS('2024数据'!$AB$3:$AB$152,"&gt;="&amp;DATE(2024,8,1),'2024数据'!$AB$3:$AB$152,"&lt;="&amp;DATE(2024,8,31),'2024数据'!$AG$3:$AG$152,$E1872)</f>
        <v>0</v>
      </c>
      <c r="N1872" s="105">
        <f>COUNTIFS('2024数据'!$AB$3:$AB$152,"&gt;="&amp;DATE(2024,9,1),'2024数据'!$AB$3:$AB$152,"&lt;="&amp;DATE(2024,9,30),'2024数据'!$AG$3:$AG$152,$E1872)</f>
        <v>0</v>
      </c>
      <c r="O1872" s="105">
        <f>COUNTIFS('2024数据'!$AB$3:$AB$152,"&gt;="&amp;DATE(2024,10,1),'2024数据'!$AB$3:$AB$152,"&lt;="&amp;DATE(2024,10,31),'2024数据'!$AG$3:$AG$152,$E1872)</f>
        <v>0</v>
      </c>
      <c r="P1872" s="105">
        <f>COUNTIFS('2024数据'!$AB$3:$AB$152,"&gt;="&amp;DATE(2024,11,1),'2024数据'!$AB$3:$AB$152,"&lt;="&amp;DATE(2024,11,30),'2024数据'!$AG$3:$AG$152,$E1872)</f>
        <v>0</v>
      </c>
      <c r="Q1872" s="105">
        <f>COUNTIFS('2024数据'!$AB$3:$AB$152,"&gt;="&amp;DATE(2024,12,1),'2024数据'!$AB$3:$AB$152,"&lt;="&amp;DATE(2024,12,31),'2024数据'!$AG$3:$AG$152,$E1872)</f>
        <v>0</v>
      </c>
    </row>
    <row r="1873" ht="24" customHeight="1" spans="1:17">
      <c r="A1873" s="99" t="s">
        <v>350</v>
      </c>
      <c r="B1873" s="99" t="s">
        <v>308</v>
      </c>
      <c r="C1873" s="99" t="s">
        <v>309</v>
      </c>
      <c r="D1873" s="100" t="s">
        <v>292</v>
      </c>
      <c r="E1873" s="100" t="s">
        <v>310</v>
      </c>
      <c r="F1873" s="104">
        <f t="shared" ref="F1873:Q1873" si="1346">IF((SUM(F1874:F1879)-MAX(F1891,F1898))&lt;0,"ERR",SUM(F1874:F1879))</f>
        <v>1</v>
      </c>
      <c r="G1873" s="104">
        <f t="shared" si="1346"/>
        <v>2</v>
      </c>
      <c r="H1873" s="104">
        <f t="shared" si="1346"/>
        <v>2</v>
      </c>
      <c r="I1873" s="104">
        <f t="shared" si="1346"/>
        <v>5</v>
      </c>
      <c r="J1873" s="104">
        <f t="shared" si="1346"/>
        <v>2</v>
      </c>
      <c r="K1873" s="104">
        <f t="shared" si="1346"/>
        <v>0</v>
      </c>
      <c r="L1873" s="104">
        <f t="shared" si="1346"/>
        <v>1</v>
      </c>
      <c r="M1873" s="104">
        <f t="shared" si="1346"/>
        <v>4</v>
      </c>
      <c r="N1873" s="104">
        <f t="shared" si="1346"/>
        <v>0</v>
      </c>
      <c r="O1873" s="104">
        <f t="shared" si="1346"/>
        <v>1</v>
      </c>
      <c r="P1873" s="104">
        <f t="shared" si="1346"/>
        <v>0</v>
      </c>
      <c r="Q1873" s="104">
        <f t="shared" si="1346"/>
        <v>0</v>
      </c>
    </row>
    <row r="1874" ht="24" customHeight="1" spans="1:17">
      <c r="A1874" s="99" t="s">
        <v>350</v>
      </c>
      <c r="B1874" s="99" t="s">
        <v>308</v>
      </c>
      <c r="C1874" s="99" t="s">
        <v>309</v>
      </c>
      <c r="D1874" s="48" t="s">
        <v>31</v>
      </c>
      <c r="E1874" s="48" t="s">
        <v>406</v>
      </c>
      <c r="F1874" s="105">
        <f t="shared" ref="F1874:Q1874" si="1347">F1906-F1926</f>
        <v>0</v>
      </c>
      <c r="G1874" s="105">
        <f t="shared" si="1347"/>
        <v>1</v>
      </c>
      <c r="H1874" s="105">
        <f t="shared" si="1347"/>
        <v>1</v>
      </c>
      <c r="I1874" s="105">
        <f t="shared" si="1347"/>
        <v>2</v>
      </c>
      <c r="J1874" s="105">
        <f t="shared" si="1347"/>
        <v>0</v>
      </c>
      <c r="K1874" s="105">
        <f t="shared" si="1347"/>
        <v>0</v>
      </c>
      <c r="L1874" s="105">
        <f t="shared" si="1347"/>
        <v>0</v>
      </c>
      <c r="M1874" s="105">
        <f t="shared" si="1347"/>
        <v>1</v>
      </c>
      <c r="N1874" s="105">
        <f t="shared" si="1347"/>
        <v>0</v>
      </c>
      <c r="O1874" s="105">
        <f t="shared" si="1347"/>
        <v>1</v>
      </c>
      <c r="P1874" s="105">
        <f t="shared" si="1347"/>
        <v>0</v>
      </c>
      <c r="Q1874" s="105">
        <f t="shared" si="1347"/>
        <v>0</v>
      </c>
    </row>
    <row r="1875" ht="24" customHeight="1" spans="1:17">
      <c r="A1875" s="99" t="s">
        <v>350</v>
      </c>
      <c r="B1875" s="99" t="s">
        <v>308</v>
      </c>
      <c r="C1875" s="99" t="s">
        <v>309</v>
      </c>
      <c r="D1875" s="48" t="s">
        <v>31</v>
      </c>
      <c r="E1875" s="48" t="s">
        <v>82</v>
      </c>
      <c r="F1875" s="105">
        <f t="shared" ref="F1875:Q1875" si="1348">F1907-F1927</f>
        <v>0</v>
      </c>
      <c r="G1875" s="105">
        <f t="shared" si="1348"/>
        <v>0</v>
      </c>
      <c r="H1875" s="105">
        <f t="shared" si="1348"/>
        <v>1</v>
      </c>
      <c r="I1875" s="105">
        <f t="shared" si="1348"/>
        <v>1</v>
      </c>
      <c r="J1875" s="105">
        <f t="shared" si="1348"/>
        <v>0</v>
      </c>
      <c r="K1875" s="105">
        <f t="shared" si="1348"/>
        <v>0</v>
      </c>
      <c r="L1875" s="105">
        <f t="shared" si="1348"/>
        <v>0</v>
      </c>
      <c r="M1875" s="105">
        <f t="shared" si="1348"/>
        <v>1</v>
      </c>
      <c r="N1875" s="105">
        <f t="shared" si="1348"/>
        <v>0</v>
      </c>
      <c r="O1875" s="105">
        <f t="shared" si="1348"/>
        <v>0</v>
      </c>
      <c r="P1875" s="105">
        <f t="shared" si="1348"/>
        <v>0</v>
      </c>
      <c r="Q1875" s="105">
        <f t="shared" si="1348"/>
        <v>0</v>
      </c>
    </row>
    <row r="1876" ht="24" customHeight="1" spans="1:17">
      <c r="A1876" s="99" t="s">
        <v>350</v>
      </c>
      <c r="B1876" s="99" t="s">
        <v>308</v>
      </c>
      <c r="C1876" s="99" t="s">
        <v>309</v>
      </c>
      <c r="D1876" s="48" t="s">
        <v>31</v>
      </c>
      <c r="E1876" s="48" t="s">
        <v>86</v>
      </c>
      <c r="F1876" s="105">
        <f t="shared" ref="F1876:Q1876" si="1349">F1908-F1928</f>
        <v>0</v>
      </c>
      <c r="G1876" s="105">
        <f t="shared" si="1349"/>
        <v>1</v>
      </c>
      <c r="H1876" s="105">
        <f t="shared" si="1349"/>
        <v>0</v>
      </c>
      <c r="I1876" s="105">
        <f t="shared" si="1349"/>
        <v>0</v>
      </c>
      <c r="J1876" s="105">
        <f t="shared" si="1349"/>
        <v>0</v>
      </c>
      <c r="K1876" s="105">
        <f t="shared" si="1349"/>
        <v>0</v>
      </c>
      <c r="L1876" s="105">
        <f t="shared" si="1349"/>
        <v>0</v>
      </c>
      <c r="M1876" s="105">
        <f t="shared" si="1349"/>
        <v>0</v>
      </c>
      <c r="N1876" s="105">
        <f t="shared" si="1349"/>
        <v>0</v>
      </c>
      <c r="O1876" s="105">
        <f t="shared" si="1349"/>
        <v>0</v>
      </c>
      <c r="P1876" s="105">
        <f t="shared" si="1349"/>
        <v>0</v>
      </c>
      <c r="Q1876" s="105">
        <f t="shared" si="1349"/>
        <v>0</v>
      </c>
    </row>
    <row r="1877" ht="24" customHeight="1" spans="1:17">
      <c r="A1877" s="99" t="s">
        <v>350</v>
      </c>
      <c r="B1877" s="99" t="s">
        <v>308</v>
      </c>
      <c r="C1877" s="99" t="s">
        <v>309</v>
      </c>
      <c r="D1877" s="48" t="s">
        <v>31</v>
      </c>
      <c r="E1877" s="48" t="s">
        <v>97</v>
      </c>
      <c r="F1877" s="105">
        <f t="shared" ref="F1877:Q1877" si="1350">F1909-F1929</f>
        <v>0</v>
      </c>
      <c r="G1877" s="105">
        <f t="shared" si="1350"/>
        <v>0</v>
      </c>
      <c r="H1877" s="105">
        <f t="shared" si="1350"/>
        <v>0</v>
      </c>
      <c r="I1877" s="105">
        <f t="shared" si="1350"/>
        <v>1</v>
      </c>
      <c r="J1877" s="105">
        <f t="shared" si="1350"/>
        <v>1</v>
      </c>
      <c r="K1877" s="105">
        <f t="shared" si="1350"/>
        <v>0</v>
      </c>
      <c r="L1877" s="105">
        <f t="shared" si="1350"/>
        <v>1</v>
      </c>
      <c r="M1877" s="105">
        <f t="shared" si="1350"/>
        <v>1</v>
      </c>
      <c r="N1877" s="105">
        <f t="shared" si="1350"/>
        <v>0</v>
      </c>
      <c r="O1877" s="105">
        <f t="shared" si="1350"/>
        <v>0</v>
      </c>
      <c r="P1877" s="105">
        <f t="shared" si="1350"/>
        <v>0</v>
      </c>
      <c r="Q1877" s="105">
        <f t="shared" si="1350"/>
        <v>0</v>
      </c>
    </row>
    <row r="1878" ht="24" customHeight="1" spans="1:17">
      <c r="A1878" s="99" t="s">
        <v>350</v>
      </c>
      <c r="B1878" s="99" t="s">
        <v>308</v>
      </c>
      <c r="C1878" s="99" t="s">
        <v>309</v>
      </c>
      <c r="D1878" s="48" t="s">
        <v>31</v>
      </c>
      <c r="E1878" s="48" t="s">
        <v>87</v>
      </c>
      <c r="F1878" s="105">
        <f t="shared" ref="F1878:Q1878" si="1351">F1910-F1930</f>
        <v>1</v>
      </c>
      <c r="G1878" s="105">
        <f t="shared" si="1351"/>
        <v>0</v>
      </c>
      <c r="H1878" s="105">
        <f t="shared" si="1351"/>
        <v>0</v>
      </c>
      <c r="I1878" s="105">
        <f t="shared" si="1351"/>
        <v>1</v>
      </c>
      <c r="J1878" s="105">
        <f t="shared" si="1351"/>
        <v>1</v>
      </c>
      <c r="K1878" s="105">
        <f t="shared" si="1351"/>
        <v>0</v>
      </c>
      <c r="L1878" s="105">
        <f t="shared" si="1351"/>
        <v>0</v>
      </c>
      <c r="M1878" s="105">
        <f t="shared" si="1351"/>
        <v>1</v>
      </c>
      <c r="N1878" s="105">
        <f t="shared" si="1351"/>
        <v>0</v>
      </c>
      <c r="O1878" s="105">
        <f t="shared" si="1351"/>
        <v>0</v>
      </c>
      <c r="P1878" s="105">
        <f t="shared" si="1351"/>
        <v>0</v>
      </c>
      <c r="Q1878" s="105">
        <f t="shared" si="1351"/>
        <v>0</v>
      </c>
    </row>
    <row r="1879" ht="24" customHeight="1" spans="1:17">
      <c r="A1879" s="99" t="s">
        <v>350</v>
      </c>
      <c r="B1879" s="99" t="s">
        <v>308</v>
      </c>
      <c r="C1879" s="99" t="s">
        <v>309</v>
      </c>
      <c r="D1879" s="48" t="s">
        <v>31</v>
      </c>
      <c r="E1879" s="48" t="s">
        <v>83</v>
      </c>
      <c r="F1879" s="105">
        <f t="shared" ref="F1879:Q1879" si="1352">F1911-F1931</f>
        <v>0</v>
      </c>
      <c r="G1879" s="105">
        <f t="shared" si="1352"/>
        <v>0</v>
      </c>
      <c r="H1879" s="105">
        <f t="shared" si="1352"/>
        <v>0</v>
      </c>
      <c r="I1879" s="105">
        <f t="shared" si="1352"/>
        <v>0</v>
      </c>
      <c r="J1879" s="105">
        <f t="shared" si="1352"/>
        <v>0</v>
      </c>
      <c r="K1879" s="105">
        <f t="shared" si="1352"/>
        <v>0</v>
      </c>
      <c r="L1879" s="105">
        <f t="shared" si="1352"/>
        <v>0</v>
      </c>
      <c r="M1879" s="105">
        <f t="shared" si="1352"/>
        <v>0</v>
      </c>
      <c r="N1879" s="105">
        <f t="shared" si="1352"/>
        <v>0</v>
      </c>
      <c r="O1879" s="105">
        <f t="shared" si="1352"/>
        <v>0</v>
      </c>
      <c r="P1879" s="105">
        <f t="shared" si="1352"/>
        <v>0</v>
      </c>
      <c r="Q1879" s="105">
        <f t="shared" si="1352"/>
        <v>0</v>
      </c>
    </row>
    <row r="1880" ht="24" customHeight="1" spans="1:17">
      <c r="A1880" s="99" t="s">
        <v>350</v>
      </c>
      <c r="B1880" s="99" t="s">
        <v>308</v>
      </c>
      <c r="C1880" s="99" t="s">
        <v>309</v>
      </c>
      <c r="D1880" s="48" t="s">
        <v>311</v>
      </c>
      <c r="E1880" s="48" t="s">
        <v>406</v>
      </c>
      <c r="F1880" s="112">
        <f t="shared" ref="F1880:Q1880" si="1353">IFERROR(F1874/F1873,"-")</f>
        <v>0</v>
      </c>
      <c r="G1880" s="112">
        <f t="shared" si="1353"/>
        <v>0.5</v>
      </c>
      <c r="H1880" s="112">
        <f t="shared" si="1353"/>
        <v>0.5</v>
      </c>
      <c r="I1880" s="112">
        <f t="shared" si="1353"/>
        <v>0.4</v>
      </c>
      <c r="J1880" s="112">
        <f t="shared" si="1353"/>
        <v>0</v>
      </c>
      <c r="K1880" s="112" t="str">
        <f t="shared" si="1353"/>
        <v>-</v>
      </c>
      <c r="L1880" s="112">
        <f t="shared" si="1353"/>
        <v>0</v>
      </c>
      <c r="M1880" s="112">
        <f t="shared" si="1353"/>
        <v>0.25</v>
      </c>
      <c r="N1880" s="112" t="str">
        <f t="shared" si="1353"/>
        <v>-</v>
      </c>
      <c r="O1880" s="112">
        <f t="shared" si="1353"/>
        <v>1</v>
      </c>
      <c r="P1880" s="112" t="str">
        <f t="shared" si="1353"/>
        <v>-</v>
      </c>
      <c r="Q1880" s="112" t="str">
        <f t="shared" si="1353"/>
        <v>-</v>
      </c>
    </row>
    <row r="1881" ht="24" customHeight="1" spans="1:17">
      <c r="A1881" s="99" t="s">
        <v>350</v>
      </c>
      <c r="B1881" s="99" t="s">
        <v>308</v>
      </c>
      <c r="C1881" s="99" t="s">
        <v>309</v>
      </c>
      <c r="D1881" s="48" t="s">
        <v>311</v>
      </c>
      <c r="E1881" s="48" t="s">
        <v>82</v>
      </c>
      <c r="F1881" s="112">
        <f t="shared" ref="F1881:Q1881" si="1354">IFERROR(F1875/F1873,"-")</f>
        <v>0</v>
      </c>
      <c r="G1881" s="112">
        <f t="shared" si="1354"/>
        <v>0</v>
      </c>
      <c r="H1881" s="112">
        <f t="shared" si="1354"/>
        <v>0.5</v>
      </c>
      <c r="I1881" s="112">
        <f t="shared" si="1354"/>
        <v>0.2</v>
      </c>
      <c r="J1881" s="112">
        <f t="shared" si="1354"/>
        <v>0</v>
      </c>
      <c r="K1881" s="112" t="str">
        <f t="shared" si="1354"/>
        <v>-</v>
      </c>
      <c r="L1881" s="112">
        <f t="shared" si="1354"/>
        <v>0</v>
      </c>
      <c r="M1881" s="112">
        <f t="shared" si="1354"/>
        <v>0.25</v>
      </c>
      <c r="N1881" s="112" t="str">
        <f t="shared" si="1354"/>
        <v>-</v>
      </c>
      <c r="O1881" s="112">
        <f t="shared" si="1354"/>
        <v>0</v>
      </c>
      <c r="P1881" s="112" t="str">
        <f t="shared" si="1354"/>
        <v>-</v>
      </c>
      <c r="Q1881" s="112" t="str">
        <f t="shared" si="1354"/>
        <v>-</v>
      </c>
    </row>
    <row r="1882" ht="24" customHeight="1" spans="1:17">
      <c r="A1882" s="99" t="s">
        <v>350</v>
      </c>
      <c r="B1882" s="99" t="s">
        <v>308</v>
      </c>
      <c r="C1882" s="99" t="s">
        <v>309</v>
      </c>
      <c r="D1882" s="48" t="s">
        <v>311</v>
      </c>
      <c r="E1882" s="48" t="s">
        <v>86</v>
      </c>
      <c r="F1882" s="112">
        <f t="shared" ref="F1882:Q1882" si="1355">IFERROR(F1876/F1873,"-")</f>
        <v>0</v>
      </c>
      <c r="G1882" s="112">
        <f t="shared" si="1355"/>
        <v>0.5</v>
      </c>
      <c r="H1882" s="112">
        <f t="shared" si="1355"/>
        <v>0</v>
      </c>
      <c r="I1882" s="112">
        <f t="shared" si="1355"/>
        <v>0</v>
      </c>
      <c r="J1882" s="112">
        <f t="shared" si="1355"/>
        <v>0</v>
      </c>
      <c r="K1882" s="112" t="str">
        <f t="shared" si="1355"/>
        <v>-</v>
      </c>
      <c r="L1882" s="112">
        <f t="shared" si="1355"/>
        <v>0</v>
      </c>
      <c r="M1882" s="112">
        <f t="shared" si="1355"/>
        <v>0</v>
      </c>
      <c r="N1882" s="112" t="str">
        <f t="shared" si="1355"/>
        <v>-</v>
      </c>
      <c r="O1882" s="112">
        <f t="shared" si="1355"/>
        <v>0</v>
      </c>
      <c r="P1882" s="112" t="str">
        <f t="shared" si="1355"/>
        <v>-</v>
      </c>
      <c r="Q1882" s="112" t="str">
        <f t="shared" si="1355"/>
        <v>-</v>
      </c>
    </row>
    <row r="1883" ht="24" customHeight="1" spans="1:17">
      <c r="A1883" s="99" t="s">
        <v>350</v>
      </c>
      <c r="B1883" s="99" t="s">
        <v>308</v>
      </c>
      <c r="C1883" s="99" t="s">
        <v>309</v>
      </c>
      <c r="D1883" s="48" t="s">
        <v>311</v>
      </c>
      <c r="E1883" s="48" t="s">
        <v>97</v>
      </c>
      <c r="F1883" s="112">
        <f t="shared" ref="F1883:Q1883" si="1356">IFERROR(F1877/F1873,"-")</f>
        <v>0</v>
      </c>
      <c r="G1883" s="112">
        <f t="shared" si="1356"/>
        <v>0</v>
      </c>
      <c r="H1883" s="112">
        <f t="shared" si="1356"/>
        <v>0</v>
      </c>
      <c r="I1883" s="112">
        <f t="shared" si="1356"/>
        <v>0.2</v>
      </c>
      <c r="J1883" s="112">
        <f t="shared" si="1356"/>
        <v>0.5</v>
      </c>
      <c r="K1883" s="112" t="str">
        <f t="shared" si="1356"/>
        <v>-</v>
      </c>
      <c r="L1883" s="112">
        <f t="shared" si="1356"/>
        <v>1</v>
      </c>
      <c r="M1883" s="112">
        <f t="shared" si="1356"/>
        <v>0.25</v>
      </c>
      <c r="N1883" s="112" t="str">
        <f t="shared" si="1356"/>
        <v>-</v>
      </c>
      <c r="O1883" s="112">
        <f t="shared" si="1356"/>
        <v>0</v>
      </c>
      <c r="P1883" s="112" t="str">
        <f t="shared" si="1356"/>
        <v>-</v>
      </c>
      <c r="Q1883" s="112" t="str">
        <f t="shared" si="1356"/>
        <v>-</v>
      </c>
    </row>
    <row r="1884" ht="24" customHeight="1" spans="1:17">
      <c r="A1884" s="99" t="s">
        <v>350</v>
      </c>
      <c r="B1884" s="99" t="s">
        <v>308</v>
      </c>
      <c r="C1884" s="99" t="s">
        <v>309</v>
      </c>
      <c r="D1884" s="48" t="s">
        <v>311</v>
      </c>
      <c r="E1884" s="48" t="s">
        <v>87</v>
      </c>
      <c r="F1884" s="112">
        <f t="shared" ref="F1884:Q1884" si="1357">IFERROR(F1878/F1873,"-")</f>
        <v>1</v>
      </c>
      <c r="G1884" s="112">
        <f t="shared" si="1357"/>
        <v>0</v>
      </c>
      <c r="H1884" s="112">
        <f t="shared" si="1357"/>
        <v>0</v>
      </c>
      <c r="I1884" s="112">
        <f t="shared" si="1357"/>
        <v>0.2</v>
      </c>
      <c r="J1884" s="112">
        <f t="shared" si="1357"/>
        <v>0.5</v>
      </c>
      <c r="K1884" s="112" t="str">
        <f t="shared" si="1357"/>
        <v>-</v>
      </c>
      <c r="L1884" s="112">
        <f t="shared" si="1357"/>
        <v>0</v>
      </c>
      <c r="M1884" s="112">
        <f t="shared" si="1357"/>
        <v>0.25</v>
      </c>
      <c r="N1884" s="112" t="str">
        <f t="shared" si="1357"/>
        <v>-</v>
      </c>
      <c r="O1884" s="112">
        <f t="shared" si="1357"/>
        <v>0</v>
      </c>
      <c r="P1884" s="112" t="str">
        <f t="shared" si="1357"/>
        <v>-</v>
      </c>
      <c r="Q1884" s="112" t="str">
        <f t="shared" si="1357"/>
        <v>-</v>
      </c>
    </row>
    <row r="1885" ht="24" customHeight="1" spans="1:17">
      <c r="A1885" s="99" t="s">
        <v>350</v>
      </c>
      <c r="B1885" s="99" t="s">
        <v>308</v>
      </c>
      <c r="C1885" s="99" t="s">
        <v>309</v>
      </c>
      <c r="D1885" s="48" t="s">
        <v>311</v>
      </c>
      <c r="E1885" s="48" t="s">
        <v>83</v>
      </c>
      <c r="F1885" s="112">
        <f t="shared" ref="F1885:Q1885" si="1358">IFERROR(F1879/F1873,"-")</f>
        <v>0</v>
      </c>
      <c r="G1885" s="112">
        <f t="shared" si="1358"/>
        <v>0</v>
      </c>
      <c r="H1885" s="112">
        <f t="shared" si="1358"/>
        <v>0</v>
      </c>
      <c r="I1885" s="112">
        <f t="shared" si="1358"/>
        <v>0</v>
      </c>
      <c r="J1885" s="112">
        <f t="shared" si="1358"/>
        <v>0</v>
      </c>
      <c r="K1885" s="112" t="str">
        <f t="shared" si="1358"/>
        <v>-</v>
      </c>
      <c r="L1885" s="112">
        <f t="shared" si="1358"/>
        <v>0</v>
      </c>
      <c r="M1885" s="112">
        <f t="shared" si="1358"/>
        <v>0</v>
      </c>
      <c r="N1885" s="112" t="str">
        <f t="shared" si="1358"/>
        <v>-</v>
      </c>
      <c r="O1885" s="112">
        <f t="shared" si="1358"/>
        <v>0</v>
      </c>
      <c r="P1885" s="112" t="str">
        <f t="shared" si="1358"/>
        <v>-</v>
      </c>
      <c r="Q1885" s="112" t="str">
        <f t="shared" si="1358"/>
        <v>-</v>
      </c>
    </row>
    <row r="1886" ht="24" customHeight="1" spans="1:17">
      <c r="A1886" s="99" t="s">
        <v>350</v>
      </c>
      <c r="B1886" s="99" t="s">
        <v>308</v>
      </c>
      <c r="C1886" s="99" t="s">
        <v>309</v>
      </c>
      <c r="D1886" s="47" t="s">
        <v>294</v>
      </c>
      <c r="E1886" s="47" t="s">
        <v>93</v>
      </c>
      <c r="F1886" s="106">
        <f t="shared" ref="F1886:Q1886" si="1359">F1912-F1938</f>
        <v>0</v>
      </c>
      <c r="G1886" s="106">
        <f t="shared" si="1359"/>
        <v>2</v>
      </c>
      <c r="H1886" s="106">
        <f t="shared" si="1359"/>
        <v>1</v>
      </c>
      <c r="I1886" s="106">
        <f t="shared" si="1359"/>
        <v>3</v>
      </c>
      <c r="J1886" s="106">
        <f t="shared" si="1359"/>
        <v>1</v>
      </c>
      <c r="K1886" s="106">
        <f t="shared" si="1359"/>
        <v>0</v>
      </c>
      <c r="L1886" s="106">
        <f t="shared" si="1359"/>
        <v>1</v>
      </c>
      <c r="M1886" s="106">
        <f t="shared" si="1359"/>
        <v>2</v>
      </c>
      <c r="N1886" s="106">
        <f t="shared" si="1359"/>
        <v>0</v>
      </c>
      <c r="O1886" s="106">
        <f t="shared" si="1359"/>
        <v>1</v>
      </c>
      <c r="P1886" s="106">
        <f t="shared" si="1359"/>
        <v>0</v>
      </c>
      <c r="Q1886" s="106">
        <f t="shared" si="1359"/>
        <v>0</v>
      </c>
    </row>
    <row r="1887" ht="24" customHeight="1" spans="1:17">
      <c r="A1887" s="99" t="s">
        <v>350</v>
      </c>
      <c r="B1887" s="99" t="s">
        <v>308</v>
      </c>
      <c r="C1887" s="99" t="s">
        <v>309</v>
      </c>
      <c r="D1887" s="47" t="s">
        <v>294</v>
      </c>
      <c r="E1887" s="47" t="s">
        <v>85</v>
      </c>
      <c r="F1887" s="106">
        <f t="shared" ref="F1887:Q1887" si="1360">F1913-F1939</f>
        <v>1</v>
      </c>
      <c r="G1887" s="106">
        <f t="shared" si="1360"/>
        <v>0</v>
      </c>
      <c r="H1887" s="106">
        <f t="shared" si="1360"/>
        <v>1</v>
      </c>
      <c r="I1887" s="106">
        <f t="shared" si="1360"/>
        <v>2</v>
      </c>
      <c r="J1887" s="106">
        <f t="shared" si="1360"/>
        <v>1</v>
      </c>
      <c r="K1887" s="106">
        <f t="shared" si="1360"/>
        <v>0</v>
      </c>
      <c r="L1887" s="106">
        <f t="shared" si="1360"/>
        <v>0</v>
      </c>
      <c r="M1887" s="106">
        <f t="shared" si="1360"/>
        <v>1</v>
      </c>
      <c r="N1887" s="106">
        <f t="shared" si="1360"/>
        <v>0</v>
      </c>
      <c r="O1887" s="106">
        <f t="shared" si="1360"/>
        <v>0</v>
      </c>
      <c r="P1887" s="106">
        <f t="shared" si="1360"/>
        <v>0</v>
      </c>
      <c r="Q1887" s="106">
        <f t="shared" si="1360"/>
        <v>0</v>
      </c>
    </row>
    <row r="1888" ht="24" customHeight="1" spans="1:17">
      <c r="A1888" s="99" t="s">
        <v>350</v>
      </c>
      <c r="B1888" s="99" t="s">
        <v>308</v>
      </c>
      <c r="C1888" s="99" t="s">
        <v>309</v>
      </c>
      <c r="D1888" s="47" t="s">
        <v>294</v>
      </c>
      <c r="E1888" s="47" t="s">
        <v>81</v>
      </c>
      <c r="F1888" s="106">
        <f t="shared" ref="F1888:Q1888" si="1361">F1914-F1940</f>
        <v>0</v>
      </c>
      <c r="G1888" s="106">
        <f t="shared" si="1361"/>
        <v>0</v>
      </c>
      <c r="H1888" s="106">
        <f t="shared" si="1361"/>
        <v>0</v>
      </c>
      <c r="I1888" s="106">
        <f t="shared" si="1361"/>
        <v>0</v>
      </c>
      <c r="J1888" s="106">
        <f t="shared" si="1361"/>
        <v>0</v>
      </c>
      <c r="K1888" s="106">
        <f t="shared" si="1361"/>
        <v>0</v>
      </c>
      <c r="L1888" s="106">
        <f t="shared" si="1361"/>
        <v>0</v>
      </c>
      <c r="M1888" s="106">
        <f t="shared" si="1361"/>
        <v>0</v>
      </c>
      <c r="N1888" s="106">
        <f t="shared" si="1361"/>
        <v>0</v>
      </c>
      <c r="O1888" s="106">
        <f t="shared" si="1361"/>
        <v>0</v>
      </c>
      <c r="P1888" s="106">
        <f t="shared" si="1361"/>
        <v>0</v>
      </c>
      <c r="Q1888" s="106">
        <f t="shared" si="1361"/>
        <v>0</v>
      </c>
    </row>
    <row r="1889" ht="24" customHeight="1" spans="1:17">
      <c r="A1889" s="99" t="s">
        <v>350</v>
      </c>
      <c r="B1889" s="99" t="s">
        <v>308</v>
      </c>
      <c r="C1889" s="99" t="s">
        <v>309</v>
      </c>
      <c r="D1889" s="47" t="s">
        <v>294</v>
      </c>
      <c r="E1889" s="47" t="s">
        <v>96</v>
      </c>
      <c r="F1889" s="106">
        <f t="shared" ref="F1889:Q1889" si="1362">F1915-F1941</f>
        <v>0</v>
      </c>
      <c r="G1889" s="106">
        <f t="shared" si="1362"/>
        <v>0</v>
      </c>
      <c r="H1889" s="106">
        <f t="shared" si="1362"/>
        <v>0</v>
      </c>
      <c r="I1889" s="106">
        <f t="shared" si="1362"/>
        <v>0</v>
      </c>
      <c r="J1889" s="106">
        <f t="shared" si="1362"/>
        <v>0</v>
      </c>
      <c r="K1889" s="106">
        <f t="shared" si="1362"/>
        <v>0</v>
      </c>
      <c r="L1889" s="106">
        <f t="shared" si="1362"/>
        <v>0</v>
      </c>
      <c r="M1889" s="106">
        <f t="shared" si="1362"/>
        <v>1</v>
      </c>
      <c r="N1889" s="106">
        <f t="shared" si="1362"/>
        <v>0</v>
      </c>
      <c r="O1889" s="106">
        <f t="shared" si="1362"/>
        <v>0</v>
      </c>
      <c r="P1889" s="106">
        <f t="shared" si="1362"/>
        <v>0</v>
      </c>
      <c r="Q1889" s="106">
        <f t="shared" si="1362"/>
        <v>0</v>
      </c>
    </row>
    <row r="1890" ht="24" customHeight="1" spans="1:17">
      <c r="A1890" s="99" t="s">
        <v>350</v>
      </c>
      <c r="B1890" s="99" t="s">
        <v>308</v>
      </c>
      <c r="C1890" s="99" t="s">
        <v>309</v>
      </c>
      <c r="D1890" s="47" t="s">
        <v>294</v>
      </c>
      <c r="E1890" s="47" t="s">
        <v>160</v>
      </c>
      <c r="F1890" s="106">
        <f t="shared" ref="F1890:Q1890" si="1363">F1916-F1942</f>
        <v>0</v>
      </c>
      <c r="G1890" s="106">
        <f t="shared" si="1363"/>
        <v>0</v>
      </c>
      <c r="H1890" s="106">
        <f t="shared" si="1363"/>
        <v>0</v>
      </c>
      <c r="I1890" s="106">
        <f t="shared" si="1363"/>
        <v>0</v>
      </c>
      <c r="J1890" s="106">
        <f t="shared" si="1363"/>
        <v>0</v>
      </c>
      <c r="K1890" s="106">
        <f t="shared" si="1363"/>
        <v>0</v>
      </c>
      <c r="L1890" s="106">
        <f t="shared" si="1363"/>
        <v>0</v>
      </c>
      <c r="M1890" s="106">
        <f t="shared" si="1363"/>
        <v>0</v>
      </c>
      <c r="N1890" s="106">
        <f t="shared" si="1363"/>
        <v>0</v>
      </c>
      <c r="O1890" s="106">
        <f t="shared" si="1363"/>
        <v>0</v>
      </c>
      <c r="P1890" s="106">
        <f t="shared" si="1363"/>
        <v>0</v>
      </c>
      <c r="Q1890" s="106">
        <f t="shared" si="1363"/>
        <v>0</v>
      </c>
    </row>
    <row r="1891" ht="24" customHeight="1" spans="1:17">
      <c r="A1891" s="99" t="s">
        <v>350</v>
      </c>
      <c r="B1891" s="99" t="s">
        <v>308</v>
      </c>
      <c r="C1891" s="99" t="s">
        <v>309</v>
      </c>
      <c r="D1891" s="100" t="s">
        <v>292</v>
      </c>
      <c r="E1891" s="100" t="s">
        <v>312</v>
      </c>
      <c r="F1891" s="104">
        <f t="shared" ref="F1891:Q1891" si="1364">SUM(F1892:F1894)</f>
        <v>0</v>
      </c>
      <c r="G1891" s="104">
        <f t="shared" si="1364"/>
        <v>2</v>
      </c>
      <c r="H1891" s="104">
        <f t="shared" si="1364"/>
        <v>2</v>
      </c>
      <c r="I1891" s="104">
        <f t="shared" si="1364"/>
        <v>3</v>
      </c>
      <c r="J1891" s="104">
        <f t="shared" si="1364"/>
        <v>0</v>
      </c>
      <c r="K1891" s="104">
        <f t="shared" si="1364"/>
        <v>0</v>
      </c>
      <c r="L1891" s="104">
        <f t="shared" si="1364"/>
        <v>0</v>
      </c>
      <c r="M1891" s="104">
        <f t="shared" si="1364"/>
        <v>2</v>
      </c>
      <c r="N1891" s="104">
        <f t="shared" si="1364"/>
        <v>0</v>
      </c>
      <c r="O1891" s="104">
        <f t="shared" si="1364"/>
        <v>1</v>
      </c>
      <c r="P1891" s="104">
        <f t="shared" si="1364"/>
        <v>0</v>
      </c>
      <c r="Q1891" s="104">
        <f t="shared" si="1364"/>
        <v>0</v>
      </c>
    </row>
    <row r="1892" ht="24" customHeight="1" spans="1:17">
      <c r="A1892" s="99" t="s">
        <v>350</v>
      </c>
      <c r="B1892" s="99" t="s">
        <v>308</v>
      </c>
      <c r="C1892" s="99" t="s">
        <v>309</v>
      </c>
      <c r="D1892" s="48" t="s">
        <v>296</v>
      </c>
      <c r="E1892" s="48" t="s">
        <v>406</v>
      </c>
      <c r="F1892" s="105">
        <f t="shared" ref="F1892:Q1892" si="1365">F1918-F1944</f>
        <v>0</v>
      </c>
      <c r="G1892" s="105">
        <f t="shared" si="1365"/>
        <v>1</v>
      </c>
      <c r="H1892" s="105">
        <f t="shared" si="1365"/>
        <v>1</v>
      </c>
      <c r="I1892" s="105">
        <f t="shared" si="1365"/>
        <v>2</v>
      </c>
      <c r="J1892" s="105">
        <f t="shared" si="1365"/>
        <v>0</v>
      </c>
      <c r="K1892" s="105">
        <f t="shared" si="1365"/>
        <v>0</v>
      </c>
      <c r="L1892" s="105">
        <f t="shared" si="1365"/>
        <v>0</v>
      </c>
      <c r="M1892" s="105">
        <f t="shared" si="1365"/>
        <v>1</v>
      </c>
      <c r="N1892" s="105">
        <f t="shared" si="1365"/>
        <v>0</v>
      </c>
      <c r="O1892" s="105">
        <f t="shared" si="1365"/>
        <v>1</v>
      </c>
      <c r="P1892" s="105">
        <f t="shared" si="1365"/>
        <v>0</v>
      </c>
      <c r="Q1892" s="105">
        <f t="shared" si="1365"/>
        <v>0</v>
      </c>
    </row>
    <row r="1893" ht="24" customHeight="1" spans="1:17">
      <c r="A1893" s="99" t="s">
        <v>350</v>
      </c>
      <c r="B1893" s="99" t="s">
        <v>308</v>
      </c>
      <c r="C1893" s="99" t="s">
        <v>309</v>
      </c>
      <c r="D1893" s="48" t="s">
        <v>296</v>
      </c>
      <c r="E1893" s="48" t="s">
        <v>82</v>
      </c>
      <c r="F1893" s="105">
        <f t="shared" ref="F1893:Q1893" si="1366">F1919-F1945</f>
        <v>0</v>
      </c>
      <c r="G1893" s="105">
        <f t="shared" si="1366"/>
        <v>0</v>
      </c>
      <c r="H1893" s="105">
        <f t="shared" si="1366"/>
        <v>1</v>
      </c>
      <c r="I1893" s="105">
        <f t="shared" si="1366"/>
        <v>1</v>
      </c>
      <c r="J1893" s="105">
        <f t="shared" si="1366"/>
        <v>0</v>
      </c>
      <c r="K1893" s="105">
        <f t="shared" si="1366"/>
        <v>0</v>
      </c>
      <c r="L1893" s="105">
        <f t="shared" si="1366"/>
        <v>0</v>
      </c>
      <c r="M1893" s="105">
        <f t="shared" si="1366"/>
        <v>1</v>
      </c>
      <c r="N1893" s="105">
        <f t="shared" si="1366"/>
        <v>0</v>
      </c>
      <c r="O1893" s="105">
        <f t="shared" si="1366"/>
        <v>0</v>
      </c>
      <c r="P1893" s="105">
        <f t="shared" si="1366"/>
        <v>0</v>
      </c>
      <c r="Q1893" s="105">
        <f t="shared" si="1366"/>
        <v>0</v>
      </c>
    </row>
    <row r="1894" ht="24" customHeight="1" spans="1:17">
      <c r="A1894" s="99" t="s">
        <v>350</v>
      </c>
      <c r="B1894" s="99" t="s">
        <v>308</v>
      </c>
      <c r="C1894" s="99" t="s">
        <v>309</v>
      </c>
      <c r="D1894" s="48" t="s">
        <v>296</v>
      </c>
      <c r="E1894" s="48" t="s">
        <v>86</v>
      </c>
      <c r="F1894" s="105">
        <f t="shared" ref="F1894:Q1894" si="1367">F1920-F1946</f>
        <v>0</v>
      </c>
      <c r="G1894" s="105">
        <f t="shared" si="1367"/>
        <v>1</v>
      </c>
      <c r="H1894" s="105">
        <f t="shared" si="1367"/>
        <v>0</v>
      </c>
      <c r="I1894" s="105">
        <f t="shared" si="1367"/>
        <v>0</v>
      </c>
      <c r="J1894" s="105">
        <f t="shared" si="1367"/>
        <v>0</v>
      </c>
      <c r="K1894" s="105">
        <f t="shared" si="1367"/>
        <v>0</v>
      </c>
      <c r="L1894" s="105">
        <f t="shared" si="1367"/>
        <v>0</v>
      </c>
      <c r="M1894" s="105">
        <f t="shared" si="1367"/>
        <v>0</v>
      </c>
      <c r="N1894" s="105">
        <f t="shared" si="1367"/>
        <v>0</v>
      </c>
      <c r="O1894" s="105">
        <f t="shared" si="1367"/>
        <v>0</v>
      </c>
      <c r="P1894" s="105">
        <f t="shared" si="1367"/>
        <v>0</v>
      </c>
      <c r="Q1894" s="105">
        <f t="shared" si="1367"/>
        <v>0</v>
      </c>
    </row>
    <row r="1895" ht="24" customHeight="1" spans="1:17">
      <c r="A1895" s="99" t="s">
        <v>350</v>
      </c>
      <c r="B1895" s="99" t="s">
        <v>308</v>
      </c>
      <c r="C1895" s="99" t="s">
        <v>309</v>
      </c>
      <c r="D1895" s="48" t="s">
        <v>313</v>
      </c>
      <c r="E1895" s="48" t="s">
        <v>406</v>
      </c>
      <c r="F1895" s="112">
        <f t="shared" ref="F1895:Q1895" si="1368">F1892/F$79</f>
        <v>0</v>
      </c>
      <c r="G1895" s="112">
        <f t="shared" si="1368"/>
        <v>0.125</v>
      </c>
      <c r="H1895" s="112">
        <f t="shared" si="1368"/>
        <v>0.0833333333333333</v>
      </c>
      <c r="I1895" s="112">
        <f t="shared" si="1368"/>
        <v>0.285714285714286</v>
      </c>
      <c r="J1895" s="112">
        <f t="shared" si="1368"/>
        <v>0</v>
      </c>
      <c r="K1895" s="112">
        <f t="shared" si="1368"/>
        <v>0</v>
      </c>
      <c r="L1895" s="112">
        <f t="shared" si="1368"/>
        <v>0</v>
      </c>
      <c r="M1895" s="112">
        <f t="shared" si="1368"/>
        <v>0.5</v>
      </c>
      <c r="N1895" s="112">
        <f t="shared" si="1368"/>
        <v>0</v>
      </c>
      <c r="O1895" s="112">
        <f t="shared" si="1368"/>
        <v>1</v>
      </c>
      <c r="P1895" s="112">
        <f t="shared" si="1368"/>
        <v>0</v>
      </c>
      <c r="Q1895" s="112" t="e">
        <f t="shared" si="1368"/>
        <v>#DIV/0!</v>
      </c>
    </row>
    <row r="1896" ht="24" customHeight="1" spans="1:17">
      <c r="A1896" s="99" t="s">
        <v>350</v>
      </c>
      <c r="B1896" s="99" t="s">
        <v>308</v>
      </c>
      <c r="C1896" s="99" t="s">
        <v>309</v>
      </c>
      <c r="D1896" s="48" t="s">
        <v>313</v>
      </c>
      <c r="E1896" s="48" t="s">
        <v>82</v>
      </c>
      <c r="F1896" s="112">
        <f t="shared" ref="F1896:Q1896" si="1369">F1893/F$79</f>
        <v>0</v>
      </c>
      <c r="G1896" s="112">
        <f t="shared" si="1369"/>
        <v>0</v>
      </c>
      <c r="H1896" s="112">
        <f t="shared" si="1369"/>
        <v>0.0833333333333333</v>
      </c>
      <c r="I1896" s="112">
        <f t="shared" si="1369"/>
        <v>0.142857142857143</v>
      </c>
      <c r="J1896" s="112">
        <f t="shared" si="1369"/>
        <v>0</v>
      </c>
      <c r="K1896" s="112">
        <f t="shared" si="1369"/>
        <v>0</v>
      </c>
      <c r="L1896" s="112">
        <f t="shared" si="1369"/>
        <v>0</v>
      </c>
      <c r="M1896" s="112">
        <f t="shared" si="1369"/>
        <v>0.5</v>
      </c>
      <c r="N1896" s="112">
        <f t="shared" si="1369"/>
        <v>0</v>
      </c>
      <c r="O1896" s="112">
        <f t="shared" si="1369"/>
        <v>0</v>
      </c>
      <c r="P1896" s="112">
        <f t="shared" si="1369"/>
        <v>0</v>
      </c>
      <c r="Q1896" s="112" t="e">
        <f t="shared" si="1369"/>
        <v>#DIV/0!</v>
      </c>
    </row>
    <row r="1897" ht="24" customHeight="1" spans="1:17">
      <c r="A1897" s="99" t="s">
        <v>350</v>
      </c>
      <c r="B1897" s="99" t="s">
        <v>308</v>
      </c>
      <c r="C1897" s="99" t="s">
        <v>309</v>
      </c>
      <c r="D1897" s="48" t="s">
        <v>313</v>
      </c>
      <c r="E1897" s="48" t="s">
        <v>86</v>
      </c>
      <c r="F1897" s="112">
        <f t="shared" ref="F1897:Q1897" si="1370">F1894/F$79</f>
        <v>0</v>
      </c>
      <c r="G1897" s="112">
        <f t="shared" si="1370"/>
        <v>0.125</v>
      </c>
      <c r="H1897" s="112">
        <f t="shared" si="1370"/>
        <v>0</v>
      </c>
      <c r="I1897" s="112">
        <f t="shared" si="1370"/>
        <v>0</v>
      </c>
      <c r="J1897" s="112">
        <f t="shared" si="1370"/>
        <v>0</v>
      </c>
      <c r="K1897" s="112">
        <f t="shared" si="1370"/>
        <v>0</v>
      </c>
      <c r="L1897" s="112">
        <f t="shared" si="1370"/>
        <v>0</v>
      </c>
      <c r="M1897" s="112">
        <f t="shared" si="1370"/>
        <v>0</v>
      </c>
      <c r="N1897" s="112">
        <f t="shared" si="1370"/>
        <v>0</v>
      </c>
      <c r="O1897" s="112">
        <f t="shared" si="1370"/>
        <v>0</v>
      </c>
      <c r="P1897" s="112">
        <f t="shared" si="1370"/>
        <v>0</v>
      </c>
      <c r="Q1897" s="112" t="e">
        <f t="shared" si="1370"/>
        <v>#DIV/0!</v>
      </c>
    </row>
    <row r="1898" ht="24" customHeight="1" spans="1:17">
      <c r="A1898" s="99" t="s">
        <v>350</v>
      </c>
      <c r="B1898" s="99" t="s">
        <v>308</v>
      </c>
      <c r="C1898" s="99" t="s">
        <v>309</v>
      </c>
      <c r="D1898" s="100" t="s">
        <v>292</v>
      </c>
      <c r="E1898" s="100" t="s">
        <v>314</v>
      </c>
      <c r="F1898" s="104">
        <f t="shared" ref="F1898:Q1898" si="1371">SUM(F1899:F1901)</f>
        <v>1</v>
      </c>
      <c r="G1898" s="104">
        <f t="shared" si="1371"/>
        <v>0</v>
      </c>
      <c r="H1898" s="104">
        <f t="shared" si="1371"/>
        <v>2</v>
      </c>
      <c r="I1898" s="104">
        <f t="shared" si="1371"/>
        <v>5</v>
      </c>
      <c r="J1898" s="104">
        <f t="shared" si="1371"/>
        <v>2</v>
      </c>
      <c r="K1898" s="104">
        <f t="shared" si="1371"/>
        <v>0</v>
      </c>
      <c r="L1898" s="104">
        <f t="shared" si="1371"/>
        <v>1</v>
      </c>
      <c r="M1898" s="104">
        <f t="shared" si="1371"/>
        <v>2</v>
      </c>
      <c r="N1898" s="104">
        <f t="shared" si="1371"/>
        <v>0</v>
      </c>
      <c r="O1898" s="104">
        <f t="shared" si="1371"/>
        <v>1</v>
      </c>
      <c r="P1898" s="104">
        <f t="shared" si="1371"/>
        <v>0</v>
      </c>
      <c r="Q1898" s="104">
        <f t="shared" si="1371"/>
        <v>0</v>
      </c>
    </row>
    <row r="1899" ht="24" customHeight="1" spans="1:17">
      <c r="A1899" s="99" t="s">
        <v>350</v>
      </c>
      <c r="B1899" s="99" t="s">
        <v>308</v>
      </c>
      <c r="C1899" s="99" t="s">
        <v>309</v>
      </c>
      <c r="D1899" s="48" t="s">
        <v>298</v>
      </c>
      <c r="E1899" s="48" t="s">
        <v>97</v>
      </c>
      <c r="F1899" s="105">
        <f t="shared" ref="F1899:Q1899" si="1372">F1922-F1951</f>
        <v>0</v>
      </c>
      <c r="G1899" s="105">
        <f t="shared" si="1372"/>
        <v>0</v>
      </c>
      <c r="H1899" s="105">
        <f t="shared" si="1372"/>
        <v>2</v>
      </c>
      <c r="I1899" s="105">
        <f t="shared" si="1372"/>
        <v>3</v>
      </c>
      <c r="J1899" s="105">
        <f t="shared" si="1372"/>
        <v>1</v>
      </c>
      <c r="K1899" s="105">
        <f t="shared" si="1372"/>
        <v>0</v>
      </c>
      <c r="L1899" s="105">
        <f t="shared" si="1372"/>
        <v>1</v>
      </c>
      <c r="M1899" s="105">
        <f t="shared" si="1372"/>
        <v>1</v>
      </c>
      <c r="N1899" s="105">
        <f t="shared" si="1372"/>
        <v>0</v>
      </c>
      <c r="O1899" s="105">
        <f t="shared" si="1372"/>
        <v>1</v>
      </c>
      <c r="P1899" s="105">
        <f t="shared" si="1372"/>
        <v>0</v>
      </c>
      <c r="Q1899" s="105">
        <f t="shared" si="1372"/>
        <v>0</v>
      </c>
    </row>
    <row r="1900" ht="24" customHeight="1" spans="1:17">
      <c r="A1900" s="99" t="s">
        <v>350</v>
      </c>
      <c r="B1900" s="99" t="s">
        <v>308</v>
      </c>
      <c r="C1900" s="99" t="s">
        <v>309</v>
      </c>
      <c r="D1900" s="48" t="s">
        <v>298</v>
      </c>
      <c r="E1900" s="48" t="s">
        <v>87</v>
      </c>
      <c r="F1900" s="105">
        <f t="shared" ref="F1900:Q1900" si="1373">F1923-F1952</f>
        <v>1</v>
      </c>
      <c r="G1900" s="105">
        <f t="shared" si="1373"/>
        <v>0</v>
      </c>
      <c r="H1900" s="105">
        <f t="shared" si="1373"/>
        <v>0</v>
      </c>
      <c r="I1900" s="105">
        <f t="shared" si="1373"/>
        <v>2</v>
      </c>
      <c r="J1900" s="105">
        <f t="shared" si="1373"/>
        <v>1</v>
      </c>
      <c r="K1900" s="105">
        <f t="shared" si="1373"/>
        <v>0</v>
      </c>
      <c r="L1900" s="105">
        <f t="shared" si="1373"/>
        <v>0</v>
      </c>
      <c r="M1900" s="105">
        <f t="shared" si="1373"/>
        <v>1</v>
      </c>
      <c r="N1900" s="105">
        <f t="shared" si="1373"/>
        <v>0</v>
      </c>
      <c r="O1900" s="105">
        <f t="shared" si="1373"/>
        <v>0</v>
      </c>
      <c r="P1900" s="105">
        <f t="shared" si="1373"/>
        <v>0</v>
      </c>
      <c r="Q1900" s="105">
        <f t="shared" si="1373"/>
        <v>0</v>
      </c>
    </row>
    <row r="1901" ht="24" customHeight="1" spans="1:17">
      <c r="A1901" s="99" t="s">
        <v>350</v>
      </c>
      <c r="B1901" s="99" t="s">
        <v>308</v>
      </c>
      <c r="C1901" s="99" t="s">
        <v>309</v>
      </c>
      <c r="D1901" s="48" t="s">
        <v>298</v>
      </c>
      <c r="E1901" s="48" t="s">
        <v>83</v>
      </c>
      <c r="F1901" s="105">
        <f t="shared" ref="F1901:Q1901" si="1374">F1924-F1953</f>
        <v>0</v>
      </c>
      <c r="G1901" s="105">
        <f t="shared" si="1374"/>
        <v>0</v>
      </c>
      <c r="H1901" s="105">
        <f t="shared" si="1374"/>
        <v>0</v>
      </c>
      <c r="I1901" s="105">
        <f t="shared" si="1374"/>
        <v>0</v>
      </c>
      <c r="J1901" s="105">
        <f t="shared" si="1374"/>
        <v>0</v>
      </c>
      <c r="K1901" s="105">
        <f t="shared" si="1374"/>
        <v>0</v>
      </c>
      <c r="L1901" s="105">
        <f t="shared" si="1374"/>
        <v>0</v>
      </c>
      <c r="M1901" s="105">
        <f t="shared" si="1374"/>
        <v>0</v>
      </c>
      <c r="N1901" s="105">
        <f t="shared" si="1374"/>
        <v>0</v>
      </c>
      <c r="O1901" s="105">
        <f t="shared" si="1374"/>
        <v>0</v>
      </c>
      <c r="P1901" s="105">
        <f t="shared" si="1374"/>
        <v>0</v>
      </c>
      <c r="Q1901" s="105">
        <f t="shared" si="1374"/>
        <v>0</v>
      </c>
    </row>
    <row r="1902" ht="24" customHeight="1" spans="1:17">
      <c r="A1902" s="99" t="s">
        <v>350</v>
      </c>
      <c r="B1902" s="99" t="s">
        <v>308</v>
      </c>
      <c r="C1902" s="99" t="s">
        <v>309</v>
      </c>
      <c r="D1902" s="48" t="s">
        <v>315</v>
      </c>
      <c r="E1902" s="48" t="s">
        <v>97</v>
      </c>
      <c r="F1902" s="112">
        <f t="shared" ref="F1902:Q1902" si="1375">F1899/F$86</f>
        <v>0</v>
      </c>
      <c r="G1902" s="112">
        <f t="shared" si="1375"/>
        <v>0</v>
      </c>
      <c r="H1902" s="112">
        <f t="shared" si="1375"/>
        <v>0.166666666666667</v>
      </c>
      <c r="I1902" s="112">
        <f t="shared" si="1375"/>
        <v>0.375</v>
      </c>
      <c r="J1902" s="112">
        <f t="shared" si="1375"/>
        <v>0.5</v>
      </c>
      <c r="K1902" s="112">
        <f t="shared" si="1375"/>
        <v>0</v>
      </c>
      <c r="L1902" s="112">
        <f t="shared" si="1375"/>
        <v>0.5</v>
      </c>
      <c r="M1902" s="112">
        <f t="shared" si="1375"/>
        <v>0.5</v>
      </c>
      <c r="N1902" s="112">
        <f t="shared" si="1375"/>
        <v>0</v>
      </c>
      <c r="O1902" s="112">
        <f t="shared" si="1375"/>
        <v>0.5</v>
      </c>
      <c r="P1902" s="112">
        <f t="shared" si="1375"/>
        <v>0</v>
      </c>
      <c r="Q1902" s="112">
        <f t="shared" si="1375"/>
        <v>0</v>
      </c>
    </row>
    <row r="1903" ht="24" customHeight="1" spans="1:17">
      <c r="A1903" s="99" t="s">
        <v>350</v>
      </c>
      <c r="B1903" s="99" t="s">
        <v>308</v>
      </c>
      <c r="C1903" s="99" t="s">
        <v>309</v>
      </c>
      <c r="D1903" s="48" t="s">
        <v>315</v>
      </c>
      <c r="E1903" s="48" t="s">
        <v>87</v>
      </c>
      <c r="F1903" s="112">
        <f t="shared" ref="F1903:Q1903" si="1376">F1900/F$86</f>
        <v>0.142857142857143</v>
      </c>
      <c r="G1903" s="112">
        <f t="shared" si="1376"/>
        <v>0</v>
      </c>
      <c r="H1903" s="112">
        <f t="shared" si="1376"/>
        <v>0</v>
      </c>
      <c r="I1903" s="112">
        <f t="shared" si="1376"/>
        <v>0.25</v>
      </c>
      <c r="J1903" s="112">
        <f t="shared" si="1376"/>
        <v>0.5</v>
      </c>
      <c r="K1903" s="112">
        <f t="shared" si="1376"/>
        <v>0</v>
      </c>
      <c r="L1903" s="112">
        <f t="shared" si="1376"/>
        <v>0</v>
      </c>
      <c r="M1903" s="112">
        <f t="shared" si="1376"/>
        <v>0.5</v>
      </c>
      <c r="N1903" s="112">
        <f t="shared" si="1376"/>
        <v>0</v>
      </c>
      <c r="O1903" s="112">
        <f t="shared" si="1376"/>
        <v>0</v>
      </c>
      <c r="P1903" s="112">
        <f t="shared" si="1376"/>
        <v>0</v>
      </c>
      <c r="Q1903" s="112">
        <f t="shared" si="1376"/>
        <v>0</v>
      </c>
    </row>
    <row r="1904" ht="24" customHeight="1" spans="1:17">
      <c r="A1904" s="99" t="s">
        <v>350</v>
      </c>
      <c r="B1904" s="99" t="s">
        <v>308</v>
      </c>
      <c r="C1904" s="99" t="s">
        <v>309</v>
      </c>
      <c r="D1904" s="48" t="s">
        <v>315</v>
      </c>
      <c r="E1904" s="48" t="s">
        <v>83</v>
      </c>
      <c r="F1904" s="112">
        <f t="shared" ref="F1904:Q1904" si="1377">F1901/F$86</f>
        <v>0</v>
      </c>
      <c r="G1904" s="112">
        <f t="shared" si="1377"/>
        <v>0</v>
      </c>
      <c r="H1904" s="112">
        <f t="shared" si="1377"/>
        <v>0</v>
      </c>
      <c r="I1904" s="112">
        <f t="shared" si="1377"/>
        <v>0</v>
      </c>
      <c r="J1904" s="112">
        <f t="shared" si="1377"/>
        <v>0</v>
      </c>
      <c r="K1904" s="112">
        <f t="shared" si="1377"/>
        <v>0</v>
      </c>
      <c r="L1904" s="112">
        <f t="shared" si="1377"/>
        <v>0</v>
      </c>
      <c r="M1904" s="112">
        <f t="shared" si="1377"/>
        <v>0</v>
      </c>
      <c r="N1904" s="112">
        <f t="shared" si="1377"/>
        <v>0</v>
      </c>
      <c r="O1904" s="112">
        <f t="shared" si="1377"/>
        <v>0</v>
      </c>
      <c r="P1904" s="112">
        <f t="shared" si="1377"/>
        <v>0</v>
      </c>
      <c r="Q1904" s="112">
        <f t="shared" si="1377"/>
        <v>0</v>
      </c>
    </row>
    <row r="1905" ht="24" customHeight="1" spans="1:17">
      <c r="A1905" s="99" t="s">
        <v>350</v>
      </c>
      <c r="B1905" s="99" t="s">
        <v>290</v>
      </c>
      <c r="C1905" s="99" t="s">
        <v>316</v>
      </c>
      <c r="D1905" s="100" t="s">
        <v>292</v>
      </c>
      <c r="E1905" s="100" t="s">
        <v>317</v>
      </c>
      <c r="F1905" s="104">
        <f t="shared" ref="F1905:Q1905" si="1378">IF((SUM(F1906:F1911)-MAX(F1917,F1921))&lt;0,"ERR",SUM(F1906:F1911))</f>
        <v>3</v>
      </c>
      <c r="G1905" s="104">
        <f t="shared" si="1378"/>
        <v>5</v>
      </c>
      <c r="H1905" s="104">
        <f t="shared" si="1378"/>
        <v>7</v>
      </c>
      <c r="I1905" s="104">
        <f t="shared" si="1378"/>
        <v>10</v>
      </c>
      <c r="J1905" s="104">
        <f t="shared" si="1378"/>
        <v>11</v>
      </c>
      <c r="K1905" s="104">
        <f t="shared" si="1378"/>
        <v>11</v>
      </c>
      <c r="L1905" s="104">
        <f t="shared" si="1378"/>
        <v>12</v>
      </c>
      <c r="M1905" s="104">
        <f t="shared" si="1378"/>
        <v>16</v>
      </c>
      <c r="N1905" s="104">
        <f t="shared" si="1378"/>
        <v>18</v>
      </c>
      <c r="O1905" s="104">
        <f t="shared" si="1378"/>
        <v>20</v>
      </c>
      <c r="P1905" s="104">
        <f t="shared" si="1378"/>
        <v>23</v>
      </c>
      <c r="Q1905" s="104">
        <f t="shared" si="1378"/>
        <v>25</v>
      </c>
    </row>
    <row r="1906" ht="24" customHeight="1" spans="1:17">
      <c r="A1906" s="99" t="s">
        <v>350</v>
      </c>
      <c r="B1906" s="99" t="s">
        <v>290</v>
      </c>
      <c r="C1906" s="99" t="s">
        <v>316</v>
      </c>
      <c r="D1906" s="48" t="s">
        <v>31</v>
      </c>
      <c r="E1906" s="48" t="s">
        <v>406</v>
      </c>
      <c r="F1906" s="105">
        <f t="shared" ref="F1906:F1916" si="1379">F1816</f>
        <v>0</v>
      </c>
      <c r="G1906" s="105">
        <f t="shared" ref="G1906:Q1906" si="1380">G1816+F1906</f>
        <v>1</v>
      </c>
      <c r="H1906" s="105">
        <f t="shared" si="1380"/>
        <v>2</v>
      </c>
      <c r="I1906" s="105">
        <f t="shared" si="1380"/>
        <v>3</v>
      </c>
      <c r="J1906" s="105">
        <f t="shared" si="1380"/>
        <v>3</v>
      </c>
      <c r="K1906" s="105">
        <f t="shared" si="1380"/>
        <v>3</v>
      </c>
      <c r="L1906" s="105">
        <f t="shared" si="1380"/>
        <v>3</v>
      </c>
      <c r="M1906" s="105">
        <f t="shared" si="1380"/>
        <v>4</v>
      </c>
      <c r="N1906" s="105">
        <f t="shared" si="1380"/>
        <v>4</v>
      </c>
      <c r="O1906" s="105">
        <f t="shared" si="1380"/>
        <v>5</v>
      </c>
      <c r="P1906" s="105">
        <f t="shared" si="1380"/>
        <v>6</v>
      </c>
      <c r="Q1906" s="105">
        <f t="shared" si="1380"/>
        <v>6</v>
      </c>
    </row>
    <row r="1907" ht="24" customHeight="1" spans="1:17">
      <c r="A1907" s="99" t="s">
        <v>350</v>
      </c>
      <c r="B1907" s="99" t="s">
        <v>290</v>
      </c>
      <c r="C1907" s="99" t="s">
        <v>316</v>
      </c>
      <c r="D1907" s="48" t="s">
        <v>31</v>
      </c>
      <c r="E1907" s="48" t="s">
        <v>82</v>
      </c>
      <c r="F1907" s="105">
        <f t="shared" si="1379"/>
        <v>2</v>
      </c>
      <c r="G1907" s="105">
        <f t="shared" ref="G1907:Q1907" si="1381">G1817+F1907</f>
        <v>2</v>
      </c>
      <c r="H1907" s="105">
        <f t="shared" si="1381"/>
        <v>3</v>
      </c>
      <c r="I1907" s="105">
        <f t="shared" si="1381"/>
        <v>3</v>
      </c>
      <c r="J1907" s="105">
        <f t="shared" si="1381"/>
        <v>3</v>
      </c>
      <c r="K1907" s="105">
        <f t="shared" si="1381"/>
        <v>3</v>
      </c>
      <c r="L1907" s="105">
        <f t="shared" si="1381"/>
        <v>3</v>
      </c>
      <c r="M1907" s="105">
        <f t="shared" si="1381"/>
        <v>4</v>
      </c>
      <c r="N1907" s="105">
        <f t="shared" si="1381"/>
        <v>5</v>
      </c>
      <c r="O1907" s="105">
        <f t="shared" si="1381"/>
        <v>5</v>
      </c>
      <c r="P1907" s="105">
        <f t="shared" si="1381"/>
        <v>5</v>
      </c>
      <c r="Q1907" s="105">
        <f t="shared" si="1381"/>
        <v>5</v>
      </c>
    </row>
    <row r="1908" ht="24" customHeight="1" spans="1:17">
      <c r="A1908" s="99" t="s">
        <v>350</v>
      </c>
      <c r="B1908" s="99" t="s">
        <v>290</v>
      </c>
      <c r="C1908" s="99" t="s">
        <v>316</v>
      </c>
      <c r="D1908" s="48" t="s">
        <v>31</v>
      </c>
      <c r="E1908" s="48" t="s">
        <v>86</v>
      </c>
      <c r="F1908" s="105">
        <f t="shared" si="1379"/>
        <v>0</v>
      </c>
      <c r="G1908" s="105">
        <f t="shared" ref="G1908:Q1908" si="1382">G1818+F1908</f>
        <v>1</v>
      </c>
      <c r="H1908" s="105">
        <f t="shared" si="1382"/>
        <v>1</v>
      </c>
      <c r="I1908" s="105">
        <f t="shared" si="1382"/>
        <v>1</v>
      </c>
      <c r="J1908" s="105">
        <f t="shared" si="1382"/>
        <v>1</v>
      </c>
      <c r="K1908" s="105">
        <f t="shared" si="1382"/>
        <v>1</v>
      </c>
      <c r="L1908" s="105">
        <f t="shared" si="1382"/>
        <v>1</v>
      </c>
      <c r="M1908" s="105">
        <f t="shared" si="1382"/>
        <v>1</v>
      </c>
      <c r="N1908" s="105">
        <f t="shared" si="1382"/>
        <v>1</v>
      </c>
      <c r="O1908" s="105">
        <f t="shared" si="1382"/>
        <v>1</v>
      </c>
      <c r="P1908" s="105">
        <f t="shared" si="1382"/>
        <v>1</v>
      </c>
      <c r="Q1908" s="105">
        <f t="shared" si="1382"/>
        <v>1</v>
      </c>
    </row>
    <row r="1909" ht="24" customHeight="1" spans="1:17">
      <c r="A1909" s="99" t="s">
        <v>350</v>
      </c>
      <c r="B1909" s="99" t="s">
        <v>290</v>
      </c>
      <c r="C1909" s="99" t="s">
        <v>316</v>
      </c>
      <c r="D1909" s="48" t="s">
        <v>31</v>
      </c>
      <c r="E1909" s="48" t="s">
        <v>97</v>
      </c>
      <c r="F1909" s="105">
        <f t="shared" si="1379"/>
        <v>0</v>
      </c>
      <c r="G1909" s="105">
        <f t="shared" ref="G1909:Q1909" si="1383">G1819+F1909</f>
        <v>0</v>
      </c>
      <c r="H1909" s="105">
        <f t="shared" si="1383"/>
        <v>0</v>
      </c>
      <c r="I1909" s="105">
        <f t="shared" si="1383"/>
        <v>1</v>
      </c>
      <c r="J1909" s="105">
        <f t="shared" si="1383"/>
        <v>2</v>
      </c>
      <c r="K1909" s="105">
        <f t="shared" si="1383"/>
        <v>2</v>
      </c>
      <c r="L1909" s="105">
        <f t="shared" si="1383"/>
        <v>3</v>
      </c>
      <c r="M1909" s="105">
        <f t="shared" si="1383"/>
        <v>4</v>
      </c>
      <c r="N1909" s="105">
        <f t="shared" si="1383"/>
        <v>5</v>
      </c>
      <c r="O1909" s="105">
        <f t="shared" si="1383"/>
        <v>5</v>
      </c>
      <c r="P1909" s="105">
        <f t="shared" si="1383"/>
        <v>7</v>
      </c>
      <c r="Q1909" s="105">
        <f t="shared" si="1383"/>
        <v>7</v>
      </c>
    </row>
    <row r="1910" ht="24" customHeight="1" spans="1:17">
      <c r="A1910" s="99" t="s">
        <v>350</v>
      </c>
      <c r="B1910" s="99" t="s">
        <v>290</v>
      </c>
      <c r="C1910" s="99" t="s">
        <v>316</v>
      </c>
      <c r="D1910" s="48" t="s">
        <v>31</v>
      </c>
      <c r="E1910" s="48" t="s">
        <v>87</v>
      </c>
      <c r="F1910" s="105">
        <f t="shared" si="1379"/>
        <v>1</v>
      </c>
      <c r="G1910" s="105">
        <f t="shared" ref="G1910:Q1910" si="1384">G1820+F1910</f>
        <v>1</v>
      </c>
      <c r="H1910" s="105">
        <f t="shared" si="1384"/>
        <v>1</v>
      </c>
      <c r="I1910" s="105">
        <f t="shared" si="1384"/>
        <v>2</v>
      </c>
      <c r="J1910" s="105">
        <f t="shared" si="1384"/>
        <v>2</v>
      </c>
      <c r="K1910" s="105">
        <f t="shared" si="1384"/>
        <v>2</v>
      </c>
      <c r="L1910" s="105">
        <f t="shared" si="1384"/>
        <v>2</v>
      </c>
      <c r="M1910" s="105">
        <f t="shared" si="1384"/>
        <v>3</v>
      </c>
      <c r="N1910" s="105">
        <f t="shared" si="1384"/>
        <v>3</v>
      </c>
      <c r="O1910" s="105">
        <f t="shared" si="1384"/>
        <v>4</v>
      </c>
      <c r="P1910" s="105">
        <f t="shared" si="1384"/>
        <v>4</v>
      </c>
      <c r="Q1910" s="105">
        <f t="shared" si="1384"/>
        <v>6</v>
      </c>
    </row>
    <row r="1911" ht="24" customHeight="1" spans="1:17">
      <c r="A1911" s="99" t="s">
        <v>350</v>
      </c>
      <c r="B1911" s="99" t="s">
        <v>290</v>
      </c>
      <c r="C1911" s="99" t="s">
        <v>316</v>
      </c>
      <c r="D1911" s="48" t="s">
        <v>31</v>
      </c>
      <c r="E1911" s="48" t="s">
        <v>83</v>
      </c>
      <c r="F1911" s="105">
        <f t="shared" si="1379"/>
        <v>0</v>
      </c>
      <c r="G1911" s="105">
        <f t="shared" ref="G1911:Q1911" si="1385">G1821+F1911</f>
        <v>0</v>
      </c>
      <c r="H1911" s="105">
        <f t="shared" si="1385"/>
        <v>0</v>
      </c>
      <c r="I1911" s="105">
        <f t="shared" si="1385"/>
        <v>0</v>
      </c>
      <c r="J1911" s="105">
        <f t="shared" si="1385"/>
        <v>0</v>
      </c>
      <c r="K1911" s="105">
        <f t="shared" si="1385"/>
        <v>0</v>
      </c>
      <c r="L1911" s="105">
        <f t="shared" si="1385"/>
        <v>0</v>
      </c>
      <c r="M1911" s="105">
        <f t="shared" si="1385"/>
        <v>0</v>
      </c>
      <c r="N1911" s="105">
        <f t="shared" si="1385"/>
        <v>0</v>
      </c>
      <c r="O1911" s="105">
        <f t="shared" si="1385"/>
        <v>0</v>
      </c>
      <c r="P1911" s="105">
        <f t="shared" si="1385"/>
        <v>0</v>
      </c>
      <c r="Q1911" s="105">
        <f t="shared" si="1385"/>
        <v>0</v>
      </c>
    </row>
    <row r="1912" ht="24" customHeight="1" spans="1:17">
      <c r="A1912" s="99" t="s">
        <v>350</v>
      </c>
      <c r="B1912" s="99" t="s">
        <v>290</v>
      </c>
      <c r="C1912" s="99" t="s">
        <v>316</v>
      </c>
      <c r="D1912" s="47" t="s">
        <v>294</v>
      </c>
      <c r="E1912" s="47" t="s">
        <v>93</v>
      </c>
      <c r="F1912" s="106">
        <f t="shared" si="1379"/>
        <v>1</v>
      </c>
      <c r="G1912" s="106">
        <f t="shared" ref="G1912:Q1912" si="1386">G1822+F1912</f>
        <v>3</v>
      </c>
      <c r="H1912" s="106">
        <f t="shared" si="1386"/>
        <v>4</v>
      </c>
      <c r="I1912" s="106">
        <f t="shared" si="1386"/>
        <v>6</v>
      </c>
      <c r="J1912" s="106">
        <f t="shared" si="1386"/>
        <v>6</v>
      </c>
      <c r="K1912" s="106">
        <f t="shared" si="1386"/>
        <v>6</v>
      </c>
      <c r="L1912" s="106">
        <f t="shared" si="1386"/>
        <v>7</v>
      </c>
      <c r="M1912" s="106">
        <f t="shared" si="1386"/>
        <v>9</v>
      </c>
      <c r="N1912" s="106">
        <f t="shared" si="1386"/>
        <v>9</v>
      </c>
      <c r="O1912" s="106">
        <f t="shared" si="1386"/>
        <v>10</v>
      </c>
      <c r="P1912" s="106">
        <f t="shared" si="1386"/>
        <v>13</v>
      </c>
      <c r="Q1912" s="106">
        <f t="shared" si="1386"/>
        <v>13</v>
      </c>
    </row>
    <row r="1913" ht="24" customHeight="1" spans="1:17">
      <c r="A1913" s="99" t="s">
        <v>350</v>
      </c>
      <c r="B1913" s="99" t="s">
        <v>290</v>
      </c>
      <c r="C1913" s="99" t="s">
        <v>316</v>
      </c>
      <c r="D1913" s="47" t="s">
        <v>294</v>
      </c>
      <c r="E1913" s="47" t="s">
        <v>85</v>
      </c>
      <c r="F1913" s="106">
        <f t="shared" si="1379"/>
        <v>2</v>
      </c>
      <c r="G1913" s="106">
        <f t="shared" ref="G1913:Q1913" si="1387">G1823+F1913</f>
        <v>2</v>
      </c>
      <c r="H1913" s="106">
        <f t="shared" si="1387"/>
        <v>3</v>
      </c>
      <c r="I1913" s="106">
        <f t="shared" si="1387"/>
        <v>4</v>
      </c>
      <c r="J1913" s="106">
        <f t="shared" si="1387"/>
        <v>5</v>
      </c>
      <c r="K1913" s="106">
        <f t="shared" si="1387"/>
        <v>5</v>
      </c>
      <c r="L1913" s="106">
        <f t="shared" si="1387"/>
        <v>5</v>
      </c>
      <c r="M1913" s="106">
        <f t="shared" si="1387"/>
        <v>6</v>
      </c>
      <c r="N1913" s="106">
        <f t="shared" si="1387"/>
        <v>8</v>
      </c>
      <c r="O1913" s="106">
        <f t="shared" si="1387"/>
        <v>9</v>
      </c>
      <c r="P1913" s="106">
        <f t="shared" si="1387"/>
        <v>9</v>
      </c>
      <c r="Q1913" s="106">
        <f t="shared" si="1387"/>
        <v>9</v>
      </c>
    </row>
    <row r="1914" ht="24" customHeight="1" spans="1:17">
      <c r="A1914" s="99" t="s">
        <v>350</v>
      </c>
      <c r="B1914" s="99" t="s">
        <v>290</v>
      </c>
      <c r="C1914" s="99" t="s">
        <v>316</v>
      </c>
      <c r="D1914" s="47" t="s">
        <v>294</v>
      </c>
      <c r="E1914" s="47" t="s">
        <v>81</v>
      </c>
      <c r="F1914" s="106">
        <f t="shared" si="1379"/>
        <v>0</v>
      </c>
      <c r="G1914" s="106">
        <f t="shared" ref="G1914:Q1914" si="1388">G1824+F1914</f>
        <v>0</v>
      </c>
      <c r="H1914" s="106">
        <f t="shared" si="1388"/>
        <v>0</v>
      </c>
      <c r="I1914" s="106">
        <f t="shared" si="1388"/>
        <v>0</v>
      </c>
      <c r="J1914" s="106">
        <f t="shared" si="1388"/>
        <v>0</v>
      </c>
      <c r="K1914" s="106">
        <f t="shared" si="1388"/>
        <v>0</v>
      </c>
      <c r="L1914" s="106">
        <f t="shared" si="1388"/>
        <v>0</v>
      </c>
      <c r="M1914" s="106">
        <f t="shared" si="1388"/>
        <v>0</v>
      </c>
      <c r="N1914" s="106">
        <f t="shared" si="1388"/>
        <v>0</v>
      </c>
      <c r="O1914" s="106">
        <f t="shared" si="1388"/>
        <v>0</v>
      </c>
      <c r="P1914" s="106">
        <f t="shared" si="1388"/>
        <v>0</v>
      </c>
      <c r="Q1914" s="106">
        <f t="shared" si="1388"/>
        <v>2</v>
      </c>
    </row>
    <row r="1915" ht="24" customHeight="1" spans="1:17">
      <c r="A1915" s="99" t="s">
        <v>350</v>
      </c>
      <c r="B1915" s="99" t="s">
        <v>290</v>
      </c>
      <c r="C1915" s="99" t="s">
        <v>316</v>
      </c>
      <c r="D1915" s="47" t="s">
        <v>294</v>
      </c>
      <c r="E1915" s="47" t="s">
        <v>96</v>
      </c>
      <c r="F1915" s="106">
        <f t="shared" si="1379"/>
        <v>0</v>
      </c>
      <c r="G1915" s="106">
        <f t="shared" ref="G1915:Q1915" si="1389">G1825+F1915</f>
        <v>0</v>
      </c>
      <c r="H1915" s="106">
        <f t="shared" si="1389"/>
        <v>0</v>
      </c>
      <c r="I1915" s="106">
        <f t="shared" si="1389"/>
        <v>0</v>
      </c>
      <c r="J1915" s="106">
        <f t="shared" si="1389"/>
        <v>0</v>
      </c>
      <c r="K1915" s="106">
        <f t="shared" si="1389"/>
        <v>0</v>
      </c>
      <c r="L1915" s="106">
        <f t="shared" si="1389"/>
        <v>0</v>
      </c>
      <c r="M1915" s="106">
        <f t="shared" si="1389"/>
        <v>1</v>
      </c>
      <c r="N1915" s="106">
        <f t="shared" si="1389"/>
        <v>1</v>
      </c>
      <c r="O1915" s="106">
        <f t="shared" si="1389"/>
        <v>1</v>
      </c>
      <c r="P1915" s="106">
        <f t="shared" si="1389"/>
        <v>1</v>
      </c>
      <c r="Q1915" s="106">
        <f t="shared" si="1389"/>
        <v>1</v>
      </c>
    </row>
    <row r="1916" ht="24" customHeight="1" spans="1:17">
      <c r="A1916" s="99" t="s">
        <v>350</v>
      </c>
      <c r="B1916" s="99" t="s">
        <v>290</v>
      </c>
      <c r="C1916" s="99" t="s">
        <v>316</v>
      </c>
      <c r="D1916" s="47" t="s">
        <v>294</v>
      </c>
      <c r="E1916" s="47" t="s">
        <v>160</v>
      </c>
      <c r="F1916" s="106">
        <f t="shared" si="1379"/>
        <v>0</v>
      </c>
      <c r="G1916" s="106">
        <f t="shared" ref="G1916:Q1916" si="1390">G1826+F1916</f>
        <v>0</v>
      </c>
      <c r="H1916" s="106">
        <f t="shared" si="1390"/>
        <v>0</v>
      </c>
      <c r="I1916" s="106">
        <f t="shared" si="1390"/>
        <v>0</v>
      </c>
      <c r="J1916" s="106">
        <f t="shared" si="1390"/>
        <v>0</v>
      </c>
      <c r="K1916" s="106">
        <f t="shared" si="1390"/>
        <v>0</v>
      </c>
      <c r="L1916" s="106">
        <f t="shared" si="1390"/>
        <v>0</v>
      </c>
      <c r="M1916" s="106">
        <f t="shared" si="1390"/>
        <v>0</v>
      </c>
      <c r="N1916" s="106">
        <f t="shared" si="1390"/>
        <v>0</v>
      </c>
      <c r="O1916" s="106">
        <f t="shared" si="1390"/>
        <v>0</v>
      </c>
      <c r="P1916" s="106">
        <f t="shared" si="1390"/>
        <v>0</v>
      </c>
      <c r="Q1916" s="106">
        <f t="shared" si="1390"/>
        <v>0</v>
      </c>
    </row>
    <row r="1917" ht="24" customHeight="1" spans="1:17">
      <c r="A1917" s="99" t="s">
        <v>350</v>
      </c>
      <c r="B1917" s="99" t="s">
        <v>290</v>
      </c>
      <c r="C1917" s="99" t="s">
        <v>316</v>
      </c>
      <c r="D1917" s="100" t="s">
        <v>292</v>
      </c>
      <c r="E1917" s="100" t="s">
        <v>318</v>
      </c>
      <c r="F1917" s="104">
        <f t="shared" ref="F1917:Q1917" si="1391">SUM(F1918:F1920)</f>
        <v>2</v>
      </c>
      <c r="G1917" s="104">
        <f t="shared" si="1391"/>
        <v>4</v>
      </c>
      <c r="H1917" s="104">
        <f t="shared" si="1391"/>
        <v>6</v>
      </c>
      <c r="I1917" s="104">
        <f t="shared" si="1391"/>
        <v>7</v>
      </c>
      <c r="J1917" s="104">
        <f t="shared" si="1391"/>
        <v>7</v>
      </c>
      <c r="K1917" s="104">
        <f t="shared" si="1391"/>
        <v>7</v>
      </c>
      <c r="L1917" s="104">
        <f t="shared" si="1391"/>
        <v>7</v>
      </c>
      <c r="M1917" s="104">
        <f t="shared" si="1391"/>
        <v>9</v>
      </c>
      <c r="N1917" s="104">
        <f t="shared" si="1391"/>
        <v>10</v>
      </c>
      <c r="O1917" s="104">
        <f t="shared" si="1391"/>
        <v>11</v>
      </c>
      <c r="P1917" s="104">
        <f t="shared" si="1391"/>
        <v>12</v>
      </c>
      <c r="Q1917" s="104">
        <f t="shared" si="1391"/>
        <v>14</v>
      </c>
    </row>
    <row r="1918" ht="24" customHeight="1" spans="1:17">
      <c r="A1918" s="99" t="s">
        <v>350</v>
      </c>
      <c r="B1918" s="99" t="s">
        <v>290</v>
      </c>
      <c r="C1918" s="99" t="s">
        <v>316</v>
      </c>
      <c r="D1918" s="48" t="s">
        <v>296</v>
      </c>
      <c r="E1918" s="48" t="s">
        <v>406</v>
      </c>
      <c r="F1918" s="105">
        <f t="shared" ref="F1918:F1920" si="1392">F1828</f>
        <v>0</v>
      </c>
      <c r="G1918" s="105">
        <f t="shared" ref="G1918:Q1918" si="1393">G1828+F1918</f>
        <v>1</v>
      </c>
      <c r="H1918" s="105">
        <f t="shared" si="1393"/>
        <v>2</v>
      </c>
      <c r="I1918" s="105">
        <f t="shared" si="1393"/>
        <v>3</v>
      </c>
      <c r="J1918" s="105">
        <f t="shared" si="1393"/>
        <v>3</v>
      </c>
      <c r="K1918" s="105">
        <f t="shared" si="1393"/>
        <v>3</v>
      </c>
      <c r="L1918" s="105">
        <f t="shared" si="1393"/>
        <v>3</v>
      </c>
      <c r="M1918" s="105">
        <f t="shared" si="1393"/>
        <v>4</v>
      </c>
      <c r="N1918" s="105">
        <f t="shared" si="1393"/>
        <v>4</v>
      </c>
      <c r="O1918" s="105">
        <f t="shared" si="1393"/>
        <v>5</v>
      </c>
      <c r="P1918" s="105">
        <f t="shared" si="1393"/>
        <v>6</v>
      </c>
      <c r="Q1918" s="105">
        <f t="shared" si="1393"/>
        <v>8</v>
      </c>
    </row>
    <row r="1919" ht="24" customHeight="1" spans="1:17">
      <c r="A1919" s="99" t="s">
        <v>350</v>
      </c>
      <c r="B1919" s="99" t="s">
        <v>290</v>
      </c>
      <c r="C1919" s="99" t="s">
        <v>316</v>
      </c>
      <c r="D1919" s="48" t="s">
        <v>296</v>
      </c>
      <c r="E1919" s="48" t="s">
        <v>82</v>
      </c>
      <c r="F1919" s="105">
        <f t="shared" si="1392"/>
        <v>2</v>
      </c>
      <c r="G1919" s="105">
        <f t="shared" ref="G1919:Q1919" si="1394">G1829+F1919</f>
        <v>2</v>
      </c>
      <c r="H1919" s="105">
        <f t="shared" si="1394"/>
        <v>3</v>
      </c>
      <c r="I1919" s="105">
        <f t="shared" si="1394"/>
        <v>3</v>
      </c>
      <c r="J1919" s="105">
        <f t="shared" si="1394"/>
        <v>3</v>
      </c>
      <c r="K1919" s="105">
        <f t="shared" si="1394"/>
        <v>3</v>
      </c>
      <c r="L1919" s="105">
        <f t="shared" si="1394"/>
        <v>3</v>
      </c>
      <c r="M1919" s="105">
        <f t="shared" si="1394"/>
        <v>4</v>
      </c>
      <c r="N1919" s="105">
        <f t="shared" si="1394"/>
        <v>5</v>
      </c>
      <c r="O1919" s="105">
        <f t="shared" si="1394"/>
        <v>5</v>
      </c>
      <c r="P1919" s="105">
        <f t="shared" si="1394"/>
        <v>5</v>
      </c>
      <c r="Q1919" s="105">
        <f t="shared" si="1394"/>
        <v>5</v>
      </c>
    </row>
    <row r="1920" ht="24" customHeight="1" spans="1:17">
      <c r="A1920" s="99" t="s">
        <v>350</v>
      </c>
      <c r="B1920" s="99" t="s">
        <v>290</v>
      </c>
      <c r="C1920" s="99" t="s">
        <v>316</v>
      </c>
      <c r="D1920" s="48" t="s">
        <v>296</v>
      </c>
      <c r="E1920" s="48" t="s">
        <v>86</v>
      </c>
      <c r="F1920" s="105">
        <f t="shared" si="1392"/>
        <v>0</v>
      </c>
      <c r="G1920" s="105">
        <f t="shared" ref="G1920:Q1920" si="1395">G1830+F1920</f>
        <v>1</v>
      </c>
      <c r="H1920" s="105">
        <f t="shared" si="1395"/>
        <v>1</v>
      </c>
      <c r="I1920" s="105">
        <f t="shared" si="1395"/>
        <v>1</v>
      </c>
      <c r="J1920" s="105">
        <f t="shared" si="1395"/>
        <v>1</v>
      </c>
      <c r="K1920" s="105">
        <f t="shared" si="1395"/>
        <v>1</v>
      </c>
      <c r="L1920" s="105">
        <f t="shared" si="1395"/>
        <v>1</v>
      </c>
      <c r="M1920" s="105">
        <f t="shared" si="1395"/>
        <v>1</v>
      </c>
      <c r="N1920" s="105">
        <f t="shared" si="1395"/>
        <v>1</v>
      </c>
      <c r="O1920" s="105">
        <f t="shared" si="1395"/>
        <v>1</v>
      </c>
      <c r="P1920" s="105">
        <f t="shared" si="1395"/>
        <v>1</v>
      </c>
      <c r="Q1920" s="105">
        <f t="shared" si="1395"/>
        <v>1</v>
      </c>
    </row>
    <row r="1921" ht="24" customHeight="1" spans="1:17">
      <c r="A1921" s="99" t="s">
        <v>350</v>
      </c>
      <c r="B1921" s="99" t="s">
        <v>290</v>
      </c>
      <c r="C1921" s="99" t="s">
        <v>316</v>
      </c>
      <c r="D1921" s="100" t="s">
        <v>292</v>
      </c>
      <c r="E1921" s="100" t="s">
        <v>319</v>
      </c>
      <c r="F1921" s="104">
        <f t="shared" ref="F1921:Q1921" si="1396">SUM(F1922:F1924)</f>
        <v>1</v>
      </c>
      <c r="G1921" s="104">
        <f t="shared" si="1396"/>
        <v>1</v>
      </c>
      <c r="H1921" s="104">
        <f t="shared" si="1396"/>
        <v>3</v>
      </c>
      <c r="I1921" s="104">
        <f t="shared" si="1396"/>
        <v>6</v>
      </c>
      <c r="J1921" s="104">
        <f t="shared" si="1396"/>
        <v>7</v>
      </c>
      <c r="K1921" s="104">
        <f t="shared" si="1396"/>
        <v>7</v>
      </c>
      <c r="L1921" s="104">
        <f t="shared" si="1396"/>
        <v>8</v>
      </c>
      <c r="M1921" s="104">
        <f t="shared" si="1396"/>
        <v>10</v>
      </c>
      <c r="N1921" s="104">
        <f t="shared" si="1396"/>
        <v>11</v>
      </c>
      <c r="O1921" s="104">
        <f t="shared" si="1396"/>
        <v>13</v>
      </c>
      <c r="P1921" s="104">
        <f t="shared" si="1396"/>
        <v>16</v>
      </c>
      <c r="Q1921" s="104">
        <f t="shared" si="1396"/>
        <v>18</v>
      </c>
    </row>
    <row r="1922" ht="24" customHeight="1" spans="1:17">
      <c r="A1922" s="99" t="s">
        <v>350</v>
      </c>
      <c r="B1922" s="99" t="s">
        <v>290</v>
      </c>
      <c r="C1922" s="99" t="s">
        <v>316</v>
      </c>
      <c r="D1922" s="48" t="s">
        <v>298</v>
      </c>
      <c r="E1922" s="48" t="s">
        <v>97</v>
      </c>
      <c r="F1922" s="105">
        <f t="shared" ref="F1922:F1924" si="1397">F1832</f>
        <v>0</v>
      </c>
      <c r="G1922" s="105">
        <f t="shared" ref="G1922:Q1922" si="1398">G1832+F1922</f>
        <v>0</v>
      </c>
      <c r="H1922" s="105">
        <f t="shared" si="1398"/>
        <v>2</v>
      </c>
      <c r="I1922" s="105">
        <f t="shared" si="1398"/>
        <v>3</v>
      </c>
      <c r="J1922" s="105">
        <f t="shared" si="1398"/>
        <v>4</v>
      </c>
      <c r="K1922" s="105">
        <f t="shared" si="1398"/>
        <v>4</v>
      </c>
      <c r="L1922" s="105">
        <f t="shared" si="1398"/>
        <v>5</v>
      </c>
      <c r="M1922" s="105">
        <f t="shared" si="1398"/>
        <v>6</v>
      </c>
      <c r="N1922" s="105">
        <f t="shared" si="1398"/>
        <v>7</v>
      </c>
      <c r="O1922" s="105">
        <f t="shared" si="1398"/>
        <v>8</v>
      </c>
      <c r="P1922" s="105">
        <f t="shared" si="1398"/>
        <v>10</v>
      </c>
      <c r="Q1922" s="105">
        <f t="shared" si="1398"/>
        <v>10</v>
      </c>
    </row>
    <row r="1923" ht="24" customHeight="1" spans="1:17">
      <c r="A1923" s="99" t="s">
        <v>350</v>
      </c>
      <c r="B1923" s="99" t="s">
        <v>290</v>
      </c>
      <c r="C1923" s="99" t="s">
        <v>316</v>
      </c>
      <c r="D1923" s="48" t="s">
        <v>298</v>
      </c>
      <c r="E1923" s="48" t="s">
        <v>87</v>
      </c>
      <c r="F1923" s="105">
        <f t="shared" si="1397"/>
        <v>1</v>
      </c>
      <c r="G1923" s="105">
        <f t="shared" ref="G1923:Q1923" si="1399">G1833+F1923</f>
        <v>1</v>
      </c>
      <c r="H1923" s="105">
        <f t="shared" si="1399"/>
        <v>1</v>
      </c>
      <c r="I1923" s="105">
        <f t="shared" si="1399"/>
        <v>3</v>
      </c>
      <c r="J1923" s="105">
        <f t="shared" si="1399"/>
        <v>3</v>
      </c>
      <c r="K1923" s="105">
        <f t="shared" si="1399"/>
        <v>3</v>
      </c>
      <c r="L1923" s="105">
        <f t="shared" si="1399"/>
        <v>3</v>
      </c>
      <c r="M1923" s="105">
        <f t="shared" si="1399"/>
        <v>4</v>
      </c>
      <c r="N1923" s="105">
        <f t="shared" si="1399"/>
        <v>4</v>
      </c>
      <c r="O1923" s="105">
        <f t="shared" si="1399"/>
        <v>5</v>
      </c>
      <c r="P1923" s="105">
        <f t="shared" si="1399"/>
        <v>6</v>
      </c>
      <c r="Q1923" s="105">
        <f t="shared" si="1399"/>
        <v>8</v>
      </c>
    </row>
    <row r="1924" ht="24" customHeight="1" spans="1:17">
      <c r="A1924" s="99" t="s">
        <v>350</v>
      </c>
      <c r="B1924" s="99" t="s">
        <v>290</v>
      </c>
      <c r="C1924" s="99" t="s">
        <v>316</v>
      </c>
      <c r="D1924" s="48" t="s">
        <v>298</v>
      </c>
      <c r="E1924" s="48" t="s">
        <v>83</v>
      </c>
      <c r="F1924" s="105">
        <f t="shared" si="1397"/>
        <v>0</v>
      </c>
      <c r="G1924" s="105">
        <f t="shared" ref="G1924:Q1924" si="1400">G1834+F1924</f>
        <v>0</v>
      </c>
      <c r="H1924" s="105">
        <f t="shared" si="1400"/>
        <v>0</v>
      </c>
      <c r="I1924" s="105">
        <f t="shared" si="1400"/>
        <v>0</v>
      </c>
      <c r="J1924" s="105">
        <f t="shared" si="1400"/>
        <v>0</v>
      </c>
      <c r="K1924" s="105">
        <f t="shared" si="1400"/>
        <v>0</v>
      </c>
      <c r="L1924" s="105">
        <f t="shared" si="1400"/>
        <v>0</v>
      </c>
      <c r="M1924" s="105">
        <f t="shared" si="1400"/>
        <v>0</v>
      </c>
      <c r="N1924" s="105">
        <f t="shared" si="1400"/>
        <v>0</v>
      </c>
      <c r="O1924" s="105">
        <f t="shared" si="1400"/>
        <v>0</v>
      </c>
      <c r="P1924" s="105">
        <f t="shared" si="1400"/>
        <v>0</v>
      </c>
      <c r="Q1924" s="105">
        <f t="shared" si="1400"/>
        <v>0</v>
      </c>
    </row>
    <row r="1925" ht="24" customHeight="1" spans="1:17">
      <c r="A1925" s="99" t="s">
        <v>350</v>
      </c>
      <c r="B1925" s="99" t="s">
        <v>299</v>
      </c>
      <c r="C1925" s="99" t="s">
        <v>316</v>
      </c>
      <c r="D1925" s="100" t="s">
        <v>292</v>
      </c>
      <c r="E1925" s="100" t="s">
        <v>320</v>
      </c>
      <c r="F1925" s="104">
        <f t="shared" ref="F1925:Q1925" si="1401">IF((SUM(F1926:F1931)-MAX(F1943,F1950))&lt;0,"ERR",SUM(F1926:F1931))</f>
        <v>2</v>
      </c>
      <c r="G1925" s="104">
        <f t="shared" si="1401"/>
        <v>3</v>
      </c>
      <c r="H1925" s="104">
        <f t="shared" si="1401"/>
        <v>5</v>
      </c>
      <c r="I1925" s="104">
        <f t="shared" si="1401"/>
        <v>5</v>
      </c>
      <c r="J1925" s="104">
        <f t="shared" si="1401"/>
        <v>9</v>
      </c>
      <c r="K1925" s="104">
        <f t="shared" si="1401"/>
        <v>11</v>
      </c>
      <c r="L1925" s="104">
        <f t="shared" si="1401"/>
        <v>11</v>
      </c>
      <c r="M1925" s="104">
        <f t="shared" si="1401"/>
        <v>12</v>
      </c>
      <c r="N1925" s="104">
        <f t="shared" si="1401"/>
        <v>18</v>
      </c>
      <c r="O1925" s="104">
        <f t="shared" si="1401"/>
        <v>19</v>
      </c>
      <c r="P1925" s="104">
        <f t="shared" si="1401"/>
        <v>23</v>
      </c>
      <c r="Q1925" s="104">
        <f t="shared" si="1401"/>
        <v>25</v>
      </c>
    </row>
    <row r="1926" ht="24" customHeight="1" spans="1:17">
      <c r="A1926" s="99" t="s">
        <v>350</v>
      </c>
      <c r="B1926" s="99" t="s">
        <v>299</v>
      </c>
      <c r="C1926" s="99" t="s">
        <v>316</v>
      </c>
      <c r="D1926" s="48" t="s">
        <v>31</v>
      </c>
      <c r="E1926" s="48" t="s">
        <v>406</v>
      </c>
      <c r="F1926" s="105">
        <f t="shared" ref="F1926:F1931" si="1402">F1836</f>
        <v>0</v>
      </c>
      <c r="G1926" s="105">
        <f t="shared" ref="G1926:Q1926" si="1403">G1836+F1926</f>
        <v>0</v>
      </c>
      <c r="H1926" s="105">
        <f t="shared" si="1403"/>
        <v>1</v>
      </c>
      <c r="I1926" s="105">
        <f t="shared" si="1403"/>
        <v>1</v>
      </c>
      <c r="J1926" s="105">
        <f t="shared" si="1403"/>
        <v>3</v>
      </c>
      <c r="K1926" s="105">
        <f t="shared" si="1403"/>
        <v>3</v>
      </c>
      <c r="L1926" s="105">
        <f t="shared" si="1403"/>
        <v>3</v>
      </c>
      <c r="M1926" s="105">
        <f t="shared" si="1403"/>
        <v>3</v>
      </c>
      <c r="N1926" s="105">
        <f t="shared" si="1403"/>
        <v>4</v>
      </c>
      <c r="O1926" s="105">
        <f t="shared" si="1403"/>
        <v>4</v>
      </c>
      <c r="P1926" s="105">
        <f t="shared" si="1403"/>
        <v>6</v>
      </c>
      <c r="Q1926" s="105">
        <f t="shared" si="1403"/>
        <v>6</v>
      </c>
    </row>
    <row r="1927" ht="24" customHeight="1" spans="1:17">
      <c r="A1927" s="99" t="s">
        <v>350</v>
      </c>
      <c r="B1927" s="99" t="s">
        <v>299</v>
      </c>
      <c r="C1927" s="99" t="s">
        <v>316</v>
      </c>
      <c r="D1927" s="48" t="s">
        <v>31</v>
      </c>
      <c r="E1927" s="48" t="s">
        <v>82</v>
      </c>
      <c r="F1927" s="105">
        <f t="shared" si="1402"/>
        <v>2</v>
      </c>
      <c r="G1927" s="105">
        <f t="shared" ref="G1927:Q1927" si="1404">G1837+F1927</f>
        <v>2</v>
      </c>
      <c r="H1927" s="105">
        <f t="shared" si="1404"/>
        <v>2</v>
      </c>
      <c r="I1927" s="105">
        <f t="shared" si="1404"/>
        <v>2</v>
      </c>
      <c r="J1927" s="105">
        <f t="shared" si="1404"/>
        <v>3</v>
      </c>
      <c r="K1927" s="105">
        <f t="shared" si="1404"/>
        <v>3</v>
      </c>
      <c r="L1927" s="105">
        <f t="shared" si="1404"/>
        <v>3</v>
      </c>
      <c r="M1927" s="105">
        <f t="shared" si="1404"/>
        <v>3</v>
      </c>
      <c r="N1927" s="105">
        <f t="shared" si="1404"/>
        <v>5</v>
      </c>
      <c r="O1927" s="105">
        <f t="shared" si="1404"/>
        <v>5</v>
      </c>
      <c r="P1927" s="105">
        <f t="shared" si="1404"/>
        <v>5</v>
      </c>
      <c r="Q1927" s="105">
        <f t="shared" si="1404"/>
        <v>5</v>
      </c>
    </row>
    <row r="1928" ht="24" customHeight="1" spans="1:17">
      <c r="A1928" s="99" t="s">
        <v>350</v>
      </c>
      <c r="B1928" s="99" t="s">
        <v>299</v>
      </c>
      <c r="C1928" s="99" t="s">
        <v>316</v>
      </c>
      <c r="D1928" s="48" t="s">
        <v>31</v>
      </c>
      <c r="E1928" s="48" t="s">
        <v>86</v>
      </c>
      <c r="F1928" s="105">
        <f t="shared" si="1402"/>
        <v>0</v>
      </c>
      <c r="G1928" s="105">
        <f t="shared" ref="G1928:Q1928" si="1405">G1838+F1928</f>
        <v>0</v>
      </c>
      <c r="H1928" s="105">
        <f t="shared" si="1405"/>
        <v>1</v>
      </c>
      <c r="I1928" s="105">
        <f t="shared" si="1405"/>
        <v>1</v>
      </c>
      <c r="J1928" s="105">
        <f t="shared" si="1405"/>
        <v>1</v>
      </c>
      <c r="K1928" s="105">
        <f t="shared" si="1405"/>
        <v>1</v>
      </c>
      <c r="L1928" s="105">
        <f t="shared" si="1405"/>
        <v>1</v>
      </c>
      <c r="M1928" s="105">
        <f t="shared" si="1405"/>
        <v>1</v>
      </c>
      <c r="N1928" s="105">
        <f t="shared" si="1405"/>
        <v>1</v>
      </c>
      <c r="O1928" s="105">
        <f t="shared" si="1405"/>
        <v>1</v>
      </c>
      <c r="P1928" s="105">
        <f t="shared" si="1405"/>
        <v>1</v>
      </c>
      <c r="Q1928" s="105">
        <f t="shared" si="1405"/>
        <v>1</v>
      </c>
    </row>
    <row r="1929" ht="24" customHeight="1" spans="1:17">
      <c r="A1929" s="99" t="s">
        <v>350</v>
      </c>
      <c r="B1929" s="99" t="s">
        <v>299</v>
      </c>
      <c r="C1929" s="99" t="s">
        <v>316</v>
      </c>
      <c r="D1929" s="48" t="s">
        <v>31</v>
      </c>
      <c r="E1929" s="48" t="s">
        <v>97</v>
      </c>
      <c r="F1929" s="105">
        <f t="shared" si="1402"/>
        <v>0</v>
      </c>
      <c r="G1929" s="105">
        <f t="shared" ref="G1929:Q1929" si="1406">G1839+F1929</f>
        <v>0</v>
      </c>
      <c r="H1929" s="105">
        <f t="shared" si="1406"/>
        <v>0</v>
      </c>
      <c r="I1929" s="105">
        <f t="shared" si="1406"/>
        <v>0</v>
      </c>
      <c r="J1929" s="105">
        <f t="shared" si="1406"/>
        <v>1</v>
      </c>
      <c r="K1929" s="105">
        <f t="shared" si="1406"/>
        <v>2</v>
      </c>
      <c r="L1929" s="105">
        <f t="shared" si="1406"/>
        <v>2</v>
      </c>
      <c r="M1929" s="105">
        <f t="shared" si="1406"/>
        <v>3</v>
      </c>
      <c r="N1929" s="105">
        <f t="shared" si="1406"/>
        <v>5</v>
      </c>
      <c r="O1929" s="105">
        <f t="shared" si="1406"/>
        <v>5</v>
      </c>
      <c r="P1929" s="105">
        <f t="shared" si="1406"/>
        <v>7</v>
      </c>
      <c r="Q1929" s="105">
        <f t="shared" si="1406"/>
        <v>7</v>
      </c>
    </row>
    <row r="1930" ht="24" customHeight="1" spans="1:17">
      <c r="A1930" s="99" t="s">
        <v>350</v>
      </c>
      <c r="B1930" s="99" t="s">
        <v>299</v>
      </c>
      <c r="C1930" s="99" t="s">
        <v>316</v>
      </c>
      <c r="D1930" s="48" t="s">
        <v>31</v>
      </c>
      <c r="E1930" s="48" t="s">
        <v>87</v>
      </c>
      <c r="F1930" s="105">
        <f t="shared" si="1402"/>
        <v>0</v>
      </c>
      <c r="G1930" s="105">
        <f t="shared" ref="G1930:Q1930" si="1407">G1840+F1930</f>
        <v>1</v>
      </c>
      <c r="H1930" s="105">
        <f t="shared" si="1407"/>
        <v>1</v>
      </c>
      <c r="I1930" s="105">
        <f t="shared" si="1407"/>
        <v>1</v>
      </c>
      <c r="J1930" s="105">
        <f t="shared" si="1407"/>
        <v>1</v>
      </c>
      <c r="K1930" s="105">
        <f t="shared" si="1407"/>
        <v>2</v>
      </c>
      <c r="L1930" s="105">
        <f t="shared" si="1407"/>
        <v>2</v>
      </c>
      <c r="M1930" s="105">
        <f t="shared" si="1407"/>
        <v>2</v>
      </c>
      <c r="N1930" s="105">
        <f t="shared" si="1407"/>
        <v>3</v>
      </c>
      <c r="O1930" s="105">
        <f t="shared" si="1407"/>
        <v>4</v>
      </c>
      <c r="P1930" s="105">
        <f t="shared" si="1407"/>
        <v>4</v>
      </c>
      <c r="Q1930" s="105">
        <f t="shared" si="1407"/>
        <v>6</v>
      </c>
    </row>
    <row r="1931" ht="24" customHeight="1" spans="1:17">
      <c r="A1931" s="99" t="s">
        <v>350</v>
      </c>
      <c r="B1931" s="99" t="s">
        <v>299</v>
      </c>
      <c r="C1931" s="99" t="s">
        <v>316</v>
      </c>
      <c r="D1931" s="48" t="s">
        <v>31</v>
      </c>
      <c r="E1931" s="48" t="s">
        <v>83</v>
      </c>
      <c r="F1931" s="105">
        <f t="shared" si="1402"/>
        <v>0</v>
      </c>
      <c r="G1931" s="105">
        <f t="shared" ref="G1931:Q1931" si="1408">G1841+F1931</f>
        <v>0</v>
      </c>
      <c r="H1931" s="105">
        <f t="shared" si="1408"/>
        <v>0</v>
      </c>
      <c r="I1931" s="105">
        <f t="shared" si="1408"/>
        <v>0</v>
      </c>
      <c r="J1931" s="105">
        <f t="shared" si="1408"/>
        <v>0</v>
      </c>
      <c r="K1931" s="105">
        <f t="shared" si="1408"/>
        <v>0</v>
      </c>
      <c r="L1931" s="105">
        <f t="shared" si="1408"/>
        <v>0</v>
      </c>
      <c r="M1931" s="105">
        <f t="shared" si="1408"/>
        <v>0</v>
      </c>
      <c r="N1931" s="105">
        <f t="shared" si="1408"/>
        <v>0</v>
      </c>
      <c r="O1931" s="105">
        <f t="shared" si="1408"/>
        <v>0</v>
      </c>
      <c r="P1931" s="105">
        <f t="shared" si="1408"/>
        <v>0</v>
      </c>
      <c r="Q1931" s="105">
        <f t="shared" si="1408"/>
        <v>0</v>
      </c>
    </row>
    <row r="1932" ht="24" customHeight="1" spans="1:17">
      <c r="A1932" s="99" t="s">
        <v>350</v>
      </c>
      <c r="B1932" s="99" t="s">
        <v>299</v>
      </c>
      <c r="C1932" s="99" t="s">
        <v>316</v>
      </c>
      <c r="D1932" s="48" t="s">
        <v>321</v>
      </c>
      <c r="E1932" s="48" t="s">
        <v>406</v>
      </c>
      <c r="F1932" s="112">
        <f t="shared" ref="F1932:Q1932" si="1409">IFERROR(F1926/F1925,"-")</f>
        <v>0</v>
      </c>
      <c r="G1932" s="112">
        <f t="shared" si="1409"/>
        <v>0</v>
      </c>
      <c r="H1932" s="112">
        <f t="shared" si="1409"/>
        <v>0.2</v>
      </c>
      <c r="I1932" s="112">
        <f t="shared" si="1409"/>
        <v>0.2</v>
      </c>
      <c r="J1932" s="112">
        <f t="shared" si="1409"/>
        <v>0.333333333333333</v>
      </c>
      <c r="K1932" s="112">
        <f t="shared" si="1409"/>
        <v>0.272727272727273</v>
      </c>
      <c r="L1932" s="112">
        <f t="shared" si="1409"/>
        <v>0.272727272727273</v>
      </c>
      <c r="M1932" s="112">
        <f t="shared" si="1409"/>
        <v>0.25</v>
      </c>
      <c r="N1932" s="112">
        <f t="shared" si="1409"/>
        <v>0.222222222222222</v>
      </c>
      <c r="O1932" s="112">
        <f t="shared" si="1409"/>
        <v>0.210526315789474</v>
      </c>
      <c r="P1932" s="112">
        <f t="shared" si="1409"/>
        <v>0.260869565217391</v>
      </c>
      <c r="Q1932" s="112">
        <f t="shared" si="1409"/>
        <v>0.24</v>
      </c>
    </row>
    <row r="1933" ht="24" customHeight="1" spans="1:17">
      <c r="A1933" s="99" t="s">
        <v>350</v>
      </c>
      <c r="B1933" s="99" t="s">
        <v>299</v>
      </c>
      <c r="C1933" s="99" t="s">
        <v>316</v>
      </c>
      <c r="D1933" s="48" t="s">
        <v>321</v>
      </c>
      <c r="E1933" s="48" t="s">
        <v>82</v>
      </c>
      <c r="F1933" s="112">
        <f t="shared" ref="F1933:Q1933" si="1410">IFERROR(F1927/F1925,"-")</f>
        <v>1</v>
      </c>
      <c r="G1933" s="112">
        <f t="shared" si="1410"/>
        <v>0.666666666666667</v>
      </c>
      <c r="H1933" s="112">
        <f t="shared" si="1410"/>
        <v>0.4</v>
      </c>
      <c r="I1933" s="112">
        <f t="shared" si="1410"/>
        <v>0.4</v>
      </c>
      <c r="J1933" s="112">
        <f t="shared" si="1410"/>
        <v>0.333333333333333</v>
      </c>
      <c r="K1933" s="112">
        <f t="shared" si="1410"/>
        <v>0.272727272727273</v>
      </c>
      <c r="L1933" s="112">
        <f t="shared" si="1410"/>
        <v>0.272727272727273</v>
      </c>
      <c r="M1933" s="112">
        <f t="shared" si="1410"/>
        <v>0.25</v>
      </c>
      <c r="N1933" s="112">
        <f t="shared" si="1410"/>
        <v>0.277777777777778</v>
      </c>
      <c r="O1933" s="112">
        <f t="shared" si="1410"/>
        <v>0.263157894736842</v>
      </c>
      <c r="P1933" s="112">
        <f t="shared" si="1410"/>
        <v>0.217391304347826</v>
      </c>
      <c r="Q1933" s="112">
        <f t="shared" si="1410"/>
        <v>0.2</v>
      </c>
    </row>
    <row r="1934" ht="24" customHeight="1" spans="1:17">
      <c r="A1934" s="99" t="s">
        <v>350</v>
      </c>
      <c r="B1934" s="99" t="s">
        <v>299</v>
      </c>
      <c r="C1934" s="99" t="s">
        <v>316</v>
      </c>
      <c r="D1934" s="48" t="s">
        <v>321</v>
      </c>
      <c r="E1934" s="48" t="s">
        <v>86</v>
      </c>
      <c r="F1934" s="112">
        <f t="shared" ref="F1934:Q1934" si="1411">IFERROR(F1928/F1925,"-")</f>
        <v>0</v>
      </c>
      <c r="G1934" s="112">
        <f t="shared" si="1411"/>
        <v>0</v>
      </c>
      <c r="H1934" s="112">
        <f t="shared" si="1411"/>
        <v>0.2</v>
      </c>
      <c r="I1934" s="112">
        <f t="shared" si="1411"/>
        <v>0.2</v>
      </c>
      <c r="J1934" s="112">
        <f t="shared" si="1411"/>
        <v>0.111111111111111</v>
      </c>
      <c r="K1934" s="112">
        <f t="shared" si="1411"/>
        <v>0.0909090909090909</v>
      </c>
      <c r="L1934" s="112">
        <f t="shared" si="1411"/>
        <v>0.0909090909090909</v>
      </c>
      <c r="M1934" s="112">
        <f t="shared" si="1411"/>
        <v>0.0833333333333333</v>
      </c>
      <c r="N1934" s="112">
        <f t="shared" si="1411"/>
        <v>0.0555555555555556</v>
      </c>
      <c r="O1934" s="112">
        <f t="shared" si="1411"/>
        <v>0.0526315789473684</v>
      </c>
      <c r="P1934" s="112">
        <f t="shared" si="1411"/>
        <v>0.0434782608695652</v>
      </c>
      <c r="Q1934" s="112">
        <f t="shared" si="1411"/>
        <v>0.04</v>
      </c>
    </row>
    <row r="1935" ht="24" customHeight="1" spans="1:17">
      <c r="A1935" s="99" t="s">
        <v>350</v>
      </c>
      <c r="B1935" s="99" t="s">
        <v>299</v>
      </c>
      <c r="C1935" s="99" t="s">
        <v>316</v>
      </c>
      <c r="D1935" s="48" t="s">
        <v>321</v>
      </c>
      <c r="E1935" s="48" t="s">
        <v>97</v>
      </c>
      <c r="F1935" s="112">
        <f t="shared" ref="F1935:Q1935" si="1412">IFERROR(F1929/F1925,"-")</f>
        <v>0</v>
      </c>
      <c r="G1935" s="112">
        <f t="shared" si="1412"/>
        <v>0</v>
      </c>
      <c r="H1935" s="112">
        <f t="shared" si="1412"/>
        <v>0</v>
      </c>
      <c r="I1935" s="112">
        <f t="shared" si="1412"/>
        <v>0</v>
      </c>
      <c r="J1935" s="112">
        <f t="shared" si="1412"/>
        <v>0.111111111111111</v>
      </c>
      <c r="K1935" s="112">
        <f t="shared" si="1412"/>
        <v>0.181818181818182</v>
      </c>
      <c r="L1935" s="112">
        <f t="shared" si="1412"/>
        <v>0.181818181818182</v>
      </c>
      <c r="M1935" s="112">
        <f t="shared" si="1412"/>
        <v>0.25</v>
      </c>
      <c r="N1935" s="112">
        <f t="shared" si="1412"/>
        <v>0.277777777777778</v>
      </c>
      <c r="O1935" s="112">
        <f t="shared" si="1412"/>
        <v>0.263157894736842</v>
      </c>
      <c r="P1935" s="112">
        <f t="shared" si="1412"/>
        <v>0.304347826086957</v>
      </c>
      <c r="Q1935" s="112">
        <f t="shared" si="1412"/>
        <v>0.28</v>
      </c>
    </row>
    <row r="1936" ht="24" customHeight="1" spans="1:17">
      <c r="A1936" s="99" t="s">
        <v>350</v>
      </c>
      <c r="B1936" s="99" t="s">
        <v>299</v>
      </c>
      <c r="C1936" s="99" t="s">
        <v>316</v>
      </c>
      <c r="D1936" s="48" t="s">
        <v>321</v>
      </c>
      <c r="E1936" s="48" t="s">
        <v>87</v>
      </c>
      <c r="F1936" s="112">
        <f t="shared" ref="F1936:Q1936" si="1413">IFERROR(F1930/F1925,"-")</f>
        <v>0</v>
      </c>
      <c r="G1936" s="112">
        <f t="shared" si="1413"/>
        <v>0.333333333333333</v>
      </c>
      <c r="H1936" s="112">
        <f t="shared" si="1413"/>
        <v>0.2</v>
      </c>
      <c r="I1936" s="112">
        <f t="shared" si="1413"/>
        <v>0.2</v>
      </c>
      <c r="J1936" s="112">
        <f t="shared" si="1413"/>
        <v>0.111111111111111</v>
      </c>
      <c r="K1936" s="112">
        <f t="shared" si="1413"/>
        <v>0.181818181818182</v>
      </c>
      <c r="L1936" s="112">
        <f t="shared" si="1413"/>
        <v>0.181818181818182</v>
      </c>
      <c r="M1936" s="112">
        <f t="shared" si="1413"/>
        <v>0.166666666666667</v>
      </c>
      <c r="N1936" s="112">
        <f t="shared" si="1413"/>
        <v>0.166666666666667</v>
      </c>
      <c r="O1936" s="112">
        <f t="shared" si="1413"/>
        <v>0.210526315789474</v>
      </c>
      <c r="P1936" s="112">
        <f t="shared" si="1413"/>
        <v>0.173913043478261</v>
      </c>
      <c r="Q1936" s="112">
        <f t="shared" si="1413"/>
        <v>0.24</v>
      </c>
    </row>
    <row r="1937" ht="24" customHeight="1" spans="1:17">
      <c r="A1937" s="99" t="s">
        <v>350</v>
      </c>
      <c r="B1937" s="99" t="s">
        <v>299</v>
      </c>
      <c r="C1937" s="99" t="s">
        <v>316</v>
      </c>
      <c r="D1937" s="48" t="s">
        <v>321</v>
      </c>
      <c r="E1937" s="48" t="s">
        <v>83</v>
      </c>
      <c r="F1937" s="112">
        <f t="shared" ref="F1937:Q1937" si="1414">IFERROR(F1931/F1925,"-")</f>
        <v>0</v>
      </c>
      <c r="G1937" s="112">
        <f t="shared" si="1414"/>
        <v>0</v>
      </c>
      <c r="H1937" s="112">
        <f t="shared" si="1414"/>
        <v>0</v>
      </c>
      <c r="I1937" s="112">
        <f t="shared" si="1414"/>
        <v>0</v>
      </c>
      <c r="J1937" s="112">
        <f t="shared" si="1414"/>
        <v>0</v>
      </c>
      <c r="K1937" s="112">
        <f t="shared" si="1414"/>
        <v>0</v>
      </c>
      <c r="L1937" s="112">
        <f t="shared" si="1414"/>
        <v>0</v>
      </c>
      <c r="M1937" s="112">
        <f t="shared" si="1414"/>
        <v>0</v>
      </c>
      <c r="N1937" s="112">
        <f t="shared" si="1414"/>
        <v>0</v>
      </c>
      <c r="O1937" s="112">
        <f t="shared" si="1414"/>
        <v>0</v>
      </c>
      <c r="P1937" s="112">
        <f t="shared" si="1414"/>
        <v>0</v>
      </c>
      <c r="Q1937" s="112">
        <f t="shared" si="1414"/>
        <v>0</v>
      </c>
    </row>
    <row r="1938" ht="24" customHeight="1" spans="1:17">
      <c r="A1938" s="99" t="s">
        <v>350</v>
      </c>
      <c r="B1938" s="99" t="s">
        <v>299</v>
      </c>
      <c r="C1938" s="99" t="s">
        <v>316</v>
      </c>
      <c r="D1938" s="47" t="s">
        <v>294</v>
      </c>
      <c r="E1938" s="47" t="s">
        <v>93</v>
      </c>
      <c r="F1938" s="106">
        <f t="shared" ref="F1938:F1942" si="1415">F1842</f>
        <v>1</v>
      </c>
      <c r="G1938" s="106">
        <f t="shared" ref="G1938:Q1938" si="1416">G1842+F1938</f>
        <v>1</v>
      </c>
      <c r="H1938" s="106">
        <f t="shared" si="1416"/>
        <v>3</v>
      </c>
      <c r="I1938" s="106">
        <f t="shared" si="1416"/>
        <v>3</v>
      </c>
      <c r="J1938" s="106">
        <f t="shared" si="1416"/>
        <v>5</v>
      </c>
      <c r="K1938" s="106">
        <f t="shared" si="1416"/>
        <v>6</v>
      </c>
      <c r="L1938" s="106">
        <f t="shared" si="1416"/>
        <v>6</v>
      </c>
      <c r="M1938" s="106">
        <f t="shared" si="1416"/>
        <v>7</v>
      </c>
      <c r="N1938" s="106">
        <f t="shared" si="1416"/>
        <v>9</v>
      </c>
      <c r="O1938" s="106">
        <f t="shared" si="1416"/>
        <v>9</v>
      </c>
      <c r="P1938" s="106">
        <f t="shared" si="1416"/>
        <v>13</v>
      </c>
      <c r="Q1938" s="106">
        <f t="shared" si="1416"/>
        <v>13</v>
      </c>
    </row>
    <row r="1939" ht="24" customHeight="1" spans="1:17">
      <c r="A1939" s="99" t="s">
        <v>350</v>
      </c>
      <c r="B1939" s="99" t="s">
        <v>299</v>
      </c>
      <c r="C1939" s="99" t="s">
        <v>316</v>
      </c>
      <c r="D1939" s="47" t="s">
        <v>294</v>
      </c>
      <c r="E1939" s="47" t="s">
        <v>85</v>
      </c>
      <c r="F1939" s="106">
        <f t="shared" si="1415"/>
        <v>1</v>
      </c>
      <c r="G1939" s="106">
        <f t="shared" ref="G1939:Q1939" si="1417">G1843+F1939</f>
        <v>2</v>
      </c>
      <c r="H1939" s="106">
        <f t="shared" si="1417"/>
        <v>2</v>
      </c>
      <c r="I1939" s="106">
        <f t="shared" si="1417"/>
        <v>2</v>
      </c>
      <c r="J1939" s="106">
        <f t="shared" si="1417"/>
        <v>4</v>
      </c>
      <c r="K1939" s="106">
        <f t="shared" si="1417"/>
        <v>5</v>
      </c>
      <c r="L1939" s="106">
        <f t="shared" si="1417"/>
        <v>5</v>
      </c>
      <c r="M1939" s="106">
        <f t="shared" si="1417"/>
        <v>5</v>
      </c>
      <c r="N1939" s="106">
        <f t="shared" si="1417"/>
        <v>8</v>
      </c>
      <c r="O1939" s="106">
        <f t="shared" si="1417"/>
        <v>9</v>
      </c>
      <c r="P1939" s="106">
        <f t="shared" si="1417"/>
        <v>9</v>
      </c>
      <c r="Q1939" s="106">
        <f t="shared" si="1417"/>
        <v>9</v>
      </c>
    </row>
    <row r="1940" ht="24" customHeight="1" spans="1:17">
      <c r="A1940" s="99" t="s">
        <v>350</v>
      </c>
      <c r="B1940" s="99" t="s">
        <v>299</v>
      </c>
      <c r="C1940" s="99" t="s">
        <v>316</v>
      </c>
      <c r="D1940" s="47" t="s">
        <v>294</v>
      </c>
      <c r="E1940" s="47" t="s">
        <v>81</v>
      </c>
      <c r="F1940" s="106">
        <f t="shared" si="1415"/>
        <v>0</v>
      </c>
      <c r="G1940" s="106">
        <f t="shared" ref="G1940:Q1940" si="1418">G1844+F1940</f>
        <v>0</v>
      </c>
      <c r="H1940" s="106">
        <f t="shared" si="1418"/>
        <v>0</v>
      </c>
      <c r="I1940" s="106">
        <f t="shared" si="1418"/>
        <v>0</v>
      </c>
      <c r="J1940" s="106">
        <f t="shared" si="1418"/>
        <v>0</v>
      </c>
      <c r="K1940" s="106">
        <f t="shared" si="1418"/>
        <v>0</v>
      </c>
      <c r="L1940" s="106">
        <f t="shared" si="1418"/>
        <v>0</v>
      </c>
      <c r="M1940" s="106">
        <f t="shared" si="1418"/>
        <v>0</v>
      </c>
      <c r="N1940" s="106">
        <f t="shared" si="1418"/>
        <v>0</v>
      </c>
      <c r="O1940" s="106">
        <f t="shared" si="1418"/>
        <v>0</v>
      </c>
      <c r="P1940" s="106">
        <f t="shared" si="1418"/>
        <v>0</v>
      </c>
      <c r="Q1940" s="106">
        <f t="shared" si="1418"/>
        <v>2</v>
      </c>
    </row>
    <row r="1941" ht="24" customHeight="1" spans="1:17">
      <c r="A1941" s="99" t="s">
        <v>350</v>
      </c>
      <c r="B1941" s="99" t="s">
        <v>299</v>
      </c>
      <c r="C1941" s="99" t="s">
        <v>316</v>
      </c>
      <c r="D1941" s="47" t="s">
        <v>294</v>
      </c>
      <c r="E1941" s="47" t="s">
        <v>96</v>
      </c>
      <c r="F1941" s="106">
        <f t="shared" si="1415"/>
        <v>0</v>
      </c>
      <c r="G1941" s="106">
        <f t="shared" ref="G1941:Q1941" si="1419">G1845+F1941</f>
        <v>0</v>
      </c>
      <c r="H1941" s="106">
        <f t="shared" si="1419"/>
        <v>0</v>
      </c>
      <c r="I1941" s="106">
        <f t="shared" si="1419"/>
        <v>0</v>
      </c>
      <c r="J1941" s="106">
        <f t="shared" si="1419"/>
        <v>0</v>
      </c>
      <c r="K1941" s="106">
        <f t="shared" si="1419"/>
        <v>0</v>
      </c>
      <c r="L1941" s="106">
        <f t="shared" si="1419"/>
        <v>0</v>
      </c>
      <c r="M1941" s="106">
        <f t="shared" si="1419"/>
        <v>0</v>
      </c>
      <c r="N1941" s="106">
        <f t="shared" si="1419"/>
        <v>1</v>
      </c>
      <c r="O1941" s="106">
        <f t="shared" si="1419"/>
        <v>1</v>
      </c>
      <c r="P1941" s="106">
        <f t="shared" si="1419"/>
        <v>1</v>
      </c>
      <c r="Q1941" s="106">
        <f t="shared" si="1419"/>
        <v>1</v>
      </c>
    </row>
    <row r="1942" ht="24" customHeight="1" spans="1:17">
      <c r="A1942" s="99" t="s">
        <v>350</v>
      </c>
      <c r="B1942" s="99" t="s">
        <v>299</v>
      </c>
      <c r="C1942" s="99" t="s">
        <v>316</v>
      </c>
      <c r="D1942" s="47" t="s">
        <v>294</v>
      </c>
      <c r="E1942" s="47" t="s">
        <v>160</v>
      </c>
      <c r="F1942" s="106">
        <f t="shared" si="1415"/>
        <v>0</v>
      </c>
      <c r="G1942" s="106">
        <f t="shared" ref="G1942:Q1942" si="1420">G1846+F1942</f>
        <v>0</v>
      </c>
      <c r="H1942" s="106">
        <f t="shared" si="1420"/>
        <v>0</v>
      </c>
      <c r="I1942" s="106">
        <f t="shared" si="1420"/>
        <v>0</v>
      </c>
      <c r="J1942" s="106">
        <f t="shared" si="1420"/>
        <v>0</v>
      </c>
      <c r="K1942" s="106">
        <f t="shared" si="1420"/>
        <v>0</v>
      </c>
      <c r="L1942" s="106">
        <f t="shared" si="1420"/>
        <v>0</v>
      </c>
      <c r="M1942" s="106">
        <f t="shared" si="1420"/>
        <v>0</v>
      </c>
      <c r="N1942" s="106">
        <f t="shared" si="1420"/>
        <v>0</v>
      </c>
      <c r="O1942" s="106">
        <f t="shared" si="1420"/>
        <v>0</v>
      </c>
      <c r="P1942" s="106">
        <f t="shared" si="1420"/>
        <v>0</v>
      </c>
      <c r="Q1942" s="106">
        <f t="shared" si="1420"/>
        <v>0</v>
      </c>
    </row>
    <row r="1943" ht="24" customHeight="1" spans="1:17">
      <c r="A1943" s="99" t="s">
        <v>350</v>
      </c>
      <c r="B1943" s="99" t="s">
        <v>299</v>
      </c>
      <c r="C1943" s="99" t="s">
        <v>316</v>
      </c>
      <c r="D1943" s="100" t="s">
        <v>292</v>
      </c>
      <c r="E1943" s="100" t="s">
        <v>322</v>
      </c>
      <c r="F1943" s="104">
        <f t="shared" ref="F1943:Q1943" si="1421">SUM(F1944:F1946)</f>
        <v>2</v>
      </c>
      <c r="G1943" s="104">
        <f t="shared" si="1421"/>
        <v>2</v>
      </c>
      <c r="H1943" s="104">
        <f t="shared" si="1421"/>
        <v>4</v>
      </c>
      <c r="I1943" s="104">
        <f t="shared" si="1421"/>
        <v>4</v>
      </c>
      <c r="J1943" s="104">
        <f t="shared" si="1421"/>
        <v>7</v>
      </c>
      <c r="K1943" s="104">
        <f t="shared" si="1421"/>
        <v>7</v>
      </c>
      <c r="L1943" s="104">
        <f t="shared" si="1421"/>
        <v>7</v>
      </c>
      <c r="M1943" s="104">
        <f t="shared" si="1421"/>
        <v>7</v>
      </c>
      <c r="N1943" s="104">
        <f t="shared" si="1421"/>
        <v>10</v>
      </c>
      <c r="O1943" s="104">
        <f t="shared" si="1421"/>
        <v>10</v>
      </c>
      <c r="P1943" s="104">
        <f t="shared" si="1421"/>
        <v>12</v>
      </c>
      <c r="Q1943" s="104">
        <f t="shared" si="1421"/>
        <v>14</v>
      </c>
    </row>
    <row r="1944" ht="24" customHeight="1" spans="1:17">
      <c r="A1944" s="99" t="s">
        <v>350</v>
      </c>
      <c r="B1944" s="99" t="s">
        <v>299</v>
      </c>
      <c r="C1944" s="99" t="s">
        <v>316</v>
      </c>
      <c r="D1944" s="48" t="s">
        <v>296</v>
      </c>
      <c r="E1944" s="48" t="s">
        <v>406</v>
      </c>
      <c r="F1944" s="105">
        <f t="shared" ref="F1944:F1946" si="1422">F1866</f>
        <v>0</v>
      </c>
      <c r="G1944" s="105">
        <f t="shared" ref="G1944:Q1944" si="1423">G1866+F1944</f>
        <v>0</v>
      </c>
      <c r="H1944" s="105">
        <f t="shared" si="1423"/>
        <v>1</v>
      </c>
      <c r="I1944" s="105">
        <f t="shared" si="1423"/>
        <v>1</v>
      </c>
      <c r="J1944" s="105">
        <f t="shared" si="1423"/>
        <v>3</v>
      </c>
      <c r="K1944" s="105">
        <f t="shared" si="1423"/>
        <v>3</v>
      </c>
      <c r="L1944" s="105">
        <f t="shared" si="1423"/>
        <v>3</v>
      </c>
      <c r="M1944" s="105">
        <f t="shared" si="1423"/>
        <v>3</v>
      </c>
      <c r="N1944" s="105">
        <f t="shared" si="1423"/>
        <v>4</v>
      </c>
      <c r="O1944" s="105">
        <f t="shared" si="1423"/>
        <v>4</v>
      </c>
      <c r="P1944" s="105">
        <f t="shared" si="1423"/>
        <v>6</v>
      </c>
      <c r="Q1944" s="105">
        <f t="shared" si="1423"/>
        <v>8</v>
      </c>
    </row>
    <row r="1945" ht="24" customHeight="1" spans="1:17">
      <c r="A1945" s="99" t="s">
        <v>350</v>
      </c>
      <c r="B1945" s="99" t="s">
        <v>299</v>
      </c>
      <c r="C1945" s="99" t="s">
        <v>316</v>
      </c>
      <c r="D1945" s="48" t="s">
        <v>296</v>
      </c>
      <c r="E1945" s="48" t="s">
        <v>82</v>
      </c>
      <c r="F1945" s="105">
        <f t="shared" si="1422"/>
        <v>2</v>
      </c>
      <c r="G1945" s="105">
        <f t="shared" ref="G1945:Q1945" si="1424">G1867+F1945</f>
        <v>2</v>
      </c>
      <c r="H1945" s="105">
        <f t="shared" si="1424"/>
        <v>2</v>
      </c>
      <c r="I1945" s="105">
        <f t="shared" si="1424"/>
        <v>2</v>
      </c>
      <c r="J1945" s="105">
        <f t="shared" si="1424"/>
        <v>3</v>
      </c>
      <c r="K1945" s="105">
        <f t="shared" si="1424"/>
        <v>3</v>
      </c>
      <c r="L1945" s="105">
        <f t="shared" si="1424"/>
        <v>3</v>
      </c>
      <c r="M1945" s="105">
        <f t="shared" si="1424"/>
        <v>3</v>
      </c>
      <c r="N1945" s="105">
        <f t="shared" si="1424"/>
        <v>5</v>
      </c>
      <c r="O1945" s="105">
        <f t="shared" si="1424"/>
        <v>5</v>
      </c>
      <c r="P1945" s="105">
        <f t="shared" si="1424"/>
        <v>5</v>
      </c>
      <c r="Q1945" s="105">
        <f t="shared" si="1424"/>
        <v>5</v>
      </c>
    </row>
    <row r="1946" ht="24" customHeight="1" spans="1:17">
      <c r="A1946" s="99" t="s">
        <v>350</v>
      </c>
      <c r="B1946" s="99" t="s">
        <v>299</v>
      </c>
      <c r="C1946" s="99" t="s">
        <v>316</v>
      </c>
      <c r="D1946" s="48" t="s">
        <v>296</v>
      </c>
      <c r="E1946" s="48" t="s">
        <v>86</v>
      </c>
      <c r="F1946" s="105">
        <f t="shared" si="1422"/>
        <v>0</v>
      </c>
      <c r="G1946" s="105">
        <f t="shared" ref="G1946:Q1946" si="1425">G1868+F1946</f>
        <v>0</v>
      </c>
      <c r="H1946" s="105">
        <f t="shared" si="1425"/>
        <v>1</v>
      </c>
      <c r="I1946" s="105">
        <f t="shared" si="1425"/>
        <v>1</v>
      </c>
      <c r="J1946" s="105">
        <f t="shared" si="1425"/>
        <v>1</v>
      </c>
      <c r="K1946" s="105">
        <f t="shared" si="1425"/>
        <v>1</v>
      </c>
      <c r="L1946" s="105">
        <f t="shared" si="1425"/>
        <v>1</v>
      </c>
      <c r="M1946" s="105">
        <f t="shared" si="1425"/>
        <v>1</v>
      </c>
      <c r="N1946" s="105">
        <f t="shared" si="1425"/>
        <v>1</v>
      </c>
      <c r="O1946" s="105">
        <f t="shared" si="1425"/>
        <v>1</v>
      </c>
      <c r="P1946" s="105">
        <f t="shared" si="1425"/>
        <v>1</v>
      </c>
      <c r="Q1946" s="105">
        <f t="shared" si="1425"/>
        <v>1</v>
      </c>
    </row>
    <row r="1947" ht="24" customHeight="1" spans="1:17">
      <c r="A1947" s="99" t="s">
        <v>350</v>
      </c>
      <c r="B1947" s="99" t="s">
        <v>299</v>
      </c>
      <c r="C1947" s="99" t="s">
        <v>316</v>
      </c>
      <c r="D1947" s="48" t="s">
        <v>323</v>
      </c>
      <c r="E1947" s="48" t="s">
        <v>406</v>
      </c>
      <c r="F1947" s="112">
        <f t="shared" ref="F1947:Q1947" si="1426">IFERROR(F1944/F1943,"-")</f>
        <v>0</v>
      </c>
      <c r="G1947" s="112">
        <f t="shared" si="1426"/>
        <v>0</v>
      </c>
      <c r="H1947" s="112">
        <f t="shared" si="1426"/>
        <v>0.25</v>
      </c>
      <c r="I1947" s="112">
        <f t="shared" si="1426"/>
        <v>0.25</v>
      </c>
      <c r="J1947" s="112">
        <f t="shared" si="1426"/>
        <v>0.428571428571429</v>
      </c>
      <c r="K1947" s="112">
        <f t="shared" si="1426"/>
        <v>0.428571428571429</v>
      </c>
      <c r="L1947" s="112">
        <f t="shared" si="1426"/>
        <v>0.428571428571429</v>
      </c>
      <c r="M1947" s="112">
        <f t="shared" si="1426"/>
        <v>0.428571428571429</v>
      </c>
      <c r="N1947" s="112">
        <f t="shared" si="1426"/>
        <v>0.4</v>
      </c>
      <c r="O1947" s="112">
        <f t="shared" si="1426"/>
        <v>0.4</v>
      </c>
      <c r="P1947" s="112">
        <f t="shared" si="1426"/>
        <v>0.5</v>
      </c>
      <c r="Q1947" s="112">
        <f t="shared" si="1426"/>
        <v>0.571428571428571</v>
      </c>
    </row>
    <row r="1948" ht="24" customHeight="1" spans="1:17">
      <c r="A1948" s="99" t="s">
        <v>350</v>
      </c>
      <c r="B1948" s="99" t="s">
        <v>299</v>
      </c>
      <c r="C1948" s="99" t="s">
        <v>316</v>
      </c>
      <c r="D1948" s="48" t="s">
        <v>323</v>
      </c>
      <c r="E1948" s="48" t="s">
        <v>82</v>
      </c>
      <c r="F1948" s="112">
        <f t="shared" ref="F1948:Q1948" si="1427">IFERROR(F1945/F1943,"-")</f>
        <v>1</v>
      </c>
      <c r="G1948" s="112">
        <f t="shared" si="1427"/>
        <v>1</v>
      </c>
      <c r="H1948" s="112">
        <f t="shared" si="1427"/>
        <v>0.5</v>
      </c>
      <c r="I1948" s="112">
        <f t="shared" si="1427"/>
        <v>0.5</v>
      </c>
      <c r="J1948" s="112">
        <f t="shared" si="1427"/>
        <v>0.428571428571429</v>
      </c>
      <c r="K1948" s="112">
        <f t="shared" si="1427"/>
        <v>0.428571428571429</v>
      </c>
      <c r="L1948" s="112">
        <f t="shared" si="1427"/>
        <v>0.428571428571429</v>
      </c>
      <c r="M1948" s="112">
        <f t="shared" si="1427"/>
        <v>0.428571428571429</v>
      </c>
      <c r="N1948" s="112">
        <f t="shared" si="1427"/>
        <v>0.5</v>
      </c>
      <c r="O1948" s="112">
        <f t="shared" si="1427"/>
        <v>0.5</v>
      </c>
      <c r="P1948" s="112">
        <f t="shared" si="1427"/>
        <v>0.416666666666667</v>
      </c>
      <c r="Q1948" s="112">
        <f t="shared" si="1427"/>
        <v>0.357142857142857</v>
      </c>
    </row>
    <row r="1949" ht="24" customHeight="1" spans="1:17">
      <c r="A1949" s="99" t="s">
        <v>350</v>
      </c>
      <c r="B1949" s="99" t="s">
        <v>299</v>
      </c>
      <c r="C1949" s="99" t="s">
        <v>316</v>
      </c>
      <c r="D1949" s="48" t="s">
        <v>323</v>
      </c>
      <c r="E1949" s="48" t="s">
        <v>86</v>
      </c>
      <c r="F1949" s="112">
        <f t="shared" ref="F1949:Q1949" si="1428">IFERROR(F1946/F1943,"-")</f>
        <v>0</v>
      </c>
      <c r="G1949" s="112">
        <f t="shared" si="1428"/>
        <v>0</v>
      </c>
      <c r="H1949" s="112">
        <f t="shared" si="1428"/>
        <v>0.25</v>
      </c>
      <c r="I1949" s="112">
        <f t="shared" si="1428"/>
        <v>0.25</v>
      </c>
      <c r="J1949" s="112">
        <f t="shared" si="1428"/>
        <v>0.142857142857143</v>
      </c>
      <c r="K1949" s="112">
        <f t="shared" si="1428"/>
        <v>0.142857142857143</v>
      </c>
      <c r="L1949" s="112">
        <f t="shared" si="1428"/>
        <v>0.142857142857143</v>
      </c>
      <c r="M1949" s="112">
        <f t="shared" si="1428"/>
        <v>0.142857142857143</v>
      </c>
      <c r="N1949" s="112">
        <f t="shared" si="1428"/>
        <v>0.1</v>
      </c>
      <c r="O1949" s="112">
        <f t="shared" si="1428"/>
        <v>0.1</v>
      </c>
      <c r="P1949" s="112">
        <f t="shared" si="1428"/>
        <v>0.0833333333333333</v>
      </c>
      <c r="Q1949" s="112">
        <f t="shared" si="1428"/>
        <v>0.0714285714285714</v>
      </c>
    </row>
    <row r="1950" ht="24" customHeight="1" spans="1:17">
      <c r="A1950" s="99" t="s">
        <v>350</v>
      </c>
      <c r="B1950" s="99" t="s">
        <v>299</v>
      </c>
      <c r="C1950" s="99" t="s">
        <v>316</v>
      </c>
      <c r="D1950" s="100" t="s">
        <v>292</v>
      </c>
      <c r="E1950" s="100" t="s">
        <v>324</v>
      </c>
      <c r="F1950" s="104">
        <f t="shared" ref="F1950:Q1950" si="1429">SUM(F1951:F1953)</f>
        <v>0</v>
      </c>
      <c r="G1950" s="104">
        <f t="shared" si="1429"/>
        <v>1</v>
      </c>
      <c r="H1950" s="104">
        <f t="shared" si="1429"/>
        <v>1</v>
      </c>
      <c r="I1950" s="104">
        <f t="shared" si="1429"/>
        <v>1</v>
      </c>
      <c r="J1950" s="104">
        <f t="shared" si="1429"/>
        <v>5</v>
      </c>
      <c r="K1950" s="104">
        <f t="shared" si="1429"/>
        <v>7</v>
      </c>
      <c r="L1950" s="104">
        <f t="shared" si="1429"/>
        <v>7</v>
      </c>
      <c r="M1950" s="104">
        <f t="shared" si="1429"/>
        <v>8</v>
      </c>
      <c r="N1950" s="104">
        <f t="shared" si="1429"/>
        <v>11</v>
      </c>
      <c r="O1950" s="104">
        <f t="shared" si="1429"/>
        <v>12</v>
      </c>
      <c r="P1950" s="104">
        <f t="shared" si="1429"/>
        <v>16</v>
      </c>
      <c r="Q1950" s="104">
        <f t="shared" si="1429"/>
        <v>18</v>
      </c>
    </row>
    <row r="1951" ht="24" customHeight="1" spans="1:17">
      <c r="A1951" s="99" t="s">
        <v>350</v>
      </c>
      <c r="B1951" s="99" t="s">
        <v>299</v>
      </c>
      <c r="C1951" s="99" t="s">
        <v>316</v>
      </c>
      <c r="D1951" s="48" t="s">
        <v>298</v>
      </c>
      <c r="E1951" s="48" t="s">
        <v>97</v>
      </c>
      <c r="F1951" s="105">
        <f t="shared" ref="F1951:F1953" si="1430">F1870</f>
        <v>0</v>
      </c>
      <c r="G1951" s="105">
        <f t="shared" ref="G1951:Q1951" si="1431">G1870+F1951</f>
        <v>0</v>
      </c>
      <c r="H1951" s="105">
        <f t="shared" si="1431"/>
        <v>0</v>
      </c>
      <c r="I1951" s="105">
        <f t="shared" si="1431"/>
        <v>0</v>
      </c>
      <c r="J1951" s="105">
        <f t="shared" si="1431"/>
        <v>3</v>
      </c>
      <c r="K1951" s="105">
        <f t="shared" si="1431"/>
        <v>4</v>
      </c>
      <c r="L1951" s="105">
        <f t="shared" si="1431"/>
        <v>4</v>
      </c>
      <c r="M1951" s="105">
        <f t="shared" si="1431"/>
        <v>5</v>
      </c>
      <c r="N1951" s="105">
        <f t="shared" si="1431"/>
        <v>7</v>
      </c>
      <c r="O1951" s="105">
        <f t="shared" si="1431"/>
        <v>7</v>
      </c>
      <c r="P1951" s="105">
        <f t="shared" si="1431"/>
        <v>10</v>
      </c>
      <c r="Q1951" s="105">
        <f t="shared" si="1431"/>
        <v>10</v>
      </c>
    </row>
    <row r="1952" ht="24" customHeight="1" spans="1:17">
      <c r="A1952" s="99" t="s">
        <v>350</v>
      </c>
      <c r="B1952" s="99" t="s">
        <v>299</v>
      </c>
      <c r="C1952" s="99" t="s">
        <v>316</v>
      </c>
      <c r="D1952" s="48" t="s">
        <v>298</v>
      </c>
      <c r="E1952" s="48" t="s">
        <v>87</v>
      </c>
      <c r="F1952" s="105">
        <f t="shared" si="1430"/>
        <v>0</v>
      </c>
      <c r="G1952" s="105">
        <f t="shared" ref="G1952:Q1952" si="1432">G1871+F1952</f>
        <v>1</v>
      </c>
      <c r="H1952" s="105">
        <f t="shared" si="1432"/>
        <v>1</v>
      </c>
      <c r="I1952" s="105">
        <f t="shared" si="1432"/>
        <v>1</v>
      </c>
      <c r="J1952" s="105">
        <f t="shared" si="1432"/>
        <v>2</v>
      </c>
      <c r="K1952" s="105">
        <f t="shared" si="1432"/>
        <v>3</v>
      </c>
      <c r="L1952" s="105">
        <f t="shared" si="1432"/>
        <v>3</v>
      </c>
      <c r="M1952" s="105">
        <f t="shared" si="1432"/>
        <v>3</v>
      </c>
      <c r="N1952" s="105">
        <f t="shared" si="1432"/>
        <v>4</v>
      </c>
      <c r="O1952" s="105">
        <f t="shared" si="1432"/>
        <v>5</v>
      </c>
      <c r="P1952" s="105">
        <f t="shared" si="1432"/>
        <v>6</v>
      </c>
      <c r="Q1952" s="105">
        <f t="shared" si="1432"/>
        <v>8</v>
      </c>
    </row>
    <row r="1953" ht="24" customHeight="1" spans="1:17">
      <c r="A1953" s="99" t="s">
        <v>350</v>
      </c>
      <c r="B1953" s="99" t="s">
        <v>299</v>
      </c>
      <c r="C1953" s="99" t="s">
        <v>316</v>
      </c>
      <c r="D1953" s="48" t="s">
        <v>298</v>
      </c>
      <c r="E1953" s="48" t="s">
        <v>83</v>
      </c>
      <c r="F1953" s="105">
        <f t="shared" si="1430"/>
        <v>0</v>
      </c>
      <c r="G1953" s="105">
        <f t="shared" ref="G1953:Q1953" si="1433">G1872+F1953</f>
        <v>0</v>
      </c>
      <c r="H1953" s="105">
        <f t="shared" si="1433"/>
        <v>0</v>
      </c>
      <c r="I1953" s="105">
        <f t="shared" si="1433"/>
        <v>0</v>
      </c>
      <c r="J1953" s="105">
        <f t="shared" si="1433"/>
        <v>0</v>
      </c>
      <c r="K1953" s="105">
        <f t="shared" si="1433"/>
        <v>0</v>
      </c>
      <c r="L1953" s="105">
        <f t="shared" si="1433"/>
        <v>0</v>
      </c>
      <c r="M1953" s="105">
        <f t="shared" si="1433"/>
        <v>0</v>
      </c>
      <c r="N1953" s="105">
        <f t="shared" si="1433"/>
        <v>0</v>
      </c>
      <c r="O1953" s="105">
        <f t="shared" si="1433"/>
        <v>0</v>
      </c>
      <c r="P1953" s="105">
        <f t="shared" si="1433"/>
        <v>0</v>
      </c>
      <c r="Q1953" s="105">
        <f t="shared" si="1433"/>
        <v>0</v>
      </c>
    </row>
    <row r="1954" ht="24" customHeight="1" spans="1:17">
      <c r="A1954" s="99" t="s">
        <v>350</v>
      </c>
      <c r="B1954" s="99" t="s">
        <v>299</v>
      </c>
      <c r="C1954" s="99" t="s">
        <v>316</v>
      </c>
      <c r="D1954" s="48" t="s">
        <v>325</v>
      </c>
      <c r="E1954" s="48" t="s">
        <v>97</v>
      </c>
      <c r="F1954" s="112" t="str">
        <f t="shared" ref="F1954:Q1954" si="1434">IFERROR(F1951/F1950,"-")</f>
        <v>-</v>
      </c>
      <c r="G1954" s="112">
        <f t="shared" si="1434"/>
        <v>0</v>
      </c>
      <c r="H1954" s="112">
        <f t="shared" si="1434"/>
        <v>0</v>
      </c>
      <c r="I1954" s="112">
        <f t="shared" si="1434"/>
        <v>0</v>
      </c>
      <c r="J1954" s="112">
        <f t="shared" si="1434"/>
        <v>0.6</v>
      </c>
      <c r="K1954" s="112">
        <f t="shared" si="1434"/>
        <v>0.571428571428571</v>
      </c>
      <c r="L1954" s="112">
        <f t="shared" si="1434"/>
        <v>0.571428571428571</v>
      </c>
      <c r="M1954" s="112">
        <f t="shared" si="1434"/>
        <v>0.625</v>
      </c>
      <c r="N1954" s="112">
        <f t="shared" si="1434"/>
        <v>0.636363636363636</v>
      </c>
      <c r="O1954" s="112">
        <f t="shared" si="1434"/>
        <v>0.583333333333333</v>
      </c>
      <c r="P1954" s="112">
        <f t="shared" si="1434"/>
        <v>0.625</v>
      </c>
      <c r="Q1954" s="112">
        <f t="shared" si="1434"/>
        <v>0.555555555555556</v>
      </c>
    </row>
    <row r="1955" ht="24" customHeight="1" spans="1:17">
      <c r="A1955" s="99" t="s">
        <v>350</v>
      </c>
      <c r="B1955" s="99" t="s">
        <v>299</v>
      </c>
      <c r="C1955" s="99" t="s">
        <v>316</v>
      </c>
      <c r="D1955" s="48" t="s">
        <v>325</v>
      </c>
      <c r="E1955" s="48" t="s">
        <v>87</v>
      </c>
      <c r="F1955" s="112" t="str">
        <f t="shared" ref="F1955:Q1955" si="1435">IFERROR(F1952/F1950,"-")</f>
        <v>-</v>
      </c>
      <c r="G1955" s="112">
        <f t="shared" si="1435"/>
        <v>1</v>
      </c>
      <c r="H1955" s="112">
        <f t="shared" si="1435"/>
        <v>1</v>
      </c>
      <c r="I1955" s="112">
        <f t="shared" si="1435"/>
        <v>1</v>
      </c>
      <c r="J1955" s="112">
        <f t="shared" si="1435"/>
        <v>0.4</v>
      </c>
      <c r="K1955" s="112">
        <f t="shared" si="1435"/>
        <v>0.428571428571429</v>
      </c>
      <c r="L1955" s="112">
        <f t="shared" si="1435"/>
        <v>0.428571428571429</v>
      </c>
      <c r="M1955" s="112">
        <f t="shared" si="1435"/>
        <v>0.375</v>
      </c>
      <c r="N1955" s="112">
        <f t="shared" si="1435"/>
        <v>0.363636363636364</v>
      </c>
      <c r="O1955" s="112">
        <f t="shared" si="1435"/>
        <v>0.416666666666667</v>
      </c>
      <c r="P1955" s="112">
        <f t="shared" si="1435"/>
        <v>0.375</v>
      </c>
      <c r="Q1955" s="112">
        <f t="shared" si="1435"/>
        <v>0.444444444444444</v>
      </c>
    </row>
    <row r="1956" ht="24" customHeight="1" spans="1:17">
      <c r="A1956" s="99" t="s">
        <v>350</v>
      </c>
      <c r="B1956" s="99" t="s">
        <v>299</v>
      </c>
      <c r="C1956" s="99" t="s">
        <v>316</v>
      </c>
      <c r="D1956" s="48" t="s">
        <v>325</v>
      </c>
      <c r="E1956" s="48" t="s">
        <v>83</v>
      </c>
      <c r="F1956" s="112" t="str">
        <f t="shared" ref="F1956:Q1956" si="1436">IFERROR(F1953/F1950,"-")</f>
        <v>-</v>
      </c>
      <c r="G1956" s="112">
        <f t="shared" si="1436"/>
        <v>0</v>
      </c>
      <c r="H1956" s="112">
        <f t="shared" si="1436"/>
        <v>0</v>
      </c>
      <c r="I1956" s="112">
        <f t="shared" si="1436"/>
        <v>0</v>
      </c>
      <c r="J1956" s="112">
        <f t="shared" si="1436"/>
        <v>0</v>
      </c>
      <c r="K1956" s="112">
        <f t="shared" si="1436"/>
        <v>0</v>
      </c>
      <c r="L1956" s="112">
        <f t="shared" si="1436"/>
        <v>0</v>
      </c>
      <c r="M1956" s="112">
        <f t="shared" si="1436"/>
        <v>0</v>
      </c>
      <c r="N1956" s="112">
        <f t="shared" si="1436"/>
        <v>0</v>
      </c>
      <c r="O1956" s="112">
        <f t="shared" si="1436"/>
        <v>0</v>
      </c>
      <c r="P1956" s="112">
        <f t="shared" si="1436"/>
        <v>0</v>
      </c>
      <c r="Q1956" s="112">
        <f t="shared" si="1436"/>
        <v>0</v>
      </c>
    </row>
    <row r="1957" ht="24" customHeight="1" spans="1:17">
      <c r="A1957" s="99" t="s">
        <v>350</v>
      </c>
      <c r="B1957" s="99" t="s">
        <v>299</v>
      </c>
      <c r="C1957" s="99" t="s">
        <v>316</v>
      </c>
      <c r="D1957" s="100" t="s">
        <v>292</v>
      </c>
      <c r="E1957" s="53" t="s">
        <v>326</v>
      </c>
      <c r="F1957" s="111">
        <f>IF((F1847-F1960-F1961-F1962-F1963-F1964)&lt;&gt;0,"ERR",F1847)</f>
        <v>1</v>
      </c>
      <c r="G1957" s="111">
        <f t="shared" ref="G1957:Q1957" si="1437">IF((G1847+F1957-G1960-G1961-G1962-G1963-G1964)&lt;&gt;0,"ERR",G1847+F1957)</f>
        <v>1</v>
      </c>
      <c r="H1957" s="111">
        <f t="shared" si="1437"/>
        <v>3</v>
      </c>
      <c r="I1957" s="111">
        <f t="shared" si="1437"/>
        <v>3</v>
      </c>
      <c r="J1957" s="111">
        <f t="shared" si="1437"/>
        <v>5</v>
      </c>
      <c r="K1957" s="111">
        <f t="shared" si="1437"/>
        <v>5</v>
      </c>
      <c r="L1957" s="111">
        <f t="shared" si="1437"/>
        <v>5</v>
      </c>
      <c r="M1957" s="111">
        <f t="shared" si="1437"/>
        <v>5</v>
      </c>
      <c r="N1957" s="111">
        <f t="shared" si="1437"/>
        <v>9</v>
      </c>
      <c r="O1957" s="111">
        <f t="shared" si="1437"/>
        <v>10</v>
      </c>
      <c r="P1957" s="111">
        <f t="shared" si="1437"/>
        <v>10</v>
      </c>
      <c r="Q1957" s="111">
        <f t="shared" si="1437"/>
        <v>10</v>
      </c>
    </row>
    <row r="1958" ht="24" customHeight="1" spans="1:17">
      <c r="A1958" s="99" t="s">
        <v>350</v>
      </c>
      <c r="B1958" s="99" t="s">
        <v>299</v>
      </c>
      <c r="C1958" s="99" t="s">
        <v>316</v>
      </c>
      <c r="D1958" s="100" t="s">
        <v>292</v>
      </c>
      <c r="E1958" s="53" t="s">
        <v>327</v>
      </c>
      <c r="F1958" s="111">
        <f>IF((F1848-F1965-F1966-F1967-F1968-F1969)&lt;&gt;0,"ERR",F1848)</f>
        <v>1</v>
      </c>
      <c r="G1958" s="111">
        <f t="shared" ref="G1958:Q1958" si="1438">IF((G1848+F1958-G1965-G1966-G1967-G1968-G1969)&lt;&gt;0,"ERR",G1848+F1958)</f>
        <v>2</v>
      </c>
      <c r="H1958" s="111">
        <f t="shared" si="1438"/>
        <v>2</v>
      </c>
      <c r="I1958" s="111">
        <f t="shared" si="1438"/>
        <v>2</v>
      </c>
      <c r="J1958" s="111">
        <f t="shared" si="1438"/>
        <v>3</v>
      </c>
      <c r="K1958" s="111">
        <f t="shared" si="1438"/>
        <v>4</v>
      </c>
      <c r="L1958" s="111">
        <f t="shared" si="1438"/>
        <v>4</v>
      </c>
      <c r="M1958" s="111">
        <f t="shared" si="1438"/>
        <v>4</v>
      </c>
      <c r="N1958" s="111">
        <f t="shared" si="1438"/>
        <v>5</v>
      </c>
      <c r="O1958" s="111">
        <f t="shared" si="1438"/>
        <v>5</v>
      </c>
      <c r="P1958" s="111">
        <f t="shared" si="1438"/>
        <v>8</v>
      </c>
      <c r="Q1958" s="111">
        <f t="shared" si="1438"/>
        <v>9</v>
      </c>
    </row>
    <row r="1959" ht="24" customHeight="1" spans="1:17">
      <c r="A1959" s="99" t="s">
        <v>350</v>
      </c>
      <c r="B1959" s="99" t="s">
        <v>299</v>
      </c>
      <c r="C1959" s="99" t="s">
        <v>316</v>
      </c>
      <c r="D1959" s="100" t="s">
        <v>292</v>
      </c>
      <c r="E1959" s="53" t="s">
        <v>328</v>
      </c>
      <c r="F1959" s="111">
        <f>IF((F1849-F1970-F1971-F1972-F1973-F1974)&lt;&gt;0,"ERR",F1849)</f>
        <v>0</v>
      </c>
      <c r="G1959" s="111">
        <f t="shared" ref="G1959:Q1959" si="1439">IF((G1849+F1959-G1970-G1971-G1972-G1973-G1974)&lt;&gt;0,"ERR",G1849+F1959)</f>
        <v>0</v>
      </c>
      <c r="H1959" s="111">
        <f t="shared" si="1439"/>
        <v>0</v>
      </c>
      <c r="I1959" s="111">
        <f t="shared" si="1439"/>
        <v>0</v>
      </c>
      <c r="J1959" s="111">
        <f t="shared" si="1439"/>
        <v>1</v>
      </c>
      <c r="K1959" s="111">
        <f t="shared" si="1439"/>
        <v>2</v>
      </c>
      <c r="L1959" s="111">
        <f t="shared" si="1439"/>
        <v>2</v>
      </c>
      <c r="M1959" s="111">
        <f t="shared" si="1439"/>
        <v>3</v>
      </c>
      <c r="N1959" s="111">
        <f t="shared" si="1439"/>
        <v>4</v>
      </c>
      <c r="O1959" s="111">
        <f t="shared" si="1439"/>
        <v>4</v>
      </c>
      <c r="P1959" s="111">
        <f t="shared" si="1439"/>
        <v>5</v>
      </c>
      <c r="Q1959" s="111">
        <f t="shared" si="1439"/>
        <v>6</v>
      </c>
    </row>
    <row r="1960" ht="24" customHeight="1" spans="1:17">
      <c r="A1960" s="99" t="s">
        <v>350</v>
      </c>
      <c r="B1960" s="99" t="s">
        <v>299</v>
      </c>
      <c r="C1960" s="99" t="s">
        <v>316</v>
      </c>
      <c r="D1960" s="53" t="s">
        <v>326</v>
      </c>
      <c r="E1960" s="53" t="s">
        <v>93</v>
      </c>
      <c r="F1960" s="111">
        <f t="shared" ref="F1960:F1974" si="1440">F1850</f>
        <v>0</v>
      </c>
      <c r="G1960" s="111">
        <f t="shared" ref="G1960:Q1960" si="1441">G1850+F1960</f>
        <v>0</v>
      </c>
      <c r="H1960" s="111">
        <f t="shared" si="1441"/>
        <v>2</v>
      </c>
      <c r="I1960" s="111">
        <f t="shared" si="1441"/>
        <v>2</v>
      </c>
      <c r="J1960" s="111">
        <f t="shared" si="1441"/>
        <v>3</v>
      </c>
      <c r="K1960" s="111">
        <f t="shared" si="1441"/>
        <v>3</v>
      </c>
      <c r="L1960" s="111">
        <f t="shared" si="1441"/>
        <v>3</v>
      </c>
      <c r="M1960" s="111">
        <f t="shared" si="1441"/>
        <v>3</v>
      </c>
      <c r="N1960" s="111">
        <f t="shared" si="1441"/>
        <v>3</v>
      </c>
      <c r="O1960" s="111">
        <f t="shared" si="1441"/>
        <v>3</v>
      </c>
      <c r="P1960" s="111">
        <f t="shared" si="1441"/>
        <v>3</v>
      </c>
      <c r="Q1960" s="111">
        <f t="shared" si="1441"/>
        <v>3</v>
      </c>
    </row>
    <row r="1961" ht="24" customHeight="1" spans="1:17">
      <c r="A1961" s="99" t="s">
        <v>350</v>
      </c>
      <c r="B1961" s="99" t="s">
        <v>299</v>
      </c>
      <c r="C1961" s="99" t="s">
        <v>316</v>
      </c>
      <c r="D1961" s="53" t="s">
        <v>326</v>
      </c>
      <c r="E1961" s="53" t="s">
        <v>85</v>
      </c>
      <c r="F1961" s="111">
        <f t="shared" si="1440"/>
        <v>1</v>
      </c>
      <c r="G1961" s="111">
        <f t="shared" ref="G1961:Q1961" si="1442">G1851+F1961</f>
        <v>1</v>
      </c>
      <c r="H1961" s="111">
        <f t="shared" si="1442"/>
        <v>1</v>
      </c>
      <c r="I1961" s="111">
        <f t="shared" si="1442"/>
        <v>1</v>
      </c>
      <c r="J1961" s="111">
        <f t="shared" si="1442"/>
        <v>2</v>
      </c>
      <c r="K1961" s="111">
        <f t="shared" si="1442"/>
        <v>2</v>
      </c>
      <c r="L1961" s="111">
        <f t="shared" si="1442"/>
        <v>2</v>
      </c>
      <c r="M1961" s="111">
        <f t="shared" si="1442"/>
        <v>2</v>
      </c>
      <c r="N1961" s="111">
        <f t="shared" si="1442"/>
        <v>5</v>
      </c>
      <c r="O1961" s="111">
        <f t="shared" si="1442"/>
        <v>6</v>
      </c>
      <c r="P1961" s="111">
        <f t="shared" si="1442"/>
        <v>6</v>
      </c>
      <c r="Q1961" s="111">
        <f t="shared" si="1442"/>
        <v>6</v>
      </c>
    </row>
    <row r="1962" ht="24" customHeight="1" spans="1:17">
      <c r="A1962" s="99" t="s">
        <v>350</v>
      </c>
      <c r="B1962" s="99" t="s">
        <v>299</v>
      </c>
      <c r="C1962" s="99" t="s">
        <v>316</v>
      </c>
      <c r="D1962" s="53" t="s">
        <v>326</v>
      </c>
      <c r="E1962" s="53" t="s">
        <v>81</v>
      </c>
      <c r="F1962" s="111">
        <f t="shared" si="1440"/>
        <v>0</v>
      </c>
      <c r="G1962" s="111">
        <f t="shared" ref="G1962:Q1962" si="1443">G1852+F1962</f>
        <v>0</v>
      </c>
      <c r="H1962" s="111">
        <f t="shared" si="1443"/>
        <v>0</v>
      </c>
      <c r="I1962" s="111">
        <f t="shared" si="1443"/>
        <v>0</v>
      </c>
      <c r="J1962" s="111">
        <f t="shared" si="1443"/>
        <v>0</v>
      </c>
      <c r="K1962" s="111">
        <f t="shared" si="1443"/>
        <v>0</v>
      </c>
      <c r="L1962" s="111">
        <f t="shared" si="1443"/>
        <v>0</v>
      </c>
      <c r="M1962" s="111">
        <f t="shared" si="1443"/>
        <v>0</v>
      </c>
      <c r="N1962" s="111">
        <f t="shared" si="1443"/>
        <v>0</v>
      </c>
      <c r="O1962" s="111">
        <f t="shared" si="1443"/>
        <v>0</v>
      </c>
      <c r="P1962" s="111">
        <f t="shared" si="1443"/>
        <v>0</v>
      </c>
      <c r="Q1962" s="111">
        <f t="shared" si="1443"/>
        <v>0</v>
      </c>
    </row>
    <row r="1963" ht="24" customHeight="1" spans="1:17">
      <c r="A1963" s="99" t="s">
        <v>350</v>
      </c>
      <c r="B1963" s="99" t="s">
        <v>299</v>
      </c>
      <c r="C1963" s="99" t="s">
        <v>316</v>
      </c>
      <c r="D1963" s="53" t="s">
        <v>326</v>
      </c>
      <c r="E1963" s="53" t="s">
        <v>96</v>
      </c>
      <c r="F1963" s="111">
        <f t="shared" si="1440"/>
        <v>0</v>
      </c>
      <c r="G1963" s="111">
        <f t="shared" ref="G1963:Q1963" si="1444">G1853+F1963</f>
        <v>0</v>
      </c>
      <c r="H1963" s="111">
        <f t="shared" si="1444"/>
        <v>0</v>
      </c>
      <c r="I1963" s="111">
        <f t="shared" si="1444"/>
        <v>0</v>
      </c>
      <c r="J1963" s="111">
        <f t="shared" si="1444"/>
        <v>0</v>
      </c>
      <c r="K1963" s="111">
        <f t="shared" si="1444"/>
        <v>0</v>
      </c>
      <c r="L1963" s="111">
        <f t="shared" si="1444"/>
        <v>0</v>
      </c>
      <c r="M1963" s="111">
        <f t="shared" si="1444"/>
        <v>0</v>
      </c>
      <c r="N1963" s="111">
        <f t="shared" si="1444"/>
        <v>1</v>
      </c>
      <c r="O1963" s="111">
        <f t="shared" si="1444"/>
        <v>1</v>
      </c>
      <c r="P1963" s="111">
        <f t="shared" si="1444"/>
        <v>1</v>
      </c>
      <c r="Q1963" s="111">
        <f t="shared" si="1444"/>
        <v>1</v>
      </c>
    </row>
    <row r="1964" ht="24" customHeight="1" spans="1:17">
      <c r="A1964" s="99" t="s">
        <v>350</v>
      </c>
      <c r="B1964" s="99" t="s">
        <v>299</v>
      </c>
      <c r="C1964" s="99" t="s">
        <v>316</v>
      </c>
      <c r="D1964" s="53" t="s">
        <v>326</v>
      </c>
      <c r="E1964" s="53" t="s">
        <v>160</v>
      </c>
      <c r="F1964" s="111">
        <f t="shared" si="1440"/>
        <v>0</v>
      </c>
      <c r="G1964" s="111">
        <f t="shared" ref="G1964:Q1964" si="1445">G1854+F1964</f>
        <v>0</v>
      </c>
      <c r="H1964" s="111">
        <f t="shared" si="1445"/>
        <v>0</v>
      </c>
      <c r="I1964" s="111">
        <f t="shared" si="1445"/>
        <v>0</v>
      </c>
      <c r="J1964" s="111">
        <f t="shared" si="1445"/>
        <v>0</v>
      </c>
      <c r="K1964" s="111">
        <f t="shared" si="1445"/>
        <v>0</v>
      </c>
      <c r="L1964" s="111">
        <f t="shared" si="1445"/>
        <v>0</v>
      </c>
      <c r="M1964" s="111">
        <f t="shared" si="1445"/>
        <v>0</v>
      </c>
      <c r="N1964" s="111">
        <f t="shared" si="1445"/>
        <v>0</v>
      </c>
      <c r="O1964" s="111">
        <f t="shared" si="1445"/>
        <v>0</v>
      </c>
      <c r="P1964" s="111">
        <f t="shared" si="1445"/>
        <v>0</v>
      </c>
      <c r="Q1964" s="111">
        <f t="shared" si="1445"/>
        <v>0</v>
      </c>
    </row>
    <row r="1965" ht="24" customHeight="1" spans="1:17">
      <c r="A1965" s="99" t="s">
        <v>350</v>
      </c>
      <c r="B1965" s="99" t="s">
        <v>299</v>
      </c>
      <c r="C1965" s="99" t="s">
        <v>316</v>
      </c>
      <c r="D1965" s="53" t="s">
        <v>327</v>
      </c>
      <c r="E1965" s="53" t="s">
        <v>93</v>
      </c>
      <c r="F1965" s="111">
        <f t="shared" si="1440"/>
        <v>1</v>
      </c>
      <c r="G1965" s="111">
        <f t="shared" ref="G1965:Q1965" si="1446">G1855+F1965</f>
        <v>1</v>
      </c>
      <c r="H1965" s="111">
        <f t="shared" si="1446"/>
        <v>1</v>
      </c>
      <c r="I1965" s="111">
        <f t="shared" si="1446"/>
        <v>1</v>
      </c>
      <c r="J1965" s="111">
        <f t="shared" si="1446"/>
        <v>2</v>
      </c>
      <c r="K1965" s="111">
        <f t="shared" si="1446"/>
        <v>3</v>
      </c>
      <c r="L1965" s="111">
        <f t="shared" si="1446"/>
        <v>3</v>
      </c>
      <c r="M1965" s="111">
        <f t="shared" si="1446"/>
        <v>3</v>
      </c>
      <c r="N1965" s="111">
        <f t="shared" si="1446"/>
        <v>4</v>
      </c>
      <c r="O1965" s="111">
        <f t="shared" si="1446"/>
        <v>4</v>
      </c>
      <c r="P1965" s="111">
        <f t="shared" si="1446"/>
        <v>7</v>
      </c>
      <c r="Q1965" s="111">
        <f t="shared" si="1446"/>
        <v>7</v>
      </c>
    </row>
    <row r="1966" ht="24" customHeight="1" spans="1:17">
      <c r="A1966" s="99" t="s">
        <v>350</v>
      </c>
      <c r="B1966" s="99" t="s">
        <v>299</v>
      </c>
      <c r="C1966" s="99" t="s">
        <v>316</v>
      </c>
      <c r="D1966" s="53" t="s">
        <v>327</v>
      </c>
      <c r="E1966" s="53" t="s">
        <v>85</v>
      </c>
      <c r="F1966" s="111">
        <f t="shared" si="1440"/>
        <v>0</v>
      </c>
      <c r="G1966" s="111">
        <f t="shared" ref="G1966:Q1966" si="1447">G1856+F1966</f>
        <v>1</v>
      </c>
      <c r="H1966" s="111">
        <f t="shared" si="1447"/>
        <v>1</v>
      </c>
      <c r="I1966" s="111">
        <f t="shared" si="1447"/>
        <v>1</v>
      </c>
      <c r="J1966" s="111">
        <f t="shared" si="1447"/>
        <v>1</v>
      </c>
      <c r="K1966" s="111">
        <f t="shared" si="1447"/>
        <v>1</v>
      </c>
      <c r="L1966" s="111">
        <f t="shared" si="1447"/>
        <v>1</v>
      </c>
      <c r="M1966" s="111">
        <f t="shared" si="1447"/>
        <v>1</v>
      </c>
      <c r="N1966" s="111">
        <f t="shared" si="1447"/>
        <v>1</v>
      </c>
      <c r="O1966" s="111">
        <f t="shared" si="1447"/>
        <v>1</v>
      </c>
      <c r="P1966" s="111">
        <f t="shared" si="1447"/>
        <v>1</v>
      </c>
      <c r="Q1966" s="111">
        <f t="shared" si="1447"/>
        <v>1</v>
      </c>
    </row>
    <row r="1967" ht="24" customHeight="1" spans="1:17">
      <c r="A1967" s="99" t="s">
        <v>350</v>
      </c>
      <c r="B1967" s="99" t="s">
        <v>299</v>
      </c>
      <c r="C1967" s="99" t="s">
        <v>316</v>
      </c>
      <c r="D1967" s="53" t="s">
        <v>327</v>
      </c>
      <c r="E1967" s="53" t="s">
        <v>81</v>
      </c>
      <c r="F1967" s="111">
        <f t="shared" si="1440"/>
        <v>0</v>
      </c>
      <c r="G1967" s="111">
        <f t="shared" ref="G1967:Q1967" si="1448">G1857+F1967</f>
        <v>0</v>
      </c>
      <c r="H1967" s="111">
        <f t="shared" si="1448"/>
        <v>0</v>
      </c>
      <c r="I1967" s="111">
        <f t="shared" si="1448"/>
        <v>0</v>
      </c>
      <c r="J1967" s="111">
        <f t="shared" si="1448"/>
        <v>0</v>
      </c>
      <c r="K1967" s="111">
        <f t="shared" si="1448"/>
        <v>0</v>
      </c>
      <c r="L1967" s="111">
        <f t="shared" si="1448"/>
        <v>0</v>
      </c>
      <c r="M1967" s="111">
        <f t="shared" si="1448"/>
        <v>0</v>
      </c>
      <c r="N1967" s="111">
        <f t="shared" si="1448"/>
        <v>0</v>
      </c>
      <c r="O1967" s="111">
        <f t="shared" si="1448"/>
        <v>0</v>
      </c>
      <c r="P1967" s="111">
        <f t="shared" si="1448"/>
        <v>0</v>
      </c>
      <c r="Q1967" s="111">
        <f t="shared" si="1448"/>
        <v>1</v>
      </c>
    </row>
    <row r="1968" ht="24" customHeight="1" spans="1:17">
      <c r="A1968" s="99" t="s">
        <v>350</v>
      </c>
      <c r="B1968" s="99" t="s">
        <v>299</v>
      </c>
      <c r="C1968" s="99" t="s">
        <v>316</v>
      </c>
      <c r="D1968" s="53" t="s">
        <v>327</v>
      </c>
      <c r="E1968" s="53" t="s">
        <v>96</v>
      </c>
      <c r="F1968" s="111">
        <f t="shared" si="1440"/>
        <v>0</v>
      </c>
      <c r="G1968" s="111">
        <f t="shared" ref="G1968:Q1968" si="1449">G1858+F1968</f>
        <v>0</v>
      </c>
      <c r="H1968" s="111">
        <f t="shared" si="1449"/>
        <v>0</v>
      </c>
      <c r="I1968" s="111">
        <f t="shared" si="1449"/>
        <v>0</v>
      </c>
      <c r="J1968" s="111">
        <f t="shared" si="1449"/>
        <v>0</v>
      </c>
      <c r="K1968" s="111">
        <f t="shared" si="1449"/>
        <v>0</v>
      </c>
      <c r="L1968" s="111">
        <f t="shared" si="1449"/>
        <v>0</v>
      </c>
      <c r="M1968" s="111">
        <f t="shared" si="1449"/>
        <v>0</v>
      </c>
      <c r="N1968" s="111">
        <f t="shared" si="1449"/>
        <v>0</v>
      </c>
      <c r="O1968" s="111">
        <f t="shared" si="1449"/>
        <v>0</v>
      </c>
      <c r="P1968" s="111">
        <f t="shared" si="1449"/>
        <v>0</v>
      </c>
      <c r="Q1968" s="111">
        <f t="shared" si="1449"/>
        <v>0</v>
      </c>
    </row>
    <row r="1969" ht="24" customHeight="1" spans="1:17">
      <c r="A1969" s="99" t="s">
        <v>350</v>
      </c>
      <c r="B1969" s="99" t="s">
        <v>299</v>
      </c>
      <c r="C1969" s="99" t="s">
        <v>316</v>
      </c>
      <c r="D1969" s="53" t="s">
        <v>327</v>
      </c>
      <c r="E1969" s="53" t="s">
        <v>160</v>
      </c>
      <c r="F1969" s="111">
        <f t="shared" si="1440"/>
        <v>0</v>
      </c>
      <c r="G1969" s="111">
        <f t="shared" ref="G1969:Q1969" si="1450">G1859+F1969</f>
        <v>0</v>
      </c>
      <c r="H1969" s="111">
        <f t="shared" si="1450"/>
        <v>0</v>
      </c>
      <c r="I1969" s="111">
        <f t="shared" si="1450"/>
        <v>0</v>
      </c>
      <c r="J1969" s="111">
        <f t="shared" si="1450"/>
        <v>0</v>
      </c>
      <c r="K1969" s="111">
        <f t="shared" si="1450"/>
        <v>0</v>
      </c>
      <c r="L1969" s="111">
        <f t="shared" si="1450"/>
        <v>0</v>
      </c>
      <c r="M1969" s="111">
        <f t="shared" si="1450"/>
        <v>0</v>
      </c>
      <c r="N1969" s="111">
        <f t="shared" si="1450"/>
        <v>0</v>
      </c>
      <c r="O1969" s="111">
        <f t="shared" si="1450"/>
        <v>0</v>
      </c>
      <c r="P1969" s="111">
        <f t="shared" si="1450"/>
        <v>0</v>
      </c>
      <c r="Q1969" s="111">
        <f t="shared" si="1450"/>
        <v>0</v>
      </c>
    </row>
    <row r="1970" ht="24" customHeight="1" spans="1:17">
      <c r="A1970" s="99" t="s">
        <v>350</v>
      </c>
      <c r="B1970" s="99" t="s">
        <v>299</v>
      </c>
      <c r="C1970" s="99" t="s">
        <v>316</v>
      </c>
      <c r="D1970" s="53" t="s">
        <v>328</v>
      </c>
      <c r="E1970" s="53" t="s">
        <v>93</v>
      </c>
      <c r="F1970" s="111">
        <f t="shared" si="1440"/>
        <v>0</v>
      </c>
      <c r="G1970" s="111">
        <f t="shared" ref="G1970:Q1970" si="1451">G1860+F1970</f>
        <v>0</v>
      </c>
      <c r="H1970" s="111">
        <f t="shared" si="1451"/>
        <v>0</v>
      </c>
      <c r="I1970" s="111">
        <f t="shared" si="1451"/>
        <v>0</v>
      </c>
      <c r="J1970" s="111">
        <f t="shared" si="1451"/>
        <v>0</v>
      </c>
      <c r="K1970" s="111">
        <f t="shared" si="1451"/>
        <v>0</v>
      </c>
      <c r="L1970" s="111">
        <f t="shared" si="1451"/>
        <v>0</v>
      </c>
      <c r="M1970" s="111">
        <f t="shared" si="1451"/>
        <v>1</v>
      </c>
      <c r="N1970" s="111">
        <f t="shared" si="1451"/>
        <v>2</v>
      </c>
      <c r="O1970" s="111">
        <f t="shared" si="1451"/>
        <v>2</v>
      </c>
      <c r="P1970" s="111">
        <f t="shared" si="1451"/>
        <v>3</v>
      </c>
      <c r="Q1970" s="111">
        <f t="shared" si="1451"/>
        <v>3</v>
      </c>
    </row>
    <row r="1971" ht="24" customHeight="1" spans="1:17">
      <c r="A1971" s="99" t="s">
        <v>350</v>
      </c>
      <c r="B1971" s="99" t="s">
        <v>299</v>
      </c>
      <c r="C1971" s="99" t="s">
        <v>316</v>
      </c>
      <c r="D1971" s="53" t="s">
        <v>328</v>
      </c>
      <c r="E1971" s="53" t="s">
        <v>85</v>
      </c>
      <c r="F1971" s="111">
        <f t="shared" si="1440"/>
        <v>0</v>
      </c>
      <c r="G1971" s="111">
        <f t="shared" ref="G1971:Q1971" si="1452">G1861+F1971</f>
        <v>0</v>
      </c>
      <c r="H1971" s="111">
        <f t="shared" si="1452"/>
        <v>0</v>
      </c>
      <c r="I1971" s="111">
        <f t="shared" si="1452"/>
        <v>0</v>
      </c>
      <c r="J1971" s="111">
        <f t="shared" si="1452"/>
        <v>1</v>
      </c>
      <c r="K1971" s="111">
        <f t="shared" si="1452"/>
        <v>2</v>
      </c>
      <c r="L1971" s="111">
        <f t="shared" si="1452"/>
        <v>2</v>
      </c>
      <c r="M1971" s="111">
        <f t="shared" si="1452"/>
        <v>2</v>
      </c>
      <c r="N1971" s="111">
        <f t="shared" si="1452"/>
        <v>2</v>
      </c>
      <c r="O1971" s="111">
        <f t="shared" si="1452"/>
        <v>2</v>
      </c>
      <c r="P1971" s="111">
        <f t="shared" si="1452"/>
        <v>2</v>
      </c>
      <c r="Q1971" s="111">
        <f t="shared" si="1452"/>
        <v>2</v>
      </c>
    </row>
    <row r="1972" ht="24" customHeight="1" spans="1:17">
      <c r="A1972" s="99" t="s">
        <v>350</v>
      </c>
      <c r="B1972" s="99" t="s">
        <v>299</v>
      </c>
      <c r="C1972" s="99" t="s">
        <v>316</v>
      </c>
      <c r="D1972" s="53" t="s">
        <v>328</v>
      </c>
      <c r="E1972" s="53" t="s">
        <v>81</v>
      </c>
      <c r="F1972" s="111">
        <f t="shared" si="1440"/>
        <v>0</v>
      </c>
      <c r="G1972" s="111">
        <f t="shared" ref="G1972:Q1972" si="1453">G1862+F1972</f>
        <v>0</v>
      </c>
      <c r="H1972" s="111">
        <f t="shared" si="1453"/>
        <v>0</v>
      </c>
      <c r="I1972" s="111">
        <f t="shared" si="1453"/>
        <v>0</v>
      </c>
      <c r="J1972" s="111">
        <f t="shared" si="1453"/>
        <v>0</v>
      </c>
      <c r="K1972" s="111">
        <f t="shared" si="1453"/>
        <v>0</v>
      </c>
      <c r="L1972" s="111">
        <f t="shared" si="1453"/>
        <v>0</v>
      </c>
      <c r="M1972" s="111">
        <f t="shared" si="1453"/>
        <v>0</v>
      </c>
      <c r="N1972" s="111">
        <f t="shared" si="1453"/>
        <v>0</v>
      </c>
      <c r="O1972" s="111">
        <f t="shared" si="1453"/>
        <v>0</v>
      </c>
      <c r="P1972" s="111">
        <f t="shared" si="1453"/>
        <v>0</v>
      </c>
      <c r="Q1972" s="111">
        <f t="shared" si="1453"/>
        <v>1</v>
      </c>
    </row>
    <row r="1973" ht="24" customHeight="1" spans="1:17">
      <c r="A1973" s="99" t="s">
        <v>350</v>
      </c>
      <c r="B1973" s="99" t="s">
        <v>299</v>
      </c>
      <c r="C1973" s="99" t="s">
        <v>316</v>
      </c>
      <c r="D1973" s="53" t="s">
        <v>328</v>
      </c>
      <c r="E1973" s="53" t="s">
        <v>96</v>
      </c>
      <c r="F1973" s="111">
        <f t="shared" si="1440"/>
        <v>0</v>
      </c>
      <c r="G1973" s="111">
        <f t="shared" ref="G1973:Q1973" si="1454">G1863+F1973</f>
        <v>0</v>
      </c>
      <c r="H1973" s="111">
        <f t="shared" si="1454"/>
        <v>0</v>
      </c>
      <c r="I1973" s="111">
        <f t="shared" si="1454"/>
        <v>0</v>
      </c>
      <c r="J1973" s="111">
        <f t="shared" si="1454"/>
        <v>0</v>
      </c>
      <c r="K1973" s="111">
        <f t="shared" si="1454"/>
        <v>0</v>
      </c>
      <c r="L1973" s="111">
        <f t="shared" si="1454"/>
        <v>0</v>
      </c>
      <c r="M1973" s="111">
        <f t="shared" si="1454"/>
        <v>0</v>
      </c>
      <c r="N1973" s="111">
        <f t="shared" si="1454"/>
        <v>0</v>
      </c>
      <c r="O1973" s="111">
        <f t="shared" si="1454"/>
        <v>0</v>
      </c>
      <c r="P1973" s="111">
        <f t="shared" si="1454"/>
        <v>0</v>
      </c>
      <c r="Q1973" s="111">
        <f t="shared" si="1454"/>
        <v>0</v>
      </c>
    </row>
    <row r="1974" ht="24" customHeight="1" spans="1:17">
      <c r="A1974" s="99" t="s">
        <v>350</v>
      </c>
      <c r="B1974" s="99" t="s">
        <v>299</v>
      </c>
      <c r="C1974" s="99" t="s">
        <v>316</v>
      </c>
      <c r="D1974" s="53" t="s">
        <v>328</v>
      </c>
      <c r="E1974" s="53" t="s">
        <v>160</v>
      </c>
      <c r="F1974" s="111">
        <f t="shared" si="1440"/>
        <v>0</v>
      </c>
      <c r="G1974" s="111">
        <f t="shared" ref="G1974:Q1974" si="1455">G1864+F1974</f>
        <v>0</v>
      </c>
      <c r="H1974" s="111">
        <f t="shared" si="1455"/>
        <v>0</v>
      </c>
      <c r="I1974" s="111">
        <f t="shared" si="1455"/>
        <v>0</v>
      </c>
      <c r="J1974" s="111">
        <f t="shared" si="1455"/>
        <v>0</v>
      </c>
      <c r="K1974" s="111">
        <f t="shared" si="1455"/>
        <v>0</v>
      </c>
      <c r="L1974" s="111">
        <f t="shared" si="1455"/>
        <v>0</v>
      </c>
      <c r="M1974" s="111">
        <f t="shared" si="1455"/>
        <v>0</v>
      </c>
      <c r="N1974" s="111">
        <f t="shared" si="1455"/>
        <v>0</v>
      </c>
      <c r="O1974" s="111">
        <f t="shared" si="1455"/>
        <v>0</v>
      </c>
      <c r="P1974" s="111">
        <f t="shared" si="1455"/>
        <v>0</v>
      </c>
      <c r="Q1974" s="111">
        <f t="shared" si="1455"/>
        <v>0</v>
      </c>
    </row>
    <row r="1975" ht="24" customHeight="1" spans="1:17">
      <c r="A1975" s="99" t="s">
        <v>350</v>
      </c>
      <c r="B1975" s="99" t="s">
        <v>299</v>
      </c>
      <c r="C1975" s="99" t="s">
        <v>329</v>
      </c>
      <c r="D1975" s="113" t="s">
        <v>292</v>
      </c>
      <c r="E1975" s="113" t="s">
        <v>330</v>
      </c>
      <c r="F1975" s="115">
        <f t="shared" ref="F1975:Q1975" si="1456">IF(F1905=0,"",F1925/F1905)</f>
        <v>0.666666666666667</v>
      </c>
      <c r="G1975" s="115">
        <f t="shared" si="1456"/>
        <v>0.6</v>
      </c>
      <c r="H1975" s="115">
        <f t="shared" si="1456"/>
        <v>0.714285714285714</v>
      </c>
      <c r="I1975" s="115">
        <f t="shared" si="1456"/>
        <v>0.5</v>
      </c>
      <c r="J1975" s="115">
        <f t="shared" si="1456"/>
        <v>0.818181818181818</v>
      </c>
      <c r="K1975" s="115">
        <f t="shared" si="1456"/>
        <v>1</v>
      </c>
      <c r="L1975" s="115">
        <f t="shared" si="1456"/>
        <v>0.916666666666667</v>
      </c>
      <c r="M1975" s="115">
        <f t="shared" si="1456"/>
        <v>0.75</v>
      </c>
      <c r="N1975" s="115">
        <f t="shared" si="1456"/>
        <v>1</v>
      </c>
      <c r="O1975" s="115">
        <f t="shared" si="1456"/>
        <v>0.95</v>
      </c>
      <c r="P1975" s="115">
        <f t="shared" si="1456"/>
        <v>1</v>
      </c>
      <c r="Q1975" s="115">
        <f t="shared" si="1456"/>
        <v>1</v>
      </c>
    </row>
    <row r="1976" ht="24" customHeight="1" spans="1:17">
      <c r="A1976" s="99" t="s">
        <v>350</v>
      </c>
      <c r="B1976" s="99" t="s">
        <v>299</v>
      </c>
      <c r="C1976" s="99" t="s">
        <v>329</v>
      </c>
      <c r="D1976" s="48" t="s">
        <v>296</v>
      </c>
      <c r="E1976" s="116" t="s">
        <v>406</v>
      </c>
      <c r="F1976" s="117" t="str">
        <f t="shared" ref="F1976:Q1976" si="1457">IF(F1906=0,"",F1926/F1906)</f>
        <v/>
      </c>
      <c r="G1976" s="117">
        <f t="shared" si="1457"/>
        <v>0</v>
      </c>
      <c r="H1976" s="117">
        <f t="shared" si="1457"/>
        <v>0.5</v>
      </c>
      <c r="I1976" s="117">
        <f t="shared" si="1457"/>
        <v>0.333333333333333</v>
      </c>
      <c r="J1976" s="117">
        <f t="shared" si="1457"/>
        <v>1</v>
      </c>
      <c r="K1976" s="117">
        <f t="shared" si="1457"/>
        <v>1</v>
      </c>
      <c r="L1976" s="117">
        <f t="shared" si="1457"/>
        <v>1</v>
      </c>
      <c r="M1976" s="117">
        <f t="shared" si="1457"/>
        <v>0.75</v>
      </c>
      <c r="N1976" s="117">
        <f t="shared" si="1457"/>
        <v>1</v>
      </c>
      <c r="O1976" s="117">
        <f t="shared" si="1457"/>
        <v>0.8</v>
      </c>
      <c r="P1976" s="117">
        <f t="shared" si="1457"/>
        <v>1</v>
      </c>
      <c r="Q1976" s="117">
        <f t="shared" si="1457"/>
        <v>1</v>
      </c>
    </row>
    <row r="1977" ht="24" customHeight="1" spans="1:17">
      <c r="A1977" s="99" t="s">
        <v>350</v>
      </c>
      <c r="B1977" s="99" t="s">
        <v>299</v>
      </c>
      <c r="C1977" s="99" t="s">
        <v>329</v>
      </c>
      <c r="D1977" s="48" t="s">
        <v>296</v>
      </c>
      <c r="E1977" s="116" t="s">
        <v>82</v>
      </c>
      <c r="F1977" s="117">
        <f t="shared" ref="F1977:Q1977" si="1458">IF(F1907=0,"",F1927/F1907)</f>
        <v>1</v>
      </c>
      <c r="G1977" s="117">
        <f t="shared" si="1458"/>
        <v>1</v>
      </c>
      <c r="H1977" s="117">
        <f t="shared" si="1458"/>
        <v>0.666666666666667</v>
      </c>
      <c r="I1977" s="117">
        <f t="shared" si="1458"/>
        <v>0.666666666666667</v>
      </c>
      <c r="J1977" s="117">
        <f t="shared" si="1458"/>
        <v>1</v>
      </c>
      <c r="K1977" s="117">
        <f t="shared" si="1458"/>
        <v>1</v>
      </c>
      <c r="L1977" s="117">
        <f t="shared" si="1458"/>
        <v>1</v>
      </c>
      <c r="M1977" s="117">
        <f t="shared" si="1458"/>
        <v>0.75</v>
      </c>
      <c r="N1977" s="117">
        <f t="shared" si="1458"/>
        <v>1</v>
      </c>
      <c r="O1977" s="117">
        <f t="shared" si="1458"/>
        <v>1</v>
      </c>
      <c r="P1977" s="117">
        <f t="shared" si="1458"/>
        <v>1</v>
      </c>
      <c r="Q1977" s="117">
        <f t="shared" si="1458"/>
        <v>1</v>
      </c>
    </row>
    <row r="1978" ht="24" customHeight="1" spans="1:17">
      <c r="A1978" s="99" t="s">
        <v>350</v>
      </c>
      <c r="B1978" s="99" t="s">
        <v>299</v>
      </c>
      <c r="C1978" s="99" t="s">
        <v>329</v>
      </c>
      <c r="D1978" s="48" t="s">
        <v>296</v>
      </c>
      <c r="E1978" s="116" t="s">
        <v>86</v>
      </c>
      <c r="F1978" s="117" t="str">
        <f t="shared" ref="F1978:Q1978" si="1459">IF(F1908=0,"",F1928/F1908)</f>
        <v/>
      </c>
      <c r="G1978" s="117">
        <f t="shared" si="1459"/>
        <v>0</v>
      </c>
      <c r="H1978" s="117">
        <f t="shared" si="1459"/>
        <v>1</v>
      </c>
      <c r="I1978" s="117">
        <f t="shared" si="1459"/>
        <v>1</v>
      </c>
      <c r="J1978" s="117">
        <f t="shared" si="1459"/>
        <v>1</v>
      </c>
      <c r="K1978" s="117">
        <f t="shared" si="1459"/>
        <v>1</v>
      </c>
      <c r="L1978" s="117">
        <f t="shared" si="1459"/>
        <v>1</v>
      </c>
      <c r="M1978" s="117">
        <f t="shared" si="1459"/>
        <v>1</v>
      </c>
      <c r="N1978" s="117">
        <f t="shared" si="1459"/>
        <v>1</v>
      </c>
      <c r="O1978" s="117">
        <f t="shared" si="1459"/>
        <v>1</v>
      </c>
      <c r="P1978" s="117">
        <f t="shared" si="1459"/>
        <v>1</v>
      </c>
      <c r="Q1978" s="117">
        <f t="shared" si="1459"/>
        <v>1</v>
      </c>
    </row>
    <row r="1979" ht="24" customHeight="1" spans="1:17">
      <c r="A1979" s="99" t="s">
        <v>350</v>
      </c>
      <c r="B1979" s="99" t="s">
        <v>299</v>
      </c>
      <c r="C1979" s="99" t="s">
        <v>329</v>
      </c>
      <c r="D1979" s="48" t="s">
        <v>298</v>
      </c>
      <c r="E1979" s="116" t="s">
        <v>97</v>
      </c>
      <c r="F1979" s="117" t="str">
        <f t="shared" ref="F1979:Q1979" si="1460">IF(F1909=0,"",F1929/F1909)</f>
        <v/>
      </c>
      <c r="G1979" s="117" t="str">
        <f t="shared" si="1460"/>
        <v/>
      </c>
      <c r="H1979" s="117" t="str">
        <f t="shared" si="1460"/>
        <v/>
      </c>
      <c r="I1979" s="117">
        <f t="shared" si="1460"/>
        <v>0</v>
      </c>
      <c r="J1979" s="117">
        <f t="shared" si="1460"/>
        <v>0.5</v>
      </c>
      <c r="K1979" s="117">
        <f t="shared" si="1460"/>
        <v>1</v>
      </c>
      <c r="L1979" s="117">
        <f t="shared" si="1460"/>
        <v>0.666666666666667</v>
      </c>
      <c r="M1979" s="117">
        <f t="shared" si="1460"/>
        <v>0.75</v>
      </c>
      <c r="N1979" s="117">
        <f t="shared" si="1460"/>
        <v>1</v>
      </c>
      <c r="O1979" s="117">
        <f t="shared" si="1460"/>
        <v>1</v>
      </c>
      <c r="P1979" s="117">
        <f t="shared" si="1460"/>
        <v>1</v>
      </c>
      <c r="Q1979" s="117">
        <f t="shared" si="1460"/>
        <v>1</v>
      </c>
    </row>
    <row r="1980" ht="24" customHeight="1" spans="1:17">
      <c r="A1980" s="99" t="s">
        <v>350</v>
      </c>
      <c r="B1980" s="99" t="s">
        <v>299</v>
      </c>
      <c r="C1980" s="99" t="s">
        <v>329</v>
      </c>
      <c r="D1980" s="48" t="s">
        <v>298</v>
      </c>
      <c r="E1980" s="116" t="s">
        <v>87</v>
      </c>
      <c r="F1980" s="117">
        <f t="shared" ref="F1980:Q1980" si="1461">IF(F1910=0,"",F1930/F1910)</f>
        <v>0</v>
      </c>
      <c r="G1980" s="117">
        <f t="shared" si="1461"/>
        <v>1</v>
      </c>
      <c r="H1980" s="117">
        <f t="shared" si="1461"/>
        <v>1</v>
      </c>
      <c r="I1980" s="117">
        <f t="shared" si="1461"/>
        <v>0.5</v>
      </c>
      <c r="J1980" s="117">
        <f t="shared" si="1461"/>
        <v>0.5</v>
      </c>
      <c r="K1980" s="117">
        <f t="shared" si="1461"/>
        <v>1</v>
      </c>
      <c r="L1980" s="117">
        <f t="shared" si="1461"/>
        <v>1</v>
      </c>
      <c r="M1980" s="117">
        <f t="shared" si="1461"/>
        <v>0.666666666666667</v>
      </c>
      <c r="N1980" s="117">
        <f t="shared" si="1461"/>
        <v>1</v>
      </c>
      <c r="O1980" s="117">
        <f t="shared" si="1461"/>
        <v>1</v>
      </c>
      <c r="P1980" s="117">
        <f t="shared" si="1461"/>
        <v>1</v>
      </c>
      <c r="Q1980" s="117">
        <f t="shared" si="1461"/>
        <v>1</v>
      </c>
    </row>
    <row r="1981" ht="24" customHeight="1" spans="1:17">
      <c r="A1981" s="99" t="s">
        <v>350</v>
      </c>
      <c r="B1981" s="99" t="s">
        <v>299</v>
      </c>
      <c r="C1981" s="99" t="s">
        <v>329</v>
      </c>
      <c r="D1981" s="48" t="s">
        <v>298</v>
      </c>
      <c r="E1981" s="116" t="s">
        <v>83</v>
      </c>
      <c r="F1981" s="117" t="str">
        <f t="shared" ref="F1981:Q1981" si="1462">IF(F1911=0,"",F1931/F1911)</f>
        <v/>
      </c>
      <c r="G1981" s="117" t="str">
        <f t="shared" si="1462"/>
        <v/>
      </c>
      <c r="H1981" s="117" t="str">
        <f t="shared" si="1462"/>
        <v/>
      </c>
      <c r="I1981" s="117" t="str">
        <f t="shared" si="1462"/>
        <v/>
      </c>
      <c r="J1981" s="117" t="str">
        <f t="shared" si="1462"/>
        <v/>
      </c>
      <c r="K1981" s="117" t="str">
        <f t="shared" si="1462"/>
        <v/>
      </c>
      <c r="L1981" s="117" t="str">
        <f t="shared" si="1462"/>
        <v/>
      </c>
      <c r="M1981" s="117" t="str">
        <f t="shared" si="1462"/>
        <v/>
      </c>
      <c r="N1981" s="117" t="str">
        <f t="shared" si="1462"/>
        <v/>
      </c>
      <c r="O1981" s="117" t="str">
        <f t="shared" si="1462"/>
        <v/>
      </c>
      <c r="P1981" s="117" t="str">
        <f t="shared" si="1462"/>
        <v/>
      </c>
      <c r="Q1981" s="117" t="str">
        <f t="shared" si="1462"/>
        <v/>
      </c>
    </row>
    <row r="1982" ht="24" customHeight="1" spans="1:17">
      <c r="A1982" s="99" t="s">
        <v>350</v>
      </c>
      <c r="B1982" s="99" t="s">
        <v>299</v>
      </c>
      <c r="C1982" s="99" t="s">
        <v>329</v>
      </c>
      <c r="D1982" s="47" t="s">
        <v>294</v>
      </c>
      <c r="E1982" s="118" t="s">
        <v>93</v>
      </c>
      <c r="F1982" s="119">
        <f t="shared" ref="F1982:Q1982" si="1463">IF(F1912=0,"",F1938/F1912)</f>
        <v>1</v>
      </c>
      <c r="G1982" s="119">
        <f t="shared" si="1463"/>
        <v>0.333333333333333</v>
      </c>
      <c r="H1982" s="119">
        <f t="shared" si="1463"/>
        <v>0.75</v>
      </c>
      <c r="I1982" s="119">
        <f t="shared" si="1463"/>
        <v>0.5</v>
      </c>
      <c r="J1982" s="119">
        <f t="shared" si="1463"/>
        <v>0.833333333333333</v>
      </c>
      <c r="K1982" s="119">
        <f t="shared" si="1463"/>
        <v>1</v>
      </c>
      <c r="L1982" s="119">
        <f t="shared" si="1463"/>
        <v>0.857142857142857</v>
      </c>
      <c r="M1982" s="119">
        <f t="shared" si="1463"/>
        <v>0.777777777777778</v>
      </c>
      <c r="N1982" s="119">
        <f t="shared" si="1463"/>
        <v>1</v>
      </c>
      <c r="O1982" s="119">
        <f t="shared" si="1463"/>
        <v>0.9</v>
      </c>
      <c r="P1982" s="119">
        <f t="shared" si="1463"/>
        <v>1</v>
      </c>
      <c r="Q1982" s="119">
        <f t="shared" si="1463"/>
        <v>1</v>
      </c>
    </row>
    <row r="1983" ht="24" customHeight="1" spans="1:17">
      <c r="A1983" s="99" t="s">
        <v>350</v>
      </c>
      <c r="B1983" s="99" t="s">
        <v>299</v>
      </c>
      <c r="C1983" s="99" t="s">
        <v>329</v>
      </c>
      <c r="D1983" s="47" t="s">
        <v>294</v>
      </c>
      <c r="E1983" s="118" t="s">
        <v>85</v>
      </c>
      <c r="F1983" s="119">
        <f t="shared" ref="F1983:Q1983" si="1464">IF(F1913=0,"",F1939/F1913)</f>
        <v>0.5</v>
      </c>
      <c r="G1983" s="119">
        <f t="shared" si="1464"/>
        <v>1</v>
      </c>
      <c r="H1983" s="119">
        <f t="shared" si="1464"/>
        <v>0.666666666666667</v>
      </c>
      <c r="I1983" s="119">
        <f t="shared" si="1464"/>
        <v>0.5</v>
      </c>
      <c r="J1983" s="119">
        <f t="shared" si="1464"/>
        <v>0.8</v>
      </c>
      <c r="K1983" s="119">
        <f t="shared" si="1464"/>
        <v>1</v>
      </c>
      <c r="L1983" s="119">
        <f t="shared" si="1464"/>
        <v>1</v>
      </c>
      <c r="M1983" s="119">
        <f t="shared" si="1464"/>
        <v>0.833333333333333</v>
      </c>
      <c r="N1983" s="119">
        <f t="shared" si="1464"/>
        <v>1</v>
      </c>
      <c r="O1983" s="119">
        <f t="shared" si="1464"/>
        <v>1</v>
      </c>
      <c r="P1983" s="119">
        <f t="shared" si="1464"/>
        <v>1</v>
      </c>
      <c r="Q1983" s="119">
        <f t="shared" si="1464"/>
        <v>1</v>
      </c>
    </row>
    <row r="1984" ht="24" customHeight="1" spans="1:17">
      <c r="A1984" s="99" t="s">
        <v>350</v>
      </c>
      <c r="B1984" s="99" t="s">
        <v>299</v>
      </c>
      <c r="C1984" s="99" t="s">
        <v>329</v>
      </c>
      <c r="D1984" s="47" t="s">
        <v>294</v>
      </c>
      <c r="E1984" s="118" t="s">
        <v>81</v>
      </c>
      <c r="F1984" s="119" t="str">
        <f t="shared" ref="F1984:Q1984" si="1465">IF(F1914=0,"",F1940/F1914)</f>
        <v/>
      </c>
      <c r="G1984" s="119" t="str">
        <f t="shared" si="1465"/>
        <v/>
      </c>
      <c r="H1984" s="119" t="str">
        <f t="shared" si="1465"/>
        <v/>
      </c>
      <c r="I1984" s="119" t="str">
        <f t="shared" si="1465"/>
        <v/>
      </c>
      <c r="J1984" s="119" t="str">
        <f t="shared" si="1465"/>
        <v/>
      </c>
      <c r="K1984" s="119" t="str">
        <f t="shared" si="1465"/>
        <v/>
      </c>
      <c r="L1984" s="119" t="str">
        <f t="shared" si="1465"/>
        <v/>
      </c>
      <c r="M1984" s="119" t="str">
        <f t="shared" si="1465"/>
        <v/>
      </c>
      <c r="N1984" s="119" t="str">
        <f t="shared" si="1465"/>
        <v/>
      </c>
      <c r="O1984" s="119" t="str">
        <f t="shared" si="1465"/>
        <v/>
      </c>
      <c r="P1984" s="119" t="str">
        <f t="shared" si="1465"/>
        <v/>
      </c>
      <c r="Q1984" s="119">
        <f t="shared" si="1465"/>
        <v>1</v>
      </c>
    </row>
    <row r="1985" ht="24" customHeight="1" spans="1:17">
      <c r="A1985" s="99" t="s">
        <v>350</v>
      </c>
      <c r="B1985" s="99" t="s">
        <v>299</v>
      </c>
      <c r="C1985" s="99" t="s">
        <v>329</v>
      </c>
      <c r="D1985" s="47" t="s">
        <v>294</v>
      </c>
      <c r="E1985" s="118" t="s">
        <v>96</v>
      </c>
      <c r="F1985" s="119" t="str">
        <f t="shared" ref="F1985:Q1985" si="1466">IF(F1915=0,"",F1941/F1915)</f>
        <v/>
      </c>
      <c r="G1985" s="119" t="str">
        <f t="shared" si="1466"/>
        <v/>
      </c>
      <c r="H1985" s="119" t="str">
        <f t="shared" si="1466"/>
        <v/>
      </c>
      <c r="I1985" s="119" t="str">
        <f t="shared" si="1466"/>
        <v/>
      </c>
      <c r="J1985" s="119" t="str">
        <f t="shared" si="1466"/>
        <v/>
      </c>
      <c r="K1985" s="119" t="str">
        <f t="shared" si="1466"/>
        <v/>
      </c>
      <c r="L1985" s="119" t="str">
        <f t="shared" si="1466"/>
        <v/>
      </c>
      <c r="M1985" s="119">
        <f t="shared" si="1466"/>
        <v>0</v>
      </c>
      <c r="N1985" s="119">
        <f t="shared" si="1466"/>
        <v>1</v>
      </c>
      <c r="O1985" s="119">
        <f t="shared" si="1466"/>
        <v>1</v>
      </c>
      <c r="P1985" s="119">
        <f t="shared" si="1466"/>
        <v>1</v>
      </c>
      <c r="Q1985" s="119">
        <f t="shared" si="1466"/>
        <v>1</v>
      </c>
    </row>
    <row r="1986" ht="24" customHeight="1" spans="1:17">
      <c r="A1986" s="99" t="s">
        <v>350</v>
      </c>
      <c r="B1986" s="99" t="s">
        <v>299</v>
      </c>
      <c r="C1986" s="99" t="s">
        <v>329</v>
      </c>
      <c r="D1986" s="47" t="s">
        <v>294</v>
      </c>
      <c r="E1986" s="118" t="s">
        <v>160</v>
      </c>
      <c r="F1986" s="119" t="str">
        <f t="shared" ref="F1986:Q1986" si="1467">IF(F1916=0,"",F1942/F1916)</f>
        <v/>
      </c>
      <c r="G1986" s="119" t="str">
        <f t="shared" si="1467"/>
        <v/>
      </c>
      <c r="H1986" s="119" t="str">
        <f t="shared" si="1467"/>
        <v/>
      </c>
      <c r="I1986" s="119" t="str">
        <f t="shared" si="1467"/>
        <v/>
      </c>
      <c r="J1986" s="119" t="str">
        <f t="shared" si="1467"/>
        <v/>
      </c>
      <c r="K1986" s="119" t="str">
        <f t="shared" si="1467"/>
        <v/>
      </c>
      <c r="L1986" s="119" t="str">
        <f t="shared" si="1467"/>
        <v/>
      </c>
      <c r="M1986" s="119" t="str">
        <f t="shared" si="1467"/>
        <v/>
      </c>
      <c r="N1986" s="119" t="str">
        <f t="shared" si="1467"/>
        <v/>
      </c>
      <c r="O1986" s="119" t="str">
        <f t="shared" si="1467"/>
        <v/>
      </c>
      <c r="P1986" s="119" t="str">
        <f t="shared" si="1467"/>
        <v/>
      </c>
      <c r="Q1986" s="119" t="str">
        <f t="shared" si="1467"/>
        <v/>
      </c>
    </row>
    <row r="1987" ht="24" customHeight="1" spans="1:17">
      <c r="A1987" s="99" t="s">
        <v>350</v>
      </c>
      <c r="B1987" s="99" t="s">
        <v>299</v>
      </c>
      <c r="C1987" s="99" t="s">
        <v>329</v>
      </c>
      <c r="D1987" s="113" t="s">
        <v>292</v>
      </c>
      <c r="E1987" s="113" t="s">
        <v>331</v>
      </c>
      <c r="F1987" s="115">
        <f t="shared" ref="F1987:Q1987" si="1468">IF(F1917=0,"",F1943/F1917)</f>
        <v>1</v>
      </c>
      <c r="G1987" s="115">
        <f t="shared" si="1468"/>
        <v>0.5</v>
      </c>
      <c r="H1987" s="115">
        <f t="shared" si="1468"/>
        <v>0.666666666666667</v>
      </c>
      <c r="I1987" s="115">
        <f t="shared" si="1468"/>
        <v>0.571428571428571</v>
      </c>
      <c r="J1987" s="115">
        <f t="shared" si="1468"/>
        <v>1</v>
      </c>
      <c r="K1987" s="115">
        <f t="shared" si="1468"/>
        <v>1</v>
      </c>
      <c r="L1987" s="115">
        <f t="shared" si="1468"/>
        <v>1</v>
      </c>
      <c r="M1987" s="115">
        <f t="shared" si="1468"/>
        <v>0.777777777777778</v>
      </c>
      <c r="N1987" s="115">
        <f t="shared" si="1468"/>
        <v>1</v>
      </c>
      <c r="O1987" s="115">
        <f t="shared" si="1468"/>
        <v>0.909090909090909</v>
      </c>
      <c r="P1987" s="115">
        <f t="shared" si="1468"/>
        <v>1</v>
      </c>
      <c r="Q1987" s="115">
        <f t="shared" si="1468"/>
        <v>1</v>
      </c>
    </row>
    <row r="1988" ht="24" customHeight="1" spans="1:17">
      <c r="A1988" s="99" t="s">
        <v>350</v>
      </c>
      <c r="B1988" s="99" t="s">
        <v>299</v>
      </c>
      <c r="C1988" s="99" t="s">
        <v>329</v>
      </c>
      <c r="D1988" s="48" t="s">
        <v>296</v>
      </c>
      <c r="E1988" s="116" t="s">
        <v>406</v>
      </c>
      <c r="F1988" s="117" t="str">
        <f t="shared" ref="F1988:Q1988" si="1469">IF(F1918=0,"",F1944/F1918)</f>
        <v/>
      </c>
      <c r="G1988" s="117">
        <f t="shared" si="1469"/>
        <v>0</v>
      </c>
      <c r="H1988" s="117">
        <f t="shared" si="1469"/>
        <v>0.5</v>
      </c>
      <c r="I1988" s="117">
        <f t="shared" si="1469"/>
        <v>0.333333333333333</v>
      </c>
      <c r="J1988" s="117">
        <f t="shared" si="1469"/>
        <v>1</v>
      </c>
      <c r="K1988" s="117">
        <f t="shared" si="1469"/>
        <v>1</v>
      </c>
      <c r="L1988" s="117">
        <f t="shared" si="1469"/>
        <v>1</v>
      </c>
      <c r="M1988" s="117">
        <f t="shared" si="1469"/>
        <v>0.75</v>
      </c>
      <c r="N1988" s="117">
        <f t="shared" si="1469"/>
        <v>1</v>
      </c>
      <c r="O1988" s="117">
        <f t="shared" si="1469"/>
        <v>0.8</v>
      </c>
      <c r="P1988" s="117">
        <f t="shared" si="1469"/>
        <v>1</v>
      </c>
      <c r="Q1988" s="117">
        <f t="shared" si="1469"/>
        <v>1</v>
      </c>
    </row>
    <row r="1989" ht="24" customHeight="1" spans="1:17">
      <c r="A1989" s="99" t="s">
        <v>350</v>
      </c>
      <c r="B1989" s="99" t="s">
        <v>299</v>
      </c>
      <c r="C1989" s="99" t="s">
        <v>329</v>
      </c>
      <c r="D1989" s="48" t="s">
        <v>296</v>
      </c>
      <c r="E1989" s="116" t="s">
        <v>82</v>
      </c>
      <c r="F1989" s="117">
        <f t="shared" ref="F1989:Q1989" si="1470">IF(F1919=0,"",F1945/F1919)</f>
        <v>1</v>
      </c>
      <c r="G1989" s="117">
        <f t="shared" si="1470"/>
        <v>1</v>
      </c>
      <c r="H1989" s="117">
        <f t="shared" si="1470"/>
        <v>0.666666666666667</v>
      </c>
      <c r="I1989" s="117">
        <f t="shared" si="1470"/>
        <v>0.666666666666667</v>
      </c>
      <c r="J1989" s="117">
        <f t="shared" si="1470"/>
        <v>1</v>
      </c>
      <c r="K1989" s="117">
        <f t="shared" si="1470"/>
        <v>1</v>
      </c>
      <c r="L1989" s="117">
        <f t="shared" si="1470"/>
        <v>1</v>
      </c>
      <c r="M1989" s="117">
        <f t="shared" si="1470"/>
        <v>0.75</v>
      </c>
      <c r="N1989" s="117">
        <f t="shared" si="1470"/>
        <v>1</v>
      </c>
      <c r="O1989" s="117">
        <f t="shared" si="1470"/>
        <v>1</v>
      </c>
      <c r="P1989" s="117">
        <f t="shared" si="1470"/>
        <v>1</v>
      </c>
      <c r="Q1989" s="117">
        <f t="shared" si="1470"/>
        <v>1</v>
      </c>
    </row>
    <row r="1990" ht="24" customHeight="1" spans="1:17">
      <c r="A1990" s="99" t="s">
        <v>350</v>
      </c>
      <c r="B1990" s="99" t="s">
        <v>299</v>
      </c>
      <c r="C1990" s="99" t="s">
        <v>329</v>
      </c>
      <c r="D1990" s="48" t="s">
        <v>296</v>
      </c>
      <c r="E1990" s="116" t="s">
        <v>86</v>
      </c>
      <c r="F1990" s="117" t="str">
        <f t="shared" ref="F1990:Q1990" si="1471">IF(F1920=0,"",F1946/F1920)</f>
        <v/>
      </c>
      <c r="G1990" s="117">
        <f t="shared" si="1471"/>
        <v>0</v>
      </c>
      <c r="H1990" s="117">
        <f t="shared" si="1471"/>
        <v>1</v>
      </c>
      <c r="I1990" s="117">
        <f t="shared" si="1471"/>
        <v>1</v>
      </c>
      <c r="J1990" s="117">
        <f t="shared" si="1471"/>
        <v>1</v>
      </c>
      <c r="K1990" s="117">
        <f t="shared" si="1471"/>
        <v>1</v>
      </c>
      <c r="L1990" s="117">
        <f t="shared" si="1471"/>
        <v>1</v>
      </c>
      <c r="M1990" s="117">
        <f t="shared" si="1471"/>
        <v>1</v>
      </c>
      <c r="N1990" s="117">
        <f t="shared" si="1471"/>
        <v>1</v>
      </c>
      <c r="O1990" s="117">
        <f t="shared" si="1471"/>
        <v>1</v>
      </c>
      <c r="P1990" s="117">
        <f t="shared" si="1471"/>
        <v>1</v>
      </c>
      <c r="Q1990" s="117">
        <f t="shared" si="1471"/>
        <v>1</v>
      </c>
    </row>
    <row r="1991" ht="24" customHeight="1" spans="1:17">
      <c r="A1991" s="99" t="s">
        <v>350</v>
      </c>
      <c r="B1991" s="99" t="s">
        <v>299</v>
      </c>
      <c r="C1991" s="99" t="s">
        <v>329</v>
      </c>
      <c r="D1991" s="113" t="s">
        <v>292</v>
      </c>
      <c r="E1991" s="113" t="s">
        <v>332</v>
      </c>
      <c r="F1991" s="115">
        <f t="shared" ref="F1991:Q1991" si="1472">IF(F1921=0,"",F1950/F1921)</f>
        <v>0</v>
      </c>
      <c r="G1991" s="115">
        <f t="shared" si="1472"/>
        <v>1</v>
      </c>
      <c r="H1991" s="115">
        <f t="shared" si="1472"/>
        <v>0.333333333333333</v>
      </c>
      <c r="I1991" s="115">
        <f t="shared" si="1472"/>
        <v>0.166666666666667</v>
      </c>
      <c r="J1991" s="115">
        <f t="shared" si="1472"/>
        <v>0.714285714285714</v>
      </c>
      <c r="K1991" s="115">
        <f t="shared" si="1472"/>
        <v>1</v>
      </c>
      <c r="L1991" s="115">
        <f t="shared" si="1472"/>
        <v>0.875</v>
      </c>
      <c r="M1991" s="115">
        <f t="shared" si="1472"/>
        <v>0.8</v>
      </c>
      <c r="N1991" s="115">
        <f t="shared" si="1472"/>
        <v>1</v>
      </c>
      <c r="O1991" s="115">
        <f t="shared" si="1472"/>
        <v>0.923076923076923</v>
      </c>
      <c r="P1991" s="115">
        <f t="shared" si="1472"/>
        <v>1</v>
      </c>
      <c r="Q1991" s="115">
        <f t="shared" si="1472"/>
        <v>1</v>
      </c>
    </row>
    <row r="1992" ht="24" customHeight="1" spans="1:17">
      <c r="A1992" s="99" t="s">
        <v>350</v>
      </c>
      <c r="B1992" s="99" t="s">
        <v>299</v>
      </c>
      <c r="C1992" s="99" t="s">
        <v>329</v>
      </c>
      <c r="D1992" s="48" t="s">
        <v>298</v>
      </c>
      <c r="E1992" s="116" t="s">
        <v>97</v>
      </c>
      <c r="F1992" s="117" t="str">
        <f t="shared" ref="F1992:Q1992" si="1473">IF(F1922=0,"",F1951/F1922)</f>
        <v/>
      </c>
      <c r="G1992" s="117" t="str">
        <f t="shared" si="1473"/>
        <v/>
      </c>
      <c r="H1992" s="117">
        <f t="shared" si="1473"/>
        <v>0</v>
      </c>
      <c r="I1992" s="117">
        <f t="shared" si="1473"/>
        <v>0</v>
      </c>
      <c r="J1992" s="117">
        <f t="shared" si="1473"/>
        <v>0.75</v>
      </c>
      <c r="K1992" s="117">
        <f t="shared" si="1473"/>
        <v>1</v>
      </c>
      <c r="L1992" s="117">
        <f t="shared" si="1473"/>
        <v>0.8</v>
      </c>
      <c r="M1992" s="117">
        <f t="shared" si="1473"/>
        <v>0.833333333333333</v>
      </c>
      <c r="N1992" s="117">
        <f t="shared" si="1473"/>
        <v>1</v>
      </c>
      <c r="O1992" s="117">
        <f t="shared" si="1473"/>
        <v>0.875</v>
      </c>
      <c r="P1992" s="117">
        <f t="shared" si="1473"/>
        <v>1</v>
      </c>
      <c r="Q1992" s="117">
        <f t="shared" si="1473"/>
        <v>1</v>
      </c>
    </row>
    <row r="1993" ht="24" customHeight="1" spans="1:17">
      <c r="A1993" s="99" t="s">
        <v>350</v>
      </c>
      <c r="B1993" s="99" t="s">
        <v>299</v>
      </c>
      <c r="C1993" s="99" t="s">
        <v>329</v>
      </c>
      <c r="D1993" s="48" t="s">
        <v>298</v>
      </c>
      <c r="E1993" s="116" t="s">
        <v>87</v>
      </c>
      <c r="F1993" s="117">
        <f t="shared" ref="F1993:Q1993" si="1474">IF(F1923=0,"",F1952/F1923)</f>
        <v>0</v>
      </c>
      <c r="G1993" s="117">
        <f t="shared" si="1474"/>
        <v>1</v>
      </c>
      <c r="H1993" s="117">
        <f t="shared" si="1474"/>
        <v>1</v>
      </c>
      <c r="I1993" s="117">
        <f t="shared" si="1474"/>
        <v>0.333333333333333</v>
      </c>
      <c r="J1993" s="117">
        <f t="shared" si="1474"/>
        <v>0.666666666666667</v>
      </c>
      <c r="K1993" s="117">
        <f t="shared" si="1474"/>
        <v>1</v>
      </c>
      <c r="L1993" s="117">
        <f t="shared" si="1474"/>
        <v>1</v>
      </c>
      <c r="M1993" s="117">
        <f t="shared" si="1474"/>
        <v>0.75</v>
      </c>
      <c r="N1993" s="117">
        <f t="shared" si="1474"/>
        <v>1</v>
      </c>
      <c r="O1993" s="117">
        <f t="shared" si="1474"/>
        <v>1</v>
      </c>
      <c r="P1993" s="117">
        <f t="shared" si="1474"/>
        <v>1</v>
      </c>
      <c r="Q1993" s="117">
        <f t="shared" si="1474"/>
        <v>1</v>
      </c>
    </row>
    <row r="1994" ht="24" customHeight="1" spans="1:17">
      <c r="A1994" s="99" t="s">
        <v>350</v>
      </c>
      <c r="B1994" s="99" t="s">
        <v>299</v>
      </c>
      <c r="C1994" s="99" t="s">
        <v>329</v>
      </c>
      <c r="D1994" s="48" t="s">
        <v>298</v>
      </c>
      <c r="E1994" s="116" t="s">
        <v>83</v>
      </c>
      <c r="F1994" s="117" t="str">
        <f t="shared" ref="F1994:Q1994" si="1475">IF(F1924=0,"",F1953/F1924)</f>
        <v/>
      </c>
      <c r="G1994" s="117" t="str">
        <f t="shared" si="1475"/>
        <v/>
      </c>
      <c r="H1994" s="117" t="str">
        <f t="shared" si="1475"/>
        <v/>
      </c>
      <c r="I1994" s="117" t="str">
        <f t="shared" si="1475"/>
        <v/>
      </c>
      <c r="J1994" s="117" t="str">
        <f t="shared" si="1475"/>
        <v/>
      </c>
      <c r="K1994" s="117" t="str">
        <f t="shared" si="1475"/>
        <v/>
      </c>
      <c r="L1994" s="117" t="str">
        <f t="shared" si="1475"/>
        <v/>
      </c>
      <c r="M1994" s="117" t="str">
        <f t="shared" si="1475"/>
        <v/>
      </c>
      <c r="N1994" s="117" t="str">
        <f t="shared" si="1475"/>
        <v/>
      </c>
      <c r="O1994" s="117" t="str">
        <f t="shared" si="1475"/>
        <v/>
      </c>
      <c r="P1994" s="117" t="str">
        <f t="shared" si="1475"/>
        <v/>
      </c>
      <c r="Q1994" s="117" t="str">
        <f t="shared" si="1475"/>
        <v/>
      </c>
    </row>
    <row r="1995" ht="24" customHeight="1" spans="1:17">
      <c r="A1995" s="99" t="s">
        <v>350</v>
      </c>
      <c r="B1995" s="99" t="s">
        <v>299</v>
      </c>
      <c r="C1995" s="99" t="s">
        <v>333</v>
      </c>
      <c r="D1995" s="114" t="s">
        <v>292</v>
      </c>
      <c r="E1995" s="114" t="s">
        <v>300</v>
      </c>
      <c r="F1995" s="120">
        <f t="shared" ref="F1995:Q1995" si="1476">SUM(F1996:F2001)</f>
        <v>0.060156</v>
      </c>
      <c r="G1995" s="120">
        <f t="shared" si="1476"/>
        <v>0.114026</v>
      </c>
      <c r="H1995" s="120">
        <f t="shared" si="1476"/>
        <v>0.152159</v>
      </c>
      <c r="I1995" s="120">
        <f t="shared" si="1476"/>
        <v>0</v>
      </c>
      <c r="J1995" s="120">
        <f t="shared" si="1476"/>
        <v>0.111419</v>
      </c>
      <c r="K1995" s="120">
        <f t="shared" si="1476"/>
        <v>0.32486</v>
      </c>
      <c r="L1995" s="120">
        <f t="shared" si="1476"/>
        <v>0</v>
      </c>
      <c r="M1995" s="120">
        <f t="shared" si="1476"/>
        <v>0.017362</v>
      </c>
      <c r="N1995" s="120">
        <f t="shared" si="1476"/>
        <v>0.53476</v>
      </c>
      <c r="O1995" s="120">
        <f t="shared" si="1476"/>
        <v>0.043481</v>
      </c>
      <c r="P1995" s="120">
        <f t="shared" si="1476"/>
        <v>0.107279</v>
      </c>
      <c r="Q1995" s="120">
        <f t="shared" si="1476"/>
        <v>-0.022186</v>
      </c>
    </row>
    <row r="1996" ht="24" customHeight="1" spans="1:17">
      <c r="A1996" s="99" t="s">
        <v>350</v>
      </c>
      <c r="B1996" s="99" t="s">
        <v>299</v>
      </c>
      <c r="C1996" s="99" t="s">
        <v>333</v>
      </c>
      <c r="D1996" s="48" t="s">
        <v>31</v>
      </c>
      <c r="E1996" s="48" t="s">
        <v>406</v>
      </c>
      <c r="F1996" s="121">
        <f>SUMIFS('2024数据'!$BX$3:$BX$152,'2024数据'!$AB$3:$AB$152,"&gt;="&amp;DATE(2024,1,1),'2024数据'!$AB$3:$AB$152,"&lt;="&amp;DATE(2024,1,31),'2024数据'!$AE$3:$AE$152,$E1996)/10000</f>
        <v>0</v>
      </c>
      <c r="G1996" s="121">
        <f>SUMIFS('2024数据'!$BX$3:$BX$152,'2024数据'!$AB$3:$AB$152,"&gt;="&amp;DATE(2024,2,1),'2024数据'!$AB$3:$AB$152,"&lt;="&amp;DATE(2024,2,29),'2024数据'!$AE$3:$AE$152,$E1996)/10000</f>
        <v>0</v>
      </c>
      <c r="H1996" s="121">
        <f>SUMIFS('2024数据'!$BX$3:$BX$152,'2024数据'!$AB$3:$AB$152,"&gt;="&amp;DATE(2024,3,1),'2024数据'!$AB$3:$AB$152,"&lt;="&amp;DATE(2024,3,31),'2024数据'!$AE$3:$AE$152,$E1996)/10000</f>
        <v>0.116467</v>
      </c>
      <c r="I1996" s="121">
        <f>SUMIFS('2024数据'!$BX$3:$BX$152,'2024数据'!$AB$3:$AB$152,"&gt;="&amp;DATE(2024,4,1),'2024数据'!$AB$3:$AB$152,"&lt;="&amp;DATE(2024,4,30),'2024数据'!$AE$3:$AE$152,$E1996)/10000</f>
        <v>0</v>
      </c>
      <c r="J1996" s="121">
        <f>SUMIFS('2024数据'!$BX$3:$BX$152,'2024数据'!$AB$3:$AB$152,"&gt;="&amp;DATE(2024,5,1),'2024数据'!$AB$3:$AB$152,"&lt;="&amp;DATE(2024,5,31),'2024数据'!$AE$3:$AE$152,$E1996)/10000</f>
        <v>0.031137</v>
      </c>
      <c r="K1996" s="121">
        <f>SUMIFS('2024数据'!$BX$3:$BX$152,'2024数据'!$AB$3:$AB$152,"&gt;="&amp;DATE(2024,6,1),'2024数据'!$AB$3:$AB$152,"&lt;="&amp;DATE(2024,6,30),'2024数据'!$AE$3:$AE$152,$E1996)/10000</f>
        <v>0</v>
      </c>
      <c r="L1996" s="121">
        <f>SUMIFS('2024数据'!$BX$3:$BX$152,'2024数据'!$AB$3:$AB$152,"&gt;="&amp;DATE(2024,7,1),'2024数据'!$AB$3:$AB$152,"&lt;="&amp;DATE(2024,7,31),'2024数据'!$AE$3:$AE$152,$E1996)/10000</f>
        <v>0</v>
      </c>
      <c r="M1996" s="121">
        <f>SUMIFS('2024数据'!$BX$3:$BX$152,'2024数据'!$AB$3:$AB$152,"&gt;="&amp;DATE(2024,8,1),'2024数据'!$AB$3:$AB$152,"&lt;="&amp;DATE(2024,8,31),'2024数据'!$AE$3:$AE$152,$E1996)/10000</f>
        <v>0</v>
      </c>
      <c r="N1996" s="121">
        <f>SUMIFS('2024数据'!$BX$3:$BX$152,'2024数据'!$AB$3:$AB$152,"&gt;="&amp;DATE(2024,9,1),'2024数据'!$AB$3:$AB$152,"&lt;="&amp;DATE(2024,9,30),'2024数据'!$AE$3:$AE$152,$E1996)/10000</f>
        <v>0.02574</v>
      </c>
      <c r="O1996" s="121">
        <f>SUMIFS('2024数据'!$BX$3:$BX$152,'2024数据'!$AB$3:$AB$152,"&gt;="&amp;DATE(2024,10,1),'2024数据'!$AB$3:$AB$152,"&lt;="&amp;DATE(2024,10,31),'2024数据'!$AE$3:$AE$152,$E1996)/10000</f>
        <v>0</v>
      </c>
      <c r="P1996" s="121">
        <f>SUMIFS('2024数据'!$BX$3:$BX$152,'2024数据'!$AB$3:$AB$152,"&gt;="&amp;DATE(2024,11,1),'2024数据'!$AB$3:$AB$152,"&lt;="&amp;DATE(2024,11,30),'2024数据'!$AE$3:$AE$152,$E1996)/10000</f>
        <v>0.042853</v>
      </c>
      <c r="Q1996" s="121">
        <f>SUMIFS('2024数据'!$BX$3:$BX$152,'2024数据'!$AB$3:$AB$152,"&gt;="&amp;DATE(2024,12,1),'2024数据'!$AB$3:$AB$152,"&lt;="&amp;DATE(2024,12,31),'2024数据'!$AE$3:$AE$152,$E1996)/10000</f>
        <v>0</v>
      </c>
    </row>
    <row r="1997" ht="24" customHeight="1" spans="1:17">
      <c r="A1997" s="99" t="s">
        <v>350</v>
      </c>
      <c r="B1997" s="99" t="s">
        <v>299</v>
      </c>
      <c r="C1997" s="99" t="s">
        <v>333</v>
      </c>
      <c r="D1997" s="48" t="s">
        <v>31</v>
      </c>
      <c r="E1997" s="48" t="s">
        <v>82</v>
      </c>
      <c r="F1997" s="121">
        <f>SUMIFS('2024数据'!$BX$3:$BX$152,'2024数据'!$AB$3:$AB$152,"&gt;="&amp;DATE(2024,1,1),'2024数据'!$AB$3:$AB$152,"&lt;="&amp;DATE(2024,1,31),'2024数据'!$AE$3:$AE$152,$E1997)/10000</f>
        <v>0.060156</v>
      </c>
      <c r="G1997" s="121">
        <f>SUMIFS('2024数据'!$BX$3:$BX$152,'2024数据'!$AB$3:$AB$152,"&gt;="&amp;DATE(2024,2,1),'2024数据'!$AB$3:$AB$152,"&lt;="&amp;DATE(2024,2,29),'2024数据'!$AE$3:$AE$152,$E1997)/10000</f>
        <v>0</v>
      </c>
      <c r="H1997" s="121">
        <f>SUMIFS('2024数据'!$BX$3:$BX$152,'2024数据'!$AB$3:$AB$152,"&gt;="&amp;DATE(2024,3,1),'2024数据'!$AB$3:$AB$152,"&lt;="&amp;DATE(2024,3,31),'2024数据'!$AE$3:$AE$152,$E1997)/10000</f>
        <v>0</v>
      </c>
      <c r="I1997" s="121">
        <f>SUMIFS('2024数据'!$BX$3:$BX$152,'2024数据'!$AB$3:$AB$152,"&gt;="&amp;DATE(2024,4,1),'2024数据'!$AB$3:$AB$152,"&lt;="&amp;DATE(2024,4,30),'2024数据'!$AE$3:$AE$152,$E1997)/10000</f>
        <v>0</v>
      </c>
      <c r="J1997" s="121">
        <f>SUMIFS('2024数据'!$BX$3:$BX$152,'2024数据'!$AB$3:$AB$152,"&gt;="&amp;DATE(2024,5,1),'2024数据'!$AB$3:$AB$152,"&lt;="&amp;DATE(2024,5,31),'2024数据'!$AE$3:$AE$152,$E1997)/10000</f>
        <v>0.062992</v>
      </c>
      <c r="K1997" s="121">
        <f>SUMIFS('2024数据'!$BX$3:$BX$152,'2024数据'!$AB$3:$AB$152,"&gt;="&amp;DATE(2024,6,1),'2024数据'!$AB$3:$AB$152,"&lt;="&amp;DATE(2024,6,30),'2024数据'!$AE$3:$AE$152,$E1997)/10000</f>
        <v>0</v>
      </c>
      <c r="L1997" s="121">
        <f>SUMIFS('2024数据'!$BX$3:$BX$152,'2024数据'!$AB$3:$AB$152,"&gt;="&amp;DATE(2024,7,1),'2024数据'!$AB$3:$AB$152,"&lt;="&amp;DATE(2024,7,31),'2024数据'!$AE$3:$AE$152,$E1997)/10000</f>
        <v>0</v>
      </c>
      <c r="M1997" s="121">
        <f>SUMIFS('2024数据'!$BX$3:$BX$152,'2024数据'!$AB$3:$AB$152,"&gt;="&amp;DATE(2024,8,1),'2024数据'!$AB$3:$AB$152,"&lt;="&amp;DATE(2024,8,31),'2024数据'!$AE$3:$AE$152,$E1997)/10000</f>
        <v>0</v>
      </c>
      <c r="N1997" s="121">
        <f>SUMIFS('2024数据'!$BX$3:$BX$152,'2024数据'!$AB$3:$AB$152,"&gt;="&amp;DATE(2024,9,1),'2024数据'!$AB$3:$AB$152,"&lt;="&amp;DATE(2024,9,30),'2024数据'!$AE$3:$AE$152,$E1997)/10000</f>
        <v>0.139744</v>
      </c>
      <c r="O1997" s="121">
        <f>SUMIFS('2024数据'!$BX$3:$BX$152,'2024数据'!$AB$3:$AB$152,"&gt;="&amp;DATE(2024,10,1),'2024数据'!$AB$3:$AB$152,"&lt;="&amp;DATE(2024,10,31),'2024数据'!$AE$3:$AE$152,$E1997)/10000</f>
        <v>0</v>
      </c>
      <c r="P1997" s="121">
        <f>SUMIFS('2024数据'!$BX$3:$BX$152,'2024数据'!$AB$3:$AB$152,"&gt;="&amp;DATE(2024,11,1),'2024数据'!$AB$3:$AB$152,"&lt;="&amp;DATE(2024,11,30),'2024数据'!$AE$3:$AE$152,$E1997)/10000</f>
        <v>0</v>
      </c>
      <c r="Q1997" s="121">
        <f>SUMIFS('2024数据'!$BX$3:$BX$152,'2024数据'!$AB$3:$AB$152,"&gt;="&amp;DATE(2024,12,1),'2024数据'!$AB$3:$AB$152,"&lt;="&amp;DATE(2024,12,31),'2024数据'!$AE$3:$AE$152,$E1997)/10000</f>
        <v>0</v>
      </c>
    </row>
    <row r="1998" ht="24" customHeight="1" spans="1:17">
      <c r="A1998" s="99" t="s">
        <v>350</v>
      </c>
      <c r="B1998" s="99" t="s">
        <v>299</v>
      </c>
      <c r="C1998" s="99" t="s">
        <v>333</v>
      </c>
      <c r="D1998" s="48" t="s">
        <v>31</v>
      </c>
      <c r="E1998" s="48" t="s">
        <v>86</v>
      </c>
      <c r="F1998" s="121">
        <f>SUMIFS('2024数据'!$BX$3:$BX$152,'2024数据'!$AB$3:$AB$152,"&gt;="&amp;DATE(2024,1,1),'2024数据'!$AB$3:$AB$152,"&lt;="&amp;DATE(2024,1,31),'2024数据'!$AE$3:$AE$152,$E1998)/10000</f>
        <v>0</v>
      </c>
      <c r="G1998" s="121">
        <f>SUMIFS('2024数据'!$BX$3:$BX$152,'2024数据'!$AB$3:$AB$152,"&gt;="&amp;DATE(2024,2,1),'2024数据'!$AB$3:$AB$152,"&lt;="&amp;DATE(2024,2,29),'2024数据'!$AE$3:$AE$152,$E1998)/10000</f>
        <v>0</v>
      </c>
      <c r="H1998" s="121">
        <f>SUMIFS('2024数据'!$BX$3:$BX$152,'2024数据'!$AB$3:$AB$152,"&gt;="&amp;DATE(2024,3,1),'2024数据'!$AB$3:$AB$152,"&lt;="&amp;DATE(2024,3,31),'2024数据'!$AE$3:$AE$152,$E1998)/10000</f>
        <v>0.035692</v>
      </c>
      <c r="I1998" s="121">
        <f>SUMIFS('2024数据'!$BX$3:$BX$152,'2024数据'!$AB$3:$AB$152,"&gt;="&amp;DATE(2024,4,1),'2024数据'!$AB$3:$AB$152,"&lt;="&amp;DATE(2024,4,30),'2024数据'!$AE$3:$AE$152,$E1998)/10000</f>
        <v>0</v>
      </c>
      <c r="J1998" s="121">
        <f>SUMIFS('2024数据'!$BX$3:$BX$152,'2024数据'!$AB$3:$AB$152,"&gt;="&amp;DATE(2024,5,1),'2024数据'!$AB$3:$AB$152,"&lt;="&amp;DATE(2024,5,31),'2024数据'!$AE$3:$AE$152,$E1998)/10000</f>
        <v>0</v>
      </c>
      <c r="K1998" s="121">
        <f>SUMIFS('2024数据'!$BX$3:$BX$152,'2024数据'!$AB$3:$AB$152,"&gt;="&amp;DATE(2024,6,1),'2024数据'!$AB$3:$AB$152,"&lt;="&amp;DATE(2024,6,30),'2024数据'!$AE$3:$AE$152,$E1998)/10000</f>
        <v>0</v>
      </c>
      <c r="L1998" s="121">
        <f>SUMIFS('2024数据'!$BX$3:$BX$152,'2024数据'!$AB$3:$AB$152,"&gt;="&amp;DATE(2024,7,1),'2024数据'!$AB$3:$AB$152,"&lt;="&amp;DATE(2024,7,31),'2024数据'!$AE$3:$AE$152,$E1998)/10000</f>
        <v>0</v>
      </c>
      <c r="M1998" s="121">
        <f>SUMIFS('2024数据'!$BX$3:$BX$152,'2024数据'!$AB$3:$AB$152,"&gt;="&amp;DATE(2024,8,1),'2024数据'!$AB$3:$AB$152,"&lt;="&amp;DATE(2024,8,31),'2024数据'!$AE$3:$AE$152,$E1998)/10000</f>
        <v>0</v>
      </c>
      <c r="N1998" s="121">
        <f>SUMIFS('2024数据'!$BX$3:$BX$152,'2024数据'!$AB$3:$AB$152,"&gt;="&amp;DATE(2024,9,1),'2024数据'!$AB$3:$AB$152,"&lt;="&amp;DATE(2024,9,30),'2024数据'!$AE$3:$AE$152,$E1998)/10000</f>
        <v>0</v>
      </c>
      <c r="O1998" s="121">
        <f>SUMIFS('2024数据'!$BX$3:$BX$152,'2024数据'!$AB$3:$AB$152,"&gt;="&amp;DATE(2024,10,1),'2024数据'!$AB$3:$AB$152,"&lt;="&amp;DATE(2024,10,31),'2024数据'!$AE$3:$AE$152,$E1998)/10000</f>
        <v>0</v>
      </c>
      <c r="P1998" s="121">
        <f>SUMIFS('2024数据'!$BX$3:$BX$152,'2024数据'!$AB$3:$AB$152,"&gt;="&amp;DATE(2024,11,1),'2024数据'!$AB$3:$AB$152,"&lt;="&amp;DATE(2024,11,30),'2024数据'!$AE$3:$AE$152,$E1998)/10000</f>
        <v>0</v>
      </c>
      <c r="Q1998" s="121">
        <f>SUMIFS('2024数据'!$BX$3:$BX$152,'2024数据'!$AB$3:$AB$152,"&gt;="&amp;DATE(2024,12,1),'2024数据'!$AB$3:$AB$152,"&lt;="&amp;DATE(2024,12,31),'2024数据'!$AE$3:$AE$152,$E1998)/10000</f>
        <v>0</v>
      </c>
    </row>
    <row r="1999" ht="24" customHeight="1" spans="1:17">
      <c r="A1999" s="99" t="s">
        <v>350</v>
      </c>
      <c r="B1999" s="99" t="s">
        <v>299</v>
      </c>
      <c r="C1999" s="99" t="s">
        <v>333</v>
      </c>
      <c r="D1999" s="48" t="s">
        <v>31</v>
      </c>
      <c r="E1999" s="48" t="s">
        <v>97</v>
      </c>
      <c r="F1999" s="121">
        <f>SUMIFS('2024数据'!$BX$3:$BX$152,'2024数据'!$AB$3:$AB$152,"&gt;="&amp;DATE(2024,1,1),'2024数据'!$AB$3:$AB$152,"&lt;="&amp;DATE(2024,1,31),'2024数据'!$AE$3:$AE$152,$E1999)/10000</f>
        <v>0</v>
      </c>
      <c r="G1999" s="121">
        <f>SUMIFS('2024数据'!$BX$3:$BX$152,'2024数据'!$AB$3:$AB$152,"&gt;="&amp;DATE(2024,2,1),'2024数据'!$AB$3:$AB$152,"&lt;="&amp;DATE(2024,2,29),'2024数据'!$AE$3:$AE$152,$E1999)/10000</f>
        <v>0</v>
      </c>
      <c r="H1999" s="121">
        <f>SUMIFS('2024数据'!$BX$3:$BX$152,'2024数据'!$AB$3:$AB$152,"&gt;="&amp;DATE(2024,3,1),'2024数据'!$AB$3:$AB$152,"&lt;="&amp;DATE(2024,3,31),'2024数据'!$AE$3:$AE$152,$E1999)/10000</f>
        <v>0</v>
      </c>
      <c r="I1999" s="121">
        <f>SUMIFS('2024数据'!$BX$3:$BX$152,'2024数据'!$AB$3:$AB$152,"&gt;="&amp;DATE(2024,4,1),'2024数据'!$AB$3:$AB$152,"&lt;="&amp;DATE(2024,4,30),'2024数据'!$AE$3:$AE$152,$E1999)/10000</f>
        <v>0</v>
      </c>
      <c r="J1999" s="121">
        <f>SUMIFS('2024数据'!$BX$3:$BX$152,'2024数据'!$AB$3:$AB$152,"&gt;="&amp;DATE(2024,5,1),'2024数据'!$AB$3:$AB$152,"&lt;="&amp;DATE(2024,5,31),'2024数据'!$AE$3:$AE$152,$E1999)/10000</f>
        <v>0.01729</v>
      </c>
      <c r="K1999" s="121">
        <f>SUMIFS('2024数据'!$BX$3:$BX$152,'2024数据'!$AB$3:$AB$152,"&gt;="&amp;DATE(2024,6,1),'2024数据'!$AB$3:$AB$152,"&lt;="&amp;DATE(2024,6,30),'2024数据'!$AE$3:$AE$152,$E1999)/10000</f>
        <v>0.298172</v>
      </c>
      <c r="L1999" s="121">
        <f>SUMIFS('2024数据'!$BX$3:$BX$152,'2024数据'!$AB$3:$AB$152,"&gt;="&amp;DATE(2024,7,1),'2024数据'!$AB$3:$AB$152,"&lt;="&amp;DATE(2024,7,31),'2024数据'!$AE$3:$AE$152,$E1999)/10000</f>
        <v>0</v>
      </c>
      <c r="M1999" s="121">
        <f>SUMIFS('2024数据'!$BX$3:$BX$152,'2024数据'!$AB$3:$AB$152,"&gt;="&amp;DATE(2024,8,1),'2024数据'!$AB$3:$AB$152,"&lt;="&amp;DATE(2024,8,31),'2024数据'!$AE$3:$AE$152,$E1999)/10000</f>
        <v>0.017362</v>
      </c>
      <c r="N1999" s="121">
        <f>SUMIFS('2024数据'!$BX$3:$BX$152,'2024数据'!$AB$3:$AB$152,"&gt;="&amp;DATE(2024,9,1),'2024数据'!$AB$3:$AB$152,"&lt;="&amp;DATE(2024,9,30),'2024数据'!$AE$3:$AE$152,$E1999)/10000</f>
        <v>0.269688</v>
      </c>
      <c r="O1999" s="121">
        <f>SUMIFS('2024数据'!$BX$3:$BX$152,'2024数据'!$AB$3:$AB$152,"&gt;="&amp;DATE(2024,10,1),'2024数据'!$AB$3:$AB$152,"&lt;="&amp;DATE(2024,10,31),'2024数据'!$AE$3:$AE$152,$E1999)/10000</f>
        <v>0</v>
      </c>
      <c r="P1999" s="121">
        <f>SUMIFS('2024数据'!$BX$3:$BX$152,'2024数据'!$AB$3:$AB$152,"&gt;="&amp;DATE(2024,11,1),'2024数据'!$AB$3:$AB$152,"&lt;="&amp;DATE(2024,11,30),'2024数据'!$AE$3:$AE$152,$E1999)/10000</f>
        <v>0.064426</v>
      </c>
      <c r="Q1999" s="121">
        <f>SUMIFS('2024数据'!$BX$3:$BX$152,'2024数据'!$AB$3:$AB$152,"&gt;="&amp;DATE(2024,12,1),'2024数据'!$AB$3:$AB$152,"&lt;="&amp;DATE(2024,12,31),'2024数据'!$AE$3:$AE$152,$E1999)/10000</f>
        <v>0</v>
      </c>
    </row>
    <row r="2000" ht="24" customHeight="1" spans="1:17">
      <c r="A2000" s="99" t="s">
        <v>350</v>
      </c>
      <c r="B2000" s="99" t="s">
        <v>299</v>
      </c>
      <c r="C2000" s="99" t="s">
        <v>333</v>
      </c>
      <c r="D2000" s="48" t="s">
        <v>31</v>
      </c>
      <c r="E2000" s="48" t="s">
        <v>87</v>
      </c>
      <c r="F2000" s="121">
        <f>SUMIFS('2024数据'!$BX$3:$BX$152,'2024数据'!$AB$3:$AB$152,"&gt;="&amp;DATE(2024,1,1),'2024数据'!$AB$3:$AB$152,"&lt;="&amp;DATE(2024,1,31),'2024数据'!$AE$3:$AE$152,$E2000)/10000</f>
        <v>0</v>
      </c>
      <c r="G2000" s="121">
        <f>SUMIFS('2024数据'!$BX$3:$BX$152,'2024数据'!$AB$3:$AB$152,"&gt;="&amp;DATE(2024,2,1),'2024数据'!$AB$3:$AB$152,"&lt;="&amp;DATE(2024,2,29),'2024数据'!$AE$3:$AE$152,$E2000)/10000</f>
        <v>0.114026</v>
      </c>
      <c r="H2000" s="121">
        <f>SUMIFS('2024数据'!$BX$3:$BX$152,'2024数据'!$AB$3:$AB$152,"&gt;="&amp;DATE(2024,3,1),'2024数据'!$AB$3:$AB$152,"&lt;="&amp;DATE(2024,3,31),'2024数据'!$AE$3:$AE$152,$E2000)/10000</f>
        <v>0</v>
      </c>
      <c r="I2000" s="121">
        <f>SUMIFS('2024数据'!$BX$3:$BX$152,'2024数据'!$AB$3:$AB$152,"&gt;="&amp;DATE(2024,4,1),'2024数据'!$AB$3:$AB$152,"&lt;="&amp;DATE(2024,4,30),'2024数据'!$AE$3:$AE$152,$E2000)/10000</f>
        <v>0</v>
      </c>
      <c r="J2000" s="121">
        <f>SUMIFS('2024数据'!$BX$3:$BX$152,'2024数据'!$AB$3:$AB$152,"&gt;="&amp;DATE(2024,5,1),'2024数据'!$AB$3:$AB$152,"&lt;="&amp;DATE(2024,5,31),'2024数据'!$AE$3:$AE$152,$E2000)/10000</f>
        <v>0</v>
      </c>
      <c r="K2000" s="121">
        <f>SUMIFS('2024数据'!$BX$3:$BX$152,'2024数据'!$AB$3:$AB$152,"&gt;="&amp;DATE(2024,6,1),'2024数据'!$AB$3:$AB$152,"&lt;="&amp;DATE(2024,6,30),'2024数据'!$AE$3:$AE$152,$E2000)/10000</f>
        <v>0.026688</v>
      </c>
      <c r="L2000" s="121">
        <f>SUMIFS('2024数据'!$BX$3:$BX$152,'2024数据'!$AB$3:$AB$152,"&gt;="&amp;DATE(2024,7,1),'2024数据'!$AB$3:$AB$152,"&lt;="&amp;DATE(2024,7,31),'2024数据'!$AE$3:$AE$152,$E2000)/10000</f>
        <v>0</v>
      </c>
      <c r="M2000" s="121">
        <f>SUMIFS('2024数据'!$BX$3:$BX$152,'2024数据'!$AB$3:$AB$152,"&gt;="&amp;DATE(2024,8,1),'2024数据'!$AB$3:$AB$152,"&lt;="&amp;DATE(2024,8,31),'2024数据'!$AE$3:$AE$152,$E2000)/10000</f>
        <v>0</v>
      </c>
      <c r="N2000" s="121">
        <f>SUMIFS('2024数据'!$BX$3:$BX$152,'2024数据'!$AB$3:$AB$152,"&gt;="&amp;DATE(2024,9,1),'2024数据'!$AB$3:$AB$152,"&lt;="&amp;DATE(2024,9,30),'2024数据'!$AE$3:$AE$152,$E2000)/10000</f>
        <v>0.099588</v>
      </c>
      <c r="O2000" s="121">
        <f>SUMIFS('2024数据'!$BX$3:$BX$152,'2024数据'!$AB$3:$AB$152,"&gt;="&amp;DATE(2024,10,1),'2024数据'!$AB$3:$AB$152,"&lt;="&amp;DATE(2024,10,31),'2024数据'!$AE$3:$AE$152,$E2000)/10000</f>
        <v>0.043481</v>
      </c>
      <c r="P2000" s="121">
        <f>SUMIFS('2024数据'!$BX$3:$BX$152,'2024数据'!$AB$3:$AB$152,"&gt;="&amp;DATE(2024,11,1),'2024数据'!$AB$3:$AB$152,"&lt;="&amp;DATE(2024,11,30),'2024数据'!$AE$3:$AE$152,$E2000)/10000</f>
        <v>0</v>
      </c>
      <c r="Q2000" s="121">
        <f>SUMIFS('2024数据'!$BX$3:$BX$152,'2024数据'!$AB$3:$AB$152,"&gt;="&amp;DATE(2024,12,1),'2024数据'!$AB$3:$AB$152,"&lt;="&amp;DATE(2024,12,31),'2024数据'!$AE$3:$AE$152,$E2000)/10000</f>
        <v>-0.022186</v>
      </c>
    </row>
    <row r="2001" ht="24" customHeight="1" spans="1:17">
      <c r="A2001" s="99" t="s">
        <v>350</v>
      </c>
      <c r="B2001" s="99" t="s">
        <v>299</v>
      </c>
      <c r="C2001" s="99" t="s">
        <v>333</v>
      </c>
      <c r="D2001" s="48" t="s">
        <v>31</v>
      </c>
      <c r="E2001" s="48" t="s">
        <v>83</v>
      </c>
      <c r="F2001" s="121">
        <f>SUMIFS('2024数据'!$BX$3:$BX$152,'2024数据'!$AB$3:$AB$152,"&gt;="&amp;DATE(2024,1,1),'2024数据'!$AB$3:$AB$152,"&lt;="&amp;DATE(2024,1,31),'2024数据'!$AE$3:$AE$152,$E2001)/10000</f>
        <v>0</v>
      </c>
      <c r="G2001" s="121">
        <f>SUMIFS('2024数据'!$BX$3:$BX$152,'2024数据'!$AB$3:$AB$152,"&gt;="&amp;DATE(2024,2,1),'2024数据'!$AB$3:$AB$152,"&lt;="&amp;DATE(2024,2,29),'2024数据'!$AE$3:$AE$152,$E2001)/10000</f>
        <v>0</v>
      </c>
      <c r="H2001" s="121">
        <f>SUMIFS('2024数据'!$BX$3:$BX$152,'2024数据'!$AB$3:$AB$152,"&gt;="&amp;DATE(2024,3,1),'2024数据'!$AB$3:$AB$152,"&lt;="&amp;DATE(2024,3,31),'2024数据'!$AE$3:$AE$152,$E2001)/10000</f>
        <v>0</v>
      </c>
      <c r="I2001" s="121">
        <f>SUMIFS('2024数据'!$BX$3:$BX$152,'2024数据'!$AB$3:$AB$152,"&gt;="&amp;DATE(2024,4,1),'2024数据'!$AB$3:$AB$152,"&lt;="&amp;DATE(2024,4,30),'2024数据'!$AE$3:$AE$152,$E2001)/10000</f>
        <v>0</v>
      </c>
      <c r="J2001" s="121">
        <f>SUMIFS('2024数据'!$BX$3:$BX$152,'2024数据'!$AB$3:$AB$152,"&gt;="&amp;DATE(2024,5,1),'2024数据'!$AB$3:$AB$152,"&lt;="&amp;DATE(2024,5,31),'2024数据'!$AE$3:$AE$152,$E2001)/10000</f>
        <v>0</v>
      </c>
      <c r="K2001" s="121">
        <f>SUMIFS('2024数据'!$BX$3:$BX$152,'2024数据'!$AB$3:$AB$152,"&gt;="&amp;DATE(2024,6,1),'2024数据'!$AB$3:$AB$152,"&lt;="&amp;DATE(2024,6,30),'2024数据'!$AE$3:$AE$152,$E2001)/10000</f>
        <v>0</v>
      </c>
      <c r="L2001" s="121">
        <f>SUMIFS('2024数据'!$BX$3:$BX$152,'2024数据'!$AB$3:$AB$152,"&gt;="&amp;DATE(2024,7,1),'2024数据'!$AB$3:$AB$152,"&lt;="&amp;DATE(2024,7,31),'2024数据'!$AE$3:$AE$152,$E2001)/10000</f>
        <v>0</v>
      </c>
      <c r="M2001" s="121">
        <f>SUMIFS('2024数据'!$BX$3:$BX$152,'2024数据'!$AB$3:$AB$152,"&gt;="&amp;DATE(2024,8,1),'2024数据'!$AB$3:$AB$152,"&lt;="&amp;DATE(2024,8,31),'2024数据'!$AE$3:$AE$152,$E2001)/10000</f>
        <v>0</v>
      </c>
      <c r="N2001" s="121">
        <f>SUMIFS('2024数据'!$BX$3:$BX$152,'2024数据'!$AB$3:$AB$152,"&gt;="&amp;DATE(2024,9,1),'2024数据'!$AB$3:$AB$152,"&lt;="&amp;DATE(2024,9,30),'2024数据'!$AE$3:$AE$152,$E2001)/10000</f>
        <v>0</v>
      </c>
      <c r="O2001" s="121">
        <f>SUMIFS('2024数据'!$BX$3:$BX$152,'2024数据'!$AB$3:$AB$152,"&gt;="&amp;DATE(2024,10,1),'2024数据'!$AB$3:$AB$152,"&lt;="&amp;DATE(2024,10,31),'2024数据'!$AE$3:$AE$152,$E2001)/10000</f>
        <v>0</v>
      </c>
      <c r="P2001" s="121">
        <f>SUMIFS('2024数据'!$BX$3:$BX$152,'2024数据'!$AB$3:$AB$152,"&gt;="&amp;DATE(2024,11,1),'2024数据'!$AB$3:$AB$152,"&lt;="&amp;DATE(2024,11,30),'2024数据'!$AE$3:$AE$152,$E2001)/10000</f>
        <v>0</v>
      </c>
      <c r="Q2001" s="121">
        <f>SUMIFS('2024数据'!$BX$3:$BX$152,'2024数据'!$AB$3:$AB$152,"&gt;="&amp;DATE(2024,12,1),'2024数据'!$AB$3:$AB$152,"&lt;="&amp;DATE(2024,12,31),'2024数据'!$AE$3:$AE$152,$E2001)/10000</f>
        <v>0</v>
      </c>
    </row>
    <row r="2002" ht="24" customHeight="1" spans="1:17">
      <c r="A2002" s="99" t="s">
        <v>350</v>
      </c>
      <c r="B2002" s="99" t="s">
        <v>299</v>
      </c>
      <c r="C2002" s="99" t="s">
        <v>333</v>
      </c>
      <c r="D2002" s="47" t="s">
        <v>294</v>
      </c>
      <c r="E2002" s="47" t="s">
        <v>93</v>
      </c>
      <c r="F2002" s="121">
        <f>SUMIFS('2024数据'!$BX$3:$BX$152,'2024数据'!$AB$3:$AB$152,"&gt;="&amp;DATE(2024,1,1),'2024数据'!$AB$3:$AB$152,"&lt;="&amp;DATE(2024,1,31),'2024数据'!$B$3:$B$152,$E2002)/10000</f>
        <v>0.029854</v>
      </c>
      <c r="G2002" s="121">
        <f>SUMIFS('2024数据'!$BX$3:$BX$152,'2024数据'!$AB$3:$AB$152,"&gt;="&amp;DATE(2024,2,1),'2024数据'!$AB$3:$AB$152,"&lt;="&amp;DATE(2024,2,29),'2024数据'!$B$3:$B$152,$E2002)/10000</f>
        <v>0</v>
      </c>
      <c r="H2002" s="121">
        <f>SUMIFS('2024数据'!$BX$3:$BX$152,'2024数据'!$AB$3:$AB$152,"&gt;="&amp;DATE(2024,3,1),'2024数据'!$AB$3:$AB$152,"&lt;="&amp;DATE(2024,3,31),'2024数据'!$B$3:$B$152,$E2002)/10000</f>
        <v>0.152159</v>
      </c>
      <c r="I2002" s="121">
        <f>SUMIFS('2024数据'!$BX$3:$BX$152,'2024数据'!$AB$3:$AB$152,"&gt;="&amp;DATE(2024,4,1),'2024数据'!$AB$3:$AB$152,"&lt;="&amp;DATE(2024,4,30),'2024数据'!$B$3:$B$152,$E2002)/10000</f>
        <v>0</v>
      </c>
      <c r="J2002" s="121">
        <f>SUMIFS('2024数据'!$BX$3:$BX$152,'2024数据'!$AB$3:$AB$152,"&gt;="&amp;DATE(2024,5,1),'2024数据'!$AB$3:$AB$152,"&lt;="&amp;DATE(2024,5,31),'2024数据'!$B$3:$B$152,$E2002)/10000</f>
        <v>0.07838</v>
      </c>
      <c r="K2002" s="121">
        <f>SUMIFS('2024数据'!$BX$3:$BX$152,'2024数据'!$AB$3:$AB$152,"&gt;="&amp;DATE(2024,6,1),'2024数据'!$AB$3:$AB$152,"&lt;="&amp;DATE(2024,6,30),'2024数据'!$B$3:$B$152,$E2002)/10000</f>
        <v>0.026688</v>
      </c>
      <c r="L2002" s="121">
        <f>SUMIFS('2024数据'!$BX$3:$BX$152,'2024数据'!$AB$3:$AB$152,"&gt;="&amp;DATE(2024,7,1),'2024数据'!$AB$3:$AB$152,"&lt;="&amp;DATE(2024,7,31),'2024数据'!$B$3:$B$152,$E2002)/10000</f>
        <v>0</v>
      </c>
      <c r="M2002" s="121">
        <f>SUMIFS('2024数据'!$BX$3:$BX$152,'2024数据'!$AB$3:$AB$152,"&gt;="&amp;DATE(2024,8,1),'2024数据'!$AB$3:$AB$152,"&lt;="&amp;DATE(2024,8,31),'2024数据'!$B$3:$B$152,$E2002)/10000</f>
        <v>0.017362</v>
      </c>
      <c r="N2002" s="121">
        <f>SUMIFS('2024数据'!$BX$3:$BX$152,'2024数据'!$AB$3:$AB$152,"&gt;="&amp;DATE(2024,9,1),'2024数据'!$AB$3:$AB$152,"&lt;="&amp;DATE(2024,9,30),'2024数据'!$B$3:$B$152,$E2002)/10000</f>
        <v>0.195136</v>
      </c>
      <c r="O2002" s="121">
        <f>SUMIFS('2024数据'!$BX$3:$BX$152,'2024数据'!$AB$3:$AB$152,"&gt;="&amp;DATE(2024,10,1),'2024数据'!$AB$3:$AB$152,"&lt;="&amp;DATE(2024,10,31),'2024数据'!$B$3:$B$152,$E2002)/10000</f>
        <v>0</v>
      </c>
      <c r="P2002" s="121">
        <f>SUMIFS('2024数据'!$BX$3:$BX$152,'2024数据'!$AB$3:$AB$152,"&gt;="&amp;DATE(2024,11,1),'2024数据'!$AB$3:$AB$152,"&lt;="&amp;DATE(2024,11,30),'2024数据'!$B$3:$B$152,$E2002)/10000</f>
        <v>0.107279</v>
      </c>
      <c r="Q2002" s="121">
        <f>SUMIFS('2024数据'!$BX$3:$BX$152,'2024数据'!$AB$3:$AB$152,"&gt;="&amp;DATE(2024,12,1),'2024数据'!$AB$3:$AB$152,"&lt;="&amp;DATE(2024,12,31),'2024数据'!$B$3:$B$152,$E2002)/10000</f>
        <v>0</v>
      </c>
    </row>
    <row r="2003" ht="24" customHeight="1" spans="1:17">
      <c r="A2003" s="99" t="s">
        <v>350</v>
      </c>
      <c r="B2003" s="99" t="s">
        <v>299</v>
      </c>
      <c r="C2003" s="99" t="s">
        <v>333</v>
      </c>
      <c r="D2003" s="47" t="s">
        <v>294</v>
      </c>
      <c r="E2003" s="47" t="s">
        <v>85</v>
      </c>
      <c r="F2003" s="121">
        <f>SUMIFS('2024数据'!$BX$3:$BX$152,'2024数据'!$AB$3:$AB$152,"&gt;="&amp;DATE(2024,1,1),'2024数据'!$AB$3:$AB$152,"&lt;="&amp;DATE(2024,1,31),'2024数据'!$B$3:$B$152,$E2003)/10000</f>
        <v>0.030302</v>
      </c>
      <c r="G2003" s="121">
        <f>SUMIFS('2024数据'!$BX$3:$BX$152,'2024数据'!$AB$3:$AB$152,"&gt;="&amp;DATE(2024,2,1),'2024数据'!$AB$3:$AB$152,"&lt;="&amp;DATE(2024,2,29),'2024数据'!$B$3:$B$152,$E2003)/10000</f>
        <v>0.114026</v>
      </c>
      <c r="H2003" s="121">
        <f>SUMIFS('2024数据'!$BX$3:$BX$152,'2024数据'!$AB$3:$AB$152,"&gt;="&amp;DATE(2024,3,1),'2024数据'!$AB$3:$AB$152,"&lt;="&amp;DATE(2024,3,31),'2024数据'!$B$3:$B$152,$E2003)/10000</f>
        <v>0</v>
      </c>
      <c r="I2003" s="121">
        <f>SUMIFS('2024数据'!$BX$3:$BX$152,'2024数据'!$AB$3:$AB$152,"&gt;="&amp;DATE(2024,4,1),'2024数据'!$AB$3:$AB$152,"&lt;="&amp;DATE(2024,4,30),'2024数据'!$B$3:$B$152,$E2003)/10000</f>
        <v>0</v>
      </c>
      <c r="J2003" s="121">
        <f>SUMIFS('2024数据'!$BX$3:$BX$152,'2024数据'!$AB$3:$AB$152,"&gt;="&amp;DATE(2024,5,1),'2024数据'!$AB$3:$AB$152,"&lt;="&amp;DATE(2024,5,31),'2024数据'!$B$3:$B$152,$E2003)/10000</f>
        <v>0.033039</v>
      </c>
      <c r="K2003" s="121">
        <f>SUMIFS('2024数据'!$BX$3:$BX$152,'2024数据'!$AB$3:$AB$152,"&gt;="&amp;DATE(2024,6,1),'2024数据'!$AB$3:$AB$152,"&lt;="&amp;DATE(2024,6,30),'2024数据'!$B$3:$B$152,$E2003)/10000</f>
        <v>0.298172</v>
      </c>
      <c r="L2003" s="121">
        <f>SUMIFS('2024数据'!$BX$3:$BX$152,'2024数据'!$AB$3:$AB$152,"&gt;="&amp;DATE(2024,7,1),'2024数据'!$AB$3:$AB$152,"&lt;="&amp;DATE(2024,7,31),'2024数据'!$B$3:$B$152,$E2003)/10000</f>
        <v>0</v>
      </c>
      <c r="M2003" s="121">
        <f>SUMIFS('2024数据'!$BX$3:$BX$152,'2024数据'!$AB$3:$AB$152,"&gt;="&amp;DATE(2024,8,1),'2024数据'!$AB$3:$AB$152,"&lt;="&amp;DATE(2024,8,31),'2024数据'!$B$3:$B$152,$E2003)/10000</f>
        <v>0</v>
      </c>
      <c r="N2003" s="121">
        <f>SUMIFS('2024数据'!$BX$3:$BX$152,'2024数据'!$AB$3:$AB$152,"&gt;="&amp;DATE(2024,9,1),'2024数据'!$AB$3:$AB$152,"&lt;="&amp;DATE(2024,9,30),'2024数据'!$B$3:$B$152,$E2003)/10000</f>
        <v>0.111531</v>
      </c>
      <c r="O2003" s="121">
        <f>SUMIFS('2024数据'!$BX$3:$BX$152,'2024数据'!$AB$3:$AB$152,"&gt;="&amp;DATE(2024,10,1),'2024数据'!$AB$3:$AB$152,"&lt;="&amp;DATE(2024,10,31),'2024数据'!$B$3:$B$152,$E2003)/10000</f>
        <v>0.043481</v>
      </c>
      <c r="P2003" s="121">
        <f>SUMIFS('2024数据'!$BX$3:$BX$152,'2024数据'!$AB$3:$AB$152,"&gt;="&amp;DATE(2024,11,1),'2024数据'!$AB$3:$AB$152,"&lt;="&amp;DATE(2024,11,30),'2024数据'!$B$3:$B$152,$E2003)/10000</f>
        <v>0</v>
      </c>
      <c r="Q2003" s="121">
        <f>SUMIFS('2024数据'!$BX$3:$BX$152,'2024数据'!$AB$3:$AB$152,"&gt;="&amp;DATE(2024,12,1),'2024数据'!$AB$3:$AB$152,"&lt;="&amp;DATE(2024,12,31),'2024数据'!$B$3:$B$152,$E2003)/10000</f>
        <v>0</v>
      </c>
    </row>
    <row r="2004" ht="24" customHeight="1" spans="1:17">
      <c r="A2004" s="99" t="s">
        <v>350</v>
      </c>
      <c r="B2004" s="99" t="s">
        <v>299</v>
      </c>
      <c r="C2004" s="99" t="s">
        <v>333</v>
      </c>
      <c r="D2004" s="47" t="s">
        <v>294</v>
      </c>
      <c r="E2004" s="47" t="s">
        <v>81</v>
      </c>
      <c r="F2004" s="121">
        <f>SUMIFS('2024数据'!$BX$3:$BX$152,'2024数据'!$AB$3:$AB$152,"&gt;="&amp;DATE(2024,1,1),'2024数据'!$AB$3:$AB$152,"&lt;="&amp;DATE(2024,1,31),'2024数据'!$B$3:$B$152,$E2004)/10000</f>
        <v>0</v>
      </c>
      <c r="G2004" s="121">
        <f>SUMIFS('2024数据'!$BX$3:$BX$152,'2024数据'!$AB$3:$AB$152,"&gt;="&amp;DATE(2024,2,1),'2024数据'!$AB$3:$AB$152,"&lt;="&amp;DATE(2024,2,29),'2024数据'!$B$3:$B$152,$E2004)/10000</f>
        <v>0</v>
      </c>
      <c r="H2004" s="121">
        <f>SUMIFS('2024数据'!$BX$3:$BX$152,'2024数据'!$AB$3:$AB$152,"&gt;="&amp;DATE(2024,3,1),'2024数据'!$AB$3:$AB$152,"&lt;="&amp;DATE(2024,3,31),'2024数据'!$B$3:$B$152,$E2004)/10000</f>
        <v>0</v>
      </c>
      <c r="I2004" s="121">
        <f>SUMIFS('2024数据'!$BX$3:$BX$152,'2024数据'!$AB$3:$AB$152,"&gt;="&amp;DATE(2024,4,1),'2024数据'!$AB$3:$AB$152,"&lt;="&amp;DATE(2024,4,30),'2024数据'!$B$3:$B$152,$E2004)/10000</f>
        <v>0</v>
      </c>
      <c r="J2004" s="121">
        <f>SUMIFS('2024数据'!$BX$3:$BX$152,'2024数据'!$AB$3:$AB$152,"&gt;="&amp;DATE(2024,5,1),'2024数据'!$AB$3:$AB$152,"&lt;="&amp;DATE(2024,5,31),'2024数据'!$B$3:$B$152,$E2004)/10000</f>
        <v>0</v>
      </c>
      <c r="K2004" s="121">
        <f>SUMIFS('2024数据'!$BX$3:$BX$152,'2024数据'!$AB$3:$AB$152,"&gt;="&amp;DATE(2024,6,1),'2024数据'!$AB$3:$AB$152,"&lt;="&amp;DATE(2024,6,30),'2024数据'!$B$3:$B$152,$E2004)/10000</f>
        <v>0</v>
      </c>
      <c r="L2004" s="121">
        <f>SUMIFS('2024数据'!$BX$3:$BX$152,'2024数据'!$AB$3:$AB$152,"&gt;="&amp;DATE(2024,7,1),'2024数据'!$AB$3:$AB$152,"&lt;="&amp;DATE(2024,7,31),'2024数据'!$B$3:$B$152,$E2004)/10000</f>
        <v>0</v>
      </c>
      <c r="M2004" s="121">
        <f>SUMIFS('2024数据'!$BX$3:$BX$152,'2024数据'!$AB$3:$AB$152,"&gt;="&amp;DATE(2024,8,1),'2024数据'!$AB$3:$AB$152,"&lt;="&amp;DATE(2024,8,31),'2024数据'!$B$3:$B$152,$E2004)/10000</f>
        <v>0</v>
      </c>
      <c r="N2004" s="121">
        <f>SUMIFS('2024数据'!$BX$3:$BX$152,'2024数据'!$AB$3:$AB$152,"&gt;="&amp;DATE(2024,9,1),'2024数据'!$AB$3:$AB$152,"&lt;="&amp;DATE(2024,9,30),'2024数据'!$B$3:$B$152,$E2004)/10000</f>
        <v>0</v>
      </c>
      <c r="O2004" s="121">
        <f>SUMIFS('2024数据'!$BX$3:$BX$152,'2024数据'!$AB$3:$AB$152,"&gt;="&amp;DATE(2024,10,1),'2024数据'!$AB$3:$AB$152,"&lt;="&amp;DATE(2024,10,31),'2024数据'!$B$3:$B$152,$E2004)/10000</f>
        <v>0</v>
      </c>
      <c r="P2004" s="121">
        <f>SUMIFS('2024数据'!$BX$3:$BX$152,'2024数据'!$AB$3:$AB$152,"&gt;="&amp;DATE(2024,11,1),'2024数据'!$AB$3:$AB$152,"&lt;="&amp;DATE(2024,11,30),'2024数据'!$B$3:$B$152,$E2004)/10000</f>
        <v>0</v>
      </c>
      <c r="Q2004" s="121">
        <f>SUMIFS('2024数据'!$BX$3:$BX$152,'2024数据'!$AB$3:$AB$152,"&gt;="&amp;DATE(2024,12,1),'2024数据'!$AB$3:$AB$152,"&lt;="&amp;DATE(2024,12,31),'2024数据'!$B$3:$B$152,$E2004)/10000</f>
        <v>-0.022186</v>
      </c>
    </row>
    <row r="2005" ht="24" customHeight="1" spans="1:17">
      <c r="A2005" s="99" t="s">
        <v>350</v>
      </c>
      <c r="B2005" s="99" t="s">
        <v>299</v>
      </c>
      <c r="C2005" s="99" t="s">
        <v>333</v>
      </c>
      <c r="D2005" s="47" t="s">
        <v>294</v>
      </c>
      <c r="E2005" s="47" t="s">
        <v>96</v>
      </c>
      <c r="F2005" s="121">
        <f>SUMIFS('2024数据'!$BX$3:$BX$152,'2024数据'!$AB$3:$AB$152,"&gt;="&amp;DATE(2024,1,1),'2024数据'!$AB$3:$AB$152,"&lt;="&amp;DATE(2024,1,31),'2024数据'!$B$3:$B$152,$E2005)/10000</f>
        <v>0</v>
      </c>
      <c r="G2005" s="121">
        <f>SUMIFS('2024数据'!$BX$3:$BX$152,'2024数据'!$AB$3:$AB$152,"&gt;="&amp;DATE(2024,2,1),'2024数据'!$AB$3:$AB$152,"&lt;="&amp;DATE(2024,2,29),'2024数据'!$B$3:$B$152,$E2005)/10000</f>
        <v>0</v>
      </c>
      <c r="H2005" s="121">
        <f>SUMIFS('2024数据'!$BX$3:$BX$152,'2024数据'!$AB$3:$AB$152,"&gt;="&amp;DATE(2024,3,1),'2024数据'!$AB$3:$AB$152,"&lt;="&amp;DATE(2024,3,31),'2024数据'!$B$3:$B$152,$E2005)/10000</f>
        <v>0</v>
      </c>
      <c r="I2005" s="121">
        <f>SUMIFS('2024数据'!$BX$3:$BX$152,'2024数据'!$AB$3:$AB$152,"&gt;="&amp;DATE(2024,4,1),'2024数据'!$AB$3:$AB$152,"&lt;="&amp;DATE(2024,4,30),'2024数据'!$B$3:$B$152,$E2005)/10000</f>
        <v>0</v>
      </c>
      <c r="J2005" s="121">
        <f>SUMIFS('2024数据'!$BX$3:$BX$152,'2024数据'!$AB$3:$AB$152,"&gt;="&amp;DATE(2024,5,1),'2024数据'!$AB$3:$AB$152,"&lt;="&amp;DATE(2024,5,31),'2024数据'!$B$3:$B$152,$E2005)/10000</f>
        <v>0</v>
      </c>
      <c r="K2005" s="121">
        <f>SUMIFS('2024数据'!$BX$3:$BX$152,'2024数据'!$AB$3:$AB$152,"&gt;="&amp;DATE(2024,6,1),'2024数据'!$AB$3:$AB$152,"&lt;="&amp;DATE(2024,6,30),'2024数据'!$B$3:$B$152,$E2005)/10000</f>
        <v>0</v>
      </c>
      <c r="L2005" s="121">
        <f>SUMIFS('2024数据'!$BX$3:$BX$152,'2024数据'!$AB$3:$AB$152,"&gt;="&amp;DATE(2024,7,1),'2024数据'!$AB$3:$AB$152,"&lt;="&amp;DATE(2024,7,31),'2024数据'!$B$3:$B$152,$E2005)/10000</f>
        <v>0</v>
      </c>
      <c r="M2005" s="121">
        <f>SUMIFS('2024数据'!$BX$3:$BX$152,'2024数据'!$AB$3:$AB$152,"&gt;="&amp;DATE(2024,8,1),'2024数据'!$AB$3:$AB$152,"&lt;="&amp;DATE(2024,8,31),'2024数据'!$B$3:$B$152,$E2005)/10000</f>
        <v>0</v>
      </c>
      <c r="N2005" s="121">
        <f>SUMIFS('2024数据'!$BX$3:$BX$152,'2024数据'!$AB$3:$AB$152,"&gt;="&amp;DATE(2024,9,1),'2024数据'!$AB$3:$AB$152,"&lt;="&amp;DATE(2024,9,30),'2024数据'!$B$3:$B$152,$E2005)/10000</f>
        <v>0.228093</v>
      </c>
      <c r="O2005" s="121">
        <f>SUMIFS('2024数据'!$BX$3:$BX$152,'2024数据'!$AB$3:$AB$152,"&gt;="&amp;DATE(2024,10,1),'2024数据'!$AB$3:$AB$152,"&lt;="&amp;DATE(2024,10,31),'2024数据'!$B$3:$B$152,$E2005)/10000</f>
        <v>0</v>
      </c>
      <c r="P2005" s="121">
        <f>SUMIFS('2024数据'!$BX$3:$BX$152,'2024数据'!$AB$3:$AB$152,"&gt;="&amp;DATE(2024,11,1),'2024数据'!$AB$3:$AB$152,"&lt;="&amp;DATE(2024,11,30),'2024数据'!$B$3:$B$152,$E2005)/10000</f>
        <v>0</v>
      </c>
      <c r="Q2005" s="121">
        <f>SUMIFS('2024数据'!$BX$3:$BX$152,'2024数据'!$AB$3:$AB$152,"&gt;="&amp;DATE(2024,12,1),'2024数据'!$AB$3:$AB$152,"&lt;="&amp;DATE(2024,12,31),'2024数据'!$B$3:$B$152,$E2005)/10000</f>
        <v>0</v>
      </c>
    </row>
    <row r="2006" ht="24" customHeight="1" spans="1:17">
      <c r="A2006" s="99" t="s">
        <v>350</v>
      </c>
      <c r="B2006" s="99" t="s">
        <v>299</v>
      </c>
      <c r="C2006" s="99" t="s">
        <v>333</v>
      </c>
      <c r="D2006" s="47" t="s">
        <v>294</v>
      </c>
      <c r="E2006" s="47" t="s">
        <v>160</v>
      </c>
      <c r="F2006" s="121">
        <f t="shared" ref="F2006:Q2006" si="1477">SUM(F1996:F2001)-SUM(F2002:F2005)</f>
        <v>0</v>
      </c>
      <c r="G2006" s="121">
        <f t="shared" si="1477"/>
        <v>0</v>
      </c>
      <c r="H2006" s="121">
        <f t="shared" si="1477"/>
        <v>0</v>
      </c>
      <c r="I2006" s="121">
        <f t="shared" si="1477"/>
        <v>0</v>
      </c>
      <c r="J2006" s="121">
        <f t="shared" si="1477"/>
        <v>0</v>
      </c>
      <c r="K2006" s="121">
        <f t="shared" si="1477"/>
        <v>0</v>
      </c>
      <c r="L2006" s="121">
        <f t="shared" si="1477"/>
        <v>0</v>
      </c>
      <c r="M2006" s="121">
        <f t="shared" si="1477"/>
        <v>0</v>
      </c>
      <c r="N2006" s="121">
        <f t="shared" si="1477"/>
        <v>0</v>
      </c>
      <c r="O2006" s="121">
        <f t="shared" si="1477"/>
        <v>0</v>
      </c>
      <c r="P2006" s="121">
        <f t="shared" si="1477"/>
        <v>0</v>
      </c>
      <c r="Q2006" s="121">
        <f t="shared" si="1477"/>
        <v>0</v>
      </c>
    </row>
    <row r="2007" ht="24" customHeight="1" spans="1:17">
      <c r="A2007" s="99" t="s">
        <v>350</v>
      </c>
      <c r="B2007" s="99" t="s">
        <v>299</v>
      </c>
      <c r="C2007" s="99" t="s">
        <v>336</v>
      </c>
      <c r="D2007" s="114" t="s">
        <v>292</v>
      </c>
      <c r="E2007" s="114" t="s">
        <v>300</v>
      </c>
      <c r="F2007" s="120">
        <f t="shared" ref="F2007:Q2007" si="1478">SUM(F2008:F2013)</f>
        <v>0.060156</v>
      </c>
      <c r="G2007" s="120">
        <f t="shared" si="1478"/>
        <v>0.114026</v>
      </c>
      <c r="H2007" s="120">
        <f t="shared" si="1478"/>
        <v>0.152159</v>
      </c>
      <c r="I2007" s="120">
        <f t="shared" si="1478"/>
        <v>0</v>
      </c>
      <c r="J2007" s="120">
        <f t="shared" si="1478"/>
        <v>0.111419</v>
      </c>
      <c r="K2007" s="120">
        <f t="shared" si="1478"/>
        <v>0.32486</v>
      </c>
      <c r="L2007" s="120">
        <f t="shared" si="1478"/>
        <v>0</v>
      </c>
      <c r="M2007" s="120">
        <f t="shared" si="1478"/>
        <v>0.017362</v>
      </c>
      <c r="N2007" s="120">
        <f t="shared" si="1478"/>
        <v>0.53476</v>
      </c>
      <c r="O2007" s="120">
        <f t="shared" si="1478"/>
        <v>0.043481</v>
      </c>
      <c r="P2007" s="120">
        <f t="shared" si="1478"/>
        <v>0.107279</v>
      </c>
      <c r="Q2007" s="120">
        <f t="shared" si="1478"/>
        <v>-0.022186</v>
      </c>
    </row>
    <row r="2008" ht="24" customHeight="1" spans="1:17">
      <c r="A2008" s="99" t="s">
        <v>350</v>
      </c>
      <c r="B2008" s="99" t="s">
        <v>299</v>
      </c>
      <c r="C2008" s="99" t="s">
        <v>336</v>
      </c>
      <c r="D2008" s="48" t="s">
        <v>31</v>
      </c>
      <c r="E2008" s="48" t="s">
        <v>406</v>
      </c>
      <c r="F2008" s="121">
        <f>SUMIFS('2024数据'!$BV$3:$BV$152,'2024数据'!$AB$3:$AB$152,"&gt;="&amp;DATE(2024,1,1),'2024数据'!$AB$3:$AB$152,"&lt;="&amp;DATE(2024,1,31),'2024数据'!$AE$3:$AE$152,$E2008)/10000</f>
        <v>0</v>
      </c>
      <c r="G2008" s="121">
        <f>SUMIFS('2024数据'!$BV$3:$BV$152,'2024数据'!$AB$3:$AB$152,"&gt;="&amp;DATE(2024,2,1),'2024数据'!$AB$3:$AB$152,"&lt;="&amp;DATE(2024,2,29),'2024数据'!$AE$3:$AE$152,$E2008)/10000</f>
        <v>0</v>
      </c>
      <c r="H2008" s="121">
        <f>SUMIFS('2024数据'!$BV$3:$BV$152,'2024数据'!$AB$3:$AB$152,"&gt;="&amp;DATE(2024,3,1),'2024数据'!$AB$3:$AB$152,"&lt;="&amp;DATE(2024,3,31),'2024数据'!$AE$3:$AE$152,$E2008)/10000</f>
        <v>0.116467</v>
      </c>
      <c r="I2008" s="121">
        <f>SUMIFS('2024数据'!$BV$3:$BV$152,'2024数据'!$AB$3:$AB$152,"&gt;="&amp;DATE(2024,4,1),'2024数据'!$AB$3:$AB$152,"&lt;="&amp;DATE(2024,4,30),'2024数据'!$AE$3:$AE$152,$E2008)/10000</f>
        <v>0</v>
      </c>
      <c r="J2008" s="121">
        <f>SUMIFS('2024数据'!$BV$3:$BV$152,'2024数据'!$AB$3:$AB$152,"&gt;="&amp;DATE(2024,5,1),'2024数据'!$AB$3:$AB$152,"&lt;="&amp;DATE(2024,5,31),'2024数据'!$AE$3:$AE$152,$E2008)/10000</f>
        <v>0.031137</v>
      </c>
      <c r="K2008" s="121">
        <f>SUMIFS('2024数据'!$BV$3:$BV$152,'2024数据'!$AB$3:$AB$152,"&gt;="&amp;DATE(2024,6,1),'2024数据'!$AB$3:$AB$152,"&lt;="&amp;DATE(2024,6,30),'2024数据'!$AE$3:$AE$152,$E2008)/10000</f>
        <v>0</v>
      </c>
      <c r="L2008" s="121">
        <f>SUMIFS('2024数据'!$BV$3:$BV$152,'2024数据'!$AB$3:$AB$152,"&gt;="&amp;DATE(2024,7,1),'2024数据'!$AB$3:$AB$152,"&lt;="&amp;DATE(2024,7,31),'2024数据'!$AE$3:$AE$152,$E2008)/10000</f>
        <v>0</v>
      </c>
      <c r="M2008" s="121">
        <f>SUMIFS('2024数据'!$BV$3:$BV$152,'2024数据'!$AB$3:$AB$152,"&gt;="&amp;DATE(2024,8,1),'2024数据'!$AB$3:$AB$152,"&lt;="&amp;DATE(2024,8,31),'2024数据'!$AE$3:$AE$152,$E2008)/10000</f>
        <v>0</v>
      </c>
      <c r="N2008" s="121">
        <f>SUMIFS('2024数据'!$BV$3:$BV$152,'2024数据'!$AB$3:$AB$152,"&gt;="&amp;DATE(2024,9,1),'2024数据'!$AB$3:$AB$152,"&lt;="&amp;DATE(2024,9,30),'2024数据'!$AE$3:$AE$152,$E2008)/10000</f>
        <v>0.02574</v>
      </c>
      <c r="O2008" s="121">
        <f>SUMIFS('2024数据'!$BV$3:$BV$152,'2024数据'!$AB$3:$AB$152,"&gt;="&amp;DATE(2024,10,1),'2024数据'!$AB$3:$AB$152,"&lt;="&amp;DATE(2024,10,31),'2024数据'!$AE$3:$AE$152,$E2008)/10000</f>
        <v>0</v>
      </c>
      <c r="P2008" s="121">
        <f>SUMIFS('2024数据'!$BV$3:$BV$152,'2024数据'!$AB$3:$AB$152,"&gt;="&amp;DATE(2024,11,1),'2024数据'!$AB$3:$AB$152,"&lt;="&amp;DATE(2024,11,30),'2024数据'!$AE$3:$AE$152,$E2008)/10000</f>
        <v>0.042853</v>
      </c>
      <c r="Q2008" s="121">
        <f>SUMIFS('2024数据'!$BV$3:$BV$152,'2024数据'!$AB$3:$AB$152,"&gt;="&amp;DATE(2024,12,1),'2024数据'!$AB$3:$AB$152,"&lt;="&amp;DATE(2024,12,31),'2024数据'!$AE$3:$AE$152,$E2008)/10000</f>
        <v>0</v>
      </c>
    </row>
    <row r="2009" ht="24" customHeight="1" spans="1:17">
      <c r="A2009" s="99" t="s">
        <v>350</v>
      </c>
      <c r="B2009" s="99" t="s">
        <v>299</v>
      </c>
      <c r="C2009" s="99" t="s">
        <v>336</v>
      </c>
      <c r="D2009" s="48" t="s">
        <v>31</v>
      </c>
      <c r="E2009" s="48" t="s">
        <v>82</v>
      </c>
      <c r="F2009" s="121">
        <f>SUMIFS('2024数据'!$BV$3:$BV$152,'2024数据'!$AB$3:$AB$152,"&gt;="&amp;DATE(2024,1,1),'2024数据'!$AB$3:$AB$152,"&lt;="&amp;DATE(2024,1,31),'2024数据'!$AE$3:$AE$152,$E2009)/10000</f>
        <v>0.060156</v>
      </c>
      <c r="G2009" s="121">
        <f>SUMIFS('2024数据'!$BV$3:$BV$152,'2024数据'!$AB$3:$AB$152,"&gt;="&amp;DATE(2024,2,1),'2024数据'!$AB$3:$AB$152,"&lt;="&amp;DATE(2024,2,29),'2024数据'!$AE$3:$AE$152,$E2009)/10000</f>
        <v>0</v>
      </c>
      <c r="H2009" s="121">
        <f>SUMIFS('2024数据'!$BV$3:$BV$152,'2024数据'!$AB$3:$AB$152,"&gt;="&amp;DATE(2024,3,1),'2024数据'!$AB$3:$AB$152,"&lt;="&amp;DATE(2024,3,31),'2024数据'!$AE$3:$AE$152,$E2009)/10000</f>
        <v>0</v>
      </c>
      <c r="I2009" s="121">
        <f>SUMIFS('2024数据'!$BV$3:$BV$152,'2024数据'!$AB$3:$AB$152,"&gt;="&amp;DATE(2024,4,1),'2024数据'!$AB$3:$AB$152,"&lt;="&amp;DATE(2024,4,30),'2024数据'!$AE$3:$AE$152,$E2009)/10000</f>
        <v>0</v>
      </c>
      <c r="J2009" s="121">
        <f>SUMIFS('2024数据'!$BV$3:$BV$152,'2024数据'!$AB$3:$AB$152,"&gt;="&amp;DATE(2024,5,1),'2024数据'!$AB$3:$AB$152,"&lt;="&amp;DATE(2024,5,31),'2024数据'!$AE$3:$AE$152,$E2009)/10000</f>
        <v>0.062992</v>
      </c>
      <c r="K2009" s="121">
        <f>SUMIFS('2024数据'!$BV$3:$BV$152,'2024数据'!$AB$3:$AB$152,"&gt;="&amp;DATE(2024,6,1),'2024数据'!$AB$3:$AB$152,"&lt;="&amp;DATE(2024,6,30),'2024数据'!$AE$3:$AE$152,$E2009)/10000</f>
        <v>0</v>
      </c>
      <c r="L2009" s="121">
        <f>SUMIFS('2024数据'!$BV$3:$BV$152,'2024数据'!$AB$3:$AB$152,"&gt;="&amp;DATE(2024,7,1),'2024数据'!$AB$3:$AB$152,"&lt;="&amp;DATE(2024,7,31),'2024数据'!$AE$3:$AE$152,$E2009)/10000</f>
        <v>0</v>
      </c>
      <c r="M2009" s="121">
        <f>SUMIFS('2024数据'!$BV$3:$BV$152,'2024数据'!$AB$3:$AB$152,"&gt;="&amp;DATE(2024,8,1),'2024数据'!$AB$3:$AB$152,"&lt;="&amp;DATE(2024,8,31),'2024数据'!$AE$3:$AE$152,$E2009)/10000</f>
        <v>0</v>
      </c>
      <c r="N2009" s="121">
        <f>SUMIFS('2024数据'!$BV$3:$BV$152,'2024数据'!$AB$3:$AB$152,"&gt;="&amp;DATE(2024,9,1),'2024数据'!$AB$3:$AB$152,"&lt;="&amp;DATE(2024,9,30),'2024数据'!$AE$3:$AE$152,$E2009)/10000</f>
        <v>0.139744</v>
      </c>
      <c r="O2009" s="121">
        <f>SUMIFS('2024数据'!$BV$3:$BV$152,'2024数据'!$AB$3:$AB$152,"&gt;="&amp;DATE(2024,10,1),'2024数据'!$AB$3:$AB$152,"&lt;="&amp;DATE(2024,10,31),'2024数据'!$AE$3:$AE$152,$E2009)/10000</f>
        <v>0</v>
      </c>
      <c r="P2009" s="121">
        <f>SUMIFS('2024数据'!$BV$3:$BV$152,'2024数据'!$AB$3:$AB$152,"&gt;="&amp;DATE(2024,11,1),'2024数据'!$AB$3:$AB$152,"&lt;="&amp;DATE(2024,11,30),'2024数据'!$AE$3:$AE$152,$E2009)/10000</f>
        <v>0</v>
      </c>
      <c r="Q2009" s="121">
        <f>SUMIFS('2024数据'!$BV$3:$BV$152,'2024数据'!$AB$3:$AB$152,"&gt;="&amp;DATE(2024,12,1),'2024数据'!$AB$3:$AB$152,"&lt;="&amp;DATE(2024,12,31),'2024数据'!$AE$3:$AE$152,$E2009)/10000</f>
        <v>0</v>
      </c>
    </row>
    <row r="2010" ht="24" customHeight="1" spans="1:17">
      <c r="A2010" s="99" t="s">
        <v>350</v>
      </c>
      <c r="B2010" s="99" t="s">
        <v>299</v>
      </c>
      <c r="C2010" s="99" t="s">
        <v>336</v>
      </c>
      <c r="D2010" s="48" t="s">
        <v>31</v>
      </c>
      <c r="E2010" s="48" t="s">
        <v>86</v>
      </c>
      <c r="F2010" s="121">
        <f>SUMIFS('2024数据'!$BV$3:$BV$152,'2024数据'!$AB$3:$AB$152,"&gt;="&amp;DATE(2024,1,1),'2024数据'!$AB$3:$AB$152,"&lt;="&amp;DATE(2024,1,31),'2024数据'!$AE$3:$AE$152,$E2010)/10000</f>
        <v>0</v>
      </c>
      <c r="G2010" s="121">
        <f>SUMIFS('2024数据'!$BV$3:$BV$152,'2024数据'!$AB$3:$AB$152,"&gt;="&amp;DATE(2024,2,1),'2024数据'!$AB$3:$AB$152,"&lt;="&amp;DATE(2024,2,29),'2024数据'!$AE$3:$AE$152,$E2010)/10000</f>
        <v>0</v>
      </c>
      <c r="H2010" s="121">
        <f>SUMIFS('2024数据'!$BV$3:$BV$152,'2024数据'!$AB$3:$AB$152,"&gt;="&amp;DATE(2024,3,1),'2024数据'!$AB$3:$AB$152,"&lt;="&amp;DATE(2024,3,31),'2024数据'!$AE$3:$AE$152,$E2010)/10000</f>
        <v>0.035692</v>
      </c>
      <c r="I2010" s="121">
        <f>SUMIFS('2024数据'!$BV$3:$BV$152,'2024数据'!$AB$3:$AB$152,"&gt;="&amp;DATE(2024,4,1),'2024数据'!$AB$3:$AB$152,"&lt;="&amp;DATE(2024,4,30),'2024数据'!$AE$3:$AE$152,$E2010)/10000</f>
        <v>0</v>
      </c>
      <c r="J2010" s="121">
        <f>SUMIFS('2024数据'!$BV$3:$BV$152,'2024数据'!$AB$3:$AB$152,"&gt;="&amp;DATE(2024,5,1),'2024数据'!$AB$3:$AB$152,"&lt;="&amp;DATE(2024,5,31),'2024数据'!$AE$3:$AE$152,$E2010)/10000</f>
        <v>0</v>
      </c>
      <c r="K2010" s="121">
        <f>SUMIFS('2024数据'!$BV$3:$BV$152,'2024数据'!$AB$3:$AB$152,"&gt;="&amp;DATE(2024,6,1),'2024数据'!$AB$3:$AB$152,"&lt;="&amp;DATE(2024,6,30),'2024数据'!$AE$3:$AE$152,$E2010)/10000</f>
        <v>0</v>
      </c>
      <c r="L2010" s="121">
        <f>SUMIFS('2024数据'!$BV$3:$BV$152,'2024数据'!$AB$3:$AB$152,"&gt;="&amp;DATE(2024,7,1),'2024数据'!$AB$3:$AB$152,"&lt;="&amp;DATE(2024,7,31),'2024数据'!$AE$3:$AE$152,$E2010)/10000</f>
        <v>0</v>
      </c>
      <c r="M2010" s="121">
        <f>SUMIFS('2024数据'!$BV$3:$BV$152,'2024数据'!$AB$3:$AB$152,"&gt;="&amp;DATE(2024,8,1),'2024数据'!$AB$3:$AB$152,"&lt;="&amp;DATE(2024,8,31),'2024数据'!$AE$3:$AE$152,$E2010)/10000</f>
        <v>0</v>
      </c>
      <c r="N2010" s="121">
        <f>SUMIFS('2024数据'!$BV$3:$BV$152,'2024数据'!$AB$3:$AB$152,"&gt;="&amp;DATE(2024,9,1),'2024数据'!$AB$3:$AB$152,"&lt;="&amp;DATE(2024,9,30),'2024数据'!$AE$3:$AE$152,$E2010)/10000</f>
        <v>0</v>
      </c>
      <c r="O2010" s="121">
        <f>SUMIFS('2024数据'!$BV$3:$BV$152,'2024数据'!$AB$3:$AB$152,"&gt;="&amp;DATE(2024,10,1),'2024数据'!$AB$3:$AB$152,"&lt;="&amp;DATE(2024,10,31),'2024数据'!$AE$3:$AE$152,$E2010)/10000</f>
        <v>0</v>
      </c>
      <c r="P2010" s="121">
        <f>SUMIFS('2024数据'!$BV$3:$BV$152,'2024数据'!$AB$3:$AB$152,"&gt;="&amp;DATE(2024,11,1),'2024数据'!$AB$3:$AB$152,"&lt;="&amp;DATE(2024,11,30),'2024数据'!$AE$3:$AE$152,$E2010)/10000</f>
        <v>0</v>
      </c>
      <c r="Q2010" s="121">
        <f>SUMIFS('2024数据'!$BV$3:$BV$152,'2024数据'!$AB$3:$AB$152,"&gt;="&amp;DATE(2024,12,1),'2024数据'!$AB$3:$AB$152,"&lt;="&amp;DATE(2024,12,31),'2024数据'!$AE$3:$AE$152,$E2010)/10000</f>
        <v>0</v>
      </c>
    </row>
    <row r="2011" ht="24" customHeight="1" spans="1:17">
      <c r="A2011" s="99" t="s">
        <v>350</v>
      </c>
      <c r="B2011" s="99" t="s">
        <v>299</v>
      </c>
      <c r="C2011" s="99" t="s">
        <v>336</v>
      </c>
      <c r="D2011" s="48" t="s">
        <v>31</v>
      </c>
      <c r="E2011" s="48" t="s">
        <v>97</v>
      </c>
      <c r="F2011" s="121">
        <f>SUMIFS('2024数据'!$BV$3:$BV$152,'2024数据'!$AB$3:$AB$152,"&gt;="&amp;DATE(2024,1,1),'2024数据'!$AB$3:$AB$152,"&lt;="&amp;DATE(2024,1,31),'2024数据'!$AE$3:$AE$152,$E2011)/10000</f>
        <v>0</v>
      </c>
      <c r="G2011" s="121">
        <f>SUMIFS('2024数据'!$BV$3:$BV$152,'2024数据'!$AB$3:$AB$152,"&gt;="&amp;DATE(2024,2,1),'2024数据'!$AB$3:$AB$152,"&lt;="&amp;DATE(2024,2,29),'2024数据'!$AE$3:$AE$152,$E2011)/10000</f>
        <v>0</v>
      </c>
      <c r="H2011" s="121">
        <f>SUMIFS('2024数据'!$BV$3:$BV$152,'2024数据'!$AB$3:$AB$152,"&gt;="&amp;DATE(2024,3,1),'2024数据'!$AB$3:$AB$152,"&lt;="&amp;DATE(2024,3,31),'2024数据'!$AE$3:$AE$152,$E2011)/10000</f>
        <v>0</v>
      </c>
      <c r="I2011" s="121">
        <f>SUMIFS('2024数据'!$BV$3:$BV$152,'2024数据'!$AB$3:$AB$152,"&gt;="&amp;DATE(2024,4,1),'2024数据'!$AB$3:$AB$152,"&lt;="&amp;DATE(2024,4,30),'2024数据'!$AE$3:$AE$152,$E2011)/10000</f>
        <v>0</v>
      </c>
      <c r="J2011" s="121">
        <f>SUMIFS('2024数据'!$BV$3:$BV$152,'2024数据'!$AB$3:$AB$152,"&gt;="&amp;DATE(2024,5,1),'2024数据'!$AB$3:$AB$152,"&lt;="&amp;DATE(2024,5,31),'2024数据'!$AE$3:$AE$152,$E2011)/10000</f>
        <v>0.01729</v>
      </c>
      <c r="K2011" s="121">
        <f>SUMIFS('2024数据'!$BV$3:$BV$152,'2024数据'!$AB$3:$AB$152,"&gt;="&amp;DATE(2024,6,1),'2024数据'!$AB$3:$AB$152,"&lt;="&amp;DATE(2024,6,30),'2024数据'!$AE$3:$AE$152,$E2011)/10000</f>
        <v>0.298172</v>
      </c>
      <c r="L2011" s="121">
        <f>SUMIFS('2024数据'!$BV$3:$BV$152,'2024数据'!$AB$3:$AB$152,"&gt;="&amp;DATE(2024,7,1),'2024数据'!$AB$3:$AB$152,"&lt;="&amp;DATE(2024,7,31),'2024数据'!$AE$3:$AE$152,$E2011)/10000</f>
        <v>0</v>
      </c>
      <c r="M2011" s="121">
        <f>SUMIFS('2024数据'!$BV$3:$BV$152,'2024数据'!$AB$3:$AB$152,"&gt;="&amp;DATE(2024,8,1),'2024数据'!$AB$3:$AB$152,"&lt;="&amp;DATE(2024,8,31),'2024数据'!$AE$3:$AE$152,$E2011)/10000</f>
        <v>0.017362</v>
      </c>
      <c r="N2011" s="121">
        <f>SUMIFS('2024数据'!$BV$3:$BV$152,'2024数据'!$AB$3:$AB$152,"&gt;="&amp;DATE(2024,9,1),'2024数据'!$AB$3:$AB$152,"&lt;="&amp;DATE(2024,9,30),'2024数据'!$AE$3:$AE$152,$E2011)/10000</f>
        <v>0.269688</v>
      </c>
      <c r="O2011" s="121">
        <f>SUMIFS('2024数据'!$BV$3:$BV$152,'2024数据'!$AB$3:$AB$152,"&gt;="&amp;DATE(2024,10,1),'2024数据'!$AB$3:$AB$152,"&lt;="&amp;DATE(2024,10,31),'2024数据'!$AE$3:$AE$152,$E2011)/10000</f>
        <v>0</v>
      </c>
      <c r="P2011" s="121">
        <f>SUMIFS('2024数据'!$BV$3:$BV$152,'2024数据'!$AB$3:$AB$152,"&gt;="&amp;DATE(2024,11,1),'2024数据'!$AB$3:$AB$152,"&lt;="&amp;DATE(2024,11,30),'2024数据'!$AE$3:$AE$152,$E2011)/10000</f>
        <v>0.064426</v>
      </c>
      <c r="Q2011" s="121">
        <f>SUMIFS('2024数据'!$BV$3:$BV$152,'2024数据'!$AB$3:$AB$152,"&gt;="&amp;DATE(2024,12,1),'2024数据'!$AB$3:$AB$152,"&lt;="&amp;DATE(2024,12,31),'2024数据'!$AE$3:$AE$152,$E2011)/10000</f>
        <v>0</v>
      </c>
    </row>
    <row r="2012" ht="24" customHeight="1" spans="1:17">
      <c r="A2012" s="99" t="s">
        <v>350</v>
      </c>
      <c r="B2012" s="99" t="s">
        <v>299</v>
      </c>
      <c r="C2012" s="99" t="s">
        <v>336</v>
      </c>
      <c r="D2012" s="48" t="s">
        <v>31</v>
      </c>
      <c r="E2012" s="48" t="s">
        <v>87</v>
      </c>
      <c r="F2012" s="121">
        <f>SUMIFS('2024数据'!$BV$3:$BV$152,'2024数据'!$AB$3:$AB$152,"&gt;="&amp;DATE(2024,1,1),'2024数据'!$AB$3:$AB$152,"&lt;="&amp;DATE(2024,1,31),'2024数据'!$AE$3:$AE$152,$E2012)/10000</f>
        <v>0</v>
      </c>
      <c r="G2012" s="121">
        <f>SUMIFS('2024数据'!$BV$3:$BV$152,'2024数据'!$AB$3:$AB$152,"&gt;="&amp;DATE(2024,2,1),'2024数据'!$AB$3:$AB$152,"&lt;="&amp;DATE(2024,2,29),'2024数据'!$AE$3:$AE$152,$E2012)/10000</f>
        <v>0.114026</v>
      </c>
      <c r="H2012" s="121">
        <f>SUMIFS('2024数据'!$BV$3:$BV$152,'2024数据'!$AB$3:$AB$152,"&gt;="&amp;DATE(2024,3,1),'2024数据'!$AB$3:$AB$152,"&lt;="&amp;DATE(2024,3,31),'2024数据'!$AE$3:$AE$152,$E2012)/10000</f>
        <v>0</v>
      </c>
      <c r="I2012" s="121">
        <f>SUMIFS('2024数据'!$BV$3:$BV$152,'2024数据'!$AB$3:$AB$152,"&gt;="&amp;DATE(2024,4,1),'2024数据'!$AB$3:$AB$152,"&lt;="&amp;DATE(2024,4,30),'2024数据'!$AE$3:$AE$152,$E2012)/10000</f>
        <v>0</v>
      </c>
      <c r="J2012" s="121">
        <f>SUMIFS('2024数据'!$BV$3:$BV$152,'2024数据'!$AB$3:$AB$152,"&gt;="&amp;DATE(2024,5,1),'2024数据'!$AB$3:$AB$152,"&lt;="&amp;DATE(2024,5,31),'2024数据'!$AE$3:$AE$152,$E2012)/10000</f>
        <v>0</v>
      </c>
      <c r="K2012" s="121">
        <f>SUMIFS('2024数据'!$BV$3:$BV$152,'2024数据'!$AB$3:$AB$152,"&gt;="&amp;DATE(2024,6,1),'2024数据'!$AB$3:$AB$152,"&lt;="&amp;DATE(2024,6,30),'2024数据'!$AE$3:$AE$152,$E2012)/10000</f>
        <v>0.026688</v>
      </c>
      <c r="L2012" s="121">
        <f>SUMIFS('2024数据'!$BV$3:$BV$152,'2024数据'!$AB$3:$AB$152,"&gt;="&amp;DATE(2024,7,1),'2024数据'!$AB$3:$AB$152,"&lt;="&amp;DATE(2024,7,31),'2024数据'!$AE$3:$AE$152,$E2012)/10000</f>
        <v>0</v>
      </c>
      <c r="M2012" s="121">
        <f>SUMIFS('2024数据'!$BV$3:$BV$152,'2024数据'!$AB$3:$AB$152,"&gt;="&amp;DATE(2024,8,1),'2024数据'!$AB$3:$AB$152,"&lt;="&amp;DATE(2024,8,31),'2024数据'!$AE$3:$AE$152,$E2012)/10000</f>
        <v>0</v>
      </c>
      <c r="N2012" s="121">
        <f>SUMIFS('2024数据'!$BV$3:$BV$152,'2024数据'!$AB$3:$AB$152,"&gt;="&amp;DATE(2024,9,1),'2024数据'!$AB$3:$AB$152,"&lt;="&amp;DATE(2024,9,30),'2024数据'!$AE$3:$AE$152,$E2012)/10000</f>
        <v>0.099588</v>
      </c>
      <c r="O2012" s="121">
        <f>SUMIFS('2024数据'!$BV$3:$BV$152,'2024数据'!$AB$3:$AB$152,"&gt;="&amp;DATE(2024,10,1),'2024数据'!$AB$3:$AB$152,"&lt;="&amp;DATE(2024,10,31),'2024数据'!$AE$3:$AE$152,$E2012)/10000</f>
        <v>0.043481</v>
      </c>
      <c r="P2012" s="121">
        <f>SUMIFS('2024数据'!$BV$3:$BV$152,'2024数据'!$AB$3:$AB$152,"&gt;="&amp;DATE(2024,11,1),'2024数据'!$AB$3:$AB$152,"&lt;="&amp;DATE(2024,11,30),'2024数据'!$AE$3:$AE$152,$E2012)/10000</f>
        <v>0</v>
      </c>
      <c r="Q2012" s="121">
        <f>SUMIFS('2024数据'!$BV$3:$BV$152,'2024数据'!$AB$3:$AB$152,"&gt;="&amp;DATE(2024,12,1),'2024数据'!$AB$3:$AB$152,"&lt;="&amp;DATE(2024,12,31),'2024数据'!$AE$3:$AE$152,$E2012)/10000</f>
        <v>-0.022186</v>
      </c>
    </row>
    <row r="2013" ht="24" customHeight="1" spans="1:17">
      <c r="A2013" s="99" t="s">
        <v>350</v>
      </c>
      <c r="B2013" s="99" t="s">
        <v>299</v>
      </c>
      <c r="C2013" s="99" t="s">
        <v>336</v>
      </c>
      <c r="D2013" s="48" t="s">
        <v>31</v>
      </c>
      <c r="E2013" s="48" t="s">
        <v>83</v>
      </c>
      <c r="F2013" s="121">
        <f>SUMIFS('2024数据'!$BV$3:$BV$152,'2024数据'!$AB$3:$AB$152,"&gt;="&amp;DATE(2024,1,1),'2024数据'!$AB$3:$AB$152,"&lt;="&amp;DATE(2024,1,31),'2024数据'!$AE$3:$AE$152,$E2013)/10000</f>
        <v>0</v>
      </c>
      <c r="G2013" s="121">
        <f>SUMIFS('2024数据'!$BV$3:$BV$152,'2024数据'!$AB$3:$AB$152,"&gt;="&amp;DATE(2024,2,1),'2024数据'!$AB$3:$AB$152,"&lt;="&amp;DATE(2024,2,29),'2024数据'!$AE$3:$AE$152,$E2013)/10000</f>
        <v>0</v>
      </c>
      <c r="H2013" s="121">
        <f>SUMIFS('2024数据'!$BV$3:$BV$152,'2024数据'!$AB$3:$AB$152,"&gt;="&amp;DATE(2024,3,1),'2024数据'!$AB$3:$AB$152,"&lt;="&amp;DATE(2024,3,31),'2024数据'!$AE$3:$AE$152,$E2013)/10000</f>
        <v>0</v>
      </c>
      <c r="I2013" s="121">
        <f>SUMIFS('2024数据'!$BV$3:$BV$152,'2024数据'!$AB$3:$AB$152,"&gt;="&amp;DATE(2024,4,1),'2024数据'!$AB$3:$AB$152,"&lt;="&amp;DATE(2024,4,30),'2024数据'!$AE$3:$AE$152,$E2013)/10000</f>
        <v>0</v>
      </c>
      <c r="J2013" s="121">
        <f>SUMIFS('2024数据'!$BV$3:$BV$152,'2024数据'!$AB$3:$AB$152,"&gt;="&amp;DATE(2024,5,1),'2024数据'!$AB$3:$AB$152,"&lt;="&amp;DATE(2024,5,31),'2024数据'!$AE$3:$AE$152,$E2013)/10000</f>
        <v>0</v>
      </c>
      <c r="K2013" s="121">
        <f>SUMIFS('2024数据'!$BV$3:$BV$152,'2024数据'!$AB$3:$AB$152,"&gt;="&amp;DATE(2024,6,1),'2024数据'!$AB$3:$AB$152,"&lt;="&amp;DATE(2024,6,30),'2024数据'!$AE$3:$AE$152,$E2013)/10000</f>
        <v>0</v>
      </c>
      <c r="L2013" s="121">
        <f>SUMIFS('2024数据'!$BV$3:$BV$152,'2024数据'!$AB$3:$AB$152,"&gt;="&amp;DATE(2024,7,1),'2024数据'!$AB$3:$AB$152,"&lt;="&amp;DATE(2024,7,31),'2024数据'!$AE$3:$AE$152,$E2013)/10000</f>
        <v>0</v>
      </c>
      <c r="M2013" s="121">
        <f>SUMIFS('2024数据'!$BV$3:$BV$152,'2024数据'!$AB$3:$AB$152,"&gt;="&amp;DATE(2024,8,1),'2024数据'!$AB$3:$AB$152,"&lt;="&amp;DATE(2024,8,31),'2024数据'!$AE$3:$AE$152,$E2013)/10000</f>
        <v>0</v>
      </c>
      <c r="N2013" s="121">
        <f>SUMIFS('2024数据'!$BV$3:$BV$152,'2024数据'!$AB$3:$AB$152,"&gt;="&amp;DATE(2024,9,1),'2024数据'!$AB$3:$AB$152,"&lt;="&amp;DATE(2024,9,30),'2024数据'!$AE$3:$AE$152,$E2013)/10000</f>
        <v>0</v>
      </c>
      <c r="O2013" s="121">
        <f>SUMIFS('2024数据'!$BV$3:$BV$152,'2024数据'!$AB$3:$AB$152,"&gt;="&amp;DATE(2024,10,1),'2024数据'!$AB$3:$AB$152,"&lt;="&amp;DATE(2024,10,31),'2024数据'!$AE$3:$AE$152,$E2013)/10000</f>
        <v>0</v>
      </c>
      <c r="P2013" s="121">
        <f>SUMIFS('2024数据'!$BV$3:$BV$152,'2024数据'!$AB$3:$AB$152,"&gt;="&amp;DATE(2024,11,1),'2024数据'!$AB$3:$AB$152,"&lt;="&amp;DATE(2024,11,30),'2024数据'!$AE$3:$AE$152,$E2013)/10000</f>
        <v>0</v>
      </c>
      <c r="Q2013" s="121">
        <f>SUMIFS('2024数据'!$BV$3:$BV$152,'2024数据'!$AB$3:$AB$152,"&gt;="&amp;DATE(2024,12,1),'2024数据'!$AB$3:$AB$152,"&lt;="&amp;DATE(2024,12,31),'2024数据'!$AE$3:$AE$152,$E2013)/10000</f>
        <v>0</v>
      </c>
    </row>
    <row r="2014" ht="24" customHeight="1" spans="1:17">
      <c r="A2014" s="99" t="s">
        <v>350</v>
      </c>
      <c r="B2014" s="99" t="s">
        <v>299</v>
      </c>
      <c r="C2014" s="99" t="s">
        <v>336</v>
      </c>
      <c r="D2014" s="47" t="s">
        <v>294</v>
      </c>
      <c r="E2014" s="47" t="s">
        <v>93</v>
      </c>
      <c r="F2014" s="121">
        <f>SUMIFS('2024数据'!$BV$3:$BV$152,'2024数据'!$AB$3:$AB$152,"&gt;="&amp;DATE(2024,1,1),'2024数据'!$AB$3:$AB$152,"&lt;="&amp;DATE(2024,1,31),'2024数据'!$B$3:$B$152,$E2014)/10000</f>
        <v>0.029854</v>
      </c>
      <c r="G2014" s="121">
        <f>SUMIFS('2024数据'!$BV$3:$BV$152,'2024数据'!$AB$3:$AB$152,"&gt;="&amp;DATE(2024,2,1),'2024数据'!$AB$3:$AB$152,"&lt;="&amp;DATE(2024,2,29),'2024数据'!$B$3:$B$152,$E2014)/10000</f>
        <v>0</v>
      </c>
      <c r="H2014" s="121">
        <f>SUMIFS('2024数据'!$BV$3:$BV$152,'2024数据'!$AB$3:$AB$152,"&gt;="&amp;DATE(2024,3,1),'2024数据'!$AB$3:$AB$152,"&lt;="&amp;DATE(2024,3,31),'2024数据'!$B$3:$B$152,$E2014)/10000</f>
        <v>0.152159</v>
      </c>
      <c r="I2014" s="121">
        <f>SUMIFS('2024数据'!$BV$3:$BV$152,'2024数据'!$AB$3:$AB$152,"&gt;="&amp;DATE(2024,4,1),'2024数据'!$AB$3:$AB$152,"&lt;="&amp;DATE(2024,4,30),'2024数据'!$B$3:$B$152,$E2014)/10000</f>
        <v>0</v>
      </c>
      <c r="J2014" s="121">
        <f>SUMIFS('2024数据'!$BV$3:$BV$152,'2024数据'!$AB$3:$AB$152,"&gt;="&amp;DATE(2024,5,1),'2024数据'!$AB$3:$AB$152,"&lt;="&amp;DATE(2024,5,31),'2024数据'!$B$3:$B$152,$E2014)/10000</f>
        <v>0.07838</v>
      </c>
      <c r="K2014" s="121">
        <f>SUMIFS('2024数据'!$BV$3:$BV$152,'2024数据'!$AB$3:$AB$152,"&gt;="&amp;DATE(2024,6,1),'2024数据'!$AB$3:$AB$152,"&lt;="&amp;DATE(2024,6,30),'2024数据'!$B$3:$B$152,$E2014)/10000</f>
        <v>0.026688</v>
      </c>
      <c r="L2014" s="121">
        <f>SUMIFS('2024数据'!$BV$3:$BV$152,'2024数据'!$AB$3:$AB$152,"&gt;="&amp;DATE(2024,7,1),'2024数据'!$AB$3:$AB$152,"&lt;="&amp;DATE(2024,7,31),'2024数据'!$B$3:$B$152,$E2014)/10000</f>
        <v>0</v>
      </c>
      <c r="M2014" s="121">
        <f>SUMIFS('2024数据'!$BV$3:$BV$152,'2024数据'!$AB$3:$AB$152,"&gt;="&amp;DATE(2024,8,1),'2024数据'!$AB$3:$AB$152,"&lt;="&amp;DATE(2024,8,31),'2024数据'!$B$3:$B$152,$E2014)/10000</f>
        <v>0.017362</v>
      </c>
      <c r="N2014" s="121">
        <f>SUMIFS('2024数据'!$BV$3:$BV$152,'2024数据'!$AB$3:$AB$152,"&gt;="&amp;DATE(2024,9,1),'2024数据'!$AB$3:$AB$152,"&lt;="&amp;DATE(2024,9,30),'2024数据'!$B$3:$B$152,$E2014)/10000</f>
        <v>0.195136</v>
      </c>
      <c r="O2014" s="121">
        <f>SUMIFS('2024数据'!$BV$3:$BV$152,'2024数据'!$AB$3:$AB$152,"&gt;="&amp;DATE(2024,10,1),'2024数据'!$AB$3:$AB$152,"&lt;="&amp;DATE(2024,10,31),'2024数据'!$B$3:$B$152,$E2014)/10000</f>
        <v>0</v>
      </c>
      <c r="P2014" s="121">
        <f>SUMIFS('2024数据'!$BV$3:$BV$152,'2024数据'!$AB$3:$AB$152,"&gt;="&amp;DATE(2024,11,1),'2024数据'!$AB$3:$AB$152,"&lt;="&amp;DATE(2024,11,30),'2024数据'!$B$3:$B$152,$E2014)/10000</f>
        <v>0.107279</v>
      </c>
      <c r="Q2014" s="121">
        <f>SUMIFS('2024数据'!$BV$3:$BV$152,'2024数据'!$AB$3:$AB$152,"&gt;="&amp;DATE(2024,12,1),'2024数据'!$AB$3:$AB$152,"&lt;="&amp;DATE(2024,12,31),'2024数据'!$B$3:$B$152,$E2014)/10000</f>
        <v>0</v>
      </c>
    </row>
    <row r="2015" ht="24" customHeight="1" spans="1:17">
      <c r="A2015" s="99" t="s">
        <v>350</v>
      </c>
      <c r="B2015" s="99" t="s">
        <v>299</v>
      </c>
      <c r="C2015" s="99" t="s">
        <v>336</v>
      </c>
      <c r="D2015" s="47" t="s">
        <v>294</v>
      </c>
      <c r="E2015" s="47" t="s">
        <v>85</v>
      </c>
      <c r="F2015" s="121">
        <f>SUMIFS('2024数据'!$BV$3:$BV$152,'2024数据'!$AB$3:$AB$152,"&gt;="&amp;DATE(2024,1,1),'2024数据'!$AB$3:$AB$152,"&lt;="&amp;DATE(2024,1,31),'2024数据'!$B$3:$B$152,$E2015)/10000</f>
        <v>0.030302</v>
      </c>
      <c r="G2015" s="121">
        <f>SUMIFS('2024数据'!$BV$3:$BV$152,'2024数据'!$AB$3:$AB$152,"&gt;="&amp;DATE(2024,2,1),'2024数据'!$AB$3:$AB$152,"&lt;="&amp;DATE(2024,2,29),'2024数据'!$B$3:$B$152,$E2015)/10000</f>
        <v>0.114026</v>
      </c>
      <c r="H2015" s="121">
        <f>SUMIFS('2024数据'!$BV$3:$BV$152,'2024数据'!$AB$3:$AB$152,"&gt;="&amp;DATE(2024,3,1),'2024数据'!$AB$3:$AB$152,"&lt;="&amp;DATE(2024,3,31),'2024数据'!$B$3:$B$152,$E2015)/10000</f>
        <v>0</v>
      </c>
      <c r="I2015" s="121">
        <f>SUMIFS('2024数据'!$BV$3:$BV$152,'2024数据'!$AB$3:$AB$152,"&gt;="&amp;DATE(2024,4,1),'2024数据'!$AB$3:$AB$152,"&lt;="&amp;DATE(2024,4,30),'2024数据'!$B$3:$B$152,$E2015)/10000</f>
        <v>0</v>
      </c>
      <c r="J2015" s="121">
        <f>SUMIFS('2024数据'!$BV$3:$BV$152,'2024数据'!$AB$3:$AB$152,"&gt;="&amp;DATE(2024,5,1),'2024数据'!$AB$3:$AB$152,"&lt;="&amp;DATE(2024,5,31),'2024数据'!$B$3:$B$152,$E2015)/10000</f>
        <v>0.033039</v>
      </c>
      <c r="K2015" s="121">
        <f>SUMIFS('2024数据'!$BV$3:$BV$152,'2024数据'!$AB$3:$AB$152,"&gt;="&amp;DATE(2024,6,1),'2024数据'!$AB$3:$AB$152,"&lt;="&amp;DATE(2024,6,30),'2024数据'!$B$3:$B$152,$E2015)/10000</f>
        <v>0.298172</v>
      </c>
      <c r="L2015" s="121">
        <f>SUMIFS('2024数据'!$BV$3:$BV$152,'2024数据'!$AB$3:$AB$152,"&gt;="&amp;DATE(2024,7,1),'2024数据'!$AB$3:$AB$152,"&lt;="&amp;DATE(2024,7,31),'2024数据'!$B$3:$B$152,$E2015)/10000</f>
        <v>0</v>
      </c>
      <c r="M2015" s="121">
        <f>SUMIFS('2024数据'!$BV$3:$BV$152,'2024数据'!$AB$3:$AB$152,"&gt;="&amp;DATE(2024,8,1),'2024数据'!$AB$3:$AB$152,"&lt;="&amp;DATE(2024,8,31),'2024数据'!$B$3:$B$152,$E2015)/10000</f>
        <v>0</v>
      </c>
      <c r="N2015" s="121">
        <f>SUMIFS('2024数据'!$BV$3:$BV$152,'2024数据'!$AB$3:$AB$152,"&gt;="&amp;DATE(2024,9,1),'2024数据'!$AB$3:$AB$152,"&lt;="&amp;DATE(2024,9,30),'2024数据'!$B$3:$B$152,$E2015)/10000</f>
        <v>0.111531</v>
      </c>
      <c r="O2015" s="121">
        <f>SUMIFS('2024数据'!$BV$3:$BV$152,'2024数据'!$AB$3:$AB$152,"&gt;="&amp;DATE(2024,10,1),'2024数据'!$AB$3:$AB$152,"&lt;="&amp;DATE(2024,10,31),'2024数据'!$B$3:$B$152,$E2015)/10000</f>
        <v>0.043481</v>
      </c>
      <c r="P2015" s="121">
        <f>SUMIFS('2024数据'!$BV$3:$BV$152,'2024数据'!$AB$3:$AB$152,"&gt;="&amp;DATE(2024,11,1),'2024数据'!$AB$3:$AB$152,"&lt;="&amp;DATE(2024,11,30),'2024数据'!$B$3:$B$152,$E2015)/10000</f>
        <v>0</v>
      </c>
      <c r="Q2015" s="121">
        <f>SUMIFS('2024数据'!$BV$3:$BV$152,'2024数据'!$AB$3:$AB$152,"&gt;="&amp;DATE(2024,12,1),'2024数据'!$AB$3:$AB$152,"&lt;="&amp;DATE(2024,12,31),'2024数据'!$B$3:$B$152,$E2015)/10000</f>
        <v>0</v>
      </c>
    </row>
    <row r="2016" ht="24" customHeight="1" spans="1:17">
      <c r="A2016" s="99" t="s">
        <v>350</v>
      </c>
      <c r="B2016" s="99" t="s">
        <v>299</v>
      </c>
      <c r="C2016" s="99" t="s">
        <v>336</v>
      </c>
      <c r="D2016" s="47" t="s">
        <v>294</v>
      </c>
      <c r="E2016" s="47" t="s">
        <v>81</v>
      </c>
      <c r="F2016" s="121">
        <f>SUMIFS('2024数据'!$BV$3:$BV$152,'2024数据'!$AB$3:$AB$152,"&gt;="&amp;DATE(2024,1,1),'2024数据'!$AB$3:$AB$152,"&lt;="&amp;DATE(2024,1,31),'2024数据'!$B$3:$B$152,$E2016)/10000</f>
        <v>0</v>
      </c>
      <c r="G2016" s="121">
        <f>SUMIFS('2024数据'!$BV$3:$BV$152,'2024数据'!$AB$3:$AB$152,"&gt;="&amp;DATE(2024,2,1),'2024数据'!$AB$3:$AB$152,"&lt;="&amp;DATE(2024,2,29),'2024数据'!$B$3:$B$152,$E2016)/10000</f>
        <v>0</v>
      </c>
      <c r="H2016" s="121">
        <f>SUMIFS('2024数据'!$BV$3:$BV$152,'2024数据'!$AB$3:$AB$152,"&gt;="&amp;DATE(2024,3,1),'2024数据'!$AB$3:$AB$152,"&lt;="&amp;DATE(2024,3,31),'2024数据'!$B$3:$B$152,$E2016)/10000</f>
        <v>0</v>
      </c>
      <c r="I2016" s="121">
        <f>SUMIFS('2024数据'!$BV$3:$BV$152,'2024数据'!$AB$3:$AB$152,"&gt;="&amp;DATE(2024,4,1),'2024数据'!$AB$3:$AB$152,"&lt;="&amp;DATE(2024,4,30),'2024数据'!$B$3:$B$152,$E2016)/10000</f>
        <v>0</v>
      </c>
      <c r="J2016" s="121">
        <f>SUMIFS('2024数据'!$BV$3:$BV$152,'2024数据'!$AB$3:$AB$152,"&gt;="&amp;DATE(2024,5,1),'2024数据'!$AB$3:$AB$152,"&lt;="&amp;DATE(2024,5,31),'2024数据'!$B$3:$B$152,$E2016)/10000</f>
        <v>0</v>
      </c>
      <c r="K2016" s="121">
        <f>SUMIFS('2024数据'!$BV$3:$BV$152,'2024数据'!$AB$3:$AB$152,"&gt;="&amp;DATE(2024,6,1),'2024数据'!$AB$3:$AB$152,"&lt;="&amp;DATE(2024,6,30),'2024数据'!$B$3:$B$152,$E2016)/10000</f>
        <v>0</v>
      </c>
      <c r="L2016" s="121">
        <f>SUMIFS('2024数据'!$BV$3:$BV$152,'2024数据'!$AB$3:$AB$152,"&gt;="&amp;DATE(2024,7,1),'2024数据'!$AB$3:$AB$152,"&lt;="&amp;DATE(2024,7,31),'2024数据'!$B$3:$B$152,$E2016)/10000</f>
        <v>0</v>
      </c>
      <c r="M2016" s="121">
        <f>SUMIFS('2024数据'!$BV$3:$BV$152,'2024数据'!$AB$3:$AB$152,"&gt;="&amp;DATE(2024,8,1),'2024数据'!$AB$3:$AB$152,"&lt;="&amp;DATE(2024,8,31),'2024数据'!$B$3:$B$152,$E2016)/10000</f>
        <v>0</v>
      </c>
      <c r="N2016" s="121">
        <f>SUMIFS('2024数据'!$BV$3:$BV$152,'2024数据'!$AB$3:$AB$152,"&gt;="&amp;DATE(2024,9,1),'2024数据'!$AB$3:$AB$152,"&lt;="&amp;DATE(2024,9,30),'2024数据'!$B$3:$B$152,$E2016)/10000</f>
        <v>0</v>
      </c>
      <c r="O2016" s="121">
        <f>SUMIFS('2024数据'!$BV$3:$BV$152,'2024数据'!$AB$3:$AB$152,"&gt;="&amp;DATE(2024,10,1),'2024数据'!$AB$3:$AB$152,"&lt;="&amp;DATE(2024,10,31),'2024数据'!$B$3:$B$152,$E2016)/10000</f>
        <v>0</v>
      </c>
      <c r="P2016" s="121">
        <f>SUMIFS('2024数据'!$BV$3:$BV$152,'2024数据'!$AB$3:$AB$152,"&gt;="&amp;DATE(2024,11,1),'2024数据'!$AB$3:$AB$152,"&lt;="&amp;DATE(2024,11,30),'2024数据'!$B$3:$B$152,$E2016)/10000</f>
        <v>0</v>
      </c>
      <c r="Q2016" s="121">
        <f>SUMIFS('2024数据'!$BV$3:$BV$152,'2024数据'!$AB$3:$AB$152,"&gt;="&amp;DATE(2024,12,1),'2024数据'!$AB$3:$AB$152,"&lt;="&amp;DATE(2024,12,31),'2024数据'!$B$3:$B$152,$E2016)/10000</f>
        <v>-0.022186</v>
      </c>
    </row>
    <row r="2017" ht="24" customHeight="1" spans="1:17">
      <c r="A2017" s="99" t="s">
        <v>350</v>
      </c>
      <c r="B2017" s="99" t="s">
        <v>299</v>
      </c>
      <c r="C2017" s="99" t="s">
        <v>336</v>
      </c>
      <c r="D2017" s="47" t="s">
        <v>294</v>
      </c>
      <c r="E2017" s="47" t="s">
        <v>96</v>
      </c>
      <c r="F2017" s="121">
        <f>SUMIFS('2024数据'!$BV$3:$BV$152,'2024数据'!$AB$3:$AB$152,"&gt;="&amp;DATE(2024,1,1),'2024数据'!$AB$3:$AB$152,"&lt;="&amp;DATE(2024,1,31),'2024数据'!$B$3:$B$152,$E2017)/10000</f>
        <v>0</v>
      </c>
      <c r="G2017" s="121">
        <f>SUMIFS('2024数据'!$BV$3:$BV$152,'2024数据'!$AB$3:$AB$152,"&gt;="&amp;DATE(2024,2,1),'2024数据'!$AB$3:$AB$152,"&lt;="&amp;DATE(2024,2,29),'2024数据'!$B$3:$B$152,$E2017)/10000</f>
        <v>0</v>
      </c>
      <c r="H2017" s="121">
        <f>SUMIFS('2024数据'!$BV$3:$BV$152,'2024数据'!$AB$3:$AB$152,"&gt;="&amp;DATE(2024,3,1),'2024数据'!$AB$3:$AB$152,"&lt;="&amp;DATE(2024,3,31),'2024数据'!$B$3:$B$152,$E2017)/10000</f>
        <v>0</v>
      </c>
      <c r="I2017" s="121">
        <f>SUMIFS('2024数据'!$BV$3:$BV$152,'2024数据'!$AB$3:$AB$152,"&gt;="&amp;DATE(2024,4,1),'2024数据'!$AB$3:$AB$152,"&lt;="&amp;DATE(2024,4,30),'2024数据'!$B$3:$B$152,$E2017)/10000</f>
        <v>0</v>
      </c>
      <c r="J2017" s="121">
        <f>SUMIFS('2024数据'!$BV$3:$BV$152,'2024数据'!$AB$3:$AB$152,"&gt;="&amp;DATE(2024,5,1),'2024数据'!$AB$3:$AB$152,"&lt;="&amp;DATE(2024,5,31),'2024数据'!$B$3:$B$152,$E2017)/10000</f>
        <v>0</v>
      </c>
      <c r="K2017" s="121">
        <f>SUMIFS('2024数据'!$BV$3:$BV$152,'2024数据'!$AB$3:$AB$152,"&gt;="&amp;DATE(2024,6,1),'2024数据'!$AB$3:$AB$152,"&lt;="&amp;DATE(2024,6,30),'2024数据'!$B$3:$B$152,$E2017)/10000</f>
        <v>0</v>
      </c>
      <c r="L2017" s="121">
        <f>SUMIFS('2024数据'!$BV$3:$BV$152,'2024数据'!$AB$3:$AB$152,"&gt;="&amp;DATE(2024,7,1),'2024数据'!$AB$3:$AB$152,"&lt;="&amp;DATE(2024,7,31),'2024数据'!$B$3:$B$152,$E2017)/10000</f>
        <v>0</v>
      </c>
      <c r="M2017" s="121">
        <f>SUMIFS('2024数据'!$BV$3:$BV$152,'2024数据'!$AB$3:$AB$152,"&gt;="&amp;DATE(2024,8,1),'2024数据'!$AB$3:$AB$152,"&lt;="&amp;DATE(2024,8,31),'2024数据'!$B$3:$B$152,$E2017)/10000</f>
        <v>0</v>
      </c>
      <c r="N2017" s="121">
        <f>SUMIFS('2024数据'!$BV$3:$BV$152,'2024数据'!$AB$3:$AB$152,"&gt;="&amp;DATE(2024,9,1),'2024数据'!$AB$3:$AB$152,"&lt;="&amp;DATE(2024,9,30),'2024数据'!$B$3:$B$152,$E2017)/10000</f>
        <v>0.228093</v>
      </c>
      <c r="O2017" s="121">
        <f>SUMIFS('2024数据'!$BV$3:$BV$152,'2024数据'!$AB$3:$AB$152,"&gt;="&amp;DATE(2024,10,1),'2024数据'!$AB$3:$AB$152,"&lt;="&amp;DATE(2024,10,31),'2024数据'!$B$3:$B$152,$E2017)/10000</f>
        <v>0</v>
      </c>
      <c r="P2017" s="121">
        <f>SUMIFS('2024数据'!$BV$3:$BV$152,'2024数据'!$AB$3:$AB$152,"&gt;="&amp;DATE(2024,11,1),'2024数据'!$AB$3:$AB$152,"&lt;="&amp;DATE(2024,11,30),'2024数据'!$B$3:$B$152,$E2017)/10000</f>
        <v>0</v>
      </c>
      <c r="Q2017" s="121">
        <f>SUMIFS('2024数据'!$BV$3:$BV$152,'2024数据'!$AB$3:$AB$152,"&gt;="&amp;DATE(2024,12,1),'2024数据'!$AB$3:$AB$152,"&lt;="&amp;DATE(2024,12,31),'2024数据'!$B$3:$B$152,$E2017)/10000</f>
        <v>0</v>
      </c>
    </row>
    <row r="2018" ht="24" customHeight="1" spans="1:17">
      <c r="A2018" s="99" t="s">
        <v>350</v>
      </c>
      <c r="B2018" s="99" t="s">
        <v>299</v>
      </c>
      <c r="C2018" s="99" t="s">
        <v>336</v>
      </c>
      <c r="D2018" s="47" t="s">
        <v>294</v>
      </c>
      <c r="E2018" s="47" t="s">
        <v>160</v>
      </c>
      <c r="F2018" s="121">
        <f t="shared" ref="F2018:Q2018" si="1479">SUM(F2008:F2013)-SUM(F2014:F2017)</f>
        <v>0</v>
      </c>
      <c r="G2018" s="121">
        <f t="shared" si="1479"/>
        <v>0</v>
      </c>
      <c r="H2018" s="121">
        <f t="shared" si="1479"/>
        <v>0</v>
      </c>
      <c r="I2018" s="121">
        <f t="shared" si="1479"/>
        <v>0</v>
      </c>
      <c r="J2018" s="121">
        <f t="shared" si="1479"/>
        <v>0</v>
      </c>
      <c r="K2018" s="121">
        <f t="shared" si="1479"/>
        <v>0</v>
      </c>
      <c r="L2018" s="121">
        <f t="shared" si="1479"/>
        <v>0</v>
      </c>
      <c r="M2018" s="121">
        <f t="shared" si="1479"/>
        <v>0</v>
      </c>
      <c r="N2018" s="121">
        <f t="shared" si="1479"/>
        <v>0</v>
      </c>
      <c r="O2018" s="121">
        <f t="shared" si="1479"/>
        <v>0</v>
      </c>
      <c r="P2018" s="121">
        <f t="shared" si="1479"/>
        <v>0</v>
      </c>
      <c r="Q2018" s="121">
        <f t="shared" si="1479"/>
        <v>0</v>
      </c>
    </row>
    <row r="2019" ht="24" customHeight="1" spans="1:17">
      <c r="A2019" s="99" t="s">
        <v>350</v>
      </c>
      <c r="B2019" s="99" t="s">
        <v>299</v>
      </c>
      <c r="C2019" s="99" t="s">
        <v>333</v>
      </c>
      <c r="D2019" s="114" t="s">
        <v>292</v>
      </c>
      <c r="E2019" s="53" t="s">
        <v>337</v>
      </c>
      <c r="F2019" s="123">
        <f>SUMIFS('2024数据'!$BZ$3:$BZ$152,'2024数据'!$AB$3:$AB$152,"&gt;="&amp;DATE(2024,1,1),'2024数据'!$AB$3:$AB$152,"&lt;="&amp;DATE(2024,1,31),'2024数据'!$BY$3:$BY$152,$E1847)/10000</f>
        <v>0.018568</v>
      </c>
      <c r="G2019" s="123">
        <f>SUMIFS('2024数据'!$BZ$3:$BZ$152,'2024数据'!$AB$3:$AB$152,"&gt;="&amp;DATE(2024,2,1),'2024数据'!$AB$3:$AB$152,"&lt;="&amp;DATE(2024,2,29),'2024数据'!$BY$3:$BY$152,$E1847)/10000</f>
        <v>0</v>
      </c>
      <c r="H2019" s="123">
        <f>SUMIFS('2024数据'!$BZ$3:$BZ$152,'2024数据'!$AB$3:$AB$152,"&gt;="&amp;DATE(2024,3,1),'2024数据'!$AB$3:$AB$152,"&lt;="&amp;DATE(2024,3,31),'2024数据'!$BY$3:$BY$152,$E1847)/10000</f>
        <v>0.027049</v>
      </c>
      <c r="I2019" s="123">
        <f>SUMIFS('2024数据'!$BZ$3:$BZ$152,'2024数据'!$AB$3:$AB$152,"&gt;="&amp;DATE(2024,4,1),'2024数据'!$AB$3:$AB$152,"&lt;="&amp;DATE(2024,4,30),'2024数据'!$BY$3:$BY$152,$E1847)/10000</f>
        <v>0</v>
      </c>
      <c r="J2019" s="123">
        <f>SUMIFS('2024数据'!$BZ$3:$BZ$152,'2024数据'!$AB$3:$AB$152,"&gt;="&amp;DATE(2024,5,1),'2024数据'!$AB$3:$AB$152,"&lt;="&amp;DATE(2024,5,31),'2024数据'!$BY$3:$BY$152,$E1847)/10000</f>
        <v>0.008061</v>
      </c>
      <c r="K2019" s="123">
        <f>SUMIFS('2024数据'!$BZ$3:$BZ$152,'2024数据'!$AB$3:$AB$152,"&gt;="&amp;DATE(2024,6,1),'2024数据'!$AB$3:$AB$152,"&lt;="&amp;DATE(2024,6,30),'2024数据'!$BY$3:$BY$152,$E1847)/10000</f>
        <v>0</v>
      </c>
      <c r="L2019" s="123">
        <f>SUMIFS('2024数据'!$BZ$3:$BZ$152,'2024数据'!$AB$3:$AB$152,"&gt;="&amp;DATE(2024,7,1),'2024数据'!$AB$3:$AB$152,"&lt;="&amp;DATE(2024,7,31),'2024数据'!$BY$3:$BY$152,$E1847)/10000</f>
        <v>0</v>
      </c>
      <c r="M2019" s="123">
        <f>SUMIFS('2024数据'!$BZ$3:$BZ$152,'2024数据'!$AB$3:$AB$152,"&gt;="&amp;DATE(2024,8,1),'2024数据'!$AB$3:$AB$152,"&lt;="&amp;DATE(2024,8,31),'2024数据'!$BY$3:$BY$152,$E1847)/10000</f>
        <v>0</v>
      </c>
      <c r="N2019" s="123">
        <f>SUMIFS('2024数据'!$BZ$3:$BZ$152,'2024数据'!$AB$3:$AB$152,"&gt;="&amp;DATE(2024,9,1),'2024数据'!$AB$3:$AB$152,"&lt;="&amp;DATE(2024,9,30),'2024数据'!$BY$3:$BY$152,$E1847)/10000</f>
        <v>0.042647</v>
      </c>
      <c r="O2019" s="123">
        <f>SUMIFS('2024数据'!$BZ$3:$BZ$152,'2024数据'!$AB$3:$AB$152,"&gt;="&amp;DATE(2024,10,1),'2024数据'!$AB$3:$AB$152,"&lt;="&amp;DATE(2024,10,31),'2024数据'!$BY$3:$BY$152,$E1847)/10000</f>
        <v>0.005775</v>
      </c>
      <c r="P2019" s="123">
        <f>SUMIFS('2024数据'!$BZ$3:$BZ$152,'2024数据'!$AB$3:$AB$152,"&gt;="&amp;DATE(2024,11,1),'2024数据'!$AB$3:$AB$152,"&lt;="&amp;DATE(2024,11,30),'2024数据'!$BY$3:$BY$152,$E1847)/10000</f>
        <v>0</v>
      </c>
      <c r="Q2019" s="123">
        <f>SUMIFS('2024数据'!$BZ$3:$BZ$152,'2024数据'!$AB$3:$AB$152,"&gt;="&amp;DATE(2024,12,1),'2024数据'!$AB$3:$AB$152,"&lt;="&amp;DATE(2024,12,31),'2024数据'!$BY$3:$BY$152,$E1847)/10000</f>
        <v>0</v>
      </c>
    </row>
    <row r="2020" ht="24" customHeight="1" spans="1:17">
      <c r="A2020" s="99" t="s">
        <v>350</v>
      </c>
      <c r="B2020" s="99" t="s">
        <v>299</v>
      </c>
      <c r="C2020" s="99" t="s">
        <v>333</v>
      </c>
      <c r="D2020" s="114" t="s">
        <v>292</v>
      </c>
      <c r="E2020" s="53" t="s">
        <v>338</v>
      </c>
      <c r="F2020" s="123">
        <f>SUMIFS('2024数据'!$BZ$3:$BZ$152,'2024数据'!$AB$3:$AB$152,"&gt;="&amp;DATE(2024,1,1),'2024数据'!$AB$3:$AB$152,"&lt;="&amp;DATE(2024,1,31),'2024数据'!$BY$3:$BY$152,$E1848)/10000</f>
        <v>0.003523</v>
      </c>
      <c r="G2020" s="123">
        <f>SUMIFS('2024数据'!$BZ$3:$BZ$152,'2024数据'!$AB$3:$AB$152,"&gt;="&amp;DATE(2024,2,1),'2024数据'!$AB$3:$AB$152,"&lt;="&amp;DATE(2024,2,29),'2024数据'!$BY$3:$BY$152,$E1848)/10000</f>
        <v>0.046782</v>
      </c>
      <c r="H2020" s="123">
        <f>SUMIFS('2024数据'!$BZ$3:$BZ$152,'2024数据'!$AB$3:$AB$152,"&gt;="&amp;DATE(2024,3,1),'2024数据'!$AB$3:$AB$152,"&lt;="&amp;DATE(2024,3,31),'2024数据'!$BY$3:$BY$152,$E1848)/10000</f>
        <v>0</v>
      </c>
      <c r="I2020" s="123">
        <f>SUMIFS('2024数据'!$BZ$3:$BZ$152,'2024数据'!$AB$3:$AB$152,"&gt;="&amp;DATE(2024,4,1),'2024数据'!$AB$3:$AB$152,"&lt;="&amp;DATE(2024,4,30),'2024数据'!$BY$3:$BY$152,$E1848)/10000</f>
        <v>0</v>
      </c>
      <c r="J2020" s="123">
        <f>SUMIFS('2024数据'!$BZ$3:$BZ$152,'2024数据'!$AB$3:$AB$152,"&gt;="&amp;DATE(2024,5,1),'2024数据'!$AB$3:$AB$152,"&lt;="&amp;DATE(2024,5,31),'2024数据'!$BY$3:$BY$152,$E1848)/10000</f>
        <v>0.032853</v>
      </c>
      <c r="K2020" s="123">
        <f>SUMIFS('2024数据'!$BZ$3:$BZ$152,'2024数据'!$AB$3:$AB$152,"&gt;="&amp;DATE(2024,6,1),'2024数据'!$AB$3:$AB$152,"&lt;="&amp;DATE(2024,6,30),'2024数据'!$BY$3:$BY$152,$E1848)/10000</f>
        <v>0.005267</v>
      </c>
      <c r="L2020" s="123">
        <f>SUMIFS('2024数据'!$BZ$3:$BZ$152,'2024数据'!$AB$3:$AB$152,"&gt;="&amp;DATE(2024,7,1),'2024数据'!$AB$3:$AB$152,"&lt;="&amp;DATE(2024,7,31),'2024数据'!$BY$3:$BY$152,$E1848)/10000</f>
        <v>0</v>
      </c>
      <c r="M2020" s="123">
        <f>SUMIFS('2024数据'!$BZ$3:$BZ$152,'2024数据'!$AB$3:$AB$152,"&gt;="&amp;DATE(2024,8,1),'2024数据'!$AB$3:$AB$152,"&lt;="&amp;DATE(2024,8,31),'2024数据'!$BY$3:$BY$152,$E1848)/10000</f>
        <v>0</v>
      </c>
      <c r="N2020" s="123">
        <f>SUMIFS('2024数据'!$BZ$3:$BZ$152,'2024数据'!$AB$3:$AB$152,"&gt;="&amp;DATE(2024,9,1),'2024数据'!$AB$3:$AB$152,"&lt;="&amp;DATE(2024,9,30),'2024数据'!$BY$3:$BY$152,$E1848)/10000</f>
        <v>0.032552</v>
      </c>
      <c r="O2020" s="123">
        <f>SUMIFS('2024数据'!$BZ$3:$BZ$152,'2024数据'!$AB$3:$AB$152,"&gt;="&amp;DATE(2024,10,1),'2024数据'!$AB$3:$AB$152,"&lt;="&amp;DATE(2024,10,31),'2024数据'!$BY$3:$BY$152,$E1848)/10000</f>
        <v>0</v>
      </c>
      <c r="P2020" s="123">
        <f>SUMIFS('2024数据'!$BZ$3:$BZ$152,'2024数据'!$AB$3:$AB$152,"&gt;="&amp;DATE(2024,11,1),'2024数据'!$AB$3:$AB$152,"&lt;="&amp;DATE(2024,11,30),'2024数据'!$BY$3:$BY$152,$E1848)/10000</f>
        <v>0.016687</v>
      </c>
      <c r="Q2020" s="123">
        <f>SUMIFS('2024数据'!$BZ$3:$BZ$152,'2024数据'!$AB$3:$AB$152,"&gt;="&amp;DATE(2024,12,1),'2024数据'!$AB$3:$AB$152,"&lt;="&amp;DATE(2024,12,31),'2024数据'!$BY$3:$BY$152,$E1848)/10000</f>
        <v>0.026462</v>
      </c>
    </row>
    <row r="2021" ht="24" customHeight="1" spans="1:17">
      <c r="A2021" s="99" t="s">
        <v>350</v>
      </c>
      <c r="B2021" s="99" t="s">
        <v>299</v>
      </c>
      <c r="C2021" s="99" t="s">
        <v>333</v>
      </c>
      <c r="D2021" s="114" t="s">
        <v>292</v>
      </c>
      <c r="E2021" s="53" t="s">
        <v>339</v>
      </c>
      <c r="F2021" s="123">
        <f>SUMIFS('2024数据'!$BZ$3:$BZ$152,'2024数据'!$AB$3:$AB$152,"&gt;="&amp;DATE(2024,1,1),'2024数据'!$AB$3:$AB$152,"&lt;="&amp;DATE(2024,1,31),'2024数据'!$BY$3:$BY$152,$E1849)/10000</f>
        <v>0</v>
      </c>
      <c r="G2021" s="123">
        <f>SUMIFS('2024数据'!$BZ$3:$BZ$152,'2024数据'!$AB$3:$AB$152,"&gt;="&amp;DATE(2024,2,1),'2024数据'!$AB$3:$AB$152,"&lt;="&amp;DATE(2024,2,29),'2024数据'!$BY$3:$BY$152,$E1849)/10000</f>
        <v>0</v>
      </c>
      <c r="H2021" s="123">
        <f>SUMIFS('2024数据'!$BZ$3:$BZ$152,'2024数据'!$AB$3:$AB$152,"&gt;="&amp;DATE(2024,3,1),'2024数据'!$AB$3:$AB$152,"&lt;="&amp;DATE(2024,3,31),'2024数据'!$BY$3:$BY$152,$E1849)/10000</f>
        <v>0</v>
      </c>
      <c r="I2021" s="123">
        <f>SUMIFS('2024数据'!$BZ$3:$BZ$152,'2024数据'!$AB$3:$AB$152,"&gt;="&amp;DATE(2024,4,1),'2024数据'!$AB$3:$AB$152,"&lt;="&amp;DATE(2024,4,30),'2024数据'!$BY$3:$BY$152,$E1849)/10000</f>
        <v>0</v>
      </c>
      <c r="J2021" s="123">
        <f>SUMIFS('2024数据'!$BZ$3:$BZ$152,'2024数据'!$AB$3:$AB$152,"&gt;="&amp;DATE(2024,5,1),'2024数据'!$AB$3:$AB$152,"&lt;="&amp;DATE(2024,5,31),'2024数据'!$BY$3:$BY$152,$E1849)/10000</f>
        <v>0</v>
      </c>
      <c r="K2021" s="123">
        <f>SUMIFS('2024数据'!$BZ$3:$BZ$152,'2024数据'!$AB$3:$AB$152,"&gt;="&amp;DATE(2024,6,1),'2024数据'!$AB$3:$AB$152,"&lt;="&amp;DATE(2024,6,30),'2024数据'!$BY$3:$BY$152,$E1849)/10000</f>
        <v>0</v>
      </c>
      <c r="L2021" s="123">
        <f>SUMIFS('2024数据'!$BZ$3:$BZ$152,'2024数据'!$AB$3:$AB$152,"&gt;="&amp;DATE(2024,7,1),'2024数据'!$AB$3:$AB$152,"&lt;="&amp;DATE(2024,7,31),'2024数据'!$BY$3:$BY$152,$E1849)/10000</f>
        <v>0</v>
      </c>
      <c r="M2021" s="123">
        <f>SUMIFS('2024数据'!$BZ$3:$BZ$152,'2024数据'!$AB$3:$AB$152,"&gt;="&amp;DATE(2024,8,1),'2024数据'!$AB$3:$AB$152,"&lt;="&amp;DATE(2024,8,31),'2024数据'!$BY$3:$BY$152,$E1849)/10000</f>
        <v>0</v>
      </c>
      <c r="N2021" s="123">
        <f>SUMIFS('2024数据'!$BZ$3:$BZ$152,'2024数据'!$AB$3:$AB$152,"&gt;="&amp;DATE(2024,9,1),'2024数据'!$AB$3:$AB$152,"&lt;="&amp;DATE(2024,9,30),'2024数据'!$BY$3:$BY$152,$E1849)/10000</f>
        <v>0</v>
      </c>
      <c r="O2021" s="123">
        <f>SUMIFS('2024数据'!$BZ$3:$BZ$152,'2024数据'!$AB$3:$AB$152,"&gt;="&amp;DATE(2024,10,1),'2024数据'!$AB$3:$AB$152,"&lt;="&amp;DATE(2024,10,31),'2024数据'!$BY$3:$BY$152,$E1849)/10000</f>
        <v>0</v>
      </c>
      <c r="P2021" s="123">
        <f>SUMIFS('2024数据'!$BZ$3:$BZ$152,'2024数据'!$AB$3:$AB$152,"&gt;="&amp;DATE(2024,11,1),'2024数据'!$AB$3:$AB$152,"&lt;="&amp;DATE(2024,11,30),'2024数据'!$BY$3:$BY$152,$E1849)/10000</f>
        <v>0</v>
      </c>
      <c r="Q2021" s="123">
        <f>SUMIFS('2024数据'!$BZ$3:$BZ$152,'2024数据'!$AB$3:$AB$152,"&gt;="&amp;DATE(2024,12,1),'2024数据'!$AB$3:$AB$152,"&lt;="&amp;DATE(2024,12,31),'2024数据'!$BY$3:$BY$152,$E1849)/10000</f>
        <v>0</v>
      </c>
    </row>
    <row r="2022" ht="24" customHeight="1" spans="1:17">
      <c r="A2022" s="99" t="s">
        <v>350</v>
      </c>
      <c r="B2022" s="99" t="s">
        <v>299</v>
      </c>
      <c r="C2022" s="99" t="s">
        <v>333</v>
      </c>
      <c r="D2022" s="53" t="s">
        <v>303</v>
      </c>
      <c r="E2022" s="53" t="s">
        <v>93</v>
      </c>
      <c r="F2022" s="123">
        <f>SUMIFS('2024数据'!$BZ$3:$BZ$152,'2024数据'!$AB$3:$AB$152,"&gt;="&amp;DATE(2024,1,1),'2024数据'!$AB$3:$AB$152,"&lt;="&amp;DATE(2024,1,31),'2024数据'!$BY$3:$BY$152,$E1847,'2024数据'!$B$3:$B$152,'2024整理'!$E2002)/10000</f>
        <v>0</v>
      </c>
      <c r="G2022" s="123">
        <f>SUMIFS('2024数据'!$BZ$3:$BZ$152,'2024数据'!$AB$3:$AB$152,"&gt;="&amp;DATE(2024,2,1),'2024数据'!$AB$3:$AB$152,"&lt;="&amp;DATE(2024,2,29),'2024数据'!$BY$3:$BY$152,$E1847,'2024数据'!$B$3:$B$152,'2024整理'!$E2002)/10000</f>
        <v>0</v>
      </c>
      <c r="H2022" s="123">
        <f>SUMIFS('2024数据'!$BZ$3:$BZ$152,'2024数据'!$AB$3:$AB$152,"&gt;="&amp;DATE(2024,3,1),'2024数据'!$AB$3:$AB$152,"&lt;="&amp;DATE(2024,3,31),'2024数据'!$BY$3:$BY$152,$E1847,'2024数据'!$B$3:$B$152,'2024整理'!$E2002)/10000</f>
        <v>0.027049</v>
      </c>
      <c r="I2022" s="123">
        <f>SUMIFS('2024数据'!$BZ$3:$BZ$152,'2024数据'!$AB$3:$AB$152,"&gt;="&amp;DATE(2024,4,1),'2024数据'!$AB$3:$AB$152,"&lt;="&amp;DATE(2024,4,30),'2024数据'!$BY$3:$BY$152,$E1847,'2024数据'!$B$3:$B$152,'2024整理'!$E2002)/10000</f>
        <v>0</v>
      </c>
      <c r="J2022" s="123">
        <f>SUMIFS('2024数据'!$BZ$3:$BZ$152,'2024数据'!$AB$3:$AB$152,"&gt;="&amp;DATE(2024,5,1),'2024数据'!$AB$3:$AB$152,"&lt;="&amp;DATE(2024,5,31),'2024数据'!$BY$3:$BY$152,$E1847,'2024数据'!$B$3:$B$152,'2024整理'!$E2002)/10000</f>
        <v>0.002391</v>
      </c>
      <c r="K2022" s="123">
        <f>SUMIFS('2024数据'!$BZ$3:$BZ$152,'2024数据'!$AB$3:$AB$152,"&gt;="&amp;DATE(2024,6,1),'2024数据'!$AB$3:$AB$152,"&lt;="&amp;DATE(2024,6,30),'2024数据'!$BY$3:$BY$152,$E1847,'2024数据'!$B$3:$B$152,'2024整理'!$E2002)/10000</f>
        <v>0</v>
      </c>
      <c r="L2022" s="123">
        <f>SUMIFS('2024数据'!$BZ$3:$BZ$152,'2024数据'!$AB$3:$AB$152,"&gt;="&amp;DATE(2024,7,1),'2024数据'!$AB$3:$AB$152,"&lt;="&amp;DATE(2024,7,31),'2024数据'!$BY$3:$BY$152,$E1847,'2024数据'!$B$3:$B$152,'2024整理'!$E2002)/10000</f>
        <v>0</v>
      </c>
      <c r="M2022" s="123">
        <f>SUMIFS('2024数据'!$BZ$3:$BZ$152,'2024数据'!$AB$3:$AB$152,"&gt;="&amp;DATE(2024,8,1),'2024数据'!$AB$3:$AB$152,"&lt;="&amp;DATE(2024,8,31),'2024数据'!$BY$3:$BY$152,$E1847,'2024数据'!$B$3:$B$152,'2024整理'!$E2002)/10000</f>
        <v>0</v>
      </c>
      <c r="N2022" s="123">
        <f>SUMIFS('2024数据'!$BZ$3:$BZ$152,'2024数据'!$AB$3:$AB$152,"&gt;="&amp;DATE(2024,9,1),'2024数据'!$AB$3:$AB$152,"&lt;="&amp;DATE(2024,9,30),'2024数据'!$BY$3:$BY$152,$E1847,'2024数据'!$B$3:$B$152,'2024整理'!$E2002)/10000</f>
        <v>0</v>
      </c>
      <c r="O2022" s="123">
        <f>SUMIFS('2024数据'!$BZ$3:$BZ$152,'2024数据'!$AB$3:$AB$152,"&gt;="&amp;DATE(2024,10,1),'2024数据'!$AB$3:$AB$152,"&lt;="&amp;DATE(2024,10,31),'2024数据'!$BY$3:$BY$152,$E1847,'2024数据'!$B$3:$B$152,'2024整理'!$E2002)/10000</f>
        <v>0</v>
      </c>
      <c r="P2022" s="123">
        <f>SUMIFS('2024数据'!$BZ$3:$BZ$152,'2024数据'!$AB$3:$AB$152,"&gt;="&amp;DATE(2024,11,1),'2024数据'!$AB$3:$AB$152,"&lt;="&amp;DATE(2024,11,30),'2024数据'!$BY$3:$BY$152,$E1847,'2024数据'!$B$3:$B$152,'2024整理'!$E2002)/10000</f>
        <v>0</v>
      </c>
      <c r="Q2022" s="123">
        <f>SUMIFS('2024数据'!$BZ$3:$BZ$152,'2024数据'!$AB$3:$AB$152,"&gt;="&amp;DATE(2024,12,1),'2024数据'!$AB$3:$AB$152,"&lt;="&amp;DATE(2024,12,31),'2024数据'!$BY$3:$BY$152,$E1847,'2024数据'!$B$3:$B$152,'2024整理'!$E2002)/10000</f>
        <v>0</v>
      </c>
    </row>
    <row r="2023" ht="24" customHeight="1" spans="1:17">
      <c r="A2023" s="99" t="s">
        <v>350</v>
      </c>
      <c r="B2023" s="99" t="s">
        <v>299</v>
      </c>
      <c r="C2023" s="99" t="s">
        <v>333</v>
      </c>
      <c r="D2023" s="53" t="s">
        <v>303</v>
      </c>
      <c r="E2023" s="53" t="s">
        <v>85</v>
      </c>
      <c r="F2023" s="123">
        <f>SUMIFS('2024数据'!$BZ$3:$BZ$152,'2024数据'!$AB$3:$AB$152,"&gt;="&amp;DATE(2024,1,1),'2024数据'!$AB$3:$AB$152,"&lt;="&amp;DATE(2024,1,31),'2024数据'!$BY$3:$BY$152,$E1847,'2024数据'!$B$3:$B$152,'2024整理'!$E2003)/10000</f>
        <v>0.018568</v>
      </c>
      <c r="G2023" s="123">
        <f>SUMIFS('2024数据'!$BZ$3:$BZ$152,'2024数据'!$AB$3:$AB$152,"&gt;="&amp;DATE(2024,2,1),'2024数据'!$AB$3:$AB$152,"&lt;="&amp;DATE(2024,2,29),'2024数据'!$BY$3:$BY$152,$E1847,'2024数据'!$B$3:$B$152,'2024整理'!$E2003)/10000</f>
        <v>0</v>
      </c>
      <c r="H2023" s="123">
        <f>SUMIFS('2024数据'!$BZ$3:$BZ$152,'2024数据'!$AB$3:$AB$152,"&gt;="&amp;DATE(2024,3,1),'2024数据'!$AB$3:$AB$152,"&lt;="&amp;DATE(2024,3,31),'2024数据'!$BY$3:$BY$152,$E1847,'2024数据'!$B$3:$B$152,'2024整理'!$E2003)/10000</f>
        <v>0</v>
      </c>
      <c r="I2023" s="123">
        <f>SUMIFS('2024数据'!$BZ$3:$BZ$152,'2024数据'!$AB$3:$AB$152,"&gt;="&amp;DATE(2024,4,1),'2024数据'!$AB$3:$AB$152,"&lt;="&amp;DATE(2024,4,30),'2024数据'!$BY$3:$BY$152,$E1847,'2024数据'!$B$3:$B$152,'2024整理'!$E2003)/10000</f>
        <v>0</v>
      </c>
      <c r="J2023" s="123">
        <f>SUMIFS('2024数据'!$BZ$3:$BZ$152,'2024数据'!$AB$3:$AB$152,"&gt;="&amp;DATE(2024,5,1),'2024数据'!$AB$3:$AB$152,"&lt;="&amp;DATE(2024,5,31),'2024数据'!$BY$3:$BY$152,$E1847,'2024数据'!$B$3:$B$152,'2024整理'!$E2003)/10000</f>
        <v>0.00567</v>
      </c>
      <c r="K2023" s="123">
        <f>SUMIFS('2024数据'!$BZ$3:$BZ$152,'2024数据'!$AB$3:$AB$152,"&gt;="&amp;DATE(2024,6,1),'2024数据'!$AB$3:$AB$152,"&lt;="&amp;DATE(2024,6,30),'2024数据'!$BY$3:$BY$152,$E1847,'2024数据'!$B$3:$B$152,'2024整理'!$E2003)/10000</f>
        <v>0</v>
      </c>
      <c r="L2023" s="123">
        <f>SUMIFS('2024数据'!$BZ$3:$BZ$152,'2024数据'!$AB$3:$AB$152,"&gt;="&amp;DATE(2024,7,1),'2024数据'!$AB$3:$AB$152,"&lt;="&amp;DATE(2024,7,31),'2024数据'!$BY$3:$BY$152,$E1847,'2024数据'!$B$3:$B$152,'2024整理'!$E2003)/10000</f>
        <v>0</v>
      </c>
      <c r="M2023" s="123">
        <f>SUMIFS('2024数据'!$BZ$3:$BZ$152,'2024数据'!$AB$3:$AB$152,"&gt;="&amp;DATE(2024,8,1),'2024数据'!$AB$3:$AB$152,"&lt;="&amp;DATE(2024,8,31),'2024数据'!$BY$3:$BY$152,$E1847,'2024数据'!$B$3:$B$152,'2024整理'!$E2003)/10000</f>
        <v>0</v>
      </c>
      <c r="N2023" s="123">
        <f>SUMIFS('2024数据'!$BZ$3:$BZ$152,'2024数据'!$AB$3:$AB$152,"&gt;="&amp;DATE(2024,9,1),'2024数据'!$AB$3:$AB$152,"&lt;="&amp;DATE(2024,9,30),'2024数据'!$BY$3:$BY$152,$E1847,'2024数据'!$B$3:$B$152,'2024整理'!$E2003)/10000</f>
        <v>0.020234</v>
      </c>
      <c r="O2023" s="123">
        <f>SUMIFS('2024数据'!$BZ$3:$BZ$152,'2024数据'!$AB$3:$AB$152,"&gt;="&amp;DATE(2024,10,1),'2024数据'!$AB$3:$AB$152,"&lt;="&amp;DATE(2024,10,31),'2024数据'!$BY$3:$BY$152,$E1847,'2024数据'!$B$3:$B$152,'2024整理'!$E2003)/10000</f>
        <v>0.005775</v>
      </c>
      <c r="P2023" s="123">
        <f>SUMIFS('2024数据'!$BZ$3:$BZ$152,'2024数据'!$AB$3:$AB$152,"&gt;="&amp;DATE(2024,11,1),'2024数据'!$AB$3:$AB$152,"&lt;="&amp;DATE(2024,11,30),'2024数据'!$BY$3:$BY$152,$E1847,'2024数据'!$B$3:$B$152,'2024整理'!$E2003)/10000</f>
        <v>0</v>
      </c>
      <c r="Q2023" s="123">
        <f>SUMIFS('2024数据'!$BZ$3:$BZ$152,'2024数据'!$AB$3:$AB$152,"&gt;="&amp;DATE(2024,12,1),'2024数据'!$AB$3:$AB$152,"&lt;="&amp;DATE(2024,12,31),'2024数据'!$BY$3:$BY$152,$E1847,'2024数据'!$B$3:$B$152,'2024整理'!$E2003)/10000</f>
        <v>0</v>
      </c>
    </row>
    <row r="2024" ht="24" customHeight="1" spans="1:17">
      <c r="A2024" s="99" t="s">
        <v>350</v>
      </c>
      <c r="B2024" s="99" t="s">
        <v>299</v>
      </c>
      <c r="C2024" s="99" t="s">
        <v>333</v>
      </c>
      <c r="D2024" s="53" t="s">
        <v>303</v>
      </c>
      <c r="E2024" s="53" t="s">
        <v>81</v>
      </c>
      <c r="F2024" s="123">
        <f>SUMIFS('2024数据'!$BZ$3:$BZ$152,'2024数据'!$AB$3:$AB$152,"&gt;="&amp;DATE(2024,1,1),'2024数据'!$AB$3:$AB$152,"&lt;="&amp;DATE(2024,1,31),'2024数据'!$BY$3:$BY$152,$E1847,'2024数据'!$B$3:$B$152,'2024整理'!$E2004)/10000</f>
        <v>0</v>
      </c>
      <c r="G2024" s="123">
        <f>SUMIFS('2024数据'!$BZ$3:$BZ$152,'2024数据'!$AB$3:$AB$152,"&gt;="&amp;DATE(2024,2,1),'2024数据'!$AB$3:$AB$152,"&lt;="&amp;DATE(2024,2,29),'2024数据'!$BY$3:$BY$152,$E1847,'2024数据'!$B$3:$B$152,'2024整理'!$E2004)/10000</f>
        <v>0</v>
      </c>
      <c r="H2024" s="123">
        <f>SUMIFS('2024数据'!$BZ$3:$BZ$152,'2024数据'!$AB$3:$AB$152,"&gt;="&amp;DATE(2024,3,1),'2024数据'!$AB$3:$AB$152,"&lt;="&amp;DATE(2024,3,31),'2024数据'!$BY$3:$BY$152,$E1847,'2024数据'!$B$3:$B$152,'2024整理'!$E2004)/10000</f>
        <v>0</v>
      </c>
      <c r="I2024" s="123">
        <f>SUMIFS('2024数据'!$BZ$3:$BZ$152,'2024数据'!$AB$3:$AB$152,"&gt;="&amp;DATE(2024,4,1),'2024数据'!$AB$3:$AB$152,"&lt;="&amp;DATE(2024,4,30),'2024数据'!$BY$3:$BY$152,$E1847,'2024数据'!$B$3:$B$152,'2024整理'!$E2004)/10000</f>
        <v>0</v>
      </c>
      <c r="J2024" s="123">
        <f>SUMIFS('2024数据'!$BZ$3:$BZ$152,'2024数据'!$AB$3:$AB$152,"&gt;="&amp;DATE(2024,5,1),'2024数据'!$AB$3:$AB$152,"&lt;="&amp;DATE(2024,5,31),'2024数据'!$BY$3:$BY$152,$E1847,'2024数据'!$B$3:$B$152,'2024整理'!$E2004)/10000</f>
        <v>0</v>
      </c>
      <c r="K2024" s="123">
        <f>SUMIFS('2024数据'!$BZ$3:$BZ$152,'2024数据'!$AB$3:$AB$152,"&gt;="&amp;DATE(2024,6,1),'2024数据'!$AB$3:$AB$152,"&lt;="&amp;DATE(2024,6,30),'2024数据'!$BY$3:$BY$152,$E1847,'2024数据'!$B$3:$B$152,'2024整理'!$E2004)/10000</f>
        <v>0</v>
      </c>
      <c r="L2024" s="123">
        <f>SUMIFS('2024数据'!$BZ$3:$BZ$152,'2024数据'!$AB$3:$AB$152,"&gt;="&amp;DATE(2024,7,1),'2024数据'!$AB$3:$AB$152,"&lt;="&amp;DATE(2024,7,31),'2024数据'!$BY$3:$BY$152,$E1847,'2024数据'!$B$3:$B$152,'2024整理'!$E2004)/10000</f>
        <v>0</v>
      </c>
      <c r="M2024" s="123">
        <f>SUMIFS('2024数据'!$BZ$3:$BZ$152,'2024数据'!$AB$3:$AB$152,"&gt;="&amp;DATE(2024,8,1),'2024数据'!$AB$3:$AB$152,"&lt;="&amp;DATE(2024,8,31),'2024数据'!$BY$3:$BY$152,$E1847,'2024数据'!$B$3:$B$152,'2024整理'!$E2004)/10000</f>
        <v>0</v>
      </c>
      <c r="N2024" s="123">
        <f>SUMIFS('2024数据'!$BZ$3:$BZ$152,'2024数据'!$AB$3:$AB$152,"&gt;="&amp;DATE(2024,9,1),'2024数据'!$AB$3:$AB$152,"&lt;="&amp;DATE(2024,9,30),'2024数据'!$BY$3:$BY$152,$E1847,'2024数据'!$B$3:$B$152,'2024整理'!$E2004)/10000</f>
        <v>0</v>
      </c>
      <c r="O2024" s="123">
        <f>SUMIFS('2024数据'!$BZ$3:$BZ$152,'2024数据'!$AB$3:$AB$152,"&gt;="&amp;DATE(2024,10,1),'2024数据'!$AB$3:$AB$152,"&lt;="&amp;DATE(2024,10,31),'2024数据'!$BY$3:$BY$152,$E1847,'2024数据'!$B$3:$B$152,'2024整理'!$E2004)/10000</f>
        <v>0</v>
      </c>
      <c r="P2024" s="123">
        <f>SUMIFS('2024数据'!$BZ$3:$BZ$152,'2024数据'!$AB$3:$AB$152,"&gt;="&amp;DATE(2024,11,1),'2024数据'!$AB$3:$AB$152,"&lt;="&amp;DATE(2024,11,30),'2024数据'!$BY$3:$BY$152,$E1847,'2024数据'!$B$3:$B$152,'2024整理'!$E2004)/10000</f>
        <v>0</v>
      </c>
      <c r="Q2024" s="123">
        <f>SUMIFS('2024数据'!$BZ$3:$BZ$152,'2024数据'!$AB$3:$AB$152,"&gt;="&amp;DATE(2024,12,1),'2024数据'!$AB$3:$AB$152,"&lt;="&amp;DATE(2024,12,31),'2024数据'!$BY$3:$BY$152,$E1847,'2024数据'!$B$3:$B$152,'2024整理'!$E2004)/10000</f>
        <v>0</v>
      </c>
    </row>
    <row r="2025" ht="24" customHeight="1" spans="1:17">
      <c r="A2025" s="99" t="s">
        <v>350</v>
      </c>
      <c r="B2025" s="99" t="s">
        <v>299</v>
      </c>
      <c r="C2025" s="99" t="s">
        <v>333</v>
      </c>
      <c r="D2025" s="53" t="s">
        <v>303</v>
      </c>
      <c r="E2025" s="53" t="s">
        <v>96</v>
      </c>
      <c r="F2025" s="123">
        <f>SUMIFS('2024数据'!$BZ$3:$BZ$152,'2024数据'!$AB$3:$AB$152,"&gt;="&amp;DATE(2024,1,1),'2024数据'!$AB$3:$AB$152,"&lt;="&amp;DATE(2024,1,31),'2024数据'!$BY$3:$BY$152,$E1847,'2024数据'!$B$3:$B$152,'2024整理'!$E2005)/10000</f>
        <v>0</v>
      </c>
      <c r="G2025" s="123">
        <f>SUMIFS('2024数据'!$BZ$3:$BZ$152,'2024数据'!$AB$3:$AB$152,"&gt;="&amp;DATE(2024,2,1),'2024数据'!$AB$3:$AB$152,"&lt;="&amp;DATE(2024,2,29),'2024数据'!$BY$3:$BY$152,$E1847,'2024数据'!$B$3:$B$152,'2024整理'!$E2005)/10000</f>
        <v>0</v>
      </c>
      <c r="H2025" s="123">
        <f>SUMIFS('2024数据'!$BZ$3:$BZ$152,'2024数据'!$AB$3:$AB$152,"&gt;="&amp;DATE(2024,3,1),'2024数据'!$AB$3:$AB$152,"&lt;="&amp;DATE(2024,3,31),'2024数据'!$BY$3:$BY$152,$E1847,'2024数据'!$B$3:$B$152,'2024整理'!$E2005)/10000</f>
        <v>0</v>
      </c>
      <c r="I2025" s="123">
        <f>SUMIFS('2024数据'!$BZ$3:$BZ$152,'2024数据'!$AB$3:$AB$152,"&gt;="&amp;DATE(2024,4,1),'2024数据'!$AB$3:$AB$152,"&lt;="&amp;DATE(2024,4,30),'2024数据'!$BY$3:$BY$152,$E1847,'2024数据'!$B$3:$B$152,'2024整理'!$E2005)/10000</f>
        <v>0</v>
      </c>
      <c r="J2025" s="123">
        <f>SUMIFS('2024数据'!$BZ$3:$BZ$152,'2024数据'!$AB$3:$AB$152,"&gt;="&amp;DATE(2024,5,1),'2024数据'!$AB$3:$AB$152,"&lt;="&amp;DATE(2024,5,31),'2024数据'!$BY$3:$BY$152,$E1847,'2024数据'!$B$3:$B$152,'2024整理'!$E2005)/10000</f>
        <v>0</v>
      </c>
      <c r="K2025" s="123">
        <f>SUMIFS('2024数据'!$BZ$3:$BZ$152,'2024数据'!$AB$3:$AB$152,"&gt;="&amp;DATE(2024,6,1),'2024数据'!$AB$3:$AB$152,"&lt;="&amp;DATE(2024,6,30),'2024数据'!$BY$3:$BY$152,$E1847,'2024数据'!$B$3:$B$152,'2024整理'!$E2005)/10000</f>
        <v>0</v>
      </c>
      <c r="L2025" s="123">
        <f>SUMIFS('2024数据'!$BZ$3:$BZ$152,'2024数据'!$AB$3:$AB$152,"&gt;="&amp;DATE(2024,7,1),'2024数据'!$AB$3:$AB$152,"&lt;="&amp;DATE(2024,7,31),'2024数据'!$BY$3:$BY$152,$E1847,'2024数据'!$B$3:$B$152,'2024整理'!$E2005)/10000</f>
        <v>0</v>
      </c>
      <c r="M2025" s="123">
        <f>SUMIFS('2024数据'!$BZ$3:$BZ$152,'2024数据'!$AB$3:$AB$152,"&gt;="&amp;DATE(2024,8,1),'2024数据'!$AB$3:$AB$152,"&lt;="&amp;DATE(2024,8,31),'2024数据'!$BY$3:$BY$152,$E1847,'2024数据'!$B$3:$B$152,'2024整理'!$E2005)/10000</f>
        <v>0</v>
      </c>
      <c r="N2025" s="123">
        <f>SUMIFS('2024数据'!$BZ$3:$BZ$152,'2024数据'!$AB$3:$AB$152,"&gt;="&amp;DATE(2024,9,1),'2024数据'!$AB$3:$AB$152,"&lt;="&amp;DATE(2024,9,30),'2024数据'!$BY$3:$BY$152,$E1847,'2024数据'!$B$3:$B$152,'2024整理'!$E2005)/10000</f>
        <v>0.022413</v>
      </c>
      <c r="O2025" s="123">
        <f>SUMIFS('2024数据'!$BZ$3:$BZ$152,'2024数据'!$AB$3:$AB$152,"&gt;="&amp;DATE(2024,10,1),'2024数据'!$AB$3:$AB$152,"&lt;="&amp;DATE(2024,10,31),'2024数据'!$BY$3:$BY$152,$E1847,'2024数据'!$B$3:$B$152,'2024整理'!$E2005)/10000</f>
        <v>0</v>
      </c>
      <c r="P2025" s="123">
        <f>SUMIFS('2024数据'!$BZ$3:$BZ$152,'2024数据'!$AB$3:$AB$152,"&gt;="&amp;DATE(2024,11,1),'2024数据'!$AB$3:$AB$152,"&lt;="&amp;DATE(2024,11,30),'2024数据'!$BY$3:$BY$152,$E1847,'2024数据'!$B$3:$B$152,'2024整理'!$E2005)/10000</f>
        <v>0</v>
      </c>
      <c r="Q2025" s="123">
        <f>SUMIFS('2024数据'!$BZ$3:$BZ$152,'2024数据'!$AB$3:$AB$152,"&gt;="&amp;DATE(2024,12,1),'2024数据'!$AB$3:$AB$152,"&lt;="&amp;DATE(2024,12,31),'2024数据'!$BY$3:$BY$152,$E1847,'2024数据'!$B$3:$B$152,'2024整理'!$E2005)/10000</f>
        <v>0</v>
      </c>
    </row>
    <row r="2026" ht="24" customHeight="1" spans="1:17">
      <c r="A2026" s="99" t="s">
        <v>350</v>
      </c>
      <c r="B2026" s="99" t="s">
        <v>299</v>
      </c>
      <c r="C2026" s="99" t="s">
        <v>333</v>
      </c>
      <c r="D2026" s="53" t="s">
        <v>303</v>
      </c>
      <c r="E2026" s="53" t="s">
        <v>160</v>
      </c>
      <c r="F2026" s="123">
        <f t="shared" ref="F2026:Q2026" si="1480">F2019-SUM(F2022:F2025)</f>
        <v>0</v>
      </c>
      <c r="G2026" s="123">
        <f t="shared" si="1480"/>
        <v>0</v>
      </c>
      <c r="H2026" s="123">
        <f t="shared" si="1480"/>
        <v>0</v>
      </c>
      <c r="I2026" s="123">
        <f t="shared" si="1480"/>
        <v>0</v>
      </c>
      <c r="J2026" s="123">
        <f t="shared" si="1480"/>
        <v>0</v>
      </c>
      <c r="K2026" s="123">
        <f t="shared" si="1480"/>
        <v>0</v>
      </c>
      <c r="L2026" s="123">
        <f t="shared" si="1480"/>
        <v>0</v>
      </c>
      <c r="M2026" s="123">
        <f t="shared" si="1480"/>
        <v>0</v>
      </c>
      <c r="N2026" s="123">
        <f t="shared" si="1480"/>
        <v>0</v>
      </c>
      <c r="O2026" s="123">
        <f t="shared" si="1480"/>
        <v>0</v>
      </c>
      <c r="P2026" s="123">
        <f t="shared" si="1480"/>
        <v>0</v>
      </c>
      <c r="Q2026" s="123">
        <f t="shared" si="1480"/>
        <v>0</v>
      </c>
    </row>
    <row r="2027" ht="24" customHeight="1" spans="1:17">
      <c r="A2027" s="99" t="s">
        <v>350</v>
      </c>
      <c r="B2027" s="99" t="s">
        <v>299</v>
      </c>
      <c r="C2027" s="99" t="s">
        <v>333</v>
      </c>
      <c r="D2027" s="53" t="s">
        <v>304</v>
      </c>
      <c r="E2027" s="53" t="s">
        <v>93</v>
      </c>
      <c r="F2027" s="123">
        <f>SUMIFS('2024数据'!$BZ$3:$BZ$152,'2024数据'!$AB$3:$AB$152,"&gt;="&amp;DATE(2024,1,1),'2024数据'!$AB$3:$AB$152,"&lt;="&amp;DATE(2024,1,31),'2024数据'!$BY$3:$BY$152,$E1848,'2024数据'!$B$3:$B$152,'2024整理'!$E2002)/10000</f>
        <v>0.003523</v>
      </c>
      <c r="G2027" s="123">
        <f>SUMIFS('2024数据'!$BZ$3:$BZ$152,'2024数据'!$AB$3:$AB$152,"&gt;="&amp;DATE(2024,2,1),'2024数据'!$AB$3:$AB$152,"&lt;="&amp;DATE(2024,2,29),'2024数据'!$BY$3:$BY$152,$E1848,'2024数据'!$B$3:$B$152,'2024整理'!$E2002)/10000</f>
        <v>0</v>
      </c>
      <c r="H2027" s="123">
        <f>SUMIFS('2024数据'!$BZ$3:$BZ$152,'2024数据'!$AB$3:$AB$152,"&gt;="&amp;DATE(2024,3,1),'2024数据'!$AB$3:$AB$152,"&lt;="&amp;DATE(2024,3,31),'2024数据'!$BY$3:$BY$152,$E1848,'2024数据'!$B$3:$B$152,'2024整理'!$E2002)/10000</f>
        <v>0</v>
      </c>
      <c r="I2027" s="123">
        <f>SUMIFS('2024数据'!$BZ$3:$BZ$152,'2024数据'!$AB$3:$AB$152,"&gt;="&amp;DATE(2024,4,1),'2024数据'!$AB$3:$AB$152,"&lt;="&amp;DATE(2024,4,30),'2024数据'!$BY$3:$BY$152,$E1848,'2024数据'!$B$3:$B$152,'2024整理'!$E2002)/10000</f>
        <v>0</v>
      </c>
      <c r="J2027" s="123">
        <f>SUMIFS('2024数据'!$BZ$3:$BZ$152,'2024数据'!$AB$3:$AB$152,"&gt;="&amp;DATE(2024,5,1),'2024数据'!$AB$3:$AB$152,"&lt;="&amp;DATE(2024,5,31),'2024数据'!$BY$3:$BY$152,$E1848,'2024数据'!$B$3:$B$152,'2024整理'!$E2002)/10000</f>
        <v>0.032853</v>
      </c>
      <c r="K2027" s="123">
        <f>SUMIFS('2024数据'!$BZ$3:$BZ$152,'2024数据'!$AB$3:$AB$152,"&gt;="&amp;DATE(2024,6,1),'2024数据'!$AB$3:$AB$152,"&lt;="&amp;DATE(2024,6,30),'2024数据'!$BY$3:$BY$152,$E1848,'2024数据'!$B$3:$B$152,'2024整理'!$E2002)/10000</f>
        <v>0.005267</v>
      </c>
      <c r="L2027" s="123">
        <f>SUMIFS('2024数据'!$BZ$3:$BZ$152,'2024数据'!$AB$3:$AB$152,"&gt;="&amp;DATE(2024,7,1),'2024数据'!$AB$3:$AB$152,"&lt;="&amp;DATE(2024,7,31),'2024数据'!$BY$3:$BY$152,$E1848,'2024数据'!$B$3:$B$152,'2024整理'!$E2002)/10000</f>
        <v>0</v>
      </c>
      <c r="M2027" s="123">
        <f>SUMIFS('2024数据'!$BZ$3:$BZ$152,'2024数据'!$AB$3:$AB$152,"&gt;="&amp;DATE(2024,8,1),'2024数据'!$AB$3:$AB$152,"&lt;="&amp;DATE(2024,8,31),'2024数据'!$BY$3:$BY$152,$E1848,'2024数据'!$B$3:$B$152,'2024整理'!$E2002)/10000</f>
        <v>0</v>
      </c>
      <c r="N2027" s="123">
        <f>SUMIFS('2024数据'!$BZ$3:$BZ$152,'2024数据'!$AB$3:$AB$152,"&gt;="&amp;DATE(2024,9,1),'2024数据'!$AB$3:$AB$152,"&lt;="&amp;DATE(2024,9,30),'2024数据'!$BY$3:$BY$152,$E1848,'2024数据'!$B$3:$B$152,'2024整理'!$E2002)/10000</f>
        <v>0.032552</v>
      </c>
      <c r="O2027" s="123">
        <f>SUMIFS('2024数据'!$BZ$3:$BZ$152,'2024数据'!$AB$3:$AB$152,"&gt;="&amp;DATE(2024,10,1),'2024数据'!$AB$3:$AB$152,"&lt;="&amp;DATE(2024,10,31),'2024数据'!$BY$3:$BY$152,$E1848,'2024数据'!$B$3:$B$152,'2024整理'!$E2002)/10000</f>
        <v>0</v>
      </c>
      <c r="P2027" s="123">
        <f>SUMIFS('2024数据'!$BZ$3:$BZ$152,'2024数据'!$AB$3:$AB$152,"&gt;="&amp;DATE(2024,11,1),'2024数据'!$AB$3:$AB$152,"&lt;="&amp;DATE(2024,11,30),'2024数据'!$BY$3:$BY$152,$E1848,'2024数据'!$B$3:$B$152,'2024整理'!$E2002)/10000</f>
        <v>0.016687</v>
      </c>
      <c r="Q2027" s="123">
        <f>SUMIFS('2024数据'!$BZ$3:$BZ$152,'2024数据'!$AB$3:$AB$152,"&gt;="&amp;DATE(2024,12,1),'2024数据'!$AB$3:$AB$152,"&lt;="&amp;DATE(2024,12,31),'2024数据'!$BY$3:$BY$152,$E1848,'2024数据'!$B$3:$B$152,'2024整理'!$E2002)/10000</f>
        <v>0</v>
      </c>
    </row>
    <row r="2028" ht="24" customHeight="1" spans="1:17">
      <c r="A2028" s="99" t="s">
        <v>350</v>
      </c>
      <c r="B2028" s="99" t="s">
        <v>299</v>
      </c>
      <c r="C2028" s="99" t="s">
        <v>333</v>
      </c>
      <c r="D2028" s="53" t="s">
        <v>304</v>
      </c>
      <c r="E2028" s="53" t="s">
        <v>85</v>
      </c>
      <c r="F2028" s="123">
        <f>SUMIFS('2024数据'!$BZ$3:$BZ$152,'2024数据'!$AB$3:$AB$152,"&gt;="&amp;DATE(2024,1,1),'2024数据'!$AB$3:$AB$152,"&lt;="&amp;DATE(2024,1,31),'2024数据'!$BY$3:$BY$152,$E1848,'2024数据'!$B$3:$B$152,'2024整理'!$E2003)/10000</f>
        <v>0</v>
      </c>
      <c r="G2028" s="123">
        <f>SUMIFS('2024数据'!$BZ$3:$BZ$152,'2024数据'!$AB$3:$AB$152,"&gt;="&amp;DATE(2024,2,1),'2024数据'!$AB$3:$AB$152,"&lt;="&amp;DATE(2024,2,29),'2024数据'!$BY$3:$BY$152,$E1848,'2024数据'!$B$3:$B$152,'2024整理'!$E2003)/10000</f>
        <v>0.046782</v>
      </c>
      <c r="H2028" s="123">
        <f>SUMIFS('2024数据'!$BZ$3:$BZ$152,'2024数据'!$AB$3:$AB$152,"&gt;="&amp;DATE(2024,3,1),'2024数据'!$AB$3:$AB$152,"&lt;="&amp;DATE(2024,3,31),'2024数据'!$BY$3:$BY$152,$E1848,'2024数据'!$B$3:$B$152,'2024整理'!$E2003)/10000</f>
        <v>0</v>
      </c>
      <c r="I2028" s="123">
        <f>SUMIFS('2024数据'!$BZ$3:$BZ$152,'2024数据'!$AB$3:$AB$152,"&gt;="&amp;DATE(2024,4,1),'2024数据'!$AB$3:$AB$152,"&lt;="&amp;DATE(2024,4,30),'2024数据'!$BY$3:$BY$152,$E1848,'2024数据'!$B$3:$B$152,'2024整理'!$E2003)/10000</f>
        <v>0</v>
      </c>
      <c r="J2028" s="123">
        <f>SUMIFS('2024数据'!$BZ$3:$BZ$152,'2024数据'!$AB$3:$AB$152,"&gt;="&amp;DATE(2024,5,1),'2024数据'!$AB$3:$AB$152,"&lt;="&amp;DATE(2024,5,31),'2024数据'!$BY$3:$BY$152,$E1848,'2024数据'!$B$3:$B$152,'2024整理'!$E2003)/10000</f>
        <v>0</v>
      </c>
      <c r="K2028" s="123">
        <f>SUMIFS('2024数据'!$BZ$3:$BZ$152,'2024数据'!$AB$3:$AB$152,"&gt;="&amp;DATE(2024,6,1),'2024数据'!$AB$3:$AB$152,"&lt;="&amp;DATE(2024,6,30),'2024数据'!$BY$3:$BY$152,$E1848,'2024数据'!$B$3:$B$152,'2024整理'!$E2003)/10000</f>
        <v>0</v>
      </c>
      <c r="L2028" s="123">
        <f>SUMIFS('2024数据'!$BZ$3:$BZ$152,'2024数据'!$AB$3:$AB$152,"&gt;="&amp;DATE(2024,7,1),'2024数据'!$AB$3:$AB$152,"&lt;="&amp;DATE(2024,7,31),'2024数据'!$BY$3:$BY$152,$E1848,'2024数据'!$B$3:$B$152,'2024整理'!$E2003)/10000</f>
        <v>0</v>
      </c>
      <c r="M2028" s="123">
        <f>SUMIFS('2024数据'!$BZ$3:$BZ$152,'2024数据'!$AB$3:$AB$152,"&gt;="&amp;DATE(2024,8,1),'2024数据'!$AB$3:$AB$152,"&lt;="&amp;DATE(2024,8,31),'2024数据'!$BY$3:$BY$152,$E1848,'2024数据'!$B$3:$B$152,'2024整理'!$E2003)/10000</f>
        <v>0</v>
      </c>
      <c r="N2028" s="123">
        <f>SUMIFS('2024数据'!$BZ$3:$BZ$152,'2024数据'!$AB$3:$AB$152,"&gt;="&amp;DATE(2024,9,1),'2024数据'!$AB$3:$AB$152,"&lt;="&amp;DATE(2024,9,30),'2024数据'!$BY$3:$BY$152,$E1848,'2024数据'!$B$3:$B$152,'2024整理'!$E2003)/10000</f>
        <v>0</v>
      </c>
      <c r="O2028" s="123">
        <f>SUMIFS('2024数据'!$BZ$3:$BZ$152,'2024数据'!$AB$3:$AB$152,"&gt;="&amp;DATE(2024,10,1),'2024数据'!$AB$3:$AB$152,"&lt;="&amp;DATE(2024,10,31),'2024数据'!$BY$3:$BY$152,$E1848,'2024数据'!$B$3:$B$152,'2024整理'!$E2003)/10000</f>
        <v>0</v>
      </c>
      <c r="P2028" s="123">
        <f>SUMIFS('2024数据'!$BZ$3:$BZ$152,'2024数据'!$AB$3:$AB$152,"&gt;="&amp;DATE(2024,11,1),'2024数据'!$AB$3:$AB$152,"&lt;="&amp;DATE(2024,11,30),'2024数据'!$BY$3:$BY$152,$E1848,'2024数据'!$B$3:$B$152,'2024整理'!$E2003)/10000</f>
        <v>0</v>
      </c>
      <c r="Q2028" s="123">
        <f>SUMIFS('2024数据'!$BZ$3:$BZ$152,'2024数据'!$AB$3:$AB$152,"&gt;="&amp;DATE(2024,12,1),'2024数据'!$AB$3:$AB$152,"&lt;="&amp;DATE(2024,12,31),'2024数据'!$BY$3:$BY$152,$E1848,'2024数据'!$B$3:$B$152,'2024整理'!$E2003)/10000</f>
        <v>0</v>
      </c>
    </row>
    <row r="2029" ht="24" customHeight="1" spans="1:17">
      <c r="A2029" s="99" t="s">
        <v>350</v>
      </c>
      <c r="B2029" s="99" t="s">
        <v>299</v>
      </c>
      <c r="C2029" s="99" t="s">
        <v>333</v>
      </c>
      <c r="D2029" s="53" t="s">
        <v>304</v>
      </c>
      <c r="E2029" s="53" t="s">
        <v>81</v>
      </c>
      <c r="F2029" s="123">
        <f>SUMIFS('2024数据'!$BZ$3:$BZ$152,'2024数据'!$AB$3:$AB$152,"&gt;="&amp;DATE(2024,1,1),'2024数据'!$AB$3:$AB$152,"&lt;="&amp;DATE(2024,1,31),'2024数据'!$BY$3:$BY$152,$E1848,'2024数据'!$B$3:$B$152,'2024整理'!$E2004)/10000</f>
        <v>0</v>
      </c>
      <c r="G2029" s="123">
        <f>SUMIFS('2024数据'!$BZ$3:$BZ$152,'2024数据'!$AB$3:$AB$152,"&gt;="&amp;DATE(2024,2,1),'2024数据'!$AB$3:$AB$152,"&lt;="&amp;DATE(2024,2,29),'2024数据'!$BY$3:$BY$152,$E1848,'2024数据'!$B$3:$B$152,'2024整理'!$E2004)/10000</f>
        <v>0</v>
      </c>
      <c r="H2029" s="123">
        <f>SUMIFS('2024数据'!$BZ$3:$BZ$152,'2024数据'!$AB$3:$AB$152,"&gt;="&amp;DATE(2024,3,1),'2024数据'!$AB$3:$AB$152,"&lt;="&amp;DATE(2024,3,31),'2024数据'!$BY$3:$BY$152,$E1848,'2024数据'!$B$3:$B$152,'2024整理'!$E2004)/10000</f>
        <v>0</v>
      </c>
      <c r="I2029" s="123">
        <f>SUMIFS('2024数据'!$BZ$3:$BZ$152,'2024数据'!$AB$3:$AB$152,"&gt;="&amp;DATE(2024,4,1),'2024数据'!$AB$3:$AB$152,"&lt;="&amp;DATE(2024,4,30),'2024数据'!$BY$3:$BY$152,$E1848,'2024数据'!$B$3:$B$152,'2024整理'!$E2004)/10000</f>
        <v>0</v>
      </c>
      <c r="J2029" s="123">
        <f>SUMIFS('2024数据'!$BZ$3:$BZ$152,'2024数据'!$AB$3:$AB$152,"&gt;="&amp;DATE(2024,5,1),'2024数据'!$AB$3:$AB$152,"&lt;="&amp;DATE(2024,5,31),'2024数据'!$BY$3:$BY$152,$E1848,'2024数据'!$B$3:$B$152,'2024整理'!$E2004)/10000</f>
        <v>0</v>
      </c>
      <c r="K2029" s="123">
        <f>SUMIFS('2024数据'!$BZ$3:$BZ$152,'2024数据'!$AB$3:$AB$152,"&gt;="&amp;DATE(2024,6,1),'2024数据'!$AB$3:$AB$152,"&lt;="&amp;DATE(2024,6,30),'2024数据'!$BY$3:$BY$152,$E1848,'2024数据'!$B$3:$B$152,'2024整理'!$E2004)/10000</f>
        <v>0</v>
      </c>
      <c r="L2029" s="123">
        <f>SUMIFS('2024数据'!$BZ$3:$BZ$152,'2024数据'!$AB$3:$AB$152,"&gt;="&amp;DATE(2024,7,1),'2024数据'!$AB$3:$AB$152,"&lt;="&amp;DATE(2024,7,31),'2024数据'!$BY$3:$BY$152,$E1848,'2024数据'!$B$3:$B$152,'2024整理'!$E2004)/10000</f>
        <v>0</v>
      </c>
      <c r="M2029" s="123">
        <f>SUMIFS('2024数据'!$BZ$3:$BZ$152,'2024数据'!$AB$3:$AB$152,"&gt;="&amp;DATE(2024,8,1),'2024数据'!$AB$3:$AB$152,"&lt;="&amp;DATE(2024,8,31),'2024数据'!$BY$3:$BY$152,$E1848,'2024数据'!$B$3:$B$152,'2024整理'!$E2004)/10000</f>
        <v>0</v>
      </c>
      <c r="N2029" s="123">
        <f>SUMIFS('2024数据'!$BZ$3:$BZ$152,'2024数据'!$AB$3:$AB$152,"&gt;="&amp;DATE(2024,9,1),'2024数据'!$AB$3:$AB$152,"&lt;="&amp;DATE(2024,9,30),'2024数据'!$BY$3:$BY$152,$E1848,'2024数据'!$B$3:$B$152,'2024整理'!$E2004)/10000</f>
        <v>0</v>
      </c>
      <c r="O2029" s="123">
        <f>SUMIFS('2024数据'!$BZ$3:$BZ$152,'2024数据'!$AB$3:$AB$152,"&gt;="&amp;DATE(2024,10,1),'2024数据'!$AB$3:$AB$152,"&lt;="&amp;DATE(2024,10,31),'2024数据'!$BY$3:$BY$152,$E1848,'2024数据'!$B$3:$B$152,'2024整理'!$E2004)/10000</f>
        <v>0</v>
      </c>
      <c r="P2029" s="123">
        <f>SUMIFS('2024数据'!$BZ$3:$BZ$152,'2024数据'!$AB$3:$AB$152,"&gt;="&amp;DATE(2024,11,1),'2024数据'!$AB$3:$AB$152,"&lt;="&amp;DATE(2024,11,30),'2024数据'!$BY$3:$BY$152,$E1848,'2024数据'!$B$3:$B$152,'2024整理'!$E2004)/10000</f>
        <v>0</v>
      </c>
      <c r="Q2029" s="123">
        <f>SUMIFS('2024数据'!$BZ$3:$BZ$152,'2024数据'!$AB$3:$AB$152,"&gt;="&amp;DATE(2024,12,1),'2024数据'!$AB$3:$AB$152,"&lt;="&amp;DATE(2024,12,31),'2024数据'!$BY$3:$BY$152,$E1848,'2024数据'!$B$3:$B$152,'2024整理'!$E2004)/10000</f>
        <v>0.026462</v>
      </c>
    </row>
    <row r="2030" ht="24" customHeight="1" spans="1:17">
      <c r="A2030" s="99" t="s">
        <v>350</v>
      </c>
      <c r="B2030" s="99" t="s">
        <v>299</v>
      </c>
      <c r="C2030" s="99" t="s">
        <v>333</v>
      </c>
      <c r="D2030" s="53" t="s">
        <v>304</v>
      </c>
      <c r="E2030" s="53" t="s">
        <v>96</v>
      </c>
      <c r="F2030" s="123">
        <f>SUMIFS('2024数据'!$BZ$3:$BZ$152,'2024数据'!$AB$3:$AB$152,"&gt;="&amp;DATE(2024,1,1),'2024数据'!$AB$3:$AB$152,"&lt;="&amp;DATE(2024,1,31),'2024数据'!$BY$3:$BY$152,$E1848,'2024数据'!$B$3:$B$152,'2024整理'!$E2005)/10000</f>
        <v>0</v>
      </c>
      <c r="G2030" s="123">
        <f>SUMIFS('2024数据'!$BZ$3:$BZ$152,'2024数据'!$AB$3:$AB$152,"&gt;="&amp;DATE(2024,2,1),'2024数据'!$AB$3:$AB$152,"&lt;="&amp;DATE(2024,2,29),'2024数据'!$BY$3:$BY$152,$E1848,'2024数据'!$B$3:$B$152,'2024整理'!$E2005)/10000</f>
        <v>0</v>
      </c>
      <c r="H2030" s="123">
        <f>SUMIFS('2024数据'!$BZ$3:$BZ$152,'2024数据'!$AB$3:$AB$152,"&gt;="&amp;DATE(2024,3,1),'2024数据'!$AB$3:$AB$152,"&lt;="&amp;DATE(2024,3,31),'2024数据'!$BY$3:$BY$152,$E1848,'2024数据'!$B$3:$B$152,'2024整理'!$E2005)/10000</f>
        <v>0</v>
      </c>
      <c r="I2030" s="123">
        <f>SUMIFS('2024数据'!$BZ$3:$BZ$152,'2024数据'!$AB$3:$AB$152,"&gt;="&amp;DATE(2024,4,1),'2024数据'!$AB$3:$AB$152,"&lt;="&amp;DATE(2024,4,30),'2024数据'!$BY$3:$BY$152,$E1848,'2024数据'!$B$3:$B$152,'2024整理'!$E2005)/10000</f>
        <v>0</v>
      </c>
      <c r="J2030" s="123">
        <f>SUMIFS('2024数据'!$BZ$3:$BZ$152,'2024数据'!$AB$3:$AB$152,"&gt;="&amp;DATE(2024,5,1),'2024数据'!$AB$3:$AB$152,"&lt;="&amp;DATE(2024,5,31),'2024数据'!$BY$3:$BY$152,$E1848,'2024数据'!$B$3:$B$152,'2024整理'!$E2005)/10000</f>
        <v>0</v>
      </c>
      <c r="K2030" s="123">
        <f>SUMIFS('2024数据'!$BZ$3:$BZ$152,'2024数据'!$AB$3:$AB$152,"&gt;="&amp;DATE(2024,6,1),'2024数据'!$AB$3:$AB$152,"&lt;="&amp;DATE(2024,6,30),'2024数据'!$BY$3:$BY$152,$E1848,'2024数据'!$B$3:$B$152,'2024整理'!$E2005)/10000</f>
        <v>0</v>
      </c>
      <c r="L2030" s="123">
        <f>SUMIFS('2024数据'!$BZ$3:$BZ$152,'2024数据'!$AB$3:$AB$152,"&gt;="&amp;DATE(2024,7,1),'2024数据'!$AB$3:$AB$152,"&lt;="&amp;DATE(2024,7,31),'2024数据'!$BY$3:$BY$152,$E1848,'2024数据'!$B$3:$B$152,'2024整理'!$E2005)/10000</f>
        <v>0</v>
      </c>
      <c r="M2030" s="123">
        <f>SUMIFS('2024数据'!$BZ$3:$BZ$152,'2024数据'!$AB$3:$AB$152,"&gt;="&amp;DATE(2024,8,1),'2024数据'!$AB$3:$AB$152,"&lt;="&amp;DATE(2024,8,31),'2024数据'!$BY$3:$BY$152,$E1848,'2024数据'!$B$3:$B$152,'2024整理'!$E2005)/10000</f>
        <v>0</v>
      </c>
      <c r="N2030" s="123">
        <f>SUMIFS('2024数据'!$BZ$3:$BZ$152,'2024数据'!$AB$3:$AB$152,"&gt;="&amp;DATE(2024,9,1),'2024数据'!$AB$3:$AB$152,"&lt;="&amp;DATE(2024,9,30),'2024数据'!$BY$3:$BY$152,$E1848,'2024数据'!$B$3:$B$152,'2024整理'!$E2005)/10000</f>
        <v>0</v>
      </c>
      <c r="O2030" s="123">
        <f>SUMIFS('2024数据'!$BZ$3:$BZ$152,'2024数据'!$AB$3:$AB$152,"&gt;="&amp;DATE(2024,10,1),'2024数据'!$AB$3:$AB$152,"&lt;="&amp;DATE(2024,10,31),'2024数据'!$BY$3:$BY$152,$E1848,'2024数据'!$B$3:$B$152,'2024整理'!$E2005)/10000</f>
        <v>0</v>
      </c>
      <c r="P2030" s="123">
        <f>SUMIFS('2024数据'!$BZ$3:$BZ$152,'2024数据'!$AB$3:$AB$152,"&gt;="&amp;DATE(2024,11,1),'2024数据'!$AB$3:$AB$152,"&lt;="&amp;DATE(2024,11,30),'2024数据'!$BY$3:$BY$152,$E1848,'2024数据'!$B$3:$B$152,'2024整理'!$E2005)/10000</f>
        <v>0</v>
      </c>
      <c r="Q2030" s="123">
        <f>SUMIFS('2024数据'!$BZ$3:$BZ$152,'2024数据'!$AB$3:$AB$152,"&gt;="&amp;DATE(2024,12,1),'2024数据'!$AB$3:$AB$152,"&lt;="&amp;DATE(2024,12,31),'2024数据'!$BY$3:$BY$152,$E1848,'2024数据'!$B$3:$B$152,'2024整理'!$E2005)/10000</f>
        <v>0</v>
      </c>
    </row>
    <row r="2031" ht="24" customHeight="1" spans="1:17">
      <c r="A2031" s="99" t="s">
        <v>350</v>
      </c>
      <c r="B2031" s="99" t="s">
        <v>299</v>
      </c>
      <c r="C2031" s="99" t="s">
        <v>333</v>
      </c>
      <c r="D2031" s="53" t="s">
        <v>304</v>
      </c>
      <c r="E2031" s="53" t="s">
        <v>160</v>
      </c>
      <c r="F2031" s="123">
        <f t="shared" ref="F2031:Q2031" si="1481">F2020-SUM(F2027:F2030)</f>
        <v>0</v>
      </c>
      <c r="G2031" s="123">
        <f t="shared" si="1481"/>
        <v>0</v>
      </c>
      <c r="H2031" s="123">
        <f t="shared" si="1481"/>
        <v>0</v>
      </c>
      <c r="I2031" s="123">
        <f t="shared" si="1481"/>
        <v>0</v>
      </c>
      <c r="J2031" s="123">
        <f t="shared" si="1481"/>
        <v>0</v>
      </c>
      <c r="K2031" s="123">
        <f t="shared" si="1481"/>
        <v>0</v>
      </c>
      <c r="L2031" s="123">
        <f t="shared" si="1481"/>
        <v>0</v>
      </c>
      <c r="M2031" s="123">
        <f t="shared" si="1481"/>
        <v>0</v>
      </c>
      <c r="N2031" s="123">
        <f t="shared" si="1481"/>
        <v>0</v>
      </c>
      <c r="O2031" s="123">
        <f t="shared" si="1481"/>
        <v>0</v>
      </c>
      <c r="P2031" s="123">
        <f t="shared" si="1481"/>
        <v>0</v>
      </c>
      <c r="Q2031" s="123">
        <f t="shared" si="1481"/>
        <v>0</v>
      </c>
    </row>
    <row r="2032" ht="24" customHeight="1" spans="1:17">
      <c r="A2032" s="99" t="s">
        <v>350</v>
      </c>
      <c r="B2032" s="99" t="s">
        <v>299</v>
      </c>
      <c r="C2032" s="99" t="s">
        <v>336</v>
      </c>
      <c r="D2032" s="114" t="s">
        <v>292</v>
      </c>
      <c r="E2032" s="122" t="s">
        <v>337</v>
      </c>
      <c r="F2032" s="124">
        <f>SUMIFS('2024数据'!$BZ$3:$BZ$152,'2024数据'!$AB$3:$AB$152,"&gt;="&amp;DATE(2024,1,1),'2024数据'!$AB$3:$AB$152,"&lt;="&amp;DATE(2024,1,31),'2024数据'!$BY$3:$BY$152,$E1847)/10000</f>
        <v>0.018568</v>
      </c>
      <c r="G2032" s="124">
        <f>SUMIFS('2024数据'!$BZ$3:$BZ$152,'2024数据'!$AB$3:$AB$152,"&gt;="&amp;DATE(2024,2,1),'2024数据'!$AB$3:$AB$152,"&lt;="&amp;DATE(2024,2,29),'2024数据'!$BY$3:$BY$152,$E1847)/10000</f>
        <v>0</v>
      </c>
      <c r="H2032" s="124">
        <f>SUMIFS('2024数据'!$BZ$3:$BZ$152,'2024数据'!$AB$3:$AB$152,"&gt;="&amp;DATE(2024,3,1),'2024数据'!$AB$3:$AB$152,"&lt;="&amp;DATE(2024,3,31),'2024数据'!$BY$3:$BY$152,$E1847)/10000</f>
        <v>0.027049</v>
      </c>
      <c r="I2032" s="124">
        <f>SUMIFS('2024数据'!$BZ$3:$BZ$152,'2024数据'!$AB$3:$AB$152,"&gt;="&amp;DATE(2024,4,1),'2024数据'!$AB$3:$AB$152,"&lt;="&amp;DATE(2024,4,30),'2024数据'!$BY$3:$BY$152,$E1847)/10000</f>
        <v>0</v>
      </c>
      <c r="J2032" s="124">
        <f>SUMIFS('2024数据'!$BZ$3:$BZ$152,'2024数据'!$AB$3:$AB$152,"&gt;="&amp;DATE(2024,5,1),'2024数据'!$AB$3:$AB$152,"&lt;="&amp;DATE(2024,5,31),'2024数据'!$BY$3:$BY$152,$E1847)/10000</f>
        <v>0.008061</v>
      </c>
      <c r="K2032" s="124">
        <f>SUMIFS('2024数据'!$BZ$3:$BZ$152,'2024数据'!$AB$3:$AB$152,"&gt;="&amp;DATE(2024,6,1),'2024数据'!$AB$3:$AB$152,"&lt;="&amp;DATE(2024,6,30),'2024数据'!$BY$3:$BY$152,$E1847)/10000</f>
        <v>0</v>
      </c>
      <c r="L2032" s="124">
        <f>SUMIFS('2024数据'!$BZ$3:$BZ$152,'2024数据'!$AB$3:$AB$152,"&gt;="&amp;DATE(2024,7,1),'2024数据'!$AB$3:$AB$152,"&lt;="&amp;DATE(2024,7,31),'2024数据'!$BY$3:$BY$152,$E1847)/10000</f>
        <v>0</v>
      </c>
      <c r="M2032" s="124">
        <f>SUMIFS('2024数据'!$BZ$3:$BZ$152,'2024数据'!$AB$3:$AB$152,"&gt;="&amp;DATE(2024,8,1),'2024数据'!$AB$3:$AB$152,"&lt;="&amp;DATE(2024,8,31),'2024数据'!$BY$3:$BY$152,$E1847)/10000</f>
        <v>0</v>
      </c>
      <c r="N2032" s="124">
        <f>SUMIFS('2024数据'!$BZ$3:$BZ$152,'2024数据'!$AB$3:$AB$152,"&gt;="&amp;DATE(2024,9,1),'2024数据'!$AB$3:$AB$152,"&lt;="&amp;DATE(2024,9,30),'2024数据'!$BY$3:$BY$152,$E1847)/10000</f>
        <v>0.042647</v>
      </c>
      <c r="O2032" s="124">
        <f>SUMIFS('2024数据'!$BZ$3:$BZ$152,'2024数据'!$AB$3:$AB$152,"&gt;="&amp;DATE(2024,10,1),'2024数据'!$AB$3:$AB$152,"&lt;="&amp;DATE(2024,10,31),'2024数据'!$BY$3:$BY$152,$E1847)/10000</f>
        <v>0.005775</v>
      </c>
      <c r="P2032" s="124">
        <f>SUMIFS('2024数据'!$BZ$3:$BZ$152,'2024数据'!$AB$3:$AB$152,"&gt;="&amp;DATE(2024,11,1),'2024数据'!$AB$3:$AB$152,"&lt;="&amp;DATE(2024,11,30),'2024数据'!$BY$3:$BY$152,$E1847)/10000</f>
        <v>0</v>
      </c>
      <c r="Q2032" s="124">
        <f>SUMIFS('2024数据'!$BZ$3:$BZ$152,'2024数据'!$AB$3:$AB$152,"&gt;="&amp;DATE(2024,12,1),'2024数据'!$AB$3:$AB$152,"&lt;="&amp;DATE(2024,12,31),'2024数据'!$BY$3:$BY$152,$E1847)/10000</f>
        <v>0</v>
      </c>
    </row>
    <row r="2033" ht="24" customHeight="1" spans="1:17">
      <c r="A2033" s="99" t="s">
        <v>350</v>
      </c>
      <c r="B2033" s="99" t="s">
        <v>299</v>
      </c>
      <c r="C2033" s="99" t="s">
        <v>336</v>
      </c>
      <c r="D2033" s="114" t="s">
        <v>292</v>
      </c>
      <c r="E2033" s="122" t="s">
        <v>338</v>
      </c>
      <c r="F2033" s="124">
        <f>SUMIFS('2024数据'!$BZ$3:$BZ$152,'2024数据'!$AB$3:$AB$152,"&gt;="&amp;DATE(2024,1,1),'2024数据'!$AB$3:$AB$152,"&lt;="&amp;DATE(2024,1,31),'2024数据'!$BY$3:$BY$152,$E1848)/10000</f>
        <v>0.003523</v>
      </c>
      <c r="G2033" s="124">
        <f>SUMIFS('2024数据'!$BZ$3:$BZ$152,'2024数据'!$AB$3:$AB$152,"&gt;="&amp;DATE(2024,2,1),'2024数据'!$AB$3:$AB$152,"&lt;="&amp;DATE(2024,2,29),'2024数据'!$BY$3:$BY$152,$E1848)/10000</f>
        <v>0.046782</v>
      </c>
      <c r="H2033" s="124">
        <f>SUMIFS('2024数据'!$BZ$3:$BZ$152,'2024数据'!$AB$3:$AB$152,"&gt;="&amp;DATE(2024,3,1),'2024数据'!$AB$3:$AB$152,"&lt;="&amp;DATE(2024,3,31),'2024数据'!$BY$3:$BY$152,$E1848)/10000</f>
        <v>0</v>
      </c>
      <c r="I2033" s="124">
        <f>SUMIFS('2024数据'!$BZ$3:$BZ$152,'2024数据'!$AB$3:$AB$152,"&gt;="&amp;DATE(2024,4,1),'2024数据'!$AB$3:$AB$152,"&lt;="&amp;DATE(2024,4,30),'2024数据'!$BY$3:$BY$152,$E1848)/10000</f>
        <v>0</v>
      </c>
      <c r="J2033" s="124">
        <f>SUMIFS('2024数据'!$BZ$3:$BZ$152,'2024数据'!$AB$3:$AB$152,"&gt;="&amp;DATE(2024,5,1),'2024数据'!$AB$3:$AB$152,"&lt;="&amp;DATE(2024,5,31),'2024数据'!$BY$3:$BY$152,$E1848)/10000</f>
        <v>0.032853</v>
      </c>
      <c r="K2033" s="124">
        <f>SUMIFS('2024数据'!$BZ$3:$BZ$152,'2024数据'!$AB$3:$AB$152,"&gt;="&amp;DATE(2024,6,1),'2024数据'!$AB$3:$AB$152,"&lt;="&amp;DATE(2024,6,30),'2024数据'!$BY$3:$BY$152,$E1848)/10000</f>
        <v>0.005267</v>
      </c>
      <c r="L2033" s="124">
        <f>SUMIFS('2024数据'!$BZ$3:$BZ$152,'2024数据'!$AB$3:$AB$152,"&gt;="&amp;DATE(2024,7,1),'2024数据'!$AB$3:$AB$152,"&lt;="&amp;DATE(2024,7,31),'2024数据'!$BY$3:$BY$152,$E1848)/10000</f>
        <v>0</v>
      </c>
      <c r="M2033" s="124">
        <f>SUMIFS('2024数据'!$BZ$3:$BZ$152,'2024数据'!$AB$3:$AB$152,"&gt;="&amp;DATE(2024,8,1),'2024数据'!$AB$3:$AB$152,"&lt;="&amp;DATE(2024,8,31),'2024数据'!$BY$3:$BY$152,$E1848)/10000</f>
        <v>0</v>
      </c>
      <c r="N2033" s="124">
        <f>SUMIFS('2024数据'!$BZ$3:$BZ$152,'2024数据'!$AB$3:$AB$152,"&gt;="&amp;DATE(2024,9,1),'2024数据'!$AB$3:$AB$152,"&lt;="&amp;DATE(2024,9,30),'2024数据'!$BY$3:$BY$152,$E1848)/10000</f>
        <v>0.032552</v>
      </c>
      <c r="O2033" s="124">
        <f>SUMIFS('2024数据'!$BZ$3:$BZ$152,'2024数据'!$AB$3:$AB$152,"&gt;="&amp;DATE(2024,10,1),'2024数据'!$AB$3:$AB$152,"&lt;="&amp;DATE(2024,10,31),'2024数据'!$BY$3:$BY$152,$E1848)/10000</f>
        <v>0</v>
      </c>
      <c r="P2033" s="124">
        <f>SUMIFS('2024数据'!$BZ$3:$BZ$152,'2024数据'!$AB$3:$AB$152,"&gt;="&amp;DATE(2024,11,1),'2024数据'!$AB$3:$AB$152,"&lt;="&amp;DATE(2024,11,30),'2024数据'!$BY$3:$BY$152,$E1848)/10000</f>
        <v>0.016687</v>
      </c>
      <c r="Q2033" s="124">
        <f>SUMIFS('2024数据'!$BZ$3:$BZ$152,'2024数据'!$AB$3:$AB$152,"&gt;="&amp;DATE(2024,12,1),'2024数据'!$AB$3:$AB$152,"&lt;="&amp;DATE(2024,12,31),'2024数据'!$BY$3:$BY$152,$E1848)/10000</f>
        <v>0.026462</v>
      </c>
    </row>
    <row r="2034" ht="24" customHeight="1" spans="1:17">
      <c r="A2034" s="99" t="s">
        <v>350</v>
      </c>
      <c r="B2034" s="99" t="s">
        <v>299</v>
      </c>
      <c r="C2034" s="99" t="s">
        <v>336</v>
      </c>
      <c r="D2034" s="114" t="s">
        <v>292</v>
      </c>
      <c r="E2034" s="122" t="s">
        <v>339</v>
      </c>
      <c r="F2034" s="124">
        <f>SUMIFS('2024数据'!$BZ$3:$BZ$152,'2024数据'!$AB$3:$AB$152,"&gt;="&amp;DATE(2024,1,1),'2024数据'!$AB$3:$AB$152,"&lt;="&amp;DATE(2024,1,31),'2024数据'!$BY$3:$BY$152,$E1849)/10000</f>
        <v>0</v>
      </c>
      <c r="G2034" s="124">
        <f>SUMIFS('2024数据'!$BZ$3:$BZ$152,'2024数据'!$AB$3:$AB$152,"&gt;="&amp;DATE(2024,2,1),'2024数据'!$AB$3:$AB$152,"&lt;="&amp;DATE(2024,2,29),'2024数据'!$BY$3:$BY$152,$E1849)/10000</f>
        <v>0</v>
      </c>
      <c r="H2034" s="124">
        <f>SUMIFS('2024数据'!$BZ$3:$BZ$152,'2024数据'!$AB$3:$AB$152,"&gt;="&amp;DATE(2024,3,1),'2024数据'!$AB$3:$AB$152,"&lt;="&amp;DATE(2024,3,31),'2024数据'!$BY$3:$BY$152,$E1849)/10000</f>
        <v>0</v>
      </c>
      <c r="I2034" s="124">
        <f>SUMIFS('2024数据'!$BZ$3:$BZ$152,'2024数据'!$AB$3:$AB$152,"&gt;="&amp;DATE(2024,4,1),'2024数据'!$AB$3:$AB$152,"&lt;="&amp;DATE(2024,4,30),'2024数据'!$BY$3:$BY$152,$E1849)/10000</f>
        <v>0</v>
      </c>
      <c r="J2034" s="124">
        <f>SUMIFS('2024数据'!$BZ$3:$BZ$152,'2024数据'!$AB$3:$AB$152,"&gt;="&amp;DATE(2024,5,1),'2024数据'!$AB$3:$AB$152,"&lt;="&amp;DATE(2024,5,31),'2024数据'!$BY$3:$BY$152,$E1849)/10000</f>
        <v>0</v>
      </c>
      <c r="K2034" s="124">
        <f>SUMIFS('2024数据'!$BZ$3:$BZ$152,'2024数据'!$AB$3:$AB$152,"&gt;="&amp;DATE(2024,6,1),'2024数据'!$AB$3:$AB$152,"&lt;="&amp;DATE(2024,6,30),'2024数据'!$BY$3:$BY$152,$E1849)/10000</f>
        <v>0</v>
      </c>
      <c r="L2034" s="124">
        <f>SUMIFS('2024数据'!$BZ$3:$BZ$152,'2024数据'!$AB$3:$AB$152,"&gt;="&amp;DATE(2024,7,1),'2024数据'!$AB$3:$AB$152,"&lt;="&amp;DATE(2024,7,31),'2024数据'!$BY$3:$BY$152,$E1849)/10000</f>
        <v>0</v>
      </c>
      <c r="M2034" s="124">
        <f>SUMIFS('2024数据'!$BZ$3:$BZ$152,'2024数据'!$AB$3:$AB$152,"&gt;="&amp;DATE(2024,8,1),'2024数据'!$AB$3:$AB$152,"&lt;="&amp;DATE(2024,8,31),'2024数据'!$BY$3:$BY$152,$E1849)/10000</f>
        <v>0</v>
      </c>
      <c r="N2034" s="124">
        <f>SUMIFS('2024数据'!$BZ$3:$BZ$152,'2024数据'!$AB$3:$AB$152,"&gt;="&amp;DATE(2024,9,1),'2024数据'!$AB$3:$AB$152,"&lt;="&amp;DATE(2024,9,30),'2024数据'!$BY$3:$BY$152,$E1849)/10000</f>
        <v>0</v>
      </c>
      <c r="O2034" s="124">
        <f>SUMIFS('2024数据'!$BZ$3:$BZ$152,'2024数据'!$AB$3:$AB$152,"&gt;="&amp;DATE(2024,10,1),'2024数据'!$AB$3:$AB$152,"&lt;="&amp;DATE(2024,10,31),'2024数据'!$BY$3:$BY$152,$E1849)/10000</f>
        <v>0</v>
      </c>
      <c r="P2034" s="124">
        <f>SUMIFS('2024数据'!$BZ$3:$BZ$152,'2024数据'!$AB$3:$AB$152,"&gt;="&amp;DATE(2024,11,1),'2024数据'!$AB$3:$AB$152,"&lt;="&amp;DATE(2024,11,30),'2024数据'!$BY$3:$BY$152,$E1849)/10000</f>
        <v>0</v>
      </c>
      <c r="Q2034" s="124">
        <f>SUMIFS('2024数据'!$BZ$3:$BZ$152,'2024数据'!$AB$3:$AB$152,"&gt;="&amp;DATE(2024,12,1),'2024数据'!$AB$3:$AB$152,"&lt;="&amp;DATE(2024,12,31),'2024数据'!$BY$3:$BY$152,$E1849)/10000</f>
        <v>0</v>
      </c>
    </row>
    <row r="2035" ht="24" customHeight="1" spans="1:17">
      <c r="A2035" s="99" t="s">
        <v>350</v>
      </c>
      <c r="B2035" s="99" t="s">
        <v>299</v>
      </c>
      <c r="C2035" s="99" t="s">
        <v>336</v>
      </c>
      <c r="D2035" s="122" t="s">
        <v>303</v>
      </c>
      <c r="E2035" s="122" t="s">
        <v>93</v>
      </c>
      <c r="F2035" s="124">
        <f>SUMIFS('2024数据'!$BZ$3:$BZ$152,'2024数据'!$AB$3:$AB$152,"&gt;="&amp;DATE(2024,1,1),'2024数据'!$AB$3:$AB$152,"&lt;="&amp;DATE(2024,1,31),'2024数据'!$BY$3:$BY$152,$E1847,'2024数据'!$B$3:$B$152,'2024整理'!$E2014)/10000</f>
        <v>0</v>
      </c>
      <c r="G2035" s="124">
        <f>SUMIFS('2024数据'!$BZ$3:$BZ$152,'2024数据'!$AB$3:$AB$152,"&gt;="&amp;DATE(2024,2,1),'2024数据'!$AB$3:$AB$152,"&lt;="&amp;DATE(2024,2,29),'2024数据'!$BY$3:$BY$152,$E1847,'2024数据'!$B$3:$B$152,'2024整理'!$E2014)/10000</f>
        <v>0</v>
      </c>
      <c r="H2035" s="124">
        <f>SUMIFS('2024数据'!$BZ$3:$BZ$152,'2024数据'!$AB$3:$AB$152,"&gt;="&amp;DATE(2024,3,1),'2024数据'!$AB$3:$AB$152,"&lt;="&amp;DATE(2024,3,31),'2024数据'!$BY$3:$BY$152,$E1847,'2024数据'!$B$3:$B$152,'2024整理'!$E2014)/10000</f>
        <v>0.027049</v>
      </c>
      <c r="I2035" s="124">
        <f>SUMIFS('2024数据'!$BZ$3:$BZ$152,'2024数据'!$AB$3:$AB$152,"&gt;="&amp;DATE(2024,4,1),'2024数据'!$AB$3:$AB$152,"&lt;="&amp;DATE(2024,4,30),'2024数据'!$BY$3:$BY$152,$E1847,'2024数据'!$B$3:$B$152,'2024整理'!$E2014)/10000</f>
        <v>0</v>
      </c>
      <c r="J2035" s="124">
        <f>SUMIFS('2024数据'!$BZ$3:$BZ$152,'2024数据'!$AB$3:$AB$152,"&gt;="&amp;DATE(2024,5,1),'2024数据'!$AB$3:$AB$152,"&lt;="&amp;DATE(2024,5,31),'2024数据'!$BY$3:$BY$152,$E1847,'2024数据'!$B$3:$B$152,'2024整理'!$E2014)/10000</f>
        <v>0.002391</v>
      </c>
      <c r="K2035" s="124">
        <f>SUMIFS('2024数据'!$BZ$3:$BZ$152,'2024数据'!$AB$3:$AB$152,"&gt;="&amp;DATE(2024,6,1),'2024数据'!$AB$3:$AB$152,"&lt;="&amp;DATE(2024,6,30),'2024数据'!$BY$3:$BY$152,$E1847,'2024数据'!$B$3:$B$152,'2024整理'!$E2014)/10000</f>
        <v>0</v>
      </c>
      <c r="L2035" s="124">
        <f>SUMIFS('2024数据'!$BZ$3:$BZ$152,'2024数据'!$AB$3:$AB$152,"&gt;="&amp;DATE(2024,7,1),'2024数据'!$AB$3:$AB$152,"&lt;="&amp;DATE(2024,7,31),'2024数据'!$BY$3:$BY$152,$E1847,'2024数据'!$B$3:$B$152,'2024整理'!$E2014)/10000</f>
        <v>0</v>
      </c>
      <c r="M2035" s="124">
        <f>SUMIFS('2024数据'!$BZ$3:$BZ$152,'2024数据'!$AB$3:$AB$152,"&gt;="&amp;DATE(2024,8,1),'2024数据'!$AB$3:$AB$152,"&lt;="&amp;DATE(2024,8,31),'2024数据'!$BY$3:$BY$152,$E1847,'2024数据'!$B$3:$B$152,'2024整理'!$E2014)/10000</f>
        <v>0</v>
      </c>
      <c r="N2035" s="124">
        <f>SUMIFS('2024数据'!$BZ$3:$BZ$152,'2024数据'!$AB$3:$AB$152,"&gt;="&amp;DATE(2024,9,1),'2024数据'!$AB$3:$AB$152,"&lt;="&amp;DATE(2024,9,30),'2024数据'!$BY$3:$BY$152,$E1847,'2024数据'!$B$3:$B$152,'2024整理'!$E2014)/10000</f>
        <v>0</v>
      </c>
      <c r="O2035" s="124">
        <f>SUMIFS('2024数据'!$BZ$3:$BZ$152,'2024数据'!$AB$3:$AB$152,"&gt;="&amp;DATE(2024,10,1),'2024数据'!$AB$3:$AB$152,"&lt;="&amp;DATE(2024,10,31),'2024数据'!$BY$3:$BY$152,$E1847,'2024数据'!$B$3:$B$152,'2024整理'!$E2014)/10000</f>
        <v>0</v>
      </c>
      <c r="P2035" s="124">
        <f>SUMIFS('2024数据'!$BZ$3:$BZ$152,'2024数据'!$AB$3:$AB$152,"&gt;="&amp;DATE(2024,11,1),'2024数据'!$AB$3:$AB$152,"&lt;="&amp;DATE(2024,11,30),'2024数据'!$BY$3:$BY$152,$E1847,'2024数据'!$B$3:$B$152,'2024整理'!$E2014)/10000</f>
        <v>0</v>
      </c>
      <c r="Q2035" s="124">
        <f>SUMIFS('2024数据'!$BZ$3:$BZ$152,'2024数据'!$AB$3:$AB$152,"&gt;="&amp;DATE(2024,12,1),'2024数据'!$AB$3:$AB$152,"&lt;="&amp;DATE(2024,12,31),'2024数据'!$BY$3:$BY$152,$E1847,'2024数据'!$B$3:$B$152,'2024整理'!$E2014)/10000</f>
        <v>0</v>
      </c>
    </row>
    <row r="2036" ht="24" customHeight="1" spans="1:17">
      <c r="A2036" s="99" t="s">
        <v>350</v>
      </c>
      <c r="B2036" s="99" t="s">
        <v>299</v>
      </c>
      <c r="C2036" s="99" t="s">
        <v>336</v>
      </c>
      <c r="D2036" s="122" t="s">
        <v>303</v>
      </c>
      <c r="E2036" s="122" t="s">
        <v>85</v>
      </c>
      <c r="F2036" s="124">
        <f>SUMIFS('2024数据'!$BZ$3:$BZ$152,'2024数据'!$AB$3:$AB$152,"&gt;="&amp;DATE(2024,1,1),'2024数据'!$AB$3:$AB$152,"&lt;="&amp;DATE(2024,1,31),'2024数据'!$BY$3:$BY$152,$E1847,'2024数据'!$B$3:$B$152,'2024整理'!$E2015)/10000</f>
        <v>0.018568</v>
      </c>
      <c r="G2036" s="124">
        <f>SUMIFS('2024数据'!$BZ$3:$BZ$152,'2024数据'!$AB$3:$AB$152,"&gt;="&amp;DATE(2024,2,1),'2024数据'!$AB$3:$AB$152,"&lt;="&amp;DATE(2024,2,29),'2024数据'!$BY$3:$BY$152,$E1847,'2024数据'!$B$3:$B$152,'2024整理'!$E2015)/10000</f>
        <v>0</v>
      </c>
      <c r="H2036" s="124">
        <f>SUMIFS('2024数据'!$BZ$3:$BZ$152,'2024数据'!$AB$3:$AB$152,"&gt;="&amp;DATE(2024,3,1),'2024数据'!$AB$3:$AB$152,"&lt;="&amp;DATE(2024,3,31),'2024数据'!$BY$3:$BY$152,$E1847,'2024数据'!$B$3:$B$152,'2024整理'!$E2015)/10000</f>
        <v>0</v>
      </c>
      <c r="I2036" s="124">
        <f>SUMIFS('2024数据'!$BZ$3:$BZ$152,'2024数据'!$AB$3:$AB$152,"&gt;="&amp;DATE(2024,4,1),'2024数据'!$AB$3:$AB$152,"&lt;="&amp;DATE(2024,4,30),'2024数据'!$BY$3:$BY$152,$E1847,'2024数据'!$B$3:$B$152,'2024整理'!$E2015)/10000</f>
        <v>0</v>
      </c>
      <c r="J2036" s="124">
        <f>SUMIFS('2024数据'!$BZ$3:$BZ$152,'2024数据'!$AB$3:$AB$152,"&gt;="&amp;DATE(2024,5,1),'2024数据'!$AB$3:$AB$152,"&lt;="&amp;DATE(2024,5,31),'2024数据'!$BY$3:$BY$152,$E1847,'2024数据'!$B$3:$B$152,'2024整理'!$E2015)/10000</f>
        <v>0.00567</v>
      </c>
      <c r="K2036" s="124">
        <f>SUMIFS('2024数据'!$BZ$3:$BZ$152,'2024数据'!$AB$3:$AB$152,"&gt;="&amp;DATE(2024,6,1),'2024数据'!$AB$3:$AB$152,"&lt;="&amp;DATE(2024,6,30),'2024数据'!$BY$3:$BY$152,$E1847,'2024数据'!$B$3:$B$152,'2024整理'!$E2015)/10000</f>
        <v>0</v>
      </c>
      <c r="L2036" s="124">
        <f>SUMIFS('2024数据'!$BZ$3:$BZ$152,'2024数据'!$AB$3:$AB$152,"&gt;="&amp;DATE(2024,7,1),'2024数据'!$AB$3:$AB$152,"&lt;="&amp;DATE(2024,7,31),'2024数据'!$BY$3:$BY$152,$E1847,'2024数据'!$B$3:$B$152,'2024整理'!$E2015)/10000</f>
        <v>0</v>
      </c>
      <c r="M2036" s="124">
        <f>SUMIFS('2024数据'!$BZ$3:$BZ$152,'2024数据'!$AB$3:$AB$152,"&gt;="&amp;DATE(2024,8,1),'2024数据'!$AB$3:$AB$152,"&lt;="&amp;DATE(2024,8,31),'2024数据'!$BY$3:$BY$152,$E1847,'2024数据'!$B$3:$B$152,'2024整理'!$E2015)/10000</f>
        <v>0</v>
      </c>
      <c r="N2036" s="124">
        <f>SUMIFS('2024数据'!$BZ$3:$BZ$152,'2024数据'!$AB$3:$AB$152,"&gt;="&amp;DATE(2024,9,1),'2024数据'!$AB$3:$AB$152,"&lt;="&amp;DATE(2024,9,30),'2024数据'!$BY$3:$BY$152,$E1847,'2024数据'!$B$3:$B$152,'2024整理'!$E2015)/10000</f>
        <v>0.020234</v>
      </c>
      <c r="O2036" s="124">
        <f>SUMIFS('2024数据'!$BZ$3:$BZ$152,'2024数据'!$AB$3:$AB$152,"&gt;="&amp;DATE(2024,10,1),'2024数据'!$AB$3:$AB$152,"&lt;="&amp;DATE(2024,10,31),'2024数据'!$BY$3:$BY$152,$E1847,'2024数据'!$B$3:$B$152,'2024整理'!$E2015)/10000</f>
        <v>0.005775</v>
      </c>
      <c r="P2036" s="124">
        <f>SUMIFS('2024数据'!$BZ$3:$BZ$152,'2024数据'!$AB$3:$AB$152,"&gt;="&amp;DATE(2024,11,1),'2024数据'!$AB$3:$AB$152,"&lt;="&amp;DATE(2024,11,30),'2024数据'!$BY$3:$BY$152,$E1847,'2024数据'!$B$3:$B$152,'2024整理'!$E2015)/10000</f>
        <v>0</v>
      </c>
      <c r="Q2036" s="124">
        <f>SUMIFS('2024数据'!$BZ$3:$BZ$152,'2024数据'!$AB$3:$AB$152,"&gt;="&amp;DATE(2024,12,1),'2024数据'!$AB$3:$AB$152,"&lt;="&amp;DATE(2024,12,31),'2024数据'!$BY$3:$BY$152,$E1847,'2024数据'!$B$3:$B$152,'2024整理'!$E2015)/10000</f>
        <v>0</v>
      </c>
    </row>
    <row r="2037" ht="24" customHeight="1" spans="1:17">
      <c r="A2037" s="99" t="s">
        <v>350</v>
      </c>
      <c r="B2037" s="99" t="s">
        <v>299</v>
      </c>
      <c r="C2037" s="99" t="s">
        <v>336</v>
      </c>
      <c r="D2037" s="122" t="s">
        <v>303</v>
      </c>
      <c r="E2037" s="122" t="s">
        <v>81</v>
      </c>
      <c r="F2037" s="124">
        <f>SUMIFS('2024数据'!$BZ$3:$BZ$152,'2024数据'!$AB$3:$AB$152,"&gt;="&amp;DATE(2024,1,1),'2024数据'!$AB$3:$AB$152,"&lt;="&amp;DATE(2024,1,31),'2024数据'!$BY$3:$BY$152,$E1847,'2024数据'!$B$3:$B$152,'2024整理'!$E2016)/10000</f>
        <v>0</v>
      </c>
      <c r="G2037" s="124">
        <f>SUMIFS('2024数据'!$BZ$3:$BZ$152,'2024数据'!$AB$3:$AB$152,"&gt;="&amp;DATE(2024,2,1),'2024数据'!$AB$3:$AB$152,"&lt;="&amp;DATE(2024,2,29),'2024数据'!$BY$3:$BY$152,$E1847,'2024数据'!$B$3:$B$152,'2024整理'!$E2016)/10000</f>
        <v>0</v>
      </c>
      <c r="H2037" s="124">
        <f>SUMIFS('2024数据'!$BZ$3:$BZ$152,'2024数据'!$AB$3:$AB$152,"&gt;="&amp;DATE(2024,3,1),'2024数据'!$AB$3:$AB$152,"&lt;="&amp;DATE(2024,3,31),'2024数据'!$BY$3:$BY$152,$E1847,'2024数据'!$B$3:$B$152,'2024整理'!$E2016)/10000</f>
        <v>0</v>
      </c>
      <c r="I2037" s="124">
        <f>SUMIFS('2024数据'!$BZ$3:$BZ$152,'2024数据'!$AB$3:$AB$152,"&gt;="&amp;DATE(2024,4,1),'2024数据'!$AB$3:$AB$152,"&lt;="&amp;DATE(2024,4,30),'2024数据'!$BY$3:$BY$152,$E1847,'2024数据'!$B$3:$B$152,'2024整理'!$E2016)/10000</f>
        <v>0</v>
      </c>
      <c r="J2037" s="124">
        <f>SUMIFS('2024数据'!$BZ$3:$BZ$152,'2024数据'!$AB$3:$AB$152,"&gt;="&amp;DATE(2024,5,1),'2024数据'!$AB$3:$AB$152,"&lt;="&amp;DATE(2024,5,31),'2024数据'!$BY$3:$BY$152,$E1847,'2024数据'!$B$3:$B$152,'2024整理'!$E2016)/10000</f>
        <v>0</v>
      </c>
      <c r="K2037" s="124">
        <f>SUMIFS('2024数据'!$BZ$3:$BZ$152,'2024数据'!$AB$3:$AB$152,"&gt;="&amp;DATE(2024,6,1),'2024数据'!$AB$3:$AB$152,"&lt;="&amp;DATE(2024,6,30),'2024数据'!$BY$3:$BY$152,$E1847,'2024数据'!$B$3:$B$152,'2024整理'!$E2016)/10000</f>
        <v>0</v>
      </c>
      <c r="L2037" s="124">
        <f>SUMIFS('2024数据'!$BZ$3:$BZ$152,'2024数据'!$AB$3:$AB$152,"&gt;="&amp;DATE(2024,7,1),'2024数据'!$AB$3:$AB$152,"&lt;="&amp;DATE(2024,7,31),'2024数据'!$BY$3:$BY$152,$E1847,'2024数据'!$B$3:$B$152,'2024整理'!$E2016)/10000</f>
        <v>0</v>
      </c>
      <c r="M2037" s="124">
        <f>SUMIFS('2024数据'!$BZ$3:$BZ$152,'2024数据'!$AB$3:$AB$152,"&gt;="&amp;DATE(2024,8,1),'2024数据'!$AB$3:$AB$152,"&lt;="&amp;DATE(2024,8,31),'2024数据'!$BY$3:$BY$152,$E1847,'2024数据'!$B$3:$B$152,'2024整理'!$E2016)/10000</f>
        <v>0</v>
      </c>
      <c r="N2037" s="124">
        <f>SUMIFS('2024数据'!$BZ$3:$BZ$152,'2024数据'!$AB$3:$AB$152,"&gt;="&amp;DATE(2024,9,1),'2024数据'!$AB$3:$AB$152,"&lt;="&amp;DATE(2024,9,30),'2024数据'!$BY$3:$BY$152,$E1847,'2024数据'!$B$3:$B$152,'2024整理'!$E2016)/10000</f>
        <v>0</v>
      </c>
      <c r="O2037" s="124">
        <f>SUMIFS('2024数据'!$BZ$3:$BZ$152,'2024数据'!$AB$3:$AB$152,"&gt;="&amp;DATE(2024,10,1),'2024数据'!$AB$3:$AB$152,"&lt;="&amp;DATE(2024,10,31),'2024数据'!$BY$3:$BY$152,$E1847,'2024数据'!$B$3:$B$152,'2024整理'!$E2016)/10000</f>
        <v>0</v>
      </c>
      <c r="P2037" s="124">
        <f>SUMIFS('2024数据'!$BZ$3:$BZ$152,'2024数据'!$AB$3:$AB$152,"&gt;="&amp;DATE(2024,11,1),'2024数据'!$AB$3:$AB$152,"&lt;="&amp;DATE(2024,11,30),'2024数据'!$BY$3:$BY$152,$E1847,'2024数据'!$B$3:$B$152,'2024整理'!$E2016)/10000</f>
        <v>0</v>
      </c>
      <c r="Q2037" s="124">
        <f>SUMIFS('2024数据'!$BZ$3:$BZ$152,'2024数据'!$AB$3:$AB$152,"&gt;="&amp;DATE(2024,12,1),'2024数据'!$AB$3:$AB$152,"&lt;="&amp;DATE(2024,12,31),'2024数据'!$BY$3:$BY$152,$E1847,'2024数据'!$B$3:$B$152,'2024整理'!$E2016)/10000</f>
        <v>0</v>
      </c>
    </row>
    <row r="2038" ht="24" customHeight="1" spans="1:17">
      <c r="A2038" s="99" t="s">
        <v>350</v>
      </c>
      <c r="B2038" s="99" t="s">
        <v>299</v>
      </c>
      <c r="C2038" s="99" t="s">
        <v>336</v>
      </c>
      <c r="D2038" s="122" t="s">
        <v>303</v>
      </c>
      <c r="E2038" s="122" t="s">
        <v>96</v>
      </c>
      <c r="F2038" s="124">
        <f>SUMIFS('2024数据'!$BZ$3:$BZ$152,'2024数据'!$AB$3:$AB$152,"&gt;="&amp;DATE(2024,1,1),'2024数据'!$AB$3:$AB$152,"&lt;="&amp;DATE(2024,1,31),'2024数据'!$BY$3:$BY$152,$E1847,'2024数据'!$B$3:$B$152,'2024整理'!$E2017)/10000</f>
        <v>0</v>
      </c>
      <c r="G2038" s="124">
        <f>SUMIFS('2024数据'!$BZ$3:$BZ$152,'2024数据'!$AB$3:$AB$152,"&gt;="&amp;DATE(2024,2,1),'2024数据'!$AB$3:$AB$152,"&lt;="&amp;DATE(2024,2,29),'2024数据'!$BY$3:$BY$152,$E1847,'2024数据'!$B$3:$B$152,'2024整理'!$E2017)/10000</f>
        <v>0</v>
      </c>
      <c r="H2038" s="124">
        <f>SUMIFS('2024数据'!$BZ$3:$BZ$152,'2024数据'!$AB$3:$AB$152,"&gt;="&amp;DATE(2024,3,1),'2024数据'!$AB$3:$AB$152,"&lt;="&amp;DATE(2024,3,31),'2024数据'!$BY$3:$BY$152,$E1847,'2024数据'!$B$3:$B$152,'2024整理'!$E2017)/10000</f>
        <v>0</v>
      </c>
      <c r="I2038" s="124">
        <f>SUMIFS('2024数据'!$BZ$3:$BZ$152,'2024数据'!$AB$3:$AB$152,"&gt;="&amp;DATE(2024,4,1),'2024数据'!$AB$3:$AB$152,"&lt;="&amp;DATE(2024,4,30),'2024数据'!$BY$3:$BY$152,$E1847,'2024数据'!$B$3:$B$152,'2024整理'!$E2017)/10000</f>
        <v>0</v>
      </c>
      <c r="J2038" s="124">
        <f>SUMIFS('2024数据'!$BZ$3:$BZ$152,'2024数据'!$AB$3:$AB$152,"&gt;="&amp;DATE(2024,5,1),'2024数据'!$AB$3:$AB$152,"&lt;="&amp;DATE(2024,5,31),'2024数据'!$BY$3:$BY$152,$E1847,'2024数据'!$B$3:$B$152,'2024整理'!$E2017)/10000</f>
        <v>0</v>
      </c>
      <c r="K2038" s="124">
        <f>SUMIFS('2024数据'!$BZ$3:$BZ$152,'2024数据'!$AB$3:$AB$152,"&gt;="&amp;DATE(2024,6,1),'2024数据'!$AB$3:$AB$152,"&lt;="&amp;DATE(2024,6,30),'2024数据'!$BY$3:$BY$152,$E1847,'2024数据'!$B$3:$B$152,'2024整理'!$E2017)/10000</f>
        <v>0</v>
      </c>
      <c r="L2038" s="124">
        <f>SUMIFS('2024数据'!$BZ$3:$BZ$152,'2024数据'!$AB$3:$AB$152,"&gt;="&amp;DATE(2024,7,1),'2024数据'!$AB$3:$AB$152,"&lt;="&amp;DATE(2024,7,31),'2024数据'!$BY$3:$BY$152,$E1847,'2024数据'!$B$3:$B$152,'2024整理'!$E2017)/10000</f>
        <v>0</v>
      </c>
      <c r="M2038" s="124">
        <f>SUMIFS('2024数据'!$BZ$3:$BZ$152,'2024数据'!$AB$3:$AB$152,"&gt;="&amp;DATE(2024,8,1),'2024数据'!$AB$3:$AB$152,"&lt;="&amp;DATE(2024,8,31),'2024数据'!$BY$3:$BY$152,$E1847,'2024数据'!$B$3:$B$152,'2024整理'!$E2017)/10000</f>
        <v>0</v>
      </c>
      <c r="N2038" s="124">
        <f>SUMIFS('2024数据'!$BZ$3:$BZ$152,'2024数据'!$AB$3:$AB$152,"&gt;="&amp;DATE(2024,9,1),'2024数据'!$AB$3:$AB$152,"&lt;="&amp;DATE(2024,9,30),'2024数据'!$BY$3:$BY$152,$E1847,'2024数据'!$B$3:$B$152,'2024整理'!$E2017)/10000</f>
        <v>0.022413</v>
      </c>
      <c r="O2038" s="124">
        <f>SUMIFS('2024数据'!$BZ$3:$BZ$152,'2024数据'!$AB$3:$AB$152,"&gt;="&amp;DATE(2024,10,1),'2024数据'!$AB$3:$AB$152,"&lt;="&amp;DATE(2024,10,31),'2024数据'!$BY$3:$BY$152,$E1847,'2024数据'!$B$3:$B$152,'2024整理'!$E2017)/10000</f>
        <v>0</v>
      </c>
      <c r="P2038" s="124">
        <f>SUMIFS('2024数据'!$BZ$3:$BZ$152,'2024数据'!$AB$3:$AB$152,"&gt;="&amp;DATE(2024,11,1),'2024数据'!$AB$3:$AB$152,"&lt;="&amp;DATE(2024,11,30),'2024数据'!$BY$3:$BY$152,$E1847,'2024数据'!$B$3:$B$152,'2024整理'!$E2017)/10000</f>
        <v>0</v>
      </c>
      <c r="Q2038" s="124">
        <f>SUMIFS('2024数据'!$BZ$3:$BZ$152,'2024数据'!$AB$3:$AB$152,"&gt;="&amp;DATE(2024,12,1),'2024数据'!$AB$3:$AB$152,"&lt;="&amp;DATE(2024,12,31),'2024数据'!$BY$3:$BY$152,$E1847,'2024数据'!$B$3:$B$152,'2024整理'!$E2017)/10000</f>
        <v>0</v>
      </c>
    </row>
    <row r="2039" ht="24" customHeight="1" spans="1:17">
      <c r="A2039" s="99" t="s">
        <v>350</v>
      </c>
      <c r="B2039" s="99" t="s">
        <v>299</v>
      </c>
      <c r="C2039" s="99" t="s">
        <v>336</v>
      </c>
      <c r="D2039" s="122" t="s">
        <v>303</v>
      </c>
      <c r="E2039" s="122" t="s">
        <v>160</v>
      </c>
      <c r="F2039" s="124">
        <f t="shared" ref="F2039:Q2039" si="1482">F2032-SUM(F2035:F2038)</f>
        <v>0</v>
      </c>
      <c r="G2039" s="124">
        <f t="shared" si="1482"/>
        <v>0</v>
      </c>
      <c r="H2039" s="124">
        <f t="shared" si="1482"/>
        <v>0</v>
      </c>
      <c r="I2039" s="124">
        <f t="shared" si="1482"/>
        <v>0</v>
      </c>
      <c r="J2039" s="124">
        <f t="shared" si="1482"/>
        <v>0</v>
      </c>
      <c r="K2039" s="124">
        <f t="shared" si="1482"/>
        <v>0</v>
      </c>
      <c r="L2039" s="124">
        <f t="shared" si="1482"/>
        <v>0</v>
      </c>
      <c r="M2039" s="124">
        <f t="shared" si="1482"/>
        <v>0</v>
      </c>
      <c r="N2039" s="124">
        <f t="shared" si="1482"/>
        <v>0</v>
      </c>
      <c r="O2039" s="124">
        <f t="shared" si="1482"/>
        <v>0</v>
      </c>
      <c r="P2039" s="124">
        <f t="shared" si="1482"/>
        <v>0</v>
      </c>
      <c r="Q2039" s="124">
        <f t="shared" si="1482"/>
        <v>0</v>
      </c>
    </row>
    <row r="2040" ht="24" customHeight="1" spans="1:17">
      <c r="A2040" s="99" t="s">
        <v>350</v>
      </c>
      <c r="B2040" s="99" t="s">
        <v>299</v>
      </c>
      <c r="C2040" s="99" t="s">
        <v>336</v>
      </c>
      <c r="D2040" s="122" t="s">
        <v>304</v>
      </c>
      <c r="E2040" s="122" t="s">
        <v>93</v>
      </c>
      <c r="F2040" s="124">
        <f>SUMIFS('2024数据'!$BZ$3:$BZ$152,'2024数据'!$AB$3:$AB$152,"&gt;="&amp;DATE(2024,1,1),'2024数据'!$AB$3:$AB$152,"&lt;="&amp;DATE(2024,1,31),'2024数据'!$BY$3:$BY$152,$E1848,'2024数据'!$B$3:$B$152,'2024整理'!$E2014)/10000</f>
        <v>0.003523</v>
      </c>
      <c r="G2040" s="124">
        <f>SUMIFS('2024数据'!$BZ$3:$BZ$152,'2024数据'!$AB$3:$AB$152,"&gt;="&amp;DATE(2024,2,1),'2024数据'!$AB$3:$AB$152,"&lt;="&amp;DATE(2024,2,29),'2024数据'!$BY$3:$BY$152,$E1848,'2024数据'!$B$3:$B$152,'2024整理'!$E2014)/10000</f>
        <v>0</v>
      </c>
      <c r="H2040" s="124">
        <f>SUMIFS('2024数据'!$BZ$3:$BZ$152,'2024数据'!$AB$3:$AB$152,"&gt;="&amp;DATE(2024,3,1),'2024数据'!$AB$3:$AB$152,"&lt;="&amp;DATE(2024,3,31),'2024数据'!$BY$3:$BY$152,$E1848,'2024数据'!$B$3:$B$152,'2024整理'!$E2014)/10000</f>
        <v>0</v>
      </c>
      <c r="I2040" s="124">
        <f>SUMIFS('2024数据'!$BZ$3:$BZ$152,'2024数据'!$AB$3:$AB$152,"&gt;="&amp;DATE(2024,4,1),'2024数据'!$AB$3:$AB$152,"&lt;="&amp;DATE(2024,4,30),'2024数据'!$BY$3:$BY$152,$E1848,'2024数据'!$B$3:$B$152,'2024整理'!$E2014)/10000</f>
        <v>0</v>
      </c>
      <c r="J2040" s="124">
        <f>SUMIFS('2024数据'!$BZ$3:$BZ$152,'2024数据'!$AB$3:$AB$152,"&gt;="&amp;DATE(2024,5,1),'2024数据'!$AB$3:$AB$152,"&lt;="&amp;DATE(2024,5,31),'2024数据'!$BY$3:$BY$152,$E1848,'2024数据'!$B$3:$B$152,'2024整理'!$E2014)/10000</f>
        <v>0.032853</v>
      </c>
      <c r="K2040" s="124">
        <f>SUMIFS('2024数据'!$BZ$3:$BZ$152,'2024数据'!$AB$3:$AB$152,"&gt;="&amp;DATE(2024,6,1),'2024数据'!$AB$3:$AB$152,"&lt;="&amp;DATE(2024,6,30),'2024数据'!$BY$3:$BY$152,$E1848,'2024数据'!$B$3:$B$152,'2024整理'!$E2014)/10000</f>
        <v>0.005267</v>
      </c>
      <c r="L2040" s="124">
        <f>SUMIFS('2024数据'!$BZ$3:$BZ$152,'2024数据'!$AB$3:$AB$152,"&gt;="&amp;DATE(2024,7,1),'2024数据'!$AB$3:$AB$152,"&lt;="&amp;DATE(2024,7,31),'2024数据'!$BY$3:$BY$152,$E1848,'2024数据'!$B$3:$B$152,'2024整理'!$E2014)/10000</f>
        <v>0</v>
      </c>
      <c r="M2040" s="124">
        <f>SUMIFS('2024数据'!$BZ$3:$BZ$152,'2024数据'!$AB$3:$AB$152,"&gt;="&amp;DATE(2024,8,1),'2024数据'!$AB$3:$AB$152,"&lt;="&amp;DATE(2024,8,31),'2024数据'!$BY$3:$BY$152,$E1848,'2024数据'!$B$3:$B$152,'2024整理'!$E2014)/10000</f>
        <v>0</v>
      </c>
      <c r="N2040" s="124">
        <f>SUMIFS('2024数据'!$BZ$3:$BZ$152,'2024数据'!$AB$3:$AB$152,"&gt;="&amp;DATE(2024,9,1),'2024数据'!$AB$3:$AB$152,"&lt;="&amp;DATE(2024,9,30),'2024数据'!$BY$3:$BY$152,$E1848,'2024数据'!$B$3:$B$152,'2024整理'!$E2014)/10000</f>
        <v>0.032552</v>
      </c>
      <c r="O2040" s="124">
        <f>SUMIFS('2024数据'!$BZ$3:$BZ$152,'2024数据'!$AB$3:$AB$152,"&gt;="&amp;DATE(2024,10,1),'2024数据'!$AB$3:$AB$152,"&lt;="&amp;DATE(2024,10,31),'2024数据'!$BY$3:$BY$152,$E1848,'2024数据'!$B$3:$B$152,'2024整理'!$E2014)/10000</f>
        <v>0</v>
      </c>
      <c r="P2040" s="124">
        <f>SUMIFS('2024数据'!$BZ$3:$BZ$152,'2024数据'!$AB$3:$AB$152,"&gt;="&amp;DATE(2024,11,1),'2024数据'!$AB$3:$AB$152,"&lt;="&amp;DATE(2024,11,30),'2024数据'!$BY$3:$BY$152,$E1848,'2024数据'!$B$3:$B$152,'2024整理'!$E2014)/10000</f>
        <v>0.016687</v>
      </c>
      <c r="Q2040" s="124">
        <f>SUMIFS('2024数据'!$BZ$3:$BZ$152,'2024数据'!$AB$3:$AB$152,"&gt;="&amp;DATE(2024,12,1),'2024数据'!$AB$3:$AB$152,"&lt;="&amp;DATE(2024,12,31),'2024数据'!$BY$3:$BY$152,$E1848,'2024数据'!$B$3:$B$152,'2024整理'!$E2014)/10000</f>
        <v>0</v>
      </c>
    </row>
    <row r="2041" ht="24" customHeight="1" spans="1:17">
      <c r="A2041" s="99" t="s">
        <v>350</v>
      </c>
      <c r="B2041" s="99" t="s">
        <v>299</v>
      </c>
      <c r="C2041" s="99" t="s">
        <v>336</v>
      </c>
      <c r="D2041" s="122" t="s">
        <v>304</v>
      </c>
      <c r="E2041" s="122" t="s">
        <v>85</v>
      </c>
      <c r="F2041" s="124">
        <f>SUMIFS('2024数据'!$BZ$3:$BZ$152,'2024数据'!$AB$3:$AB$152,"&gt;="&amp;DATE(2024,1,1),'2024数据'!$AB$3:$AB$152,"&lt;="&amp;DATE(2024,1,31),'2024数据'!$BY$3:$BY$152,$E1848,'2024数据'!$B$3:$B$152,'2024整理'!$E2015)/10000</f>
        <v>0</v>
      </c>
      <c r="G2041" s="124">
        <f>SUMIFS('2024数据'!$BZ$3:$BZ$152,'2024数据'!$AB$3:$AB$152,"&gt;="&amp;DATE(2024,2,1),'2024数据'!$AB$3:$AB$152,"&lt;="&amp;DATE(2024,2,29),'2024数据'!$BY$3:$BY$152,$E1848,'2024数据'!$B$3:$B$152,'2024整理'!$E2015)/10000</f>
        <v>0.046782</v>
      </c>
      <c r="H2041" s="124">
        <f>SUMIFS('2024数据'!$BZ$3:$BZ$152,'2024数据'!$AB$3:$AB$152,"&gt;="&amp;DATE(2024,3,1),'2024数据'!$AB$3:$AB$152,"&lt;="&amp;DATE(2024,3,31),'2024数据'!$BY$3:$BY$152,$E1848,'2024数据'!$B$3:$B$152,'2024整理'!$E2015)/10000</f>
        <v>0</v>
      </c>
      <c r="I2041" s="124">
        <f>SUMIFS('2024数据'!$BZ$3:$BZ$152,'2024数据'!$AB$3:$AB$152,"&gt;="&amp;DATE(2024,4,1),'2024数据'!$AB$3:$AB$152,"&lt;="&amp;DATE(2024,4,30),'2024数据'!$BY$3:$BY$152,$E1848,'2024数据'!$B$3:$B$152,'2024整理'!$E2015)/10000</f>
        <v>0</v>
      </c>
      <c r="J2041" s="124">
        <f>SUMIFS('2024数据'!$BZ$3:$BZ$152,'2024数据'!$AB$3:$AB$152,"&gt;="&amp;DATE(2024,5,1),'2024数据'!$AB$3:$AB$152,"&lt;="&amp;DATE(2024,5,31),'2024数据'!$BY$3:$BY$152,$E1848,'2024数据'!$B$3:$B$152,'2024整理'!$E2015)/10000</f>
        <v>0</v>
      </c>
      <c r="K2041" s="124">
        <f>SUMIFS('2024数据'!$BZ$3:$BZ$152,'2024数据'!$AB$3:$AB$152,"&gt;="&amp;DATE(2024,6,1),'2024数据'!$AB$3:$AB$152,"&lt;="&amp;DATE(2024,6,30),'2024数据'!$BY$3:$BY$152,$E1848,'2024数据'!$B$3:$B$152,'2024整理'!$E2015)/10000</f>
        <v>0</v>
      </c>
      <c r="L2041" s="124">
        <f>SUMIFS('2024数据'!$BZ$3:$BZ$152,'2024数据'!$AB$3:$AB$152,"&gt;="&amp;DATE(2024,7,1),'2024数据'!$AB$3:$AB$152,"&lt;="&amp;DATE(2024,7,31),'2024数据'!$BY$3:$BY$152,$E1848,'2024数据'!$B$3:$B$152,'2024整理'!$E2015)/10000</f>
        <v>0</v>
      </c>
      <c r="M2041" s="124">
        <f>SUMIFS('2024数据'!$BZ$3:$BZ$152,'2024数据'!$AB$3:$AB$152,"&gt;="&amp;DATE(2024,8,1),'2024数据'!$AB$3:$AB$152,"&lt;="&amp;DATE(2024,8,31),'2024数据'!$BY$3:$BY$152,$E1848,'2024数据'!$B$3:$B$152,'2024整理'!$E2015)/10000</f>
        <v>0</v>
      </c>
      <c r="N2041" s="124">
        <f>SUMIFS('2024数据'!$BZ$3:$BZ$152,'2024数据'!$AB$3:$AB$152,"&gt;="&amp;DATE(2024,9,1),'2024数据'!$AB$3:$AB$152,"&lt;="&amp;DATE(2024,9,30),'2024数据'!$BY$3:$BY$152,$E1848,'2024数据'!$B$3:$B$152,'2024整理'!$E2015)/10000</f>
        <v>0</v>
      </c>
      <c r="O2041" s="124">
        <f>SUMIFS('2024数据'!$BZ$3:$BZ$152,'2024数据'!$AB$3:$AB$152,"&gt;="&amp;DATE(2024,10,1),'2024数据'!$AB$3:$AB$152,"&lt;="&amp;DATE(2024,10,31),'2024数据'!$BY$3:$BY$152,$E1848,'2024数据'!$B$3:$B$152,'2024整理'!$E2015)/10000</f>
        <v>0</v>
      </c>
      <c r="P2041" s="124">
        <f>SUMIFS('2024数据'!$BZ$3:$BZ$152,'2024数据'!$AB$3:$AB$152,"&gt;="&amp;DATE(2024,11,1),'2024数据'!$AB$3:$AB$152,"&lt;="&amp;DATE(2024,11,30),'2024数据'!$BY$3:$BY$152,$E1848,'2024数据'!$B$3:$B$152,'2024整理'!$E2015)/10000</f>
        <v>0</v>
      </c>
      <c r="Q2041" s="124">
        <f>SUMIFS('2024数据'!$BZ$3:$BZ$152,'2024数据'!$AB$3:$AB$152,"&gt;="&amp;DATE(2024,12,1),'2024数据'!$AB$3:$AB$152,"&lt;="&amp;DATE(2024,12,31),'2024数据'!$BY$3:$BY$152,$E1848,'2024数据'!$B$3:$B$152,'2024整理'!$E2015)/10000</f>
        <v>0</v>
      </c>
    </row>
    <row r="2042" ht="24" customHeight="1" spans="1:17">
      <c r="A2042" s="99" t="s">
        <v>350</v>
      </c>
      <c r="B2042" s="99" t="s">
        <v>299</v>
      </c>
      <c r="C2042" s="99" t="s">
        <v>336</v>
      </c>
      <c r="D2042" s="122" t="s">
        <v>304</v>
      </c>
      <c r="E2042" s="122" t="s">
        <v>81</v>
      </c>
      <c r="F2042" s="124">
        <f>SUMIFS('2024数据'!$BZ$3:$BZ$152,'2024数据'!$AB$3:$AB$152,"&gt;="&amp;DATE(2024,1,1),'2024数据'!$AB$3:$AB$152,"&lt;="&amp;DATE(2024,1,31),'2024数据'!$BY$3:$BY$152,$E1848,'2024数据'!$B$3:$B$152,'2024整理'!$E2016)/10000</f>
        <v>0</v>
      </c>
      <c r="G2042" s="124">
        <f>SUMIFS('2024数据'!$BZ$3:$BZ$152,'2024数据'!$AB$3:$AB$152,"&gt;="&amp;DATE(2024,2,1),'2024数据'!$AB$3:$AB$152,"&lt;="&amp;DATE(2024,2,29),'2024数据'!$BY$3:$BY$152,$E1848,'2024数据'!$B$3:$B$152,'2024整理'!$E2016)/10000</f>
        <v>0</v>
      </c>
      <c r="H2042" s="124">
        <f>SUMIFS('2024数据'!$BZ$3:$BZ$152,'2024数据'!$AB$3:$AB$152,"&gt;="&amp;DATE(2024,3,1),'2024数据'!$AB$3:$AB$152,"&lt;="&amp;DATE(2024,3,31),'2024数据'!$BY$3:$BY$152,$E1848,'2024数据'!$B$3:$B$152,'2024整理'!$E2016)/10000</f>
        <v>0</v>
      </c>
      <c r="I2042" s="124">
        <f>SUMIFS('2024数据'!$BZ$3:$BZ$152,'2024数据'!$AB$3:$AB$152,"&gt;="&amp;DATE(2024,4,1),'2024数据'!$AB$3:$AB$152,"&lt;="&amp;DATE(2024,4,30),'2024数据'!$BY$3:$BY$152,$E1848,'2024数据'!$B$3:$B$152,'2024整理'!$E2016)/10000</f>
        <v>0</v>
      </c>
      <c r="J2042" s="124">
        <f>SUMIFS('2024数据'!$BZ$3:$BZ$152,'2024数据'!$AB$3:$AB$152,"&gt;="&amp;DATE(2024,5,1),'2024数据'!$AB$3:$AB$152,"&lt;="&amp;DATE(2024,5,31),'2024数据'!$BY$3:$BY$152,$E1848,'2024数据'!$B$3:$B$152,'2024整理'!$E2016)/10000</f>
        <v>0</v>
      </c>
      <c r="K2042" s="124">
        <f>SUMIFS('2024数据'!$BZ$3:$BZ$152,'2024数据'!$AB$3:$AB$152,"&gt;="&amp;DATE(2024,6,1),'2024数据'!$AB$3:$AB$152,"&lt;="&amp;DATE(2024,6,30),'2024数据'!$BY$3:$BY$152,$E1848,'2024数据'!$B$3:$B$152,'2024整理'!$E2016)/10000</f>
        <v>0</v>
      </c>
      <c r="L2042" s="124">
        <f>SUMIFS('2024数据'!$BZ$3:$BZ$152,'2024数据'!$AB$3:$AB$152,"&gt;="&amp;DATE(2024,7,1),'2024数据'!$AB$3:$AB$152,"&lt;="&amp;DATE(2024,7,31),'2024数据'!$BY$3:$BY$152,$E1848,'2024数据'!$B$3:$B$152,'2024整理'!$E2016)/10000</f>
        <v>0</v>
      </c>
      <c r="M2042" s="124">
        <f>SUMIFS('2024数据'!$BZ$3:$BZ$152,'2024数据'!$AB$3:$AB$152,"&gt;="&amp;DATE(2024,8,1),'2024数据'!$AB$3:$AB$152,"&lt;="&amp;DATE(2024,8,31),'2024数据'!$BY$3:$BY$152,$E1848,'2024数据'!$B$3:$B$152,'2024整理'!$E2016)/10000</f>
        <v>0</v>
      </c>
      <c r="N2042" s="124">
        <f>SUMIFS('2024数据'!$BZ$3:$BZ$152,'2024数据'!$AB$3:$AB$152,"&gt;="&amp;DATE(2024,9,1),'2024数据'!$AB$3:$AB$152,"&lt;="&amp;DATE(2024,9,30),'2024数据'!$BY$3:$BY$152,$E1848,'2024数据'!$B$3:$B$152,'2024整理'!$E2016)/10000</f>
        <v>0</v>
      </c>
      <c r="O2042" s="124">
        <f>SUMIFS('2024数据'!$BZ$3:$BZ$152,'2024数据'!$AB$3:$AB$152,"&gt;="&amp;DATE(2024,10,1),'2024数据'!$AB$3:$AB$152,"&lt;="&amp;DATE(2024,10,31),'2024数据'!$BY$3:$BY$152,$E1848,'2024数据'!$B$3:$B$152,'2024整理'!$E2016)/10000</f>
        <v>0</v>
      </c>
      <c r="P2042" s="124">
        <f>SUMIFS('2024数据'!$BZ$3:$BZ$152,'2024数据'!$AB$3:$AB$152,"&gt;="&amp;DATE(2024,11,1),'2024数据'!$AB$3:$AB$152,"&lt;="&amp;DATE(2024,11,30),'2024数据'!$BY$3:$BY$152,$E1848,'2024数据'!$B$3:$B$152,'2024整理'!$E2016)/10000</f>
        <v>0</v>
      </c>
      <c r="Q2042" s="124">
        <f>SUMIFS('2024数据'!$BZ$3:$BZ$152,'2024数据'!$AB$3:$AB$152,"&gt;="&amp;DATE(2024,12,1),'2024数据'!$AB$3:$AB$152,"&lt;="&amp;DATE(2024,12,31),'2024数据'!$BY$3:$BY$152,$E1848,'2024数据'!$B$3:$B$152,'2024整理'!$E2016)/10000</f>
        <v>0.026462</v>
      </c>
    </row>
    <row r="2043" ht="24" customHeight="1" spans="1:17">
      <c r="A2043" s="99" t="s">
        <v>350</v>
      </c>
      <c r="B2043" s="99" t="s">
        <v>299</v>
      </c>
      <c r="C2043" s="99" t="s">
        <v>336</v>
      </c>
      <c r="D2043" s="122" t="s">
        <v>304</v>
      </c>
      <c r="E2043" s="122" t="s">
        <v>96</v>
      </c>
      <c r="F2043" s="124">
        <f>SUMIFS('2024数据'!$BZ$3:$BZ$152,'2024数据'!$AB$3:$AB$152,"&gt;="&amp;DATE(2024,1,1),'2024数据'!$AB$3:$AB$152,"&lt;="&amp;DATE(2024,1,31),'2024数据'!$BY$3:$BY$152,$E1848,'2024数据'!$B$3:$B$152,'2024整理'!$E2017)/10000</f>
        <v>0</v>
      </c>
      <c r="G2043" s="124">
        <f>SUMIFS('2024数据'!$BZ$3:$BZ$152,'2024数据'!$AB$3:$AB$152,"&gt;="&amp;DATE(2024,2,1),'2024数据'!$AB$3:$AB$152,"&lt;="&amp;DATE(2024,2,29),'2024数据'!$BY$3:$BY$152,$E1848,'2024数据'!$B$3:$B$152,'2024整理'!$E2017)/10000</f>
        <v>0</v>
      </c>
      <c r="H2043" s="124">
        <f>SUMIFS('2024数据'!$BZ$3:$BZ$152,'2024数据'!$AB$3:$AB$152,"&gt;="&amp;DATE(2024,3,1),'2024数据'!$AB$3:$AB$152,"&lt;="&amp;DATE(2024,3,31),'2024数据'!$BY$3:$BY$152,$E1848,'2024数据'!$B$3:$B$152,'2024整理'!$E2017)/10000</f>
        <v>0</v>
      </c>
      <c r="I2043" s="124">
        <f>SUMIFS('2024数据'!$BZ$3:$BZ$152,'2024数据'!$AB$3:$AB$152,"&gt;="&amp;DATE(2024,4,1),'2024数据'!$AB$3:$AB$152,"&lt;="&amp;DATE(2024,4,30),'2024数据'!$BY$3:$BY$152,$E1848,'2024数据'!$B$3:$B$152,'2024整理'!$E2017)/10000</f>
        <v>0</v>
      </c>
      <c r="J2043" s="124">
        <f>SUMIFS('2024数据'!$BZ$3:$BZ$152,'2024数据'!$AB$3:$AB$152,"&gt;="&amp;DATE(2024,5,1),'2024数据'!$AB$3:$AB$152,"&lt;="&amp;DATE(2024,5,31),'2024数据'!$BY$3:$BY$152,$E1848,'2024数据'!$B$3:$B$152,'2024整理'!$E2017)/10000</f>
        <v>0</v>
      </c>
      <c r="K2043" s="124">
        <f>SUMIFS('2024数据'!$BZ$3:$BZ$152,'2024数据'!$AB$3:$AB$152,"&gt;="&amp;DATE(2024,6,1),'2024数据'!$AB$3:$AB$152,"&lt;="&amp;DATE(2024,6,30),'2024数据'!$BY$3:$BY$152,$E1848,'2024数据'!$B$3:$B$152,'2024整理'!$E2017)/10000</f>
        <v>0</v>
      </c>
      <c r="L2043" s="124">
        <f>SUMIFS('2024数据'!$BZ$3:$BZ$152,'2024数据'!$AB$3:$AB$152,"&gt;="&amp;DATE(2024,7,1),'2024数据'!$AB$3:$AB$152,"&lt;="&amp;DATE(2024,7,31),'2024数据'!$BY$3:$BY$152,$E1848,'2024数据'!$B$3:$B$152,'2024整理'!$E2017)/10000</f>
        <v>0</v>
      </c>
      <c r="M2043" s="124">
        <f>SUMIFS('2024数据'!$BZ$3:$BZ$152,'2024数据'!$AB$3:$AB$152,"&gt;="&amp;DATE(2024,8,1),'2024数据'!$AB$3:$AB$152,"&lt;="&amp;DATE(2024,8,31),'2024数据'!$BY$3:$BY$152,$E1848,'2024数据'!$B$3:$B$152,'2024整理'!$E2017)/10000</f>
        <v>0</v>
      </c>
      <c r="N2043" s="124">
        <f>SUMIFS('2024数据'!$BZ$3:$BZ$152,'2024数据'!$AB$3:$AB$152,"&gt;="&amp;DATE(2024,9,1),'2024数据'!$AB$3:$AB$152,"&lt;="&amp;DATE(2024,9,30),'2024数据'!$BY$3:$BY$152,$E1848,'2024数据'!$B$3:$B$152,'2024整理'!$E2017)/10000</f>
        <v>0</v>
      </c>
      <c r="O2043" s="124">
        <f>SUMIFS('2024数据'!$BZ$3:$BZ$152,'2024数据'!$AB$3:$AB$152,"&gt;="&amp;DATE(2024,10,1),'2024数据'!$AB$3:$AB$152,"&lt;="&amp;DATE(2024,10,31),'2024数据'!$BY$3:$BY$152,$E1848,'2024数据'!$B$3:$B$152,'2024整理'!$E2017)/10000</f>
        <v>0</v>
      </c>
      <c r="P2043" s="124">
        <f>SUMIFS('2024数据'!$BZ$3:$BZ$152,'2024数据'!$AB$3:$AB$152,"&gt;="&amp;DATE(2024,11,1),'2024数据'!$AB$3:$AB$152,"&lt;="&amp;DATE(2024,11,30),'2024数据'!$BY$3:$BY$152,$E1848,'2024数据'!$B$3:$B$152,'2024整理'!$E2017)/10000</f>
        <v>0</v>
      </c>
      <c r="Q2043" s="124">
        <f>SUMIFS('2024数据'!$BZ$3:$BZ$152,'2024数据'!$AB$3:$AB$152,"&gt;="&amp;DATE(2024,12,1),'2024数据'!$AB$3:$AB$152,"&lt;="&amp;DATE(2024,12,31),'2024数据'!$BY$3:$BY$152,$E1848,'2024数据'!$B$3:$B$152,'2024整理'!$E2017)/10000</f>
        <v>0</v>
      </c>
    </row>
    <row r="2044" ht="24" customHeight="1" spans="1:17">
      <c r="A2044" s="99" t="s">
        <v>350</v>
      </c>
      <c r="B2044" s="99" t="s">
        <v>299</v>
      </c>
      <c r="C2044" s="99" t="s">
        <v>336</v>
      </c>
      <c r="D2044" s="122" t="s">
        <v>304</v>
      </c>
      <c r="E2044" s="122" t="s">
        <v>160</v>
      </c>
      <c r="F2044" s="124">
        <f t="shared" ref="F2044:Q2044" si="1483">F2033-SUM(F2040:F2043)</f>
        <v>0</v>
      </c>
      <c r="G2044" s="124">
        <f t="shared" si="1483"/>
        <v>0</v>
      </c>
      <c r="H2044" s="124">
        <f t="shared" si="1483"/>
        <v>0</v>
      </c>
      <c r="I2044" s="124">
        <f t="shared" si="1483"/>
        <v>0</v>
      </c>
      <c r="J2044" s="124">
        <f t="shared" si="1483"/>
        <v>0</v>
      </c>
      <c r="K2044" s="124">
        <f t="shared" si="1483"/>
        <v>0</v>
      </c>
      <c r="L2044" s="124">
        <f t="shared" si="1483"/>
        <v>0</v>
      </c>
      <c r="M2044" s="124">
        <f t="shared" si="1483"/>
        <v>0</v>
      </c>
      <c r="N2044" s="124">
        <f t="shared" si="1483"/>
        <v>0</v>
      </c>
      <c r="O2044" s="124">
        <f t="shared" si="1483"/>
        <v>0</v>
      </c>
      <c r="P2044" s="124">
        <f t="shared" si="1483"/>
        <v>0</v>
      </c>
      <c r="Q2044" s="124">
        <f t="shared" si="1483"/>
        <v>0</v>
      </c>
    </row>
    <row r="2045" ht="24" customHeight="1" spans="1:17">
      <c r="A2045" s="99" t="s">
        <v>350</v>
      </c>
      <c r="B2045" s="99" t="s">
        <v>299</v>
      </c>
      <c r="C2045" s="99" t="s">
        <v>343</v>
      </c>
      <c r="D2045" s="114" t="s">
        <v>292</v>
      </c>
      <c r="E2045" s="114" t="s">
        <v>320</v>
      </c>
      <c r="F2045" s="120">
        <f t="shared" ref="F2045:Q2045" si="1484">IF(SUM(F2046:F2051)&lt;&gt;SUM(F2058:F2062),"ERR",SUM(F2046:F2051))</f>
        <v>0.060156</v>
      </c>
      <c r="G2045" s="120">
        <f t="shared" si="1484"/>
        <v>0.174182</v>
      </c>
      <c r="H2045" s="120">
        <f t="shared" si="1484"/>
        <v>0.326341</v>
      </c>
      <c r="I2045" s="120">
        <f t="shared" si="1484"/>
        <v>0.326341</v>
      </c>
      <c r="J2045" s="120">
        <f t="shared" si="1484"/>
        <v>0.43776</v>
      </c>
      <c r="K2045" s="120">
        <f t="shared" si="1484"/>
        <v>0.76262</v>
      </c>
      <c r="L2045" s="120">
        <f t="shared" si="1484"/>
        <v>0.76262</v>
      </c>
      <c r="M2045" s="120">
        <f t="shared" si="1484"/>
        <v>0.779982</v>
      </c>
      <c r="N2045" s="120">
        <f t="shared" si="1484"/>
        <v>1.314742</v>
      </c>
      <c r="O2045" s="120">
        <f t="shared" si="1484"/>
        <v>1.358223</v>
      </c>
      <c r="P2045" s="120">
        <f t="shared" si="1484"/>
        <v>1.465502</v>
      </c>
      <c r="Q2045" s="120">
        <f t="shared" si="1484"/>
        <v>1.443316</v>
      </c>
    </row>
    <row r="2046" ht="24" customHeight="1" spans="1:17">
      <c r="A2046" s="99" t="s">
        <v>350</v>
      </c>
      <c r="B2046" s="99" t="s">
        <v>299</v>
      </c>
      <c r="C2046" s="99" t="s">
        <v>343</v>
      </c>
      <c r="D2046" s="48" t="s">
        <v>31</v>
      </c>
      <c r="E2046" s="48" t="s">
        <v>406</v>
      </c>
      <c r="F2046" s="121">
        <f t="shared" ref="F2046:F2051" si="1485">F1996</f>
        <v>0</v>
      </c>
      <c r="G2046" s="121">
        <f t="shared" ref="G2046:Q2046" si="1486">F2046+G1996</f>
        <v>0</v>
      </c>
      <c r="H2046" s="121">
        <f t="shared" si="1486"/>
        <v>0.116467</v>
      </c>
      <c r="I2046" s="121">
        <f t="shared" si="1486"/>
        <v>0.116467</v>
      </c>
      <c r="J2046" s="121">
        <f t="shared" si="1486"/>
        <v>0.147604</v>
      </c>
      <c r="K2046" s="121">
        <f t="shared" si="1486"/>
        <v>0.147604</v>
      </c>
      <c r="L2046" s="121">
        <f t="shared" si="1486"/>
        <v>0.147604</v>
      </c>
      <c r="M2046" s="121">
        <f t="shared" si="1486"/>
        <v>0.147604</v>
      </c>
      <c r="N2046" s="121">
        <f t="shared" si="1486"/>
        <v>0.173344</v>
      </c>
      <c r="O2046" s="121">
        <f t="shared" si="1486"/>
        <v>0.173344</v>
      </c>
      <c r="P2046" s="121">
        <f t="shared" si="1486"/>
        <v>0.216197</v>
      </c>
      <c r="Q2046" s="121">
        <f t="shared" si="1486"/>
        <v>0.216197</v>
      </c>
    </row>
    <row r="2047" ht="24" customHeight="1" spans="1:17">
      <c r="A2047" s="99" t="s">
        <v>350</v>
      </c>
      <c r="B2047" s="99" t="s">
        <v>299</v>
      </c>
      <c r="C2047" s="99" t="s">
        <v>343</v>
      </c>
      <c r="D2047" s="48" t="s">
        <v>31</v>
      </c>
      <c r="E2047" s="48" t="s">
        <v>82</v>
      </c>
      <c r="F2047" s="121">
        <f t="shared" si="1485"/>
        <v>0.060156</v>
      </c>
      <c r="G2047" s="121">
        <f t="shared" ref="G2047:Q2047" si="1487">F2047+G1997</f>
        <v>0.060156</v>
      </c>
      <c r="H2047" s="121">
        <f t="shared" si="1487"/>
        <v>0.060156</v>
      </c>
      <c r="I2047" s="121">
        <f t="shared" si="1487"/>
        <v>0.060156</v>
      </c>
      <c r="J2047" s="121">
        <f t="shared" si="1487"/>
        <v>0.123148</v>
      </c>
      <c r="K2047" s="121">
        <f t="shared" si="1487"/>
        <v>0.123148</v>
      </c>
      <c r="L2047" s="121">
        <f t="shared" si="1487"/>
        <v>0.123148</v>
      </c>
      <c r="M2047" s="121">
        <f t="shared" si="1487"/>
        <v>0.123148</v>
      </c>
      <c r="N2047" s="121">
        <f t="shared" si="1487"/>
        <v>0.262892</v>
      </c>
      <c r="O2047" s="121">
        <f t="shared" si="1487"/>
        <v>0.262892</v>
      </c>
      <c r="P2047" s="121">
        <f t="shared" si="1487"/>
        <v>0.262892</v>
      </c>
      <c r="Q2047" s="121">
        <f t="shared" si="1487"/>
        <v>0.262892</v>
      </c>
    </row>
    <row r="2048" ht="24" customHeight="1" spans="1:17">
      <c r="A2048" s="99" t="s">
        <v>350</v>
      </c>
      <c r="B2048" s="99" t="s">
        <v>299</v>
      </c>
      <c r="C2048" s="99" t="s">
        <v>343</v>
      </c>
      <c r="D2048" s="48" t="s">
        <v>31</v>
      </c>
      <c r="E2048" s="48" t="s">
        <v>86</v>
      </c>
      <c r="F2048" s="121">
        <f t="shared" si="1485"/>
        <v>0</v>
      </c>
      <c r="G2048" s="121">
        <f t="shared" ref="G2048:Q2048" si="1488">F2048+G1998</f>
        <v>0</v>
      </c>
      <c r="H2048" s="121">
        <f t="shared" si="1488"/>
        <v>0.035692</v>
      </c>
      <c r="I2048" s="121">
        <f t="shared" si="1488"/>
        <v>0.035692</v>
      </c>
      <c r="J2048" s="121">
        <f t="shared" si="1488"/>
        <v>0.035692</v>
      </c>
      <c r="K2048" s="121">
        <f t="shared" si="1488"/>
        <v>0.035692</v>
      </c>
      <c r="L2048" s="121">
        <f t="shared" si="1488"/>
        <v>0.035692</v>
      </c>
      <c r="M2048" s="121">
        <f t="shared" si="1488"/>
        <v>0.035692</v>
      </c>
      <c r="N2048" s="121">
        <f t="shared" si="1488"/>
        <v>0.035692</v>
      </c>
      <c r="O2048" s="121">
        <f t="shared" si="1488"/>
        <v>0.035692</v>
      </c>
      <c r="P2048" s="121">
        <f t="shared" si="1488"/>
        <v>0.035692</v>
      </c>
      <c r="Q2048" s="121">
        <f t="shared" si="1488"/>
        <v>0.035692</v>
      </c>
    </row>
    <row r="2049" ht="24" customHeight="1" spans="1:17">
      <c r="A2049" s="99" t="s">
        <v>350</v>
      </c>
      <c r="B2049" s="99" t="s">
        <v>299</v>
      </c>
      <c r="C2049" s="99" t="s">
        <v>343</v>
      </c>
      <c r="D2049" s="48" t="s">
        <v>31</v>
      </c>
      <c r="E2049" s="48" t="s">
        <v>97</v>
      </c>
      <c r="F2049" s="121">
        <f t="shared" si="1485"/>
        <v>0</v>
      </c>
      <c r="G2049" s="121">
        <f t="shared" ref="G2049:Q2049" si="1489">F2049+G1999</f>
        <v>0</v>
      </c>
      <c r="H2049" s="121">
        <f t="shared" si="1489"/>
        <v>0</v>
      </c>
      <c r="I2049" s="121">
        <f t="shared" si="1489"/>
        <v>0</v>
      </c>
      <c r="J2049" s="121">
        <f t="shared" si="1489"/>
        <v>0.01729</v>
      </c>
      <c r="K2049" s="121">
        <f t="shared" si="1489"/>
        <v>0.315462</v>
      </c>
      <c r="L2049" s="121">
        <f t="shared" si="1489"/>
        <v>0.315462</v>
      </c>
      <c r="M2049" s="121">
        <f t="shared" si="1489"/>
        <v>0.332824</v>
      </c>
      <c r="N2049" s="121">
        <f t="shared" si="1489"/>
        <v>0.602512</v>
      </c>
      <c r="O2049" s="121">
        <f t="shared" si="1489"/>
        <v>0.602512</v>
      </c>
      <c r="P2049" s="121">
        <f t="shared" si="1489"/>
        <v>0.666938</v>
      </c>
      <c r="Q2049" s="121">
        <f t="shared" si="1489"/>
        <v>0.666938</v>
      </c>
    </row>
    <row r="2050" ht="24" customHeight="1" spans="1:17">
      <c r="A2050" s="99" t="s">
        <v>350</v>
      </c>
      <c r="B2050" s="99" t="s">
        <v>299</v>
      </c>
      <c r="C2050" s="99" t="s">
        <v>343</v>
      </c>
      <c r="D2050" s="48" t="s">
        <v>31</v>
      </c>
      <c r="E2050" s="48" t="s">
        <v>87</v>
      </c>
      <c r="F2050" s="121">
        <f t="shared" si="1485"/>
        <v>0</v>
      </c>
      <c r="G2050" s="121">
        <f t="shared" ref="G2050:Q2050" si="1490">F2050+G2000</f>
        <v>0.114026</v>
      </c>
      <c r="H2050" s="121">
        <f t="shared" si="1490"/>
        <v>0.114026</v>
      </c>
      <c r="I2050" s="121">
        <f t="shared" si="1490"/>
        <v>0.114026</v>
      </c>
      <c r="J2050" s="121">
        <f t="shared" si="1490"/>
        <v>0.114026</v>
      </c>
      <c r="K2050" s="121">
        <f t="shared" si="1490"/>
        <v>0.140714</v>
      </c>
      <c r="L2050" s="121">
        <f t="shared" si="1490"/>
        <v>0.140714</v>
      </c>
      <c r="M2050" s="121">
        <f t="shared" si="1490"/>
        <v>0.140714</v>
      </c>
      <c r="N2050" s="121">
        <f t="shared" si="1490"/>
        <v>0.240302</v>
      </c>
      <c r="O2050" s="121">
        <f t="shared" si="1490"/>
        <v>0.283783</v>
      </c>
      <c r="P2050" s="121">
        <f t="shared" si="1490"/>
        <v>0.283783</v>
      </c>
      <c r="Q2050" s="121">
        <f t="shared" si="1490"/>
        <v>0.261597</v>
      </c>
    </row>
    <row r="2051" ht="24" customHeight="1" spans="1:17">
      <c r="A2051" s="99" t="s">
        <v>350</v>
      </c>
      <c r="B2051" s="99" t="s">
        <v>299</v>
      </c>
      <c r="C2051" s="99" t="s">
        <v>343</v>
      </c>
      <c r="D2051" s="48" t="s">
        <v>31</v>
      </c>
      <c r="E2051" s="48" t="s">
        <v>83</v>
      </c>
      <c r="F2051" s="121">
        <f t="shared" si="1485"/>
        <v>0</v>
      </c>
      <c r="G2051" s="121">
        <f t="shared" ref="G2051:Q2051" si="1491">F2051+G2001</f>
        <v>0</v>
      </c>
      <c r="H2051" s="121">
        <f t="shared" si="1491"/>
        <v>0</v>
      </c>
      <c r="I2051" s="121">
        <f t="shared" si="1491"/>
        <v>0</v>
      </c>
      <c r="J2051" s="121">
        <f t="shared" si="1491"/>
        <v>0</v>
      </c>
      <c r="K2051" s="121">
        <f t="shared" si="1491"/>
        <v>0</v>
      </c>
      <c r="L2051" s="121">
        <f t="shared" si="1491"/>
        <v>0</v>
      </c>
      <c r="M2051" s="121">
        <f t="shared" si="1491"/>
        <v>0</v>
      </c>
      <c r="N2051" s="121">
        <f t="shared" si="1491"/>
        <v>0</v>
      </c>
      <c r="O2051" s="121">
        <f t="shared" si="1491"/>
        <v>0</v>
      </c>
      <c r="P2051" s="121">
        <f t="shared" si="1491"/>
        <v>0</v>
      </c>
      <c r="Q2051" s="121">
        <f t="shared" si="1491"/>
        <v>0</v>
      </c>
    </row>
    <row r="2052" ht="24" customHeight="1" spans="1:17">
      <c r="A2052" s="99" t="s">
        <v>350</v>
      </c>
      <c r="B2052" s="99" t="s">
        <v>299</v>
      </c>
      <c r="C2052" s="99" t="s">
        <v>343</v>
      </c>
      <c r="D2052" s="48" t="s">
        <v>321</v>
      </c>
      <c r="E2052" s="48" t="s">
        <v>406</v>
      </c>
      <c r="F2052" s="112">
        <f t="shared" ref="F2052:Q2052" si="1492">IFERROR(F2046/F2045,"-")</f>
        <v>0</v>
      </c>
      <c r="G2052" s="112">
        <f t="shared" si="1492"/>
        <v>0</v>
      </c>
      <c r="H2052" s="112">
        <f t="shared" si="1492"/>
        <v>0.356887427568096</v>
      </c>
      <c r="I2052" s="112">
        <f t="shared" si="1492"/>
        <v>0.356887427568096</v>
      </c>
      <c r="J2052" s="112">
        <f t="shared" si="1492"/>
        <v>0.33718019005848</v>
      </c>
      <c r="K2052" s="112">
        <f t="shared" si="1492"/>
        <v>0.19354855629278</v>
      </c>
      <c r="L2052" s="112">
        <f t="shared" si="1492"/>
        <v>0.19354855629278</v>
      </c>
      <c r="M2052" s="112">
        <f t="shared" si="1492"/>
        <v>0.189240264518925</v>
      </c>
      <c r="N2052" s="112">
        <f t="shared" si="1492"/>
        <v>0.131846400282337</v>
      </c>
      <c r="O2052" s="112">
        <f t="shared" si="1492"/>
        <v>0.127625581366241</v>
      </c>
      <c r="P2052" s="112">
        <f t="shared" si="1492"/>
        <v>0.147524193075137</v>
      </c>
      <c r="Q2052" s="112">
        <f t="shared" si="1492"/>
        <v>0.149791868170241</v>
      </c>
    </row>
    <row r="2053" ht="24" customHeight="1" spans="1:17">
      <c r="A2053" s="99" t="s">
        <v>350</v>
      </c>
      <c r="B2053" s="99" t="s">
        <v>299</v>
      </c>
      <c r="C2053" s="99" t="s">
        <v>343</v>
      </c>
      <c r="D2053" s="48" t="s">
        <v>321</v>
      </c>
      <c r="E2053" s="48" t="s">
        <v>82</v>
      </c>
      <c r="F2053" s="112">
        <f t="shared" ref="F2053:Q2053" si="1493">IFERROR(F2047/F2045,"-")</f>
        <v>1</v>
      </c>
      <c r="G2053" s="112">
        <f t="shared" si="1493"/>
        <v>0.345362896280902</v>
      </c>
      <c r="H2053" s="112">
        <f t="shared" si="1493"/>
        <v>0.184334790908896</v>
      </c>
      <c r="I2053" s="112">
        <f t="shared" si="1493"/>
        <v>0.184334790908896</v>
      </c>
      <c r="J2053" s="112">
        <f t="shared" si="1493"/>
        <v>0.281313961988304</v>
      </c>
      <c r="K2053" s="112">
        <f t="shared" si="1493"/>
        <v>0.161480160499331</v>
      </c>
      <c r="L2053" s="112">
        <f t="shared" si="1493"/>
        <v>0.161480160499331</v>
      </c>
      <c r="M2053" s="112">
        <f t="shared" si="1493"/>
        <v>0.157885694798085</v>
      </c>
      <c r="N2053" s="112">
        <f t="shared" si="1493"/>
        <v>0.19995710184964</v>
      </c>
      <c r="O2053" s="112">
        <f t="shared" si="1493"/>
        <v>0.193555844658793</v>
      </c>
      <c r="P2053" s="112">
        <f t="shared" si="1493"/>
        <v>0.179386995036513</v>
      </c>
      <c r="Q2053" s="112">
        <f t="shared" si="1493"/>
        <v>0.182144450695482</v>
      </c>
    </row>
    <row r="2054" ht="24" customHeight="1" spans="1:17">
      <c r="A2054" s="99" t="s">
        <v>350</v>
      </c>
      <c r="B2054" s="99" t="s">
        <v>299</v>
      </c>
      <c r="C2054" s="99" t="s">
        <v>343</v>
      </c>
      <c r="D2054" s="48" t="s">
        <v>321</v>
      </c>
      <c r="E2054" s="48" t="s">
        <v>86</v>
      </c>
      <c r="F2054" s="112">
        <f t="shared" ref="F2054:Q2054" si="1494">IFERROR(F2048/F2045,"-")</f>
        <v>0</v>
      </c>
      <c r="G2054" s="112">
        <f t="shared" si="1494"/>
        <v>0</v>
      </c>
      <c r="H2054" s="112">
        <f t="shared" si="1494"/>
        <v>0.109370259942821</v>
      </c>
      <c r="I2054" s="112">
        <f t="shared" si="1494"/>
        <v>0.109370259942821</v>
      </c>
      <c r="J2054" s="112">
        <f t="shared" si="1494"/>
        <v>0.0815332602339181</v>
      </c>
      <c r="K2054" s="112">
        <f t="shared" si="1494"/>
        <v>0.0468018147963599</v>
      </c>
      <c r="L2054" s="112">
        <f t="shared" si="1494"/>
        <v>0.0468018147963599</v>
      </c>
      <c r="M2054" s="112">
        <f t="shared" si="1494"/>
        <v>0.045760030359675</v>
      </c>
      <c r="N2054" s="112">
        <f t="shared" si="1494"/>
        <v>0.0271475316069617</v>
      </c>
      <c r="O2054" s="112">
        <f t="shared" si="1494"/>
        <v>0.0262784535381892</v>
      </c>
      <c r="P2054" s="112">
        <f t="shared" si="1494"/>
        <v>0.024354794466333</v>
      </c>
      <c r="Q2054" s="112">
        <f t="shared" si="1494"/>
        <v>0.0247291653387062</v>
      </c>
    </row>
    <row r="2055" ht="24" customHeight="1" spans="1:17">
      <c r="A2055" s="99" t="s">
        <v>350</v>
      </c>
      <c r="B2055" s="99" t="s">
        <v>299</v>
      </c>
      <c r="C2055" s="99" t="s">
        <v>343</v>
      </c>
      <c r="D2055" s="48" t="s">
        <v>321</v>
      </c>
      <c r="E2055" s="48" t="s">
        <v>97</v>
      </c>
      <c r="F2055" s="112">
        <f t="shared" ref="F2055:Q2055" si="1495">IFERROR(F2049/F2045,"-")</f>
        <v>0</v>
      </c>
      <c r="G2055" s="112">
        <f t="shared" si="1495"/>
        <v>0</v>
      </c>
      <c r="H2055" s="112">
        <f t="shared" si="1495"/>
        <v>0</v>
      </c>
      <c r="I2055" s="112">
        <f t="shared" si="1495"/>
        <v>0</v>
      </c>
      <c r="J2055" s="112">
        <f t="shared" si="1495"/>
        <v>0.0394965277777778</v>
      </c>
      <c r="K2055" s="112">
        <f t="shared" si="1495"/>
        <v>0.413655555846949</v>
      </c>
      <c r="L2055" s="112">
        <f t="shared" si="1495"/>
        <v>0.413655555846949</v>
      </c>
      <c r="M2055" s="112">
        <f t="shared" si="1495"/>
        <v>0.426707282988582</v>
      </c>
      <c r="N2055" s="112">
        <f t="shared" si="1495"/>
        <v>0.458273942720321</v>
      </c>
      <c r="O2055" s="112">
        <f t="shared" si="1495"/>
        <v>0.443603149114689</v>
      </c>
      <c r="P2055" s="112">
        <f t="shared" si="1495"/>
        <v>0.455091838837477</v>
      </c>
      <c r="Q2055" s="112">
        <f t="shared" si="1495"/>
        <v>0.462087304512664</v>
      </c>
    </row>
    <row r="2056" ht="24" customHeight="1" spans="1:17">
      <c r="A2056" s="99" t="s">
        <v>350</v>
      </c>
      <c r="B2056" s="99" t="s">
        <v>299</v>
      </c>
      <c r="C2056" s="99" t="s">
        <v>343</v>
      </c>
      <c r="D2056" s="48" t="s">
        <v>321</v>
      </c>
      <c r="E2056" s="48" t="s">
        <v>87</v>
      </c>
      <c r="F2056" s="112">
        <f t="shared" ref="F2056:Q2056" si="1496">IFERROR(F2050/F2045,"-")</f>
        <v>0</v>
      </c>
      <c r="G2056" s="112">
        <f t="shared" si="1496"/>
        <v>0.654637103719098</v>
      </c>
      <c r="H2056" s="112">
        <f t="shared" si="1496"/>
        <v>0.349407521580188</v>
      </c>
      <c r="I2056" s="112">
        <f t="shared" si="1496"/>
        <v>0.349407521580188</v>
      </c>
      <c r="J2056" s="112">
        <f t="shared" si="1496"/>
        <v>0.260476059941521</v>
      </c>
      <c r="K2056" s="112">
        <f t="shared" si="1496"/>
        <v>0.18451391256458</v>
      </c>
      <c r="L2056" s="112">
        <f t="shared" si="1496"/>
        <v>0.18451391256458</v>
      </c>
      <c r="M2056" s="112">
        <f t="shared" si="1496"/>
        <v>0.180406727334733</v>
      </c>
      <c r="N2056" s="112">
        <f t="shared" si="1496"/>
        <v>0.18277502354074</v>
      </c>
      <c r="O2056" s="112">
        <f t="shared" si="1496"/>
        <v>0.208936971322088</v>
      </c>
      <c r="P2056" s="112">
        <f t="shared" si="1496"/>
        <v>0.19364217858454</v>
      </c>
      <c r="Q2056" s="112">
        <f t="shared" si="1496"/>
        <v>0.181247211282907</v>
      </c>
    </row>
    <row r="2057" ht="24" customHeight="1" spans="1:17">
      <c r="A2057" s="99" t="s">
        <v>350</v>
      </c>
      <c r="B2057" s="99" t="s">
        <v>299</v>
      </c>
      <c r="C2057" s="99" t="s">
        <v>343</v>
      </c>
      <c r="D2057" s="48" t="s">
        <v>321</v>
      </c>
      <c r="E2057" s="48" t="s">
        <v>83</v>
      </c>
      <c r="F2057" s="112">
        <f t="shared" ref="F2057:Q2057" si="1497">IFERROR(F2051/F2045,"-")</f>
        <v>0</v>
      </c>
      <c r="G2057" s="112">
        <f t="shared" si="1497"/>
        <v>0</v>
      </c>
      <c r="H2057" s="112">
        <f t="shared" si="1497"/>
        <v>0</v>
      </c>
      <c r="I2057" s="112">
        <f t="shared" si="1497"/>
        <v>0</v>
      </c>
      <c r="J2057" s="112">
        <f t="shared" si="1497"/>
        <v>0</v>
      </c>
      <c r="K2057" s="112">
        <f t="shared" si="1497"/>
        <v>0</v>
      </c>
      <c r="L2057" s="112">
        <f t="shared" si="1497"/>
        <v>0</v>
      </c>
      <c r="M2057" s="112">
        <f t="shared" si="1497"/>
        <v>0</v>
      </c>
      <c r="N2057" s="112">
        <f t="shared" si="1497"/>
        <v>0</v>
      </c>
      <c r="O2057" s="112">
        <f t="shared" si="1497"/>
        <v>0</v>
      </c>
      <c r="P2057" s="112">
        <f t="shared" si="1497"/>
        <v>0</v>
      </c>
      <c r="Q2057" s="112">
        <f t="shared" si="1497"/>
        <v>0</v>
      </c>
    </row>
    <row r="2058" ht="24" customHeight="1" spans="1:17">
      <c r="A2058" s="99" t="s">
        <v>350</v>
      </c>
      <c r="B2058" s="99" t="s">
        <v>299</v>
      </c>
      <c r="C2058" s="99" t="s">
        <v>343</v>
      </c>
      <c r="D2058" s="47" t="s">
        <v>294</v>
      </c>
      <c r="E2058" s="47" t="s">
        <v>93</v>
      </c>
      <c r="F2058" s="125">
        <f t="shared" ref="F2058:F2062" si="1498">F2002</f>
        <v>0.029854</v>
      </c>
      <c r="G2058" s="125">
        <f t="shared" ref="G2058:Q2058" si="1499">F2058+G2002</f>
        <v>0.029854</v>
      </c>
      <c r="H2058" s="125">
        <f t="shared" si="1499"/>
        <v>0.182013</v>
      </c>
      <c r="I2058" s="125">
        <f t="shared" si="1499"/>
        <v>0.182013</v>
      </c>
      <c r="J2058" s="125">
        <f t="shared" si="1499"/>
        <v>0.260393</v>
      </c>
      <c r="K2058" s="125">
        <f t="shared" si="1499"/>
        <v>0.287081</v>
      </c>
      <c r="L2058" s="125">
        <f t="shared" si="1499"/>
        <v>0.287081</v>
      </c>
      <c r="M2058" s="125">
        <f t="shared" si="1499"/>
        <v>0.304443</v>
      </c>
      <c r="N2058" s="125">
        <f t="shared" si="1499"/>
        <v>0.499579</v>
      </c>
      <c r="O2058" s="125">
        <f t="shared" si="1499"/>
        <v>0.499579</v>
      </c>
      <c r="P2058" s="125">
        <f t="shared" si="1499"/>
        <v>0.606858</v>
      </c>
      <c r="Q2058" s="125">
        <f t="shared" si="1499"/>
        <v>0.606858</v>
      </c>
    </row>
    <row r="2059" ht="24" customHeight="1" spans="1:17">
      <c r="A2059" s="99" t="s">
        <v>350</v>
      </c>
      <c r="B2059" s="99" t="s">
        <v>299</v>
      </c>
      <c r="C2059" s="99" t="s">
        <v>343</v>
      </c>
      <c r="D2059" s="47" t="s">
        <v>294</v>
      </c>
      <c r="E2059" s="47" t="s">
        <v>85</v>
      </c>
      <c r="F2059" s="125">
        <f t="shared" si="1498"/>
        <v>0.030302</v>
      </c>
      <c r="G2059" s="125">
        <f t="shared" ref="G2059:Q2059" si="1500">F2059+G2003</f>
        <v>0.144328</v>
      </c>
      <c r="H2059" s="125">
        <f t="shared" si="1500"/>
        <v>0.144328</v>
      </c>
      <c r="I2059" s="125">
        <f t="shared" si="1500"/>
        <v>0.144328</v>
      </c>
      <c r="J2059" s="125">
        <f t="shared" si="1500"/>
        <v>0.177367</v>
      </c>
      <c r="K2059" s="125">
        <f t="shared" si="1500"/>
        <v>0.475539</v>
      </c>
      <c r="L2059" s="125">
        <f t="shared" si="1500"/>
        <v>0.475539</v>
      </c>
      <c r="M2059" s="125">
        <f t="shared" si="1500"/>
        <v>0.475539</v>
      </c>
      <c r="N2059" s="125">
        <f t="shared" si="1500"/>
        <v>0.58707</v>
      </c>
      <c r="O2059" s="125">
        <f t="shared" si="1500"/>
        <v>0.630551</v>
      </c>
      <c r="P2059" s="125">
        <f t="shared" si="1500"/>
        <v>0.630551</v>
      </c>
      <c r="Q2059" s="125">
        <f t="shared" si="1500"/>
        <v>0.630551</v>
      </c>
    </row>
    <row r="2060" ht="24" customHeight="1" spans="1:17">
      <c r="A2060" s="99" t="s">
        <v>350</v>
      </c>
      <c r="B2060" s="99" t="s">
        <v>299</v>
      </c>
      <c r="C2060" s="99" t="s">
        <v>343</v>
      </c>
      <c r="D2060" s="47" t="s">
        <v>294</v>
      </c>
      <c r="E2060" s="47" t="s">
        <v>81</v>
      </c>
      <c r="F2060" s="125">
        <f t="shared" si="1498"/>
        <v>0</v>
      </c>
      <c r="G2060" s="125">
        <f t="shared" ref="G2060:Q2060" si="1501">F2060+G2004</f>
        <v>0</v>
      </c>
      <c r="H2060" s="125">
        <f t="shared" si="1501"/>
        <v>0</v>
      </c>
      <c r="I2060" s="125">
        <f t="shared" si="1501"/>
        <v>0</v>
      </c>
      <c r="J2060" s="125">
        <f t="shared" si="1501"/>
        <v>0</v>
      </c>
      <c r="K2060" s="125">
        <f t="shared" si="1501"/>
        <v>0</v>
      </c>
      <c r="L2060" s="125">
        <f t="shared" si="1501"/>
        <v>0</v>
      </c>
      <c r="M2060" s="125">
        <f t="shared" si="1501"/>
        <v>0</v>
      </c>
      <c r="N2060" s="125">
        <f t="shared" si="1501"/>
        <v>0</v>
      </c>
      <c r="O2060" s="125">
        <f t="shared" si="1501"/>
        <v>0</v>
      </c>
      <c r="P2060" s="125">
        <f t="shared" si="1501"/>
        <v>0</v>
      </c>
      <c r="Q2060" s="125">
        <f t="shared" si="1501"/>
        <v>-0.022186</v>
      </c>
    </row>
    <row r="2061" ht="24" customHeight="1" spans="1:17">
      <c r="A2061" s="99" t="s">
        <v>350</v>
      </c>
      <c r="B2061" s="99" t="s">
        <v>299</v>
      </c>
      <c r="C2061" s="99" t="s">
        <v>343</v>
      </c>
      <c r="D2061" s="47" t="s">
        <v>294</v>
      </c>
      <c r="E2061" s="47" t="s">
        <v>96</v>
      </c>
      <c r="F2061" s="125">
        <f t="shared" si="1498"/>
        <v>0</v>
      </c>
      <c r="G2061" s="125">
        <f t="shared" ref="G2061:Q2061" si="1502">F2061+G2005</f>
        <v>0</v>
      </c>
      <c r="H2061" s="125">
        <f t="shared" si="1502"/>
        <v>0</v>
      </c>
      <c r="I2061" s="125">
        <f t="shared" si="1502"/>
        <v>0</v>
      </c>
      <c r="J2061" s="125">
        <f t="shared" si="1502"/>
        <v>0</v>
      </c>
      <c r="K2061" s="125">
        <f t="shared" si="1502"/>
        <v>0</v>
      </c>
      <c r="L2061" s="125">
        <f t="shared" si="1502"/>
        <v>0</v>
      </c>
      <c r="M2061" s="125">
        <f t="shared" si="1502"/>
        <v>0</v>
      </c>
      <c r="N2061" s="125">
        <f t="shared" si="1502"/>
        <v>0.228093</v>
      </c>
      <c r="O2061" s="125">
        <f t="shared" si="1502"/>
        <v>0.228093</v>
      </c>
      <c r="P2061" s="125">
        <f t="shared" si="1502"/>
        <v>0.228093</v>
      </c>
      <c r="Q2061" s="125">
        <f t="shared" si="1502"/>
        <v>0.228093</v>
      </c>
    </row>
    <row r="2062" ht="24" customHeight="1" spans="1:17">
      <c r="A2062" s="99" t="s">
        <v>350</v>
      </c>
      <c r="B2062" s="99" t="s">
        <v>299</v>
      </c>
      <c r="C2062" s="99" t="s">
        <v>343</v>
      </c>
      <c r="D2062" s="47" t="s">
        <v>294</v>
      </c>
      <c r="E2062" s="47" t="s">
        <v>160</v>
      </c>
      <c r="F2062" s="125">
        <f t="shared" si="1498"/>
        <v>0</v>
      </c>
      <c r="G2062" s="125">
        <f t="shared" ref="G2062:Q2062" si="1503">F2062+G2006</f>
        <v>0</v>
      </c>
      <c r="H2062" s="125">
        <f t="shared" si="1503"/>
        <v>0</v>
      </c>
      <c r="I2062" s="125">
        <f t="shared" si="1503"/>
        <v>0</v>
      </c>
      <c r="J2062" s="125">
        <f t="shared" si="1503"/>
        <v>0</v>
      </c>
      <c r="K2062" s="125">
        <f t="shared" si="1503"/>
        <v>0</v>
      </c>
      <c r="L2062" s="125">
        <f t="shared" si="1503"/>
        <v>0</v>
      </c>
      <c r="M2062" s="125">
        <f t="shared" si="1503"/>
        <v>0</v>
      </c>
      <c r="N2062" s="125">
        <f t="shared" si="1503"/>
        <v>0</v>
      </c>
      <c r="O2062" s="125">
        <f t="shared" si="1503"/>
        <v>0</v>
      </c>
      <c r="P2062" s="125">
        <f t="shared" si="1503"/>
        <v>0</v>
      </c>
      <c r="Q2062" s="125">
        <f t="shared" si="1503"/>
        <v>0</v>
      </c>
    </row>
    <row r="2063" ht="24" customHeight="1" spans="1:17">
      <c r="A2063" s="99" t="s">
        <v>350</v>
      </c>
      <c r="B2063" s="99" t="s">
        <v>299</v>
      </c>
      <c r="C2063" s="99" t="s">
        <v>343</v>
      </c>
      <c r="D2063" s="47" t="s">
        <v>321</v>
      </c>
      <c r="E2063" s="47" t="s">
        <v>93</v>
      </c>
      <c r="F2063" s="126">
        <f t="shared" ref="F2063:Q2063" si="1504">IFERROR(F2058/F2045,"-")</f>
        <v>0.496276348161447</v>
      </c>
      <c r="G2063" s="126">
        <f t="shared" si="1504"/>
        <v>0.171395436956746</v>
      </c>
      <c r="H2063" s="126">
        <f t="shared" si="1504"/>
        <v>0.557738684382287</v>
      </c>
      <c r="I2063" s="126">
        <f t="shared" si="1504"/>
        <v>0.557738684382287</v>
      </c>
      <c r="J2063" s="126">
        <f t="shared" si="1504"/>
        <v>0.594830500730994</v>
      </c>
      <c r="K2063" s="126">
        <f t="shared" si="1504"/>
        <v>0.376440429047232</v>
      </c>
      <c r="L2063" s="126">
        <f t="shared" si="1504"/>
        <v>0.376440429047232</v>
      </c>
      <c r="M2063" s="126">
        <f t="shared" si="1504"/>
        <v>0.390320545858751</v>
      </c>
      <c r="N2063" s="126">
        <f t="shared" si="1504"/>
        <v>0.379982536497655</v>
      </c>
      <c r="O2063" s="126">
        <f t="shared" si="1504"/>
        <v>0.367818097617254</v>
      </c>
      <c r="P2063" s="126">
        <f t="shared" si="1504"/>
        <v>0.414095647771207</v>
      </c>
      <c r="Q2063" s="126">
        <f t="shared" si="1504"/>
        <v>0.420460938560925</v>
      </c>
    </row>
    <row r="2064" ht="24" customHeight="1" spans="1:17">
      <c r="A2064" s="99" t="s">
        <v>350</v>
      </c>
      <c r="B2064" s="99" t="s">
        <v>299</v>
      </c>
      <c r="C2064" s="99" t="s">
        <v>343</v>
      </c>
      <c r="D2064" s="47" t="s">
        <v>321</v>
      </c>
      <c r="E2064" s="47" t="s">
        <v>85</v>
      </c>
      <c r="F2064" s="126">
        <f t="shared" ref="F2064:Q2064" si="1505">IFERROR(F2059/F2045,"-")</f>
        <v>0.503723651838553</v>
      </c>
      <c r="G2064" s="126">
        <f t="shared" si="1505"/>
        <v>0.828604563043254</v>
      </c>
      <c r="H2064" s="126">
        <f t="shared" si="1505"/>
        <v>0.442261315617713</v>
      </c>
      <c r="I2064" s="126">
        <f t="shared" si="1505"/>
        <v>0.442261315617713</v>
      </c>
      <c r="J2064" s="126">
        <f t="shared" si="1505"/>
        <v>0.405169499269006</v>
      </c>
      <c r="K2064" s="126">
        <f t="shared" si="1505"/>
        <v>0.623559570952768</v>
      </c>
      <c r="L2064" s="126">
        <f t="shared" si="1505"/>
        <v>0.623559570952768</v>
      </c>
      <c r="M2064" s="126">
        <f t="shared" si="1505"/>
        <v>0.609679454141249</v>
      </c>
      <c r="N2064" s="126">
        <f t="shared" si="1505"/>
        <v>0.44652867254564</v>
      </c>
      <c r="O2064" s="126">
        <f t="shared" si="1505"/>
        <v>0.464247034544401</v>
      </c>
      <c r="P2064" s="126">
        <f t="shared" si="1505"/>
        <v>0.430262804144928</v>
      </c>
      <c r="Q2064" s="126">
        <f t="shared" si="1505"/>
        <v>0.436876609141726</v>
      </c>
    </row>
    <row r="2065" ht="24" customHeight="1" spans="1:17">
      <c r="A2065" s="99" t="s">
        <v>350</v>
      </c>
      <c r="B2065" s="99" t="s">
        <v>299</v>
      </c>
      <c r="C2065" s="99" t="s">
        <v>343</v>
      </c>
      <c r="D2065" s="47" t="s">
        <v>321</v>
      </c>
      <c r="E2065" s="47" t="s">
        <v>81</v>
      </c>
      <c r="F2065" s="126">
        <f t="shared" ref="F2065:Q2065" si="1506">IFERROR(F2060/F2045,"-")</f>
        <v>0</v>
      </c>
      <c r="G2065" s="126">
        <f t="shared" si="1506"/>
        <v>0</v>
      </c>
      <c r="H2065" s="126">
        <f t="shared" si="1506"/>
        <v>0</v>
      </c>
      <c r="I2065" s="126">
        <f t="shared" si="1506"/>
        <v>0</v>
      </c>
      <c r="J2065" s="126">
        <f t="shared" si="1506"/>
        <v>0</v>
      </c>
      <c r="K2065" s="126">
        <f t="shared" si="1506"/>
        <v>0</v>
      </c>
      <c r="L2065" s="126">
        <f t="shared" si="1506"/>
        <v>0</v>
      </c>
      <c r="M2065" s="126">
        <f t="shared" si="1506"/>
        <v>0</v>
      </c>
      <c r="N2065" s="126">
        <f t="shared" si="1506"/>
        <v>0</v>
      </c>
      <c r="O2065" s="126">
        <f t="shared" si="1506"/>
        <v>0</v>
      </c>
      <c r="P2065" s="126">
        <f t="shared" si="1506"/>
        <v>0</v>
      </c>
      <c r="Q2065" s="126">
        <f t="shared" si="1506"/>
        <v>-0.0153715471871718</v>
      </c>
    </row>
    <row r="2066" ht="24" customHeight="1" spans="1:17">
      <c r="A2066" s="99" t="s">
        <v>350</v>
      </c>
      <c r="B2066" s="99" t="s">
        <v>299</v>
      </c>
      <c r="C2066" s="99" t="s">
        <v>343</v>
      </c>
      <c r="D2066" s="47" t="s">
        <v>321</v>
      </c>
      <c r="E2066" s="47" t="s">
        <v>96</v>
      </c>
      <c r="F2066" s="126">
        <f t="shared" ref="F2066:Q2066" si="1507">IFERROR(F2061/F2045,"-")</f>
        <v>0</v>
      </c>
      <c r="G2066" s="126">
        <f t="shared" si="1507"/>
        <v>0</v>
      </c>
      <c r="H2066" s="126">
        <f t="shared" si="1507"/>
        <v>0</v>
      </c>
      <c r="I2066" s="126">
        <f t="shared" si="1507"/>
        <v>0</v>
      </c>
      <c r="J2066" s="126">
        <f t="shared" si="1507"/>
        <v>0</v>
      </c>
      <c r="K2066" s="126">
        <f t="shared" si="1507"/>
        <v>0</v>
      </c>
      <c r="L2066" s="126">
        <f t="shared" si="1507"/>
        <v>0</v>
      </c>
      <c r="M2066" s="126">
        <f t="shared" si="1507"/>
        <v>0</v>
      </c>
      <c r="N2066" s="126">
        <f t="shared" si="1507"/>
        <v>0.173488790956705</v>
      </c>
      <c r="O2066" s="126">
        <f t="shared" si="1507"/>
        <v>0.167934867838345</v>
      </c>
      <c r="P2066" s="126">
        <f t="shared" si="1507"/>
        <v>0.155641548083865</v>
      </c>
      <c r="Q2066" s="126">
        <f t="shared" si="1507"/>
        <v>0.15803399948452</v>
      </c>
    </row>
    <row r="2067" ht="24" customHeight="1" spans="1:17">
      <c r="A2067" s="99" t="s">
        <v>350</v>
      </c>
      <c r="B2067" s="99" t="s">
        <v>299</v>
      </c>
      <c r="C2067" s="99" t="s">
        <v>343</v>
      </c>
      <c r="D2067" s="47" t="s">
        <v>321</v>
      </c>
      <c r="E2067" s="47" t="s">
        <v>160</v>
      </c>
      <c r="F2067" s="126">
        <f t="shared" ref="F2067:Q2067" si="1508">IFERROR(F2062/F2045,"-")</f>
        <v>0</v>
      </c>
      <c r="G2067" s="126">
        <f t="shared" si="1508"/>
        <v>0</v>
      </c>
      <c r="H2067" s="126">
        <f t="shared" si="1508"/>
        <v>0</v>
      </c>
      <c r="I2067" s="126">
        <f t="shared" si="1508"/>
        <v>0</v>
      </c>
      <c r="J2067" s="126">
        <f t="shared" si="1508"/>
        <v>0</v>
      </c>
      <c r="K2067" s="126">
        <f t="shared" si="1508"/>
        <v>0</v>
      </c>
      <c r="L2067" s="126">
        <f t="shared" si="1508"/>
        <v>0</v>
      </c>
      <c r="M2067" s="126">
        <f t="shared" si="1508"/>
        <v>0</v>
      </c>
      <c r="N2067" s="126">
        <f t="shared" si="1508"/>
        <v>0</v>
      </c>
      <c r="O2067" s="126">
        <f t="shared" si="1508"/>
        <v>0</v>
      </c>
      <c r="P2067" s="126">
        <f t="shared" si="1508"/>
        <v>0</v>
      </c>
      <c r="Q2067" s="126">
        <f t="shared" si="1508"/>
        <v>0</v>
      </c>
    </row>
    <row r="2068" ht="24" customHeight="1" spans="1:17">
      <c r="A2068" s="99" t="s">
        <v>350</v>
      </c>
      <c r="B2068" s="99" t="s">
        <v>299</v>
      </c>
      <c r="C2068" s="99" t="s">
        <v>344</v>
      </c>
      <c r="D2068" s="114" t="s">
        <v>292</v>
      </c>
      <c r="E2068" s="114" t="s">
        <v>320</v>
      </c>
      <c r="F2068" s="120">
        <f t="shared" ref="F2068:Q2068" si="1509">IF(SUM(F2069:F2074)&lt;&gt;SUM(F2081:F2085),"ERR",SUM(F2069:F2074))</f>
        <v>0.060156</v>
      </c>
      <c r="G2068" s="120">
        <f t="shared" si="1509"/>
        <v>0.174182</v>
      </c>
      <c r="H2068" s="120">
        <f t="shared" si="1509"/>
        <v>0.326341</v>
      </c>
      <c r="I2068" s="120">
        <f t="shared" si="1509"/>
        <v>0.326341</v>
      </c>
      <c r="J2068" s="120">
        <f t="shared" si="1509"/>
        <v>0.43776</v>
      </c>
      <c r="K2068" s="120">
        <f t="shared" si="1509"/>
        <v>0.76262</v>
      </c>
      <c r="L2068" s="120">
        <f t="shared" si="1509"/>
        <v>0.76262</v>
      </c>
      <c r="M2068" s="120">
        <f t="shared" si="1509"/>
        <v>0.779982</v>
      </c>
      <c r="N2068" s="120">
        <f t="shared" si="1509"/>
        <v>1.314742</v>
      </c>
      <c r="O2068" s="120">
        <f t="shared" si="1509"/>
        <v>1.358223</v>
      </c>
      <c r="P2068" s="120">
        <f t="shared" si="1509"/>
        <v>1.465502</v>
      </c>
      <c r="Q2068" s="120">
        <f t="shared" si="1509"/>
        <v>1.443316</v>
      </c>
    </row>
    <row r="2069" ht="24" customHeight="1" spans="1:17">
      <c r="A2069" s="99" t="s">
        <v>350</v>
      </c>
      <c r="B2069" s="99" t="s">
        <v>299</v>
      </c>
      <c r="C2069" s="99" t="s">
        <v>344</v>
      </c>
      <c r="D2069" s="48" t="s">
        <v>31</v>
      </c>
      <c r="E2069" s="48" t="s">
        <v>406</v>
      </c>
      <c r="F2069" s="121">
        <f t="shared" ref="F2069:F2074" si="1510">F2008</f>
        <v>0</v>
      </c>
      <c r="G2069" s="121">
        <f t="shared" ref="G2069:Q2069" si="1511">F2069+G2008</f>
        <v>0</v>
      </c>
      <c r="H2069" s="121">
        <f t="shared" si="1511"/>
        <v>0.116467</v>
      </c>
      <c r="I2069" s="121">
        <f t="shared" si="1511"/>
        <v>0.116467</v>
      </c>
      <c r="J2069" s="121">
        <f t="shared" si="1511"/>
        <v>0.147604</v>
      </c>
      <c r="K2069" s="121">
        <f t="shared" si="1511"/>
        <v>0.147604</v>
      </c>
      <c r="L2069" s="121">
        <f t="shared" si="1511"/>
        <v>0.147604</v>
      </c>
      <c r="M2069" s="121">
        <f t="shared" si="1511"/>
        <v>0.147604</v>
      </c>
      <c r="N2069" s="121">
        <f t="shared" si="1511"/>
        <v>0.173344</v>
      </c>
      <c r="O2069" s="121">
        <f t="shared" si="1511"/>
        <v>0.173344</v>
      </c>
      <c r="P2069" s="121">
        <f t="shared" si="1511"/>
        <v>0.216197</v>
      </c>
      <c r="Q2069" s="121">
        <f t="shared" si="1511"/>
        <v>0.216197</v>
      </c>
    </row>
    <row r="2070" ht="24" customHeight="1" spans="1:17">
      <c r="A2070" s="99" t="s">
        <v>350</v>
      </c>
      <c r="B2070" s="99" t="s">
        <v>299</v>
      </c>
      <c r="C2070" s="99" t="s">
        <v>344</v>
      </c>
      <c r="D2070" s="48" t="s">
        <v>31</v>
      </c>
      <c r="E2070" s="48" t="s">
        <v>82</v>
      </c>
      <c r="F2070" s="121">
        <f t="shared" si="1510"/>
        <v>0.060156</v>
      </c>
      <c r="G2070" s="121">
        <f t="shared" ref="G2070:Q2070" si="1512">F2070+G2009</f>
        <v>0.060156</v>
      </c>
      <c r="H2070" s="121">
        <f t="shared" si="1512"/>
        <v>0.060156</v>
      </c>
      <c r="I2070" s="121">
        <f t="shared" si="1512"/>
        <v>0.060156</v>
      </c>
      <c r="J2070" s="121">
        <f t="shared" si="1512"/>
        <v>0.123148</v>
      </c>
      <c r="K2070" s="121">
        <f t="shared" si="1512"/>
        <v>0.123148</v>
      </c>
      <c r="L2070" s="121">
        <f t="shared" si="1512"/>
        <v>0.123148</v>
      </c>
      <c r="M2070" s="121">
        <f t="shared" si="1512"/>
        <v>0.123148</v>
      </c>
      <c r="N2070" s="121">
        <f t="shared" si="1512"/>
        <v>0.262892</v>
      </c>
      <c r="O2070" s="121">
        <f t="shared" si="1512"/>
        <v>0.262892</v>
      </c>
      <c r="P2070" s="121">
        <f t="shared" si="1512"/>
        <v>0.262892</v>
      </c>
      <c r="Q2070" s="121">
        <f t="shared" si="1512"/>
        <v>0.262892</v>
      </c>
    </row>
    <row r="2071" ht="24" customHeight="1" spans="1:17">
      <c r="A2071" s="99" t="s">
        <v>350</v>
      </c>
      <c r="B2071" s="99" t="s">
        <v>299</v>
      </c>
      <c r="C2071" s="99" t="s">
        <v>344</v>
      </c>
      <c r="D2071" s="48" t="s">
        <v>31</v>
      </c>
      <c r="E2071" s="48" t="s">
        <v>86</v>
      </c>
      <c r="F2071" s="121">
        <f t="shared" si="1510"/>
        <v>0</v>
      </c>
      <c r="G2071" s="121">
        <f t="shared" ref="G2071:Q2071" si="1513">F2071+G2010</f>
        <v>0</v>
      </c>
      <c r="H2071" s="121">
        <f t="shared" si="1513"/>
        <v>0.035692</v>
      </c>
      <c r="I2071" s="121">
        <f t="shared" si="1513"/>
        <v>0.035692</v>
      </c>
      <c r="J2071" s="121">
        <f t="shared" si="1513"/>
        <v>0.035692</v>
      </c>
      <c r="K2071" s="121">
        <f t="shared" si="1513"/>
        <v>0.035692</v>
      </c>
      <c r="L2071" s="121">
        <f t="shared" si="1513"/>
        <v>0.035692</v>
      </c>
      <c r="M2071" s="121">
        <f t="shared" si="1513"/>
        <v>0.035692</v>
      </c>
      <c r="N2071" s="121">
        <f t="shared" si="1513"/>
        <v>0.035692</v>
      </c>
      <c r="O2071" s="121">
        <f t="shared" si="1513"/>
        <v>0.035692</v>
      </c>
      <c r="P2071" s="121">
        <f t="shared" si="1513"/>
        <v>0.035692</v>
      </c>
      <c r="Q2071" s="121">
        <f t="shared" si="1513"/>
        <v>0.035692</v>
      </c>
    </row>
    <row r="2072" ht="24" customHeight="1" spans="1:17">
      <c r="A2072" s="99" t="s">
        <v>350</v>
      </c>
      <c r="B2072" s="99" t="s">
        <v>299</v>
      </c>
      <c r="C2072" s="99" t="s">
        <v>344</v>
      </c>
      <c r="D2072" s="48" t="s">
        <v>31</v>
      </c>
      <c r="E2072" s="48" t="s">
        <v>97</v>
      </c>
      <c r="F2072" s="121">
        <f t="shared" si="1510"/>
        <v>0</v>
      </c>
      <c r="G2072" s="121">
        <f t="shared" ref="G2072:Q2072" si="1514">F2072+G2011</f>
        <v>0</v>
      </c>
      <c r="H2072" s="121">
        <f t="shared" si="1514"/>
        <v>0</v>
      </c>
      <c r="I2072" s="121">
        <f t="shared" si="1514"/>
        <v>0</v>
      </c>
      <c r="J2072" s="121">
        <f t="shared" si="1514"/>
        <v>0.01729</v>
      </c>
      <c r="K2072" s="121">
        <f t="shared" si="1514"/>
        <v>0.315462</v>
      </c>
      <c r="L2072" s="121">
        <f t="shared" si="1514"/>
        <v>0.315462</v>
      </c>
      <c r="M2072" s="121">
        <f t="shared" si="1514"/>
        <v>0.332824</v>
      </c>
      <c r="N2072" s="121">
        <f t="shared" si="1514"/>
        <v>0.602512</v>
      </c>
      <c r="O2072" s="121">
        <f t="shared" si="1514"/>
        <v>0.602512</v>
      </c>
      <c r="P2072" s="121">
        <f t="shared" si="1514"/>
        <v>0.666938</v>
      </c>
      <c r="Q2072" s="121">
        <f t="shared" si="1514"/>
        <v>0.666938</v>
      </c>
    </row>
    <row r="2073" ht="24" customHeight="1" spans="1:17">
      <c r="A2073" s="99" t="s">
        <v>350</v>
      </c>
      <c r="B2073" s="99" t="s">
        <v>299</v>
      </c>
      <c r="C2073" s="99" t="s">
        <v>344</v>
      </c>
      <c r="D2073" s="48" t="s">
        <v>31</v>
      </c>
      <c r="E2073" s="48" t="s">
        <v>87</v>
      </c>
      <c r="F2073" s="121">
        <f t="shared" si="1510"/>
        <v>0</v>
      </c>
      <c r="G2073" s="121">
        <f t="shared" ref="G2073:Q2073" si="1515">F2073+G2012</f>
        <v>0.114026</v>
      </c>
      <c r="H2073" s="121">
        <f t="shared" si="1515"/>
        <v>0.114026</v>
      </c>
      <c r="I2073" s="121">
        <f t="shared" si="1515"/>
        <v>0.114026</v>
      </c>
      <c r="J2073" s="121">
        <f t="shared" si="1515"/>
        <v>0.114026</v>
      </c>
      <c r="K2073" s="121">
        <f t="shared" si="1515"/>
        <v>0.140714</v>
      </c>
      <c r="L2073" s="121">
        <f t="shared" si="1515"/>
        <v>0.140714</v>
      </c>
      <c r="M2073" s="121">
        <f t="shared" si="1515"/>
        <v>0.140714</v>
      </c>
      <c r="N2073" s="121">
        <f t="shared" si="1515"/>
        <v>0.240302</v>
      </c>
      <c r="O2073" s="121">
        <f t="shared" si="1515"/>
        <v>0.283783</v>
      </c>
      <c r="P2073" s="121">
        <f t="shared" si="1515"/>
        <v>0.283783</v>
      </c>
      <c r="Q2073" s="121">
        <f t="shared" si="1515"/>
        <v>0.261597</v>
      </c>
    </row>
    <row r="2074" ht="24" customHeight="1" spans="1:17">
      <c r="A2074" s="99" t="s">
        <v>350</v>
      </c>
      <c r="B2074" s="99" t="s">
        <v>299</v>
      </c>
      <c r="C2074" s="99" t="s">
        <v>344</v>
      </c>
      <c r="D2074" s="48" t="s">
        <v>31</v>
      </c>
      <c r="E2074" s="48" t="s">
        <v>83</v>
      </c>
      <c r="F2074" s="121">
        <f t="shared" si="1510"/>
        <v>0</v>
      </c>
      <c r="G2074" s="121">
        <f t="shared" ref="G2074:Q2074" si="1516">F2074+G2013</f>
        <v>0</v>
      </c>
      <c r="H2074" s="121">
        <f t="shared" si="1516"/>
        <v>0</v>
      </c>
      <c r="I2074" s="121">
        <f t="shared" si="1516"/>
        <v>0</v>
      </c>
      <c r="J2074" s="121">
        <f t="shared" si="1516"/>
        <v>0</v>
      </c>
      <c r="K2074" s="121">
        <f t="shared" si="1516"/>
        <v>0</v>
      </c>
      <c r="L2074" s="121">
        <f t="shared" si="1516"/>
        <v>0</v>
      </c>
      <c r="M2074" s="121">
        <f t="shared" si="1516"/>
        <v>0</v>
      </c>
      <c r="N2074" s="121">
        <f t="shared" si="1516"/>
        <v>0</v>
      </c>
      <c r="O2074" s="121">
        <f t="shared" si="1516"/>
        <v>0</v>
      </c>
      <c r="P2074" s="121">
        <f t="shared" si="1516"/>
        <v>0</v>
      </c>
      <c r="Q2074" s="121">
        <f t="shared" si="1516"/>
        <v>0</v>
      </c>
    </row>
    <row r="2075" ht="24" customHeight="1" spans="1:17">
      <c r="A2075" s="99" t="s">
        <v>350</v>
      </c>
      <c r="B2075" s="99" t="s">
        <v>299</v>
      </c>
      <c r="C2075" s="99" t="s">
        <v>344</v>
      </c>
      <c r="D2075" s="48" t="s">
        <v>321</v>
      </c>
      <c r="E2075" s="48" t="s">
        <v>406</v>
      </c>
      <c r="F2075" s="112">
        <f t="shared" ref="F2075:Q2075" si="1517">IFERROR(F2069/F2068,"-")</f>
        <v>0</v>
      </c>
      <c r="G2075" s="112">
        <f t="shared" si="1517"/>
        <v>0</v>
      </c>
      <c r="H2075" s="112">
        <f t="shared" si="1517"/>
        <v>0.356887427568096</v>
      </c>
      <c r="I2075" s="112">
        <f t="shared" si="1517"/>
        <v>0.356887427568096</v>
      </c>
      <c r="J2075" s="112">
        <f t="shared" si="1517"/>
        <v>0.33718019005848</v>
      </c>
      <c r="K2075" s="112">
        <f t="shared" si="1517"/>
        <v>0.19354855629278</v>
      </c>
      <c r="L2075" s="112">
        <f t="shared" si="1517"/>
        <v>0.19354855629278</v>
      </c>
      <c r="M2075" s="112">
        <f t="shared" si="1517"/>
        <v>0.189240264518925</v>
      </c>
      <c r="N2075" s="112">
        <f t="shared" si="1517"/>
        <v>0.131846400282337</v>
      </c>
      <c r="O2075" s="112">
        <f t="shared" si="1517"/>
        <v>0.127625581366241</v>
      </c>
      <c r="P2075" s="112">
        <f t="shared" si="1517"/>
        <v>0.147524193075137</v>
      </c>
      <c r="Q2075" s="112">
        <f t="shared" si="1517"/>
        <v>0.149791868170241</v>
      </c>
    </row>
    <row r="2076" ht="24" customHeight="1" spans="1:17">
      <c r="A2076" s="99" t="s">
        <v>350</v>
      </c>
      <c r="B2076" s="99" t="s">
        <v>299</v>
      </c>
      <c r="C2076" s="99" t="s">
        <v>344</v>
      </c>
      <c r="D2076" s="48" t="s">
        <v>321</v>
      </c>
      <c r="E2076" s="48" t="s">
        <v>82</v>
      </c>
      <c r="F2076" s="112">
        <f t="shared" ref="F2076:Q2076" si="1518">IFERROR(F2070/F2068,"-")</f>
        <v>1</v>
      </c>
      <c r="G2076" s="112">
        <f t="shared" si="1518"/>
        <v>0.345362896280902</v>
      </c>
      <c r="H2076" s="112">
        <f t="shared" si="1518"/>
        <v>0.184334790908896</v>
      </c>
      <c r="I2076" s="112">
        <f t="shared" si="1518"/>
        <v>0.184334790908896</v>
      </c>
      <c r="J2076" s="112">
        <f t="shared" si="1518"/>
        <v>0.281313961988304</v>
      </c>
      <c r="K2076" s="112">
        <f t="shared" si="1518"/>
        <v>0.161480160499331</v>
      </c>
      <c r="L2076" s="112">
        <f t="shared" si="1518"/>
        <v>0.161480160499331</v>
      </c>
      <c r="M2076" s="112">
        <f t="shared" si="1518"/>
        <v>0.157885694798085</v>
      </c>
      <c r="N2076" s="112">
        <f t="shared" si="1518"/>
        <v>0.19995710184964</v>
      </c>
      <c r="O2076" s="112">
        <f t="shared" si="1518"/>
        <v>0.193555844658793</v>
      </c>
      <c r="P2076" s="112">
        <f t="shared" si="1518"/>
        <v>0.179386995036513</v>
      </c>
      <c r="Q2076" s="112">
        <f t="shared" si="1518"/>
        <v>0.182144450695482</v>
      </c>
    </row>
    <row r="2077" ht="24" customHeight="1" spans="1:17">
      <c r="A2077" s="99" t="s">
        <v>350</v>
      </c>
      <c r="B2077" s="99" t="s">
        <v>299</v>
      </c>
      <c r="C2077" s="99" t="s">
        <v>344</v>
      </c>
      <c r="D2077" s="48" t="s">
        <v>321</v>
      </c>
      <c r="E2077" s="48" t="s">
        <v>86</v>
      </c>
      <c r="F2077" s="112">
        <f t="shared" ref="F2077:Q2077" si="1519">IFERROR(F2071/F2068,"-")</f>
        <v>0</v>
      </c>
      <c r="G2077" s="112">
        <f t="shared" si="1519"/>
        <v>0</v>
      </c>
      <c r="H2077" s="112">
        <f t="shared" si="1519"/>
        <v>0.109370259942821</v>
      </c>
      <c r="I2077" s="112">
        <f t="shared" si="1519"/>
        <v>0.109370259942821</v>
      </c>
      <c r="J2077" s="112">
        <f t="shared" si="1519"/>
        <v>0.0815332602339181</v>
      </c>
      <c r="K2077" s="112">
        <f t="shared" si="1519"/>
        <v>0.0468018147963599</v>
      </c>
      <c r="L2077" s="112">
        <f t="shared" si="1519"/>
        <v>0.0468018147963599</v>
      </c>
      <c r="M2077" s="112">
        <f t="shared" si="1519"/>
        <v>0.045760030359675</v>
      </c>
      <c r="N2077" s="112">
        <f t="shared" si="1519"/>
        <v>0.0271475316069617</v>
      </c>
      <c r="O2077" s="112">
        <f t="shared" si="1519"/>
        <v>0.0262784535381892</v>
      </c>
      <c r="P2077" s="112">
        <f t="shared" si="1519"/>
        <v>0.024354794466333</v>
      </c>
      <c r="Q2077" s="112">
        <f t="shared" si="1519"/>
        <v>0.0247291653387062</v>
      </c>
    </row>
    <row r="2078" ht="24" customHeight="1" spans="1:17">
      <c r="A2078" s="99" t="s">
        <v>350</v>
      </c>
      <c r="B2078" s="99" t="s">
        <v>299</v>
      </c>
      <c r="C2078" s="99" t="s">
        <v>344</v>
      </c>
      <c r="D2078" s="48" t="s">
        <v>321</v>
      </c>
      <c r="E2078" s="48" t="s">
        <v>97</v>
      </c>
      <c r="F2078" s="112">
        <f t="shared" ref="F2078:Q2078" si="1520">IFERROR(F2072/F2068,"-")</f>
        <v>0</v>
      </c>
      <c r="G2078" s="112">
        <f t="shared" si="1520"/>
        <v>0</v>
      </c>
      <c r="H2078" s="112">
        <f t="shared" si="1520"/>
        <v>0</v>
      </c>
      <c r="I2078" s="112">
        <f t="shared" si="1520"/>
        <v>0</v>
      </c>
      <c r="J2078" s="112">
        <f t="shared" si="1520"/>
        <v>0.0394965277777778</v>
      </c>
      <c r="K2078" s="112">
        <f t="shared" si="1520"/>
        <v>0.413655555846949</v>
      </c>
      <c r="L2078" s="112">
        <f t="shared" si="1520"/>
        <v>0.413655555846949</v>
      </c>
      <c r="M2078" s="112">
        <f t="shared" si="1520"/>
        <v>0.426707282988582</v>
      </c>
      <c r="N2078" s="112">
        <f t="shared" si="1520"/>
        <v>0.458273942720321</v>
      </c>
      <c r="O2078" s="112">
        <f t="shared" si="1520"/>
        <v>0.443603149114689</v>
      </c>
      <c r="P2078" s="112">
        <f t="shared" si="1520"/>
        <v>0.455091838837477</v>
      </c>
      <c r="Q2078" s="112">
        <f t="shared" si="1520"/>
        <v>0.462087304512664</v>
      </c>
    </row>
    <row r="2079" ht="24" customHeight="1" spans="1:17">
      <c r="A2079" s="99" t="s">
        <v>350</v>
      </c>
      <c r="B2079" s="99" t="s">
        <v>299</v>
      </c>
      <c r="C2079" s="99" t="s">
        <v>344</v>
      </c>
      <c r="D2079" s="48" t="s">
        <v>321</v>
      </c>
      <c r="E2079" s="48" t="s">
        <v>87</v>
      </c>
      <c r="F2079" s="112">
        <f t="shared" ref="F2079:Q2079" si="1521">IFERROR(F2073/F2068,"-")</f>
        <v>0</v>
      </c>
      <c r="G2079" s="112">
        <f t="shared" si="1521"/>
        <v>0.654637103719098</v>
      </c>
      <c r="H2079" s="112">
        <f t="shared" si="1521"/>
        <v>0.349407521580188</v>
      </c>
      <c r="I2079" s="112">
        <f t="shared" si="1521"/>
        <v>0.349407521580188</v>
      </c>
      <c r="J2079" s="112">
        <f t="shared" si="1521"/>
        <v>0.260476059941521</v>
      </c>
      <c r="K2079" s="112">
        <f t="shared" si="1521"/>
        <v>0.18451391256458</v>
      </c>
      <c r="L2079" s="112">
        <f t="shared" si="1521"/>
        <v>0.18451391256458</v>
      </c>
      <c r="M2079" s="112">
        <f t="shared" si="1521"/>
        <v>0.180406727334733</v>
      </c>
      <c r="N2079" s="112">
        <f t="shared" si="1521"/>
        <v>0.18277502354074</v>
      </c>
      <c r="O2079" s="112">
        <f t="shared" si="1521"/>
        <v>0.208936971322088</v>
      </c>
      <c r="P2079" s="112">
        <f t="shared" si="1521"/>
        <v>0.19364217858454</v>
      </c>
      <c r="Q2079" s="112">
        <f t="shared" si="1521"/>
        <v>0.181247211282907</v>
      </c>
    </row>
    <row r="2080" ht="24" customHeight="1" spans="1:17">
      <c r="A2080" s="99" t="s">
        <v>350</v>
      </c>
      <c r="B2080" s="99" t="s">
        <v>299</v>
      </c>
      <c r="C2080" s="99" t="s">
        <v>344</v>
      </c>
      <c r="D2080" s="48" t="s">
        <v>321</v>
      </c>
      <c r="E2080" s="48" t="s">
        <v>83</v>
      </c>
      <c r="F2080" s="112">
        <f t="shared" ref="F2080:Q2080" si="1522">IFERROR(F2074/F2068,"-")</f>
        <v>0</v>
      </c>
      <c r="G2080" s="112">
        <f t="shared" si="1522"/>
        <v>0</v>
      </c>
      <c r="H2080" s="112">
        <f t="shared" si="1522"/>
        <v>0</v>
      </c>
      <c r="I2080" s="112">
        <f t="shared" si="1522"/>
        <v>0</v>
      </c>
      <c r="J2080" s="112">
        <f t="shared" si="1522"/>
        <v>0</v>
      </c>
      <c r="K2080" s="112">
        <f t="shared" si="1522"/>
        <v>0</v>
      </c>
      <c r="L2080" s="112">
        <f t="shared" si="1522"/>
        <v>0</v>
      </c>
      <c r="M2080" s="112">
        <f t="shared" si="1522"/>
        <v>0</v>
      </c>
      <c r="N2080" s="112">
        <f t="shared" si="1522"/>
        <v>0</v>
      </c>
      <c r="O2080" s="112">
        <f t="shared" si="1522"/>
        <v>0</v>
      </c>
      <c r="P2080" s="112">
        <f t="shared" si="1522"/>
        <v>0</v>
      </c>
      <c r="Q2080" s="112">
        <f t="shared" si="1522"/>
        <v>0</v>
      </c>
    </row>
    <row r="2081" ht="24" customHeight="1" spans="1:17">
      <c r="A2081" s="99" t="s">
        <v>350</v>
      </c>
      <c r="B2081" s="99" t="s">
        <v>299</v>
      </c>
      <c r="C2081" s="99" t="s">
        <v>344</v>
      </c>
      <c r="D2081" s="47" t="s">
        <v>294</v>
      </c>
      <c r="E2081" s="47" t="s">
        <v>93</v>
      </c>
      <c r="F2081" s="125">
        <f t="shared" ref="F2081:F2085" si="1523">F2014</f>
        <v>0.029854</v>
      </c>
      <c r="G2081" s="125">
        <f t="shared" ref="G2081:Q2081" si="1524">F2081+G2014</f>
        <v>0.029854</v>
      </c>
      <c r="H2081" s="125">
        <f t="shared" si="1524"/>
        <v>0.182013</v>
      </c>
      <c r="I2081" s="125">
        <f t="shared" si="1524"/>
        <v>0.182013</v>
      </c>
      <c r="J2081" s="125">
        <f t="shared" si="1524"/>
        <v>0.260393</v>
      </c>
      <c r="K2081" s="125">
        <f t="shared" si="1524"/>
        <v>0.287081</v>
      </c>
      <c r="L2081" s="125">
        <f t="shared" si="1524"/>
        <v>0.287081</v>
      </c>
      <c r="M2081" s="125">
        <f t="shared" si="1524"/>
        <v>0.304443</v>
      </c>
      <c r="N2081" s="125">
        <f t="shared" si="1524"/>
        <v>0.499579</v>
      </c>
      <c r="O2081" s="125">
        <f t="shared" si="1524"/>
        <v>0.499579</v>
      </c>
      <c r="P2081" s="125">
        <f t="shared" si="1524"/>
        <v>0.606858</v>
      </c>
      <c r="Q2081" s="125">
        <f t="shared" si="1524"/>
        <v>0.606858</v>
      </c>
    </row>
    <row r="2082" ht="24" customHeight="1" spans="1:17">
      <c r="A2082" s="99" t="s">
        <v>350</v>
      </c>
      <c r="B2082" s="99" t="s">
        <v>299</v>
      </c>
      <c r="C2082" s="99" t="s">
        <v>344</v>
      </c>
      <c r="D2082" s="47" t="s">
        <v>294</v>
      </c>
      <c r="E2082" s="47" t="s">
        <v>85</v>
      </c>
      <c r="F2082" s="125">
        <f t="shared" si="1523"/>
        <v>0.030302</v>
      </c>
      <c r="G2082" s="125">
        <f t="shared" ref="G2082:Q2082" si="1525">F2082+G2015</f>
        <v>0.144328</v>
      </c>
      <c r="H2082" s="125">
        <f t="shared" si="1525"/>
        <v>0.144328</v>
      </c>
      <c r="I2082" s="125">
        <f t="shared" si="1525"/>
        <v>0.144328</v>
      </c>
      <c r="J2082" s="125">
        <f t="shared" si="1525"/>
        <v>0.177367</v>
      </c>
      <c r="K2082" s="125">
        <f t="shared" si="1525"/>
        <v>0.475539</v>
      </c>
      <c r="L2082" s="125">
        <f t="shared" si="1525"/>
        <v>0.475539</v>
      </c>
      <c r="M2082" s="125">
        <f t="shared" si="1525"/>
        <v>0.475539</v>
      </c>
      <c r="N2082" s="125">
        <f t="shared" si="1525"/>
        <v>0.58707</v>
      </c>
      <c r="O2082" s="125">
        <f t="shared" si="1525"/>
        <v>0.630551</v>
      </c>
      <c r="P2082" s="125">
        <f t="shared" si="1525"/>
        <v>0.630551</v>
      </c>
      <c r="Q2082" s="125">
        <f t="shared" si="1525"/>
        <v>0.630551</v>
      </c>
    </row>
    <row r="2083" ht="24" customHeight="1" spans="1:17">
      <c r="A2083" s="99" t="s">
        <v>350</v>
      </c>
      <c r="B2083" s="99" t="s">
        <v>299</v>
      </c>
      <c r="C2083" s="99" t="s">
        <v>344</v>
      </c>
      <c r="D2083" s="47" t="s">
        <v>294</v>
      </c>
      <c r="E2083" s="47" t="s">
        <v>81</v>
      </c>
      <c r="F2083" s="125">
        <f t="shared" si="1523"/>
        <v>0</v>
      </c>
      <c r="G2083" s="125">
        <f t="shared" ref="G2083:Q2083" si="1526">F2083+G2016</f>
        <v>0</v>
      </c>
      <c r="H2083" s="125">
        <f t="shared" si="1526"/>
        <v>0</v>
      </c>
      <c r="I2083" s="125">
        <f t="shared" si="1526"/>
        <v>0</v>
      </c>
      <c r="J2083" s="125">
        <f t="shared" si="1526"/>
        <v>0</v>
      </c>
      <c r="K2083" s="125">
        <f t="shared" si="1526"/>
        <v>0</v>
      </c>
      <c r="L2083" s="125">
        <f t="shared" si="1526"/>
        <v>0</v>
      </c>
      <c r="M2083" s="125">
        <f t="shared" si="1526"/>
        <v>0</v>
      </c>
      <c r="N2083" s="125">
        <f t="shared" si="1526"/>
        <v>0</v>
      </c>
      <c r="O2083" s="125">
        <f t="shared" si="1526"/>
        <v>0</v>
      </c>
      <c r="P2083" s="125">
        <f t="shared" si="1526"/>
        <v>0</v>
      </c>
      <c r="Q2083" s="125">
        <f t="shared" si="1526"/>
        <v>-0.022186</v>
      </c>
    </row>
    <row r="2084" ht="24" customHeight="1" spans="1:17">
      <c r="A2084" s="99" t="s">
        <v>350</v>
      </c>
      <c r="B2084" s="99" t="s">
        <v>299</v>
      </c>
      <c r="C2084" s="99" t="s">
        <v>344</v>
      </c>
      <c r="D2084" s="47" t="s">
        <v>294</v>
      </c>
      <c r="E2084" s="47" t="s">
        <v>96</v>
      </c>
      <c r="F2084" s="125">
        <f t="shared" si="1523"/>
        <v>0</v>
      </c>
      <c r="G2084" s="125">
        <f t="shared" ref="G2084:Q2084" si="1527">F2084+G2017</f>
        <v>0</v>
      </c>
      <c r="H2084" s="125">
        <f t="shared" si="1527"/>
        <v>0</v>
      </c>
      <c r="I2084" s="125">
        <f t="shared" si="1527"/>
        <v>0</v>
      </c>
      <c r="J2084" s="125">
        <f t="shared" si="1527"/>
        <v>0</v>
      </c>
      <c r="K2084" s="125">
        <f t="shared" si="1527"/>
        <v>0</v>
      </c>
      <c r="L2084" s="125">
        <f t="shared" si="1527"/>
        <v>0</v>
      </c>
      <c r="M2084" s="125">
        <f t="shared" si="1527"/>
        <v>0</v>
      </c>
      <c r="N2084" s="125">
        <f t="shared" si="1527"/>
        <v>0.228093</v>
      </c>
      <c r="O2084" s="125">
        <f t="shared" si="1527"/>
        <v>0.228093</v>
      </c>
      <c r="P2084" s="125">
        <f t="shared" si="1527"/>
        <v>0.228093</v>
      </c>
      <c r="Q2084" s="125">
        <f t="shared" si="1527"/>
        <v>0.228093</v>
      </c>
    </row>
    <row r="2085" ht="24" customHeight="1" spans="1:17">
      <c r="A2085" s="99" t="s">
        <v>350</v>
      </c>
      <c r="B2085" s="99" t="s">
        <v>299</v>
      </c>
      <c r="C2085" s="99" t="s">
        <v>344</v>
      </c>
      <c r="D2085" s="47" t="s">
        <v>294</v>
      </c>
      <c r="E2085" s="47" t="s">
        <v>160</v>
      </c>
      <c r="F2085" s="125">
        <f t="shared" si="1523"/>
        <v>0</v>
      </c>
      <c r="G2085" s="125">
        <f t="shared" ref="G2085:Q2085" si="1528">F2085+G2018</f>
        <v>0</v>
      </c>
      <c r="H2085" s="125">
        <f t="shared" si="1528"/>
        <v>0</v>
      </c>
      <c r="I2085" s="125">
        <f t="shared" si="1528"/>
        <v>0</v>
      </c>
      <c r="J2085" s="125">
        <f t="shared" si="1528"/>
        <v>0</v>
      </c>
      <c r="K2085" s="125">
        <f t="shared" si="1528"/>
        <v>0</v>
      </c>
      <c r="L2085" s="125">
        <f t="shared" si="1528"/>
        <v>0</v>
      </c>
      <c r="M2085" s="125">
        <f t="shared" si="1528"/>
        <v>0</v>
      </c>
      <c r="N2085" s="125">
        <f t="shared" si="1528"/>
        <v>0</v>
      </c>
      <c r="O2085" s="125">
        <f t="shared" si="1528"/>
        <v>0</v>
      </c>
      <c r="P2085" s="125">
        <f t="shared" si="1528"/>
        <v>0</v>
      </c>
      <c r="Q2085" s="125">
        <f t="shared" si="1528"/>
        <v>0</v>
      </c>
    </row>
    <row r="2086" ht="24" customHeight="1" spans="1:17">
      <c r="A2086" s="99" t="s">
        <v>350</v>
      </c>
      <c r="B2086" s="99" t="s">
        <v>299</v>
      </c>
      <c r="C2086" s="99" t="s">
        <v>344</v>
      </c>
      <c r="D2086" s="47" t="s">
        <v>321</v>
      </c>
      <c r="E2086" s="47" t="s">
        <v>93</v>
      </c>
      <c r="F2086" s="126">
        <f t="shared" ref="F2086:Q2086" si="1529">IFERROR(F2081/F2068,"-")</f>
        <v>0.496276348161447</v>
      </c>
      <c r="G2086" s="126">
        <f t="shared" si="1529"/>
        <v>0.171395436956746</v>
      </c>
      <c r="H2086" s="126">
        <f t="shared" si="1529"/>
        <v>0.557738684382287</v>
      </c>
      <c r="I2086" s="126">
        <f t="shared" si="1529"/>
        <v>0.557738684382287</v>
      </c>
      <c r="J2086" s="126">
        <f t="shared" si="1529"/>
        <v>0.594830500730994</v>
      </c>
      <c r="K2086" s="126">
        <f t="shared" si="1529"/>
        <v>0.376440429047232</v>
      </c>
      <c r="L2086" s="126">
        <f t="shared" si="1529"/>
        <v>0.376440429047232</v>
      </c>
      <c r="M2086" s="126">
        <f t="shared" si="1529"/>
        <v>0.390320545858751</v>
      </c>
      <c r="N2086" s="126">
        <f t="shared" si="1529"/>
        <v>0.379982536497655</v>
      </c>
      <c r="O2086" s="126">
        <f t="shared" si="1529"/>
        <v>0.367818097617254</v>
      </c>
      <c r="P2086" s="126">
        <f t="shared" si="1529"/>
        <v>0.414095647771207</v>
      </c>
      <c r="Q2086" s="126">
        <f t="shared" si="1529"/>
        <v>0.420460938560925</v>
      </c>
    </row>
    <row r="2087" ht="24" customHeight="1" spans="1:17">
      <c r="A2087" s="99" t="s">
        <v>350</v>
      </c>
      <c r="B2087" s="99" t="s">
        <v>299</v>
      </c>
      <c r="C2087" s="99" t="s">
        <v>344</v>
      </c>
      <c r="D2087" s="47" t="s">
        <v>321</v>
      </c>
      <c r="E2087" s="47" t="s">
        <v>85</v>
      </c>
      <c r="F2087" s="126">
        <f t="shared" ref="F2087:Q2087" si="1530">IFERROR(F2082/F2068,"-")</f>
        <v>0.503723651838553</v>
      </c>
      <c r="G2087" s="126">
        <f t="shared" si="1530"/>
        <v>0.828604563043254</v>
      </c>
      <c r="H2087" s="126">
        <f t="shared" si="1530"/>
        <v>0.442261315617713</v>
      </c>
      <c r="I2087" s="126">
        <f t="shared" si="1530"/>
        <v>0.442261315617713</v>
      </c>
      <c r="J2087" s="126">
        <f t="shared" si="1530"/>
        <v>0.405169499269006</v>
      </c>
      <c r="K2087" s="126">
        <f t="shared" si="1530"/>
        <v>0.623559570952768</v>
      </c>
      <c r="L2087" s="126">
        <f t="shared" si="1530"/>
        <v>0.623559570952768</v>
      </c>
      <c r="M2087" s="126">
        <f t="shared" si="1530"/>
        <v>0.609679454141249</v>
      </c>
      <c r="N2087" s="126">
        <f t="shared" si="1530"/>
        <v>0.44652867254564</v>
      </c>
      <c r="O2087" s="126">
        <f t="shared" si="1530"/>
        <v>0.464247034544401</v>
      </c>
      <c r="P2087" s="126">
        <f t="shared" si="1530"/>
        <v>0.430262804144928</v>
      </c>
      <c r="Q2087" s="126">
        <f t="shared" si="1530"/>
        <v>0.436876609141726</v>
      </c>
    </row>
    <row r="2088" ht="24" customHeight="1" spans="1:17">
      <c r="A2088" s="99" t="s">
        <v>350</v>
      </c>
      <c r="B2088" s="99" t="s">
        <v>299</v>
      </c>
      <c r="C2088" s="99" t="s">
        <v>344</v>
      </c>
      <c r="D2088" s="47" t="s">
        <v>321</v>
      </c>
      <c r="E2088" s="47" t="s">
        <v>81</v>
      </c>
      <c r="F2088" s="126">
        <f t="shared" ref="F2088:Q2088" si="1531">IFERROR(F2083/F2068,"-")</f>
        <v>0</v>
      </c>
      <c r="G2088" s="126">
        <f t="shared" si="1531"/>
        <v>0</v>
      </c>
      <c r="H2088" s="126">
        <f t="shared" si="1531"/>
        <v>0</v>
      </c>
      <c r="I2088" s="126">
        <f t="shared" si="1531"/>
        <v>0</v>
      </c>
      <c r="J2088" s="126">
        <f t="shared" si="1531"/>
        <v>0</v>
      </c>
      <c r="K2088" s="126">
        <f t="shared" si="1531"/>
        <v>0</v>
      </c>
      <c r="L2088" s="126">
        <f t="shared" si="1531"/>
        <v>0</v>
      </c>
      <c r="M2088" s="126">
        <f t="shared" si="1531"/>
        <v>0</v>
      </c>
      <c r="N2088" s="126">
        <f t="shared" si="1531"/>
        <v>0</v>
      </c>
      <c r="O2088" s="126">
        <f t="shared" si="1531"/>
        <v>0</v>
      </c>
      <c r="P2088" s="126">
        <f t="shared" si="1531"/>
        <v>0</v>
      </c>
      <c r="Q2088" s="126">
        <f t="shared" si="1531"/>
        <v>-0.0153715471871718</v>
      </c>
    </row>
    <row r="2089" ht="24" customHeight="1" spans="1:17">
      <c r="A2089" s="99" t="s">
        <v>350</v>
      </c>
      <c r="B2089" s="99" t="s">
        <v>299</v>
      </c>
      <c r="C2089" s="99" t="s">
        <v>344</v>
      </c>
      <c r="D2089" s="47" t="s">
        <v>321</v>
      </c>
      <c r="E2089" s="47" t="s">
        <v>96</v>
      </c>
      <c r="F2089" s="126">
        <f t="shared" ref="F2089:Q2089" si="1532">IFERROR(F2084/F2068,"-")</f>
        <v>0</v>
      </c>
      <c r="G2089" s="126">
        <f t="shared" si="1532"/>
        <v>0</v>
      </c>
      <c r="H2089" s="126">
        <f t="shared" si="1532"/>
        <v>0</v>
      </c>
      <c r="I2089" s="126">
        <f t="shared" si="1532"/>
        <v>0</v>
      </c>
      <c r="J2089" s="126">
        <f t="shared" si="1532"/>
        <v>0</v>
      </c>
      <c r="K2089" s="126">
        <f t="shared" si="1532"/>
        <v>0</v>
      </c>
      <c r="L2089" s="126">
        <f t="shared" si="1532"/>
        <v>0</v>
      </c>
      <c r="M2089" s="126">
        <f t="shared" si="1532"/>
        <v>0</v>
      </c>
      <c r="N2089" s="126">
        <f t="shared" si="1532"/>
        <v>0.173488790956705</v>
      </c>
      <c r="O2089" s="126">
        <f t="shared" si="1532"/>
        <v>0.167934867838345</v>
      </c>
      <c r="P2089" s="126">
        <f t="shared" si="1532"/>
        <v>0.155641548083865</v>
      </c>
      <c r="Q2089" s="126">
        <f t="shared" si="1532"/>
        <v>0.15803399948452</v>
      </c>
    </row>
    <row r="2090" ht="24" customHeight="1" spans="1:17">
      <c r="A2090" s="99" t="s">
        <v>350</v>
      </c>
      <c r="B2090" s="99" t="s">
        <v>299</v>
      </c>
      <c r="C2090" s="99" t="s">
        <v>344</v>
      </c>
      <c r="D2090" s="47" t="s">
        <v>321</v>
      </c>
      <c r="E2090" s="47" t="s">
        <v>160</v>
      </c>
      <c r="F2090" s="126">
        <f t="shared" ref="F2090:Q2090" si="1533">IFERROR(F2085/F2068,"-")</f>
        <v>0</v>
      </c>
      <c r="G2090" s="126">
        <f t="shared" si="1533"/>
        <v>0</v>
      </c>
      <c r="H2090" s="126">
        <f t="shared" si="1533"/>
        <v>0</v>
      </c>
      <c r="I2090" s="126">
        <f t="shared" si="1533"/>
        <v>0</v>
      </c>
      <c r="J2090" s="126">
        <f t="shared" si="1533"/>
        <v>0</v>
      </c>
      <c r="K2090" s="126">
        <f t="shared" si="1533"/>
        <v>0</v>
      </c>
      <c r="L2090" s="126">
        <f t="shared" si="1533"/>
        <v>0</v>
      </c>
      <c r="M2090" s="126">
        <f t="shared" si="1533"/>
        <v>0</v>
      </c>
      <c r="N2090" s="126">
        <f t="shared" si="1533"/>
        <v>0</v>
      </c>
      <c r="O2090" s="126">
        <f t="shared" si="1533"/>
        <v>0</v>
      </c>
      <c r="P2090" s="126">
        <f t="shared" si="1533"/>
        <v>0</v>
      </c>
      <c r="Q2090" s="126">
        <f t="shared" si="1533"/>
        <v>0</v>
      </c>
    </row>
    <row r="2091" ht="24" customHeight="1" spans="1:17">
      <c r="A2091" s="99" t="s">
        <v>350</v>
      </c>
      <c r="B2091" s="99" t="s">
        <v>299</v>
      </c>
      <c r="C2091" s="99" t="s">
        <v>343</v>
      </c>
      <c r="D2091" s="114" t="s">
        <v>292</v>
      </c>
      <c r="E2091" s="53" t="s">
        <v>326</v>
      </c>
      <c r="F2091" s="123">
        <f t="shared" ref="F2091:F2116" si="1534">F2019</f>
        <v>0.018568</v>
      </c>
      <c r="G2091" s="123">
        <f t="shared" ref="G2091:Q2091" si="1535">F2091+G2019</f>
        <v>0.018568</v>
      </c>
      <c r="H2091" s="123">
        <f t="shared" si="1535"/>
        <v>0.045617</v>
      </c>
      <c r="I2091" s="123">
        <f t="shared" si="1535"/>
        <v>0.045617</v>
      </c>
      <c r="J2091" s="123">
        <f t="shared" si="1535"/>
        <v>0.053678</v>
      </c>
      <c r="K2091" s="123">
        <f t="shared" si="1535"/>
        <v>0.053678</v>
      </c>
      <c r="L2091" s="123">
        <f t="shared" si="1535"/>
        <v>0.053678</v>
      </c>
      <c r="M2091" s="123">
        <f t="shared" si="1535"/>
        <v>0.053678</v>
      </c>
      <c r="N2091" s="123">
        <f t="shared" si="1535"/>
        <v>0.096325</v>
      </c>
      <c r="O2091" s="123">
        <f t="shared" si="1535"/>
        <v>0.1021</v>
      </c>
      <c r="P2091" s="123">
        <f t="shared" si="1535"/>
        <v>0.1021</v>
      </c>
      <c r="Q2091" s="123">
        <f t="shared" si="1535"/>
        <v>0.1021</v>
      </c>
    </row>
    <row r="2092" ht="24" customHeight="1" spans="1:17">
      <c r="A2092" s="99" t="s">
        <v>350</v>
      </c>
      <c r="B2092" s="99" t="s">
        <v>299</v>
      </c>
      <c r="C2092" s="99" t="s">
        <v>343</v>
      </c>
      <c r="D2092" s="114" t="s">
        <v>292</v>
      </c>
      <c r="E2092" s="53" t="s">
        <v>327</v>
      </c>
      <c r="F2092" s="123">
        <f t="shared" si="1534"/>
        <v>0.003523</v>
      </c>
      <c r="G2092" s="123">
        <f t="shared" ref="G2092:Q2092" si="1536">F2092+G2020</f>
        <v>0.050305</v>
      </c>
      <c r="H2092" s="123">
        <f t="shared" si="1536"/>
        <v>0.050305</v>
      </c>
      <c r="I2092" s="123">
        <f t="shared" si="1536"/>
        <v>0.050305</v>
      </c>
      <c r="J2092" s="123">
        <f t="shared" si="1536"/>
        <v>0.083158</v>
      </c>
      <c r="K2092" s="123">
        <f t="shared" si="1536"/>
        <v>0.088425</v>
      </c>
      <c r="L2092" s="123">
        <f t="shared" si="1536"/>
        <v>0.088425</v>
      </c>
      <c r="M2092" s="123">
        <f t="shared" si="1536"/>
        <v>0.088425</v>
      </c>
      <c r="N2092" s="123">
        <f t="shared" si="1536"/>
        <v>0.120977</v>
      </c>
      <c r="O2092" s="123">
        <f t="shared" si="1536"/>
        <v>0.120977</v>
      </c>
      <c r="P2092" s="123">
        <f t="shared" si="1536"/>
        <v>0.137664</v>
      </c>
      <c r="Q2092" s="123">
        <f t="shared" si="1536"/>
        <v>0.164126</v>
      </c>
    </row>
    <row r="2093" ht="24" customHeight="1" spans="1:17">
      <c r="A2093" s="99" t="s">
        <v>350</v>
      </c>
      <c r="B2093" s="99" t="s">
        <v>299</v>
      </c>
      <c r="C2093" s="99" t="s">
        <v>343</v>
      </c>
      <c r="D2093" s="114" t="s">
        <v>292</v>
      </c>
      <c r="E2093" s="53" t="s">
        <v>328</v>
      </c>
      <c r="F2093" s="123">
        <f t="shared" si="1534"/>
        <v>0</v>
      </c>
      <c r="G2093" s="123">
        <f t="shared" ref="G2093:Q2093" si="1537">F2093+G2021</f>
        <v>0</v>
      </c>
      <c r="H2093" s="123">
        <f t="shared" si="1537"/>
        <v>0</v>
      </c>
      <c r="I2093" s="123">
        <f t="shared" si="1537"/>
        <v>0</v>
      </c>
      <c r="J2093" s="123">
        <f t="shared" si="1537"/>
        <v>0</v>
      </c>
      <c r="K2093" s="123">
        <f t="shared" si="1537"/>
        <v>0</v>
      </c>
      <c r="L2093" s="123">
        <f t="shared" si="1537"/>
        <v>0</v>
      </c>
      <c r="M2093" s="123">
        <f t="shared" si="1537"/>
        <v>0</v>
      </c>
      <c r="N2093" s="123">
        <f t="shared" si="1537"/>
        <v>0</v>
      </c>
      <c r="O2093" s="123">
        <f t="shared" si="1537"/>
        <v>0</v>
      </c>
      <c r="P2093" s="123">
        <f t="shared" si="1537"/>
        <v>0</v>
      </c>
      <c r="Q2093" s="123">
        <f t="shared" si="1537"/>
        <v>0</v>
      </c>
    </row>
    <row r="2094" ht="24" customHeight="1" spans="1:17">
      <c r="A2094" s="99" t="s">
        <v>350</v>
      </c>
      <c r="B2094" s="99" t="s">
        <v>299</v>
      </c>
      <c r="C2094" s="99" t="s">
        <v>343</v>
      </c>
      <c r="D2094" s="53" t="s">
        <v>326</v>
      </c>
      <c r="E2094" s="53" t="s">
        <v>93</v>
      </c>
      <c r="F2094" s="123">
        <f t="shared" si="1534"/>
        <v>0</v>
      </c>
      <c r="G2094" s="123">
        <f t="shared" ref="G2094:Q2094" si="1538">F2094+G2022</f>
        <v>0</v>
      </c>
      <c r="H2094" s="123">
        <f t="shared" si="1538"/>
        <v>0.027049</v>
      </c>
      <c r="I2094" s="123">
        <f t="shared" si="1538"/>
        <v>0.027049</v>
      </c>
      <c r="J2094" s="123">
        <f t="shared" si="1538"/>
        <v>0.02944</v>
      </c>
      <c r="K2094" s="123">
        <f t="shared" si="1538"/>
        <v>0.02944</v>
      </c>
      <c r="L2094" s="123">
        <f t="shared" si="1538"/>
        <v>0.02944</v>
      </c>
      <c r="M2094" s="123">
        <f t="shared" si="1538"/>
        <v>0.02944</v>
      </c>
      <c r="N2094" s="123">
        <f t="shared" si="1538"/>
        <v>0.02944</v>
      </c>
      <c r="O2094" s="123">
        <f t="shared" si="1538"/>
        <v>0.02944</v>
      </c>
      <c r="P2094" s="123">
        <f t="shared" si="1538"/>
        <v>0.02944</v>
      </c>
      <c r="Q2094" s="123">
        <f t="shared" si="1538"/>
        <v>0.02944</v>
      </c>
    </row>
    <row r="2095" ht="24" customHeight="1" spans="1:17">
      <c r="A2095" s="99" t="s">
        <v>350</v>
      </c>
      <c r="B2095" s="99" t="s">
        <v>299</v>
      </c>
      <c r="C2095" s="99" t="s">
        <v>343</v>
      </c>
      <c r="D2095" s="53" t="s">
        <v>326</v>
      </c>
      <c r="E2095" s="53" t="s">
        <v>85</v>
      </c>
      <c r="F2095" s="123">
        <f t="shared" si="1534"/>
        <v>0.018568</v>
      </c>
      <c r="G2095" s="123">
        <f t="shared" ref="G2095:Q2095" si="1539">F2095+G2023</f>
        <v>0.018568</v>
      </c>
      <c r="H2095" s="123">
        <f t="shared" si="1539"/>
        <v>0.018568</v>
      </c>
      <c r="I2095" s="123">
        <f t="shared" si="1539"/>
        <v>0.018568</v>
      </c>
      <c r="J2095" s="123">
        <f t="shared" si="1539"/>
        <v>0.024238</v>
      </c>
      <c r="K2095" s="123">
        <f t="shared" si="1539"/>
        <v>0.024238</v>
      </c>
      <c r="L2095" s="123">
        <f t="shared" si="1539"/>
        <v>0.024238</v>
      </c>
      <c r="M2095" s="123">
        <f t="shared" si="1539"/>
        <v>0.024238</v>
      </c>
      <c r="N2095" s="123">
        <f t="shared" si="1539"/>
        <v>0.044472</v>
      </c>
      <c r="O2095" s="123">
        <f t="shared" si="1539"/>
        <v>0.050247</v>
      </c>
      <c r="P2095" s="123">
        <f t="shared" si="1539"/>
        <v>0.050247</v>
      </c>
      <c r="Q2095" s="123">
        <f t="shared" si="1539"/>
        <v>0.050247</v>
      </c>
    </row>
    <row r="2096" ht="24" customHeight="1" spans="1:17">
      <c r="A2096" s="99" t="s">
        <v>350</v>
      </c>
      <c r="B2096" s="99" t="s">
        <v>299</v>
      </c>
      <c r="C2096" s="99" t="s">
        <v>343</v>
      </c>
      <c r="D2096" s="53" t="s">
        <v>326</v>
      </c>
      <c r="E2096" s="53" t="s">
        <v>81</v>
      </c>
      <c r="F2096" s="123">
        <f t="shared" si="1534"/>
        <v>0</v>
      </c>
      <c r="G2096" s="123">
        <f t="shared" ref="G2096:Q2096" si="1540">F2096+G2024</f>
        <v>0</v>
      </c>
      <c r="H2096" s="123">
        <f t="shared" si="1540"/>
        <v>0</v>
      </c>
      <c r="I2096" s="123">
        <f t="shared" si="1540"/>
        <v>0</v>
      </c>
      <c r="J2096" s="123">
        <f t="shared" si="1540"/>
        <v>0</v>
      </c>
      <c r="K2096" s="123">
        <f t="shared" si="1540"/>
        <v>0</v>
      </c>
      <c r="L2096" s="123">
        <f t="shared" si="1540"/>
        <v>0</v>
      </c>
      <c r="M2096" s="123">
        <f t="shared" si="1540"/>
        <v>0</v>
      </c>
      <c r="N2096" s="123">
        <f t="shared" si="1540"/>
        <v>0</v>
      </c>
      <c r="O2096" s="123">
        <f t="shared" si="1540"/>
        <v>0</v>
      </c>
      <c r="P2096" s="123">
        <f t="shared" si="1540"/>
        <v>0</v>
      </c>
      <c r="Q2096" s="123">
        <f t="shared" si="1540"/>
        <v>0</v>
      </c>
    </row>
    <row r="2097" ht="24" customHeight="1" spans="1:17">
      <c r="A2097" s="99" t="s">
        <v>350</v>
      </c>
      <c r="B2097" s="99" t="s">
        <v>299</v>
      </c>
      <c r="C2097" s="99" t="s">
        <v>343</v>
      </c>
      <c r="D2097" s="53" t="s">
        <v>326</v>
      </c>
      <c r="E2097" s="53" t="s">
        <v>96</v>
      </c>
      <c r="F2097" s="123">
        <f t="shared" si="1534"/>
        <v>0</v>
      </c>
      <c r="G2097" s="123">
        <f t="shared" ref="G2097:Q2097" si="1541">F2097+G2025</f>
        <v>0</v>
      </c>
      <c r="H2097" s="123">
        <f t="shared" si="1541"/>
        <v>0</v>
      </c>
      <c r="I2097" s="123">
        <f t="shared" si="1541"/>
        <v>0</v>
      </c>
      <c r="J2097" s="123">
        <f t="shared" si="1541"/>
        <v>0</v>
      </c>
      <c r="K2097" s="123">
        <f t="shared" si="1541"/>
        <v>0</v>
      </c>
      <c r="L2097" s="123">
        <f t="shared" si="1541"/>
        <v>0</v>
      </c>
      <c r="M2097" s="123">
        <f t="shared" si="1541"/>
        <v>0</v>
      </c>
      <c r="N2097" s="123">
        <f t="shared" si="1541"/>
        <v>0.022413</v>
      </c>
      <c r="O2097" s="123">
        <f t="shared" si="1541"/>
        <v>0.022413</v>
      </c>
      <c r="P2097" s="123">
        <f t="shared" si="1541"/>
        <v>0.022413</v>
      </c>
      <c r="Q2097" s="123">
        <f t="shared" si="1541"/>
        <v>0.022413</v>
      </c>
    </row>
    <row r="2098" ht="24" customHeight="1" spans="1:17">
      <c r="A2098" s="99" t="s">
        <v>350</v>
      </c>
      <c r="B2098" s="99" t="s">
        <v>299</v>
      </c>
      <c r="C2098" s="99" t="s">
        <v>343</v>
      </c>
      <c r="D2098" s="53" t="s">
        <v>326</v>
      </c>
      <c r="E2098" s="53" t="s">
        <v>160</v>
      </c>
      <c r="F2098" s="123">
        <f t="shared" si="1534"/>
        <v>0</v>
      </c>
      <c r="G2098" s="123">
        <f t="shared" ref="G2098:Q2098" si="1542">F2098+G2026</f>
        <v>0</v>
      </c>
      <c r="H2098" s="123">
        <f t="shared" si="1542"/>
        <v>0</v>
      </c>
      <c r="I2098" s="123">
        <f t="shared" si="1542"/>
        <v>0</v>
      </c>
      <c r="J2098" s="123">
        <f t="shared" si="1542"/>
        <v>0</v>
      </c>
      <c r="K2098" s="123">
        <f t="shared" si="1542"/>
        <v>0</v>
      </c>
      <c r="L2098" s="123">
        <f t="shared" si="1542"/>
        <v>0</v>
      </c>
      <c r="M2098" s="123">
        <f t="shared" si="1542"/>
        <v>0</v>
      </c>
      <c r="N2098" s="123">
        <f t="shared" si="1542"/>
        <v>0</v>
      </c>
      <c r="O2098" s="123">
        <f t="shared" si="1542"/>
        <v>0</v>
      </c>
      <c r="P2098" s="123">
        <f t="shared" si="1542"/>
        <v>0</v>
      </c>
      <c r="Q2098" s="123">
        <f t="shared" si="1542"/>
        <v>0</v>
      </c>
    </row>
    <row r="2099" ht="24" customHeight="1" spans="1:17">
      <c r="A2099" s="99" t="s">
        <v>350</v>
      </c>
      <c r="B2099" s="99" t="s">
        <v>299</v>
      </c>
      <c r="C2099" s="99" t="s">
        <v>343</v>
      </c>
      <c r="D2099" s="53" t="s">
        <v>327</v>
      </c>
      <c r="E2099" s="53" t="s">
        <v>93</v>
      </c>
      <c r="F2099" s="123">
        <f t="shared" si="1534"/>
        <v>0.003523</v>
      </c>
      <c r="G2099" s="123">
        <f t="shared" ref="G2099:Q2099" si="1543">F2099+G2027</f>
        <v>0.003523</v>
      </c>
      <c r="H2099" s="123">
        <f t="shared" si="1543"/>
        <v>0.003523</v>
      </c>
      <c r="I2099" s="123">
        <f t="shared" si="1543"/>
        <v>0.003523</v>
      </c>
      <c r="J2099" s="123">
        <f t="shared" si="1543"/>
        <v>0.036376</v>
      </c>
      <c r="K2099" s="123">
        <f t="shared" si="1543"/>
        <v>0.041643</v>
      </c>
      <c r="L2099" s="123">
        <f t="shared" si="1543"/>
        <v>0.041643</v>
      </c>
      <c r="M2099" s="123">
        <f t="shared" si="1543"/>
        <v>0.041643</v>
      </c>
      <c r="N2099" s="123">
        <f t="shared" si="1543"/>
        <v>0.074195</v>
      </c>
      <c r="O2099" s="123">
        <f t="shared" si="1543"/>
        <v>0.074195</v>
      </c>
      <c r="P2099" s="123">
        <f t="shared" si="1543"/>
        <v>0.090882</v>
      </c>
      <c r="Q2099" s="123">
        <f t="shared" si="1543"/>
        <v>0.090882</v>
      </c>
    </row>
    <row r="2100" ht="24" customHeight="1" spans="1:17">
      <c r="A2100" s="99" t="s">
        <v>350</v>
      </c>
      <c r="B2100" s="99" t="s">
        <v>299</v>
      </c>
      <c r="C2100" s="99" t="s">
        <v>343</v>
      </c>
      <c r="D2100" s="53" t="s">
        <v>327</v>
      </c>
      <c r="E2100" s="53" t="s">
        <v>85</v>
      </c>
      <c r="F2100" s="123">
        <f t="shared" si="1534"/>
        <v>0</v>
      </c>
      <c r="G2100" s="123">
        <f t="shared" ref="G2100:Q2100" si="1544">F2100+G2028</f>
        <v>0.046782</v>
      </c>
      <c r="H2100" s="123">
        <f t="shared" si="1544"/>
        <v>0.046782</v>
      </c>
      <c r="I2100" s="123">
        <f t="shared" si="1544"/>
        <v>0.046782</v>
      </c>
      <c r="J2100" s="123">
        <f t="shared" si="1544"/>
        <v>0.046782</v>
      </c>
      <c r="K2100" s="123">
        <f t="shared" si="1544"/>
        <v>0.046782</v>
      </c>
      <c r="L2100" s="123">
        <f t="shared" si="1544"/>
        <v>0.046782</v>
      </c>
      <c r="M2100" s="123">
        <f t="shared" si="1544"/>
        <v>0.046782</v>
      </c>
      <c r="N2100" s="123">
        <f t="shared" si="1544"/>
        <v>0.046782</v>
      </c>
      <c r="O2100" s="123">
        <f t="shared" si="1544"/>
        <v>0.046782</v>
      </c>
      <c r="P2100" s="123">
        <f t="shared" si="1544"/>
        <v>0.046782</v>
      </c>
      <c r="Q2100" s="123">
        <f t="shared" si="1544"/>
        <v>0.046782</v>
      </c>
    </row>
    <row r="2101" ht="24" customHeight="1" spans="1:17">
      <c r="A2101" s="99" t="s">
        <v>350</v>
      </c>
      <c r="B2101" s="99" t="s">
        <v>299</v>
      </c>
      <c r="C2101" s="99" t="s">
        <v>343</v>
      </c>
      <c r="D2101" s="53" t="s">
        <v>327</v>
      </c>
      <c r="E2101" s="53" t="s">
        <v>81</v>
      </c>
      <c r="F2101" s="123">
        <f t="shared" si="1534"/>
        <v>0</v>
      </c>
      <c r="G2101" s="123">
        <f t="shared" ref="G2101:Q2101" si="1545">F2101+G2029</f>
        <v>0</v>
      </c>
      <c r="H2101" s="123">
        <f t="shared" si="1545"/>
        <v>0</v>
      </c>
      <c r="I2101" s="123">
        <f t="shared" si="1545"/>
        <v>0</v>
      </c>
      <c r="J2101" s="123">
        <f t="shared" si="1545"/>
        <v>0</v>
      </c>
      <c r="K2101" s="123">
        <f t="shared" si="1545"/>
        <v>0</v>
      </c>
      <c r="L2101" s="123">
        <f t="shared" si="1545"/>
        <v>0</v>
      </c>
      <c r="M2101" s="123">
        <f t="shared" si="1545"/>
        <v>0</v>
      </c>
      <c r="N2101" s="123">
        <f t="shared" si="1545"/>
        <v>0</v>
      </c>
      <c r="O2101" s="123">
        <f t="shared" si="1545"/>
        <v>0</v>
      </c>
      <c r="P2101" s="123">
        <f t="shared" si="1545"/>
        <v>0</v>
      </c>
      <c r="Q2101" s="123">
        <f t="shared" si="1545"/>
        <v>0.026462</v>
      </c>
    </row>
    <row r="2102" ht="24" customHeight="1" spans="1:17">
      <c r="A2102" s="99" t="s">
        <v>350</v>
      </c>
      <c r="B2102" s="99" t="s">
        <v>299</v>
      </c>
      <c r="C2102" s="99" t="s">
        <v>343</v>
      </c>
      <c r="D2102" s="53" t="s">
        <v>327</v>
      </c>
      <c r="E2102" s="53" t="s">
        <v>96</v>
      </c>
      <c r="F2102" s="123">
        <f t="shared" si="1534"/>
        <v>0</v>
      </c>
      <c r="G2102" s="123">
        <f t="shared" ref="G2102:Q2102" si="1546">F2102+G2030</f>
        <v>0</v>
      </c>
      <c r="H2102" s="123">
        <f t="shared" si="1546"/>
        <v>0</v>
      </c>
      <c r="I2102" s="123">
        <f t="shared" si="1546"/>
        <v>0</v>
      </c>
      <c r="J2102" s="123">
        <f t="shared" si="1546"/>
        <v>0</v>
      </c>
      <c r="K2102" s="123">
        <f t="shared" si="1546"/>
        <v>0</v>
      </c>
      <c r="L2102" s="123">
        <f t="shared" si="1546"/>
        <v>0</v>
      </c>
      <c r="M2102" s="123">
        <f t="shared" si="1546"/>
        <v>0</v>
      </c>
      <c r="N2102" s="123">
        <f t="shared" si="1546"/>
        <v>0</v>
      </c>
      <c r="O2102" s="123">
        <f t="shared" si="1546"/>
        <v>0</v>
      </c>
      <c r="P2102" s="123">
        <f t="shared" si="1546"/>
        <v>0</v>
      </c>
      <c r="Q2102" s="123">
        <f t="shared" si="1546"/>
        <v>0</v>
      </c>
    </row>
    <row r="2103" ht="24" customHeight="1" spans="1:17">
      <c r="A2103" s="99" t="s">
        <v>350</v>
      </c>
      <c r="B2103" s="99" t="s">
        <v>299</v>
      </c>
      <c r="C2103" s="99" t="s">
        <v>343</v>
      </c>
      <c r="D2103" s="53" t="s">
        <v>327</v>
      </c>
      <c r="E2103" s="53" t="s">
        <v>160</v>
      </c>
      <c r="F2103" s="123">
        <f t="shared" si="1534"/>
        <v>0</v>
      </c>
      <c r="G2103" s="123">
        <f t="shared" ref="G2103:Q2103" si="1547">F2103+G2031</f>
        <v>0</v>
      </c>
      <c r="H2103" s="123">
        <f t="shared" si="1547"/>
        <v>0</v>
      </c>
      <c r="I2103" s="123">
        <f t="shared" si="1547"/>
        <v>0</v>
      </c>
      <c r="J2103" s="123">
        <f t="shared" si="1547"/>
        <v>0</v>
      </c>
      <c r="K2103" s="123">
        <f t="shared" si="1547"/>
        <v>0</v>
      </c>
      <c r="L2103" s="123">
        <f t="shared" si="1547"/>
        <v>0</v>
      </c>
      <c r="M2103" s="123">
        <f t="shared" si="1547"/>
        <v>0</v>
      </c>
      <c r="N2103" s="123">
        <f t="shared" si="1547"/>
        <v>0</v>
      </c>
      <c r="O2103" s="123">
        <f t="shared" si="1547"/>
        <v>0</v>
      </c>
      <c r="P2103" s="123">
        <f t="shared" si="1547"/>
        <v>0</v>
      </c>
      <c r="Q2103" s="123">
        <f t="shared" si="1547"/>
        <v>0</v>
      </c>
    </row>
    <row r="2104" ht="24" customHeight="1" spans="1:17">
      <c r="A2104" s="99" t="s">
        <v>350</v>
      </c>
      <c r="B2104" s="99" t="s">
        <v>299</v>
      </c>
      <c r="C2104" s="99" t="s">
        <v>344</v>
      </c>
      <c r="D2104" s="114" t="s">
        <v>292</v>
      </c>
      <c r="E2104" s="122" t="s">
        <v>326</v>
      </c>
      <c r="F2104" s="124">
        <f t="shared" si="1534"/>
        <v>0.018568</v>
      </c>
      <c r="G2104" s="124">
        <f t="shared" ref="G2104:Q2104" si="1548">F2104+G2032</f>
        <v>0.018568</v>
      </c>
      <c r="H2104" s="124">
        <f t="shared" si="1548"/>
        <v>0.045617</v>
      </c>
      <c r="I2104" s="124">
        <f t="shared" si="1548"/>
        <v>0.045617</v>
      </c>
      <c r="J2104" s="124">
        <f t="shared" si="1548"/>
        <v>0.053678</v>
      </c>
      <c r="K2104" s="124">
        <f t="shared" si="1548"/>
        <v>0.053678</v>
      </c>
      <c r="L2104" s="124">
        <f t="shared" si="1548"/>
        <v>0.053678</v>
      </c>
      <c r="M2104" s="124">
        <f t="shared" si="1548"/>
        <v>0.053678</v>
      </c>
      <c r="N2104" s="124">
        <f t="shared" si="1548"/>
        <v>0.096325</v>
      </c>
      <c r="O2104" s="124">
        <f t="shared" si="1548"/>
        <v>0.1021</v>
      </c>
      <c r="P2104" s="124">
        <f t="shared" si="1548"/>
        <v>0.1021</v>
      </c>
      <c r="Q2104" s="124">
        <f t="shared" si="1548"/>
        <v>0.1021</v>
      </c>
    </row>
    <row r="2105" ht="24" customHeight="1" spans="1:17">
      <c r="A2105" s="99" t="s">
        <v>350</v>
      </c>
      <c r="B2105" s="99" t="s">
        <v>299</v>
      </c>
      <c r="C2105" s="99" t="s">
        <v>344</v>
      </c>
      <c r="D2105" s="114" t="s">
        <v>292</v>
      </c>
      <c r="E2105" s="122" t="s">
        <v>327</v>
      </c>
      <c r="F2105" s="124">
        <f t="shared" si="1534"/>
        <v>0.003523</v>
      </c>
      <c r="G2105" s="124">
        <f t="shared" ref="G2105:Q2105" si="1549">F2105+G2033</f>
        <v>0.050305</v>
      </c>
      <c r="H2105" s="124">
        <f t="shared" si="1549"/>
        <v>0.050305</v>
      </c>
      <c r="I2105" s="124">
        <f t="shared" si="1549"/>
        <v>0.050305</v>
      </c>
      <c r="J2105" s="124">
        <f t="shared" si="1549"/>
        <v>0.083158</v>
      </c>
      <c r="K2105" s="124">
        <f t="shared" si="1549"/>
        <v>0.088425</v>
      </c>
      <c r="L2105" s="124">
        <f t="shared" si="1549"/>
        <v>0.088425</v>
      </c>
      <c r="M2105" s="124">
        <f t="shared" si="1549"/>
        <v>0.088425</v>
      </c>
      <c r="N2105" s="124">
        <f t="shared" si="1549"/>
        <v>0.120977</v>
      </c>
      <c r="O2105" s="124">
        <f t="shared" si="1549"/>
        <v>0.120977</v>
      </c>
      <c r="P2105" s="124">
        <f t="shared" si="1549"/>
        <v>0.137664</v>
      </c>
      <c r="Q2105" s="124">
        <f t="shared" si="1549"/>
        <v>0.164126</v>
      </c>
    </row>
    <row r="2106" ht="24" customHeight="1" spans="1:17">
      <c r="A2106" s="99" t="s">
        <v>350</v>
      </c>
      <c r="B2106" s="99" t="s">
        <v>299</v>
      </c>
      <c r="C2106" s="99" t="s">
        <v>344</v>
      </c>
      <c r="D2106" s="114" t="s">
        <v>292</v>
      </c>
      <c r="E2106" s="122" t="s">
        <v>328</v>
      </c>
      <c r="F2106" s="124">
        <f t="shared" si="1534"/>
        <v>0</v>
      </c>
      <c r="G2106" s="124">
        <f t="shared" ref="G2106:Q2106" si="1550">F2106+G2034</f>
        <v>0</v>
      </c>
      <c r="H2106" s="124">
        <f t="shared" si="1550"/>
        <v>0</v>
      </c>
      <c r="I2106" s="124">
        <f t="shared" si="1550"/>
        <v>0</v>
      </c>
      <c r="J2106" s="124">
        <f t="shared" si="1550"/>
        <v>0</v>
      </c>
      <c r="K2106" s="124">
        <f t="shared" si="1550"/>
        <v>0</v>
      </c>
      <c r="L2106" s="124">
        <f t="shared" si="1550"/>
        <v>0</v>
      </c>
      <c r="M2106" s="124">
        <f t="shared" si="1550"/>
        <v>0</v>
      </c>
      <c r="N2106" s="124">
        <f t="shared" si="1550"/>
        <v>0</v>
      </c>
      <c r="O2106" s="124">
        <f t="shared" si="1550"/>
        <v>0</v>
      </c>
      <c r="P2106" s="124">
        <f t="shared" si="1550"/>
        <v>0</v>
      </c>
      <c r="Q2106" s="124">
        <f t="shared" si="1550"/>
        <v>0</v>
      </c>
    </row>
    <row r="2107" ht="24" customHeight="1" spans="1:17">
      <c r="A2107" s="99" t="s">
        <v>350</v>
      </c>
      <c r="B2107" s="99" t="s">
        <v>299</v>
      </c>
      <c r="C2107" s="99" t="s">
        <v>344</v>
      </c>
      <c r="D2107" s="122" t="s">
        <v>326</v>
      </c>
      <c r="E2107" s="122" t="s">
        <v>93</v>
      </c>
      <c r="F2107" s="124">
        <f t="shared" si="1534"/>
        <v>0</v>
      </c>
      <c r="G2107" s="124">
        <f t="shared" ref="G2107:Q2107" si="1551">F2107+G2035</f>
        <v>0</v>
      </c>
      <c r="H2107" s="124">
        <f t="shared" si="1551"/>
        <v>0.027049</v>
      </c>
      <c r="I2107" s="124">
        <f t="shared" si="1551"/>
        <v>0.027049</v>
      </c>
      <c r="J2107" s="124">
        <f t="shared" si="1551"/>
        <v>0.02944</v>
      </c>
      <c r="K2107" s="124">
        <f t="shared" si="1551"/>
        <v>0.02944</v>
      </c>
      <c r="L2107" s="124">
        <f t="shared" si="1551"/>
        <v>0.02944</v>
      </c>
      <c r="M2107" s="124">
        <f t="shared" si="1551"/>
        <v>0.02944</v>
      </c>
      <c r="N2107" s="124">
        <f t="shared" si="1551"/>
        <v>0.02944</v>
      </c>
      <c r="O2107" s="124">
        <f t="shared" si="1551"/>
        <v>0.02944</v>
      </c>
      <c r="P2107" s="124">
        <f t="shared" si="1551"/>
        <v>0.02944</v>
      </c>
      <c r="Q2107" s="124">
        <f t="shared" si="1551"/>
        <v>0.02944</v>
      </c>
    </row>
    <row r="2108" ht="24" customHeight="1" spans="1:17">
      <c r="A2108" s="99" t="s">
        <v>350</v>
      </c>
      <c r="B2108" s="99" t="s">
        <v>299</v>
      </c>
      <c r="C2108" s="99" t="s">
        <v>344</v>
      </c>
      <c r="D2108" s="122" t="s">
        <v>326</v>
      </c>
      <c r="E2108" s="122" t="s">
        <v>85</v>
      </c>
      <c r="F2108" s="124">
        <f t="shared" si="1534"/>
        <v>0.018568</v>
      </c>
      <c r="G2108" s="124">
        <f t="shared" ref="G2108:Q2108" si="1552">F2108+G2036</f>
        <v>0.018568</v>
      </c>
      <c r="H2108" s="124">
        <f t="shared" si="1552"/>
        <v>0.018568</v>
      </c>
      <c r="I2108" s="124">
        <f t="shared" si="1552"/>
        <v>0.018568</v>
      </c>
      <c r="J2108" s="124">
        <f t="shared" si="1552"/>
        <v>0.024238</v>
      </c>
      <c r="K2108" s="124">
        <f t="shared" si="1552"/>
        <v>0.024238</v>
      </c>
      <c r="L2108" s="124">
        <f t="shared" si="1552"/>
        <v>0.024238</v>
      </c>
      <c r="M2108" s="124">
        <f t="shared" si="1552"/>
        <v>0.024238</v>
      </c>
      <c r="N2108" s="124">
        <f t="shared" si="1552"/>
        <v>0.044472</v>
      </c>
      <c r="O2108" s="124">
        <f t="shared" si="1552"/>
        <v>0.050247</v>
      </c>
      <c r="P2108" s="124">
        <f t="shared" si="1552"/>
        <v>0.050247</v>
      </c>
      <c r="Q2108" s="124">
        <f t="shared" si="1552"/>
        <v>0.050247</v>
      </c>
    </row>
    <row r="2109" ht="24" customHeight="1" spans="1:17">
      <c r="A2109" s="99" t="s">
        <v>350</v>
      </c>
      <c r="B2109" s="99" t="s">
        <v>299</v>
      </c>
      <c r="C2109" s="99" t="s">
        <v>344</v>
      </c>
      <c r="D2109" s="122" t="s">
        <v>326</v>
      </c>
      <c r="E2109" s="122" t="s">
        <v>81</v>
      </c>
      <c r="F2109" s="124">
        <f t="shared" si="1534"/>
        <v>0</v>
      </c>
      <c r="G2109" s="124">
        <f t="shared" ref="G2109:Q2109" si="1553">F2109+G2037</f>
        <v>0</v>
      </c>
      <c r="H2109" s="124">
        <f t="shared" si="1553"/>
        <v>0</v>
      </c>
      <c r="I2109" s="124">
        <f t="shared" si="1553"/>
        <v>0</v>
      </c>
      <c r="J2109" s="124">
        <f t="shared" si="1553"/>
        <v>0</v>
      </c>
      <c r="K2109" s="124">
        <f t="shared" si="1553"/>
        <v>0</v>
      </c>
      <c r="L2109" s="124">
        <f t="shared" si="1553"/>
        <v>0</v>
      </c>
      <c r="M2109" s="124">
        <f t="shared" si="1553"/>
        <v>0</v>
      </c>
      <c r="N2109" s="124">
        <f t="shared" si="1553"/>
        <v>0</v>
      </c>
      <c r="O2109" s="124">
        <f t="shared" si="1553"/>
        <v>0</v>
      </c>
      <c r="P2109" s="124">
        <f t="shared" si="1553"/>
        <v>0</v>
      </c>
      <c r="Q2109" s="124">
        <f t="shared" si="1553"/>
        <v>0</v>
      </c>
    </row>
    <row r="2110" ht="24" customHeight="1" spans="1:17">
      <c r="A2110" s="99" t="s">
        <v>350</v>
      </c>
      <c r="B2110" s="99" t="s">
        <v>299</v>
      </c>
      <c r="C2110" s="99" t="s">
        <v>344</v>
      </c>
      <c r="D2110" s="122" t="s">
        <v>326</v>
      </c>
      <c r="E2110" s="122" t="s">
        <v>96</v>
      </c>
      <c r="F2110" s="124">
        <f t="shared" si="1534"/>
        <v>0</v>
      </c>
      <c r="G2110" s="124">
        <f t="shared" ref="G2110:Q2110" si="1554">F2110+G2038</f>
        <v>0</v>
      </c>
      <c r="H2110" s="124">
        <f t="shared" si="1554"/>
        <v>0</v>
      </c>
      <c r="I2110" s="124">
        <f t="shared" si="1554"/>
        <v>0</v>
      </c>
      <c r="J2110" s="124">
        <f t="shared" si="1554"/>
        <v>0</v>
      </c>
      <c r="K2110" s="124">
        <f t="shared" si="1554"/>
        <v>0</v>
      </c>
      <c r="L2110" s="124">
        <f t="shared" si="1554"/>
        <v>0</v>
      </c>
      <c r="M2110" s="124">
        <f t="shared" si="1554"/>
        <v>0</v>
      </c>
      <c r="N2110" s="124">
        <f t="shared" si="1554"/>
        <v>0.022413</v>
      </c>
      <c r="O2110" s="124">
        <f t="shared" si="1554"/>
        <v>0.022413</v>
      </c>
      <c r="P2110" s="124">
        <f t="shared" si="1554"/>
        <v>0.022413</v>
      </c>
      <c r="Q2110" s="124">
        <f t="shared" si="1554"/>
        <v>0.022413</v>
      </c>
    </row>
    <row r="2111" ht="24" customHeight="1" spans="1:17">
      <c r="A2111" s="99" t="s">
        <v>350</v>
      </c>
      <c r="B2111" s="99" t="s">
        <v>299</v>
      </c>
      <c r="C2111" s="99" t="s">
        <v>344</v>
      </c>
      <c r="D2111" s="122" t="s">
        <v>326</v>
      </c>
      <c r="E2111" s="122" t="s">
        <v>160</v>
      </c>
      <c r="F2111" s="124">
        <f t="shared" si="1534"/>
        <v>0</v>
      </c>
      <c r="G2111" s="124">
        <f t="shared" ref="G2111:Q2111" si="1555">F2111+G2039</f>
        <v>0</v>
      </c>
      <c r="H2111" s="124">
        <f t="shared" si="1555"/>
        <v>0</v>
      </c>
      <c r="I2111" s="124">
        <f t="shared" si="1555"/>
        <v>0</v>
      </c>
      <c r="J2111" s="124">
        <f t="shared" si="1555"/>
        <v>0</v>
      </c>
      <c r="K2111" s="124">
        <f t="shared" si="1555"/>
        <v>0</v>
      </c>
      <c r="L2111" s="124">
        <f t="shared" si="1555"/>
        <v>0</v>
      </c>
      <c r="M2111" s="124">
        <f t="shared" si="1555"/>
        <v>0</v>
      </c>
      <c r="N2111" s="124">
        <f t="shared" si="1555"/>
        <v>0</v>
      </c>
      <c r="O2111" s="124">
        <f t="shared" si="1555"/>
        <v>0</v>
      </c>
      <c r="P2111" s="124">
        <f t="shared" si="1555"/>
        <v>0</v>
      </c>
      <c r="Q2111" s="124">
        <f t="shared" si="1555"/>
        <v>0</v>
      </c>
    </row>
    <row r="2112" ht="24" customHeight="1" spans="1:17">
      <c r="A2112" s="99" t="s">
        <v>350</v>
      </c>
      <c r="B2112" s="99" t="s">
        <v>299</v>
      </c>
      <c r="C2112" s="99" t="s">
        <v>344</v>
      </c>
      <c r="D2112" s="122" t="s">
        <v>327</v>
      </c>
      <c r="E2112" s="122" t="s">
        <v>93</v>
      </c>
      <c r="F2112" s="124">
        <f t="shared" si="1534"/>
        <v>0.003523</v>
      </c>
      <c r="G2112" s="124">
        <f t="shared" ref="G2112:Q2112" si="1556">F2112+G2040</f>
        <v>0.003523</v>
      </c>
      <c r="H2112" s="124">
        <f t="shared" si="1556"/>
        <v>0.003523</v>
      </c>
      <c r="I2112" s="124">
        <f t="shared" si="1556"/>
        <v>0.003523</v>
      </c>
      <c r="J2112" s="124">
        <f t="shared" si="1556"/>
        <v>0.036376</v>
      </c>
      <c r="K2112" s="124">
        <f t="shared" si="1556"/>
        <v>0.041643</v>
      </c>
      <c r="L2112" s="124">
        <f t="shared" si="1556"/>
        <v>0.041643</v>
      </c>
      <c r="M2112" s="124">
        <f t="shared" si="1556"/>
        <v>0.041643</v>
      </c>
      <c r="N2112" s="124">
        <f t="shared" si="1556"/>
        <v>0.074195</v>
      </c>
      <c r="O2112" s="124">
        <f t="shared" si="1556"/>
        <v>0.074195</v>
      </c>
      <c r="P2112" s="124">
        <f t="shared" si="1556"/>
        <v>0.090882</v>
      </c>
      <c r="Q2112" s="124">
        <f t="shared" si="1556"/>
        <v>0.090882</v>
      </c>
    </row>
    <row r="2113" ht="24" customHeight="1" spans="1:17">
      <c r="A2113" s="99" t="s">
        <v>350</v>
      </c>
      <c r="B2113" s="99" t="s">
        <v>299</v>
      </c>
      <c r="C2113" s="99" t="s">
        <v>344</v>
      </c>
      <c r="D2113" s="122" t="s">
        <v>327</v>
      </c>
      <c r="E2113" s="122" t="s">
        <v>85</v>
      </c>
      <c r="F2113" s="124">
        <f t="shared" si="1534"/>
        <v>0</v>
      </c>
      <c r="G2113" s="124">
        <f t="shared" ref="G2113:Q2113" si="1557">F2113+G2041</f>
        <v>0.046782</v>
      </c>
      <c r="H2113" s="124">
        <f t="shared" si="1557"/>
        <v>0.046782</v>
      </c>
      <c r="I2113" s="124">
        <f t="shared" si="1557"/>
        <v>0.046782</v>
      </c>
      <c r="J2113" s="124">
        <f t="shared" si="1557"/>
        <v>0.046782</v>
      </c>
      <c r="K2113" s="124">
        <f t="shared" si="1557"/>
        <v>0.046782</v>
      </c>
      <c r="L2113" s="124">
        <f t="shared" si="1557"/>
        <v>0.046782</v>
      </c>
      <c r="M2113" s="124">
        <f t="shared" si="1557"/>
        <v>0.046782</v>
      </c>
      <c r="N2113" s="124">
        <f t="shared" si="1557"/>
        <v>0.046782</v>
      </c>
      <c r="O2113" s="124">
        <f t="shared" si="1557"/>
        <v>0.046782</v>
      </c>
      <c r="P2113" s="124">
        <f t="shared" si="1557"/>
        <v>0.046782</v>
      </c>
      <c r="Q2113" s="124">
        <f t="shared" si="1557"/>
        <v>0.046782</v>
      </c>
    </row>
    <row r="2114" ht="24" customHeight="1" spans="1:17">
      <c r="A2114" s="99" t="s">
        <v>350</v>
      </c>
      <c r="B2114" s="99" t="s">
        <v>299</v>
      </c>
      <c r="C2114" s="99" t="s">
        <v>344</v>
      </c>
      <c r="D2114" s="122" t="s">
        <v>327</v>
      </c>
      <c r="E2114" s="122" t="s">
        <v>81</v>
      </c>
      <c r="F2114" s="124">
        <f t="shared" si="1534"/>
        <v>0</v>
      </c>
      <c r="G2114" s="124">
        <f t="shared" ref="G2114:Q2114" si="1558">F2114+G2042</f>
        <v>0</v>
      </c>
      <c r="H2114" s="124">
        <f t="shared" si="1558"/>
        <v>0</v>
      </c>
      <c r="I2114" s="124">
        <f t="shared" si="1558"/>
        <v>0</v>
      </c>
      <c r="J2114" s="124">
        <f t="shared" si="1558"/>
        <v>0</v>
      </c>
      <c r="K2114" s="124">
        <f t="shared" si="1558"/>
        <v>0</v>
      </c>
      <c r="L2114" s="124">
        <f t="shared" si="1558"/>
        <v>0</v>
      </c>
      <c r="M2114" s="124">
        <f t="shared" si="1558"/>
        <v>0</v>
      </c>
      <c r="N2114" s="124">
        <f t="shared" si="1558"/>
        <v>0</v>
      </c>
      <c r="O2114" s="124">
        <f t="shared" si="1558"/>
        <v>0</v>
      </c>
      <c r="P2114" s="124">
        <f t="shared" si="1558"/>
        <v>0</v>
      </c>
      <c r="Q2114" s="124">
        <f t="shared" si="1558"/>
        <v>0.026462</v>
      </c>
    </row>
    <row r="2115" ht="24" customHeight="1" spans="1:17">
      <c r="A2115" s="99" t="s">
        <v>350</v>
      </c>
      <c r="B2115" s="99" t="s">
        <v>299</v>
      </c>
      <c r="C2115" s="99" t="s">
        <v>344</v>
      </c>
      <c r="D2115" s="122" t="s">
        <v>327</v>
      </c>
      <c r="E2115" s="122" t="s">
        <v>96</v>
      </c>
      <c r="F2115" s="124">
        <f t="shared" si="1534"/>
        <v>0</v>
      </c>
      <c r="G2115" s="124">
        <f t="shared" ref="G2115:Q2115" si="1559">F2115+G2043</f>
        <v>0</v>
      </c>
      <c r="H2115" s="124">
        <f t="shared" si="1559"/>
        <v>0</v>
      </c>
      <c r="I2115" s="124">
        <f t="shared" si="1559"/>
        <v>0</v>
      </c>
      <c r="J2115" s="124">
        <f t="shared" si="1559"/>
        <v>0</v>
      </c>
      <c r="K2115" s="124">
        <f t="shared" si="1559"/>
        <v>0</v>
      </c>
      <c r="L2115" s="124">
        <f t="shared" si="1559"/>
        <v>0</v>
      </c>
      <c r="M2115" s="124">
        <f t="shared" si="1559"/>
        <v>0</v>
      </c>
      <c r="N2115" s="124">
        <f t="shared" si="1559"/>
        <v>0</v>
      </c>
      <c r="O2115" s="124">
        <f t="shared" si="1559"/>
        <v>0</v>
      </c>
      <c r="P2115" s="124">
        <f t="shared" si="1559"/>
        <v>0</v>
      </c>
      <c r="Q2115" s="124">
        <f t="shared" si="1559"/>
        <v>0</v>
      </c>
    </row>
    <row r="2116" ht="24" customHeight="1" spans="1:17">
      <c r="A2116" s="99" t="s">
        <v>350</v>
      </c>
      <c r="B2116" s="99" t="s">
        <v>299</v>
      </c>
      <c r="C2116" s="99" t="s">
        <v>344</v>
      </c>
      <c r="D2116" s="122" t="s">
        <v>327</v>
      </c>
      <c r="E2116" s="122" t="s">
        <v>160</v>
      </c>
      <c r="F2116" s="124">
        <f t="shared" si="1534"/>
        <v>0</v>
      </c>
      <c r="G2116" s="124">
        <f t="shared" ref="G2116:Q2116" si="1560">F2116+G2044</f>
        <v>0</v>
      </c>
      <c r="H2116" s="124">
        <f t="shared" si="1560"/>
        <v>0</v>
      </c>
      <c r="I2116" s="124">
        <f t="shared" si="1560"/>
        <v>0</v>
      </c>
      <c r="J2116" s="124">
        <f t="shared" si="1560"/>
        <v>0</v>
      </c>
      <c r="K2116" s="124">
        <f t="shared" si="1560"/>
        <v>0</v>
      </c>
      <c r="L2116" s="124">
        <f t="shared" si="1560"/>
        <v>0</v>
      </c>
      <c r="M2116" s="124">
        <f t="shared" si="1560"/>
        <v>0</v>
      </c>
      <c r="N2116" s="124">
        <f t="shared" si="1560"/>
        <v>0</v>
      </c>
      <c r="O2116" s="124">
        <f t="shared" si="1560"/>
        <v>0</v>
      </c>
      <c r="P2116" s="124">
        <f t="shared" si="1560"/>
        <v>0</v>
      </c>
      <c r="Q2116" s="124">
        <f t="shared" si="1560"/>
        <v>0</v>
      </c>
    </row>
    <row r="2117" ht="24" customHeight="1" spans="1:17">
      <c r="A2117" s="96"/>
      <c r="B2117" s="96"/>
      <c r="C2117" s="96"/>
      <c r="D2117" s="96"/>
      <c r="E2117" s="96"/>
      <c r="F2117" s="101"/>
      <c r="G2117" s="101"/>
      <c r="H2117" s="101"/>
      <c r="I2117" s="101"/>
      <c r="J2117" s="101"/>
      <c r="K2117" s="101"/>
      <c r="L2117" s="101"/>
      <c r="M2117" s="101"/>
      <c r="N2117" s="101"/>
      <c r="O2117" s="101"/>
      <c r="P2117" s="101"/>
      <c r="Q2117" s="101"/>
    </row>
  </sheetData>
  <sheetProtection formatCells="0" formatColumns="0" formatRows="0" insertRows="0" insertColumns="0" insertHyperlinks="0" deleteColumns="0" deleteRows="0" sort="0" autoFilter="0" pivotTables="0"/>
  <customSheetViews>
    <customSheetView guid="{2DC6DF81-3091-4B69-B551-220C410A6C56}" filter="1" showAutoFilter="1">
      <pageMargins left="0.7" right="0.7" top="0.75" bottom="0.75" header="0.3" footer="0.3"/>
      <headerFooter/>
      <autoFilter ref="A2:Q2116"/>
    </customSheetView>
  </customSheetViews>
  <pageMargins left="0.75" right="0.75" top="1" bottom="1" header="0" footer="0"/>
  <pageSetup paperSize="1" orientation="landscape"/>
  <headerFooter/>
  <drawing r:id="rId1"/>
  <tableParts count="1">
    <tablePart r:id="rId2"/>
  </tableParts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O1000"/>
  <sheetViews>
    <sheetView workbookViewId="0">
      <pane xSplit="1" ySplit="2" topLeftCell="B3" activePane="bottomRight" state="frozen"/>
      <selection/>
      <selection pane="topRight"/>
      <selection pane="bottomLeft"/>
      <selection pane="bottomRight" activeCell="B3" sqref="B3"/>
    </sheetView>
  </sheetViews>
  <sheetFormatPr defaultColWidth="14.4571428571429" defaultRowHeight="15" customHeight="1"/>
  <cols>
    <col min="1" max="1" width="42.7238095238095" customWidth="1"/>
    <col min="2" max="56" width="9" customWidth="1"/>
    <col min="57" max="57" width="8.81904761904762" customWidth="1"/>
    <col min="58" max="145" width="9" customWidth="1"/>
  </cols>
  <sheetData>
    <row r="1" ht="13.5" customHeight="1" spans="1:77">
      <c r="A1" s="1" t="s">
        <v>419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</row>
    <row r="2" ht="13.5" customHeight="1" spans="1:145">
      <c r="A2" s="2" t="s">
        <v>1</v>
      </c>
      <c r="B2" s="2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28" t="s">
        <v>7</v>
      </c>
      <c r="H2" s="28" t="s">
        <v>8</v>
      </c>
      <c r="I2" s="28" t="s">
        <v>9</v>
      </c>
      <c r="J2" s="28" t="s">
        <v>10</v>
      </c>
      <c r="K2" s="36" t="s">
        <v>11</v>
      </c>
      <c r="L2" s="36" t="s">
        <v>12</v>
      </c>
      <c r="M2" s="36" t="s">
        <v>13</v>
      </c>
      <c r="N2" s="36" t="s">
        <v>14</v>
      </c>
      <c r="O2" s="39" t="s">
        <v>15</v>
      </c>
      <c r="P2" s="39" t="s">
        <v>16</v>
      </c>
      <c r="Q2" s="39" t="s">
        <v>17</v>
      </c>
      <c r="R2" s="39" t="s">
        <v>18</v>
      </c>
      <c r="S2" s="42" t="s">
        <v>19</v>
      </c>
      <c r="T2" s="42" t="s">
        <v>20</v>
      </c>
      <c r="U2" s="42" t="s">
        <v>21</v>
      </c>
      <c r="V2" s="42" t="s">
        <v>22</v>
      </c>
      <c r="W2" s="43" t="s">
        <v>23</v>
      </c>
      <c r="X2" s="43" t="s">
        <v>24</v>
      </c>
      <c r="Y2" s="43" t="s">
        <v>25</v>
      </c>
      <c r="Z2" s="43" t="s">
        <v>26</v>
      </c>
      <c r="AA2" s="45" t="s">
        <v>27</v>
      </c>
      <c r="AB2" s="45" t="s">
        <v>28</v>
      </c>
      <c r="AC2" s="45" t="s">
        <v>29</v>
      </c>
      <c r="AD2" s="45" t="s">
        <v>30</v>
      </c>
      <c r="AE2" s="2" t="s">
        <v>31</v>
      </c>
      <c r="AF2" s="2" t="s">
        <v>32</v>
      </c>
      <c r="AG2" s="2" t="s">
        <v>33</v>
      </c>
      <c r="AH2" s="3" t="s">
        <v>34</v>
      </c>
      <c r="AI2" s="3" t="s">
        <v>35</v>
      </c>
      <c r="AJ2" s="3" t="s">
        <v>36</v>
      </c>
      <c r="AK2" s="3" t="s">
        <v>37</v>
      </c>
      <c r="AL2" s="54" t="s">
        <v>38</v>
      </c>
      <c r="AM2" s="2" t="s">
        <v>39</v>
      </c>
      <c r="AN2" s="2" t="s">
        <v>40</v>
      </c>
      <c r="AO2" s="28" t="s">
        <v>41</v>
      </c>
      <c r="AP2" s="28" t="s">
        <v>42</v>
      </c>
      <c r="AQ2" s="28" t="s">
        <v>43</v>
      </c>
      <c r="AR2" s="28" t="s">
        <v>44</v>
      </c>
      <c r="AS2" s="54" t="s">
        <v>45</v>
      </c>
      <c r="AT2" s="2" t="s">
        <v>46</v>
      </c>
      <c r="AU2" s="36" t="s">
        <v>47</v>
      </c>
      <c r="AV2" s="36" t="s">
        <v>48</v>
      </c>
      <c r="AW2" s="36" t="s">
        <v>49</v>
      </c>
      <c r="AX2" s="36" t="s">
        <v>50</v>
      </c>
      <c r="AY2" s="54" t="s">
        <v>51</v>
      </c>
      <c r="AZ2" s="2" t="s">
        <v>52</v>
      </c>
      <c r="BA2" s="62" t="s">
        <v>53</v>
      </c>
      <c r="BB2" s="39" t="s">
        <v>54</v>
      </c>
      <c r="BC2" s="39" t="s">
        <v>55</v>
      </c>
      <c r="BD2" s="39" t="s">
        <v>56</v>
      </c>
      <c r="BE2" s="39" t="s">
        <v>57</v>
      </c>
      <c r="BF2" s="54" t="s">
        <v>58</v>
      </c>
      <c r="BG2" s="2" t="s">
        <v>59</v>
      </c>
      <c r="BH2" s="42" t="s">
        <v>60</v>
      </c>
      <c r="BI2" s="42" t="s">
        <v>61</v>
      </c>
      <c r="BJ2" s="42" t="s">
        <v>62</v>
      </c>
      <c r="BK2" s="42" t="s">
        <v>63</v>
      </c>
      <c r="BL2" s="54" t="s">
        <v>64</v>
      </c>
      <c r="BM2" s="2" t="s">
        <v>65</v>
      </c>
      <c r="BN2" s="62" t="s">
        <v>66</v>
      </c>
      <c r="BO2" s="43" t="s">
        <v>67</v>
      </c>
      <c r="BP2" s="43" t="s">
        <v>68</v>
      </c>
      <c r="BQ2" s="43" t="s">
        <v>69</v>
      </c>
      <c r="BR2" s="43" t="s">
        <v>70</v>
      </c>
      <c r="BS2" s="54" t="s">
        <v>71</v>
      </c>
      <c r="BT2" s="2" t="s">
        <v>72</v>
      </c>
      <c r="BU2" s="45" t="s">
        <v>73</v>
      </c>
      <c r="BV2" s="45" t="s">
        <v>74</v>
      </c>
      <c r="BW2" s="45" t="s">
        <v>75</v>
      </c>
      <c r="BX2" s="45" t="s">
        <v>76</v>
      </c>
      <c r="BY2" s="54" t="s">
        <v>77</v>
      </c>
      <c r="BZ2" s="2" t="s">
        <v>78</v>
      </c>
      <c r="CB2" s="2" t="s">
        <v>420</v>
      </c>
      <c r="EO2" s="2" t="s">
        <v>420</v>
      </c>
    </row>
    <row r="3" ht="13.5" customHeight="1" spans="1:145">
      <c r="A3" s="4" t="s">
        <v>421</v>
      </c>
      <c r="B3" s="5" t="s">
        <v>85</v>
      </c>
      <c r="C3" s="6"/>
      <c r="D3" s="7"/>
      <c r="E3" s="29"/>
      <c r="F3" s="30" t="str">
        <f t="shared" ref="F3:F149" si="0">IF(E3="0",NETWORKDAYS(C3,D3,$EO$3:$EO$42),"")</f>
        <v/>
      </c>
      <c r="G3" s="12"/>
      <c r="H3" s="31"/>
      <c r="I3" s="37"/>
      <c r="J3" s="30" t="str">
        <f t="shared" ref="J3:J149" si="1">IF(I3="0",NETWORKDAYS(G3,H3,$EO$3:$EO$42),"")</f>
        <v/>
      </c>
      <c r="K3" s="33">
        <v>45503</v>
      </c>
      <c r="L3" s="31">
        <v>45527</v>
      </c>
      <c r="M3" s="40" t="str">
        <f>IF(K3&lt;&gt;0,IF(L3&lt;&gt;0,"0","1"),"")</f>
        <v>0</v>
      </c>
      <c r="N3" s="30">
        <f t="shared" ref="N3:N149" si="2">IF(M3="0",NETWORKDAYS(K3,L3,$EO$3:$EO$42),"")</f>
        <v>19</v>
      </c>
      <c r="O3" s="12"/>
      <c r="P3" s="31"/>
      <c r="Q3" s="38"/>
      <c r="R3" s="30" t="str">
        <f t="shared" ref="R3:R149" si="3">IF(Q3="0",NETWORKDAYS(O3,P3,$EO$3:$EO$41),"")</f>
        <v/>
      </c>
      <c r="S3" s="12"/>
      <c r="T3" s="31"/>
      <c r="U3" s="40"/>
      <c r="V3" s="30" t="str">
        <f t="shared" ref="V3:V149" si="4">IF(U3="0",NETWORKDAYS(S3,T3,$EO$3:$EO$42),"")</f>
        <v/>
      </c>
      <c r="W3" s="12"/>
      <c r="X3" s="31"/>
      <c r="Y3" s="38"/>
      <c r="Z3" s="30" t="str">
        <f t="shared" ref="Z3:Z149" si="5">IF(Y3="0",NETWORKDAYS(W3,X3,$EO$3:$EO$42),"")</f>
        <v/>
      </c>
      <c r="AA3" s="12"/>
      <c r="AB3" s="31"/>
      <c r="AC3" s="40"/>
      <c r="AD3" s="30" t="str">
        <f t="shared" ref="AD3:AD150" si="6">IF(AC3="0",NETWORKDAYS(AA3,AB3,$EO$3:$EO$42),"")</f>
        <v/>
      </c>
      <c r="AE3" s="46" t="s">
        <v>86</v>
      </c>
      <c r="AF3" s="47" t="s">
        <v>86</v>
      </c>
      <c r="AG3" s="50" t="s">
        <v>87</v>
      </c>
      <c r="AH3" s="51"/>
      <c r="AI3" s="52">
        <v>7149.02</v>
      </c>
      <c r="AJ3" s="51"/>
      <c r="AK3" s="52">
        <v>7027.65</v>
      </c>
      <c r="AL3" s="40"/>
      <c r="AM3" s="40"/>
      <c r="AN3" s="40"/>
      <c r="AO3" s="48"/>
      <c r="AP3" s="56"/>
      <c r="AQ3" s="48"/>
      <c r="AR3" s="56"/>
      <c r="AS3" s="40"/>
      <c r="AT3" s="40"/>
      <c r="AU3" s="51">
        <v>7029.09</v>
      </c>
      <c r="AV3" s="52">
        <v>6966.02</v>
      </c>
      <c r="AW3" s="51">
        <v>6921.62</v>
      </c>
      <c r="AX3" s="52">
        <v>6859.55</v>
      </c>
      <c r="AY3" s="55" t="str">
        <f t="shared" ref="AY3:AY4" si="7">IF(AND(AX3&lt;&gt;"",AW3&lt;&gt;""),IF(AX3&gt;AW3,"核增",IF(AX3&lt;AW3,"核减","不变")),"")</f>
        <v>核减</v>
      </c>
      <c r="AZ3" s="55">
        <f t="shared" ref="AZ3:AZ4" si="8">IF(AND(AX3&lt;&gt;"",AW3&lt;&gt;""),MAX(ABS(AX3),ABS(AW3))-MIN(ABS(AX3),ABS(AW3)),"")</f>
        <v>62.0699999999997</v>
      </c>
      <c r="BA3" s="63" t="str">
        <f t="shared" ref="BA3:BA4" si="9">IF(AND(AV3&lt;&gt;"",AI3&lt;&gt;""),IF(AV3&gt;AI3,"核增",IF(AV3&lt;AI3,"核减","不变")),"")&amp;TEXT(IF(AND(AV3&lt;&gt;"",AI3&lt;&gt;""),MAX(ABS(AV3),ABS(AI3))-MIN(ABS(AV3),ABS(AI3)),""),"0.00")</f>
        <v>核减183.00</v>
      </c>
      <c r="BB3" s="48"/>
      <c r="BC3" s="56"/>
      <c r="BD3" s="48"/>
      <c r="BE3" s="56"/>
      <c r="BF3" s="64"/>
      <c r="BG3" s="48"/>
      <c r="BH3" s="51"/>
      <c r="BI3" s="52"/>
      <c r="BJ3" s="51"/>
      <c r="BK3" s="52"/>
      <c r="BL3" s="40"/>
      <c r="BM3" s="55"/>
      <c r="BN3" s="63"/>
      <c r="BO3" s="48"/>
      <c r="BP3" s="56"/>
      <c r="BQ3" s="48"/>
      <c r="BR3" s="56"/>
      <c r="BS3" s="40"/>
      <c r="BT3" s="40"/>
      <c r="BU3" s="51"/>
      <c r="BV3" s="52"/>
      <c r="BW3" s="51"/>
      <c r="BX3" s="52"/>
      <c r="BY3" s="40"/>
      <c r="BZ3" s="55"/>
      <c r="EO3" s="68">
        <v>45292</v>
      </c>
    </row>
    <row r="4" ht="13.5" customHeight="1" spans="1:145">
      <c r="A4" s="8" t="s">
        <v>88</v>
      </c>
      <c r="B4" s="5" t="s">
        <v>81</v>
      </c>
      <c r="C4" s="6"/>
      <c r="D4" s="9"/>
      <c r="E4" s="32"/>
      <c r="F4" s="30" t="str">
        <f t="shared" si="0"/>
        <v/>
      </c>
      <c r="G4" s="12"/>
      <c r="H4" s="31"/>
      <c r="I4" s="38"/>
      <c r="J4" s="30" t="str">
        <f t="shared" si="1"/>
        <v/>
      </c>
      <c r="K4" s="12"/>
      <c r="L4" s="31"/>
      <c r="M4" s="38"/>
      <c r="N4" s="30" t="str">
        <f t="shared" si="2"/>
        <v/>
      </c>
      <c r="O4" s="12"/>
      <c r="P4" s="31"/>
      <c r="Q4" s="38"/>
      <c r="R4" s="30" t="str">
        <f t="shared" si="3"/>
        <v/>
      </c>
      <c r="S4" s="12"/>
      <c r="T4" s="31"/>
      <c r="U4" s="38" t="str">
        <f>IF(S4&lt;&gt;0,IF(T4&lt;&gt;0,"0","1"),"")</f>
        <v/>
      </c>
      <c r="V4" s="30" t="str">
        <f t="shared" si="4"/>
        <v/>
      </c>
      <c r="W4" s="12"/>
      <c r="X4" s="44"/>
      <c r="Y4" s="38"/>
      <c r="Z4" s="30" t="str">
        <f t="shared" si="5"/>
        <v/>
      </c>
      <c r="AA4" s="12"/>
      <c r="AB4" s="31"/>
      <c r="AC4" s="38"/>
      <c r="AD4" s="30" t="str">
        <f t="shared" si="6"/>
        <v/>
      </c>
      <c r="AE4" s="48" t="s">
        <v>82</v>
      </c>
      <c r="AF4" s="47" t="s">
        <v>82</v>
      </c>
      <c r="AG4" s="50" t="s">
        <v>83</v>
      </c>
      <c r="AH4" s="51"/>
      <c r="AI4" s="52"/>
      <c r="AJ4" s="51"/>
      <c r="AK4" s="52"/>
      <c r="AL4" s="55" t="str">
        <f>IF(AND(AK4&lt;&gt;"",AJ4&lt;&gt;""),IF(AK4&gt;AJ4,"核增",IF(AK4&lt;AJ4,"核减","不变")),"")</f>
        <v/>
      </c>
      <c r="AM4" s="55" t="str">
        <f>IF(AND(AI4&lt;&gt;"",AH4&lt;&gt;""),MAX(ABS(AI4),ABS(AH4))-MIN(ABS(AI4),ABS(AH4)),"")</f>
        <v/>
      </c>
      <c r="AN4" s="55" t="str">
        <f>IF(AND(AK4&lt;&gt;"",AJ4&lt;&gt;""),MAX(ABS(AK4),ABS(AJ4))-MIN(ABS(AK4),ABS(AJ4)),"")</f>
        <v/>
      </c>
      <c r="AO4" s="51"/>
      <c r="AP4" s="52"/>
      <c r="AQ4" s="51"/>
      <c r="AR4" s="52"/>
      <c r="AS4" s="55" t="str">
        <f>IF(AND(AR4&lt;&gt;"",AQ4&lt;&gt;""),IF(AR4&gt;AQ4,"核增",IF(AR4&lt;AQ4,"核减","不变")),"")</f>
        <v/>
      </c>
      <c r="AT4" s="55" t="str">
        <f>IF(AND(AR4&lt;&gt;"",AQ4&lt;&gt;""),MAX(ABS(AR4),ABS(AQ4))-MIN(ABS(AR4),ABS(AQ4)),"")</f>
        <v/>
      </c>
      <c r="AU4" s="51"/>
      <c r="AV4" s="52"/>
      <c r="AW4" s="51"/>
      <c r="AX4" s="52"/>
      <c r="AY4" s="55" t="str">
        <f t="shared" si="7"/>
        <v/>
      </c>
      <c r="AZ4" s="55" t="str">
        <f t="shared" si="8"/>
        <v/>
      </c>
      <c r="BA4" s="63" t="str">
        <f t="shared" si="9"/>
        <v/>
      </c>
      <c r="BB4" s="51"/>
      <c r="BC4" s="52"/>
      <c r="BD4" s="51"/>
      <c r="BE4" s="52"/>
      <c r="BF4" s="64" t="str">
        <f>IF(AND(BE4&lt;&gt;"",BD4&lt;&gt;""),IF(BE4&gt;BD4,"核增",IF(BE4&lt;BD4,"核减","不变")),"")</f>
        <v/>
      </c>
      <c r="BG4" s="52"/>
      <c r="BH4" s="51"/>
      <c r="BI4" s="52"/>
      <c r="BJ4" s="51"/>
      <c r="BK4" s="52"/>
      <c r="BL4" s="55" t="str">
        <f>IF(AND(BK4&lt;&gt;"",BJ4&lt;&gt;""),IF(BK4&gt;BJ4,"核增",IF(BK4&lt;BJ4,"核减","不变")),"")</f>
        <v/>
      </c>
      <c r="BM4" s="55" t="str">
        <f>IF(AND(BK4&lt;&gt;"",BJ4&lt;&gt;""),MAX(ABS(BK4),ABS(BJ4))-MIN(ABS(BK4),ABS(BJ4)),"")</f>
        <v/>
      </c>
      <c r="BN4" s="63" t="str">
        <f>IF(AND(BI4&lt;&gt;"",AV4&lt;&gt;""),IF(BI4&gt;AV4,"核增",IF(BI4&lt;AV4,"核减","不变")),"")&amp;TEXT(IF(AND(BI4&lt;&gt;"",AV4&lt;&gt;""),MAX(ABS(BI4),ABS(AV4))-MIN(ABS(BI4),ABS(AV4)),""),"0.00")</f>
        <v/>
      </c>
      <c r="BO4" s="51"/>
      <c r="BP4" s="52"/>
      <c r="BQ4" s="51"/>
      <c r="BR4" s="52"/>
      <c r="BS4" s="55" t="str">
        <f>IF(AND(BR4&lt;&gt;"",BQ4&lt;&gt;""),IF(BR4&gt;BQ4,"核增",IF(BR4&lt;BQ4,"核减","不变")),"")</f>
        <v/>
      </c>
      <c r="BT4" s="55" t="str">
        <f>IF(AND(BR4&lt;&gt;"",BQ4&lt;&gt;""),MAX(ABS(BR4),ABS(BQ4))-MIN(ABS(BR4),ABS(BQ4)),"")</f>
        <v/>
      </c>
      <c r="BU4" s="51"/>
      <c r="BV4" s="52"/>
      <c r="BW4" s="51"/>
      <c r="BX4" s="52"/>
      <c r="BY4" s="55" t="str">
        <f>IF(AND(BX4&lt;&gt;"",BW4&lt;&gt;""),IF(BX4&gt;BW4,"核增",IF(BX4&lt;BW4,"核减","不变")),"")</f>
        <v/>
      </c>
      <c r="BZ4" s="55" t="str">
        <f>IF(AND(BX4&lt;&gt;"",BW4&lt;&gt;""),MAX(ABS(BX4),ABS(BW4))-MIN(ABS(BX4),ABS(BW4)),"")</f>
        <v/>
      </c>
      <c r="EO4" s="68">
        <v>45293</v>
      </c>
    </row>
    <row r="5" ht="13.5" customHeight="1" spans="1:145">
      <c r="A5" s="8" t="s">
        <v>104</v>
      </c>
      <c r="B5" s="5" t="s">
        <v>93</v>
      </c>
      <c r="C5" s="6"/>
      <c r="D5" s="9"/>
      <c r="E5" s="32"/>
      <c r="F5" s="30" t="str">
        <f t="shared" si="0"/>
        <v/>
      </c>
      <c r="G5" s="33"/>
      <c r="H5" s="34"/>
      <c r="I5" s="38"/>
      <c r="J5" s="30" t="str">
        <f t="shared" si="1"/>
        <v/>
      </c>
      <c r="K5" s="12"/>
      <c r="L5" s="31"/>
      <c r="M5" s="40"/>
      <c r="N5" s="30" t="str">
        <f t="shared" si="2"/>
        <v/>
      </c>
      <c r="O5" s="12"/>
      <c r="P5" s="31"/>
      <c r="Q5" s="38"/>
      <c r="R5" s="30" t="str">
        <f t="shared" si="3"/>
        <v/>
      </c>
      <c r="S5" s="12"/>
      <c r="T5" s="31"/>
      <c r="U5" s="40"/>
      <c r="V5" s="30" t="str">
        <f t="shared" si="4"/>
        <v/>
      </c>
      <c r="W5" s="12"/>
      <c r="X5" s="31"/>
      <c r="Y5" s="38"/>
      <c r="Z5" s="30" t="str">
        <f t="shared" si="5"/>
        <v/>
      </c>
      <c r="AA5" s="12"/>
      <c r="AB5" s="31"/>
      <c r="AC5" s="40"/>
      <c r="AD5" s="30" t="str">
        <f t="shared" si="6"/>
        <v/>
      </c>
      <c r="AE5" s="46" t="s">
        <v>87</v>
      </c>
      <c r="AF5" s="47" t="s">
        <v>82</v>
      </c>
      <c r="AG5" s="50" t="s">
        <v>87</v>
      </c>
      <c r="AH5" s="51"/>
      <c r="AI5" s="52"/>
      <c r="AJ5" s="51"/>
      <c r="AK5" s="52"/>
      <c r="AL5" s="40"/>
      <c r="AM5" s="40"/>
      <c r="AN5" s="40"/>
      <c r="AO5" s="48"/>
      <c r="AP5" s="56"/>
      <c r="AQ5" s="48"/>
      <c r="AR5" s="56"/>
      <c r="AS5" s="55"/>
      <c r="AT5" s="55"/>
      <c r="AU5" s="51"/>
      <c r="AV5" s="52"/>
      <c r="AW5" s="51"/>
      <c r="AX5" s="52"/>
      <c r="AY5" s="40"/>
      <c r="AZ5" s="55"/>
      <c r="BA5" s="63"/>
      <c r="BB5" s="48"/>
      <c r="BC5" s="56"/>
      <c r="BD5" s="48"/>
      <c r="BE5" s="56"/>
      <c r="BF5" s="64"/>
      <c r="BG5" s="48"/>
      <c r="BH5" s="51"/>
      <c r="BI5" s="52"/>
      <c r="BJ5" s="51"/>
      <c r="BK5" s="52"/>
      <c r="BL5" s="40"/>
      <c r="BM5" s="55"/>
      <c r="BN5" s="63"/>
      <c r="BO5" s="48"/>
      <c r="BP5" s="56"/>
      <c r="BQ5" s="48"/>
      <c r="BR5" s="56"/>
      <c r="BS5" s="40"/>
      <c r="BT5" s="40"/>
      <c r="BU5" s="51"/>
      <c r="BV5" s="52"/>
      <c r="BW5" s="51"/>
      <c r="BX5" s="52"/>
      <c r="BY5" s="40"/>
      <c r="BZ5" s="55"/>
      <c r="CA5" s="67"/>
      <c r="CB5" s="67"/>
      <c r="CC5" s="67"/>
      <c r="CD5" s="67"/>
      <c r="CE5" s="67"/>
      <c r="CF5" s="67"/>
      <c r="CG5" s="67"/>
      <c r="CH5" s="67"/>
      <c r="CI5" s="67"/>
      <c r="CJ5" s="67"/>
      <c r="CK5" s="67"/>
      <c r="CL5" s="67"/>
      <c r="CM5" s="67"/>
      <c r="CN5" s="67"/>
      <c r="CO5" s="67"/>
      <c r="CP5" s="67"/>
      <c r="CQ5" s="67"/>
      <c r="CR5" s="67"/>
      <c r="CS5" s="67"/>
      <c r="CT5" s="67"/>
      <c r="CU5" s="67"/>
      <c r="CV5" s="67"/>
      <c r="CW5" s="67"/>
      <c r="CX5" s="67"/>
      <c r="CY5" s="67"/>
      <c r="CZ5" s="67"/>
      <c r="DA5" s="67"/>
      <c r="DB5" s="67"/>
      <c r="DC5" s="67"/>
      <c r="DD5" s="67"/>
      <c r="DE5" s="67"/>
      <c r="DF5" s="67"/>
      <c r="DG5" s="67"/>
      <c r="DH5" s="67"/>
      <c r="DI5" s="67"/>
      <c r="DJ5" s="67"/>
      <c r="DK5" s="67"/>
      <c r="DL5" s="67"/>
      <c r="DM5" s="67"/>
      <c r="DN5" s="67"/>
      <c r="DO5" s="67"/>
      <c r="DP5" s="67"/>
      <c r="DQ5" s="67"/>
      <c r="DR5" s="67"/>
      <c r="DS5" s="67"/>
      <c r="DT5" s="67"/>
      <c r="DU5" s="67"/>
      <c r="DV5" s="67"/>
      <c r="DW5" s="67"/>
      <c r="DX5" s="67"/>
      <c r="DY5" s="67"/>
      <c r="DZ5" s="67"/>
      <c r="EA5" s="67"/>
      <c r="EB5" s="67"/>
      <c r="EC5" s="67"/>
      <c r="ED5" s="67"/>
      <c r="EE5" s="67"/>
      <c r="EF5" s="67"/>
      <c r="EG5" s="67"/>
      <c r="EH5" s="67"/>
      <c r="EI5" s="67"/>
      <c r="EJ5" s="67"/>
      <c r="EK5" s="67"/>
      <c r="EL5" s="67"/>
      <c r="EM5" s="67"/>
      <c r="EN5" s="67"/>
      <c r="EO5" s="68">
        <v>45332</v>
      </c>
    </row>
    <row r="6" ht="13.5" customHeight="1" spans="1:145">
      <c r="A6" s="10" t="s">
        <v>129</v>
      </c>
      <c r="B6" s="11" t="s">
        <v>93</v>
      </c>
      <c r="C6" s="12"/>
      <c r="D6" s="7"/>
      <c r="E6" s="32" t="str">
        <f>IF(C6&lt;&gt;0,IF(D6&lt;&gt;0,"0","1"),"")</f>
        <v/>
      </c>
      <c r="F6" s="30" t="str">
        <f t="shared" si="0"/>
        <v/>
      </c>
      <c r="G6" s="12">
        <v>45231</v>
      </c>
      <c r="H6" s="31">
        <v>45292</v>
      </c>
      <c r="I6" s="38" t="str">
        <f>IF(G6&lt;&gt;0,IF(H6&lt;&gt;0,"0","1"),"")</f>
        <v>0</v>
      </c>
      <c r="J6" s="30">
        <f t="shared" si="1"/>
        <v>43</v>
      </c>
      <c r="K6" s="12"/>
      <c r="L6" s="31"/>
      <c r="M6" s="38" t="str">
        <f>IF(K6&lt;&gt;0,IF(L6&lt;&gt;0,"0","1"),"")</f>
        <v/>
      </c>
      <c r="N6" s="30" t="str">
        <f t="shared" si="2"/>
        <v/>
      </c>
      <c r="O6" s="12">
        <v>45383</v>
      </c>
      <c r="P6" s="31">
        <v>45419</v>
      </c>
      <c r="Q6" s="38" t="str">
        <f>IF(O6&lt;&gt;0,IF(P6&lt;&gt;0,"0","1"),"")</f>
        <v>0</v>
      </c>
      <c r="R6" s="30">
        <f t="shared" si="3"/>
        <v>22</v>
      </c>
      <c r="S6" s="12"/>
      <c r="T6" s="31"/>
      <c r="U6" s="38"/>
      <c r="V6" s="30" t="str">
        <f t="shared" si="4"/>
        <v/>
      </c>
      <c r="W6" s="12"/>
      <c r="X6" s="44"/>
      <c r="Y6" s="38" t="str">
        <f>IF(W6&lt;&gt;0,IF(X6&lt;&gt;0,"0","1"),"")</f>
        <v/>
      </c>
      <c r="Z6" s="30" t="str">
        <f t="shared" si="5"/>
        <v/>
      </c>
      <c r="AA6" s="12"/>
      <c r="AB6" s="31"/>
      <c r="AC6" s="38" t="str">
        <f>IF(AA6&lt;&gt;0,IF(AB6&lt;&gt;0,"0","1"),"")</f>
        <v/>
      </c>
      <c r="AD6" s="30" t="str">
        <f t="shared" si="6"/>
        <v/>
      </c>
      <c r="AE6" s="48" t="s">
        <v>97</v>
      </c>
      <c r="AF6" s="47" t="s">
        <v>82</v>
      </c>
      <c r="AG6" s="53" t="s">
        <v>97</v>
      </c>
      <c r="AH6" s="51"/>
      <c r="AI6" s="52">
        <v>34536.61</v>
      </c>
      <c r="AJ6" s="51"/>
      <c r="AK6" s="52">
        <v>33933.16</v>
      </c>
      <c r="AL6" s="55" t="str">
        <f>IF(AND(AK6&lt;&gt;"",AJ6&lt;&gt;""),IF(AK6&gt;AJ6,"核增",IF(AK6&lt;AJ6,"核减","不变")),"")</f>
        <v/>
      </c>
      <c r="AM6" s="55" t="str">
        <f>IF(AND(AI6&lt;&gt;"",AH6&lt;&gt;""),MAX(ABS(AI6),ABS(AH6))-MIN(ABS(AI6),ABS(AH6)),"")</f>
        <v/>
      </c>
      <c r="AN6" s="55" t="str">
        <f>IF(AND(AK6&lt;&gt;"",AJ6&lt;&gt;""),MAX(ABS(AK6),ABS(AJ6))-MIN(ABS(AK6),ABS(AJ6)),"")</f>
        <v/>
      </c>
      <c r="AO6" s="51">
        <v>31642.96</v>
      </c>
      <c r="AP6" s="52">
        <v>27764.85</v>
      </c>
      <c r="AQ6" s="51">
        <v>31094.5</v>
      </c>
      <c r="AR6" s="52">
        <v>27283.15</v>
      </c>
      <c r="AS6" s="55" t="str">
        <f>IF(AND(AR6&lt;&gt;"",AQ6&lt;&gt;""),IF(AR6&gt;AQ6,"核增",IF(AR6&lt;AQ6,"核减","不变")),"")</f>
        <v>核减</v>
      </c>
      <c r="AT6" s="55">
        <f>IF(AND(AR6&lt;&gt;"",AQ6&lt;&gt;""),MAX(ABS(AR6),ABS(AQ6))-MIN(ABS(AR6),ABS(AQ6)),"")</f>
        <v>3811.35</v>
      </c>
      <c r="AU6" s="51"/>
      <c r="AV6" s="52"/>
      <c r="AW6" s="51"/>
      <c r="AX6" s="52"/>
      <c r="AY6" s="55" t="str">
        <f>IF(AND(AX6&lt;&gt;"",AW6&lt;&gt;""),IF(AX6&gt;AW6,"核增",IF(AX6&lt;AW6,"核减","不变")),"")</f>
        <v/>
      </c>
      <c r="AZ6" s="55" t="str">
        <f>IF(AND(AX6&lt;&gt;"",AW6&lt;&gt;""),MAX(ABS(AX6),ABS(AW6))-MIN(ABS(AX6),ABS(AW6)),"")</f>
        <v/>
      </c>
      <c r="BA6" s="63" t="str">
        <f>IF(AND(AV6&lt;&gt;"",AI6&lt;&gt;""),IF(AV6&gt;AI6,"核增",IF(AV6&lt;AI6,"核减","不变")),"")&amp;TEXT(IF(AND(AV6&lt;&gt;"",AI6&lt;&gt;""),MAX(ABS(AV6),ABS(AI6))-MIN(ABS(AV6),ABS(AI6)),""),"0.00")</f>
        <v/>
      </c>
      <c r="BB6" s="51">
        <v>29302.02</v>
      </c>
      <c r="BC6" s="52">
        <v>29395.98</v>
      </c>
      <c r="BD6" s="51">
        <v>28800.59</v>
      </c>
      <c r="BE6" s="52">
        <v>28893.61</v>
      </c>
      <c r="BF6" s="64" t="str">
        <f>IF(AND(BE6&lt;&gt;"",BD6&lt;&gt;""),IF(BE6&gt;BD6,"核增",IF(BE6&lt;BD6,"核减","不变")),"")</f>
        <v>核增</v>
      </c>
      <c r="BG6" s="52">
        <f>IF(AND(BE6&lt;&gt;"",BD6&lt;&gt;""),MAX(ABS(BE6),ABS(BD6))-MIN(ABS(BE6),ABS(BD6)),"")</f>
        <v>93.0200000000004</v>
      </c>
      <c r="BH6" s="51"/>
      <c r="BI6" s="52"/>
      <c r="BJ6" s="51"/>
      <c r="BK6" s="52"/>
      <c r="BL6" s="55" t="str">
        <f t="shared" ref="BL6:BL7" si="10">IF(AND(BK6&lt;&gt;"",BJ6&lt;&gt;""),IF(BK6&gt;BJ6,"核增",IF(BK6&lt;BJ6,"核减","不变")),"")</f>
        <v/>
      </c>
      <c r="BM6" s="55" t="str">
        <f t="shared" ref="BM6:BM7" si="11">IF(AND(BK6&lt;&gt;"",BJ6&lt;&gt;""),MAX(ABS(BK6),ABS(BJ6))-MIN(ABS(BK6),ABS(BJ6)),"")</f>
        <v/>
      </c>
      <c r="BN6" s="63" t="str">
        <f t="shared" ref="BN6:BN7" si="12">IF(AND(BI6&lt;&gt;"",AV6&lt;&gt;""),IF(BI6&gt;AV6,"核增",IF(BI6&lt;AV6,"核减","不变")),"")&amp;TEXT(IF(AND(BI6&lt;&gt;"",AV6&lt;&gt;""),MAX(ABS(BI6),ABS(AV6))-MIN(ABS(BI6),ABS(AV6)),""),"0.00")</f>
        <v/>
      </c>
      <c r="BO6" s="51"/>
      <c r="BP6" s="52"/>
      <c r="BQ6" s="51"/>
      <c r="BR6" s="52"/>
      <c r="BS6" s="55" t="str">
        <f>IF(AND(BR6&lt;&gt;"",BQ6&lt;&gt;""),IF(BR6&gt;BQ6,"核增",IF(BR6&lt;BQ6,"核减","不变")),"")</f>
        <v/>
      </c>
      <c r="BT6" s="55" t="str">
        <f>IF(AND(BR6&lt;&gt;"",BQ6&lt;&gt;""),MAX(ABS(BR6),ABS(BQ6))-MIN(ABS(BR6),ABS(BQ6)),"")</f>
        <v/>
      </c>
      <c r="BU6" s="51"/>
      <c r="BV6" s="52"/>
      <c r="BW6" s="51"/>
      <c r="BX6" s="52"/>
      <c r="BY6" s="55" t="str">
        <f>IF(AND(BX6&lt;&gt;"",BW6&lt;&gt;""),IF(BX6&gt;BW6,"核增",IF(BX6&lt;BW6,"核减","不变")),"")</f>
        <v/>
      </c>
      <c r="BZ6" s="55" t="str">
        <f>IF(AND(BX6&lt;&gt;"",BW6&lt;&gt;""),MAX(ABS(BX6),ABS(BW6))-MIN(ABS(BX6),ABS(BW6)),"")</f>
        <v/>
      </c>
      <c r="EO6" s="68">
        <v>45333</v>
      </c>
    </row>
    <row r="7" ht="13.5" customHeight="1" spans="1:145">
      <c r="A7" s="4" t="s">
        <v>422</v>
      </c>
      <c r="B7" s="5" t="s">
        <v>93</v>
      </c>
      <c r="C7" s="6"/>
      <c r="D7" s="7"/>
      <c r="E7" s="29"/>
      <c r="F7" s="30" t="str">
        <f t="shared" si="0"/>
        <v/>
      </c>
      <c r="G7" s="12"/>
      <c r="H7" s="31"/>
      <c r="I7" s="38"/>
      <c r="J7" s="30" t="str">
        <f t="shared" si="1"/>
        <v/>
      </c>
      <c r="K7" s="12"/>
      <c r="L7" s="31"/>
      <c r="M7" s="40"/>
      <c r="N7" s="30" t="str">
        <f t="shared" si="2"/>
        <v/>
      </c>
      <c r="O7" s="12"/>
      <c r="P7" s="31"/>
      <c r="Q7" s="38"/>
      <c r="R7" s="30" t="str">
        <f t="shared" si="3"/>
        <v/>
      </c>
      <c r="S7" s="12">
        <v>45474</v>
      </c>
      <c r="T7" s="31">
        <v>45484</v>
      </c>
      <c r="U7" s="38" t="str">
        <f t="shared" ref="U7:U8" si="13">IF(S7&lt;&gt;0,IF(T7&lt;&gt;0,"0","1"),"")</f>
        <v>0</v>
      </c>
      <c r="V7" s="30">
        <f t="shared" si="4"/>
        <v>9</v>
      </c>
      <c r="W7" s="12"/>
      <c r="X7" s="31"/>
      <c r="Y7" s="38"/>
      <c r="Z7" s="30" t="str">
        <f t="shared" si="5"/>
        <v/>
      </c>
      <c r="AA7" s="12"/>
      <c r="AB7" s="31"/>
      <c r="AC7" s="40"/>
      <c r="AD7" s="30" t="str">
        <f t="shared" si="6"/>
        <v/>
      </c>
      <c r="AE7" s="48" t="s">
        <v>97</v>
      </c>
      <c r="AF7" s="47" t="s">
        <v>82</v>
      </c>
      <c r="AG7" s="53" t="s">
        <v>97</v>
      </c>
      <c r="AH7" s="51"/>
      <c r="AI7" s="52"/>
      <c r="AJ7" s="51"/>
      <c r="AK7" s="52"/>
      <c r="AL7" s="40"/>
      <c r="AM7" s="40"/>
      <c r="AN7" s="40"/>
      <c r="AO7" s="48"/>
      <c r="AP7" s="56"/>
      <c r="AQ7" s="48"/>
      <c r="AR7" s="56"/>
      <c r="AS7" s="40"/>
      <c r="AT7" s="40"/>
      <c r="AU7" s="51"/>
      <c r="AV7" s="56">
        <v>4681.97</v>
      </c>
      <c r="AW7" s="51"/>
      <c r="AX7" s="56">
        <v>4681.97</v>
      </c>
      <c r="AY7" s="40"/>
      <c r="AZ7" s="55"/>
      <c r="BA7" s="63"/>
      <c r="BB7" s="48"/>
      <c r="BC7" s="56"/>
      <c r="BD7" s="48"/>
      <c r="BE7" s="56"/>
      <c r="BF7" s="64"/>
      <c r="BG7" s="48"/>
      <c r="BH7" s="51">
        <v>4344.87</v>
      </c>
      <c r="BI7" s="52">
        <v>4302.08</v>
      </c>
      <c r="BJ7" s="51">
        <v>4275.39</v>
      </c>
      <c r="BK7" s="52">
        <v>4233.27</v>
      </c>
      <c r="BL7" s="55" t="str">
        <f t="shared" si="10"/>
        <v>核减</v>
      </c>
      <c r="BM7" s="55">
        <f t="shared" si="11"/>
        <v>42.1199999999999</v>
      </c>
      <c r="BN7" s="63" t="str">
        <f t="shared" si="12"/>
        <v>核减379.89</v>
      </c>
      <c r="BO7" s="48"/>
      <c r="BP7" s="56"/>
      <c r="BQ7" s="48"/>
      <c r="BR7" s="56"/>
      <c r="BS7" s="40"/>
      <c r="BT7" s="40"/>
      <c r="BU7" s="51"/>
      <c r="BV7" s="52"/>
      <c r="BW7" s="51"/>
      <c r="BX7" s="52"/>
      <c r="BY7" s="40"/>
      <c r="BZ7" s="55"/>
      <c r="EO7" s="68">
        <v>45334</v>
      </c>
    </row>
    <row r="8" ht="13.5" customHeight="1" spans="1:145">
      <c r="A8" s="13" t="s">
        <v>423</v>
      </c>
      <c r="B8" s="14"/>
      <c r="C8" s="6"/>
      <c r="D8" s="15"/>
      <c r="E8" s="29"/>
      <c r="F8" s="30" t="str">
        <f t="shared" si="0"/>
        <v/>
      </c>
      <c r="G8" s="12"/>
      <c r="H8" s="31"/>
      <c r="I8" s="37"/>
      <c r="J8" s="30" t="str">
        <f t="shared" si="1"/>
        <v/>
      </c>
      <c r="K8" s="12"/>
      <c r="L8" s="31"/>
      <c r="M8" s="40"/>
      <c r="N8" s="30" t="str">
        <f t="shared" si="2"/>
        <v/>
      </c>
      <c r="O8" s="12"/>
      <c r="P8" s="31"/>
      <c r="Q8" s="38"/>
      <c r="R8" s="30" t="str">
        <f t="shared" si="3"/>
        <v/>
      </c>
      <c r="S8" s="41"/>
      <c r="T8" s="31"/>
      <c r="U8" s="38" t="str">
        <f t="shared" si="13"/>
        <v/>
      </c>
      <c r="V8" s="30" t="str">
        <f t="shared" si="4"/>
        <v/>
      </c>
      <c r="W8" s="12"/>
      <c r="X8" s="31"/>
      <c r="Y8" s="38"/>
      <c r="Z8" s="30" t="str">
        <f t="shared" si="5"/>
        <v/>
      </c>
      <c r="AA8" s="12"/>
      <c r="AB8" s="31"/>
      <c r="AC8" s="40"/>
      <c r="AD8" s="30" t="str">
        <f t="shared" si="6"/>
        <v/>
      </c>
      <c r="AE8" s="48"/>
      <c r="AF8" s="47"/>
      <c r="AG8" s="53"/>
      <c r="AH8" s="51"/>
      <c r="AI8" s="52"/>
      <c r="AJ8" s="51"/>
      <c r="AK8" s="52"/>
      <c r="AL8" s="40"/>
      <c r="AM8" s="40"/>
      <c r="AN8" s="40"/>
      <c r="AO8" s="48"/>
      <c r="AP8" s="56"/>
      <c r="AQ8" s="48"/>
      <c r="AR8" s="56"/>
      <c r="AS8" s="40"/>
      <c r="AT8" s="40"/>
      <c r="AU8" s="51"/>
      <c r="AV8" s="52"/>
      <c r="AW8" s="51"/>
      <c r="AX8" s="52"/>
      <c r="AY8" s="40"/>
      <c r="AZ8" s="55"/>
      <c r="BA8" s="63"/>
      <c r="BB8" s="48"/>
      <c r="BC8" s="56"/>
      <c r="BD8" s="48"/>
      <c r="BE8" s="56"/>
      <c r="BF8" s="64"/>
      <c r="BG8" s="48"/>
      <c r="BH8" s="51"/>
      <c r="BI8" s="52"/>
      <c r="BJ8" s="51"/>
      <c r="BK8" s="52"/>
      <c r="BL8" s="40"/>
      <c r="BM8" s="55"/>
      <c r="BN8" s="63"/>
      <c r="BO8" s="48"/>
      <c r="BP8" s="56"/>
      <c r="BQ8" s="48"/>
      <c r="BR8" s="56"/>
      <c r="BS8" s="40"/>
      <c r="BT8" s="40"/>
      <c r="BU8" s="51"/>
      <c r="BV8" s="52"/>
      <c r="BW8" s="51"/>
      <c r="BX8" s="52"/>
      <c r="BY8" s="40"/>
      <c r="BZ8" s="55"/>
      <c r="EO8" s="68">
        <v>45335</v>
      </c>
    </row>
    <row r="9" ht="13.5" customHeight="1" spans="1:145">
      <c r="A9" s="8" t="s">
        <v>89</v>
      </c>
      <c r="B9" s="5" t="s">
        <v>85</v>
      </c>
      <c r="C9" s="16"/>
      <c r="D9" s="9"/>
      <c r="E9" s="32"/>
      <c r="F9" s="30" t="str">
        <f t="shared" si="0"/>
        <v/>
      </c>
      <c r="G9" s="12"/>
      <c r="H9" s="31"/>
      <c r="I9" s="37"/>
      <c r="J9" s="30" t="str">
        <f t="shared" si="1"/>
        <v/>
      </c>
      <c r="K9" s="12"/>
      <c r="L9" s="31"/>
      <c r="M9" s="40"/>
      <c r="N9" s="30" t="str">
        <f t="shared" si="2"/>
        <v/>
      </c>
      <c r="O9" s="12"/>
      <c r="P9" s="31"/>
      <c r="Q9" s="38"/>
      <c r="R9" s="30" t="str">
        <f t="shared" si="3"/>
        <v/>
      </c>
      <c r="S9" s="12"/>
      <c r="T9" s="31"/>
      <c r="U9" s="40"/>
      <c r="V9" s="30" t="str">
        <f t="shared" si="4"/>
        <v/>
      </c>
      <c r="W9" s="12"/>
      <c r="X9" s="31"/>
      <c r="Y9" s="38"/>
      <c r="Z9" s="30" t="str">
        <f t="shared" si="5"/>
        <v/>
      </c>
      <c r="AA9" s="12"/>
      <c r="AB9" s="31"/>
      <c r="AC9" s="40"/>
      <c r="AD9" s="30" t="str">
        <f t="shared" si="6"/>
        <v/>
      </c>
      <c r="AE9" s="46" t="s">
        <v>406</v>
      </c>
      <c r="AF9" s="46" t="s">
        <v>406</v>
      </c>
      <c r="AG9" s="53" t="s">
        <v>91</v>
      </c>
      <c r="AH9" s="51"/>
      <c r="AI9" s="52"/>
      <c r="AJ9" s="51"/>
      <c r="AK9" s="52"/>
      <c r="AL9" s="40"/>
      <c r="AM9" s="40"/>
      <c r="AN9" s="40"/>
      <c r="AO9" s="48"/>
      <c r="AP9" s="56"/>
      <c r="AQ9" s="48"/>
      <c r="AR9" s="56"/>
      <c r="AS9" s="40"/>
      <c r="AT9" s="40"/>
      <c r="AU9" s="51"/>
      <c r="AV9" s="52"/>
      <c r="AW9" s="51"/>
      <c r="AX9" s="52"/>
      <c r="AY9" s="40"/>
      <c r="AZ9" s="55"/>
      <c r="BA9" s="63"/>
      <c r="BB9" s="48"/>
      <c r="BC9" s="56"/>
      <c r="BD9" s="48"/>
      <c r="BE9" s="56"/>
      <c r="BF9" s="64"/>
      <c r="BG9" s="48"/>
      <c r="BH9" s="51"/>
      <c r="BI9" s="52"/>
      <c r="BJ9" s="51"/>
      <c r="BK9" s="52"/>
      <c r="BL9" s="40"/>
      <c r="BM9" s="55"/>
      <c r="BN9" s="63"/>
      <c r="BO9" s="48"/>
      <c r="BP9" s="56"/>
      <c r="BQ9" s="48"/>
      <c r="BR9" s="56"/>
      <c r="BS9" s="40"/>
      <c r="BT9" s="40"/>
      <c r="BU9" s="51"/>
      <c r="BV9" s="52"/>
      <c r="BW9" s="51"/>
      <c r="BX9" s="52"/>
      <c r="BY9" s="40"/>
      <c r="BZ9" s="55"/>
      <c r="EO9" s="68">
        <v>45336</v>
      </c>
    </row>
    <row r="10" ht="13.5" customHeight="1" spans="1:145">
      <c r="A10" s="8" t="s">
        <v>94</v>
      </c>
      <c r="B10" s="17" t="s">
        <v>93</v>
      </c>
      <c r="C10" s="6"/>
      <c r="D10" s="9"/>
      <c r="E10" s="32"/>
      <c r="F10" s="30" t="str">
        <f t="shared" si="0"/>
        <v/>
      </c>
      <c r="G10" s="12"/>
      <c r="H10" s="31"/>
      <c r="I10" s="37"/>
      <c r="J10" s="30" t="str">
        <f t="shared" si="1"/>
        <v/>
      </c>
      <c r="K10" s="12"/>
      <c r="L10" s="31"/>
      <c r="M10" s="40"/>
      <c r="N10" s="30" t="str">
        <f t="shared" si="2"/>
        <v/>
      </c>
      <c r="O10" s="12"/>
      <c r="P10" s="31"/>
      <c r="Q10" s="38"/>
      <c r="R10" s="30" t="str">
        <f t="shared" si="3"/>
        <v/>
      </c>
      <c r="S10" s="12"/>
      <c r="T10" s="31"/>
      <c r="U10" s="40"/>
      <c r="V10" s="30" t="str">
        <f t="shared" si="4"/>
        <v/>
      </c>
      <c r="W10" s="12"/>
      <c r="X10" s="31"/>
      <c r="Y10" s="38"/>
      <c r="Z10" s="30" t="str">
        <f t="shared" si="5"/>
        <v/>
      </c>
      <c r="AA10" s="12"/>
      <c r="AB10" s="31"/>
      <c r="AC10" s="40"/>
      <c r="AD10" s="30" t="str">
        <f t="shared" si="6"/>
        <v/>
      </c>
      <c r="AE10" s="48" t="s">
        <v>86</v>
      </c>
      <c r="AF10" s="47" t="s">
        <v>86</v>
      </c>
      <c r="AG10" s="50" t="s">
        <v>87</v>
      </c>
      <c r="AH10" s="51"/>
      <c r="AI10" s="52"/>
      <c r="AJ10" s="51"/>
      <c r="AK10" s="52"/>
      <c r="AL10" s="40"/>
      <c r="AM10" s="40"/>
      <c r="AN10" s="40"/>
      <c r="AO10" s="48"/>
      <c r="AP10" s="56"/>
      <c r="AQ10" s="48"/>
      <c r="AR10" s="56"/>
      <c r="AS10" s="40"/>
      <c r="AT10" s="40"/>
      <c r="AU10" s="51"/>
      <c r="AV10" s="52"/>
      <c r="AW10" s="51"/>
      <c r="AX10" s="52"/>
      <c r="AY10" s="40"/>
      <c r="AZ10" s="55"/>
      <c r="BA10" s="63"/>
      <c r="BB10" s="48"/>
      <c r="BC10" s="56"/>
      <c r="BD10" s="48"/>
      <c r="BE10" s="56"/>
      <c r="BF10" s="64"/>
      <c r="BG10" s="48"/>
      <c r="BH10" s="51"/>
      <c r="BI10" s="52"/>
      <c r="BJ10" s="51"/>
      <c r="BK10" s="52"/>
      <c r="BL10" s="40"/>
      <c r="BM10" s="55"/>
      <c r="BN10" s="63"/>
      <c r="BO10" s="48"/>
      <c r="BP10" s="56"/>
      <c r="BQ10" s="48"/>
      <c r="BR10" s="56"/>
      <c r="BS10" s="40"/>
      <c r="BT10" s="40"/>
      <c r="BU10" s="51"/>
      <c r="BV10" s="52"/>
      <c r="BW10" s="51"/>
      <c r="BX10" s="52"/>
      <c r="BY10" s="40"/>
      <c r="BZ10" s="55"/>
      <c r="EO10" s="68">
        <v>45337</v>
      </c>
    </row>
    <row r="11" ht="13.5" customHeight="1" spans="1:145">
      <c r="A11" s="18" t="s">
        <v>424</v>
      </c>
      <c r="B11" s="11" t="s">
        <v>93</v>
      </c>
      <c r="C11" s="12"/>
      <c r="D11" s="7"/>
      <c r="E11" s="32" t="str">
        <f t="shared" ref="E11:E12" si="14">IF(C11&lt;&gt;0,IF(D11&lt;&gt;0,"0","1"),"")</f>
        <v/>
      </c>
      <c r="F11" s="30" t="str">
        <f t="shared" si="0"/>
        <v/>
      </c>
      <c r="G11" s="12"/>
      <c r="H11" s="31"/>
      <c r="I11" s="38" t="str">
        <f t="shared" ref="I11:I12" si="15">IF(G11&lt;&gt;0,IF(H11&lt;&gt;0,"0","1"),"")</f>
        <v/>
      </c>
      <c r="J11" s="30" t="str">
        <f t="shared" si="1"/>
        <v/>
      </c>
      <c r="K11" s="12">
        <v>45231</v>
      </c>
      <c r="L11" s="31">
        <v>45292</v>
      </c>
      <c r="M11" s="38" t="str">
        <f t="shared" ref="M11:M38" si="16">IF(K11&lt;&gt;0,IF(L11&lt;&gt;0,"0","1"),"")</f>
        <v>0</v>
      </c>
      <c r="N11" s="30">
        <f t="shared" si="2"/>
        <v>43</v>
      </c>
      <c r="O11" s="12"/>
      <c r="P11" s="31"/>
      <c r="Q11" s="38" t="str">
        <f t="shared" ref="Q11:Q12" si="17">IF(O11&lt;&gt;0,IF(P11&lt;&gt;0,"0","1"),"")</f>
        <v/>
      </c>
      <c r="R11" s="30" t="str">
        <f t="shared" si="3"/>
        <v/>
      </c>
      <c r="S11" s="12">
        <v>45408</v>
      </c>
      <c r="T11" s="31">
        <v>45439</v>
      </c>
      <c r="U11" s="38" t="str">
        <f t="shared" ref="U11:U12" si="18">IF(S11&lt;&gt;0,IF(T11&lt;&gt;0,"0","1"),"")</f>
        <v>0</v>
      </c>
      <c r="V11" s="30">
        <f t="shared" si="4"/>
        <v>19</v>
      </c>
      <c r="W11" s="12"/>
      <c r="X11" s="44"/>
      <c r="Y11" s="38" t="str">
        <f t="shared" ref="Y11:Y12" si="19">IF(W11&lt;&gt;0,IF(X11&lt;&gt;0,"0","1"),"")</f>
        <v/>
      </c>
      <c r="Z11" s="30" t="str">
        <f t="shared" si="5"/>
        <v/>
      </c>
      <c r="AA11" s="12"/>
      <c r="AB11" s="31"/>
      <c r="AC11" s="38" t="str">
        <f t="shared" ref="AC11:AC12" si="20">IF(AA11&lt;&gt;0,IF(AB11&lt;&gt;0,"0","1"),"")</f>
        <v/>
      </c>
      <c r="AD11" s="30" t="str">
        <f t="shared" si="6"/>
        <v/>
      </c>
      <c r="AE11" s="48" t="s">
        <v>82</v>
      </c>
      <c r="AF11" s="47" t="s">
        <v>82</v>
      </c>
      <c r="AG11" s="53" t="s">
        <v>91</v>
      </c>
      <c r="AH11" s="51"/>
      <c r="AI11" s="52">
        <v>4292.91</v>
      </c>
      <c r="AJ11" s="51"/>
      <c r="AK11" s="52">
        <v>4219.2</v>
      </c>
      <c r="AL11" s="55" t="str">
        <f t="shared" ref="AL11:AL13" si="21">IF(AND(AK11&lt;&gt;"",AJ11&lt;&gt;""),IF(AK11&gt;AJ11,"核增",IF(AK11&lt;AJ11,"核减","不变")),"")</f>
        <v/>
      </c>
      <c r="AM11" s="55" t="str">
        <f t="shared" ref="AM11:AM13" si="22">IF(AND(AI11&lt;&gt;"",AH11&lt;&gt;""),MAX(ABS(AI11),ABS(AH11))-MIN(ABS(AI11),ABS(AH11)),"")</f>
        <v/>
      </c>
      <c r="AN11" s="55" t="str">
        <f t="shared" ref="AN11:AN13" si="23">IF(AND(AK11&lt;&gt;"",AJ11&lt;&gt;""),MAX(ABS(AK11),ABS(AJ11))-MIN(ABS(AK11),ABS(AJ11)),"")</f>
        <v/>
      </c>
      <c r="AO11" s="51"/>
      <c r="AP11" s="52"/>
      <c r="AQ11" s="51"/>
      <c r="AR11" s="52"/>
      <c r="AS11" s="55" t="str">
        <f t="shared" ref="AS11:AS13" si="24">IF(AND(AR11&lt;&gt;"",AQ11&lt;&gt;""),IF(AR11&gt;AQ11,"核增",IF(AR11&lt;AQ11,"核减","不变")),"")</f>
        <v/>
      </c>
      <c r="AT11" s="55" t="str">
        <f t="shared" ref="AT11:AT13" si="25">IF(AND(AR11&lt;&gt;"",AQ11&lt;&gt;""),MAX(ABS(AR11),ABS(AQ11))-MIN(ABS(AR11),ABS(AQ11)),"")</f>
        <v/>
      </c>
      <c r="AU11" s="51">
        <v>4288.67</v>
      </c>
      <c r="AV11" s="52">
        <v>4127.17</v>
      </c>
      <c r="AW11" s="51">
        <v>4222.29</v>
      </c>
      <c r="AX11" s="52">
        <v>4063.28</v>
      </c>
      <c r="AY11" s="55" t="str">
        <f t="shared" ref="AY11:AY38" si="26">IF(AND(AX11&lt;&gt;"",AW11&lt;&gt;""),IF(AX11&gt;AW11,"核增",IF(AX11&lt;AW11,"核减","不变")),"")</f>
        <v>核减</v>
      </c>
      <c r="AZ11" s="55">
        <f t="shared" ref="AZ11:AZ38" si="27">IF(AND(AX11&lt;&gt;"",AW11&lt;&gt;""),MAX(ABS(AX11),ABS(AW11))-MIN(ABS(AX11),ABS(AW11)),"")</f>
        <v>159.01</v>
      </c>
      <c r="BA11" s="63" t="str">
        <f t="shared" ref="BA11:BA34" si="28">IF(AND(AV11&lt;&gt;"",AI11&lt;&gt;""),IF(AV11&gt;AI11,"核增",IF(AV11&lt;AI11,"核减","不变")),"")&amp;TEXT(IF(AND(AV11&lt;&gt;"",AI11&lt;&gt;""),MAX(ABS(AV11),ABS(AI11))-MIN(ABS(AV11),ABS(AI11)),""),"0.00")</f>
        <v>核减165.74</v>
      </c>
      <c r="BB11" s="51"/>
      <c r="BC11" s="52"/>
      <c r="BD11" s="51"/>
      <c r="BE11" s="52"/>
      <c r="BF11" s="64" t="str">
        <f t="shared" ref="BF11:BF13" si="29">IF(AND(BE11&lt;&gt;"",BD11&lt;&gt;""),IF(BE11&gt;BD11,"核增",IF(BE11&lt;BD11,"核减","不变")),"")</f>
        <v/>
      </c>
      <c r="BG11" s="52"/>
      <c r="BH11" s="51">
        <v>4074.92</v>
      </c>
      <c r="BI11" s="52">
        <v>3781.24</v>
      </c>
      <c r="BJ11" s="51">
        <v>4011.86</v>
      </c>
      <c r="BK11" s="52">
        <v>3722.72</v>
      </c>
      <c r="BL11" s="55" t="str">
        <f t="shared" ref="BL11:BL38" si="30">IF(AND(BK11&lt;&gt;"",BJ11&lt;&gt;""),IF(BK11&gt;BJ11,"核增",IF(BK11&lt;BJ11,"核减","不变")),"")</f>
        <v>核减</v>
      </c>
      <c r="BM11" s="55">
        <f t="shared" ref="BM11:BM38" si="31">IF(AND(BK11&lt;&gt;"",BJ11&lt;&gt;""),MAX(ABS(BK11),ABS(BJ11))-MIN(ABS(BK11),ABS(BJ11)),"")</f>
        <v>289.14</v>
      </c>
      <c r="BN11" s="63" t="str">
        <f t="shared" ref="BN11:BN38" si="32">IF(AND(BI11&lt;&gt;"",AV11&lt;&gt;""),IF(BI11&gt;AV11,"核增",IF(BI11&lt;AV11,"核减","不变")),"")&amp;TEXT(IF(AND(BI11&lt;&gt;"",AV11&lt;&gt;""),MAX(ABS(BI11),ABS(AV11))-MIN(ABS(BI11),ABS(AV11)),""),"0.00")</f>
        <v>核减345.93</v>
      </c>
      <c r="BO11" s="51"/>
      <c r="BP11" s="52"/>
      <c r="BQ11" s="51"/>
      <c r="BR11" s="52"/>
      <c r="BS11" s="55" t="str">
        <f t="shared" ref="BS11:BS13" si="33">IF(AND(BR11&lt;&gt;"",BQ11&lt;&gt;""),IF(BR11&gt;BQ11,"核增",IF(BR11&lt;BQ11,"核减","不变")),"")</f>
        <v/>
      </c>
      <c r="BT11" s="55" t="str">
        <f t="shared" ref="BT11:BT13" si="34">IF(AND(BR11&lt;&gt;"",BQ11&lt;&gt;""),MAX(ABS(BR11),ABS(BQ11))-MIN(ABS(BR11),ABS(BQ11)),"")</f>
        <v/>
      </c>
      <c r="BU11" s="51"/>
      <c r="BV11" s="52"/>
      <c r="BW11" s="51"/>
      <c r="BX11" s="52"/>
      <c r="BY11" s="55" t="str">
        <f t="shared" ref="BY11:BY13" si="35">IF(AND(BX11&lt;&gt;"",BW11&lt;&gt;""),IF(BX11&gt;BW11,"核增",IF(BX11&lt;BW11,"核减","不变")),"")</f>
        <v/>
      </c>
      <c r="BZ11" s="55" t="str">
        <f t="shared" ref="BZ11:BZ13" si="36">IF(AND(BX11&lt;&gt;"",BW11&lt;&gt;""),MAX(ABS(BX11),ABS(BW11))-MIN(ABS(BX11),ABS(BW11)),"")</f>
        <v/>
      </c>
      <c r="EO11" s="68">
        <v>45338</v>
      </c>
    </row>
    <row r="12" ht="13.5" customHeight="1" spans="1:145">
      <c r="A12" s="18" t="s">
        <v>425</v>
      </c>
      <c r="B12" s="11" t="s">
        <v>93</v>
      </c>
      <c r="C12" s="12"/>
      <c r="D12" s="7"/>
      <c r="E12" s="32" t="str">
        <f t="shared" si="14"/>
        <v/>
      </c>
      <c r="F12" s="30" t="str">
        <f t="shared" si="0"/>
        <v/>
      </c>
      <c r="G12" s="12"/>
      <c r="H12" s="31"/>
      <c r="I12" s="38" t="str">
        <f t="shared" si="15"/>
        <v/>
      </c>
      <c r="J12" s="30" t="str">
        <f t="shared" si="1"/>
        <v/>
      </c>
      <c r="K12" s="12">
        <v>45231</v>
      </c>
      <c r="L12" s="31">
        <v>45292</v>
      </c>
      <c r="M12" s="38" t="str">
        <f t="shared" si="16"/>
        <v>0</v>
      </c>
      <c r="N12" s="30">
        <f t="shared" si="2"/>
        <v>43</v>
      </c>
      <c r="O12" s="12"/>
      <c r="P12" s="31"/>
      <c r="Q12" s="38" t="str">
        <f t="shared" si="17"/>
        <v/>
      </c>
      <c r="R12" s="30" t="str">
        <f t="shared" si="3"/>
        <v/>
      </c>
      <c r="S12" s="12">
        <v>45385</v>
      </c>
      <c r="T12" s="31">
        <v>45418</v>
      </c>
      <c r="U12" s="38" t="str">
        <f t="shared" si="18"/>
        <v>0</v>
      </c>
      <c r="V12" s="30">
        <f t="shared" si="4"/>
        <v>19</v>
      </c>
      <c r="W12" s="12"/>
      <c r="X12" s="44"/>
      <c r="Y12" s="38" t="str">
        <f t="shared" si="19"/>
        <v/>
      </c>
      <c r="Z12" s="30" t="str">
        <f t="shared" si="5"/>
        <v/>
      </c>
      <c r="AA12" s="12"/>
      <c r="AB12" s="31"/>
      <c r="AC12" s="38" t="str">
        <f t="shared" si="20"/>
        <v/>
      </c>
      <c r="AD12" s="30" t="str">
        <f t="shared" si="6"/>
        <v/>
      </c>
      <c r="AE12" s="48" t="s">
        <v>82</v>
      </c>
      <c r="AF12" s="47" t="s">
        <v>82</v>
      </c>
      <c r="AG12" s="53" t="s">
        <v>91</v>
      </c>
      <c r="AH12" s="51"/>
      <c r="AI12" s="52">
        <v>1888.21</v>
      </c>
      <c r="AJ12" s="51"/>
      <c r="AK12" s="52">
        <v>1855.8</v>
      </c>
      <c r="AL12" s="55" t="str">
        <f t="shared" si="21"/>
        <v/>
      </c>
      <c r="AM12" s="55" t="str">
        <f t="shared" si="22"/>
        <v/>
      </c>
      <c r="AN12" s="55" t="str">
        <f t="shared" si="23"/>
        <v/>
      </c>
      <c r="AO12" s="51"/>
      <c r="AP12" s="52"/>
      <c r="AQ12" s="51"/>
      <c r="AR12" s="52"/>
      <c r="AS12" s="55" t="str">
        <f t="shared" si="24"/>
        <v/>
      </c>
      <c r="AT12" s="55" t="str">
        <f t="shared" si="25"/>
        <v/>
      </c>
      <c r="AU12" s="51">
        <v>1870.25</v>
      </c>
      <c r="AV12" s="52">
        <v>1875.17</v>
      </c>
      <c r="AW12" s="51">
        <v>1841.31</v>
      </c>
      <c r="AX12" s="52">
        <v>1846.15</v>
      </c>
      <c r="AY12" s="55" t="str">
        <f t="shared" si="26"/>
        <v>核增</v>
      </c>
      <c r="AZ12" s="55">
        <f t="shared" si="27"/>
        <v>4.84000000000015</v>
      </c>
      <c r="BA12" s="63" t="str">
        <f t="shared" si="28"/>
        <v>核减13.04</v>
      </c>
      <c r="BB12" s="51"/>
      <c r="BC12" s="52"/>
      <c r="BD12" s="51"/>
      <c r="BE12" s="52"/>
      <c r="BF12" s="64" t="str">
        <f t="shared" si="29"/>
        <v/>
      </c>
      <c r="BG12" s="52"/>
      <c r="BH12" s="51">
        <v>1913.45</v>
      </c>
      <c r="BI12" s="52">
        <v>1950.6</v>
      </c>
      <c r="BJ12" s="51">
        <v>1883.83</v>
      </c>
      <c r="BK12" s="52">
        <v>1920.41</v>
      </c>
      <c r="BL12" s="55" t="str">
        <f t="shared" si="30"/>
        <v>核增</v>
      </c>
      <c r="BM12" s="55">
        <f t="shared" si="31"/>
        <v>36.5800000000002</v>
      </c>
      <c r="BN12" s="63" t="str">
        <f t="shared" si="32"/>
        <v>核增75.43</v>
      </c>
      <c r="BO12" s="51"/>
      <c r="BP12" s="52"/>
      <c r="BQ12" s="51"/>
      <c r="BR12" s="52"/>
      <c r="BS12" s="55" t="str">
        <f t="shared" si="33"/>
        <v/>
      </c>
      <c r="BT12" s="55" t="str">
        <f t="shared" si="34"/>
        <v/>
      </c>
      <c r="BU12" s="51"/>
      <c r="BV12" s="52"/>
      <c r="BW12" s="51"/>
      <c r="BX12" s="52"/>
      <c r="BY12" s="55" t="str">
        <f t="shared" si="35"/>
        <v/>
      </c>
      <c r="BZ12" s="55" t="str">
        <f t="shared" si="36"/>
        <v/>
      </c>
      <c r="EO12" s="68">
        <v>45339</v>
      </c>
    </row>
    <row r="13" ht="13.5" customHeight="1" spans="1:145">
      <c r="A13" s="18" t="s">
        <v>268</v>
      </c>
      <c r="B13" s="11" t="s">
        <v>85</v>
      </c>
      <c r="C13" s="12"/>
      <c r="D13" s="7"/>
      <c r="E13" s="32"/>
      <c r="F13" s="30" t="str">
        <f t="shared" si="0"/>
        <v/>
      </c>
      <c r="G13" s="12"/>
      <c r="H13" s="31"/>
      <c r="I13" s="38"/>
      <c r="J13" s="30" t="str">
        <f t="shared" si="1"/>
        <v/>
      </c>
      <c r="K13" s="12">
        <v>45231</v>
      </c>
      <c r="L13" s="31">
        <v>45292</v>
      </c>
      <c r="M13" s="38" t="str">
        <f t="shared" si="16"/>
        <v>0</v>
      </c>
      <c r="N13" s="30">
        <f t="shared" si="2"/>
        <v>43</v>
      </c>
      <c r="O13" s="12"/>
      <c r="P13" s="31"/>
      <c r="Q13" s="38"/>
      <c r="R13" s="30" t="str">
        <f t="shared" si="3"/>
        <v/>
      </c>
      <c r="S13" s="12"/>
      <c r="T13" s="31"/>
      <c r="U13" s="38"/>
      <c r="V13" s="30" t="str">
        <f t="shared" si="4"/>
        <v/>
      </c>
      <c r="W13" s="12"/>
      <c r="X13" s="44"/>
      <c r="Y13" s="38"/>
      <c r="Z13" s="30" t="str">
        <f t="shared" si="5"/>
        <v/>
      </c>
      <c r="AA13" s="12"/>
      <c r="AB13" s="31"/>
      <c r="AC13" s="38"/>
      <c r="AD13" s="30" t="str">
        <f t="shared" si="6"/>
        <v/>
      </c>
      <c r="AE13" s="48" t="s">
        <v>82</v>
      </c>
      <c r="AF13" s="47" t="s">
        <v>82</v>
      </c>
      <c r="AG13" s="53" t="s">
        <v>97</v>
      </c>
      <c r="AH13" s="51"/>
      <c r="AI13" s="52">
        <v>13210.56</v>
      </c>
      <c r="AJ13" s="51"/>
      <c r="AK13" s="52">
        <v>12986.06</v>
      </c>
      <c r="AL13" s="55" t="str">
        <f t="shared" si="21"/>
        <v/>
      </c>
      <c r="AM13" s="55" t="str">
        <f t="shared" si="22"/>
        <v/>
      </c>
      <c r="AN13" s="55" t="str">
        <f t="shared" si="23"/>
        <v/>
      </c>
      <c r="AO13" s="51"/>
      <c r="AP13" s="52"/>
      <c r="AQ13" s="51"/>
      <c r="AR13" s="52"/>
      <c r="AS13" s="55" t="str">
        <f t="shared" si="24"/>
        <v/>
      </c>
      <c r="AT13" s="55" t="str">
        <f t="shared" si="25"/>
        <v/>
      </c>
      <c r="AU13" s="51">
        <v>12924.65</v>
      </c>
      <c r="AV13" s="52">
        <v>12799.08</v>
      </c>
      <c r="AW13" s="51">
        <v>12733.57</v>
      </c>
      <c r="AX13" s="52">
        <v>12602.81</v>
      </c>
      <c r="AY13" s="55" t="str">
        <f t="shared" si="26"/>
        <v>核减</v>
      </c>
      <c r="AZ13" s="55">
        <f t="shared" si="27"/>
        <v>130.76</v>
      </c>
      <c r="BA13" s="63" t="str">
        <f t="shared" si="28"/>
        <v>核减411.48</v>
      </c>
      <c r="BB13" s="51"/>
      <c r="BC13" s="52"/>
      <c r="BD13" s="51"/>
      <c r="BE13" s="52"/>
      <c r="BF13" s="64" t="str">
        <f t="shared" si="29"/>
        <v/>
      </c>
      <c r="BG13" s="52"/>
      <c r="BH13" s="51"/>
      <c r="BI13" s="52"/>
      <c r="BJ13" s="51"/>
      <c r="BK13" s="52"/>
      <c r="BL13" s="55" t="str">
        <f t="shared" si="30"/>
        <v/>
      </c>
      <c r="BM13" s="55" t="str">
        <f t="shared" si="31"/>
        <v/>
      </c>
      <c r="BN13" s="63" t="str">
        <f t="shared" si="32"/>
        <v/>
      </c>
      <c r="BO13" s="51"/>
      <c r="BP13" s="52"/>
      <c r="BQ13" s="51"/>
      <c r="BR13" s="52"/>
      <c r="BS13" s="55" t="str">
        <f t="shared" si="33"/>
        <v/>
      </c>
      <c r="BT13" s="55" t="str">
        <f t="shared" si="34"/>
        <v/>
      </c>
      <c r="BU13" s="51"/>
      <c r="BV13" s="52"/>
      <c r="BW13" s="51"/>
      <c r="BX13" s="52"/>
      <c r="BY13" s="55" t="str">
        <f t="shared" si="35"/>
        <v/>
      </c>
      <c r="BZ13" s="55" t="str">
        <f t="shared" si="36"/>
        <v/>
      </c>
      <c r="EO13" s="68">
        <v>45386</v>
      </c>
    </row>
    <row r="14" ht="13.5" customHeight="1" spans="1:145">
      <c r="A14" s="19" t="s">
        <v>426</v>
      </c>
      <c r="B14" s="20" t="s">
        <v>85</v>
      </c>
      <c r="C14" s="6"/>
      <c r="D14" s="7"/>
      <c r="E14" s="32"/>
      <c r="F14" s="30" t="str">
        <f t="shared" si="0"/>
        <v/>
      </c>
      <c r="G14" s="12"/>
      <c r="H14" s="31"/>
      <c r="I14" s="38" t="str">
        <f>IF(G14&lt;&gt;0,IF(H14&lt;&gt;0,"0","1"),"")</f>
        <v/>
      </c>
      <c r="J14" s="30" t="str">
        <f t="shared" si="1"/>
        <v/>
      </c>
      <c r="K14" s="12">
        <v>45254</v>
      </c>
      <c r="L14" s="31">
        <v>45372</v>
      </c>
      <c r="M14" s="40" t="str">
        <f t="shared" si="16"/>
        <v>0</v>
      </c>
      <c r="N14" s="30">
        <f t="shared" si="2"/>
        <v>78</v>
      </c>
      <c r="O14" s="12"/>
      <c r="P14" s="31"/>
      <c r="Q14" s="38"/>
      <c r="R14" s="30" t="str">
        <f t="shared" si="3"/>
        <v/>
      </c>
      <c r="S14" s="12">
        <v>45422</v>
      </c>
      <c r="T14" s="31">
        <v>45440</v>
      </c>
      <c r="U14" s="38" t="str">
        <f t="shared" ref="U14:U25" si="37">IF(S14&lt;&gt;0,IF(T14&lt;&gt;0,"0","1"),"")</f>
        <v>0</v>
      </c>
      <c r="V14" s="30">
        <f t="shared" si="4"/>
        <v>13</v>
      </c>
      <c r="W14" s="12"/>
      <c r="X14" s="44"/>
      <c r="Y14" s="38"/>
      <c r="Z14" s="30" t="str">
        <f t="shared" si="5"/>
        <v/>
      </c>
      <c r="AA14" s="12"/>
      <c r="AB14" s="31"/>
      <c r="AC14" s="40" t="str">
        <f>IF(AA14&lt;&gt;0,IF(AB14&lt;&gt;0,"0","1"),"")</f>
        <v/>
      </c>
      <c r="AD14" s="30" t="str">
        <f t="shared" si="6"/>
        <v/>
      </c>
      <c r="AE14" s="46" t="s">
        <v>86</v>
      </c>
      <c r="AF14" s="49" t="s">
        <v>86</v>
      </c>
      <c r="AG14" s="53" t="s">
        <v>91</v>
      </c>
      <c r="AH14" s="51"/>
      <c r="AI14" s="52">
        <v>4045.76</v>
      </c>
      <c r="AJ14" s="51"/>
      <c r="AK14" s="52">
        <v>3983.15</v>
      </c>
      <c r="AL14" s="40"/>
      <c r="AM14" s="40"/>
      <c r="AN14" s="40"/>
      <c r="AO14" s="48"/>
      <c r="AP14" s="56"/>
      <c r="AQ14" s="48"/>
      <c r="AR14" s="56"/>
      <c r="AS14" s="40"/>
      <c r="AT14" s="40"/>
      <c r="AU14" s="51">
        <v>4008.31</v>
      </c>
      <c r="AV14" s="52">
        <v>3980.22</v>
      </c>
      <c r="AW14" s="51">
        <v>3946.28</v>
      </c>
      <c r="AX14" s="52">
        <v>3918.63</v>
      </c>
      <c r="AY14" s="55" t="str">
        <f t="shared" si="26"/>
        <v>核减</v>
      </c>
      <c r="AZ14" s="55">
        <f t="shared" si="27"/>
        <v>27.6500000000001</v>
      </c>
      <c r="BA14" s="63" t="str">
        <f t="shared" si="28"/>
        <v>核减65.54</v>
      </c>
      <c r="BB14" s="48"/>
      <c r="BC14" s="56"/>
      <c r="BD14" s="48"/>
      <c r="BE14" s="56"/>
      <c r="BF14" s="64"/>
      <c r="BG14" s="52"/>
      <c r="BH14" s="51">
        <v>3871.07</v>
      </c>
      <c r="BI14" s="52">
        <v>3682.73</v>
      </c>
      <c r="BJ14" s="51">
        <v>3811.16</v>
      </c>
      <c r="BK14" s="52">
        <v>3625.74</v>
      </c>
      <c r="BL14" s="55" t="str">
        <f t="shared" si="30"/>
        <v>核减</v>
      </c>
      <c r="BM14" s="55">
        <f t="shared" si="31"/>
        <v>185.42</v>
      </c>
      <c r="BN14" s="63" t="str">
        <f t="shared" si="32"/>
        <v>核减297.49</v>
      </c>
      <c r="BO14" s="48"/>
      <c r="BP14" s="56"/>
      <c r="BQ14" s="48"/>
      <c r="BR14" s="56"/>
      <c r="BS14" s="40"/>
      <c r="BT14" s="40"/>
      <c r="BU14" s="51"/>
      <c r="BV14" s="52"/>
      <c r="BW14" s="51"/>
      <c r="BX14" s="52"/>
      <c r="BY14" s="40"/>
      <c r="BZ14" s="55"/>
      <c r="EO14" s="68">
        <v>45387</v>
      </c>
    </row>
    <row r="15" ht="13.5" customHeight="1" spans="1:145">
      <c r="A15" s="21" t="s">
        <v>427</v>
      </c>
      <c r="B15" s="5" t="s">
        <v>93</v>
      </c>
      <c r="C15" s="12"/>
      <c r="D15" s="7"/>
      <c r="E15" s="32"/>
      <c r="F15" s="30" t="str">
        <f t="shared" si="0"/>
        <v/>
      </c>
      <c r="G15" s="12"/>
      <c r="H15" s="31"/>
      <c r="I15" s="38"/>
      <c r="J15" s="30" t="str">
        <f t="shared" si="1"/>
        <v/>
      </c>
      <c r="K15" s="12">
        <v>45261</v>
      </c>
      <c r="L15" s="31">
        <v>45323</v>
      </c>
      <c r="M15" s="38" t="str">
        <f t="shared" si="16"/>
        <v>0</v>
      </c>
      <c r="N15" s="30">
        <f t="shared" si="2"/>
        <v>43</v>
      </c>
      <c r="O15" s="12"/>
      <c r="P15" s="31"/>
      <c r="Q15" s="38"/>
      <c r="R15" s="30" t="str">
        <f t="shared" si="3"/>
        <v/>
      </c>
      <c r="S15" s="12">
        <v>45470</v>
      </c>
      <c r="T15" s="31">
        <v>45483</v>
      </c>
      <c r="U15" s="38" t="str">
        <f t="shared" si="37"/>
        <v>0</v>
      </c>
      <c r="V15" s="30">
        <f t="shared" si="4"/>
        <v>10</v>
      </c>
      <c r="W15" s="12"/>
      <c r="X15" s="44"/>
      <c r="Y15" s="38"/>
      <c r="Z15" s="30" t="str">
        <f t="shared" si="5"/>
        <v/>
      </c>
      <c r="AA15" s="12"/>
      <c r="AB15" s="31"/>
      <c r="AC15" s="38"/>
      <c r="AD15" s="30" t="str">
        <f t="shared" si="6"/>
        <v/>
      </c>
      <c r="AE15" s="48" t="s">
        <v>82</v>
      </c>
      <c r="AF15" s="47" t="s">
        <v>82</v>
      </c>
      <c r="AG15" s="53" t="s">
        <v>91</v>
      </c>
      <c r="AH15" s="51"/>
      <c r="AI15" s="52">
        <v>4690.81</v>
      </c>
      <c r="AJ15" s="51"/>
      <c r="AK15" s="52">
        <v>4610.28</v>
      </c>
      <c r="AL15" s="55" t="str">
        <f t="shared" ref="AL15:AL27" si="38">IF(AND(AK15&lt;&gt;"",AJ15&lt;&gt;""),IF(AK15&gt;AJ15,"核增",IF(AK15&lt;AJ15,"核减","不变")),"")</f>
        <v/>
      </c>
      <c r="AM15" s="55" t="str">
        <f t="shared" ref="AM15:AM27" si="39">IF(AND(AI15&lt;&gt;"",AH15&lt;&gt;""),MAX(ABS(AI15),ABS(AH15))-MIN(ABS(AI15),ABS(AH15)),"")</f>
        <v/>
      </c>
      <c r="AN15" s="55" t="str">
        <f t="shared" ref="AN15:AN27" si="40">IF(AND(AK15&lt;&gt;"",AJ15&lt;&gt;""),MAX(ABS(AK15),ABS(AJ15))-MIN(ABS(AK15),ABS(AJ15)),"")</f>
        <v/>
      </c>
      <c r="AO15" s="51"/>
      <c r="AP15" s="52"/>
      <c r="AQ15" s="51"/>
      <c r="AR15" s="52"/>
      <c r="AS15" s="55" t="str">
        <f t="shared" ref="AS15:AS26" si="41">IF(AND(AR15&lt;&gt;"",AQ15&lt;&gt;""),IF(AR15&gt;AQ15,"核增",IF(AR15&lt;AQ15,"核减","不变")),"")</f>
        <v/>
      </c>
      <c r="AT15" s="55" t="str">
        <f t="shared" ref="AT15:AT26" si="42">IF(AND(AR15&lt;&gt;"",AQ15&lt;&gt;""),MAX(ABS(AR15),ABS(AQ15))-MIN(ABS(AR15),ABS(AQ15)),"")</f>
        <v/>
      </c>
      <c r="AU15" s="51">
        <v>4607.29</v>
      </c>
      <c r="AV15" s="52">
        <v>4573.88</v>
      </c>
      <c r="AW15" s="51">
        <v>4535.98</v>
      </c>
      <c r="AX15" s="52">
        <v>4503.08</v>
      </c>
      <c r="AY15" s="55" t="str">
        <f t="shared" si="26"/>
        <v>核减</v>
      </c>
      <c r="AZ15" s="55">
        <f t="shared" si="27"/>
        <v>32.8999999999996</v>
      </c>
      <c r="BA15" s="63" t="str">
        <f t="shared" si="28"/>
        <v>核减116.93</v>
      </c>
      <c r="BB15" s="51"/>
      <c r="BC15" s="52"/>
      <c r="BD15" s="51"/>
      <c r="BE15" s="52"/>
      <c r="BF15" s="64" t="str">
        <f t="shared" ref="BF15:BF26" si="43">IF(AND(BE15&lt;&gt;"",BD15&lt;&gt;""),IF(BE15&gt;BD15,"核增",IF(BE15&lt;BD15,"核减","不变")),"")</f>
        <v/>
      </c>
      <c r="BG15" s="52"/>
      <c r="BH15" s="51">
        <v>4158.16</v>
      </c>
      <c r="BI15" s="52">
        <v>4187.39</v>
      </c>
      <c r="BJ15" s="51">
        <v>4093.8</v>
      </c>
      <c r="BK15" s="52">
        <v>4122.58</v>
      </c>
      <c r="BL15" s="55" t="str">
        <f t="shared" si="30"/>
        <v>核增</v>
      </c>
      <c r="BM15" s="55">
        <f t="shared" si="31"/>
        <v>28.7799999999997</v>
      </c>
      <c r="BN15" s="63" t="str">
        <f t="shared" si="32"/>
        <v>核减386.49</v>
      </c>
      <c r="BO15" s="51"/>
      <c r="BP15" s="52"/>
      <c r="BQ15" s="51"/>
      <c r="BR15" s="52"/>
      <c r="BS15" s="55" t="str">
        <f t="shared" ref="BS15:BS22" si="44">IF(AND(BR15&lt;&gt;"",BQ15&lt;&gt;""),IF(BR15&gt;BQ15,"核增",IF(BR15&lt;BQ15,"核减","不变")),"")</f>
        <v/>
      </c>
      <c r="BT15" s="55" t="str">
        <f t="shared" ref="BT15:BT22" si="45">IF(AND(BR15&lt;&gt;"",BQ15&lt;&gt;""),MAX(ABS(BR15),ABS(BQ15))-MIN(ABS(BR15),ABS(BQ15)),"")</f>
        <v/>
      </c>
      <c r="BU15" s="51"/>
      <c r="BV15" s="52"/>
      <c r="BW15" s="51"/>
      <c r="BX15" s="52"/>
      <c r="BY15" s="55" t="str">
        <f t="shared" ref="BY15:BY26" si="46">IF(AND(BX15&lt;&gt;"",BW15&lt;&gt;""),IF(BX15&gt;BW15,"核增",IF(BX15&lt;BW15,"核减","不变")),"")</f>
        <v/>
      </c>
      <c r="BZ15" s="55" t="str">
        <f t="shared" ref="BZ15:BZ26" si="47">IF(AND(BX15&lt;&gt;"",BW15&lt;&gt;""),MAX(ABS(BX15),ABS(BW15))-MIN(ABS(BX15),ABS(BW15)),"")</f>
        <v/>
      </c>
      <c r="EO15" s="68">
        <v>45388</v>
      </c>
    </row>
    <row r="16" ht="13.5" customHeight="1" spans="1:145">
      <c r="A16" s="22" t="s">
        <v>428</v>
      </c>
      <c r="B16" s="11" t="s">
        <v>93</v>
      </c>
      <c r="C16" s="12"/>
      <c r="D16" s="7"/>
      <c r="E16" s="32"/>
      <c r="F16" s="30" t="str">
        <f t="shared" si="0"/>
        <v/>
      </c>
      <c r="G16" s="12"/>
      <c r="H16" s="31"/>
      <c r="I16" s="38"/>
      <c r="J16" s="30" t="str">
        <f t="shared" si="1"/>
        <v/>
      </c>
      <c r="K16" s="12">
        <v>45261</v>
      </c>
      <c r="L16" s="31">
        <v>45292</v>
      </c>
      <c r="M16" s="38" t="str">
        <f t="shared" si="16"/>
        <v>0</v>
      </c>
      <c r="N16" s="30">
        <f t="shared" si="2"/>
        <v>21</v>
      </c>
      <c r="O16" s="12"/>
      <c r="P16" s="31"/>
      <c r="Q16" s="38"/>
      <c r="R16" s="30" t="str">
        <f t="shared" si="3"/>
        <v/>
      </c>
      <c r="S16" s="33">
        <v>45506</v>
      </c>
      <c r="T16" s="31">
        <v>45525</v>
      </c>
      <c r="U16" s="38" t="str">
        <f t="shared" si="37"/>
        <v>0</v>
      </c>
      <c r="V16" s="30">
        <f t="shared" si="4"/>
        <v>14</v>
      </c>
      <c r="W16" s="12"/>
      <c r="X16" s="44"/>
      <c r="Y16" s="38"/>
      <c r="Z16" s="30" t="str">
        <f t="shared" si="5"/>
        <v/>
      </c>
      <c r="AA16" s="12"/>
      <c r="AB16" s="31"/>
      <c r="AC16" s="38"/>
      <c r="AD16" s="30" t="str">
        <f t="shared" si="6"/>
        <v/>
      </c>
      <c r="AE16" s="48" t="s">
        <v>86</v>
      </c>
      <c r="AF16" s="47" t="s">
        <v>86</v>
      </c>
      <c r="AG16" s="53" t="s">
        <v>91</v>
      </c>
      <c r="AH16" s="51"/>
      <c r="AI16" s="52">
        <v>1309.16</v>
      </c>
      <c r="AJ16" s="51"/>
      <c r="AK16" s="52">
        <v>1297.82</v>
      </c>
      <c r="AL16" s="55" t="str">
        <f t="shared" si="38"/>
        <v/>
      </c>
      <c r="AM16" s="55" t="str">
        <f t="shared" si="39"/>
        <v/>
      </c>
      <c r="AN16" s="55" t="str">
        <f t="shared" si="40"/>
        <v/>
      </c>
      <c r="AO16" s="51"/>
      <c r="AP16" s="52"/>
      <c r="AQ16" s="51"/>
      <c r="AR16" s="52"/>
      <c r="AS16" s="55" t="str">
        <f t="shared" si="41"/>
        <v/>
      </c>
      <c r="AT16" s="55" t="str">
        <f t="shared" si="42"/>
        <v/>
      </c>
      <c r="AU16" s="51">
        <v>1307.16</v>
      </c>
      <c r="AV16" s="52">
        <v>1305.45</v>
      </c>
      <c r="AW16" s="51">
        <v>1296.97</v>
      </c>
      <c r="AX16" s="52">
        <v>1295.27</v>
      </c>
      <c r="AY16" s="55" t="str">
        <f t="shared" si="26"/>
        <v>核减</v>
      </c>
      <c r="AZ16" s="55">
        <f t="shared" si="27"/>
        <v>1.70000000000005</v>
      </c>
      <c r="BA16" s="63" t="str">
        <f t="shared" si="28"/>
        <v>核减3.71</v>
      </c>
      <c r="BB16" s="51"/>
      <c r="BC16" s="52"/>
      <c r="BD16" s="51"/>
      <c r="BE16" s="52"/>
      <c r="BF16" s="64" t="str">
        <f t="shared" si="43"/>
        <v/>
      </c>
      <c r="BG16" s="52"/>
      <c r="BH16" s="51">
        <v>1287.83</v>
      </c>
      <c r="BI16" s="52">
        <v>1217.77</v>
      </c>
      <c r="BJ16" s="51">
        <v>1278.78</v>
      </c>
      <c r="BK16" s="52">
        <v>1209.22</v>
      </c>
      <c r="BL16" s="55" t="str">
        <f t="shared" si="30"/>
        <v>核减</v>
      </c>
      <c r="BM16" s="55">
        <f t="shared" si="31"/>
        <v>69.5599999999999</v>
      </c>
      <c r="BN16" s="63" t="str">
        <f t="shared" si="32"/>
        <v>核减87.68</v>
      </c>
      <c r="BO16" s="51"/>
      <c r="BP16" s="52"/>
      <c r="BQ16" s="51"/>
      <c r="BR16" s="52"/>
      <c r="BS16" s="55" t="str">
        <f t="shared" si="44"/>
        <v/>
      </c>
      <c r="BT16" s="55" t="str">
        <f t="shared" si="45"/>
        <v/>
      </c>
      <c r="BU16" s="51"/>
      <c r="BV16" s="52"/>
      <c r="BW16" s="51"/>
      <c r="BX16" s="52"/>
      <c r="BY16" s="55" t="str">
        <f t="shared" si="46"/>
        <v/>
      </c>
      <c r="BZ16" s="55" t="str">
        <f t="shared" si="47"/>
        <v/>
      </c>
      <c r="EO16" s="68">
        <v>45413</v>
      </c>
    </row>
    <row r="17" ht="13.5" customHeight="1" spans="1:145">
      <c r="A17" s="18" t="s">
        <v>429</v>
      </c>
      <c r="B17" s="11" t="s">
        <v>93</v>
      </c>
      <c r="C17" s="12"/>
      <c r="D17" s="7"/>
      <c r="E17" s="32"/>
      <c r="F17" s="30" t="str">
        <f t="shared" si="0"/>
        <v/>
      </c>
      <c r="G17" s="12"/>
      <c r="H17" s="31"/>
      <c r="I17" s="38"/>
      <c r="J17" s="30" t="str">
        <f t="shared" si="1"/>
        <v/>
      </c>
      <c r="K17" s="12">
        <v>45261</v>
      </c>
      <c r="L17" s="31">
        <v>45292</v>
      </c>
      <c r="M17" s="38" t="str">
        <f t="shared" si="16"/>
        <v>0</v>
      </c>
      <c r="N17" s="30">
        <f t="shared" si="2"/>
        <v>21</v>
      </c>
      <c r="O17" s="12"/>
      <c r="P17" s="31"/>
      <c r="Q17" s="38"/>
      <c r="R17" s="30" t="str">
        <f t="shared" si="3"/>
        <v/>
      </c>
      <c r="S17" s="12">
        <v>45498</v>
      </c>
      <c r="T17" s="31">
        <v>45499</v>
      </c>
      <c r="U17" s="38" t="str">
        <f t="shared" si="37"/>
        <v>0</v>
      </c>
      <c r="V17" s="30">
        <f t="shared" si="4"/>
        <v>2</v>
      </c>
      <c r="W17" s="12"/>
      <c r="X17" s="44"/>
      <c r="Y17" s="38"/>
      <c r="Z17" s="30" t="str">
        <f t="shared" si="5"/>
        <v/>
      </c>
      <c r="AA17" s="12"/>
      <c r="AB17" s="31"/>
      <c r="AC17" s="38"/>
      <c r="AD17" s="30" t="str">
        <f t="shared" si="6"/>
        <v/>
      </c>
      <c r="AE17" s="48" t="s">
        <v>82</v>
      </c>
      <c r="AF17" s="47" t="s">
        <v>82</v>
      </c>
      <c r="AG17" s="53" t="s">
        <v>91</v>
      </c>
      <c r="AH17" s="51"/>
      <c r="AI17" s="52">
        <v>7624.57</v>
      </c>
      <c r="AJ17" s="51"/>
      <c r="AK17" s="52">
        <v>7484.52</v>
      </c>
      <c r="AL17" s="55" t="str">
        <f t="shared" si="38"/>
        <v/>
      </c>
      <c r="AM17" s="55" t="str">
        <f t="shared" si="39"/>
        <v/>
      </c>
      <c r="AN17" s="55" t="str">
        <f t="shared" si="40"/>
        <v/>
      </c>
      <c r="AO17" s="51"/>
      <c r="AP17" s="52"/>
      <c r="AQ17" s="51"/>
      <c r="AR17" s="52"/>
      <c r="AS17" s="55" t="str">
        <f t="shared" si="41"/>
        <v/>
      </c>
      <c r="AT17" s="55" t="str">
        <f t="shared" si="42"/>
        <v/>
      </c>
      <c r="AU17" s="51">
        <v>7470.27</v>
      </c>
      <c r="AV17" s="52">
        <v>7555.34</v>
      </c>
      <c r="AW17" s="51">
        <v>7333.05</v>
      </c>
      <c r="AX17" s="52">
        <v>7430.21</v>
      </c>
      <c r="AY17" s="55" t="str">
        <f t="shared" si="26"/>
        <v>核增</v>
      </c>
      <c r="AZ17" s="55">
        <f t="shared" si="27"/>
        <v>97.1599999999999</v>
      </c>
      <c r="BA17" s="63" t="str">
        <f t="shared" si="28"/>
        <v>核减69.23</v>
      </c>
      <c r="BB17" s="51"/>
      <c r="BC17" s="52"/>
      <c r="BD17" s="51"/>
      <c r="BE17" s="52"/>
      <c r="BF17" s="64" t="str">
        <f t="shared" si="43"/>
        <v/>
      </c>
      <c r="BG17" s="52"/>
      <c r="BH17" s="51">
        <v>7520.22</v>
      </c>
      <c r="BI17" s="52">
        <v>7520.22</v>
      </c>
      <c r="BJ17" s="51">
        <v>7395.67</v>
      </c>
      <c r="BK17" s="52">
        <v>7395.67</v>
      </c>
      <c r="BL17" s="55" t="str">
        <f t="shared" si="30"/>
        <v>不变</v>
      </c>
      <c r="BM17" s="55">
        <f t="shared" si="31"/>
        <v>0</v>
      </c>
      <c r="BN17" s="63" t="str">
        <f t="shared" si="32"/>
        <v>核减35.12</v>
      </c>
      <c r="BO17" s="51"/>
      <c r="BP17" s="52"/>
      <c r="BQ17" s="51"/>
      <c r="BR17" s="52"/>
      <c r="BS17" s="55" t="str">
        <f t="shared" si="44"/>
        <v/>
      </c>
      <c r="BT17" s="55" t="str">
        <f t="shared" si="45"/>
        <v/>
      </c>
      <c r="BU17" s="51"/>
      <c r="BV17" s="52"/>
      <c r="BW17" s="51"/>
      <c r="BX17" s="52"/>
      <c r="BY17" s="55" t="str">
        <f t="shared" si="46"/>
        <v/>
      </c>
      <c r="BZ17" s="55" t="str">
        <f t="shared" si="47"/>
        <v/>
      </c>
      <c r="EO17" s="68">
        <v>45414</v>
      </c>
    </row>
    <row r="18" ht="13.5" customHeight="1" spans="1:145">
      <c r="A18" s="18" t="s">
        <v>120</v>
      </c>
      <c r="B18" s="11" t="s">
        <v>85</v>
      </c>
      <c r="C18" s="12"/>
      <c r="D18" s="7"/>
      <c r="E18" s="32" t="str">
        <f t="shared" ref="E18:E22" si="48">IF(C18&lt;&gt;0,IF(D18&lt;&gt;0,"0","1"),"")</f>
        <v/>
      </c>
      <c r="F18" s="30" t="str">
        <f t="shared" si="0"/>
        <v/>
      </c>
      <c r="G18" s="12"/>
      <c r="H18" s="31"/>
      <c r="I18" s="38" t="str">
        <f t="shared" ref="I18:I22" si="49">IF(G18&lt;&gt;0,IF(H18&lt;&gt;0,"0","1"),"")</f>
        <v/>
      </c>
      <c r="J18" s="30" t="str">
        <f t="shared" si="1"/>
        <v/>
      </c>
      <c r="K18" s="12">
        <v>45292</v>
      </c>
      <c r="L18" s="31">
        <v>45292</v>
      </c>
      <c r="M18" s="38" t="str">
        <f t="shared" si="16"/>
        <v>0</v>
      </c>
      <c r="N18" s="30">
        <f t="shared" si="2"/>
        <v>0</v>
      </c>
      <c r="O18" s="12"/>
      <c r="P18" s="31"/>
      <c r="Q18" s="38" t="str">
        <f t="shared" ref="Q18:Q22" si="50">IF(O18&lt;&gt;0,IF(P18&lt;&gt;0,"0","1"),"")</f>
        <v/>
      </c>
      <c r="R18" s="30" t="str">
        <f t="shared" si="3"/>
        <v/>
      </c>
      <c r="S18" s="33">
        <v>45631</v>
      </c>
      <c r="T18" s="33">
        <v>45642</v>
      </c>
      <c r="U18" s="38" t="str">
        <f t="shared" si="37"/>
        <v>0</v>
      </c>
      <c r="V18" s="30">
        <f t="shared" si="4"/>
        <v>8</v>
      </c>
      <c r="W18" s="12"/>
      <c r="X18" s="44"/>
      <c r="Y18" s="38" t="str">
        <f t="shared" ref="Y18:Y22" si="51">IF(W18&lt;&gt;0,IF(X18&lt;&gt;0,"0","1"),"")</f>
        <v/>
      </c>
      <c r="Z18" s="30" t="str">
        <f t="shared" si="5"/>
        <v/>
      </c>
      <c r="AA18" s="12"/>
      <c r="AB18" s="31"/>
      <c r="AC18" s="38" t="str">
        <f t="shared" ref="AC18:AC22" si="52">IF(AA18&lt;&gt;0,IF(AB18&lt;&gt;0,"0","1"),"")</f>
        <v/>
      </c>
      <c r="AD18" s="30" t="str">
        <f t="shared" si="6"/>
        <v/>
      </c>
      <c r="AE18" s="48" t="s">
        <v>406</v>
      </c>
      <c r="AF18" s="47" t="s">
        <v>406</v>
      </c>
      <c r="AG18" s="53" t="s">
        <v>97</v>
      </c>
      <c r="AH18" s="51"/>
      <c r="AI18" s="52">
        <v>10874.43</v>
      </c>
      <c r="AJ18" s="51"/>
      <c r="AK18" s="52">
        <v>10686.14</v>
      </c>
      <c r="AL18" s="55" t="str">
        <f t="shared" si="38"/>
        <v/>
      </c>
      <c r="AM18" s="55" t="str">
        <f t="shared" si="39"/>
        <v/>
      </c>
      <c r="AN18" s="55" t="str">
        <f t="shared" si="40"/>
        <v/>
      </c>
      <c r="AO18" s="51"/>
      <c r="AP18" s="52"/>
      <c r="AQ18" s="51"/>
      <c r="AR18" s="52"/>
      <c r="AS18" s="55" t="str">
        <f t="shared" si="41"/>
        <v/>
      </c>
      <c r="AT18" s="55" t="str">
        <f t="shared" si="42"/>
        <v/>
      </c>
      <c r="AU18" s="51">
        <v>10231.01</v>
      </c>
      <c r="AV18" s="52">
        <v>10330.8</v>
      </c>
      <c r="AW18" s="51">
        <v>10072.99</v>
      </c>
      <c r="AX18" s="52">
        <v>10171.79</v>
      </c>
      <c r="AY18" s="55" t="str">
        <f t="shared" si="26"/>
        <v>核增</v>
      </c>
      <c r="AZ18" s="55">
        <f t="shared" si="27"/>
        <v>98.8000000000011</v>
      </c>
      <c r="BA18" s="63" t="str">
        <f t="shared" si="28"/>
        <v>核减543.63</v>
      </c>
      <c r="BB18" s="51"/>
      <c r="BC18" s="52"/>
      <c r="BD18" s="51"/>
      <c r="BE18" s="52"/>
      <c r="BF18" s="64" t="str">
        <f t="shared" si="43"/>
        <v/>
      </c>
      <c r="BG18" s="52"/>
      <c r="BH18" s="65">
        <v>10010.29</v>
      </c>
      <c r="BI18" s="66">
        <v>9772.49</v>
      </c>
      <c r="BJ18" s="65">
        <v>9856.28</v>
      </c>
      <c r="BK18" s="66">
        <v>9622.47</v>
      </c>
      <c r="BL18" s="55" t="str">
        <f t="shared" si="30"/>
        <v>核减</v>
      </c>
      <c r="BM18" s="55">
        <f t="shared" si="31"/>
        <v>233.810000000001</v>
      </c>
      <c r="BN18" s="63" t="str">
        <f t="shared" si="32"/>
        <v>核减558.31</v>
      </c>
      <c r="BO18" s="51"/>
      <c r="BP18" s="52"/>
      <c r="BQ18" s="51"/>
      <c r="BR18" s="52"/>
      <c r="BS18" s="55" t="str">
        <f t="shared" si="44"/>
        <v/>
      </c>
      <c r="BT18" s="55" t="str">
        <f t="shared" si="45"/>
        <v/>
      </c>
      <c r="BU18" s="51"/>
      <c r="BV18" s="52"/>
      <c r="BW18" s="51"/>
      <c r="BX18" s="52"/>
      <c r="BY18" s="55" t="str">
        <f t="shared" si="46"/>
        <v/>
      </c>
      <c r="BZ18" s="55" t="str">
        <f t="shared" si="47"/>
        <v/>
      </c>
      <c r="EO18" s="68">
        <v>45415</v>
      </c>
    </row>
    <row r="19" ht="13.5" customHeight="1" spans="1:145">
      <c r="A19" s="21" t="s">
        <v>430</v>
      </c>
      <c r="B19" s="23" t="s">
        <v>93</v>
      </c>
      <c r="C19" s="12"/>
      <c r="D19" s="7"/>
      <c r="E19" s="32" t="str">
        <f t="shared" si="48"/>
        <v/>
      </c>
      <c r="F19" s="30" t="str">
        <f t="shared" si="0"/>
        <v/>
      </c>
      <c r="G19" s="12"/>
      <c r="H19" s="31"/>
      <c r="I19" s="38" t="str">
        <f t="shared" si="49"/>
        <v/>
      </c>
      <c r="J19" s="30" t="str">
        <f t="shared" si="1"/>
        <v/>
      </c>
      <c r="K19" s="12">
        <v>45292</v>
      </c>
      <c r="L19" s="31">
        <v>45292</v>
      </c>
      <c r="M19" s="38" t="str">
        <f t="shared" si="16"/>
        <v>0</v>
      </c>
      <c r="N19" s="30">
        <f t="shared" si="2"/>
        <v>0</v>
      </c>
      <c r="O19" s="12"/>
      <c r="P19" s="31"/>
      <c r="Q19" s="38" t="str">
        <f t="shared" si="50"/>
        <v/>
      </c>
      <c r="R19" s="30" t="str">
        <f t="shared" si="3"/>
        <v/>
      </c>
      <c r="S19" s="12">
        <v>45344</v>
      </c>
      <c r="T19" s="31">
        <v>45345</v>
      </c>
      <c r="U19" s="38" t="str">
        <f t="shared" si="37"/>
        <v>0</v>
      </c>
      <c r="V19" s="30">
        <f t="shared" si="4"/>
        <v>2</v>
      </c>
      <c r="W19" s="12"/>
      <c r="X19" s="44"/>
      <c r="Y19" s="38" t="str">
        <f t="shared" si="51"/>
        <v/>
      </c>
      <c r="Z19" s="30" t="str">
        <f t="shared" si="5"/>
        <v/>
      </c>
      <c r="AA19" s="12"/>
      <c r="AB19" s="31"/>
      <c r="AC19" s="38" t="str">
        <f t="shared" si="52"/>
        <v/>
      </c>
      <c r="AD19" s="30" t="str">
        <f t="shared" si="6"/>
        <v/>
      </c>
      <c r="AE19" s="48" t="s">
        <v>406</v>
      </c>
      <c r="AF19" s="47" t="s">
        <v>406</v>
      </c>
      <c r="AG19" s="53" t="s">
        <v>91</v>
      </c>
      <c r="AH19" s="51"/>
      <c r="AI19" s="52">
        <v>2839.6</v>
      </c>
      <c r="AJ19" s="51"/>
      <c r="AK19" s="52">
        <v>2813.27</v>
      </c>
      <c r="AL19" s="55" t="str">
        <f t="shared" si="38"/>
        <v/>
      </c>
      <c r="AM19" s="55" t="str">
        <f t="shared" si="39"/>
        <v/>
      </c>
      <c r="AN19" s="55" t="str">
        <f t="shared" si="40"/>
        <v/>
      </c>
      <c r="AO19" s="51"/>
      <c r="AP19" s="52"/>
      <c r="AQ19" s="51"/>
      <c r="AR19" s="52"/>
      <c r="AS19" s="55" t="str">
        <f t="shared" si="41"/>
        <v/>
      </c>
      <c r="AT19" s="55" t="str">
        <f t="shared" si="42"/>
        <v/>
      </c>
      <c r="AU19" s="51">
        <v>2724.33</v>
      </c>
      <c r="AV19" s="52">
        <v>2708.15</v>
      </c>
      <c r="AW19" s="51">
        <v>2701.58</v>
      </c>
      <c r="AX19" s="52">
        <v>2685.53</v>
      </c>
      <c r="AY19" s="55" t="str">
        <f t="shared" si="26"/>
        <v>核减</v>
      </c>
      <c r="AZ19" s="55">
        <f t="shared" si="27"/>
        <v>16.0499999999997</v>
      </c>
      <c r="BA19" s="63" t="str">
        <f t="shared" si="28"/>
        <v>核减131.45</v>
      </c>
      <c r="BB19" s="51"/>
      <c r="BC19" s="52"/>
      <c r="BD19" s="51"/>
      <c r="BE19" s="52"/>
      <c r="BF19" s="64" t="str">
        <f t="shared" si="43"/>
        <v/>
      </c>
      <c r="BG19" s="52"/>
      <c r="BH19" s="51">
        <v>2584.95</v>
      </c>
      <c r="BI19" s="52">
        <v>2564.17</v>
      </c>
      <c r="BJ19" s="51">
        <v>2563.36</v>
      </c>
      <c r="BK19" s="52">
        <v>2542.75</v>
      </c>
      <c r="BL19" s="55" t="str">
        <f t="shared" si="30"/>
        <v>核减</v>
      </c>
      <c r="BM19" s="55">
        <f t="shared" si="31"/>
        <v>20.6100000000001</v>
      </c>
      <c r="BN19" s="63" t="str">
        <f t="shared" si="32"/>
        <v>核减143.98</v>
      </c>
      <c r="BO19" s="51"/>
      <c r="BP19" s="52"/>
      <c r="BQ19" s="51"/>
      <c r="BR19" s="52"/>
      <c r="BS19" s="55" t="str">
        <f t="shared" si="44"/>
        <v/>
      </c>
      <c r="BT19" s="55" t="str">
        <f t="shared" si="45"/>
        <v/>
      </c>
      <c r="BU19" s="51"/>
      <c r="BV19" s="52"/>
      <c r="BW19" s="51"/>
      <c r="BX19" s="52"/>
      <c r="BY19" s="55" t="str">
        <f t="shared" si="46"/>
        <v/>
      </c>
      <c r="BZ19" s="55" t="str">
        <f t="shared" si="47"/>
        <v/>
      </c>
      <c r="EO19" s="68">
        <v>45416</v>
      </c>
    </row>
    <row r="20" ht="13.5" customHeight="1" spans="1:145">
      <c r="A20" s="19" t="s">
        <v>431</v>
      </c>
      <c r="B20" s="20" t="s">
        <v>85</v>
      </c>
      <c r="C20" s="12"/>
      <c r="D20" s="7"/>
      <c r="E20" s="32" t="str">
        <f t="shared" si="48"/>
        <v/>
      </c>
      <c r="F20" s="30" t="str">
        <f t="shared" si="0"/>
        <v/>
      </c>
      <c r="G20" s="12"/>
      <c r="H20" s="31"/>
      <c r="I20" s="38" t="str">
        <f t="shared" si="49"/>
        <v/>
      </c>
      <c r="J20" s="30" t="str">
        <f t="shared" si="1"/>
        <v/>
      </c>
      <c r="K20" s="12">
        <v>45292</v>
      </c>
      <c r="L20" s="31">
        <v>45292</v>
      </c>
      <c r="M20" s="38" t="str">
        <f t="shared" si="16"/>
        <v>0</v>
      </c>
      <c r="N20" s="30">
        <f t="shared" si="2"/>
        <v>0</v>
      </c>
      <c r="O20" s="12"/>
      <c r="P20" s="31"/>
      <c r="Q20" s="38" t="str">
        <f t="shared" si="50"/>
        <v/>
      </c>
      <c r="R20" s="30" t="str">
        <f t="shared" si="3"/>
        <v/>
      </c>
      <c r="S20" s="12">
        <v>45351</v>
      </c>
      <c r="T20" s="31">
        <v>45355</v>
      </c>
      <c r="U20" s="38" t="str">
        <f t="shared" si="37"/>
        <v>0</v>
      </c>
      <c r="V20" s="30">
        <f t="shared" si="4"/>
        <v>3</v>
      </c>
      <c r="W20" s="12"/>
      <c r="X20" s="44"/>
      <c r="Y20" s="38" t="str">
        <f t="shared" si="51"/>
        <v/>
      </c>
      <c r="Z20" s="30" t="str">
        <f t="shared" si="5"/>
        <v/>
      </c>
      <c r="AA20" s="12"/>
      <c r="AB20" s="31"/>
      <c r="AC20" s="38" t="str">
        <f t="shared" si="52"/>
        <v/>
      </c>
      <c r="AD20" s="30" t="str">
        <f t="shared" si="6"/>
        <v/>
      </c>
      <c r="AE20" s="48" t="s">
        <v>82</v>
      </c>
      <c r="AF20" s="47" t="s">
        <v>82</v>
      </c>
      <c r="AG20" s="53" t="s">
        <v>91</v>
      </c>
      <c r="AH20" s="51"/>
      <c r="AI20" s="52">
        <v>3177.77</v>
      </c>
      <c r="AJ20" s="51"/>
      <c r="AK20" s="52">
        <v>3148.31</v>
      </c>
      <c r="AL20" s="55" t="str">
        <f t="shared" si="38"/>
        <v/>
      </c>
      <c r="AM20" s="55" t="str">
        <f t="shared" si="39"/>
        <v/>
      </c>
      <c r="AN20" s="55" t="str">
        <f t="shared" si="40"/>
        <v/>
      </c>
      <c r="AO20" s="51"/>
      <c r="AP20" s="52"/>
      <c r="AQ20" s="51"/>
      <c r="AR20" s="52"/>
      <c r="AS20" s="55" t="str">
        <f t="shared" si="41"/>
        <v/>
      </c>
      <c r="AT20" s="55" t="str">
        <f t="shared" si="42"/>
        <v/>
      </c>
      <c r="AU20" s="51">
        <v>3144.8</v>
      </c>
      <c r="AV20" s="52">
        <v>3144.66</v>
      </c>
      <c r="AW20" s="51">
        <v>3118.54</v>
      </c>
      <c r="AX20" s="52">
        <v>3118.4</v>
      </c>
      <c r="AY20" s="55" t="str">
        <f t="shared" si="26"/>
        <v>核减</v>
      </c>
      <c r="AZ20" s="55">
        <f t="shared" si="27"/>
        <v>0.139999999999873</v>
      </c>
      <c r="BA20" s="63" t="str">
        <f t="shared" si="28"/>
        <v>核减33.11</v>
      </c>
      <c r="BB20" s="51"/>
      <c r="BC20" s="52"/>
      <c r="BD20" s="51"/>
      <c r="BE20" s="52"/>
      <c r="BF20" s="64" t="str">
        <f t="shared" si="43"/>
        <v/>
      </c>
      <c r="BG20" s="52"/>
      <c r="BH20" s="51">
        <v>3127.8</v>
      </c>
      <c r="BI20" s="52">
        <v>3123.36</v>
      </c>
      <c r="BJ20" s="51">
        <v>3101.68</v>
      </c>
      <c r="BK20" s="52">
        <v>3097.28</v>
      </c>
      <c r="BL20" s="55" t="str">
        <f t="shared" si="30"/>
        <v>核减</v>
      </c>
      <c r="BM20" s="55">
        <f t="shared" si="31"/>
        <v>4.39999999999964</v>
      </c>
      <c r="BN20" s="63" t="str">
        <f t="shared" si="32"/>
        <v>核减21.30</v>
      </c>
      <c r="BO20" s="51"/>
      <c r="BP20" s="52"/>
      <c r="BQ20" s="51"/>
      <c r="BR20" s="52"/>
      <c r="BS20" s="55" t="str">
        <f t="shared" si="44"/>
        <v/>
      </c>
      <c r="BT20" s="55" t="str">
        <f t="shared" si="45"/>
        <v/>
      </c>
      <c r="BU20" s="51"/>
      <c r="BV20" s="52"/>
      <c r="BW20" s="51"/>
      <c r="BX20" s="52"/>
      <c r="BY20" s="55" t="str">
        <f t="shared" si="46"/>
        <v/>
      </c>
      <c r="BZ20" s="55" t="str">
        <f t="shared" si="47"/>
        <v/>
      </c>
      <c r="EO20" s="68">
        <v>45417</v>
      </c>
    </row>
    <row r="21" ht="13.5" customHeight="1" spans="1:145">
      <c r="A21" s="21" t="s">
        <v>432</v>
      </c>
      <c r="B21" s="23" t="s">
        <v>93</v>
      </c>
      <c r="C21" s="12"/>
      <c r="D21" s="7"/>
      <c r="E21" s="32" t="str">
        <f t="shared" si="48"/>
        <v/>
      </c>
      <c r="F21" s="30" t="str">
        <f t="shared" si="0"/>
        <v/>
      </c>
      <c r="G21" s="12"/>
      <c r="H21" s="31"/>
      <c r="I21" s="38" t="str">
        <f t="shared" si="49"/>
        <v/>
      </c>
      <c r="J21" s="30" t="str">
        <f t="shared" si="1"/>
        <v/>
      </c>
      <c r="K21" s="12">
        <v>45309</v>
      </c>
      <c r="L21" s="31">
        <v>45348</v>
      </c>
      <c r="M21" s="38" t="str">
        <f t="shared" si="16"/>
        <v>0</v>
      </c>
      <c r="N21" s="30">
        <f t="shared" si="2"/>
        <v>23</v>
      </c>
      <c r="O21" s="12"/>
      <c r="P21" s="31"/>
      <c r="Q21" s="38" t="str">
        <f t="shared" si="50"/>
        <v/>
      </c>
      <c r="R21" s="30" t="str">
        <f t="shared" si="3"/>
        <v/>
      </c>
      <c r="S21" s="12">
        <v>45309</v>
      </c>
      <c r="T21" s="31">
        <v>45348</v>
      </c>
      <c r="U21" s="38" t="str">
        <f t="shared" si="37"/>
        <v>0</v>
      </c>
      <c r="V21" s="30">
        <f t="shared" si="4"/>
        <v>23</v>
      </c>
      <c r="W21" s="12"/>
      <c r="X21" s="44"/>
      <c r="Y21" s="38" t="str">
        <f t="shared" si="51"/>
        <v/>
      </c>
      <c r="Z21" s="30" t="str">
        <f t="shared" si="5"/>
        <v/>
      </c>
      <c r="AA21" s="12"/>
      <c r="AB21" s="31"/>
      <c r="AC21" s="38" t="str">
        <f t="shared" si="52"/>
        <v/>
      </c>
      <c r="AD21" s="30" t="str">
        <f t="shared" si="6"/>
        <v/>
      </c>
      <c r="AE21" s="48" t="s">
        <v>87</v>
      </c>
      <c r="AF21" s="47" t="s">
        <v>91</v>
      </c>
      <c r="AG21" s="53" t="s">
        <v>87</v>
      </c>
      <c r="AH21" s="51"/>
      <c r="AI21" s="52">
        <v>4766.05</v>
      </c>
      <c r="AJ21" s="51"/>
      <c r="AK21" s="52">
        <v>4766.05</v>
      </c>
      <c r="AL21" s="55" t="str">
        <f t="shared" si="38"/>
        <v/>
      </c>
      <c r="AM21" s="55" t="str">
        <f t="shared" si="39"/>
        <v/>
      </c>
      <c r="AN21" s="55" t="str">
        <f t="shared" si="40"/>
        <v/>
      </c>
      <c r="AO21" s="51"/>
      <c r="AP21" s="52"/>
      <c r="AQ21" s="51"/>
      <c r="AR21" s="52"/>
      <c r="AS21" s="55" t="str">
        <f t="shared" si="41"/>
        <v/>
      </c>
      <c r="AT21" s="55" t="str">
        <f t="shared" si="42"/>
        <v/>
      </c>
      <c r="AU21" s="51">
        <v>4517.11</v>
      </c>
      <c r="AV21" s="52">
        <v>3418.33</v>
      </c>
      <c r="AW21" s="51">
        <v>4517.11</v>
      </c>
      <c r="AX21" s="52">
        <v>3418.33</v>
      </c>
      <c r="AY21" s="55" t="str">
        <f t="shared" si="26"/>
        <v>核减</v>
      </c>
      <c r="AZ21" s="55">
        <f t="shared" si="27"/>
        <v>1098.78</v>
      </c>
      <c r="BA21" s="63" t="str">
        <f t="shared" si="28"/>
        <v>核减1347.72</v>
      </c>
      <c r="BB21" s="51"/>
      <c r="BC21" s="52"/>
      <c r="BD21" s="51"/>
      <c r="BE21" s="52"/>
      <c r="BF21" s="64" t="str">
        <f t="shared" si="43"/>
        <v/>
      </c>
      <c r="BG21" s="52"/>
      <c r="BH21" s="51">
        <v>4472.4</v>
      </c>
      <c r="BI21" s="52">
        <v>3384.81</v>
      </c>
      <c r="BJ21" s="51">
        <v>4472.4</v>
      </c>
      <c r="BK21" s="52">
        <v>3384.81</v>
      </c>
      <c r="BL21" s="55" t="str">
        <f t="shared" si="30"/>
        <v>核减</v>
      </c>
      <c r="BM21" s="55">
        <f t="shared" si="31"/>
        <v>1087.59</v>
      </c>
      <c r="BN21" s="63" t="str">
        <f t="shared" si="32"/>
        <v>核减33.52</v>
      </c>
      <c r="BO21" s="51"/>
      <c r="BP21" s="52"/>
      <c r="BQ21" s="51"/>
      <c r="BR21" s="52"/>
      <c r="BS21" s="55" t="str">
        <f t="shared" si="44"/>
        <v/>
      </c>
      <c r="BT21" s="55" t="str">
        <f t="shared" si="45"/>
        <v/>
      </c>
      <c r="BU21" s="51"/>
      <c r="BV21" s="52"/>
      <c r="BW21" s="51"/>
      <c r="BX21" s="52"/>
      <c r="BY21" s="55" t="str">
        <f t="shared" si="46"/>
        <v/>
      </c>
      <c r="BZ21" s="55" t="str">
        <f t="shared" si="47"/>
        <v/>
      </c>
      <c r="EO21" s="68">
        <v>45451</v>
      </c>
    </row>
    <row r="22" ht="13.5" customHeight="1" spans="1:145">
      <c r="A22" s="21" t="s">
        <v>433</v>
      </c>
      <c r="B22" s="23" t="s">
        <v>85</v>
      </c>
      <c r="C22" s="12"/>
      <c r="D22" s="7"/>
      <c r="E22" s="32" t="str">
        <f t="shared" si="48"/>
        <v/>
      </c>
      <c r="F22" s="30" t="str">
        <f t="shared" si="0"/>
        <v/>
      </c>
      <c r="G22" s="12"/>
      <c r="H22" s="31"/>
      <c r="I22" s="38" t="str">
        <f t="shared" si="49"/>
        <v/>
      </c>
      <c r="J22" s="30" t="str">
        <f t="shared" si="1"/>
        <v/>
      </c>
      <c r="K22" s="12">
        <v>45309</v>
      </c>
      <c r="L22" s="31">
        <v>45345</v>
      </c>
      <c r="M22" s="38" t="str">
        <f t="shared" si="16"/>
        <v>0</v>
      </c>
      <c r="N22" s="30">
        <f t="shared" si="2"/>
        <v>22</v>
      </c>
      <c r="O22" s="12"/>
      <c r="P22" s="31"/>
      <c r="Q22" s="38" t="str">
        <f t="shared" si="50"/>
        <v/>
      </c>
      <c r="R22" s="30" t="str">
        <f t="shared" si="3"/>
        <v/>
      </c>
      <c r="S22" s="12">
        <v>45309</v>
      </c>
      <c r="T22" s="31">
        <v>45345</v>
      </c>
      <c r="U22" s="38" t="str">
        <f t="shared" si="37"/>
        <v>0</v>
      </c>
      <c r="V22" s="30">
        <f t="shared" si="4"/>
        <v>22</v>
      </c>
      <c r="W22" s="12"/>
      <c r="X22" s="44"/>
      <c r="Y22" s="38" t="str">
        <f t="shared" si="51"/>
        <v/>
      </c>
      <c r="Z22" s="30" t="str">
        <f t="shared" si="5"/>
        <v/>
      </c>
      <c r="AA22" s="12"/>
      <c r="AB22" s="31"/>
      <c r="AC22" s="38" t="str">
        <f t="shared" si="52"/>
        <v/>
      </c>
      <c r="AD22" s="30" t="str">
        <f t="shared" si="6"/>
        <v/>
      </c>
      <c r="AE22" s="48" t="s">
        <v>406</v>
      </c>
      <c r="AF22" s="47" t="s">
        <v>406</v>
      </c>
      <c r="AG22" s="53" t="s">
        <v>91</v>
      </c>
      <c r="AH22" s="51"/>
      <c r="AI22" s="52">
        <v>800.4</v>
      </c>
      <c r="AJ22" s="51"/>
      <c r="AK22" s="52">
        <v>800.4</v>
      </c>
      <c r="AL22" s="55" t="str">
        <f t="shared" si="38"/>
        <v/>
      </c>
      <c r="AM22" s="55" t="str">
        <f t="shared" si="39"/>
        <v/>
      </c>
      <c r="AN22" s="55" t="str">
        <f t="shared" si="40"/>
        <v/>
      </c>
      <c r="AO22" s="51"/>
      <c r="AP22" s="52"/>
      <c r="AQ22" s="51"/>
      <c r="AR22" s="52"/>
      <c r="AS22" s="55" t="str">
        <f t="shared" si="41"/>
        <v/>
      </c>
      <c r="AT22" s="55" t="str">
        <f t="shared" si="42"/>
        <v/>
      </c>
      <c r="AU22" s="51">
        <v>825.17</v>
      </c>
      <c r="AV22" s="52">
        <v>781.78</v>
      </c>
      <c r="AW22" s="51">
        <v>825.17</v>
      </c>
      <c r="AX22" s="52">
        <v>781.78</v>
      </c>
      <c r="AY22" s="55" t="str">
        <f t="shared" si="26"/>
        <v>核减</v>
      </c>
      <c r="AZ22" s="55">
        <f t="shared" si="27"/>
        <v>43.39</v>
      </c>
      <c r="BA22" s="63" t="str">
        <f t="shared" si="28"/>
        <v>核减18.62</v>
      </c>
      <c r="BB22" s="51"/>
      <c r="BC22" s="52"/>
      <c r="BD22" s="51"/>
      <c r="BE22" s="52"/>
      <c r="BF22" s="64" t="str">
        <f t="shared" si="43"/>
        <v/>
      </c>
      <c r="BG22" s="52"/>
      <c r="BH22" s="51">
        <v>817.17</v>
      </c>
      <c r="BI22" s="52">
        <v>779.91</v>
      </c>
      <c r="BJ22" s="51">
        <v>817.17</v>
      </c>
      <c r="BK22" s="52">
        <v>779.91</v>
      </c>
      <c r="BL22" s="55" t="str">
        <f t="shared" si="30"/>
        <v>核减</v>
      </c>
      <c r="BM22" s="55">
        <f t="shared" si="31"/>
        <v>37.26</v>
      </c>
      <c r="BN22" s="63" t="str">
        <f t="shared" si="32"/>
        <v>核减1.87</v>
      </c>
      <c r="BO22" s="51"/>
      <c r="BP22" s="52"/>
      <c r="BQ22" s="51"/>
      <c r="BR22" s="52"/>
      <c r="BS22" s="55" t="str">
        <f t="shared" si="44"/>
        <v/>
      </c>
      <c r="BT22" s="55" t="str">
        <f t="shared" si="45"/>
        <v/>
      </c>
      <c r="BU22" s="51"/>
      <c r="BV22" s="52"/>
      <c r="BW22" s="51"/>
      <c r="BX22" s="52"/>
      <c r="BY22" s="55" t="str">
        <f t="shared" si="46"/>
        <v/>
      </c>
      <c r="BZ22" s="55" t="str">
        <f t="shared" si="47"/>
        <v/>
      </c>
      <c r="EO22" s="68">
        <v>45452</v>
      </c>
    </row>
    <row r="23" ht="13.5" customHeight="1" spans="1:145">
      <c r="A23" s="24" t="s">
        <v>434</v>
      </c>
      <c r="B23" s="20" t="s">
        <v>85</v>
      </c>
      <c r="C23" s="12"/>
      <c r="D23" s="7"/>
      <c r="E23" s="32"/>
      <c r="F23" s="30" t="str">
        <f t="shared" si="0"/>
        <v/>
      </c>
      <c r="G23" s="12"/>
      <c r="H23" s="31"/>
      <c r="I23" s="38"/>
      <c r="J23" s="30" t="str">
        <f t="shared" si="1"/>
        <v/>
      </c>
      <c r="K23" s="12">
        <v>45320</v>
      </c>
      <c r="L23" s="31">
        <v>45358</v>
      </c>
      <c r="M23" s="38" t="str">
        <f t="shared" si="16"/>
        <v>0</v>
      </c>
      <c r="N23" s="30">
        <f t="shared" si="2"/>
        <v>24</v>
      </c>
      <c r="O23" s="12"/>
      <c r="P23" s="31"/>
      <c r="Q23" s="38"/>
      <c r="R23" s="30" t="str">
        <f t="shared" si="3"/>
        <v/>
      </c>
      <c r="S23" s="33">
        <v>45463</v>
      </c>
      <c r="T23" s="31">
        <v>45477</v>
      </c>
      <c r="U23" s="38" t="str">
        <f t="shared" si="37"/>
        <v>0</v>
      </c>
      <c r="V23" s="30">
        <f t="shared" si="4"/>
        <v>11</v>
      </c>
      <c r="W23" s="12"/>
      <c r="X23" s="44"/>
      <c r="Y23" s="38"/>
      <c r="Z23" s="30" t="str">
        <f t="shared" si="5"/>
        <v/>
      </c>
      <c r="AA23" s="12"/>
      <c r="AB23" s="31"/>
      <c r="AC23" s="38"/>
      <c r="AD23" s="30" t="str">
        <f t="shared" si="6"/>
        <v/>
      </c>
      <c r="AE23" s="48" t="s">
        <v>406</v>
      </c>
      <c r="AF23" s="47" t="s">
        <v>406</v>
      </c>
      <c r="AG23" s="53" t="s">
        <v>91</v>
      </c>
      <c r="AH23" s="51"/>
      <c r="AI23" s="52">
        <v>4218.4</v>
      </c>
      <c r="AJ23" s="51"/>
      <c r="AK23" s="52">
        <v>4145.99</v>
      </c>
      <c r="AL23" s="55" t="str">
        <f t="shared" si="38"/>
        <v/>
      </c>
      <c r="AM23" s="55" t="str">
        <f t="shared" si="39"/>
        <v/>
      </c>
      <c r="AN23" s="55" t="str">
        <f t="shared" si="40"/>
        <v/>
      </c>
      <c r="AO23" s="51"/>
      <c r="AP23" s="52"/>
      <c r="AQ23" s="51"/>
      <c r="AR23" s="52"/>
      <c r="AS23" s="55" t="str">
        <f t="shared" si="41"/>
        <v/>
      </c>
      <c r="AT23" s="55" t="str">
        <f t="shared" si="42"/>
        <v/>
      </c>
      <c r="AU23" s="51">
        <v>4222.08</v>
      </c>
      <c r="AV23" s="52">
        <v>4144.66</v>
      </c>
      <c r="AW23" s="51">
        <v>4156.74</v>
      </c>
      <c r="AX23" s="52">
        <v>4080.52</v>
      </c>
      <c r="AY23" s="55" t="str">
        <f t="shared" si="26"/>
        <v>核减</v>
      </c>
      <c r="AZ23" s="55">
        <f t="shared" si="27"/>
        <v>76.2199999999998</v>
      </c>
      <c r="BA23" s="63" t="str">
        <f t="shared" si="28"/>
        <v>核减73.74</v>
      </c>
      <c r="BB23" s="51"/>
      <c r="BC23" s="52"/>
      <c r="BD23" s="51"/>
      <c r="BE23" s="52"/>
      <c r="BF23" s="64" t="str">
        <f t="shared" si="43"/>
        <v/>
      </c>
      <c r="BG23" s="52"/>
      <c r="BH23" s="51">
        <v>4193.71</v>
      </c>
      <c r="BI23" s="52">
        <v>4405.85</v>
      </c>
      <c r="BJ23" s="51">
        <v>4128.81</v>
      </c>
      <c r="BK23" s="52">
        <v>4337.67</v>
      </c>
      <c r="BL23" s="55" t="str">
        <f t="shared" si="30"/>
        <v>核增</v>
      </c>
      <c r="BM23" s="55">
        <f t="shared" si="31"/>
        <v>208.86</v>
      </c>
      <c r="BN23" s="63" t="str">
        <f t="shared" si="32"/>
        <v>核增261.19</v>
      </c>
      <c r="BO23" s="51"/>
      <c r="BP23" s="52"/>
      <c r="BQ23" s="51"/>
      <c r="BR23" s="52"/>
      <c r="BS23" s="55"/>
      <c r="BT23" s="55"/>
      <c r="BU23" s="51"/>
      <c r="BV23" s="52"/>
      <c r="BW23" s="51"/>
      <c r="BX23" s="52"/>
      <c r="BY23" s="55" t="str">
        <f t="shared" si="46"/>
        <v/>
      </c>
      <c r="BZ23" s="55" t="str">
        <f t="shared" si="47"/>
        <v/>
      </c>
      <c r="EO23" s="68">
        <v>45453</v>
      </c>
    </row>
    <row r="24" ht="13.5" customHeight="1" spans="1:145">
      <c r="A24" s="24" t="s">
        <v>435</v>
      </c>
      <c r="B24" s="20" t="s">
        <v>93</v>
      </c>
      <c r="C24" s="12"/>
      <c r="D24" s="7"/>
      <c r="E24" s="32" t="str">
        <f t="shared" ref="E24:E26" si="53">IF(C24&lt;&gt;0,IF(D24&lt;&gt;0,"0","1"),"")</f>
        <v/>
      </c>
      <c r="F24" s="30" t="str">
        <f t="shared" si="0"/>
        <v/>
      </c>
      <c r="G24" s="12"/>
      <c r="H24" s="31"/>
      <c r="I24" s="38"/>
      <c r="J24" s="30" t="str">
        <f t="shared" si="1"/>
        <v/>
      </c>
      <c r="K24" s="12">
        <v>45342</v>
      </c>
      <c r="L24" s="31">
        <v>45356</v>
      </c>
      <c r="M24" s="38" t="str">
        <f t="shared" si="16"/>
        <v>0</v>
      </c>
      <c r="N24" s="30">
        <f t="shared" si="2"/>
        <v>11</v>
      </c>
      <c r="O24" s="12"/>
      <c r="P24" s="31"/>
      <c r="Q24" s="38"/>
      <c r="R24" s="30" t="str">
        <f t="shared" si="3"/>
        <v/>
      </c>
      <c r="S24" s="12">
        <v>45401</v>
      </c>
      <c r="T24" s="31">
        <v>45455</v>
      </c>
      <c r="U24" s="38" t="str">
        <f t="shared" si="37"/>
        <v>0</v>
      </c>
      <c r="V24" s="30">
        <f t="shared" si="4"/>
        <v>35</v>
      </c>
      <c r="W24" s="12"/>
      <c r="X24" s="44"/>
      <c r="Y24" s="38"/>
      <c r="Z24" s="30" t="str">
        <f t="shared" si="5"/>
        <v/>
      </c>
      <c r="AA24" s="12"/>
      <c r="AB24" s="31"/>
      <c r="AC24" s="38"/>
      <c r="AD24" s="30" t="str">
        <f t="shared" si="6"/>
        <v/>
      </c>
      <c r="AE24" s="46" t="s">
        <v>82</v>
      </c>
      <c r="AF24" s="47" t="s">
        <v>82</v>
      </c>
      <c r="AG24" s="53" t="s">
        <v>97</v>
      </c>
      <c r="AH24" s="51"/>
      <c r="AI24" s="52">
        <v>8832.4</v>
      </c>
      <c r="AJ24" s="51"/>
      <c r="AK24" s="52">
        <v>8680.83</v>
      </c>
      <c r="AL24" s="55" t="str">
        <f t="shared" si="38"/>
        <v/>
      </c>
      <c r="AM24" s="55" t="str">
        <f t="shared" si="39"/>
        <v/>
      </c>
      <c r="AN24" s="55" t="str">
        <f t="shared" si="40"/>
        <v/>
      </c>
      <c r="AO24" s="51"/>
      <c r="AP24" s="52"/>
      <c r="AQ24" s="51"/>
      <c r="AR24" s="52"/>
      <c r="AS24" s="55" t="str">
        <f t="shared" si="41"/>
        <v/>
      </c>
      <c r="AT24" s="55" t="str">
        <f t="shared" si="42"/>
        <v/>
      </c>
      <c r="AU24" s="51">
        <v>8694.91</v>
      </c>
      <c r="AV24" s="52">
        <v>8643.21</v>
      </c>
      <c r="AW24" s="51">
        <v>8517.63</v>
      </c>
      <c r="AX24" s="52">
        <v>8509.45</v>
      </c>
      <c r="AY24" s="55" t="str">
        <f t="shared" si="26"/>
        <v>核减</v>
      </c>
      <c r="AZ24" s="55">
        <f t="shared" si="27"/>
        <v>8.17999999999847</v>
      </c>
      <c r="BA24" s="63" t="str">
        <f t="shared" si="28"/>
        <v>核减189.19</v>
      </c>
      <c r="BB24" s="51"/>
      <c r="BC24" s="52"/>
      <c r="BD24" s="51"/>
      <c r="BE24" s="52"/>
      <c r="BF24" s="64" t="str">
        <f t="shared" si="43"/>
        <v/>
      </c>
      <c r="BG24" s="52"/>
      <c r="BH24" s="51">
        <v>8364.04</v>
      </c>
      <c r="BI24" s="52">
        <v>8353.2</v>
      </c>
      <c r="BJ24" s="51">
        <v>8234.61</v>
      </c>
      <c r="BK24" s="52">
        <v>8223.93</v>
      </c>
      <c r="BL24" s="55" t="str">
        <f t="shared" si="30"/>
        <v>核减</v>
      </c>
      <c r="BM24" s="55">
        <f t="shared" si="31"/>
        <v>10.6800000000003</v>
      </c>
      <c r="BN24" s="63" t="str">
        <f t="shared" si="32"/>
        <v>核减290.01</v>
      </c>
      <c r="BO24" s="51"/>
      <c r="BP24" s="52"/>
      <c r="BQ24" s="51"/>
      <c r="BR24" s="52"/>
      <c r="BS24" s="55" t="str">
        <f t="shared" ref="BS24:BS26" si="54">IF(AND(BR24&lt;&gt;"",BQ24&lt;&gt;""),IF(BR24&gt;BQ24,"核增",IF(BR24&lt;BQ24,"核减","不变")),"")</f>
        <v/>
      </c>
      <c r="BT24" s="55" t="str">
        <f t="shared" ref="BT24:BT26" si="55">IF(AND(BR24&lt;&gt;"",BQ24&lt;&gt;""),MAX(ABS(BR24),ABS(BQ24))-MIN(ABS(BR24),ABS(BQ24)),"")</f>
        <v/>
      </c>
      <c r="BU24" s="51"/>
      <c r="BV24" s="52"/>
      <c r="BW24" s="51"/>
      <c r="BX24" s="52"/>
      <c r="BY24" s="55" t="str">
        <f t="shared" si="46"/>
        <v/>
      </c>
      <c r="BZ24" s="55" t="str">
        <f t="shared" si="47"/>
        <v/>
      </c>
      <c r="EO24" s="68">
        <v>45550</v>
      </c>
    </row>
    <row r="25" ht="13.5" customHeight="1" spans="1:145">
      <c r="A25" s="19" t="s">
        <v>436</v>
      </c>
      <c r="B25" s="20" t="s">
        <v>93</v>
      </c>
      <c r="C25" s="12">
        <v>45266</v>
      </c>
      <c r="D25" s="7">
        <v>45322</v>
      </c>
      <c r="E25" s="32" t="str">
        <f t="shared" si="53"/>
        <v>0</v>
      </c>
      <c r="F25" s="30">
        <f t="shared" si="0"/>
        <v>39</v>
      </c>
      <c r="G25" s="12"/>
      <c r="H25" s="31"/>
      <c r="I25" s="38" t="str">
        <f t="shared" ref="I25:I27" si="56">IF(G25&lt;&gt;0,IF(H25&lt;&gt;0,"0","1"),"")</f>
        <v/>
      </c>
      <c r="J25" s="30" t="str">
        <f t="shared" si="1"/>
        <v/>
      </c>
      <c r="K25" s="12">
        <v>45344</v>
      </c>
      <c r="L25" s="31">
        <v>45352</v>
      </c>
      <c r="M25" s="38" t="str">
        <f t="shared" si="16"/>
        <v>0</v>
      </c>
      <c r="N25" s="30">
        <f t="shared" si="2"/>
        <v>7</v>
      </c>
      <c r="O25" s="12"/>
      <c r="P25" s="31"/>
      <c r="Q25" s="38" t="str">
        <f t="shared" ref="Q25:Q26" si="57">IF(O25&lt;&gt;0,IF(P25&lt;&gt;0,"0","1"),"")</f>
        <v/>
      </c>
      <c r="R25" s="30" t="str">
        <f t="shared" si="3"/>
        <v/>
      </c>
      <c r="S25" s="12">
        <v>45392</v>
      </c>
      <c r="T25" s="31">
        <v>45423</v>
      </c>
      <c r="U25" s="38" t="str">
        <f t="shared" si="37"/>
        <v>0</v>
      </c>
      <c r="V25" s="30">
        <f t="shared" si="4"/>
        <v>20</v>
      </c>
      <c r="W25" s="12"/>
      <c r="X25" s="44"/>
      <c r="Y25" s="38" t="str">
        <f t="shared" ref="Y25:Y26" si="58">IF(W25&lt;&gt;0,IF(X25&lt;&gt;0,"0","1"),"")</f>
        <v/>
      </c>
      <c r="Z25" s="30" t="str">
        <f t="shared" si="5"/>
        <v/>
      </c>
      <c r="AA25" s="12"/>
      <c r="AB25" s="31"/>
      <c r="AC25" s="38" t="str">
        <f t="shared" ref="AC25:AC27" si="59">IF(AA25&lt;&gt;0,IF(AB25&lt;&gt;0,"0","1"),"")</f>
        <v/>
      </c>
      <c r="AD25" s="30" t="str">
        <f t="shared" si="6"/>
        <v/>
      </c>
      <c r="AE25" s="48" t="s">
        <v>406</v>
      </c>
      <c r="AF25" s="47" t="s">
        <v>406</v>
      </c>
      <c r="AG25" s="53" t="s">
        <v>97</v>
      </c>
      <c r="AH25" s="51">
        <v>18279.43</v>
      </c>
      <c r="AI25" s="52">
        <v>16917.49</v>
      </c>
      <c r="AJ25" s="51">
        <v>17943.66</v>
      </c>
      <c r="AK25" s="52">
        <v>16606.72</v>
      </c>
      <c r="AL25" s="55" t="str">
        <f t="shared" si="38"/>
        <v>核减</v>
      </c>
      <c r="AM25" s="55">
        <f t="shared" si="39"/>
        <v>1361.94</v>
      </c>
      <c r="AN25" s="55">
        <f t="shared" si="40"/>
        <v>1336.94</v>
      </c>
      <c r="AO25" s="51"/>
      <c r="AP25" s="52"/>
      <c r="AQ25" s="51"/>
      <c r="AR25" s="52"/>
      <c r="AS25" s="55" t="str">
        <f t="shared" si="41"/>
        <v/>
      </c>
      <c r="AT25" s="55" t="str">
        <f t="shared" si="42"/>
        <v/>
      </c>
      <c r="AU25" s="57">
        <v>16703.11</v>
      </c>
      <c r="AV25" s="58">
        <v>16223.92</v>
      </c>
      <c r="AW25" s="57">
        <v>16396.3</v>
      </c>
      <c r="AX25" s="58">
        <v>15925.9</v>
      </c>
      <c r="AY25" s="55" t="str">
        <f t="shared" si="26"/>
        <v>核减</v>
      </c>
      <c r="AZ25" s="55">
        <f t="shared" si="27"/>
        <v>470.4</v>
      </c>
      <c r="BA25" s="63" t="str">
        <f t="shared" si="28"/>
        <v>核减693.57</v>
      </c>
      <c r="BB25" s="51"/>
      <c r="BC25" s="52"/>
      <c r="BD25" s="51"/>
      <c r="BE25" s="52"/>
      <c r="BF25" s="64" t="str">
        <f t="shared" si="43"/>
        <v/>
      </c>
      <c r="BG25" s="52"/>
      <c r="BH25" s="51">
        <v>14541.74</v>
      </c>
      <c r="BI25" s="52">
        <v>15058.95</v>
      </c>
      <c r="BJ25" s="51">
        <v>14300.88</v>
      </c>
      <c r="BK25" s="52">
        <v>14809.52</v>
      </c>
      <c r="BL25" s="55" t="str">
        <f t="shared" si="30"/>
        <v>核增</v>
      </c>
      <c r="BM25" s="55">
        <f t="shared" si="31"/>
        <v>508.640000000001</v>
      </c>
      <c r="BN25" s="63" t="str">
        <f t="shared" si="32"/>
        <v>核减1164.97</v>
      </c>
      <c r="BO25" s="51"/>
      <c r="BP25" s="52"/>
      <c r="BQ25" s="51"/>
      <c r="BR25" s="52"/>
      <c r="BS25" s="55" t="str">
        <f t="shared" si="54"/>
        <v/>
      </c>
      <c r="BT25" s="55" t="str">
        <f t="shared" si="55"/>
        <v/>
      </c>
      <c r="BU25" s="51"/>
      <c r="BV25" s="52"/>
      <c r="BW25" s="51"/>
      <c r="BX25" s="52"/>
      <c r="BY25" s="55" t="str">
        <f t="shared" si="46"/>
        <v/>
      </c>
      <c r="BZ25" s="55" t="str">
        <f t="shared" si="47"/>
        <v/>
      </c>
      <c r="EO25" s="68">
        <v>45551</v>
      </c>
    </row>
    <row r="26" ht="13.5" customHeight="1" spans="1:145">
      <c r="A26" s="18" t="s">
        <v>270</v>
      </c>
      <c r="B26" s="11" t="s">
        <v>85</v>
      </c>
      <c r="C26" s="12">
        <v>45287</v>
      </c>
      <c r="D26" s="7">
        <v>45322</v>
      </c>
      <c r="E26" s="32" t="str">
        <f t="shared" si="53"/>
        <v>0</v>
      </c>
      <c r="F26" s="30">
        <f t="shared" si="0"/>
        <v>24</v>
      </c>
      <c r="G26" s="12"/>
      <c r="H26" s="31"/>
      <c r="I26" s="38" t="str">
        <f t="shared" si="56"/>
        <v/>
      </c>
      <c r="J26" s="30" t="str">
        <f t="shared" si="1"/>
        <v/>
      </c>
      <c r="K26" s="12">
        <v>45378</v>
      </c>
      <c r="L26" s="31">
        <v>45380</v>
      </c>
      <c r="M26" s="38" t="str">
        <f t="shared" si="16"/>
        <v>0</v>
      </c>
      <c r="N26" s="30">
        <f t="shared" si="2"/>
        <v>3</v>
      </c>
      <c r="O26" s="12"/>
      <c r="P26" s="31"/>
      <c r="Q26" s="38" t="str">
        <f t="shared" si="57"/>
        <v/>
      </c>
      <c r="R26" s="30" t="str">
        <f t="shared" si="3"/>
        <v/>
      </c>
      <c r="S26" s="12"/>
      <c r="T26" s="31"/>
      <c r="U26" s="38"/>
      <c r="V26" s="30" t="str">
        <f t="shared" si="4"/>
        <v/>
      </c>
      <c r="W26" s="12"/>
      <c r="X26" s="44"/>
      <c r="Y26" s="38" t="str">
        <f t="shared" si="58"/>
        <v/>
      </c>
      <c r="Z26" s="30" t="str">
        <f t="shared" si="5"/>
        <v/>
      </c>
      <c r="AA26" s="12"/>
      <c r="AB26" s="31"/>
      <c r="AC26" s="38" t="str">
        <f t="shared" si="59"/>
        <v/>
      </c>
      <c r="AD26" s="30" t="str">
        <f t="shared" si="6"/>
        <v/>
      </c>
      <c r="AE26" s="48" t="s">
        <v>97</v>
      </c>
      <c r="AF26" s="47" t="s">
        <v>91</v>
      </c>
      <c r="AG26" s="53" t="s">
        <v>97</v>
      </c>
      <c r="AH26" s="51">
        <v>5082.89</v>
      </c>
      <c r="AI26" s="52">
        <v>4503.27</v>
      </c>
      <c r="AJ26" s="51">
        <v>5082.89</v>
      </c>
      <c r="AK26" s="52">
        <v>4503.27</v>
      </c>
      <c r="AL26" s="55" t="str">
        <f t="shared" si="38"/>
        <v>核减</v>
      </c>
      <c r="AM26" s="55">
        <f t="shared" si="39"/>
        <v>579.62</v>
      </c>
      <c r="AN26" s="55">
        <f t="shared" si="40"/>
        <v>579.62</v>
      </c>
      <c r="AO26" s="51"/>
      <c r="AP26" s="52"/>
      <c r="AQ26" s="51"/>
      <c r="AR26" s="52"/>
      <c r="AS26" s="55" t="str">
        <f t="shared" si="41"/>
        <v/>
      </c>
      <c r="AT26" s="55" t="str">
        <f t="shared" si="42"/>
        <v/>
      </c>
      <c r="AU26" s="59">
        <v>4388.45</v>
      </c>
      <c r="AV26" s="52">
        <v>4385.39</v>
      </c>
      <c r="AW26" s="59">
        <v>4388.45</v>
      </c>
      <c r="AX26" s="52">
        <v>4385.39</v>
      </c>
      <c r="AY26" s="55" t="str">
        <f t="shared" si="26"/>
        <v>核减</v>
      </c>
      <c r="AZ26" s="55">
        <f t="shared" si="27"/>
        <v>3.05999999999949</v>
      </c>
      <c r="BA26" s="63" t="str">
        <f t="shared" si="28"/>
        <v>核减117.88</v>
      </c>
      <c r="BB26" s="51"/>
      <c r="BC26" s="52"/>
      <c r="BD26" s="51"/>
      <c r="BE26" s="52"/>
      <c r="BF26" s="64" t="str">
        <f t="shared" si="43"/>
        <v/>
      </c>
      <c r="BG26" s="52"/>
      <c r="BH26" s="51"/>
      <c r="BI26" s="52"/>
      <c r="BJ26" s="51"/>
      <c r="BK26" s="52"/>
      <c r="BL26" s="55" t="str">
        <f t="shared" si="30"/>
        <v/>
      </c>
      <c r="BM26" s="55" t="str">
        <f t="shared" si="31"/>
        <v/>
      </c>
      <c r="BN26" s="63" t="str">
        <f t="shared" si="32"/>
        <v/>
      </c>
      <c r="BO26" s="51"/>
      <c r="BP26" s="52"/>
      <c r="BQ26" s="51"/>
      <c r="BR26" s="52"/>
      <c r="BS26" s="55" t="str">
        <f t="shared" si="54"/>
        <v/>
      </c>
      <c r="BT26" s="55" t="str">
        <f t="shared" si="55"/>
        <v/>
      </c>
      <c r="BU26" s="51"/>
      <c r="BV26" s="52"/>
      <c r="BW26" s="51"/>
      <c r="BX26" s="52"/>
      <c r="BY26" s="55" t="str">
        <f t="shared" si="46"/>
        <v/>
      </c>
      <c r="BZ26" s="55" t="str">
        <f t="shared" si="47"/>
        <v/>
      </c>
      <c r="EO26" s="68">
        <v>45552</v>
      </c>
    </row>
    <row r="27" ht="13.5" customHeight="1" spans="1:145">
      <c r="A27" s="25" t="s">
        <v>437</v>
      </c>
      <c r="B27" s="5" t="s">
        <v>81</v>
      </c>
      <c r="C27" s="6"/>
      <c r="D27" s="7"/>
      <c r="E27" s="32"/>
      <c r="F27" s="30" t="str">
        <f t="shared" si="0"/>
        <v/>
      </c>
      <c r="G27" s="12"/>
      <c r="H27" s="31"/>
      <c r="I27" s="38" t="str">
        <f t="shared" si="56"/>
        <v/>
      </c>
      <c r="J27" s="30" t="str">
        <f t="shared" si="1"/>
        <v/>
      </c>
      <c r="K27" s="12">
        <v>45383</v>
      </c>
      <c r="L27" s="31">
        <v>45410</v>
      </c>
      <c r="M27" s="40" t="str">
        <f t="shared" si="16"/>
        <v>0</v>
      </c>
      <c r="N27" s="30">
        <f t="shared" si="2"/>
        <v>18</v>
      </c>
      <c r="O27" s="12"/>
      <c r="P27" s="31"/>
      <c r="Q27" s="38"/>
      <c r="R27" s="30" t="str">
        <f t="shared" si="3"/>
        <v/>
      </c>
      <c r="S27" s="12">
        <v>45499</v>
      </c>
      <c r="T27" s="31">
        <v>45506</v>
      </c>
      <c r="U27" s="38" t="str">
        <f t="shared" ref="U27:U38" si="60">IF(S27&lt;&gt;0,IF(T27&lt;&gt;0,"0","1"),"")</f>
        <v>0</v>
      </c>
      <c r="V27" s="30">
        <f t="shared" si="4"/>
        <v>6</v>
      </c>
      <c r="W27" s="12"/>
      <c r="X27" s="44"/>
      <c r="Y27" s="38"/>
      <c r="Z27" s="30" t="str">
        <f t="shared" si="5"/>
        <v/>
      </c>
      <c r="AA27" s="12"/>
      <c r="AB27" s="31"/>
      <c r="AC27" s="40" t="str">
        <f t="shared" si="59"/>
        <v/>
      </c>
      <c r="AD27" s="30" t="str">
        <f t="shared" si="6"/>
        <v/>
      </c>
      <c r="AE27" s="46" t="s">
        <v>86</v>
      </c>
      <c r="AF27" s="49" t="s">
        <v>86</v>
      </c>
      <c r="AG27" s="53" t="s">
        <v>91</v>
      </c>
      <c r="AH27" s="51"/>
      <c r="AI27" s="52">
        <v>1473.99</v>
      </c>
      <c r="AJ27" s="51"/>
      <c r="AK27" s="52">
        <v>1448.69</v>
      </c>
      <c r="AL27" s="55" t="str">
        <f t="shared" si="38"/>
        <v/>
      </c>
      <c r="AM27" s="55" t="str">
        <f t="shared" si="39"/>
        <v/>
      </c>
      <c r="AN27" s="55" t="str">
        <f t="shared" si="40"/>
        <v/>
      </c>
      <c r="AO27" s="48"/>
      <c r="AP27" s="56"/>
      <c r="AQ27" s="48"/>
      <c r="AR27" s="56"/>
      <c r="AS27" s="40"/>
      <c r="AT27" s="40"/>
      <c r="AU27" s="51">
        <v>1463.44</v>
      </c>
      <c r="AV27" s="52">
        <v>1419.51</v>
      </c>
      <c r="AW27" s="51">
        <v>1452.02</v>
      </c>
      <c r="AX27" s="52">
        <v>1408.44</v>
      </c>
      <c r="AY27" s="55" t="str">
        <f t="shared" si="26"/>
        <v>核减</v>
      </c>
      <c r="AZ27" s="55">
        <f t="shared" si="27"/>
        <v>43.5799999999999</v>
      </c>
      <c r="BA27" s="63" t="str">
        <f t="shared" si="28"/>
        <v>核减54.48</v>
      </c>
      <c r="BB27" s="48"/>
      <c r="BC27" s="56"/>
      <c r="BD27" s="48"/>
      <c r="BE27" s="56"/>
      <c r="BF27" s="64"/>
      <c r="BG27" s="52"/>
      <c r="BH27" s="51">
        <v>1512.48</v>
      </c>
      <c r="BI27" s="52">
        <v>1204.21</v>
      </c>
      <c r="BJ27" s="51">
        <v>1489.07</v>
      </c>
      <c r="BK27" s="52">
        <v>1194.82</v>
      </c>
      <c r="BL27" s="55" t="str">
        <f t="shared" si="30"/>
        <v>核减</v>
      </c>
      <c r="BM27" s="55">
        <f t="shared" si="31"/>
        <v>294.25</v>
      </c>
      <c r="BN27" s="63" t="str">
        <f t="shared" si="32"/>
        <v>核减215.30</v>
      </c>
      <c r="BO27" s="48"/>
      <c r="BP27" s="56"/>
      <c r="BQ27" s="48"/>
      <c r="BR27" s="56"/>
      <c r="BS27" s="40"/>
      <c r="BT27" s="40"/>
      <c r="BU27" s="51"/>
      <c r="BV27" s="52"/>
      <c r="BW27" s="51"/>
      <c r="BX27" s="52"/>
      <c r="BY27" s="40"/>
      <c r="BZ27" s="55"/>
      <c r="EO27" s="68">
        <v>45566</v>
      </c>
    </row>
    <row r="28" ht="13.5" customHeight="1" spans="1:145">
      <c r="A28" s="25" t="s">
        <v>438</v>
      </c>
      <c r="B28" s="5" t="s">
        <v>85</v>
      </c>
      <c r="C28" s="6"/>
      <c r="D28" s="7"/>
      <c r="E28" s="29"/>
      <c r="F28" s="30" t="str">
        <f t="shared" si="0"/>
        <v/>
      </c>
      <c r="G28" s="12"/>
      <c r="H28" s="31"/>
      <c r="I28" s="38"/>
      <c r="J28" s="30" t="str">
        <f t="shared" si="1"/>
        <v/>
      </c>
      <c r="K28" s="12">
        <v>45394</v>
      </c>
      <c r="L28" s="31">
        <v>45418</v>
      </c>
      <c r="M28" s="40" t="str">
        <f t="shared" si="16"/>
        <v>0</v>
      </c>
      <c r="N28" s="30">
        <f t="shared" si="2"/>
        <v>14</v>
      </c>
      <c r="O28" s="12"/>
      <c r="P28" s="31"/>
      <c r="Q28" s="38" t="str">
        <f t="shared" ref="Q28:Q29" si="61">IF(O28&lt;&gt;0,IF(P28&lt;&gt;0,"0","1"),"")</f>
        <v/>
      </c>
      <c r="R28" s="30" t="str">
        <f t="shared" si="3"/>
        <v/>
      </c>
      <c r="S28" s="12">
        <v>45561</v>
      </c>
      <c r="T28" s="31">
        <v>45576</v>
      </c>
      <c r="U28" s="38" t="str">
        <f t="shared" si="60"/>
        <v>0</v>
      </c>
      <c r="V28" s="30">
        <f t="shared" si="4"/>
        <v>7</v>
      </c>
      <c r="W28" s="12"/>
      <c r="X28" s="44"/>
      <c r="Y28" s="38"/>
      <c r="Z28" s="30" t="str">
        <f t="shared" si="5"/>
        <v/>
      </c>
      <c r="AA28" s="12"/>
      <c r="AB28" s="31"/>
      <c r="AC28" s="40"/>
      <c r="AD28" s="30" t="str">
        <f t="shared" si="6"/>
        <v/>
      </c>
      <c r="AE28" s="46" t="s">
        <v>82</v>
      </c>
      <c r="AF28" s="49" t="s">
        <v>82</v>
      </c>
      <c r="AG28" s="50" t="s">
        <v>87</v>
      </c>
      <c r="AH28" s="51"/>
      <c r="AI28" s="52">
        <v>1540.54</v>
      </c>
      <c r="AJ28" s="51"/>
      <c r="AK28" s="52">
        <v>1527.2</v>
      </c>
      <c r="AL28" s="40"/>
      <c r="AM28" s="40"/>
      <c r="AN28" s="40"/>
      <c r="AO28" s="48"/>
      <c r="AP28" s="56"/>
      <c r="AQ28" s="48"/>
      <c r="AR28" s="56"/>
      <c r="AS28" s="40"/>
      <c r="AT28" s="40"/>
      <c r="AU28" s="51">
        <v>1575.95</v>
      </c>
      <c r="AV28" s="52">
        <v>1645.45</v>
      </c>
      <c r="AW28" s="51">
        <v>1562.79</v>
      </c>
      <c r="AX28" s="52">
        <v>1632.62</v>
      </c>
      <c r="AY28" s="55" t="str">
        <f t="shared" si="26"/>
        <v>核增</v>
      </c>
      <c r="AZ28" s="55">
        <f t="shared" si="27"/>
        <v>69.8299999999999</v>
      </c>
      <c r="BA28" s="63" t="str">
        <f t="shared" si="28"/>
        <v>核增104.91</v>
      </c>
      <c r="BB28" s="48"/>
      <c r="BC28" s="56"/>
      <c r="BD28" s="48"/>
      <c r="BE28" s="56"/>
      <c r="BF28" s="64"/>
      <c r="BG28" s="52"/>
      <c r="BH28" s="51">
        <v>1560.53</v>
      </c>
      <c r="BI28" s="52">
        <v>1574.58</v>
      </c>
      <c r="BJ28" s="51">
        <v>1548.36</v>
      </c>
      <c r="BK28" s="52">
        <v>1562.31</v>
      </c>
      <c r="BL28" s="55" t="str">
        <f t="shared" si="30"/>
        <v>核增</v>
      </c>
      <c r="BM28" s="55">
        <f t="shared" si="31"/>
        <v>13.95</v>
      </c>
      <c r="BN28" s="63" t="str">
        <f t="shared" si="32"/>
        <v>核减70.87</v>
      </c>
      <c r="BO28" s="48"/>
      <c r="BP28" s="56"/>
      <c r="BQ28" s="48"/>
      <c r="BR28" s="56"/>
      <c r="BS28" s="40"/>
      <c r="BT28" s="40"/>
      <c r="BU28" s="51"/>
      <c r="BV28" s="52"/>
      <c r="BW28" s="51"/>
      <c r="BX28" s="52"/>
      <c r="BY28" s="40"/>
      <c r="BZ28" s="55"/>
      <c r="EO28" s="68">
        <v>45567</v>
      </c>
    </row>
    <row r="29" ht="13.5" customHeight="1" spans="1:145">
      <c r="A29" s="21" t="s">
        <v>439</v>
      </c>
      <c r="B29" s="23" t="s">
        <v>93</v>
      </c>
      <c r="C29" s="12"/>
      <c r="D29" s="7"/>
      <c r="E29" s="32" t="str">
        <f>IF(C29&lt;&gt;0,IF(D29&lt;&gt;0,"0","1"),"")</f>
        <v/>
      </c>
      <c r="F29" s="30" t="str">
        <f t="shared" si="0"/>
        <v/>
      </c>
      <c r="G29" s="12">
        <v>45308</v>
      </c>
      <c r="H29" s="35">
        <v>45344</v>
      </c>
      <c r="I29" s="38" t="str">
        <f>IF(G29&lt;&gt;0,IF(H29&lt;&gt;0,"0","1"),"")</f>
        <v>0</v>
      </c>
      <c r="J29" s="30">
        <f t="shared" si="1"/>
        <v>22</v>
      </c>
      <c r="K29" s="12">
        <v>45405</v>
      </c>
      <c r="L29" s="31">
        <v>45420</v>
      </c>
      <c r="M29" s="38" t="str">
        <f t="shared" si="16"/>
        <v>0</v>
      </c>
      <c r="N29" s="30">
        <f t="shared" si="2"/>
        <v>9</v>
      </c>
      <c r="O29" s="41"/>
      <c r="P29" s="31"/>
      <c r="Q29" s="38" t="str">
        <f t="shared" si="61"/>
        <v/>
      </c>
      <c r="R29" s="30" t="str">
        <f t="shared" si="3"/>
        <v/>
      </c>
      <c r="S29" s="33">
        <v>45582</v>
      </c>
      <c r="T29" s="31">
        <v>45583</v>
      </c>
      <c r="U29" s="38" t="str">
        <f t="shared" si="60"/>
        <v>0</v>
      </c>
      <c r="V29" s="30">
        <f t="shared" si="4"/>
        <v>2</v>
      </c>
      <c r="W29" s="12"/>
      <c r="X29" s="44"/>
      <c r="Y29" s="38" t="str">
        <f>IF(W29&lt;&gt;0,IF(X29&lt;&gt;0,"0","1"),"")</f>
        <v/>
      </c>
      <c r="Z29" s="30" t="str">
        <f t="shared" si="5"/>
        <v/>
      </c>
      <c r="AA29" s="12"/>
      <c r="AB29" s="31"/>
      <c r="AC29" s="38" t="str">
        <f>IF(AA29&lt;&gt;0,IF(AB29&lt;&gt;0,"0","1"),"")</f>
        <v/>
      </c>
      <c r="AD29" s="30" t="str">
        <f t="shared" si="6"/>
        <v/>
      </c>
      <c r="AE29" s="48" t="s">
        <v>86</v>
      </c>
      <c r="AF29" s="47" t="s">
        <v>86</v>
      </c>
      <c r="AG29" s="53" t="s">
        <v>97</v>
      </c>
      <c r="AH29" s="51"/>
      <c r="AI29" s="52">
        <v>6356.41</v>
      </c>
      <c r="AJ29" s="51"/>
      <c r="AK29" s="52"/>
      <c r="AL29" s="55" t="str">
        <f>IF(AND(AK29&lt;&gt;"",AJ29&lt;&gt;""),IF(AK29&gt;AJ29,"核增",IF(AK29&lt;AJ29,"核减","不变")),"")</f>
        <v/>
      </c>
      <c r="AM29" s="55" t="str">
        <f>IF(AND(AI29&lt;&gt;"",AH29&lt;&gt;""),MAX(ABS(AI29),ABS(AH29))-MIN(ABS(AI29),ABS(AH29)),"")</f>
        <v/>
      </c>
      <c r="AN29" s="55" t="str">
        <f>IF(AND(AK29&lt;&gt;"",AJ29&lt;&gt;""),MAX(ABS(AK29),ABS(AJ29))-MIN(ABS(AK29),ABS(AJ29)),"")</f>
        <v/>
      </c>
      <c r="AO29" s="51">
        <v>7871.18</v>
      </c>
      <c r="AP29" s="52">
        <v>7938.25</v>
      </c>
      <c r="AQ29" s="51">
        <v>7736.07</v>
      </c>
      <c r="AR29" s="52">
        <v>7801.99</v>
      </c>
      <c r="AS29" s="55" t="str">
        <f>IF(AND(AR29&lt;&gt;"",AQ29&lt;&gt;""),IF(AR29&gt;AQ29,"核增",IF(AR29&lt;AQ29,"核减","不变")),"")</f>
        <v>核增</v>
      </c>
      <c r="AT29" s="55">
        <f>IF(AND(AR29&lt;&gt;"",AQ29&lt;&gt;""),MAX(ABS(AR29),ABS(AQ29))-MIN(ABS(AR29),ABS(AQ29)),"")</f>
        <v>65.9200000000001</v>
      </c>
      <c r="AU29" s="60">
        <v>7802.87</v>
      </c>
      <c r="AV29" s="61">
        <v>7807.74</v>
      </c>
      <c r="AW29" s="60">
        <v>7674.97</v>
      </c>
      <c r="AX29" s="61">
        <v>7679.77</v>
      </c>
      <c r="AY29" s="55" t="str">
        <f t="shared" si="26"/>
        <v>核增</v>
      </c>
      <c r="AZ29" s="55">
        <f t="shared" si="27"/>
        <v>4.80000000000018</v>
      </c>
      <c r="BA29" s="63" t="str">
        <f t="shared" si="28"/>
        <v>核增1451.33</v>
      </c>
      <c r="BB29" s="51"/>
      <c r="BC29" s="52"/>
      <c r="BD29" s="51"/>
      <c r="BE29" s="52"/>
      <c r="BF29" s="64" t="str">
        <f>IF(AND(BE29&lt;&gt;"",BD29&lt;&gt;""),IF(BE29&gt;BD29,"核增",IF(BE29&lt;BD29,"核减","不变")),"")</f>
        <v/>
      </c>
      <c r="BG29" s="52"/>
      <c r="BH29" s="57">
        <v>7457.49</v>
      </c>
      <c r="BI29" s="58">
        <v>6943.82</v>
      </c>
      <c r="BJ29" s="57">
        <v>7329.48</v>
      </c>
      <c r="BK29" s="58">
        <v>6831.87</v>
      </c>
      <c r="BL29" s="55" t="str">
        <f t="shared" si="30"/>
        <v>核减</v>
      </c>
      <c r="BM29" s="55">
        <f t="shared" si="31"/>
        <v>497.61</v>
      </c>
      <c r="BN29" s="63" t="str">
        <f t="shared" si="32"/>
        <v>核减863.92</v>
      </c>
      <c r="BO29" s="51"/>
      <c r="BP29" s="52"/>
      <c r="BQ29" s="51"/>
      <c r="BR29" s="52"/>
      <c r="BS29" s="55" t="str">
        <f t="shared" ref="BS29:BS30" si="62">IF(AND(BR29&lt;&gt;"",BQ29&lt;&gt;""),IF(BR29&gt;BQ29,"核增",IF(BR29&lt;BQ29,"核减","不变")),"")</f>
        <v/>
      </c>
      <c r="BT29" s="55" t="str">
        <f t="shared" ref="BT29:BT30" si="63">IF(AND(BR29&lt;&gt;"",BQ29&lt;&gt;""),MAX(ABS(BR29),ABS(BQ29))-MIN(ABS(BR29),ABS(BQ29)),"")</f>
        <v/>
      </c>
      <c r="BU29" s="51"/>
      <c r="BV29" s="52"/>
      <c r="BW29" s="51"/>
      <c r="BX29" s="52"/>
      <c r="BY29" s="55" t="str">
        <f>IF(AND(BX29&lt;&gt;"",BW29&lt;&gt;""),IF(BX29&gt;BW29,"核增",IF(BX29&lt;BW29,"核减","不变")),"")</f>
        <v/>
      </c>
      <c r="BZ29" s="55" t="str">
        <f>IF(AND(BX29&lt;&gt;"",BW29&lt;&gt;""),MAX(ABS(BX29),ABS(BW29))-MIN(ABS(BX29),ABS(BW29)),"")</f>
        <v/>
      </c>
      <c r="EO29" s="68">
        <v>45568</v>
      </c>
    </row>
    <row r="30" ht="13.5" customHeight="1" spans="1:145">
      <c r="A30" s="26" t="s">
        <v>440</v>
      </c>
      <c r="B30" s="27" t="s">
        <v>93</v>
      </c>
      <c r="C30" s="6"/>
      <c r="D30" s="7"/>
      <c r="E30" s="29"/>
      <c r="F30" s="30" t="str">
        <f t="shared" si="0"/>
        <v/>
      </c>
      <c r="G30" s="12"/>
      <c r="H30" s="31"/>
      <c r="I30" s="38"/>
      <c r="J30" s="30" t="str">
        <f t="shared" si="1"/>
        <v/>
      </c>
      <c r="K30" s="12">
        <v>45419</v>
      </c>
      <c r="L30" s="31">
        <v>45436</v>
      </c>
      <c r="M30" s="40" t="str">
        <f t="shared" si="16"/>
        <v>0</v>
      </c>
      <c r="N30" s="30">
        <f t="shared" si="2"/>
        <v>14</v>
      </c>
      <c r="O30" s="12"/>
      <c r="P30" s="31"/>
      <c r="Q30" s="38"/>
      <c r="R30" s="30" t="str">
        <f t="shared" si="3"/>
        <v/>
      </c>
      <c r="S30" s="12">
        <v>45564</v>
      </c>
      <c r="T30" s="31">
        <v>45577</v>
      </c>
      <c r="U30" s="38" t="str">
        <f t="shared" si="60"/>
        <v>0</v>
      </c>
      <c r="V30" s="30">
        <f t="shared" si="4"/>
        <v>5</v>
      </c>
      <c r="W30" s="12"/>
      <c r="X30" s="31"/>
      <c r="Y30" s="38"/>
      <c r="Z30" s="30" t="str">
        <f t="shared" si="5"/>
        <v/>
      </c>
      <c r="AA30" s="12"/>
      <c r="AB30" s="31"/>
      <c r="AC30" s="40"/>
      <c r="AD30" s="30" t="str">
        <f t="shared" si="6"/>
        <v/>
      </c>
      <c r="AE30" s="46" t="s">
        <v>86</v>
      </c>
      <c r="AF30" s="47" t="s">
        <v>86</v>
      </c>
      <c r="AG30" s="53" t="s">
        <v>91</v>
      </c>
      <c r="AH30" s="51"/>
      <c r="AI30" s="52">
        <v>3811.14</v>
      </c>
      <c r="AJ30" s="51"/>
      <c r="AK30" s="52">
        <v>3741.14</v>
      </c>
      <c r="AL30" s="40"/>
      <c r="AM30" s="40"/>
      <c r="AN30" s="40"/>
      <c r="AO30" s="48"/>
      <c r="AP30" s="56"/>
      <c r="AQ30" s="48"/>
      <c r="AR30" s="56"/>
      <c r="AS30" s="40"/>
      <c r="AT30" s="40"/>
      <c r="AU30" s="51">
        <v>3792.25</v>
      </c>
      <c r="AV30" s="52">
        <v>3794.07</v>
      </c>
      <c r="AW30" s="51">
        <v>3729.44</v>
      </c>
      <c r="AX30" s="52">
        <v>3731.23</v>
      </c>
      <c r="AY30" s="55" t="str">
        <f t="shared" si="26"/>
        <v>核增</v>
      </c>
      <c r="AZ30" s="55">
        <f t="shared" si="27"/>
        <v>1.78999999999996</v>
      </c>
      <c r="BA30" s="63" t="str">
        <f t="shared" si="28"/>
        <v>核减17.07</v>
      </c>
      <c r="BB30" s="48"/>
      <c r="BC30" s="56"/>
      <c r="BD30" s="48"/>
      <c r="BE30" s="56"/>
      <c r="BF30" s="64"/>
      <c r="BG30" s="48"/>
      <c r="BH30" s="48">
        <v>3786.36</v>
      </c>
      <c r="BI30" s="56">
        <v>3748.41</v>
      </c>
      <c r="BJ30" s="48">
        <v>3723.65</v>
      </c>
      <c r="BK30" s="56">
        <v>3686.33</v>
      </c>
      <c r="BL30" s="55" t="str">
        <f t="shared" si="30"/>
        <v>核减</v>
      </c>
      <c r="BM30" s="55">
        <f t="shared" si="31"/>
        <v>37.3200000000002</v>
      </c>
      <c r="BN30" s="63" t="str">
        <f t="shared" si="32"/>
        <v>核减45.66</v>
      </c>
      <c r="BO30" s="48"/>
      <c r="BP30" s="56"/>
      <c r="BQ30" s="48"/>
      <c r="BR30" s="56"/>
      <c r="BS30" s="55" t="str">
        <f t="shared" si="62"/>
        <v/>
      </c>
      <c r="BT30" s="55" t="str">
        <f t="shared" si="63"/>
        <v/>
      </c>
      <c r="BU30" s="51"/>
      <c r="BV30" s="52"/>
      <c r="BW30" s="51"/>
      <c r="BX30" s="52"/>
      <c r="BY30" s="40"/>
      <c r="BZ30" s="55"/>
      <c r="EO30" s="68">
        <v>45569</v>
      </c>
    </row>
    <row r="31" ht="13.5" customHeight="1" spans="1:145">
      <c r="A31" s="25" t="s">
        <v>441</v>
      </c>
      <c r="B31" s="5" t="s">
        <v>85</v>
      </c>
      <c r="C31" s="6"/>
      <c r="D31" s="7"/>
      <c r="E31" s="29"/>
      <c r="F31" s="30" t="str">
        <f t="shared" si="0"/>
        <v/>
      </c>
      <c r="G31" s="12"/>
      <c r="H31" s="31"/>
      <c r="I31" s="38"/>
      <c r="J31" s="30" t="str">
        <f t="shared" si="1"/>
        <v/>
      </c>
      <c r="K31" s="12">
        <v>45456</v>
      </c>
      <c r="L31" s="31">
        <v>45461</v>
      </c>
      <c r="M31" s="40" t="str">
        <f t="shared" si="16"/>
        <v>0</v>
      </c>
      <c r="N31" s="30">
        <f t="shared" si="2"/>
        <v>4</v>
      </c>
      <c r="O31" s="12"/>
      <c r="P31" s="31"/>
      <c r="Q31" s="38"/>
      <c r="R31" s="30" t="str">
        <f t="shared" si="3"/>
        <v/>
      </c>
      <c r="S31" s="12">
        <v>45624</v>
      </c>
      <c r="T31" s="31">
        <v>45637</v>
      </c>
      <c r="U31" s="38" t="str">
        <f t="shared" si="60"/>
        <v>0</v>
      </c>
      <c r="V31" s="30">
        <f t="shared" si="4"/>
        <v>10</v>
      </c>
      <c r="W31" s="12"/>
      <c r="X31" s="31"/>
      <c r="Y31" s="38"/>
      <c r="Z31" s="30" t="str">
        <f t="shared" si="5"/>
        <v/>
      </c>
      <c r="AA31" s="12"/>
      <c r="AB31" s="31"/>
      <c r="AC31" s="40"/>
      <c r="AD31" s="30" t="str">
        <f t="shared" si="6"/>
        <v/>
      </c>
      <c r="AE31" s="48" t="s">
        <v>406</v>
      </c>
      <c r="AF31" s="47" t="s">
        <v>406</v>
      </c>
      <c r="AG31" s="53" t="s">
        <v>91</v>
      </c>
      <c r="AH31" s="51"/>
      <c r="AI31" s="52">
        <v>3489.5</v>
      </c>
      <c r="AJ31" s="51"/>
      <c r="AK31" s="52">
        <v>3429.6</v>
      </c>
      <c r="AL31" s="40"/>
      <c r="AM31" s="40"/>
      <c r="AN31" s="40"/>
      <c r="AO31" s="48"/>
      <c r="AP31" s="56"/>
      <c r="AQ31" s="48"/>
      <c r="AR31" s="56"/>
      <c r="AS31" s="40"/>
      <c r="AT31" s="40"/>
      <c r="AU31" s="51">
        <v>3374.08</v>
      </c>
      <c r="AV31" s="52">
        <v>3307.33</v>
      </c>
      <c r="AW31" s="51">
        <v>3321.87</v>
      </c>
      <c r="AX31" s="52">
        <v>3256.15</v>
      </c>
      <c r="AY31" s="55" t="str">
        <f t="shared" si="26"/>
        <v>核减</v>
      </c>
      <c r="AZ31" s="55">
        <f t="shared" si="27"/>
        <v>65.7199999999998</v>
      </c>
      <c r="BA31" s="63" t="str">
        <f t="shared" si="28"/>
        <v>核减182.17</v>
      </c>
      <c r="BB31" s="48"/>
      <c r="BC31" s="56"/>
      <c r="BD31" s="48"/>
      <c r="BE31" s="56"/>
      <c r="BF31" s="64"/>
      <c r="BG31" s="48"/>
      <c r="BH31" s="51">
        <v>3086.96</v>
      </c>
      <c r="BI31" s="52">
        <v>3081.96</v>
      </c>
      <c r="BJ31" s="51">
        <v>3039.19</v>
      </c>
      <c r="BK31" s="52">
        <v>3034.27</v>
      </c>
      <c r="BL31" s="55" t="str">
        <f t="shared" si="30"/>
        <v>核减</v>
      </c>
      <c r="BM31" s="55">
        <f t="shared" si="31"/>
        <v>4.92000000000007</v>
      </c>
      <c r="BN31" s="63" t="str">
        <f t="shared" si="32"/>
        <v>核减225.37</v>
      </c>
      <c r="BO31" s="48"/>
      <c r="BP31" s="56"/>
      <c r="BQ31" s="48"/>
      <c r="BR31" s="56"/>
      <c r="BS31" s="40"/>
      <c r="BT31" s="40"/>
      <c r="BU31" s="51"/>
      <c r="BV31" s="52"/>
      <c r="BW31" s="51"/>
      <c r="BX31" s="52"/>
      <c r="BY31" s="40"/>
      <c r="BZ31" s="55"/>
      <c r="EO31" s="68">
        <v>45570</v>
      </c>
    </row>
    <row r="32" ht="13.5" customHeight="1" spans="1:145">
      <c r="A32" s="25" t="s">
        <v>442</v>
      </c>
      <c r="B32" s="5" t="s">
        <v>93</v>
      </c>
      <c r="C32" s="6">
        <v>45363</v>
      </c>
      <c r="D32" s="7">
        <v>45385</v>
      </c>
      <c r="E32" s="32" t="str">
        <f t="shared" ref="E32:E33" si="64">IF(C32&lt;&gt;0,IF(D32&lt;&gt;0,"0","1"),"")</f>
        <v>0</v>
      </c>
      <c r="F32" s="30">
        <f t="shared" si="0"/>
        <v>17</v>
      </c>
      <c r="G32" s="12"/>
      <c r="H32" s="31"/>
      <c r="I32" s="38"/>
      <c r="J32" s="30" t="str">
        <f t="shared" si="1"/>
        <v/>
      </c>
      <c r="K32" s="12">
        <v>45462</v>
      </c>
      <c r="L32" s="31">
        <v>45470</v>
      </c>
      <c r="M32" s="38" t="str">
        <f t="shared" si="16"/>
        <v>0</v>
      </c>
      <c r="N32" s="30">
        <f t="shared" si="2"/>
        <v>7</v>
      </c>
      <c r="O32" s="12"/>
      <c r="P32" s="31"/>
      <c r="Q32" s="38"/>
      <c r="R32" s="30" t="str">
        <f t="shared" si="3"/>
        <v/>
      </c>
      <c r="S32" s="12">
        <v>45582</v>
      </c>
      <c r="T32" s="31">
        <v>45603</v>
      </c>
      <c r="U32" s="38" t="str">
        <f t="shared" si="60"/>
        <v>0</v>
      </c>
      <c r="V32" s="30">
        <f t="shared" si="4"/>
        <v>16</v>
      </c>
      <c r="W32" s="12"/>
      <c r="X32" s="44"/>
      <c r="Y32" s="38"/>
      <c r="Z32" s="30" t="str">
        <f t="shared" si="5"/>
        <v/>
      </c>
      <c r="AA32" s="12"/>
      <c r="AB32" s="31"/>
      <c r="AC32" s="38"/>
      <c r="AD32" s="30" t="str">
        <f t="shared" si="6"/>
        <v/>
      </c>
      <c r="AE32" s="48" t="s">
        <v>86</v>
      </c>
      <c r="AF32" s="47" t="s">
        <v>86</v>
      </c>
      <c r="AG32" s="53" t="s">
        <v>83</v>
      </c>
      <c r="AH32" s="51">
        <v>4529.3</v>
      </c>
      <c r="AI32" s="52">
        <v>4764.72</v>
      </c>
      <c r="AJ32" s="51">
        <v>4489.97</v>
      </c>
      <c r="AK32" s="52">
        <v>4723.33</v>
      </c>
      <c r="AL32" s="55" t="str">
        <f t="shared" ref="AL32:AL33" si="65">IF(AND(AK32&lt;&gt;"",AJ32&lt;&gt;""),IF(AK32&gt;AJ32,"核增",IF(AK32&lt;AJ32,"核减","不变")),"")</f>
        <v>核增</v>
      </c>
      <c r="AM32" s="55">
        <f t="shared" ref="AM32:AM33" si="66">IF(AND(AI32&lt;&gt;"",AH32&lt;&gt;""),MAX(ABS(AI32),ABS(AH32))-MIN(ABS(AI32),ABS(AH32)),"")</f>
        <v>235.42</v>
      </c>
      <c r="AN32" s="55">
        <f t="shared" ref="AN32:AN33" si="67">IF(AND(AK32&lt;&gt;"",AJ32&lt;&gt;""),MAX(ABS(AK32),ABS(AJ32))-MIN(ABS(AK32),ABS(AJ32)),"")</f>
        <v>233.36</v>
      </c>
      <c r="AO32" s="51"/>
      <c r="AP32" s="52"/>
      <c r="AQ32" s="51"/>
      <c r="AR32" s="52"/>
      <c r="AS32" s="55" t="str">
        <f t="shared" ref="AS32:AS33" si="68">IF(AND(AR32&lt;&gt;"",AQ32&lt;&gt;""),IF(AR32&gt;AQ32,"核增",IF(AR32&lt;AQ32,"核减","不变")),"")</f>
        <v/>
      </c>
      <c r="AT32" s="55" t="str">
        <f t="shared" ref="AT32:AT33" si="69">IF(AND(AR32&lt;&gt;"",AQ32&lt;&gt;""),MAX(ABS(AR32),ABS(AQ32))-MIN(ABS(AR32),ABS(AQ32)),"")</f>
        <v/>
      </c>
      <c r="AU32" s="51">
        <v>4762.98</v>
      </c>
      <c r="AV32" s="52">
        <v>4274.81</v>
      </c>
      <c r="AW32" s="51">
        <v>4725.72</v>
      </c>
      <c r="AX32" s="52">
        <v>4239.19</v>
      </c>
      <c r="AY32" s="55" t="str">
        <f t="shared" si="26"/>
        <v>核减</v>
      </c>
      <c r="AZ32" s="55">
        <f t="shared" si="27"/>
        <v>486.530000000001</v>
      </c>
      <c r="BA32" s="63" t="str">
        <f t="shared" si="28"/>
        <v>核减489.91</v>
      </c>
      <c r="BB32" s="51"/>
      <c r="BC32" s="52"/>
      <c r="BD32" s="51"/>
      <c r="BE32" s="52"/>
      <c r="BF32" s="64" t="str">
        <f t="shared" ref="BF32:BF33" si="70">IF(AND(BE32&lt;&gt;"",BD32&lt;&gt;""),IF(BE32&gt;BD32,"核增",IF(BE32&lt;BD32,"核减","不变")),"")</f>
        <v/>
      </c>
      <c r="BG32" s="52"/>
      <c r="BH32" s="51">
        <v>3928.16</v>
      </c>
      <c r="BI32" s="52">
        <v>3691.25</v>
      </c>
      <c r="BJ32" s="48">
        <v>3895.43</v>
      </c>
      <c r="BK32" s="52">
        <v>3691.25</v>
      </c>
      <c r="BL32" s="55" t="str">
        <f t="shared" si="30"/>
        <v>核减</v>
      </c>
      <c r="BM32" s="55">
        <f t="shared" si="31"/>
        <v>204.18</v>
      </c>
      <c r="BN32" s="63" t="str">
        <f t="shared" si="32"/>
        <v>核减583.56</v>
      </c>
      <c r="BO32" s="51"/>
      <c r="BP32" s="52"/>
      <c r="BQ32" s="51"/>
      <c r="BR32" s="52"/>
      <c r="BS32" s="55" t="str">
        <f t="shared" ref="BS32:BS33" si="71">IF(AND(BR32&lt;&gt;"",BQ32&lt;&gt;""),IF(BR32&gt;BQ32,"核增",IF(BR32&lt;BQ32,"核减","不变")),"")</f>
        <v/>
      </c>
      <c r="BT32" s="55" t="str">
        <f t="shared" ref="BT32:BT33" si="72">IF(AND(BR32&lt;&gt;"",BQ32&lt;&gt;""),MAX(ABS(BR32),ABS(BQ32))-MIN(ABS(BR32),ABS(BQ32)),"")</f>
        <v/>
      </c>
      <c r="BU32" s="51"/>
      <c r="BV32" s="52"/>
      <c r="BW32" s="51"/>
      <c r="BX32" s="52"/>
      <c r="BY32" s="55" t="str">
        <f t="shared" ref="BY32:BY33" si="73">IF(AND(BX32&lt;&gt;"",BW32&lt;&gt;""),IF(BX32&gt;BW32,"核增",IF(BX32&lt;BW32,"核减","不变")),"")</f>
        <v/>
      </c>
      <c r="BZ32" s="55" t="str">
        <f t="shared" ref="BZ32:BZ33" si="74">IF(AND(BX32&lt;&gt;"",BW32&lt;&gt;""),MAX(ABS(BX32),ABS(BW32))-MIN(ABS(BX32),ABS(BW32)),"")</f>
        <v/>
      </c>
      <c r="EO32" s="68">
        <v>45571</v>
      </c>
    </row>
    <row r="33" ht="13.5" customHeight="1" spans="1:145">
      <c r="A33" s="19" t="s">
        <v>186</v>
      </c>
      <c r="B33" s="20" t="s">
        <v>93</v>
      </c>
      <c r="C33" s="12">
        <v>45224</v>
      </c>
      <c r="D33" s="7">
        <v>45372</v>
      </c>
      <c r="E33" s="32" t="str">
        <f t="shared" si="64"/>
        <v>0</v>
      </c>
      <c r="F33" s="30">
        <f t="shared" si="0"/>
        <v>100</v>
      </c>
      <c r="G33" s="12"/>
      <c r="H33" s="31"/>
      <c r="I33" s="38" t="str">
        <f>IF(G33&lt;&gt;0,IF(H33&lt;&gt;0,"0","1"),"")</f>
        <v/>
      </c>
      <c r="J33" s="30" t="str">
        <f t="shared" si="1"/>
        <v/>
      </c>
      <c r="K33" s="12">
        <v>45468</v>
      </c>
      <c r="L33" s="31">
        <v>45513</v>
      </c>
      <c r="M33" s="38" t="str">
        <f t="shared" si="16"/>
        <v>0</v>
      </c>
      <c r="N33" s="30">
        <f t="shared" si="2"/>
        <v>34</v>
      </c>
      <c r="O33" s="12"/>
      <c r="P33" s="31"/>
      <c r="Q33" s="38" t="str">
        <f>IF(O33&lt;&gt;0,IF(P33&lt;&gt;0,"0","1"),"")</f>
        <v/>
      </c>
      <c r="R33" s="30" t="str">
        <f t="shared" si="3"/>
        <v/>
      </c>
      <c r="S33" s="12"/>
      <c r="T33" s="31"/>
      <c r="U33" s="38" t="str">
        <f t="shared" si="60"/>
        <v/>
      </c>
      <c r="V33" s="30" t="str">
        <f t="shared" si="4"/>
        <v/>
      </c>
      <c r="W33" s="12"/>
      <c r="X33" s="44"/>
      <c r="Y33" s="38" t="str">
        <f>IF(W33&lt;&gt;0,IF(X33&lt;&gt;0,"0","1"),"")</f>
        <v/>
      </c>
      <c r="Z33" s="30" t="str">
        <f t="shared" si="5"/>
        <v/>
      </c>
      <c r="AA33" s="12"/>
      <c r="AB33" s="31"/>
      <c r="AC33" s="38" t="str">
        <f>IF(AA33&lt;&gt;0,IF(AB33&lt;&gt;0,"0","1"),"")</f>
        <v/>
      </c>
      <c r="AD33" s="30" t="str">
        <f t="shared" si="6"/>
        <v/>
      </c>
      <c r="AE33" s="48" t="s">
        <v>97</v>
      </c>
      <c r="AF33" s="47" t="s">
        <v>82</v>
      </c>
      <c r="AG33" s="53" t="s">
        <v>97</v>
      </c>
      <c r="AH33" s="51">
        <v>15362</v>
      </c>
      <c r="AI33" s="52">
        <v>18806</v>
      </c>
      <c r="AJ33" s="51">
        <v>15136.03</v>
      </c>
      <c r="AK33" s="52">
        <v>18541.84</v>
      </c>
      <c r="AL33" s="55" t="str">
        <f t="shared" si="65"/>
        <v>核增</v>
      </c>
      <c r="AM33" s="55">
        <f t="shared" si="66"/>
        <v>3444</v>
      </c>
      <c r="AN33" s="55">
        <f t="shared" si="67"/>
        <v>3405.81</v>
      </c>
      <c r="AO33" s="51"/>
      <c r="AP33" s="52"/>
      <c r="AQ33" s="51"/>
      <c r="AR33" s="52"/>
      <c r="AS33" s="55" t="str">
        <f t="shared" si="68"/>
        <v/>
      </c>
      <c r="AT33" s="55" t="str">
        <f t="shared" si="69"/>
        <v/>
      </c>
      <c r="AU33" s="51">
        <v>18812.64</v>
      </c>
      <c r="AV33" s="52">
        <v>18990.67</v>
      </c>
      <c r="AW33" s="51">
        <v>18568.75</v>
      </c>
      <c r="AX33" s="52">
        <v>18990.67</v>
      </c>
      <c r="AY33" s="55" t="str">
        <f t="shared" si="26"/>
        <v>核增</v>
      </c>
      <c r="AZ33" s="55">
        <f t="shared" si="27"/>
        <v>421.919999999998</v>
      </c>
      <c r="BA33" s="63" t="str">
        <f t="shared" si="28"/>
        <v>核增184.67</v>
      </c>
      <c r="BB33" s="51"/>
      <c r="BC33" s="52"/>
      <c r="BD33" s="51"/>
      <c r="BE33" s="52"/>
      <c r="BF33" s="64" t="str">
        <f t="shared" si="70"/>
        <v/>
      </c>
      <c r="BG33" s="52"/>
      <c r="BH33" s="51"/>
      <c r="BI33" s="52"/>
      <c r="BJ33" s="51"/>
      <c r="BK33" s="52"/>
      <c r="BL33" s="55" t="str">
        <f t="shared" si="30"/>
        <v/>
      </c>
      <c r="BM33" s="55" t="str">
        <f t="shared" si="31"/>
        <v/>
      </c>
      <c r="BN33" s="63" t="str">
        <f t="shared" si="32"/>
        <v/>
      </c>
      <c r="BO33" s="51"/>
      <c r="BP33" s="52"/>
      <c r="BQ33" s="51"/>
      <c r="BR33" s="52"/>
      <c r="BS33" s="55" t="str">
        <f t="shared" si="71"/>
        <v/>
      </c>
      <c r="BT33" s="55" t="str">
        <f t="shared" si="72"/>
        <v/>
      </c>
      <c r="BU33" s="51"/>
      <c r="BV33" s="52"/>
      <c r="BW33" s="51"/>
      <c r="BX33" s="52"/>
      <c r="BY33" s="55" t="str">
        <f t="shared" si="73"/>
        <v/>
      </c>
      <c r="BZ33" s="55" t="str">
        <f t="shared" si="74"/>
        <v/>
      </c>
      <c r="EO33" s="68">
        <v>45572</v>
      </c>
    </row>
    <row r="34" ht="13.5" customHeight="1" spans="1:145">
      <c r="A34" s="25" t="s">
        <v>443</v>
      </c>
      <c r="B34" s="5" t="s">
        <v>93</v>
      </c>
      <c r="C34" s="6"/>
      <c r="D34" s="7"/>
      <c r="E34" s="29"/>
      <c r="F34" s="30" t="str">
        <f t="shared" si="0"/>
        <v/>
      </c>
      <c r="G34" s="12"/>
      <c r="H34" s="31"/>
      <c r="I34" s="38"/>
      <c r="J34" s="30" t="str">
        <f t="shared" si="1"/>
        <v/>
      </c>
      <c r="K34" s="12">
        <v>45475</v>
      </c>
      <c r="L34" s="31">
        <v>45506</v>
      </c>
      <c r="M34" s="40" t="str">
        <f t="shared" si="16"/>
        <v>0</v>
      </c>
      <c r="N34" s="30">
        <f t="shared" si="2"/>
        <v>24</v>
      </c>
      <c r="O34" s="12"/>
      <c r="P34" s="31"/>
      <c r="Q34" s="38"/>
      <c r="R34" s="30" t="str">
        <f t="shared" si="3"/>
        <v/>
      </c>
      <c r="S34" s="12">
        <v>45625</v>
      </c>
      <c r="T34" s="31">
        <v>45643</v>
      </c>
      <c r="U34" s="38" t="str">
        <f t="shared" si="60"/>
        <v>0</v>
      </c>
      <c r="V34" s="30">
        <f t="shared" si="4"/>
        <v>13</v>
      </c>
      <c r="W34" s="12"/>
      <c r="X34" s="31"/>
      <c r="Y34" s="38"/>
      <c r="Z34" s="30" t="str">
        <f t="shared" si="5"/>
        <v/>
      </c>
      <c r="AA34" s="12"/>
      <c r="AB34" s="31"/>
      <c r="AC34" s="40"/>
      <c r="AD34" s="30" t="str">
        <f t="shared" si="6"/>
        <v/>
      </c>
      <c r="AE34" s="46" t="s">
        <v>87</v>
      </c>
      <c r="AF34" s="47" t="s">
        <v>406</v>
      </c>
      <c r="AG34" s="50" t="s">
        <v>87</v>
      </c>
      <c r="AH34" s="51"/>
      <c r="AI34" s="52">
        <v>4566.14</v>
      </c>
      <c r="AJ34" s="51"/>
      <c r="AK34" s="52">
        <v>4489.01</v>
      </c>
      <c r="AL34" s="40"/>
      <c r="AM34" s="40"/>
      <c r="AN34" s="40"/>
      <c r="AO34" s="48"/>
      <c r="AP34" s="56"/>
      <c r="AQ34" s="48"/>
      <c r="AR34" s="56"/>
      <c r="AS34" s="40"/>
      <c r="AT34" s="40"/>
      <c r="AU34" s="51">
        <v>4326.63</v>
      </c>
      <c r="AV34" s="52">
        <v>4460.29</v>
      </c>
      <c r="AW34" s="51">
        <v>4260.08</v>
      </c>
      <c r="AX34" s="52">
        <v>4391.78</v>
      </c>
      <c r="AY34" s="55" t="str">
        <f t="shared" si="26"/>
        <v>核增</v>
      </c>
      <c r="AZ34" s="55">
        <f t="shared" si="27"/>
        <v>131.7</v>
      </c>
      <c r="BA34" s="63" t="str">
        <f t="shared" si="28"/>
        <v>核减105.85</v>
      </c>
      <c r="BB34" s="48"/>
      <c r="BC34" s="56"/>
      <c r="BD34" s="48"/>
      <c r="BE34" s="56"/>
      <c r="BF34" s="64"/>
      <c r="BG34" s="48"/>
      <c r="BH34" s="51">
        <v>4427.61</v>
      </c>
      <c r="BI34" s="52">
        <v>4177.06</v>
      </c>
      <c r="BJ34" s="51">
        <v>4359.8</v>
      </c>
      <c r="BK34" s="52">
        <v>4113.07</v>
      </c>
      <c r="BL34" s="55" t="str">
        <f t="shared" si="30"/>
        <v>核减</v>
      </c>
      <c r="BM34" s="55">
        <f t="shared" si="31"/>
        <v>246.73</v>
      </c>
      <c r="BN34" s="63" t="str">
        <f t="shared" si="32"/>
        <v>核减283.23</v>
      </c>
      <c r="BO34" s="48"/>
      <c r="BP34" s="56"/>
      <c r="BQ34" s="48"/>
      <c r="BR34" s="56"/>
      <c r="BS34" s="40"/>
      <c r="BT34" s="40"/>
      <c r="BU34" s="51"/>
      <c r="BV34" s="52"/>
      <c r="BW34" s="51"/>
      <c r="BX34" s="52"/>
      <c r="BY34" s="40"/>
      <c r="BZ34" s="55"/>
      <c r="EO34" s="68">
        <v>45198</v>
      </c>
    </row>
    <row r="35" ht="13.5" customHeight="1" spans="1:145">
      <c r="A35" s="25" t="s">
        <v>444</v>
      </c>
      <c r="B35" s="5" t="s">
        <v>81</v>
      </c>
      <c r="C35" s="6"/>
      <c r="D35" s="7"/>
      <c r="E35" s="32"/>
      <c r="F35" s="30" t="str">
        <f t="shared" si="0"/>
        <v/>
      </c>
      <c r="G35" s="12">
        <v>45425</v>
      </c>
      <c r="H35" s="31">
        <v>45439</v>
      </c>
      <c r="I35" s="38" t="str">
        <f>IF(G35&lt;&gt;0,IF(H35&lt;&gt;0,"0","1"),"")</f>
        <v>0</v>
      </c>
      <c r="J35" s="30">
        <f t="shared" si="1"/>
        <v>11</v>
      </c>
      <c r="K35" s="12">
        <v>45481</v>
      </c>
      <c r="L35" s="31">
        <v>45491</v>
      </c>
      <c r="M35" s="40" t="str">
        <f t="shared" si="16"/>
        <v>0</v>
      </c>
      <c r="N35" s="30">
        <f t="shared" si="2"/>
        <v>9</v>
      </c>
      <c r="O35" s="12"/>
      <c r="P35" s="31"/>
      <c r="Q35" s="38"/>
      <c r="R35" s="30" t="str">
        <f t="shared" si="3"/>
        <v/>
      </c>
      <c r="S35" s="12">
        <v>45540</v>
      </c>
      <c r="T35" s="31">
        <v>45547</v>
      </c>
      <c r="U35" s="38" t="str">
        <f t="shared" si="60"/>
        <v>0</v>
      </c>
      <c r="V35" s="30">
        <f t="shared" si="4"/>
        <v>6</v>
      </c>
      <c r="W35" s="12"/>
      <c r="X35" s="44"/>
      <c r="Y35" s="38"/>
      <c r="Z35" s="30" t="str">
        <f t="shared" si="5"/>
        <v/>
      </c>
      <c r="AA35" s="12"/>
      <c r="AB35" s="31"/>
      <c r="AC35" s="40"/>
      <c r="AD35" s="30" t="str">
        <f t="shared" si="6"/>
        <v/>
      </c>
      <c r="AE35" s="48" t="s">
        <v>406</v>
      </c>
      <c r="AF35" s="47" t="s">
        <v>406</v>
      </c>
      <c r="AG35" s="53" t="s">
        <v>91</v>
      </c>
      <c r="AH35" s="51"/>
      <c r="AI35" s="52"/>
      <c r="AJ35" s="51"/>
      <c r="AK35" s="52"/>
      <c r="AL35" s="55"/>
      <c r="AM35" s="55"/>
      <c r="AN35" s="55"/>
      <c r="AO35" s="51">
        <v>5069.02</v>
      </c>
      <c r="AP35" s="52">
        <v>5015.03</v>
      </c>
      <c r="AQ35" s="51">
        <v>4982.01</v>
      </c>
      <c r="AR35" s="52">
        <v>4928.95</v>
      </c>
      <c r="AS35" s="55" t="str">
        <f>IF(AND(AR35&lt;&gt;"",AQ35&lt;&gt;""),IF(AR35&gt;AQ35,"核增",IF(AR35&lt;AQ35,"核减","不变")),"")</f>
        <v>核减</v>
      </c>
      <c r="AT35" s="55">
        <f>IF(AND(AR35&lt;&gt;"",AQ35&lt;&gt;""),MAX(ABS(AR35),ABS(AQ35))-MIN(ABS(AR35),ABS(AQ35)),"")</f>
        <v>53.0600000000004</v>
      </c>
      <c r="AU35" s="51">
        <v>4960.7</v>
      </c>
      <c r="AV35" s="52">
        <v>4781.75</v>
      </c>
      <c r="AW35" s="51">
        <v>4875.55</v>
      </c>
      <c r="AX35" s="52">
        <v>4699.67</v>
      </c>
      <c r="AY35" s="55" t="str">
        <f t="shared" si="26"/>
        <v>核减</v>
      </c>
      <c r="AZ35" s="55">
        <f t="shared" si="27"/>
        <v>175.88</v>
      </c>
      <c r="BA35" s="63" t="str">
        <f>IF(AND(AV35&lt;&gt;"",AP35&lt;&gt;""),IF(AV35&gt;AP35,"核增",IF(AV35&lt;AP35,"核减","不变")),"")&amp;TEXT(IF(AND(AV35&lt;&gt;"",AP35&lt;&gt;""),MAX(ABS(AV35),ABS(AP35))-MIN(ABS(AV35),ABS(AP35)),""),"0.00")</f>
        <v>核减233.28</v>
      </c>
      <c r="BB35" s="48"/>
      <c r="BC35" s="56"/>
      <c r="BD35" s="48"/>
      <c r="BE35" s="56"/>
      <c r="BF35" s="64"/>
      <c r="BG35" s="52"/>
      <c r="BH35" s="51">
        <v>4530.17</v>
      </c>
      <c r="BI35" s="52">
        <v>4452.4</v>
      </c>
      <c r="BJ35" s="51">
        <v>4466.97</v>
      </c>
      <c r="BK35" s="52">
        <v>4383.5</v>
      </c>
      <c r="BL35" s="55" t="str">
        <f t="shared" si="30"/>
        <v>核减</v>
      </c>
      <c r="BM35" s="55">
        <f t="shared" si="31"/>
        <v>83.4700000000003</v>
      </c>
      <c r="BN35" s="63" t="str">
        <f t="shared" si="32"/>
        <v>核减329.35</v>
      </c>
      <c r="BO35" s="48"/>
      <c r="BP35" s="56"/>
      <c r="BQ35" s="48"/>
      <c r="BR35" s="56"/>
      <c r="BS35" s="40"/>
      <c r="BT35" s="40"/>
      <c r="BU35" s="51"/>
      <c r="BV35" s="52"/>
      <c r="BW35" s="51"/>
      <c r="BX35" s="52"/>
      <c r="BY35" s="40"/>
      <c r="BZ35" s="55"/>
      <c r="EO35" s="68">
        <v>45199</v>
      </c>
    </row>
    <row r="36" ht="13.5" customHeight="1" spans="1:145">
      <c r="A36" s="25" t="s">
        <v>445</v>
      </c>
      <c r="B36" s="5" t="s">
        <v>93</v>
      </c>
      <c r="C36" s="6"/>
      <c r="D36" s="7"/>
      <c r="E36" s="29"/>
      <c r="F36" s="30" t="str">
        <f t="shared" si="0"/>
        <v/>
      </c>
      <c r="G36" s="12"/>
      <c r="H36" s="31"/>
      <c r="I36" s="37"/>
      <c r="J36" s="30" t="str">
        <f t="shared" si="1"/>
        <v/>
      </c>
      <c r="K36" s="12">
        <v>45482</v>
      </c>
      <c r="L36" s="31">
        <v>45499</v>
      </c>
      <c r="M36" s="40" t="str">
        <f t="shared" si="16"/>
        <v>0</v>
      </c>
      <c r="N36" s="30">
        <f t="shared" si="2"/>
        <v>14</v>
      </c>
      <c r="O36" s="12"/>
      <c r="P36" s="31"/>
      <c r="Q36" s="38"/>
      <c r="R36" s="30" t="str">
        <f t="shared" si="3"/>
        <v/>
      </c>
      <c r="S36" s="33">
        <v>45586</v>
      </c>
      <c r="T36" s="31">
        <v>45607</v>
      </c>
      <c r="U36" s="38" t="str">
        <f t="shared" si="60"/>
        <v>0</v>
      </c>
      <c r="V36" s="30">
        <f t="shared" si="4"/>
        <v>16</v>
      </c>
      <c r="W36" s="12"/>
      <c r="X36" s="31"/>
      <c r="Y36" s="38"/>
      <c r="Z36" s="30" t="str">
        <f t="shared" si="5"/>
        <v/>
      </c>
      <c r="AA36" s="12"/>
      <c r="AB36" s="31"/>
      <c r="AC36" s="40"/>
      <c r="AD36" s="30" t="str">
        <f t="shared" si="6"/>
        <v/>
      </c>
      <c r="AE36" s="48" t="s">
        <v>82</v>
      </c>
      <c r="AF36" s="47" t="s">
        <v>82</v>
      </c>
      <c r="AG36" s="53" t="s">
        <v>97</v>
      </c>
      <c r="AH36" s="51"/>
      <c r="AI36" s="52">
        <v>1517.21</v>
      </c>
      <c r="AJ36" s="51"/>
      <c r="AK36" s="52">
        <v>1500.35</v>
      </c>
      <c r="AL36" s="40"/>
      <c r="AM36" s="40"/>
      <c r="AN36" s="40"/>
      <c r="AO36" s="48"/>
      <c r="AP36" s="56"/>
      <c r="AQ36" s="48"/>
      <c r="AR36" s="56"/>
      <c r="AS36" s="40"/>
      <c r="AT36" s="40"/>
      <c r="AU36" s="51">
        <v>1584.92</v>
      </c>
      <c r="AV36" s="52">
        <v>1596.16</v>
      </c>
      <c r="AW36" s="51">
        <v>1567.28</v>
      </c>
      <c r="AX36" s="52">
        <v>1580.18</v>
      </c>
      <c r="AY36" s="55" t="str">
        <f t="shared" si="26"/>
        <v>核增</v>
      </c>
      <c r="AZ36" s="55">
        <f t="shared" si="27"/>
        <v>12.9000000000001</v>
      </c>
      <c r="BA36" s="63" t="str">
        <f t="shared" ref="BA36:BA38" si="75">IF(AND(AV36&lt;&gt;"",AI36&lt;&gt;""),IF(AV36&gt;AI36,"核增",IF(AV36&lt;AI36,"核减","不变")),"")&amp;TEXT(IF(AND(AV36&lt;&gt;"",AI36&lt;&gt;""),MAX(ABS(AV36),ABS(AI36))-MIN(ABS(AV36),ABS(AI36)),""),"0.00")</f>
        <v>核增78.95</v>
      </c>
      <c r="BB36" s="48"/>
      <c r="BC36" s="56"/>
      <c r="BD36" s="48"/>
      <c r="BE36" s="56"/>
      <c r="BF36" s="64"/>
      <c r="BG36" s="48"/>
      <c r="BH36" s="51">
        <v>1483.82</v>
      </c>
      <c r="BI36" s="52">
        <v>1446.87</v>
      </c>
      <c r="BJ36" s="51">
        <v>1469.97</v>
      </c>
      <c r="BK36" s="52">
        <v>1432.59</v>
      </c>
      <c r="BL36" s="55" t="str">
        <f t="shared" si="30"/>
        <v>核减</v>
      </c>
      <c r="BM36" s="55">
        <f t="shared" si="31"/>
        <v>37.3800000000001</v>
      </c>
      <c r="BN36" s="63" t="str">
        <f t="shared" si="32"/>
        <v>核减149.29</v>
      </c>
      <c r="BO36" s="48"/>
      <c r="BP36" s="56"/>
      <c r="BQ36" s="48"/>
      <c r="BR36" s="56"/>
      <c r="BS36" s="40"/>
      <c r="BT36" s="40"/>
      <c r="BU36" s="51"/>
      <c r="BV36" s="52"/>
      <c r="BW36" s="51"/>
      <c r="BX36" s="52"/>
      <c r="BY36" s="40"/>
      <c r="BZ36" s="55"/>
      <c r="EO36" s="68">
        <v>45200</v>
      </c>
    </row>
    <row r="37" ht="13.5" customHeight="1" spans="1:145">
      <c r="A37" s="25" t="s">
        <v>165</v>
      </c>
      <c r="B37" s="5" t="s">
        <v>93</v>
      </c>
      <c r="C37" s="6"/>
      <c r="D37" s="7"/>
      <c r="E37" s="29"/>
      <c r="F37" s="30" t="str">
        <f t="shared" si="0"/>
        <v/>
      </c>
      <c r="G37" s="12"/>
      <c r="H37" s="31"/>
      <c r="I37" s="37"/>
      <c r="J37" s="30" t="str">
        <f t="shared" si="1"/>
        <v/>
      </c>
      <c r="K37" s="12">
        <v>45499</v>
      </c>
      <c r="L37" s="31">
        <v>45513</v>
      </c>
      <c r="M37" s="40" t="str">
        <f t="shared" si="16"/>
        <v>0</v>
      </c>
      <c r="N37" s="30">
        <f t="shared" si="2"/>
        <v>11</v>
      </c>
      <c r="O37" s="12"/>
      <c r="P37" s="31"/>
      <c r="Q37" s="38"/>
      <c r="R37" s="30" t="str">
        <f t="shared" si="3"/>
        <v/>
      </c>
      <c r="S37" s="12">
        <v>45595</v>
      </c>
      <c r="T37" s="31">
        <v>45611</v>
      </c>
      <c r="U37" s="38" t="str">
        <f t="shared" si="60"/>
        <v>0</v>
      </c>
      <c r="V37" s="30">
        <f t="shared" si="4"/>
        <v>13</v>
      </c>
      <c r="W37" s="12"/>
      <c r="X37" s="31"/>
      <c r="Y37" s="38"/>
      <c r="Z37" s="30" t="str">
        <f t="shared" si="5"/>
        <v/>
      </c>
      <c r="AA37" s="12"/>
      <c r="AB37" s="31"/>
      <c r="AC37" s="40"/>
      <c r="AD37" s="30" t="str">
        <f t="shared" si="6"/>
        <v/>
      </c>
      <c r="AE37" s="48" t="s">
        <v>82</v>
      </c>
      <c r="AF37" s="47" t="s">
        <v>82</v>
      </c>
      <c r="AG37" s="53" t="s">
        <v>91</v>
      </c>
      <c r="AH37" s="51"/>
      <c r="AI37" s="52">
        <v>3464.48</v>
      </c>
      <c r="AJ37" s="51"/>
      <c r="AK37" s="52">
        <v>3405.01</v>
      </c>
      <c r="AL37" s="40"/>
      <c r="AM37" s="40"/>
      <c r="AN37" s="40"/>
      <c r="AO37" s="48"/>
      <c r="AP37" s="56"/>
      <c r="AQ37" s="48"/>
      <c r="AR37" s="56"/>
      <c r="AS37" s="40"/>
      <c r="AT37" s="40"/>
      <c r="AU37" s="51">
        <v>3439.74</v>
      </c>
      <c r="AV37" s="52">
        <v>3328.41</v>
      </c>
      <c r="AW37" s="51">
        <v>3386.51</v>
      </c>
      <c r="AX37" s="52">
        <v>3276.9</v>
      </c>
      <c r="AY37" s="55" t="str">
        <f t="shared" si="26"/>
        <v>核减</v>
      </c>
      <c r="AZ37" s="55">
        <f t="shared" si="27"/>
        <v>109.61</v>
      </c>
      <c r="BA37" s="63" t="str">
        <f t="shared" si="75"/>
        <v>核减136.07</v>
      </c>
      <c r="BB37" s="48"/>
      <c r="BC37" s="56"/>
      <c r="BD37" s="48"/>
      <c r="BE37" s="56"/>
      <c r="BF37" s="64"/>
      <c r="BG37" s="48"/>
      <c r="BH37" s="74">
        <v>3156.94</v>
      </c>
      <c r="BI37" s="76">
        <v>3069.28</v>
      </c>
      <c r="BJ37" s="74">
        <v>3112.9</v>
      </c>
      <c r="BK37" s="76">
        <v>3021.78</v>
      </c>
      <c r="BL37" s="55" t="str">
        <f t="shared" si="30"/>
        <v>核减</v>
      </c>
      <c r="BM37" s="55">
        <f t="shared" si="31"/>
        <v>91.1199999999999</v>
      </c>
      <c r="BN37" s="63" t="str">
        <f t="shared" si="32"/>
        <v>核减259.13</v>
      </c>
      <c r="BO37" s="48"/>
      <c r="BP37" s="56"/>
      <c r="BQ37" s="48"/>
      <c r="BR37" s="56"/>
      <c r="BS37" s="40"/>
      <c r="BT37" s="40"/>
      <c r="BU37" s="51"/>
      <c r="BV37" s="52"/>
      <c r="BW37" s="51"/>
      <c r="BX37" s="52"/>
      <c r="BY37" s="40"/>
      <c r="BZ37" s="55"/>
      <c r="EO37" s="68">
        <v>45201</v>
      </c>
    </row>
    <row r="38" ht="13.5" customHeight="1" spans="1:145">
      <c r="A38" s="18" t="s">
        <v>126</v>
      </c>
      <c r="B38" s="11" t="s">
        <v>93</v>
      </c>
      <c r="C38" s="12">
        <v>45268</v>
      </c>
      <c r="D38" s="7">
        <v>45293</v>
      </c>
      <c r="E38" s="32" t="str">
        <f>IF(C38&lt;&gt;0,IF(D38&lt;&gt;0,"0","1"),"")</f>
        <v>0</v>
      </c>
      <c r="F38" s="30">
        <f t="shared" si="0"/>
        <v>16</v>
      </c>
      <c r="G38" s="12"/>
      <c r="H38" s="31"/>
      <c r="I38" s="38"/>
      <c r="J38" s="30" t="str">
        <f t="shared" si="1"/>
        <v/>
      </c>
      <c r="K38" s="33">
        <v>45505</v>
      </c>
      <c r="L38" s="31">
        <v>45519</v>
      </c>
      <c r="M38" s="38" t="str">
        <f t="shared" si="16"/>
        <v>0</v>
      </c>
      <c r="N38" s="30">
        <f t="shared" si="2"/>
        <v>11</v>
      </c>
      <c r="O38" s="12"/>
      <c r="P38" s="31"/>
      <c r="Q38" s="38"/>
      <c r="R38" s="30" t="str">
        <f t="shared" si="3"/>
        <v/>
      </c>
      <c r="S38" s="41"/>
      <c r="T38" s="31"/>
      <c r="U38" s="38" t="str">
        <f t="shared" si="60"/>
        <v/>
      </c>
      <c r="V38" s="30" t="str">
        <f t="shared" si="4"/>
        <v/>
      </c>
      <c r="W38" s="12"/>
      <c r="X38" s="44"/>
      <c r="Y38" s="38"/>
      <c r="Z38" s="30" t="str">
        <f t="shared" si="5"/>
        <v/>
      </c>
      <c r="AA38" s="12"/>
      <c r="AB38" s="31"/>
      <c r="AC38" s="38"/>
      <c r="AD38" s="30" t="str">
        <f t="shared" si="6"/>
        <v/>
      </c>
      <c r="AE38" s="48" t="s">
        <v>86</v>
      </c>
      <c r="AF38" s="47" t="s">
        <v>86</v>
      </c>
      <c r="AG38" s="53" t="s">
        <v>97</v>
      </c>
      <c r="AH38" s="51">
        <v>4163.02</v>
      </c>
      <c r="AI38" s="52">
        <v>4559.13</v>
      </c>
      <c r="AJ38" s="51">
        <v>4101.5</v>
      </c>
      <c r="AK38" s="52">
        <v>4492.22</v>
      </c>
      <c r="AL38" s="55" t="str">
        <f>IF(AND(AK38&lt;&gt;"",AJ38&lt;&gt;""),IF(AK38&gt;AJ38,"核增",IF(AK38&lt;AJ38,"核减","不变")),"")</f>
        <v>核增</v>
      </c>
      <c r="AM38" s="55">
        <f>IF(AND(AI38&lt;&gt;"",AH38&lt;&gt;""),MAX(ABS(AI38),ABS(AH38))-MIN(ABS(AI38),ABS(AH38)),"")</f>
        <v>396.11</v>
      </c>
      <c r="AN38" s="55">
        <f>IF(AND(AK38&lt;&gt;"",AJ38&lt;&gt;""),MAX(ABS(AK38),ABS(AJ38))-MIN(ABS(AK38),ABS(AJ38)),"")</f>
        <v>390.72</v>
      </c>
      <c r="AO38" s="51"/>
      <c r="AP38" s="52"/>
      <c r="AQ38" s="51"/>
      <c r="AR38" s="52"/>
      <c r="AS38" s="55" t="str">
        <f>IF(AND(AR38&lt;&gt;"",AQ38&lt;&gt;""),IF(AR38&gt;AQ38,"核增",IF(AR38&lt;AQ38,"核减","不变")),"")</f>
        <v/>
      </c>
      <c r="AT38" s="55" t="str">
        <f>IF(AND(AR38&lt;&gt;"",AQ38&lt;&gt;""),MAX(ABS(AR38),ABS(AQ38))-MIN(ABS(AR38),ABS(AQ38)),"")</f>
        <v/>
      </c>
      <c r="AU38" s="51">
        <v>4305.05</v>
      </c>
      <c r="AV38" s="52">
        <v>4516.9</v>
      </c>
      <c r="AW38" s="51">
        <v>4248.26</v>
      </c>
      <c r="AX38" s="52">
        <v>4457.14</v>
      </c>
      <c r="AY38" s="55" t="str">
        <f t="shared" si="26"/>
        <v>核增</v>
      </c>
      <c r="AZ38" s="55">
        <f t="shared" si="27"/>
        <v>208.88</v>
      </c>
      <c r="BA38" s="63" t="str">
        <f t="shared" si="75"/>
        <v>核减42.23</v>
      </c>
      <c r="BB38" s="51"/>
      <c r="BC38" s="52"/>
      <c r="BD38" s="51"/>
      <c r="BE38" s="52"/>
      <c r="BF38" s="64" t="str">
        <f>IF(AND(BE38&lt;&gt;"",BD38&lt;&gt;""),IF(BE38&gt;BD38,"核增",IF(BE38&lt;BD38,"核减","不变")),"")</f>
        <v/>
      </c>
      <c r="BG38" s="52"/>
      <c r="BH38" s="51"/>
      <c r="BI38" s="52"/>
      <c r="BJ38" s="51"/>
      <c r="BK38" s="52"/>
      <c r="BL38" s="55" t="str">
        <f t="shared" si="30"/>
        <v/>
      </c>
      <c r="BM38" s="55" t="str">
        <f t="shared" si="31"/>
        <v/>
      </c>
      <c r="BN38" s="63" t="str">
        <f t="shared" si="32"/>
        <v/>
      </c>
      <c r="BO38" s="51"/>
      <c r="BP38" s="52"/>
      <c r="BQ38" s="51"/>
      <c r="BR38" s="52"/>
      <c r="BS38" s="55" t="str">
        <f>IF(AND(BR38&lt;&gt;"",BQ38&lt;&gt;""),IF(BR38&gt;BQ38,"核增",IF(BR38&lt;BQ38,"核减","不变")),"")</f>
        <v/>
      </c>
      <c r="BT38" s="55" t="str">
        <f>IF(AND(BR38&lt;&gt;"",BQ38&lt;&gt;""),MAX(ABS(BR38),ABS(BQ38))-MIN(ABS(BR38),ABS(BQ38)),"")</f>
        <v/>
      </c>
      <c r="BU38" s="51"/>
      <c r="BV38" s="52"/>
      <c r="BW38" s="51"/>
      <c r="BX38" s="52"/>
      <c r="BY38" s="55" t="str">
        <f>IF(AND(BX38&lt;&gt;"",BW38&lt;&gt;""),IF(BX38&gt;BW38,"核增",IF(BX38&lt;BW38,"核减","不变")),"")</f>
        <v/>
      </c>
      <c r="BZ38" s="55" t="str">
        <f>IF(AND(BX38&lt;&gt;"",BW38&lt;&gt;""),MAX(ABS(BX38),ABS(BW38))-MIN(ABS(BX38),ABS(BW38)),"")</f>
        <v/>
      </c>
      <c r="EO38" s="68">
        <v>45202</v>
      </c>
    </row>
    <row r="39" ht="13.5" customHeight="1" spans="1:145">
      <c r="A39" s="69" t="s">
        <v>446</v>
      </c>
      <c r="B39" s="5" t="s">
        <v>81</v>
      </c>
      <c r="C39" s="6"/>
      <c r="D39" s="7"/>
      <c r="E39" s="29"/>
      <c r="F39" s="30" t="str">
        <f t="shared" si="0"/>
        <v/>
      </c>
      <c r="G39" s="12"/>
      <c r="H39" s="31"/>
      <c r="I39" s="37"/>
      <c r="J39" s="30" t="str">
        <f t="shared" si="1"/>
        <v/>
      </c>
      <c r="K39" s="12"/>
      <c r="L39" s="31"/>
      <c r="M39" s="40"/>
      <c r="N39" s="30" t="str">
        <f t="shared" si="2"/>
        <v/>
      </c>
      <c r="O39" s="12"/>
      <c r="P39" s="31"/>
      <c r="Q39" s="38"/>
      <c r="R39" s="30" t="str">
        <f t="shared" si="3"/>
        <v/>
      </c>
      <c r="S39" s="12"/>
      <c r="T39" s="31"/>
      <c r="U39" s="40"/>
      <c r="V39" s="30" t="str">
        <f t="shared" si="4"/>
        <v/>
      </c>
      <c r="W39" s="12"/>
      <c r="X39" s="31"/>
      <c r="Y39" s="38"/>
      <c r="Z39" s="30" t="str">
        <f t="shared" si="5"/>
        <v/>
      </c>
      <c r="AA39" s="12"/>
      <c r="AB39" s="31"/>
      <c r="AC39" s="40"/>
      <c r="AD39" s="30" t="str">
        <f t="shared" si="6"/>
        <v/>
      </c>
      <c r="AE39" s="48" t="s">
        <v>86</v>
      </c>
      <c r="AF39" s="47" t="s">
        <v>86</v>
      </c>
      <c r="AG39" s="50" t="s">
        <v>87</v>
      </c>
      <c r="AH39" s="51"/>
      <c r="AI39" s="52"/>
      <c r="AJ39" s="51"/>
      <c r="AK39" s="52"/>
      <c r="AL39" s="40"/>
      <c r="AM39" s="40"/>
      <c r="AN39" s="40"/>
      <c r="AO39" s="48"/>
      <c r="AP39" s="56"/>
      <c r="AQ39" s="48"/>
      <c r="AR39" s="56"/>
      <c r="AS39" s="40"/>
      <c r="AT39" s="40"/>
      <c r="AU39" s="51"/>
      <c r="AV39" s="52"/>
      <c r="AW39" s="51"/>
      <c r="AX39" s="52"/>
      <c r="AY39" s="40"/>
      <c r="AZ39" s="55"/>
      <c r="BA39" s="63"/>
      <c r="BB39" s="48"/>
      <c r="BC39" s="56"/>
      <c r="BD39" s="48"/>
      <c r="BE39" s="56"/>
      <c r="BF39" s="64"/>
      <c r="BG39" s="48"/>
      <c r="BH39" s="51"/>
      <c r="BI39" s="52"/>
      <c r="BJ39" s="51"/>
      <c r="BK39" s="52"/>
      <c r="BL39" s="40"/>
      <c r="BM39" s="55"/>
      <c r="BN39" s="63"/>
      <c r="BO39" s="48"/>
      <c r="BP39" s="56"/>
      <c r="BQ39" s="48"/>
      <c r="BR39" s="56"/>
      <c r="BS39" s="40"/>
      <c r="BT39" s="40"/>
      <c r="BU39" s="51"/>
      <c r="BV39" s="52"/>
      <c r="BW39" s="51"/>
      <c r="BX39" s="52"/>
      <c r="BY39" s="40"/>
      <c r="BZ39" s="55"/>
      <c r="EO39" s="68">
        <v>45203</v>
      </c>
    </row>
    <row r="40" ht="13.5" customHeight="1" spans="1:145">
      <c r="A40" s="25" t="s">
        <v>123</v>
      </c>
      <c r="B40" s="5" t="s">
        <v>93</v>
      </c>
      <c r="C40" s="12">
        <v>45292</v>
      </c>
      <c r="D40" s="7">
        <v>45423</v>
      </c>
      <c r="E40" s="32" t="str">
        <f t="shared" ref="E40:E41" si="76">IF(C40&lt;&gt;0,IF(D40&lt;&gt;0,"0","1"),"")</f>
        <v>0</v>
      </c>
      <c r="F40" s="30">
        <f t="shared" si="0"/>
        <v>83</v>
      </c>
      <c r="G40" s="12"/>
      <c r="H40" s="31"/>
      <c r="I40" s="38" t="str">
        <f t="shared" ref="I40:I41" si="77">IF(G40&lt;&gt;0,IF(H40&lt;&gt;0,"0","1"),"")</f>
        <v/>
      </c>
      <c r="J40" s="30" t="str">
        <f t="shared" si="1"/>
        <v/>
      </c>
      <c r="K40" s="12">
        <v>45526</v>
      </c>
      <c r="L40" s="31">
        <v>45540</v>
      </c>
      <c r="M40" s="38" t="str">
        <f t="shared" ref="M40:M41" si="78">IF(K40&lt;&gt;0,IF(L40&lt;&gt;0,"0","1"),"")</f>
        <v>0</v>
      </c>
      <c r="N40" s="30">
        <f t="shared" si="2"/>
        <v>11</v>
      </c>
      <c r="O40" s="12"/>
      <c r="P40" s="31"/>
      <c r="Q40" s="38" t="str">
        <f t="shared" ref="Q40:Q41" si="79">IF(O40&lt;&gt;0,IF(P40&lt;&gt;0,"0","1"),"")</f>
        <v/>
      </c>
      <c r="R40" s="30" t="str">
        <f t="shared" si="3"/>
        <v/>
      </c>
      <c r="S40" s="12"/>
      <c r="T40" s="31"/>
      <c r="U40" s="38" t="str">
        <f t="shared" ref="U40:U41" si="80">IF(S40&lt;&gt;0,IF(T40&lt;&gt;0,"0","1"),"")</f>
        <v/>
      </c>
      <c r="V40" s="30" t="str">
        <f t="shared" si="4"/>
        <v/>
      </c>
      <c r="W40" s="12"/>
      <c r="X40" s="44"/>
      <c r="Y40" s="38" t="str">
        <f t="shared" ref="Y40:Y41" si="81">IF(W40&lt;&gt;0,IF(X40&lt;&gt;0,"0","1"),"")</f>
        <v/>
      </c>
      <c r="Z40" s="30" t="str">
        <f t="shared" si="5"/>
        <v/>
      </c>
      <c r="AA40" s="12"/>
      <c r="AB40" s="31"/>
      <c r="AC40" s="38" t="str">
        <f t="shared" ref="AC40:AC41" si="82">IF(AA40&lt;&gt;0,IF(AB40&lt;&gt;0,"0","1"),"")</f>
        <v/>
      </c>
      <c r="AD40" s="30" t="str">
        <f t="shared" si="6"/>
        <v/>
      </c>
      <c r="AE40" s="48" t="s">
        <v>406</v>
      </c>
      <c r="AF40" s="47" t="s">
        <v>406</v>
      </c>
      <c r="AG40" s="53" t="s">
        <v>97</v>
      </c>
      <c r="AH40" s="51">
        <v>18354.17</v>
      </c>
      <c r="AI40" s="52">
        <v>18165.74</v>
      </c>
      <c r="AJ40" s="51">
        <v>18039.17</v>
      </c>
      <c r="AK40" s="52">
        <v>17854.02</v>
      </c>
      <c r="AL40" s="55" t="str">
        <f t="shared" ref="AL40:AL41" si="83">IF(AND(AK40&lt;&gt;"",AJ40&lt;&gt;""),IF(AK40&gt;AJ40,"核增",IF(AK40&lt;AJ40,"核减","不变")),"")</f>
        <v>核减</v>
      </c>
      <c r="AM40" s="55">
        <f t="shared" ref="AM40:AM41" si="84">IF(AND(AI40&lt;&gt;"",AH40&lt;&gt;""),MAX(ABS(AI40),ABS(AH40))-MIN(ABS(AI40),ABS(AH40)),"")</f>
        <v>188.429999999997</v>
      </c>
      <c r="AN40" s="55">
        <f t="shared" ref="AN40:AN41" si="85">IF(AND(AK40&lt;&gt;"",AJ40&lt;&gt;""),MAX(ABS(AK40),ABS(AJ40))-MIN(ABS(AK40),ABS(AJ40)),"")</f>
        <v>185.149999999998</v>
      </c>
      <c r="AO40" s="51"/>
      <c r="AP40" s="52"/>
      <c r="AQ40" s="51"/>
      <c r="AR40" s="52"/>
      <c r="AS40" s="55" t="str">
        <f t="shared" ref="AS40:AS41" si="86">IF(AND(AR40&lt;&gt;"",AQ40&lt;&gt;""),IF(AR40&gt;AQ40,"核增",IF(AR40&lt;AQ40,"核减","不变")),"")</f>
        <v/>
      </c>
      <c r="AT40" s="55" t="str">
        <f t="shared" ref="AT40:AT41" si="87">IF(AND(AR40&lt;&gt;"",AQ40&lt;&gt;""),MAX(ABS(AR40),ABS(AQ40))-MIN(ABS(AR40),ABS(AQ40)),"")</f>
        <v/>
      </c>
      <c r="AU40" s="57">
        <v>17919.62</v>
      </c>
      <c r="AV40" s="58">
        <v>17618.6</v>
      </c>
      <c r="AW40" s="57">
        <v>17628.38</v>
      </c>
      <c r="AX40" s="58">
        <v>17331.58</v>
      </c>
      <c r="AY40" s="55" t="str">
        <f t="shared" ref="AY40:AY41" si="88">IF(AND(AX40&lt;&gt;"",AW40&lt;&gt;""),IF(AX40&gt;AW40,"核增",IF(AX40&lt;AW40,"核减","不变")),"")</f>
        <v>核减</v>
      </c>
      <c r="AZ40" s="55">
        <f t="shared" ref="AZ40:AZ41" si="89">IF(AND(AX40&lt;&gt;"",AW40&lt;&gt;""),MAX(ABS(AX40),ABS(AW40))-MIN(ABS(AX40),ABS(AW40)),"")</f>
        <v>296.799999999999</v>
      </c>
      <c r="BA40" s="63" t="str">
        <f t="shared" ref="BA40:BA41" si="90">IF(AND(AV40&lt;&gt;"",AI40&lt;&gt;""),IF(AV40&gt;AI40,"核增",IF(AV40&lt;AI40,"核减","不变")),"")&amp;TEXT(IF(AND(AV40&lt;&gt;"",AI40&lt;&gt;""),MAX(ABS(AV40),ABS(AI40))-MIN(ABS(AV40),ABS(AI40)),""),"0.00")</f>
        <v>核减547.14</v>
      </c>
      <c r="BB40" s="51"/>
      <c r="BC40" s="52"/>
      <c r="BD40" s="51"/>
      <c r="BE40" s="52"/>
      <c r="BF40" s="64" t="str">
        <f t="shared" ref="BF40:BF41" si="91">IF(AND(BE40&lt;&gt;"",BD40&lt;&gt;""),IF(BE40&gt;BD40,"核增",IF(BE40&lt;BD40,"核减","不变")),"")</f>
        <v/>
      </c>
      <c r="BG40" s="52"/>
      <c r="BH40" s="51"/>
      <c r="BI40" s="52"/>
      <c r="BJ40" s="51"/>
      <c r="BK40" s="52"/>
      <c r="BL40" s="55" t="str">
        <f t="shared" ref="BL40:BL41" si="92">IF(AND(BK40&lt;&gt;"",BJ40&lt;&gt;""),IF(BK40&gt;BJ40,"核增",IF(BK40&lt;BJ40,"核减","不变")),"")</f>
        <v/>
      </c>
      <c r="BM40" s="55" t="str">
        <f t="shared" ref="BM40:BM41" si="93">IF(AND(BK40&lt;&gt;"",BJ40&lt;&gt;""),MAX(ABS(BK40),ABS(BJ40))-MIN(ABS(BK40),ABS(BJ40)),"")</f>
        <v/>
      </c>
      <c r="BN40" s="63" t="str">
        <f t="shared" ref="BN40:BN41" si="94">IF(AND(BI40&lt;&gt;"",AV40&lt;&gt;""),IF(BI40&gt;AV40,"核增",IF(BI40&lt;AV40,"核减","不变")),"")&amp;TEXT(IF(AND(BI40&lt;&gt;"",AV40&lt;&gt;""),MAX(ABS(BI40),ABS(AV40))-MIN(ABS(BI40),ABS(AV40)),""),"0.00")</f>
        <v/>
      </c>
      <c r="BO40" s="51"/>
      <c r="BP40" s="52"/>
      <c r="BQ40" s="51"/>
      <c r="BR40" s="52"/>
      <c r="BS40" s="55" t="str">
        <f t="shared" ref="BS40:BS41" si="95">IF(AND(BR40&lt;&gt;"",BQ40&lt;&gt;""),IF(BR40&gt;BQ40,"核增",IF(BR40&lt;BQ40,"核减","不变")),"")</f>
        <v/>
      </c>
      <c r="BT40" s="55" t="str">
        <f t="shared" ref="BT40:BT41" si="96">IF(AND(BR40&lt;&gt;"",BQ40&lt;&gt;""),MAX(ABS(BR40),ABS(BQ40))-MIN(ABS(BR40),ABS(BQ40)),"")</f>
        <v/>
      </c>
      <c r="BU40" s="51"/>
      <c r="BV40" s="52"/>
      <c r="BW40" s="51"/>
      <c r="BX40" s="52"/>
      <c r="BY40" s="55" t="str">
        <f t="shared" ref="BY40:BY41" si="97">IF(AND(BX40&lt;&gt;"",BW40&lt;&gt;""),IF(BX40&gt;BW40,"核增",IF(BX40&lt;BW40,"核减","不变")),"")</f>
        <v/>
      </c>
      <c r="BZ40" s="55" t="str">
        <f t="shared" ref="BZ40:BZ41" si="98">IF(AND(BX40&lt;&gt;"",BW40&lt;&gt;""),MAX(ABS(BX40),ABS(BW40))-MIN(ABS(BX40),ABS(BW40)),"")</f>
        <v/>
      </c>
      <c r="EO40" s="68">
        <v>45204</v>
      </c>
    </row>
    <row r="41" ht="13.5" customHeight="1" spans="1:145">
      <c r="A41" s="25" t="s">
        <v>161</v>
      </c>
      <c r="B41" s="5" t="s">
        <v>93</v>
      </c>
      <c r="C41" s="12">
        <v>45449</v>
      </c>
      <c r="D41" s="7">
        <v>45469</v>
      </c>
      <c r="E41" s="32" t="str">
        <f t="shared" si="76"/>
        <v>0</v>
      </c>
      <c r="F41" s="30">
        <f t="shared" si="0"/>
        <v>14</v>
      </c>
      <c r="G41" s="12"/>
      <c r="H41" s="71"/>
      <c r="I41" s="38" t="str">
        <f t="shared" si="77"/>
        <v/>
      </c>
      <c r="J41" s="30" t="str">
        <f t="shared" si="1"/>
        <v/>
      </c>
      <c r="K41" s="12">
        <v>45532</v>
      </c>
      <c r="L41" s="31">
        <v>45545</v>
      </c>
      <c r="M41" s="38" t="str">
        <f t="shared" si="78"/>
        <v>0</v>
      </c>
      <c r="N41" s="30">
        <f t="shared" si="2"/>
        <v>10</v>
      </c>
      <c r="O41" s="12"/>
      <c r="P41" s="31"/>
      <c r="Q41" s="38" t="str">
        <f t="shared" si="79"/>
        <v/>
      </c>
      <c r="R41" s="30" t="str">
        <f t="shared" si="3"/>
        <v/>
      </c>
      <c r="S41" s="12"/>
      <c r="T41" s="31"/>
      <c r="U41" s="38" t="str">
        <f t="shared" si="80"/>
        <v/>
      </c>
      <c r="V41" s="30" t="str">
        <f t="shared" si="4"/>
        <v/>
      </c>
      <c r="W41" s="12"/>
      <c r="X41" s="44"/>
      <c r="Y41" s="38" t="str">
        <f t="shared" si="81"/>
        <v/>
      </c>
      <c r="Z41" s="30" t="str">
        <f t="shared" si="5"/>
        <v/>
      </c>
      <c r="AA41" s="12"/>
      <c r="AB41" s="31"/>
      <c r="AC41" s="38" t="str">
        <f t="shared" si="82"/>
        <v/>
      </c>
      <c r="AD41" s="30" t="str">
        <f t="shared" si="6"/>
        <v/>
      </c>
      <c r="AE41" s="48" t="s">
        <v>86</v>
      </c>
      <c r="AF41" s="47" t="s">
        <v>86</v>
      </c>
      <c r="AG41" s="53" t="s">
        <v>97</v>
      </c>
      <c r="AH41" s="51">
        <v>19214.86</v>
      </c>
      <c r="AI41" s="52">
        <v>19305.79</v>
      </c>
      <c r="AJ41" s="51">
        <v>18890.12</v>
      </c>
      <c r="AK41" s="52">
        <v>18979.5</v>
      </c>
      <c r="AL41" s="55" t="str">
        <f t="shared" si="83"/>
        <v>核增</v>
      </c>
      <c r="AM41" s="55">
        <f t="shared" si="84"/>
        <v>90.9300000000003</v>
      </c>
      <c r="AN41" s="55">
        <f t="shared" si="85"/>
        <v>89.380000000001</v>
      </c>
      <c r="AO41" s="51"/>
      <c r="AP41" s="52"/>
      <c r="AQ41" s="51"/>
      <c r="AR41" s="52"/>
      <c r="AS41" s="55" t="str">
        <f t="shared" si="86"/>
        <v/>
      </c>
      <c r="AT41" s="55" t="str">
        <f t="shared" si="87"/>
        <v/>
      </c>
      <c r="AU41" s="51">
        <v>19173.49</v>
      </c>
      <c r="AV41" s="52">
        <v>19087.25</v>
      </c>
      <c r="AW41" s="51">
        <v>18881.34</v>
      </c>
      <c r="AX41" s="52">
        <v>18796.43</v>
      </c>
      <c r="AY41" s="55" t="str">
        <f t="shared" si="88"/>
        <v>核减</v>
      </c>
      <c r="AZ41" s="55">
        <f t="shared" si="89"/>
        <v>84.9099999999999</v>
      </c>
      <c r="BA41" s="63" t="str">
        <f t="shared" si="90"/>
        <v>核减218.54</v>
      </c>
      <c r="BB41" s="51"/>
      <c r="BC41" s="52"/>
      <c r="BD41" s="51"/>
      <c r="BE41" s="52"/>
      <c r="BF41" s="64" t="str">
        <f t="shared" si="91"/>
        <v/>
      </c>
      <c r="BG41" s="52"/>
      <c r="BH41" s="51"/>
      <c r="BI41" s="52"/>
      <c r="BJ41" s="51"/>
      <c r="BK41" s="52"/>
      <c r="BL41" s="55" t="str">
        <f t="shared" si="92"/>
        <v/>
      </c>
      <c r="BM41" s="55" t="str">
        <f t="shared" si="93"/>
        <v/>
      </c>
      <c r="BN41" s="63" t="str">
        <f t="shared" si="94"/>
        <v/>
      </c>
      <c r="BO41" s="51"/>
      <c r="BP41" s="52"/>
      <c r="BQ41" s="51"/>
      <c r="BR41" s="52"/>
      <c r="BS41" s="55" t="str">
        <f t="shared" si="95"/>
        <v/>
      </c>
      <c r="BT41" s="55" t="str">
        <f t="shared" si="96"/>
        <v/>
      </c>
      <c r="BU41" s="51"/>
      <c r="BV41" s="52"/>
      <c r="BW41" s="51"/>
      <c r="BX41" s="52"/>
      <c r="BY41" s="55" t="str">
        <f t="shared" si="97"/>
        <v/>
      </c>
      <c r="BZ41" s="55" t="str">
        <f t="shared" si="98"/>
        <v/>
      </c>
      <c r="EO41" s="68">
        <v>45205</v>
      </c>
    </row>
    <row r="42" ht="13.5" customHeight="1" spans="1:145">
      <c r="A42" s="69" t="s">
        <v>110</v>
      </c>
      <c r="B42" s="5" t="s">
        <v>85</v>
      </c>
      <c r="C42" s="6"/>
      <c r="D42" s="7"/>
      <c r="E42" s="29"/>
      <c r="F42" s="30" t="str">
        <f t="shared" si="0"/>
        <v/>
      </c>
      <c r="G42" s="12"/>
      <c r="H42" s="31"/>
      <c r="I42" s="37"/>
      <c r="J42" s="30" t="str">
        <f t="shared" si="1"/>
        <v/>
      </c>
      <c r="K42" s="12"/>
      <c r="L42" s="31"/>
      <c r="M42" s="40"/>
      <c r="N42" s="30" t="str">
        <f t="shared" si="2"/>
        <v/>
      </c>
      <c r="O42" s="12"/>
      <c r="P42" s="31"/>
      <c r="Q42" s="38"/>
      <c r="R42" s="30" t="str">
        <f t="shared" si="3"/>
        <v/>
      </c>
      <c r="S42" s="12"/>
      <c r="T42" s="31"/>
      <c r="U42" s="40"/>
      <c r="V42" s="30" t="str">
        <f t="shared" si="4"/>
        <v/>
      </c>
      <c r="W42" s="12"/>
      <c r="X42" s="31"/>
      <c r="Y42" s="38"/>
      <c r="Z42" s="30" t="str">
        <f t="shared" si="5"/>
        <v/>
      </c>
      <c r="AA42" s="12"/>
      <c r="AB42" s="31"/>
      <c r="AC42" s="40"/>
      <c r="AD42" s="30" t="str">
        <f t="shared" si="6"/>
        <v/>
      </c>
      <c r="AE42" s="48" t="s">
        <v>406</v>
      </c>
      <c r="AF42" s="47" t="s">
        <v>406</v>
      </c>
      <c r="AG42" s="53" t="s">
        <v>97</v>
      </c>
      <c r="AH42" s="51"/>
      <c r="AI42" s="52"/>
      <c r="AJ42" s="51"/>
      <c r="AK42" s="52"/>
      <c r="AL42" s="40"/>
      <c r="AM42" s="40"/>
      <c r="AN42" s="40"/>
      <c r="AO42" s="48"/>
      <c r="AP42" s="56"/>
      <c r="AQ42" s="48"/>
      <c r="AR42" s="56"/>
      <c r="AS42" s="40"/>
      <c r="AT42" s="40"/>
      <c r="AU42" s="51"/>
      <c r="AV42" s="52"/>
      <c r="AW42" s="51"/>
      <c r="AX42" s="52"/>
      <c r="AY42" s="40"/>
      <c r="AZ42" s="55"/>
      <c r="BA42" s="63"/>
      <c r="BB42" s="48"/>
      <c r="BC42" s="56"/>
      <c r="BD42" s="48"/>
      <c r="BE42" s="56"/>
      <c r="BF42" s="64"/>
      <c r="BG42" s="48"/>
      <c r="BH42" s="51"/>
      <c r="BI42" s="52"/>
      <c r="BJ42" s="51"/>
      <c r="BK42" s="52"/>
      <c r="BL42" s="40"/>
      <c r="BM42" s="55"/>
      <c r="BN42" s="63"/>
      <c r="BO42" s="48"/>
      <c r="BP42" s="56"/>
      <c r="BQ42" s="48"/>
      <c r="BR42" s="56"/>
      <c r="BS42" s="40"/>
      <c r="BT42" s="40"/>
      <c r="BU42" s="51"/>
      <c r="BV42" s="52"/>
      <c r="BW42" s="51"/>
      <c r="BX42" s="52"/>
      <c r="BY42" s="40"/>
      <c r="BZ42" s="55"/>
      <c r="EO42" s="68">
        <v>45291</v>
      </c>
    </row>
    <row r="43" ht="13.5" customHeight="1" spans="1:78">
      <c r="A43" s="22" t="s">
        <v>447</v>
      </c>
      <c r="B43" s="11" t="s">
        <v>93</v>
      </c>
      <c r="C43" s="12">
        <v>45280</v>
      </c>
      <c r="D43" s="7">
        <v>45410</v>
      </c>
      <c r="E43" s="32" t="str">
        <f t="shared" ref="E43:E46" si="99">IF(C43&lt;&gt;0,IF(D43&lt;&gt;0,"0","1"),"")</f>
        <v>0</v>
      </c>
      <c r="F43" s="30">
        <f t="shared" si="0"/>
        <v>84</v>
      </c>
      <c r="G43" s="12"/>
      <c r="H43" s="31"/>
      <c r="I43" s="38" t="str">
        <f>IF(G43&lt;&gt;0,IF(H43&lt;&gt;0,"0","1"),"")</f>
        <v/>
      </c>
      <c r="J43" s="30" t="str">
        <f t="shared" si="1"/>
        <v/>
      </c>
      <c r="K43" s="12">
        <v>45533</v>
      </c>
      <c r="L43" s="31">
        <v>45553</v>
      </c>
      <c r="M43" s="38" t="str">
        <f t="shared" ref="M43:M52" si="100">IF(K43&lt;&gt;0,IF(L43&lt;&gt;0,"0","1"),"")</f>
        <v>0</v>
      </c>
      <c r="N43" s="30">
        <f t="shared" si="2"/>
        <v>13</v>
      </c>
      <c r="O43" s="12"/>
      <c r="P43" s="31"/>
      <c r="Q43" s="38" t="str">
        <f>IF(O43&lt;&gt;0,IF(P43&lt;&gt;0,"0","1"),"")</f>
        <v/>
      </c>
      <c r="R43" s="30" t="str">
        <f t="shared" si="3"/>
        <v/>
      </c>
      <c r="S43" s="12"/>
      <c r="T43" s="31"/>
      <c r="U43" s="38" t="str">
        <f t="shared" ref="U43:U44" si="101">IF(S43&lt;&gt;0,IF(T43&lt;&gt;0,"0","1"),"")</f>
        <v/>
      </c>
      <c r="V43" s="30" t="str">
        <f t="shared" si="4"/>
        <v/>
      </c>
      <c r="W43" s="12"/>
      <c r="X43" s="44"/>
      <c r="Y43" s="38" t="str">
        <f>IF(W43&lt;&gt;0,IF(X43&lt;&gt;0,"0","1"),"")</f>
        <v/>
      </c>
      <c r="Z43" s="30" t="str">
        <f t="shared" si="5"/>
        <v/>
      </c>
      <c r="AA43" s="12"/>
      <c r="AB43" s="31"/>
      <c r="AC43" s="38" t="str">
        <f>IF(AA43&lt;&gt;0,IF(AB43&lt;&gt;0,"0","1"),"")</f>
        <v/>
      </c>
      <c r="AD43" s="30" t="str">
        <f t="shared" si="6"/>
        <v/>
      </c>
      <c r="AE43" s="48" t="s">
        <v>86</v>
      </c>
      <c r="AF43" s="47" t="s">
        <v>86</v>
      </c>
      <c r="AG43" s="53" t="s">
        <v>87</v>
      </c>
      <c r="AH43" s="51">
        <v>6418.47</v>
      </c>
      <c r="AI43" s="52">
        <v>6414.61</v>
      </c>
      <c r="AJ43" s="51">
        <v>6308.29</v>
      </c>
      <c r="AK43" s="52">
        <v>6304.51</v>
      </c>
      <c r="AL43" s="55" t="str">
        <f t="shared" ref="AL43:AL46" si="102">IF(AND(AK43&lt;&gt;"",AJ43&lt;&gt;""),IF(AK43&gt;AJ43,"核增",IF(AK43&lt;AJ43,"核减","不变")),"")</f>
        <v>核减</v>
      </c>
      <c r="AM43" s="55">
        <f t="shared" ref="AM43:AM46" si="103">IF(AND(AI43&lt;&gt;"",AH43&lt;&gt;""),MAX(ABS(AI43),ABS(AH43))-MIN(ABS(AI43),ABS(AH43)),"")</f>
        <v>3.86000000000058</v>
      </c>
      <c r="AN43" s="55">
        <f t="shared" ref="AN43:AN46" si="104">IF(AND(AK43&lt;&gt;"",AJ43&lt;&gt;""),MAX(ABS(AK43),ABS(AJ43))-MIN(ABS(AK43),ABS(AJ43)),"")</f>
        <v>3.77999999999975</v>
      </c>
      <c r="AO43" s="51"/>
      <c r="AP43" s="52"/>
      <c r="AQ43" s="51"/>
      <c r="AR43" s="52"/>
      <c r="AS43" s="55" t="str">
        <f>IF(AND(AR43&lt;&gt;"",AQ43&lt;&gt;""),IF(AR43&gt;AQ43,"核增",IF(AR43&lt;AQ43,"核减","不变")),"")</f>
        <v/>
      </c>
      <c r="AT43" s="55" t="str">
        <f>IF(AND(AR43&lt;&gt;"",AQ43&lt;&gt;""),MAX(ABS(AR43),ABS(AQ43))-MIN(ABS(AR43),ABS(AQ43)),"")</f>
        <v/>
      </c>
      <c r="AU43" s="51">
        <v>5905.11</v>
      </c>
      <c r="AV43" s="52">
        <v>6017.2</v>
      </c>
      <c r="AW43" s="51">
        <v>5803.75</v>
      </c>
      <c r="AX43" s="52">
        <v>5920.29</v>
      </c>
      <c r="AY43" s="55" t="str">
        <f t="shared" ref="AY43:AY45" si="105">IF(AND(AX43&lt;&gt;"",AW43&lt;&gt;""),IF(AX43&gt;AW43,"核增",IF(AX43&lt;AW43,"核减","不变")),"")</f>
        <v>核增</v>
      </c>
      <c r="AZ43" s="55">
        <f t="shared" ref="AZ43:AZ45" si="106">IF(AND(AX43&lt;&gt;"",AW43&lt;&gt;""),MAX(ABS(AX43),ABS(AW43))-MIN(ABS(AX43),ABS(AW43)),"")</f>
        <v>116.54</v>
      </c>
      <c r="BA43" s="63" t="str">
        <f t="shared" ref="BA43:BA45" si="107">IF(AND(AV43&lt;&gt;"",AI43&lt;&gt;""),IF(AV43&gt;AI43,"核增",IF(AV43&lt;AI43,"核减","不变")),"")&amp;TEXT(IF(AND(AV43&lt;&gt;"",AI43&lt;&gt;""),MAX(ABS(AV43),ABS(AI43))-MIN(ABS(AV43),ABS(AI43)),""),"0.00")</f>
        <v>核减397.41</v>
      </c>
      <c r="BB43" s="51"/>
      <c r="BC43" s="52"/>
      <c r="BD43" s="51"/>
      <c r="BE43" s="52"/>
      <c r="BF43" s="64" t="str">
        <f>IF(AND(BE43&lt;&gt;"",BD43&lt;&gt;""),IF(BE43&gt;BD43,"核增",IF(BE43&lt;BD43,"核减","不变")),"")</f>
        <v/>
      </c>
      <c r="BG43" s="52"/>
      <c r="BH43" s="51"/>
      <c r="BI43" s="52"/>
      <c r="BJ43" s="51"/>
      <c r="BK43" s="52"/>
      <c r="BL43" s="55" t="str">
        <f t="shared" ref="BL43:BL44" si="108">IF(AND(BK43&lt;&gt;"",BJ43&lt;&gt;""),IF(BK43&gt;BJ43,"核增",IF(BK43&lt;BJ43,"核减","不变")),"")</f>
        <v/>
      </c>
      <c r="BM43" s="55" t="str">
        <f t="shared" ref="BM43:BM44" si="109">IF(AND(BK43&lt;&gt;"",BJ43&lt;&gt;""),MAX(ABS(BK43),ABS(BJ43))-MIN(ABS(BK43),ABS(BJ43)),"")</f>
        <v/>
      </c>
      <c r="BN43" s="63" t="str">
        <f t="shared" ref="BN43:BN44" si="110">IF(AND(BI43&lt;&gt;"",AV43&lt;&gt;""),IF(BI43&gt;AV43,"核增",IF(BI43&lt;AV43,"核减","不变")),"")&amp;TEXT(IF(AND(BI43&lt;&gt;"",AV43&lt;&gt;""),MAX(ABS(BI43),ABS(AV43))-MIN(ABS(BI43),ABS(AV43)),""),"0.00")</f>
        <v/>
      </c>
      <c r="BO43" s="51"/>
      <c r="BP43" s="52"/>
      <c r="BQ43" s="51"/>
      <c r="BR43" s="52"/>
      <c r="BS43" s="55" t="str">
        <f>IF(AND(BR43&lt;&gt;"",BQ43&lt;&gt;""),IF(BR43&gt;BQ43,"核增",IF(BR43&lt;BQ43,"核减","不变")),"")</f>
        <v/>
      </c>
      <c r="BT43" s="55" t="str">
        <f>IF(AND(BR43&lt;&gt;"",BQ43&lt;&gt;""),MAX(ABS(BR43),ABS(BQ43))-MIN(ABS(BR43),ABS(BQ43)),"")</f>
        <v/>
      </c>
      <c r="BU43" s="51"/>
      <c r="BV43" s="52"/>
      <c r="BW43" s="51"/>
      <c r="BX43" s="52"/>
      <c r="BY43" s="55" t="str">
        <f>IF(AND(BX43&lt;&gt;"",BW43&lt;&gt;""),IF(BX43&gt;BW43,"核增",IF(BX43&lt;BW43,"核减","不变")),"")</f>
        <v/>
      </c>
      <c r="BZ43" s="55" t="str">
        <f>IF(AND(BX43&lt;&gt;"",BW43&lt;&gt;""),MAX(ABS(BX43),ABS(BW43))-MIN(ABS(BX43),ABS(BW43)),"")</f>
        <v/>
      </c>
    </row>
    <row r="44" ht="13.5" customHeight="1" spans="1:78">
      <c r="A44" s="25" t="s">
        <v>448</v>
      </c>
      <c r="B44" s="5" t="s">
        <v>81</v>
      </c>
      <c r="C44" s="6">
        <v>45371</v>
      </c>
      <c r="D44" s="7">
        <v>45398</v>
      </c>
      <c r="E44" s="32" t="str">
        <f t="shared" si="99"/>
        <v>0</v>
      </c>
      <c r="F44" s="30">
        <f t="shared" si="0"/>
        <v>18</v>
      </c>
      <c r="G44" s="12"/>
      <c r="H44" s="31"/>
      <c r="I44" s="37"/>
      <c r="J44" s="30" t="str">
        <f t="shared" si="1"/>
        <v/>
      </c>
      <c r="K44" s="12">
        <v>45537</v>
      </c>
      <c r="L44" s="31">
        <v>45547</v>
      </c>
      <c r="M44" s="40" t="str">
        <f t="shared" si="100"/>
        <v>0</v>
      </c>
      <c r="N44" s="30">
        <f t="shared" si="2"/>
        <v>9</v>
      </c>
      <c r="O44" s="12"/>
      <c r="P44" s="31"/>
      <c r="Q44" s="38"/>
      <c r="R44" s="30" t="str">
        <f t="shared" si="3"/>
        <v/>
      </c>
      <c r="S44" s="12">
        <v>45622</v>
      </c>
      <c r="T44" s="31">
        <v>45631</v>
      </c>
      <c r="U44" s="38" t="str">
        <f t="shared" si="101"/>
        <v>0</v>
      </c>
      <c r="V44" s="30">
        <f t="shared" si="4"/>
        <v>8</v>
      </c>
      <c r="W44" s="12"/>
      <c r="X44" s="44"/>
      <c r="Y44" s="38"/>
      <c r="Z44" s="30" t="str">
        <f t="shared" si="5"/>
        <v/>
      </c>
      <c r="AA44" s="12"/>
      <c r="AB44" s="31"/>
      <c r="AC44" s="40"/>
      <c r="AD44" s="30" t="str">
        <f t="shared" si="6"/>
        <v/>
      </c>
      <c r="AE44" s="48" t="s">
        <v>86</v>
      </c>
      <c r="AF44" s="47" t="s">
        <v>86</v>
      </c>
      <c r="AG44" s="53" t="s">
        <v>91</v>
      </c>
      <c r="AH44" s="51">
        <v>6985.27</v>
      </c>
      <c r="AI44" s="52">
        <v>5033.943546</v>
      </c>
      <c r="AJ44" s="51">
        <v>6865.36</v>
      </c>
      <c r="AK44" s="52">
        <v>4947.53</v>
      </c>
      <c r="AL44" s="55" t="str">
        <f t="shared" si="102"/>
        <v>核减</v>
      </c>
      <c r="AM44" s="55">
        <f t="shared" si="103"/>
        <v>1951.326454</v>
      </c>
      <c r="AN44" s="55">
        <f t="shared" si="104"/>
        <v>1917.83</v>
      </c>
      <c r="AO44" s="48"/>
      <c r="AP44" s="56"/>
      <c r="AQ44" s="48"/>
      <c r="AR44" s="56"/>
      <c r="AS44" s="40"/>
      <c r="AT44" s="40"/>
      <c r="AU44" s="51">
        <v>5117.4</v>
      </c>
      <c r="AV44" s="52">
        <v>4740.05</v>
      </c>
      <c r="AW44" s="51">
        <v>5029.56</v>
      </c>
      <c r="AX44" s="52">
        <v>4666.69</v>
      </c>
      <c r="AY44" s="55" t="str">
        <f t="shared" si="105"/>
        <v>核减</v>
      </c>
      <c r="AZ44" s="55">
        <f t="shared" si="106"/>
        <v>362.870000000001</v>
      </c>
      <c r="BA44" s="63" t="str">
        <f t="shared" si="107"/>
        <v>核减293.89</v>
      </c>
      <c r="BB44" s="48"/>
      <c r="BC44" s="56"/>
      <c r="BD44" s="48"/>
      <c r="BE44" s="56"/>
      <c r="BF44" s="64"/>
      <c r="BG44" s="52"/>
      <c r="BH44" s="51">
        <v>4665.62</v>
      </c>
      <c r="BI44" s="52">
        <v>4579.06</v>
      </c>
      <c r="BJ44" s="51">
        <v>4593.42</v>
      </c>
      <c r="BK44" s="52">
        <v>4508.2</v>
      </c>
      <c r="BL44" s="55" t="str">
        <f t="shared" si="108"/>
        <v>核减</v>
      </c>
      <c r="BM44" s="55">
        <f t="shared" si="109"/>
        <v>85.2200000000003</v>
      </c>
      <c r="BN44" s="63" t="str">
        <f t="shared" si="110"/>
        <v>核减160.99</v>
      </c>
      <c r="BO44" s="48"/>
      <c r="BP44" s="56"/>
      <c r="BQ44" s="48"/>
      <c r="BR44" s="56"/>
      <c r="BS44" s="40"/>
      <c r="BT44" s="40"/>
      <c r="BU44" s="51"/>
      <c r="BV44" s="52"/>
      <c r="BW44" s="51"/>
      <c r="BX44" s="52"/>
      <c r="BY44" s="40"/>
      <c r="BZ44" s="55"/>
    </row>
    <row r="45" ht="13.5" customHeight="1" spans="1:78">
      <c r="A45" s="26" t="s">
        <v>449</v>
      </c>
      <c r="B45" s="5" t="s">
        <v>81</v>
      </c>
      <c r="C45" s="6">
        <v>45379</v>
      </c>
      <c r="D45" s="7">
        <v>45422</v>
      </c>
      <c r="E45" s="32" t="str">
        <f t="shared" si="99"/>
        <v>0</v>
      </c>
      <c r="F45" s="30">
        <f t="shared" si="0"/>
        <v>27</v>
      </c>
      <c r="G45" s="12"/>
      <c r="H45" s="31"/>
      <c r="I45" s="37"/>
      <c r="J45" s="30" t="str">
        <f t="shared" si="1"/>
        <v/>
      </c>
      <c r="K45" s="12">
        <v>45559</v>
      </c>
      <c r="L45" s="31">
        <v>45573</v>
      </c>
      <c r="M45" s="40" t="str">
        <f t="shared" si="100"/>
        <v>0</v>
      </c>
      <c r="N45" s="30">
        <f t="shared" si="2"/>
        <v>6</v>
      </c>
      <c r="O45" s="12"/>
      <c r="P45" s="31"/>
      <c r="Q45" s="38"/>
      <c r="R45" s="30" t="str">
        <f t="shared" si="3"/>
        <v/>
      </c>
      <c r="S45" s="12"/>
      <c r="T45" s="31"/>
      <c r="U45" s="40"/>
      <c r="V45" s="30" t="str">
        <f t="shared" si="4"/>
        <v/>
      </c>
      <c r="W45" s="12"/>
      <c r="X45" s="44"/>
      <c r="Y45" s="38"/>
      <c r="Z45" s="30" t="str">
        <f t="shared" si="5"/>
        <v/>
      </c>
      <c r="AA45" s="12"/>
      <c r="AB45" s="31"/>
      <c r="AC45" s="40"/>
      <c r="AD45" s="30" t="str">
        <f t="shared" si="6"/>
        <v/>
      </c>
      <c r="AE45" s="48" t="s">
        <v>86</v>
      </c>
      <c r="AF45" s="47" t="s">
        <v>86</v>
      </c>
      <c r="AG45" s="53" t="s">
        <v>83</v>
      </c>
      <c r="AH45" s="51">
        <v>6840.660022</v>
      </c>
      <c r="AI45" s="52">
        <v>7034.1</v>
      </c>
      <c r="AJ45" s="51">
        <v>6733.621954</v>
      </c>
      <c r="AK45" s="52">
        <v>6924.14</v>
      </c>
      <c r="AL45" s="55" t="str">
        <f t="shared" si="102"/>
        <v>核增</v>
      </c>
      <c r="AM45" s="55">
        <f t="shared" si="103"/>
        <v>193.439978</v>
      </c>
      <c r="AN45" s="55">
        <f t="shared" si="104"/>
        <v>190.518046</v>
      </c>
      <c r="AO45" s="48"/>
      <c r="AP45" s="56"/>
      <c r="AQ45" s="48"/>
      <c r="AR45" s="56"/>
      <c r="AS45" s="40"/>
      <c r="AT45" s="40"/>
      <c r="AU45" s="51">
        <v>7002.81</v>
      </c>
      <c r="AV45" s="52">
        <v>6674.78</v>
      </c>
      <c r="AW45" s="51">
        <v>6904.17</v>
      </c>
      <c r="AX45" s="52">
        <v>6581.13</v>
      </c>
      <c r="AY45" s="55" t="str">
        <f t="shared" si="105"/>
        <v>核减</v>
      </c>
      <c r="AZ45" s="55">
        <f t="shared" si="106"/>
        <v>323.04</v>
      </c>
      <c r="BA45" s="63" t="str">
        <f t="shared" si="107"/>
        <v>核减359.32</v>
      </c>
      <c r="BB45" s="48"/>
      <c r="BC45" s="56"/>
      <c r="BD45" s="48"/>
      <c r="BE45" s="56"/>
      <c r="BF45" s="64"/>
      <c r="BG45" s="52"/>
      <c r="BH45" s="51"/>
      <c r="BI45" s="52"/>
      <c r="BJ45" s="51"/>
      <c r="BK45" s="52"/>
      <c r="BL45" s="40"/>
      <c r="BM45" s="55"/>
      <c r="BN45" s="63"/>
      <c r="BO45" s="48"/>
      <c r="BP45" s="56"/>
      <c r="BQ45" s="48"/>
      <c r="BR45" s="56"/>
      <c r="BS45" s="40"/>
      <c r="BT45" s="40"/>
      <c r="BU45" s="51"/>
      <c r="BV45" s="52"/>
      <c r="BW45" s="51"/>
      <c r="BX45" s="52"/>
      <c r="BY45" s="40"/>
      <c r="BZ45" s="55"/>
    </row>
    <row r="46" ht="13.5" customHeight="1" spans="1:78">
      <c r="A46" s="25" t="s">
        <v>113</v>
      </c>
      <c r="B46" s="5" t="s">
        <v>85</v>
      </c>
      <c r="C46" s="6">
        <v>45377</v>
      </c>
      <c r="D46" s="7">
        <v>45428</v>
      </c>
      <c r="E46" s="32" t="str">
        <f t="shared" si="99"/>
        <v>0</v>
      </c>
      <c r="F46" s="30">
        <f t="shared" si="0"/>
        <v>33</v>
      </c>
      <c r="G46" s="12"/>
      <c r="H46" s="31"/>
      <c r="I46" s="37"/>
      <c r="J46" s="30" t="str">
        <f t="shared" si="1"/>
        <v/>
      </c>
      <c r="K46" s="12"/>
      <c r="L46" s="31"/>
      <c r="M46" s="40" t="str">
        <f t="shared" si="100"/>
        <v/>
      </c>
      <c r="N46" s="30" t="str">
        <f t="shared" si="2"/>
        <v/>
      </c>
      <c r="O46" s="12"/>
      <c r="P46" s="31"/>
      <c r="Q46" s="38"/>
      <c r="R46" s="30" t="str">
        <f t="shared" si="3"/>
        <v/>
      </c>
      <c r="S46" s="12"/>
      <c r="T46" s="31"/>
      <c r="U46" s="40"/>
      <c r="V46" s="30" t="str">
        <f t="shared" si="4"/>
        <v/>
      </c>
      <c r="W46" s="12"/>
      <c r="X46" s="44"/>
      <c r="Y46" s="38"/>
      <c r="Z46" s="30" t="str">
        <f t="shared" si="5"/>
        <v/>
      </c>
      <c r="AA46" s="12"/>
      <c r="AB46" s="31"/>
      <c r="AC46" s="40"/>
      <c r="AD46" s="30" t="str">
        <f t="shared" si="6"/>
        <v/>
      </c>
      <c r="AE46" s="48" t="s">
        <v>82</v>
      </c>
      <c r="AF46" s="47" t="s">
        <v>82</v>
      </c>
      <c r="AG46" s="53" t="s">
        <v>97</v>
      </c>
      <c r="AH46" s="51">
        <v>35442.24</v>
      </c>
      <c r="AI46" s="52">
        <v>28224.01</v>
      </c>
      <c r="AJ46" s="51">
        <v>34832.85</v>
      </c>
      <c r="AK46" s="52">
        <v>27738.41</v>
      </c>
      <c r="AL46" s="55" t="str">
        <f t="shared" si="102"/>
        <v>核减</v>
      </c>
      <c r="AM46" s="55">
        <f t="shared" si="103"/>
        <v>7218.23</v>
      </c>
      <c r="AN46" s="55">
        <f t="shared" si="104"/>
        <v>7094.44</v>
      </c>
      <c r="AO46" s="48"/>
      <c r="AP46" s="56"/>
      <c r="AQ46" s="48"/>
      <c r="AR46" s="56"/>
      <c r="AS46" s="40"/>
      <c r="AT46" s="40"/>
      <c r="AU46" s="51"/>
      <c r="AV46" s="52"/>
      <c r="AW46" s="51"/>
      <c r="AX46" s="52"/>
      <c r="AY46" s="40"/>
      <c r="AZ46" s="55"/>
      <c r="BA46" s="63"/>
      <c r="BB46" s="48"/>
      <c r="BC46" s="56"/>
      <c r="BD46" s="48"/>
      <c r="BE46" s="56"/>
      <c r="BF46" s="64"/>
      <c r="BG46" s="52"/>
      <c r="BH46" s="51"/>
      <c r="BI46" s="52"/>
      <c r="BJ46" s="51"/>
      <c r="BK46" s="52"/>
      <c r="BL46" s="40"/>
      <c r="BM46" s="55"/>
      <c r="BN46" s="63"/>
      <c r="BO46" s="48"/>
      <c r="BP46" s="56"/>
      <c r="BQ46" s="48"/>
      <c r="BR46" s="56"/>
      <c r="BS46" s="40"/>
      <c r="BT46" s="40"/>
      <c r="BU46" s="51"/>
      <c r="BV46" s="52"/>
      <c r="BW46" s="51"/>
      <c r="BX46" s="52"/>
      <c r="BY46" s="40"/>
      <c r="BZ46" s="55"/>
    </row>
    <row r="47" ht="13.5" customHeight="1" spans="1:78">
      <c r="A47" s="25" t="s">
        <v>127</v>
      </c>
      <c r="B47" s="5" t="s">
        <v>85</v>
      </c>
      <c r="C47" s="6"/>
      <c r="D47" s="7"/>
      <c r="E47" s="29"/>
      <c r="F47" s="30" t="str">
        <f t="shared" si="0"/>
        <v/>
      </c>
      <c r="G47" s="12"/>
      <c r="H47" s="31"/>
      <c r="I47" s="37"/>
      <c r="J47" s="30" t="str">
        <f t="shared" si="1"/>
        <v/>
      </c>
      <c r="K47" s="12">
        <v>45547</v>
      </c>
      <c r="L47" s="31">
        <v>45582</v>
      </c>
      <c r="M47" s="40" t="str">
        <f t="shared" si="100"/>
        <v>0</v>
      </c>
      <c r="N47" s="30">
        <f t="shared" si="2"/>
        <v>19</v>
      </c>
      <c r="O47" s="12"/>
      <c r="P47" s="31"/>
      <c r="Q47" s="38"/>
      <c r="R47" s="30" t="str">
        <f t="shared" si="3"/>
        <v/>
      </c>
      <c r="S47" s="41">
        <v>45688</v>
      </c>
      <c r="T47" s="31"/>
      <c r="U47" s="40"/>
      <c r="V47" s="30" t="str">
        <f t="shared" si="4"/>
        <v/>
      </c>
      <c r="W47" s="12"/>
      <c r="X47" s="31"/>
      <c r="Y47" s="38"/>
      <c r="Z47" s="30" t="str">
        <f t="shared" si="5"/>
        <v/>
      </c>
      <c r="AA47" s="12"/>
      <c r="AB47" s="31"/>
      <c r="AC47" s="40"/>
      <c r="AD47" s="30" t="str">
        <f t="shared" si="6"/>
        <v/>
      </c>
      <c r="AE47" s="46" t="s">
        <v>86</v>
      </c>
      <c r="AF47" s="47" t="s">
        <v>86</v>
      </c>
      <c r="AG47" s="50" t="s">
        <v>91</v>
      </c>
      <c r="AH47" s="51"/>
      <c r="AI47" s="52">
        <v>8250.75</v>
      </c>
      <c r="AJ47" s="51"/>
      <c r="AK47" s="52">
        <v>8099.19</v>
      </c>
      <c r="AL47" s="40"/>
      <c r="AM47" s="40"/>
      <c r="AN47" s="40"/>
      <c r="AO47" s="48"/>
      <c r="AP47" s="56"/>
      <c r="AQ47" s="48"/>
      <c r="AR47" s="56"/>
      <c r="AS47" s="40"/>
      <c r="AT47" s="40"/>
      <c r="AU47" s="52">
        <v>7702.17</v>
      </c>
      <c r="AV47" s="52">
        <v>7652.97</v>
      </c>
      <c r="AW47" s="51">
        <v>7574.6</v>
      </c>
      <c r="AX47" s="52">
        <v>7526.22</v>
      </c>
      <c r="AY47" s="55" t="str">
        <f t="shared" ref="AY47:AY55" si="111">IF(AND(AX47&lt;&gt;"",AW47&lt;&gt;""),IF(AX47&gt;AW47,"核增",IF(AX47&lt;AW47,"核减","不变")),"")</f>
        <v>核减</v>
      </c>
      <c r="AZ47" s="55">
        <f t="shared" ref="AZ47:AZ55" si="112">IF(AND(AX47&lt;&gt;"",AW47&lt;&gt;""),MAX(ABS(AX47),ABS(AW47))-MIN(ABS(AX47),ABS(AW47)),"")</f>
        <v>48.3800000000001</v>
      </c>
      <c r="BA47" s="63" t="str">
        <f t="shared" ref="BA47:BA55" si="113">IF(AND(AV47&lt;&gt;"",AI47&lt;&gt;""),IF(AV47&gt;AI47,"核增",IF(AV47&lt;AI47,"核减","不变")),"")&amp;TEXT(IF(AND(AV47&lt;&gt;"",AI47&lt;&gt;""),MAX(ABS(AV47),ABS(AI47))-MIN(ABS(AV47),ABS(AI47)),""),"0.00")</f>
        <v>核减597.78</v>
      </c>
      <c r="BB47" s="48"/>
      <c r="BC47" s="56"/>
      <c r="BD47" s="48"/>
      <c r="BE47" s="56"/>
      <c r="BF47" s="64"/>
      <c r="BG47" s="48"/>
      <c r="BH47" s="51"/>
      <c r="BI47" s="52"/>
      <c r="BJ47" s="51"/>
      <c r="BK47" s="52"/>
      <c r="BL47" s="40"/>
      <c r="BM47" s="55"/>
      <c r="BN47" s="63"/>
      <c r="BO47" s="48"/>
      <c r="BP47" s="56"/>
      <c r="BQ47" s="48"/>
      <c r="BR47" s="56"/>
      <c r="BS47" s="40"/>
      <c r="BT47" s="40"/>
      <c r="BU47" s="51"/>
      <c r="BV47" s="52"/>
      <c r="BW47" s="51"/>
      <c r="BX47" s="52"/>
      <c r="BY47" s="40"/>
      <c r="BZ47" s="55"/>
    </row>
    <row r="48" ht="13.5" customHeight="1" spans="1:78">
      <c r="A48" s="25" t="s">
        <v>194</v>
      </c>
      <c r="B48" s="5" t="s">
        <v>81</v>
      </c>
      <c r="C48" s="6">
        <v>45380</v>
      </c>
      <c r="D48" s="7">
        <v>45426</v>
      </c>
      <c r="E48" s="32" t="str">
        <f t="shared" ref="E48:E49" si="114">IF(C48&lt;&gt;0,IF(D48&lt;&gt;0,"0","1"),"")</f>
        <v>0</v>
      </c>
      <c r="F48" s="30">
        <f t="shared" si="0"/>
        <v>28</v>
      </c>
      <c r="G48" s="12"/>
      <c r="H48" s="31"/>
      <c r="I48" s="38" t="str">
        <f>IF(G48&lt;&gt;0,IF(H48&lt;&gt;0,"0","1"),"")</f>
        <v/>
      </c>
      <c r="J48" s="30" t="str">
        <f t="shared" si="1"/>
        <v/>
      </c>
      <c r="K48" s="12">
        <v>45549</v>
      </c>
      <c r="L48" s="31">
        <v>45564</v>
      </c>
      <c r="M48" s="40" t="str">
        <f t="shared" si="100"/>
        <v>0</v>
      </c>
      <c r="N48" s="30">
        <f t="shared" si="2"/>
        <v>8</v>
      </c>
      <c r="O48" s="12"/>
      <c r="P48" s="31"/>
      <c r="Q48" s="38"/>
      <c r="R48" s="30" t="str">
        <f t="shared" si="3"/>
        <v/>
      </c>
      <c r="S48" s="12"/>
      <c r="T48" s="31"/>
      <c r="U48" s="38" t="str">
        <f>IF(S48&lt;&gt;0,IF(T48&lt;&gt;0,"0","1"),"")</f>
        <v/>
      </c>
      <c r="V48" s="30" t="str">
        <f t="shared" si="4"/>
        <v/>
      </c>
      <c r="W48" s="12"/>
      <c r="X48" s="44"/>
      <c r="Y48" s="38"/>
      <c r="Z48" s="30" t="str">
        <f t="shared" si="5"/>
        <v/>
      </c>
      <c r="AA48" s="12"/>
      <c r="AB48" s="31"/>
      <c r="AC48" s="40" t="str">
        <f>IF(AA48&lt;&gt;0,IF(AB48&lt;&gt;0,"0","1"),"")</f>
        <v/>
      </c>
      <c r="AD48" s="30" t="str">
        <f t="shared" si="6"/>
        <v/>
      </c>
      <c r="AE48" s="48" t="s">
        <v>82</v>
      </c>
      <c r="AF48" s="47" t="s">
        <v>82</v>
      </c>
      <c r="AG48" s="53" t="s">
        <v>87</v>
      </c>
      <c r="AH48" s="51">
        <v>5142.53</v>
      </c>
      <c r="AI48" s="52">
        <v>5825.44</v>
      </c>
      <c r="AJ48" s="51">
        <v>5054.26</v>
      </c>
      <c r="AK48" s="52">
        <v>5735.46</v>
      </c>
      <c r="AL48" s="55" t="str">
        <f t="shared" ref="AL48:AL49" si="115">IF(AND(AK48&lt;&gt;"",AJ48&lt;&gt;""),IF(AK48&gt;AJ48,"核增",IF(AK48&lt;AJ48,"核减","不变")),"")</f>
        <v>核增</v>
      </c>
      <c r="AM48" s="55">
        <f t="shared" ref="AM48:AM49" si="116">IF(AND(AI48&lt;&gt;"",AH48&lt;&gt;""),MAX(ABS(AI48),ABS(AH48))-MIN(ABS(AI48),ABS(AH48)),"")</f>
        <v>682.91</v>
      </c>
      <c r="AN48" s="55">
        <f t="shared" ref="AN48:AN49" si="117">IF(AND(AK48&lt;&gt;"",AJ48&lt;&gt;""),MAX(ABS(AK48),ABS(AJ48))-MIN(ABS(AK48),ABS(AJ48)),"")</f>
        <v>681.2</v>
      </c>
      <c r="AO48" s="48"/>
      <c r="AP48" s="56"/>
      <c r="AQ48" s="48"/>
      <c r="AR48" s="56"/>
      <c r="AS48" s="40"/>
      <c r="AT48" s="40"/>
      <c r="AU48" s="74">
        <v>5752.14</v>
      </c>
      <c r="AV48" s="75">
        <v>5511.96</v>
      </c>
      <c r="AW48" s="74">
        <v>5672.17</v>
      </c>
      <c r="AX48" s="75">
        <v>5435.62</v>
      </c>
      <c r="AY48" s="55" t="str">
        <f t="shared" si="111"/>
        <v>核减</v>
      </c>
      <c r="AZ48" s="55">
        <f t="shared" si="112"/>
        <v>236.55</v>
      </c>
      <c r="BA48" s="63" t="str">
        <f t="shared" si="113"/>
        <v>核减313.48</v>
      </c>
      <c r="BB48" s="48"/>
      <c r="BC48" s="56"/>
      <c r="BD48" s="48"/>
      <c r="BE48" s="56"/>
      <c r="BF48" s="64"/>
      <c r="BG48" s="52"/>
      <c r="BH48" s="51"/>
      <c r="BI48" s="52"/>
      <c r="BJ48" s="51"/>
      <c r="BK48" s="52"/>
      <c r="BL48" s="40"/>
      <c r="BM48" s="55"/>
      <c r="BN48" s="63"/>
      <c r="BO48" s="48"/>
      <c r="BP48" s="56"/>
      <c r="BQ48" s="48"/>
      <c r="BR48" s="56"/>
      <c r="BS48" s="40"/>
      <c r="BT48" s="40"/>
      <c r="BU48" s="51"/>
      <c r="BV48" s="52"/>
      <c r="BW48" s="51"/>
      <c r="BX48" s="52"/>
      <c r="BY48" s="40"/>
      <c r="BZ48" s="55"/>
    </row>
    <row r="49" ht="13.5" customHeight="1" spans="1:78">
      <c r="A49" s="25" t="s">
        <v>450</v>
      </c>
      <c r="B49" s="5" t="s">
        <v>93</v>
      </c>
      <c r="C49" s="6">
        <v>45350</v>
      </c>
      <c r="D49" s="7">
        <v>45440</v>
      </c>
      <c r="E49" s="32" t="str">
        <f t="shared" si="114"/>
        <v>0</v>
      </c>
      <c r="F49" s="30">
        <f t="shared" si="0"/>
        <v>60</v>
      </c>
      <c r="G49" s="12"/>
      <c r="H49" s="31"/>
      <c r="I49" s="38"/>
      <c r="J49" s="30" t="str">
        <f t="shared" si="1"/>
        <v/>
      </c>
      <c r="K49" s="12">
        <v>45586</v>
      </c>
      <c r="L49" s="31">
        <v>45607</v>
      </c>
      <c r="M49" s="38" t="str">
        <f t="shared" si="100"/>
        <v>0</v>
      </c>
      <c r="N49" s="30">
        <f t="shared" si="2"/>
        <v>16</v>
      </c>
      <c r="O49" s="12"/>
      <c r="P49" s="31"/>
      <c r="Q49" s="38"/>
      <c r="R49" s="30" t="str">
        <f t="shared" si="3"/>
        <v/>
      </c>
      <c r="S49" s="12"/>
      <c r="T49" s="31"/>
      <c r="U49" s="38"/>
      <c r="V49" s="30" t="str">
        <f t="shared" si="4"/>
        <v/>
      </c>
      <c r="W49" s="12"/>
      <c r="X49" s="44"/>
      <c r="Y49" s="38"/>
      <c r="Z49" s="30" t="str">
        <f t="shared" si="5"/>
        <v/>
      </c>
      <c r="AA49" s="12"/>
      <c r="AB49" s="31"/>
      <c r="AC49" s="38"/>
      <c r="AD49" s="30" t="str">
        <f t="shared" si="6"/>
        <v/>
      </c>
      <c r="AE49" s="48" t="s">
        <v>97</v>
      </c>
      <c r="AF49" s="47" t="s">
        <v>406</v>
      </c>
      <c r="AG49" s="53" t="s">
        <v>97</v>
      </c>
      <c r="AH49" s="51">
        <v>42417.92</v>
      </c>
      <c r="AI49" s="52">
        <v>42455.9</v>
      </c>
      <c r="AJ49" s="51">
        <v>41669.33</v>
      </c>
      <c r="AK49" s="52">
        <v>41712.61</v>
      </c>
      <c r="AL49" s="55" t="str">
        <f t="shared" si="115"/>
        <v>核增</v>
      </c>
      <c r="AM49" s="55">
        <f t="shared" si="116"/>
        <v>37.9800000000032</v>
      </c>
      <c r="AN49" s="55">
        <f t="shared" si="117"/>
        <v>43.2799999999988</v>
      </c>
      <c r="AO49" s="51"/>
      <c r="AP49" s="52"/>
      <c r="AQ49" s="51"/>
      <c r="AR49" s="52"/>
      <c r="AS49" s="55" t="str">
        <f>IF(AND(AR49&lt;&gt;"",AQ49&lt;&gt;""),IF(AR49&gt;AQ49,"核增",IF(AR49&lt;AQ49,"核减","不变")),"")</f>
        <v/>
      </c>
      <c r="AT49" s="55" t="str">
        <f>IF(AND(AR49&lt;&gt;"",AQ49&lt;&gt;""),MAX(ABS(AR49),ABS(AQ49))-MIN(ABS(AR49),ABS(AQ49)),"")</f>
        <v/>
      </c>
      <c r="AU49" s="51">
        <v>43015.06</v>
      </c>
      <c r="AV49" s="52">
        <v>42409.15</v>
      </c>
      <c r="AW49" s="51">
        <v>42282.23</v>
      </c>
      <c r="AX49" s="52">
        <v>41706.5</v>
      </c>
      <c r="AY49" s="55" t="str">
        <f t="shared" si="111"/>
        <v>核减</v>
      </c>
      <c r="AZ49" s="55">
        <f t="shared" si="112"/>
        <v>575.730000000003</v>
      </c>
      <c r="BA49" s="63" t="str">
        <f t="shared" si="113"/>
        <v>核减46.75</v>
      </c>
      <c r="BB49" s="51"/>
      <c r="BC49" s="52"/>
      <c r="BD49" s="51"/>
      <c r="BE49" s="52"/>
      <c r="BF49" s="64" t="str">
        <f>IF(AND(BE49&lt;&gt;"",BD49&lt;&gt;""),IF(BE49&gt;BD49,"核增",IF(BE49&lt;BD49,"核减","不变")),"")</f>
        <v/>
      </c>
      <c r="BG49" s="52"/>
      <c r="BH49" s="51"/>
      <c r="BI49" s="52"/>
      <c r="BJ49" s="51"/>
      <c r="BK49" s="52"/>
      <c r="BL49" s="55" t="str">
        <f>IF(AND(BK49&lt;&gt;"",BJ49&lt;&gt;""),IF(BK49&gt;BJ49,"核增",IF(BK49&lt;BJ49,"核减","不变")),"")</f>
        <v/>
      </c>
      <c r="BM49" s="55" t="str">
        <f>IF(AND(BK49&lt;&gt;"",BJ49&lt;&gt;""),MAX(ABS(BK49),ABS(BJ49))-MIN(ABS(BK49),ABS(BJ49)),"")</f>
        <v/>
      </c>
      <c r="BN49" s="63" t="str">
        <f>IF(AND(BI49&lt;&gt;"",AV49&lt;&gt;""),IF(BI49&gt;AV49,"核增",IF(BI49&lt;AV49,"核减","不变")),"")&amp;TEXT(IF(AND(BI49&lt;&gt;"",AV49&lt;&gt;""),MAX(ABS(BI49),ABS(AV49))-MIN(ABS(BI49),ABS(AV49)),""),"0.00")</f>
        <v/>
      </c>
      <c r="BO49" s="51"/>
      <c r="BP49" s="52"/>
      <c r="BQ49" s="51"/>
      <c r="BR49" s="52"/>
      <c r="BS49" s="55" t="str">
        <f>IF(AND(BR49&lt;&gt;"",BQ49&lt;&gt;""),IF(BR49&gt;BQ49,"核增",IF(BR49&lt;BQ49,"核减","不变")),"")</f>
        <v/>
      </c>
      <c r="BT49" s="55" t="str">
        <f>IF(AND(BR49&lt;&gt;"",BQ49&lt;&gt;""),MAX(ABS(BR49),ABS(BQ49))-MIN(ABS(BR49),ABS(BQ49)),"")</f>
        <v/>
      </c>
      <c r="BU49" s="51"/>
      <c r="BV49" s="52"/>
      <c r="BW49" s="51"/>
      <c r="BX49" s="52"/>
      <c r="BY49" s="55" t="str">
        <f>IF(AND(BX49&lt;&gt;"",BW49&lt;&gt;""),IF(BX49&gt;BW49,"核增",IF(BX49&lt;BW49,"核减","不变")),"")</f>
        <v/>
      </c>
      <c r="BZ49" s="55" t="str">
        <f>IF(AND(BX49&lt;&gt;"",BW49&lt;&gt;""),MAX(ABS(BX49),ABS(BW49))-MIN(ABS(BX49),ABS(BW49)),"")</f>
        <v/>
      </c>
    </row>
    <row r="50" ht="13.5" customHeight="1" spans="1:78">
      <c r="A50" s="25" t="s">
        <v>168</v>
      </c>
      <c r="B50" s="5" t="s">
        <v>85</v>
      </c>
      <c r="C50" s="6"/>
      <c r="D50" s="7"/>
      <c r="E50" s="29"/>
      <c r="F50" s="30" t="str">
        <f t="shared" si="0"/>
        <v/>
      </c>
      <c r="G50" s="12"/>
      <c r="H50" s="31"/>
      <c r="I50" s="37"/>
      <c r="J50" s="30" t="str">
        <f t="shared" si="1"/>
        <v/>
      </c>
      <c r="K50" s="12">
        <v>45554</v>
      </c>
      <c r="L50" s="31">
        <v>45564</v>
      </c>
      <c r="M50" s="40" t="str">
        <f t="shared" si="100"/>
        <v>0</v>
      </c>
      <c r="N50" s="30">
        <f t="shared" si="2"/>
        <v>7</v>
      </c>
      <c r="O50" s="12"/>
      <c r="P50" s="31"/>
      <c r="Q50" s="38"/>
      <c r="R50" s="30" t="str">
        <f t="shared" si="3"/>
        <v/>
      </c>
      <c r="S50" s="12"/>
      <c r="T50" s="31"/>
      <c r="U50" s="40"/>
      <c r="V50" s="30" t="str">
        <f t="shared" si="4"/>
        <v/>
      </c>
      <c r="W50" s="12"/>
      <c r="X50" s="31"/>
      <c r="Y50" s="38"/>
      <c r="Z50" s="30" t="str">
        <f t="shared" si="5"/>
        <v/>
      </c>
      <c r="AA50" s="12"/>
      <c r="AB50" s="31"/>
      <c r="AC50" s="40"/>
      <c r="AD50" s="30" t="str">
        <f t="shared" si="6"/>
        <v/>
      </c>
      <c r="AE50" s="46" t="s">
        <v>86</v>
      </c>
      <c r="AF50" s="47" t="s">
        <v>86</v>
      </c>
      <c r="AG50" s="50" t="s">
        <v>91</v>
      </c>
      <c r="AH50" s="51"/>
      <c r="AI50" s="52">
        <v>4721.08</v>
      </c>
      <c r="AJ50" s="51"/>
      <c r="AK50" s="52">
        <v>4027.65</v>
      </c>
      <c r="AL50" s="40"/>
      <c r="AM50" s="40"/>
      <c r="AN50" s="40"/>
      <c r="AO50" s="48"/>
      <c r="AP50" s="56"/>
      <c r="AQ50" s="48"/>
      <c r="AR50" s="56"/>
      <c r="AS50" s="40"/>
      <c r="AT50" s="40"/>
      <c r="AU50" s="51">
        <v>4234.55</v>
      </c>
      <c r="AV50" s="52">
        <v>4207.14</v>
      </c>
      <c r="AW50" s="51">
        <v>4161.86</v>
      </c>
      <c r="AX50" s="52">
        <v>4134.92</v>
      </c>
      <c r="AY50" s="55" t="str">
        <f t="shared" si="111"/>
        <v>核减</v>
      </c>
      <c r="AZ50" s="55">
        <f t="shared" si="112"/>
        <v>26.9399999999996</v>
      </c>
      <c r="BA50" s="63" t="str">
        <f t="shared" si="113"/>
        <v>核减513.94</v>
      </c>
      <c r="BB50" s="48"/>
      <c r="BC50" s="56"/>
      <c r="BD50" s="48"/>
      <c r="BE50" s="56"/>
      <c r="BF50" s="64"/>
      <c r="BG50" s="48"/>
      <c r="BH50" s="51"/>
      <c r="BI50" s="52"/>
      <c r="BJ50" s="51"/>
      <c r="BK50" s="52"/>
      <c r="BL50" s="40"/>
      <c r="BM50" s="55"/>
      <c r="BN50" s="63"/>
      <c r="BO50" s="48"/>
      <c r="BP50" s="56"/>
      <c r="BQ50" s="48"/>
      <c r="BR50" s="56"/>
      <c r="BS50" s="40"/>
      <c r="BT50" s="40"/>
      <c r="BU50" s="51"/>
      <c r="BV50" s="52"/>
      <c r="BW50" s="51"/>
      <c r="BX50" s="52"/>
      <c r="BY50" s="40"/>
      <c r="BZ50" s="55"/>
    </row>
    <row r="51" ht="13.5" customHeight="1" spans="1:78">
      <c r="A51" s="25" t="s">
        <v>451</v>
      </c>
      <c r="B51" s="70" t="s">
        <v>93</v>
      </c>
      <c r="C51" s="33">
        <v>45217</v>
      </c>
      <c r="D51" s="7">
        <v>45300</v>
      </c>
      <c r="E51" s="32" t="str">
        <f t="shared" ref="E51:E89" si="118">IF(C51&lt;&gt;0,IF(D51&lt;&gt;0,"0","1"),"")</f>
        <v>0</v>
      </c>
      <c r="F51" s="30">
        <f t="shared" si="0"/>
        <v>58</v>
      </c>
      <c r="G51" s="12"/>
      <c r="H51" s="35"/>
      <c r="I51" s="38" t="str">
        <f t="shared" ref="I51:I54" si="119">IF(G51&lt;&gt;0,IF(H51&lt;&gt;0,"0","1"),"")</f>
        <v/>
      </c>
      <c r="J51" s="30" t="str">
        <f t="shared" si="1"/>
        <v/>
      </c>
      <c r="K51" s="12"/>
      <c r="L51" s="31"/>
      <c r="M51" s="38" t="str">
        <f t="shared" si="100"/>
        <v/>
      </c>
      <c r="N51" s="30" t="str">
        <f t="shared" si="2"/>
        <v/>
      </c>
      <c r="O51" s="12"/>
      <c r="P51" s="35"/>
      <c r="Q51" s="38" t="str">
        <f t="shared" ref="Q51:Q54" si="120">IF(O51&lt;&gt;0,IF(P51&lt;&gt;0,"0","1"),"")</f>
        <v/>
      </c>
      <c r="R51" s="30" t="str">
        <f t="shared" si="3"/>
        <v/>
      </c>
      <c r="S51" s="12"/>
      <c r="T51" s="31"/>
      <c r="U51" s="38" t="str">
        <f t="shared" ref="U51:U54" si="121">IF(S51&lt;&gt;0,IF(T51&lt;&gt;0,"0","1"),"")</f>
        <v/>
      </c>
      <c r="V51" s="30" t="str">
        <f t="shared" si="4"/>
        <v/>
      </c>
      <c r="W51" s="12"/>
      <c r="X51" s="44"/>
      <c r="Y51" s="38" t="str">
        <f t="shared" ref="Y51:Y54" si="122">IF(W51&lt;&gt;0,IF(X51&lt;&gt;0,"0","1"),"")</f>
        <v/>
      </c>
      <c r="Z51" s="30" t="str">
        <f t="shared" si="5"/>
        <v/>
      </c>
      <c r="AA51" s="12"/>
      <c r="AB51" s="31"/>
      <c r="AC51" s="38" t="str">
        <f t="shared" ref="AC51:AC54" si="123">IF(AA51&lt;&gt;0,IF(AB51&lt;&gt;0,"0","1"),"")</f>
        <v/>
      </c>
      <c r="AD51" s="30" t="str">
        <f t="shared" si="6"/>
        <v/>
      </c>
      <c r="AE51" s="48" t="s">
        <v>82</v>
      </c>
      <c r="AF51" s="47" t="s">
        <v>82</v>
      </c>
      <c r="AG51" s="53" t="s">
        <v>87</v>
      </c>
      <c r="AH51" s="51">
        <v>9769.79</v>
      </c>
      <c r="AI51" s="52">
        <v>9470.26</v>
      </c>
      <c r="AJ51" s="51">
        <v>9602.44</v>
      </c>
      <c r="AK51" s="52">
        <v>9470.26</v>
      </c>
      <c r="AL51" s="55" t="str">
        <f t="shared" ref="AL51:AL74" si="124">IF(AND(AK51&lt;&gt;"",AJ51&lt;&gt;""),IF(AK51&gt;AJ51,"核增",IF(AK51&lt;AJ51,"核减","不变")),"")</f>
        <v>核减</v>
      </c>
      <c r="AM51" s="55">
        <f t="shared" ref="AM51:AM74" si="125">IF(AND(AI51&lt;&gt;"",AH51&lt;&gt;""),MAX(ABS(AI51),ABS(AH51))-MIN(ABS(AI51),ABS(AH51)),"")</f>
        <v>299.530000000001</v>
      </c>
      <c r="AN51" s="55">
        <f t="shared" ref="AN51:AN74" si="126">IF(AND(AK51&lt;&gt;"",AJ51&lt;&gt;""),MAX(ABS(AK51),ABS(AJ51))-MIN(ABS(AK51),ABS(AJ51)),"")</f>
        <v>132.18</v>
      </c>
      <c r="AO51" s="51"/>
      <c r="AP51" s="52"/>
      <c r="AQ51" s="51"/>
      <c r="AR51" s="52"/>
      <c r="AS51" s="55" t="str">
        <f t="shared" ref="AS51:AS55" si="127">IF(AND(AR51&lt;&gt;"",AQ51&lt;&gt;""),IF(AR51&gt;AQ51,"核增",IF(AR51&lt;AQ51,"核减","不变")),"")</f>
        <v/>
      </c>
      <c r="AT51" s="55" t="str">
        <f t="shared" ref="AT51:AT55" si="128">IF(AND(AR51&lt;&gt;"",AQ51&lt;&gt;""),MAX(ABS(AR51),ABS(AQ51))-MIN(ABS(AR51),ABS(AQ51)),"")</f>
        <v/>
      </c>
      <c r="AU51" s="51"/>
      <c r="AV51" s="52"/>
      <c r="AW51" s="51"/>
      <c r="AX51" s="52"/>
      <c r="AY51" s="55" t="str">
        <f t="shared" si="111"/>
        <v/>
      </c>
      <c r="AZ51" s="55" t="str">
        <f t="shared" si="112"/>
        <v/>
      </c>
      <c r="BA51" s="63" t="str">
        <f t="shared" si="113"/>
        <v/>
      </c>
      <c r="BB51" s="51"/>
      <c r="BC51" s="52"/>
      <c r="BD51" s="51"/>
      <c r="BE51" s="52"/>
      <c r="BF51" s="64" t="str">
        <f t="shared" ref="BF51:BF55" si="129">IF(AND(BE51&lt;&gt;"",BD51&lt;&gt;""),IF(BE51&gt;BD51,"核增",IF(BE51&lt;BD51,"核减","不变")),"")</f>
        <v/>
      </c>
      <c r="BG51" s="52"/>
      <c r="BH51" s="51"/>
      <c r="BI51" s="52"/>
      <c r="BJ51" s="51"/>
      <c r="BK51" s="52"/>
      <c r="BL51" s="55" t="str">
        <f t="shared" ref="BL51:BL55" si="130">IF(AND(BK51&lt;&gt;"",BJ51&lt;&gt;""),IF(BK51&gt;BJ51,"核增",IF(BK51&lt;BJ51,"核减","不变")),"")</f>
        <v/>
      </c>
      <c r="BM51" s="55" t="str">
        <f t="shared" ref="BM51:BM55" si="131">IF(AND(BK51&lt;&gt;"",BJ51&lt;&gt;""),MAX(ABS(BK51),ABS(BJ51))-MIN(ABS(BK51),ABS(BJ51)),"")</f>
        <v/>
      </c>
      <c r="BN51" s="63" t="str">
        <f t="shared" ref="BN51:BN55" si="132">IF(AND(BI51&lt;&gt;"",AV51&lt;&gt;""),IF(BI51&gt;AV51,"核增",IF(BI51&lt;AV51,"核减","不变")),"")&amp;TEXT(IF(AND(BI51&lt;&gt;"",AV51&lt;&gt;""),MAX(ABS(BI51),ABS(AV51))-MIN(ABS(BI51),ABS(AV51)),""),"0.00")</f>
        <v/>
      </c>
      <c r="BO51" s="51"/>
      <c r="BP51" s="52"/>
      <c r="BQ51" s="51"/>
      <c r="BR51" s="52"/>
      <c r="BS51" s="55" t="str">
        <f t="shared" ref="BS51:BS55" si="133">IF(AND(BR51&lt;&gt;"",BQ51&lt;&gt;""),IF(BR51&gt;BQ51,"核增",IF(BR51&lt;BQ51,"核减","不变")),"")</f>
        <v/>
      </c>
      <c r="BT51" s="55" t="str">
        <f t="shared" ref="BT51:BT55" si="134">IF(AND(BR51&lt;&gt;"",BQ51&lt;&gt;""),MAX(ABS(BR51),ABS(BQ51))-MIN(ABS(BR51),ABS(BQ51)),"")</f>
        <v/>
      </c>
      <c r="BU51" s="51"/>
      <c r="BV51" s="52"/>
      <c r="BW51" s="51"/>
      <c r="BX51" s="52"/>
      <c r="BY51" s="55" t="str">
        <f t="shared" ref="BY51:BY55" si="135">IF(AND(BX51&lt;&gt;"",BW51&lt;&gt;""),IF(BX51&gt;BW51,"核增",IF(BX51&lt;BW51,"核减","不变")),"")</f>
        <v/>
      </c>
      <c r="BZ51" s="55" t="str">
        <f t="shared" ref="BZ51:BZ55" si="136">IF(AND(BX51&lt;&gt;"",BW51&lt;&gt;""),MAX(ABS(BX51),ABS(BW51))-MIN(ABS(BX51),ABS(BW51)),"")</f>
        <v/>
      </c>
    </row>
    <row r="52" ht="13.5" customHeight="1" spans="1:78">
      <c r="A52" s="18" t="s">
        <v>452</v>
      </c>
      <c r="B52" s="11" t="s">
        <v>81</v>
      </c>
      <c r="C52" s="12">
        <v>45249</v>
      </c>
      <c r="D52" s="7">
        <v>45308</v>
      </c>
      <c r="E52" s="32" t="str">
        <f t="shared" si="118"/>
        <v>0</v>
      </c>
      <c r="F52" s="30">
        <f t="shared" si="0"/>
        <v>41</v>
      </c>
      <c r="G52" s="12"/>
      <c r="H52" s="31"/>
      <c r="I52" s="38" t="str">
        <f t="shared" si="119"/>
        <v/>
      </c>
      <c r="J52" s="30" t="str">
        <f t="shared" si="1"/>
        <v/>
      </c>
      <c r="K52" s="12"/>
      <c r="L52" s="31"/>
      <c r="M52" s="38" t="str">
        <f t="shared" si="100"/>
        <v/>
      </c>
      <c r="N52" s="30" t="str">
        <f t="shared" si="2"/>
        <v/>
      </c>
      <c r="O52" s="12"/>
      <c r="P52" s="31"/>
      <c r="Q52" s="38" t="str">
        <f t="shared" si="120"/>
        <v/>
      </c>
      <c r="R52" s="30" t="str">
        <f t="shared" si="3"/>
        <v/>
      </c>
      <c r="S52" s="12"/>
      <c r="T52" s="31"/>
      <c r="U52" s="38" t="str">
        <f t="shared" si="121"/>
        <v/>
      </c>
      <c r="V52" s="30" t="str">
        <f t="shared" si="4"/>
        <v/>
      </c>
      <c r="W52" s="12"/>
      <c r="X52" s="44"/>
      <c r="Y52" s="38" t="str">
        <f t="shared" si="122"/>
        <v/>
      </c>
      <c r="Z52" s="30" t="str">
        <f t="shared" si="5"/>
        <v/>
      </c>
      <c r="AA52" s="12"/>
      <c r="AB52" s="31"/>
      <c r="AC52" s="38" t="str">
        <f t="shared" si="123"/>
        <v/>
      </c>
      <c r="AD52" s="30" t="str">
        <f t="shared" si="6"/>
        <v/>
      </c>
      <c r="AE52" s="48" t="s">
        <v>86</v>
      </c>
      <c r="AF52" s="47" t="s">
        <v>86</v>
      </c>
      <c r="AG52" s="53" t="s">
        <v>87</v>
      </c>
      <c r="AH52" s="51">
        <v>2670.15</v>
      </c>
      <c r="AI52" s="52">
        <v>2230.56</v>
      </c>
      <c r="AJ52" s="51">
        <v>2635.14</v>
      </c>
      <c r="AK52" s="52">
        <v>2203.7</v>
      </c>
      <c r="AL52" s="55" t="str">
        <f t="shared" si="124"/>
        <v>核减</v>
      </c>
      <c r="AM52" s="55">
        <f t="shared" si="125"/>
        <v>439.59</v>
      </c>
      <c r="AN52" s="55">
        <f t="shared" si="126"/>
        <v>431.44</v>
      </c>
      <c r="AO52" s="51"/>
      <c r="AP52" s="52"/>
      <c r="AQ52" s="51"/>
      <c r="AR52" s="52"/>
      <c r="AS52" s="55" t="str">
        <f t="shared" si="127"/>
        <v/>
      </c>
      <c r="AT52" s="55" t="str">
        <f t="shared" si="128"/>
        <v/>
      </c>
      <c r="AU52" s="51"/>
      <c r="AV52" s="52"/>
      <c r="AW52" s="51"/>
      <c r="AX52" s="52"/>
      <c r="AY52" s="55" t="str">
        <f t="shared" si="111"/>
        <v/>
      </c>
      <c r="AZ52" s="55" t="str">
        <f t="shared" si="112"/>
        <v/>
      </c>
      <c r="BA52" s="63" t="str">
        <f t="shared" si="113"/>
        <v/>
      </c>
      <c r="BB52" s="51"/>
      <c r="BC52" s="52"/>
      <c r="BD52" s="51"/>
      <c r="BE52" s="52"/>
      <c r="BF52" s="64" t="str">
        <f t="shared" si="129"/>
        <v/>
      </c>
      <c r="BG52" s="52"/>
      <c r="BH52" s="51"/>
      <c r="BI52" s="52"/>
      <c r="BJ52" s="51"/>
      <c r="BK52" s="52"/>
      <c r="BL52" s="55" t="str">
        <f t="shared" si="130"/>
        <v/>
      </c>
      <c r="BM52" s="55" t="str">
        <f t="shared" si="131"/>
        <v/>
      </c>
      <c r="BN52" s="63" t="str">
        <f t="shared" si="132"/>
        <v/>
      </c>
      <c r="BO52" s="51"/>
      <c r="BP52" s="52"/>
      <c r="BQ52" s="51"/>
      <c r="BR52" s="52"/>
      <c r="BS52" s="55" t="str">
        <f t="shared" si="133"/>
        <v/>
      </c>
      <c r="BT52" s="55" t="str">
        <f t="shared" si="134"/>
        <v/>
      </c>
      <c r="BU52" s="51"/>
      <c r="BV52" s="52"/>
      <c r="BW52" s="51"/>
      <c r="BX52" s="52"/>
      <c r="BY52" s="55" t="str">
        <f t="shared" si="135"/>
        <v/>
      </c>
      <c r="BZ52" s="55" t="str">
        <f t="shared" si="136"/>
        <v/>
      </c>
    </row>
    <row r="53" ht="13.5" customHeight="1" spans="1:78">
      <c r="A53" s="18" t="s">
        <v>116</v>
      </c>
      <c r="B53" s="11" t="s">
        <v>93</v>
      </c>
      <c r="C53" s="12">
        <v>45253</v>
      </c>
      <c r="D53" s="7">
        <v>45296</v>
      </c>
      <c r="E53" s="32" t="str">
        <f t="shared" si="118"/>
        <v>0</v>
      </c>
      <c r="F53" s="30">
        <f t="shared" si="0"/>
        <v>30</v>
      </c>
      <c r="G53" s="12"/>
      <c r="H53" s="31"/>
      <c r="I53" s="38" t="str">
        <f t="shared" si="119"/>
        <v/>
      </c>
      <c r="J53" s="30" t="str">
        <f t="shared" si="1"/>
        <v/>
      </c>
      <c r="K53" s="41">
        <v>45688</v>
      </c>
      <c r="L53" s="31"/>
      <c r="M53" s="38"/>
      <c r="N53" s="30" t="str">
        <f t="shared" si="2"/>
        <v/>
      </c>
      <c r="O53" s="12"/>
      <c r="P53" s="31"/>
      <c r="Q53" s="38" t="str">
        <f t="shared" si="120"/>
        <v/>
      </c>
      <c r="R53" s="30" t="str">
        <f t="shared" si="3"/>
        <v/>
      </c>
      <c r="S53" s="12"/>
      <c r="T53" s="31"/>
      <c r="U53" s="38" t="str">
        <f t="shared" si="121"/>
        <v/>
      </c>
      <c r="V53" s="30" t="str">
        <f t="shared" si="4"/>
        <v/>
      </c>
      <c r="W53" s="12"/>
      <c r="X53" s="44"/>
      <c r="Y53" s="38" t="str">
        <f t="shared" si="122"/>
        <v/>
      </c>
      <c r="Z53" s="30" t="str">
        <f t="shared" si="5"/>
        <v/>
      </c>
      <c r="AA53" s="12"/>
      <c r="AB53" s="31"/>
      <c r="AC53" s="38" t="str">
        <f t="shared" si="123"/>
        <v/>
      </c>
      <c r="AD53" s="30" t="str">
        <f t="shared" si="6"/>
        <v/>
      </c>
      <c r="AE53" s="48" t="s">
        <v>87</v>
      </c>
      <c r="AF53" s="47" t="s">
        <v>91</v>
      </c>
      <c r="AG53" s="53" t="s">
        <v>87</v>
      </c>
      <c r="AH53" s="51">
        <v>5144.46</v>
      </c>
      <c r="AI53" s="52">
        <v>4700.57</v>
      </c>
      <c r="AJ53" s="51">
        <v>5056.53</v>
      </c>
      <c r="AK53" s="52">
        <v>4619.88</v>
      </c>
      <c r="AL53" s="55" t="str">
        <f t="shared" si="124"/>
        <v>核减</v>
      </c>
      <c r="AM53" s="55">
        <f t="shared" si="125"/>
        <v>443.89</v>
      </c>
      <c r="AN53" s="55">
        <f t="shared" si="126"/>
        <v>436.65</v>
      </c>
      <c r="AO53" s="51"/>
      <c r="AP53" s="52"/>
      <c r="AQ53" s="51"/>
      <c r="AR53" s="52"/>
      <c r="AS53" s="55" t="str">
        <f t="shared" si="127"/>
        <v/>
      </c>
      <c r="AT53" s="55" t="str">
        <f t="shared" si="128"/>
        <v/>
      </c>
      <c r="AU53" s="51"/>
      <c r="AV53" s="52"/>
      <c r="AW53" s="51"/>
      <c r="AX53" s="52"/>
      <c r="AY53" s="55" t="str">
        <f t="shared" si="111"/>
        <v/>
      </c>
      <c r="AZ53" s="55" t="str">
        <f t="shared" si="112"/>
        <v/>
      </c>
      <c r="BA53" s="63" t="str">
        <f t="shared" si="113"/>
        <v/>
      </c>
      <c r="BB53" s="51"/>
      <c r="BC53" s="52"/>
      <c r="BD53" s="51"/>
      <c r="BE53" s="52"/>
      <c r="BF53" s="64" t="str">
        <f t="shared" si="129"/>
        <v/>
      </c>
      <c r="BG53" s="52"/>
      <c r="BH53" s="51"/>
      <c r="BI53" s="52"/>
      <c r="BJ53" s="51"/>
      <c r="BK53" s="52"/>
      <c r="BL53" s="55" t="str">
        <f t="shared" si="130"/>
        <v/>
      </c>
      <c r="BM53" s="55" t="str">
        <f t="shared" si="131"/>
        <v/>
      </c>
      <c r="BN53" s="63" t="str">
        <f t="shared" si="132"/>
        <v/>
      </c>
      <c r="BO53" s="51"/>
      <c r="BP53" s="52"/>
      <c r="BQ53" s="51"/>
      <c r="BR53" s="52"/>
      <c r="BS53" s="55" t="str">
        <f t="shared" si="133"/>
        <v/>
      </c>
      <c r="BT53" s="55" t="str">
        <f t="shared" si="134"/>
        <v/>
      </c>
      <c r="BU53" s="51"/>
      <c r="BV53" s="52"/>
      <c r="BW53" s="51"/>
      <c r="BX53" s="52"/>
      <c r="BY53" s="55" t="str">
        <f t="shared" si="135"/>
        <v/>
      </c>
      <c r="BZ53" s="55" t="str">
        <f t="shared" si="136"/>
        <v/>
      </c>
    </row>
    <row r="54" ht="13.5" customHeight="1" spans="1:78">
      <c r="A54" s="25" t="s">
        <v>453</v>
      </c>
      <c r="B54" s="5" t="s">
        <v>93</v>
      </c>
      <c r="C54" s="12">
        <v>45261</v>
      </c>
      <c r="D54" s="7">
        <v>45440</v>
      </c>
      <c r="E54" s="32" t="str">
        <f t="shared" si="118"/>
        <v>0</v>
      </c>
      <c r="F54" s="30">
        <f t="shared" si="0"/>
        <v>116</v>
      </c>
      <c r="G54" s="12"/>
      <c r="H54" s="31"/>
      <c r="I54" s="38" t="str">
        <f t="shared" si="119"/>
        <v/>
      </c>
      <c r="J54" s="30" t="str">
        <f t="shared" si="1"/>
        <v/>
      </c>
      <c r="K54" s="33"/>
      <c r="L54" s="31"/>
      <c r="M54" s="38" t="str">
        <f>IF(K54&lt;&gt;0,IF(L54&lt;&gt;0,"0","1"),"")</f>
        <v/>
      </c>
      <c r="N54" s="30" t="str">
        <f t="shared" si="2"/>
        <v/>
      </c>
      <c r="O54" s="12"/>
      <c r="P54" s="31"/>
      <c r="Q54" s="38" t="str">
        <f t="shared" si="120"/>
        <v/>
      </c>
      <c r="R54" s="30" t="str">
        <f t="shared" si="3"/>
        <v/>
      </c>
      <c r="S54" s="12"/>
      <c r="T54" s="31"/>
      <c r="U54" s="38" t="str">
        <f t="shared" si="121"/>
        <v/>
      </c>
      <c r="V54" s="30" t="str">
        <f t="shared" si="4"/>
        <v/>
      </c>
      <c r="W54" s="12"/>
      <c r="X54" s="44"/>
      <c r="Y54" s="38" t="str">
        <f t="shared" si="122"/>
        <v/>
      </c>
      <c r="Z54" s="30" t="str">
        <f t="shared" si="5"/>
        <v/>
      </c>
      <c r="AA54" s="12"/>
      <c r="AB54" s="31"/>
      <c r="AC54" s="38" t="str">
        <f t="shared" si="123"/>
        <v/>
      </c>
      <c r="AD54" s="30" t="str">
        <f t="shared" si="6"/>
        <v/>
      </c>
      <c r="AE54" s="48" t="s">
        <v>86</v>
      </c>
      <c r="AF54" s="47" t="s">
        <v>86</v>
      </c>
      <c r="AG54" s="53" t="s">
        <v>97</v>
      </c>
      <c r="AH54" s="72">
        <v>137991.36</v>
      </c>
      <c r="AI54" s="73">
        <v>143636.51</v>
      </c>
      <c r="AJ54" s="72">
        <v>133223.5</v>
      </c>
      <c r="AK54" s="73">
        <v>139001.27</v>
      </c>
      <c r="AL54" s="55" t="str">
        <f t="shared" si="124"/>
        <v>核增</v>
      </c>
      <c r="AM54" s="55">
        <f t="shared" si="125"/>
        <v>5645.15000000002</v>
      </c>
      <c r="AN54" s="55">
        <f t="shared" si="126"/>
        <v>5777.76999999999</v>
      </c>
      <c r="AO54" s="51"/>
      <c r="AP54" s="52"/>
      <c r="AQ54" s="51"/>
      <c r="AR54" s="52"/>
      <c r="AS54" s="55" t="str">
        <f t="shared" si="127"/>
        <v/>
      </c>
      <c r="AT54" s="55" t="str">
        <f t="shared" si="128"/>
        <v/>
      </c>
      <c r="AU54" s="51"/>
      <c r="AV54" s="52"/>
      <c r="AW54" s="51"/>
      <c r="AX54" s="52"/>
      <c r="AY54" s="55" t="str">
        <f t="shared" si="111"/>
        <v/>
      </c>
      <c r="AZ54" s="55" t="str">
        <f t="shared" si="112"/>
        <v/>
      </c>
      <c r="BA54" s="63" t="str">
        <f t="shared" si="113"/>
        <v/>
      </c>
      <c r="BB54" s="51"/>
      <c r="BC54" s="52"/>
      <c r="BD54" s="51"/>
      <c r="BE54" s="52"/>
      <c r="BF54" s="64" t="str">
        <f t="shared" si="129"/>
        <v/>
      </c>
      <c r="BG54" s="52"/>
      <c r="BH54" s="51"/>
      <c r="BI54" s="52"/>
      <c r="BJ54" s="51"/>
      <c r="BK54" s="52"/>
      <c r="BL54" s="55" t="str">
        <f t="shared" si="130"/>
        <v/>
      </c>
      <c r="BM54" s="55" t="str">
        <f t="shared" si="131"/>
        <v/>
      </c>
      <c r="BN54" s="63" t="str">
        <f t="shared" si="132"/>
        <v/>
      </c>
      <c r="BO54" s="51"/>
      <c r="BP54" s="52"/>
      <c r="BQ54" s="51"/>
      <c r="BR54" s="52"/>
      <c r="BS54" s="55" t="str">
        <f t="shared" si="133"/>
        <v/>
      </c>
      <c r="BT54" s="55" t="str">
        <f t="shared" si="134"/>
        <v/>
      </c>
      <c r="BU54" s="51"/>
      <c r="BV54" s="52"/>
      <c r="BW54" s="51"/>
      <c r="BX54" s="52"/>
      <c r="BY54" s="55" t="str">
        <f t="shared" si="135"/>
        <v/>
      </c>
      <c r="BZ54" s="55" t="str">
        <f t="shared" si="136"/>
        <v/>
      </c>
    </row>
    <row r="55" ht="13.5" customHeight="1" spans="1:78">
      <c r="A55" s="21" t="s">
        <v>454</v>
      </c>
      <c r="B55" s="11" t="s">
        <v>93</v>
      </c>
      <c r="C55" s="12">
        <v>45278</v>
      </c>
      <c r="D55" s="7">
        <v>45324</v>
      </c>
      <c r="E55" s="32" t="str">
        <f t="shared" si="118"/>
        <v>0</v>
      </c>
      <c r="F55" s="30">
        <f t="shared" si="0"/>
        <v>33</v>
      </c>
      <c r="G55" s="12"/>
      <c r="H55" s="31"/>
      <c r="I55" s="38"/>
      <c r="J55" s="30" t="str">
        <f t="shared" si="1"/>
        <v/>
      </c>
      <c r="K55" s="12"/>
      <c r="L55" s="31"/>
      <c r="M55" s="38"/>
      <c r="N55" s="30" t="str">
        <f t="shared" si="2"/>
        <v/>
      </c>
      <c r="O55" s="12"/>
      <c r="P55" s="31"/>
      <c r="Q55" s="38"/>
      <c r="R55" s="30" t="str">
        <f t="shared" si="3"/>
        <v/>
      </c>
      <c r="S55" s="12"/>
      <c r="T55" s="31"/>
      <c r="U55" s="38"/>
      <c r="V55" s="30" t="str">
        <f t="shared" si="4"/>
        <v/>
      </c>
      <c r="W55" s="12"/>
      <c r="X55" s="44"/>
      <c r="Y55" s="38"/>
      <c r="Z55" s="30" t="str">
        <f t="shared" si="5"/>
        <v/>
      </c>
      <c r="AA55" s="12"/>
      <c r="AB55" s="31"/>
      <c r="AC55" s="38"/>
      <c r="AD55" s="30" t="str">
        <f t="shared" si="6"/>
        <v/>
      </c>
      <c r="AE55" s="48" t="s">
        <v>97</v>
      </c>
      <c r="AF55" s="47" t="s">
        <v>91</v>
      </c>
      <c r="AG55" s="53" t="s">
        <v>97</v>
      </c>
      <c r="AH55" s="51">
        <v>26734.01</v>
      </c>
      <c r="AI55" s="52">
        <v>29360.11</v>
      </c>
      <c r="AJ55" s="51">
        <v>26734.01</v>
      </c>
      <c r="AK55" s="52">
        <v>29360.11</v>
      </c>
      <c r="AL55" s="55" t="str">
        <f t="shared" si="124"/>
        <v>核增</v>
      </c>
      <c r="AM55" s="55">
        <f t="shared" si="125"/>
        <v>2626.1</v>
      </c>
      <c r="AN55" s="55">
        <f t="shared" si="126"/>
        <v>2626.1</v>
      </c>
      <c r="AO55" s="51"/>
      <c r="AP55" s="52"/>
      <c r="AQ55" s="51"/>
      <c r="AR55" s="52"/>
      <c r="AS55" s="55" t="str">
        <f t="shared" si="127"/>
        <v/>
      </c>
      <c r="AT55" s="55" t="str">
        <f t="shared" si="128"/>
        <v/>
      </c>
      <c r="AU55" s="51"/>
      <c r="AV55" s="52"/>
      <c r="AW55" s="51"/>
      <c r="AX55" s="52"/>
      <c r="AY55" s="55" t="str">
        <f t="shared" si="111"/>
        <v/>
      </c>
      <c r="AZ55" s="55" t="str">
        <f t="shared" si="112"/>
        <v/>
      </c>
      <c r="BA55" s="63" t="str">
        <f t="shared" si="113"/>
        <v/>
      </c>
      <c r="BB55" s="51"/>
      <c r="BC55" s="52"/>
      <c r="BD55" s="51"/>
      <c r="BE55" s="52"/>
      <c r="BF55" s="64" t="str">
        <f t="shared" si="129"/>
        <v/>
      </c>
      <c r="BG55" s="52"/>
      <c r="BH55" s="51"/>
      <c r="BI55" s="52"/>
      <c r="BJ55" s="51"/>
      <c r="BK55" s="52"/>
      <c r="BL55" s="55" t="str">
        <f t="shared" si="130"/>
        <v/>
      </c>
      <c r="BM55" s="55" t="str">
        <f t="shared" si="131"/>
        <v/>
      </c>
      <c r="BN55" s="63" t="str">
        <f t="shared" si="132"/>
        <v/>
      </c>
      <c r="BO55" s="51"/>
      <c r="BP55" s="52"/>
      <c r="BQ55" s="51"/>
      <c r="BR55" s="52"/>
      <c r="BS55" s="55" t="str">
        <f t="shared" si="133"/>
        <v/>
      </c>
      <c r="BT55" s="55" t="str">
        <f t="shared" si="134"/>
        <v/>
      </c>
      <c r="BU55" s="51"/>
      <c r="BV55" s="52"/>
      <c r="BW55" s="51"/>
      <c r="BX55" s="52"/>
      <c r="BY55" s="55" t="str">
        <f t="shared" si="135"/>
        <v/>
      </c>
      <c r="BZ55" s="55" t="str">
        <f t="shared" si="136"/>
        <v/>
      </c>
    </row>
    <row r="56" ht="13.5" customHeight="1" spans="1:78">
      <c r="A56" s="25" t="s">
        <v>455</v>
      </c>
      <c r="B56" s="5" t="s">
        <v>85</v>
      </c>
      <c r="C56" s="6">
        <v>45261</v>
      </c>
      <c r="D56" s="7">
        <v>45383</v>
      </c>
      <c r="E56" s="32" t="str">
        <f t="shared" si="118"/>
        <v>0</v>
      </c>
      <c r="F56" s="30">
        <f t="shared" si="0"/>
        <v>80</v>
      </c>
      <c r="G56" s="12"/>
      <c r="H56" s="31"/>
      <c r="I56" s="38"/>
      <c r="J56" s="30" t="str">
        <f t="shared" si="1"/>
        <v/>
      </c>
      <c r="K56" s="12"/>
      <c r="L56" s="31"/>
      <c r="M56" s="40"/>
      <c r="N56" s="30" t="str">
        <f t="shared" si="2"/>
        <v/>
      </c>
      <c r="O56" s="12"/>
      <c r="P56" s="31"/>
      <c r="Q56" s="38"/>
      <c r="R56" s="30" t="str">
        <f t="shared" si="3"/>
        <v/>
      </c>
      <c r="S56" s="12"/>
      <c r="T56" s="31"/>
      <c r="U56" s="40"/>
      <c r="V56" s="30" t="str">
        <f t="shared" si="4"/>
        <v/>
      </c>
      <c r="W56" s="12"/>
      <c r="X56" s="44"/>
      <c r="Y56" s="38"/>
      <c r="Z56" s="30" t="str">
        <f t="shared" si="5"/>
        <v/>
      </c>
      <c r="AA56" s="12"/>
      <c r="AB56" s="31"/>
      <c r="AC56" s="40"/>
      <c r="AD56" s="30" t="str">
        <f t="shared" si="6"/>
        <v/>
      </c>
      <c r="AE56" s="46" t="s">
        <v>82</v>
      </c>
      <c r="AF56" s="49" t="s">
        <v>82</v>
      </c>
      <c r="AG56" s="50" t="s">
        <v>87</v>
      </c>
      <c r="AH56" s="51">
        <v>1885.41</v>
      </c>
      <c r="AI56" s="52">
        <v>1909.55</v>
      </c>
      <c r="AJ56" s="51">
        <v>1863.88</v>
      </c>
      <c r="AK56" s="52">
        <v>1887.97</v>
      </c>
      <c r="AL56" s="55" t="str">
        <f t="shared" si="124"/>
        <v>核增</v>
      </c>
      <c r="AM56" s="55">
        <f t="shared" si="125"/>
        <v>24.1399999999999</v>
      </c>
      <c r="AN56" s="55">
        <f t="shared" si="126"/>
        <v>24.0899999999999</v>
      </c>
      <c r="AO56" s="48"/>
      <c r="AP56" s="56"/>
      <c r="AQ56" s="48"/>
      <c r="AR56" s="56"/>
      <c r="AS56" s="40"/>
      <c r="AT56" s="40"/>
      <c r="AU56" s="51"/>
      <c r="AV56" s="52"/>
      <c r="AW56" s="51"/>
      <c r="AX56" s="52"/>
      <c r="AY56" s="40"/>
      <c r="AZ56" s="55"/>
      <c r="BA56" s="63"/>
      <c r="BB56" s="48"/>
      <c r="BC56" s="56"/>
      <c r="BD56" s="48"/>
      <c r="BE56" s="56"/>
      <c r="BF56" s="64"/>
      <c r="BG56" s="52"/>
      <c r="BH56" s="51"/>
      <c r="BI56" s="52"/>
      <c r="BJ56" s="51"/>
      <c r="BK56" s="52"/>
      <c r="BL56" s="40"/>
      <c r="BM56" s="55"/>
      <c r="BN56" s="63"/>
      <c r="BO56" s="48"/>
      <c r="BP56" s="56"/>
      <c r="BQ56" s="48"/>
      <c r="BR56" s="56"/>
      <c r="BS56" s="40"/>
      <c r="BT56" s="40"/>
      <c r="BU56" s="51"/>
      <c r="BV56" s="52"/>
      <c r="BW56" s="51"/>
      <c r="BX56" s="52"/>
      <c r="BY56" s="40"/>
      <c r="BZ56" s="55"/>
    </row>
    <row r="57" ht="13.5" customHeight="1" spans="1:78">
      <c r="A57" s="25" t="s">
        <v>182</v>
      </c>
      <c r="B57" s="5" t="s">
        <v>93</v>
      </c>
      <c r="C57" s="6">
        <v>45314</v>
      </c>
      <c r="D57" s="7">
        <v>45440</v>
      </c>
      <c r="E57" s="32" t="str">
        <f t="shared" si="118"/>
        <v>0</v>
      </c>
      <c r="F57" s="30">
        <f t="shared" si="0"/>
        <v>81</v>
      </c>
      <c r="G57" s="12"/>
      <c r="H57" s="31"/>
      <c r="I57" s="37"/>
      <c r="J57" s="30" t="str">
        <f t="shared" si="1"/>
        <v/>
      </c>
      <c r="K57" s="33">
        <v>45574</v>
      </c>
      <c r="L57" s="31">
        <v>45593</v>
      </c>
      <c r="M57" s="38" t="str">
        <f t="shared" ref="M57:M59" si="137">IF(K57&lt;&gt;0,IF(L57&lt;&gt;0,"0","1"),"")</f>
        <v>0</v>
      </c>
      <c r="N57" s="30">
        <f t="shared" si="2"/>
        <v>14</v>
      </c>
      <c r="O57" s="12"/>
      <c r="P57" s="31"/>
      <c r="Q57" s="38"/>
      <c r="R57" s="30" t="str">
        <f t="shared" si="3"/>
        <v/>
      </c>
      <c r="S57" s="12"/>
      <c r="T57" s="31"/>
      <c r="U57" s="40"/>
      <c r="V57" s="30" t="str">
        <f t="shared" si="4"/>
        <v/>
      </c>
      <c r="W57" s="12"/>
      <c r="X57" s="31"/>
      <c r="Y57" s="38"/>
      <c r="Z57" s="30" t="str">
        <f t="shared" si="5"/>
        <v/>
      </c>
      <c r="AA57" s="12"/>
      <c r="AB57" s="31"/>
      <c r="AC57" s="40"/>
      <c r="AD57" s="30" t="str">
        <f t="shared" si="6"/>
        <v/>
      </c>
      <c r="AE57" s="46" t="s">
        <v>97</v>
      </c>
      <c r="AF57" s="49" t="s">
        <v>82</v>
      </c>
      <c r="AG57" s="50" t="s">
        <v>97</v>
      </c>
      <c r="AH57" s="51">
        <v>30396.28</v>
      </c>
      <c r="AI57" s="52">
        <v>28184.19</v>
      </c>
      <c r="AJ57" s="51">
        <v>29839.14</v>
      </c>
      <c r="AK57" s="52">
        <v>27668.67</v>
      </c>
      <c r="AL57" s="55" t="str">
        <f t="shared" si="124"/>
        <v>核减</v>
      </c>
      <c r="AM57" s="55">
        <f t="shared" si="125"/>
        <v>2212.09</v>
      </c>
      <c r="AN57" s="55">
        <f t="shared" si="126"/>
        <v>2170.47</v>
      </c>
      <c r="AO57" s="48"/>
      <c r="AP57" s="56"/>
      <c r="AQ57" s="48"/>
      <c r="AR57" s="56"/>
      <c r="AS57" s="40"/>
      <c r="AT57" s="40"/>
      <c r="AU57" s="51">
        <v>27679.55</v>
      </c>
      <c r="AV57" s="75">
        <v>25436.42</v>
      </c>
      <c r="AW57" s="51">
        <v>27199.24</v>
      </c>
      <c r="AX57" s="52">
        <v>25000.38</v>
      </c>
      <c r="AY57" s="55" t="str">
        <f t="shared" ref="AY57:AY61" si="138">IF(AND(AX57&lt;&gt;"",AW57&lt;&gt;""),IF(AX57&gt;AW57,"核增",IF(AX57&lt;AW57,"核减","不变")),"")</f>
        <v>核减</v>
      </c>
      <c r="AZ57" s="55">
        <f t="shared" ref="AZ57:AZ61" si="139">IF(AND(AX57&lt;&gt;"",AW57&lt;&gt;""),MAX(ABS(AX57),ABS(AW57))-MIN(ABS(AX57),ABS(AW57)),"")</f>
        <v>2198.86</v>
      </c>
      <c r="BA57" s="63" t="str">
        <f t="shared" ref="BA57:BA61" si="140">IF(AND(AV57&lt;&gt;"",AI57&lt;&gt;""),IF(AV57&gt;AI57,"核增",IF(AV57&lt;AI57,"核减","不变")),"")&amp;TEXT(IF(AND(AV57&lt;&gt;"",AI57&lt;&gt;""),MAX(ABS(AV57),ABS(AI57))-MIN(ABS(AV57),ABS(AI57)),""),"0.00")</f>
        <v>核减2747.77</v>
      </c>
      <c r="BB57" s="48"/>
      <c r="BC57" s="56"/>
      <c r="BD57" s="48"/>
      <c r="BE57" s="56"/>
      <c r="BF57" s="64"/>
      <c r="BG57" s="52"/>
      <c r="BH57" s="51"/>
      <c r="BI57" s="52"/>
      <c r="BJ57" s="51"/>
      <c r="BK57" s="52"/>
      <c r="BL57" s="40"/>
      <c r="BM57" s="55"/>
      <c r="BN57" s="63"/>
      <c r="BO57" s="48"/>
      <c r="BP57" s="56"/>
      <c r="BQ57" s="48"/>
      <c r="BR57" s="56"/>
      <c r="BS57" s="40"/>
      <c r="BT57" s="40"/>
      <c r="BU57" s="51"/>
      <c r="BV57" s="52"/>
      <c r="BW57" s="51"/>
      <c r="BX57" s="52"/>
      <c r="BY57" s="40"/>
      <c r="BZ57" s="55"/>
    </row>
    <row r="58" ht="13.5" customHeight="1" spans="1:78">
      <c r="A58" s="24" t="s">
        <v>456</v>
      </c>
      <c r="B58" s="20" t="s">
        <v>85</v>
      </c>
      <c r="C58" s="6">
        <v>45317</v>
      </c>
      <c r="D58" s="7">
        <v>45364</v>
      </c>
      <c r="E58" s="32" t="str">
        <f t="shared" si="118"/>
        <v>0</v>
      </c>
      <c r="F58" s="30">
        <f t="shared" si="0"/>
        <v>29</v>
      </c>
      <c r="G58" s="12"/>
      <c r="H58" s="31"/>
      <c r="I58" s="38" t="str">
        <f>IF(G58&lt;&gt;0,IF(H58&lt;&gt;0,"0","1"),"")</f>
        <v/>
      </c>
      <c r="J58" s="30" t="str">
        <f t="shared" si="1"/>
        <v/>
      </c>
      <c r="K58" s="12"/>
      <c r="L58" s="31"/>
      <c r="M58" s="38" t="str">
        <f t="shared" si="137"/>
        <v/>
      </c>
      <c r="N58" s="30" t="str">
        <f t="shared" si="2"/>
        <v/>
      </c>
      <c r="O58" s="12"/>
      <c r="P58" s="31"/>
      <c r="Q58" s="38" t="str">
        <f>IF(O58&lt;&gt;0,IF(P58&lt;&gt;0,"0","1"),"")</f>
        <v/>
      </c>
      <c r="R58" s="30" t="str">
        <f t="shared" si="3"/>
        <v/>
      </c>
      <c r="S58" s="12"/>
      <c r="T58" s="31"/>
      <c r="U58" s="38" t="str">
        <f>IF(S58&lt;&gt;0,IF(T58&lt;&gt;0,"0","1"),"")</f>
        <v/>
      </c>
      <c r="V58" s="30" t="str">
        <f t="shared" si="4"/>
        <v/>
      </c>
      <c r="W58" s="12"/>
      <c r="X58" s="44"/>
      <c r="Y58" s="38" t="str">
        <f>IF(W58&lt;&gt;0,IF(X58&lt;&gt;0,"0","1"),"")</f>
        <v/>
      </c>
      <c r="Z58" s="30" t="str">
        <f t="shared" si="5"/>
        <v/>
      </c>
      <c r="AA58" s="12"/>
      <c r="AB58" s="31"/>
      <c r="AC58" s="38" t="str">
        <f>IF(AA58&lt;&gt;0,IF(AB58&lt;&gt;0,"0","1"),"")</f>
        <v/>
      </c>
      <c r="AD58" s="30" t="str">
        <f t="shared" si="6"/>
        <v/>
      </c>
      <c r="AE58" s="48" t="s">
        <v>86</v>
      </c>
      <c r="AF58" s="47" t="s">
        <v>86</v>
      </c>
      <c r="AG58" s="53" t="s">
        <v>91</v>
      </c>
      <c r="AH58" s="51">
        <v>8178.84</v>
      </c>
      <c r="AI58" s="52">
        <v>8275.24</v>
      </c>
      <c r="AJ58" s="51">
        <v>8028.51</v>
      </c>
      <c r="AK58" s="52">
        <v>8123.23</v>
      </c>
      <c r="AL58" s="55" t="str">
        <f t="shared" si="124"/>
        <v>核增</v>
      </c>
      <c r="AM58" s="55">
        <f t="shared" si="125"/>
        <v>96.3999999999996</v>
      </c>
      <c r="AN58" s="55">
        <f t="shared" si="126"/>
        <v>94.7199999999993</v>
      </c>
      <c r="AO58" s="51"/>
      <c r="AP58" s="52"/>
      <c r="AQ58" s="51"/>
      <c r="AR58" s="52"/>
      <c r="AS58" s="55" t="str">
        <f t="shared" ref="AS58:AS60" si="141">IF(AND(AR58&lt;&gt;"",AQ58&lt;&gt;""),IF(AR58&gt;AQ58,"核增",IF(AR58&lt;AQ58,"核减","不变")),"")</f>
        <v/>
      </c>
      <c r="AT58" s="55" t="str">
        <f t="shared" ref="AT58:AT60" si="142">IF(AND(AR58&lt;&gt;"",AQ58&lt;&gt;""),MAX(ABS(AR58),ABS(AQ58))-MIN(ABS(AR58),ABS(AQ58)),"")</f>
        <v/>
      </c>
      <c r="AU58" s="51"/>
      <c r="AV58" s="52"/>
      <c r="AW58" s="51"/>
      <c r="AX58" s="52"/>
      <c r="AY58" s="55" t="str">
        <f t="shared" si="138"/>
        <v/>
      </c>
      <c r="AZ58" s="55" t="str">
        <f t="shared" si="139"/>
        <v/>
      </c>
      <c r="BA58" s="63" t="str">
        <f t="shared" si="140"/>
        <v/>
      </c>
      <c r="BB58" s="51"/>
      <c r="BC58" s="52"/>
      <c r="BD58" s="51"/>
      <c r="BE58" s="52"/>
      <c r="BF58" s="64" t="str">
        <f t="shared" ref="BF58:BF60" si="143">IF(AND(BE58&lt;&gt;"",BD58&lt;&gt;""),IF(BE58&gt;BD58,"核增",IF(BE58&lt;BD58,"核减","不变")),"")</f>
        <v/>
      </c>
      <c r="BG58" s="52"/>
      <c r="BH58" s="51"/>
      <c r="BI58" s="52"/>
      <c r="BJ58" s="51"/>
      <c r="BK58" s="52"/>
      <c r="BL58" s="55" t="str">
        <f t="shared" ref="BL58:BL60" si="144">IF(AND(BK58&lt;&gt;"",BJ58&lt;&gt;""),IF(BK58&gt;BJ58,"核增",IF(BK58&lt;BJ58,"核减","不变")),"")</f>
        <v/>
      </c>
      <c r="BM58" s="55" t="str">
        <f t="shared" ref="BM58:BM60" si="145">IF(AND(BK58&lt;&gt;"",BJ58&lt;&gt;""),MAX(ABS(BK58),ABS(BJ58))-MIN(ABS(BK58),ABS(BJ58)),"")</f>
        <v/>
      </c>
      <c r="BN58" s="63" t="str">
        <f t="shared" ref="BN58:BN60" si="146">IF(AND(BI58&lt;&gt;"",AV58&lt;&gt;""),IF(BI58&gt;AV58,"核增",IF(BI58&lt;AV58,"核减","不变")),"")&amp;TEXT(IF(AND(BI58&lt;&gt;"",AV58&lt;&gt;""),MAX(ABS(BI58),ABS(AV58))-MIN(ABS(BI58),ABS(AV58)),""),"0.00")</f>
        <v/>
      </c>
      <c r="BO58" s="51"/>
      <c r="BP58" s="52"/>
      <c r="BQ58" s="51"/>
      <c r="BR58" s="52"/>
      <c r="BS58" s="55" t="str">
        <f t="shared" ref="BS58:BS60" si="147">IF(AND(BR58&lt;&gt;"",BQ58&lt;&gt;""),IF(BR58&gt;BQ58,"核增",IF(BR58&lt;BQ58,"核减","不变")),"")</f>
        <v/>
      </c>
      <c r="BT58" s="55" t="str">
        <f t="shared" ref="BT58:BT60" si="148">IF(AND(BR58&lt;&gt;"",BQ58&lt;&gt;""),MAX(ABS(BR58),ABS(BQ58))-MIN(ABS(BR58),ABS(BQ58)),"")</f>
        <v/>
      </c>
      <c r="BU58" s="51"/>
      <c r="BV58" s="52"/>
      <c r="BW58" s="51"/>
      <c r="BX58" s="52"/>
      <c r="BY58" s="55" t="str">
        <f t="shared" ref="BY58:BY60" si="149">IF(AND(BX58&lt;&gt;"",BW58&lt;&gt;""),IF(BX58&gt;BW58,"核增",IF(BX58&lt;BW58,"核减","不变")),"")</f>
        <v/>
      </c>
      <c r="BZ58" s="55" t="str">
        <f t="shared" ref="BZ58:BZ60" si="150">IF(AND(BX58&lt;&gt;"",BW58&lt;&gt;""),MAX(ABS(BX58),ABS(BW58))-MIN(ABS(BX58),ABS(BW58)),"")</f>
        <v/>
      </c>
    </row>
    <row r="59" ht="13.5" customHeight="1" spans="1:78">
      <c r="A59" s="26" t="s">
        <v>118</v>
      </c>
      <c r="B59" s="5" t="s">
        <v>93</v>
      </c>
      <c r="C59" s="6">
        <v>45349</v>
      </c>
      <c r="D59" s="7">
        <v>45427</v>
      </c>
      <c r="E59" s="32" t="str">
        <f t="shared" si="118"/>
        <v>0</v>
      </c>
      <c r="F59" s="30">
        <f t="shared" si="0"/>
        <v>52</v>
      </c>
      <c r="G59" s="12"/>
      <c r="H59" s="31"/>
      <c r="I59" s="38"/>
      <c r="J59" s="30" t="str">
        <f t="shared" si="1"/>
        <v/>
      </c>
      <c r="K59" s="41"/>
      <c r="L59" s="31"/>
      <c r="M59" s="38" t="str">
        <f t="shared" si="137"/>
        <v/>
      </c>
      <c r="N59" s="30" t="str">
        <f t="shared" si="2"/>
        <v/>
      </c>
      <c r="O59" s="12"/>
      <c r="P59" s="31"/>
      <c r="Q59" s="38"/>
      <c r="R59" s="30" t="str">
        <f t="shared" si="3"/>
        <v/>
      </c>
      <c r="S59" s="12"/>
      <c r="T59" s="31"/>
      <c r="U59" s="38"/>
      <c r="V59" s="30" t="str">
        <f t="shared" si="4"/>
        <v/>
      </c>
      <c r="W59" s="12"/>
      <c r="X59" s="44"/>
      <c r="Y59" s="38"/>
      <c r="Z59" s="30" t="str">
        <f t="shared" si="5"/>
        <v/>
      </c>
      <c r="AA59" s="12"/>
      <c r="AB59" s="31"/>
      <c r="AC59" s="38"/>
      <c r="AD59" s="30" t="str">
        <f t="shared" si="6"/>
        <v/>
      </c>
      <c r="AE59" s="48" t="s">
        <v>97</v>
      </c>
      <c r="AF59" s="47" t="s">
        <v>91</v>
      </c>
      <c r="AG59" s="53" t="s">
        <v>97</v>
      </c>
      <c r="AH59" s="51">
        <v>10339.8</v>
      </c>
      <c r="AI59" s="52">
        <v>11930.84</v>
      </c>
      <c r="AJ59" s="51">
        <v>10163.55</v>
      </c>
      <c r="AK59" s="52">
        <v>11727.53</v>
      </c>
      <c r="AL59" s="55" t="str">
        <f t="shared" si="124"/>
        <v>核增</v>
      </c>
      <c r="AM59" s="55">
        <f t="shared" si="125"/>
        <v>1591.04</v>
      </c>
      <c r="AN59" s="55">
        <f t="shared" si="126"/>
        <v>1563.98</v>
      </c>
      <c r="AO59" s="51"/>
      <c r="AP59" s="52"/>
      <c r="AQ59" s="51"/>
      <c r="AR59" s="52"/>
      <c r="AS59" s="55" t="str">
        <f t="shared" si="141"/>
        <v/>
      </c>
      <c r="AT59" s="55" t="str">
        <f t="shared" si="142"/>
        <v/>
      </c>
      <c r="AU59" s="51"/>
      <c r="AV59" s="52"/>
      <c r="AW59" s="51"/>
      <c r="AX59" s="52"/>
      <c r="AY59" s="55" t="str">
        <f t="shared" si="138"/>
        <v/>
      </c>
      <c r="AZ59" s="55" t="str">
        <f t="shared" si="139"/>
        <v/>
      </c>
      <c r="BA59" s="63" t="str">
        <f t="shared" si="140"/>
        <v/>
      </c>
      <c r="BB59" s="51"/>
      <c r="BC59" s="52"/>
      <c r="BD59" s="51"/>
      <c r="BE59" s="52"/>
      <c r="BF59" s="64" t="str">
        <f t="shared" si="143"/>
        <v/>
      </c>
      <c r="BG59" s="52"/>
      <c r="BH59" s="51"/>
      <c r="BI59" s="52"/>
      <c r="BJ59" s="51"/>
      <c r="BK59" s="52"/>
      <c r="BL59" s="55" t="str">
        <f t="shared" si="144"/>
        <v/>
      </c>
      <c r="BM59" s="55" t="str">
        <f t="shared" si="145"/>
        <v/>
      </c>
      <c r="BN59" s="63" t="str">
        <f t="shared" si="146"/>
        <v/>
      </c>
      <c r="BO59" s="51"/>
      <c r="BP59" s="52"/>
      <c r="BQ59" s="51"/>
      <c r="BR59" s="52"/>
      <c r="BS59" s="55" t="str">
        <f t="shared" si="147"/>
        <v/>
      </c>
      <c r="BT59" s="55" t="str">
        <f t="shared" si="148"/>
        <v/>
      </c>
      <c r="BU59" s="51"/>
      <c r="BV59" s="52"/>
      <c r="BW59" s="51"/>
      <c r="BX59" s="52"/>
      <c r="BY59" s="55" t="str">
        <f t="shared" si="149"/>
        <v/>
      </c>
      <c r="BZ59" s="55" t="str">
        <f t="shared" si="150"/>
        <v/>
      </c>
    </row>
    <row r="60" ht="13.5" customHeight="1" spans="1:78">
      <c r="A60" s="26" t="s">
        <v>206</v>
      </c>
      <c r="B60" s="5" t="s">
        <v>81</v>
      </c>
      <c r="C60" s="6">
        <v>45590</v>
      </c>
      <c r="D60" s="7">
        <v>45608</v>
      </c>
      <c r="E60" s="32" t="str">
        <f t="shared" si="118"/>
        <v>0</v>
      </c>
      <c r="F60" s="30">
        <f t="shared" si="0"/>
        <v>13</v>
      </c>
      <c r="G60" s="12"/>
      <c r="H60" s="31"/>
      <c r="I60" s="38"/>
      <c r="J60" s="30" t="str">
        <f t="shared" si="1"/>
        <v/>
      </c>
      <c r="K60" s="12"/>
      <c r="L60" s="31"/>
      <c r="M60" s="38"/>
      <c r="N60" s="30" t="str">
        <f t="shared" si="2"/>
        <v/>
      </c>
      <c r="O60" s="12"/>
      <c r="P60" s="31"/>
      <c r="Q60" s="38"/>
      <c r="R60" s="30" t="str">
        <f t="shared" si="3"/>
        <v/>
      </c>
      <c r="S60" s="12"/>
      <c r="T60" s="31"/>
      <c r="U60" s="38" t="str">
        <f t="shared" ref="U60:U61" si="151">IF(S60&lt;&gt;0,IF(T60&lt;&gt;0,"0","1"),"")</f>
        <v/>
      </c>
      <c r="V60" s="30" t="str">
        <f t="shared" si="4"/>
        <v/>
      </c>
      <c r="W60" s="12"/>
      <c r="X60" s="44"/>
      <c r="Y60" s="38"/>
      <c r="Z60" s="30" t="str">
        <f t="shared" si="5"/>
        <v/>
      </c>
      <c r="AA60" s="12"/>
      <c r="AB60" s="31"/>
      <c r="AC60" s="38"/>
      <c r="AD60" s="30" t="str">
        <f t="shared" si="6"/>
        <v/>
      </c>
      <c r="AE60" s="48" t="s">
        <v>82</v>
      </c>
      <c r="AF60" s="47" t="s">
        <v>82</v>
      </c>
      <c r="AG60" s="50" t="s">
        <v>83</v>
      </c>
      <c r="AH60" s="51">
        <v>5574.24</v>
      </c>
      <c r="AI60" s="52">
        <v>3581.23</v>
      </c>
      <c r="AJ60" s="51">
        <v>5489.16</v>
      </c>
      <c r="AK60" s="52">
        <v>3530.48</v>
      </c>
      <c r="AL60" s="55" t="str">
        <f t="shared" si="124"/>
        <v>核减</v>
      </c>
      <c r="AM60" s="55">
        <f t="shared" si="125"/>
        <v>1993.01</v>
      </c>
      <c r="AN60" s="55">
        <f t="shared" si="126"/>
        <v>1958.68</v>
      </c>
      <c r="AO60" s="51"/>
      <c r="AP60" s="52"/>
      <c r="AQ60" s="51"/>
      <c r="AR60" s="52"/>
      <c r="AS60" s="55" t="str">
        <f t="shared" si="141"/>
        <v/>
      </c>
      <c r="AT60" s="55" t="str">
        <f t="shared" si="142"/>
        <v/>
      </c>
      <c r="AU60" s="51"/>
      <c r="AV60" s="52"/>
      <c r="AW60" s="51"/>
      <c r="AX60" s="52"/>
      <c r="AY60" s="55" t="str">
        <f t="shared" si="138"/>
        <v/>
      </c>
      <c r="AZ60" s="55" t="str">
        <f t="shared" si="139"/>
        <v/>
      </c>
      <c r="BA60" s="63" t="str">
        <f t="shared" si="140"/>
        <v/>
      </c>
      <c r="BB60" s="51"/>
      <c r="BC60" s="52"/>
      <c r="BD60" s="51"/>
      <c r="BE60" s="52"/>
      <c r="BF60" s="64" t="str">
        <f t="shared" si="143"/>
        <v/>
      </c>
      <c r="BG60" s="52"/>
      <c r="BH60" s="51"/>
      <c r="BI60" s="52"/>
      <c r="BJ60" s="51"/>
      <c r="BK60" s="52"/>
      <c r="BL60" s="55" t="str">
        <f t="shared" si="144"/>
        <v/>
      </c>
      <c r="BM60" s="55" t="str">
        <f t="shared" si="145"/>
        <v/>
      </c>
      <c r="BN60" s="63" t="str">
        <f t="shared" si="146"/>
        <v/>
      </c>
      <c r="BO60" s="51"/>
      <c r="BP60" s="52"/>
      <c r="BQ60" s="51"/>
      <c r="BR60" s="52"/>
      <c r="BS60" s="55" t="str">
        <f t="shared" si="147"/>
        <v/>
      </c>
      <c r="BT60" s="55" t="str">
        <f t="shared" si="148"/>
        <v/>
      </c>
      <c r="BU60" s="51"/>
      <c r="BV60" s="52"/>
      <c r="BW60" s="51"/>
      <c r="BX60" s="52"/>
      <c r="BY60" s="55" t="str">
        <f t="shared" si="149"/>
        <v/>
      </c>
      <c r="BZ60" s="55" t="str">
        <f t="shared" si="150"/>
        <v/>
      </c>
    </row>
    <row r="61" ht="13.5" customHeight="1" spans="1:78">
      <c r="A61" s="25" t="s">
        <v>457</v>
      </c>
      <c r="B61" s="5" t="s">
        <v>81</v>
      </c>
      <c r="C61" s="6">
        <v>45370</v>
      </c>
      <c r="D61" s="7">
        <v>45401</v>
      </c>
      <c r="E61" s="32" t="str">
        <f t="shared" si="118"/>
        <v>0</v>
      </c>
      <c r="F61" s="30">
        <f t="shared" si="0"/>
        <v>22</v>
      </c>
      <c r="G61" s="12"/>
      <c r="H61" s="31"/>
      <c r="I61" s="38" t="str">
        <f>IF(G61&lt;&gt;0,IF(H61&lt;&gt;0,"0","1"),"")</f>
        <v/>
      </c>
      <c r="J61" s="30" t="str">
        <f t="shared" si="1"/>
        <v/>
      </c>
      <c r="K61" s="12">
        <v>45580</v>
      </c>
      <c r="L61" s="31">
        <v>45590</v>
      </c>
      <c r="M61" s="40" t="str">
        <f t="shared" ref="M61:M64" si="152">IF(K61&lt;&gt;0,IF(L61&lt;&gt;0,"0","1"),"")</f>
        <v>0</v>
      </c>
      <c r="N61" s="30">
        <f t="shared" si="2"/>
        <v>9</v>
      </c>
      <c r="O61" s="12"/>
      <c r="P61" s="31"/>
      <c r="Q61" s="38"/>
      <c r="R61" s="30" t="str">
        <f t="shared" si="3"/>
        <v/>
      </c>
      <c r="S61" s="12"/>
      <c r="T61" s="31"/>
      <c r="U61" s="38" t="str">
        <f t="shared" si="151"/>
        <v/>
      </c>
      <c r="V61" s="30" t="str">
        <f t="shared" si="4"/>
        <v/>
      </c>
      <c r="W61" s="12"/>
      <c r="X61" s="44"/>
      <c r="Y61" s="38"/>
      <c r="Z61" s="30" t="str">
        <f t="shared" si="5"/>
        <v/>
      </c>
      <c r="AA61" s="12"/>
      <c r="AB61" s="31"/>
      <c r="AC61" s="40" t="str">
        <f>IF(AA61&lt;&gt;0,IF(AB61&lt;&gt;0,"0","1"),"")</f>
        <v/>
      </c>
      <c r="AD61" s="30" t="str">
        <f t="shared" si="6"/>
        <v/>
      </c>
      <c r="AE61" s="48" t="s">
        <v>86</v>
      </c>
      <c r="AF61" s="47" t="s">
        <v>86</v>
      </c>
      <c r="AG61" s="53" t="s">
        <v>83</v>
      </c>
      <c r="AH61" s="51">
        <v>2004.35</v>
      </c>
      <c r="AI61" s="52">
        <v>1957.07</v>
      </c>
      <c r="AJ61" s="51">
        <v>1969.95</v>
      </c>
      <c r="AK61" s="52">
        <v>1939.28</v>
      </c>
      <c r="AL61" s="55" t="str">
        <f t="shared" si="124"/>
        <v>核减</v>
      </c>
      <c r="AM61" s="55">
        <f t="shared" si="125"/>
        <v>47.28</v>
      </c>
      <c r="AN61" s="55">
        <f t="shared" si="126"/>
        <v>30.6700000000001</v>
      </c>
      <c r="AO61" s="48"/>
      <c r="AP61" s="56"/>
      <c r="AQ61" s="48"/>
      <c r="AR61" s="56"/>
      <c r="AS61" s="40"/>
      <c r="AT61" s="40"/>
      <c r="AU61" s="51">
        <v>1909.29</v>
      </c>
      <c r="AV61" s="52">
        <v>1927.96</v>
      </c>
      <c r="AW61" s="51">
        <v>1893.66</v>
      </c>
      <c r="AX61" s="52">
        <v>1912.12</v>
      </c>
      <c r="AY61" s="55" t="str">
        <f t="shared" si="138"/>
        <v>核增</v>
      </c>
      <c r="AZ61" s="55">
        <f t="shared" si="139"/>
        <v>18.4599999999998</v>
      </c>
      <c r="BA61" s="63" t="str">
        <f t="shared" si="140"/>
        <v>核减29.11</v>
      </c>
      <c r="BB61" s="48"/>
      <c r="BC61" s="56"/>
      <c r="BD61" s="48"/>
      <c r="BE61" s="56"/>
      <c r="BF61" s="64"/>
      <c r="BG61" s="52"/>
      <c r="BH61" s="51"/>
      <c r="BI61" s="52"/>
      <c r="BJ61" s="51"/>
      <c r="BK61" s="52"/>
      <c r="BL61" s="40"/>
      <c r="BM61" s="55"/>
      <c r="BN61" s="63"/>
      <c r="BO61" s="48"/>
      <c r="BP61" s="56"/>
      <c r="BQ61" s="48"/>
      <c r="BR61" s="56"/>
      <c r="BS61" s="40"/>
      <c r="BT61" s="40"/>
      <c r="BU61" s="51"/>
      <c r="BV61" s="52"/>
      <c r="BW61" s="51"/>
      <c r="BX61" s="52"/>
      <c r="BY61" s="40"/>
      <c r="BZ61" s="55"/>
    </row>
    <row r="62" ht="13.5" customHeight="1" spans="1:78">
      <c r="A62" s="25" t="s">
        <v>119</v>
      </c>
      <c r="B62" s="5" t="s">
        <v>85</v>
      </c>
      <c r="C62" s="6">
        <v>45420</v>
      </c>
      <c r="D62" s="7">
        <v>45450</v>
      </c>
      <c r="E62" s="32" t="str">
        <f t="shared" si="118"/>
        <v>0</v>
      </c>
      <c r="F62" s="30">
        <f t="shared" si="0"/>
        <v>23</v>
      </c>
      <c r="G62" s="12"/>
      <c r="H62" s="31"/>
      <c r="I62" s="37"/>
      <c r="J62" s="30" t="str">
        <f t="shared" si="1"/>
        <v/>
      </c>
      <c r="K62" s="41"/>
      <c r="L62" s="31"/>
      <c r="M62" s="38" t="str">
        <f t="shared" si="152"/>
        <v/>
      </c>
      <c r="N62" s="30" t="str">
        <f t="shared" si="2"/>
        <v/>
      </c>
      <c r="O62" s="12"/>
      <c r="P62" s="31"/>
      <c r="Q62" s="38"/>
      <c r="R62" s="30" t="str">
        <f t="shared" si="3"/>
        <v/>
      </c>
      <c r="S62" s="12"/>
      <c r="T62" s="31"/>
      <c r="U62" s="40"/>
      <c r="V62" s="30" t="str">
        <f t="shared" si="4"/>
        <v/>
      </c>
      <c r="W62" s="12"/>
      <c r="X62" s="44"/>
      <c r="Y62" s="38"/>
      <c r="Z62" s="30" t="str">
        <f t="shared" si="5"/>
        <v/>
      </c>
      <c r="AA62" s="12"/>
      <c r="AB62" s="31"/>
      <c r="AC62" s="40"/>
      <c r="AD62" s="30" t="str">
        <f t="shared" si="6"/>
        <v/>
      </c>
      <c r="AE62" s="48" t="s">
        <v>406</v>
      </c>
      <c r="AF62" s="47" t="s">
        <v>406</v>
      </c>
      <c r="AG62" s="50" t="s">
        <v>87</v>
      </c>
      <c r="AH62" s="51">
        <v>6932.3</v>
      </c>
      <c r="AI62" s="52">
        <v>6690.57</v>
      </c>
      <c r="AJ62" s="51">
        <v>6813.64</v>
      </c>
      <c r="AK62" s="52">
        <v>6576.3</v>
      </c>
      <c r="AL62" s="55" t="str">
        <f t="shared" si="124"/>
        <v>核减</v>
      </c>
      <c r="AM62" s="55">
        <f t="shared" si="125"/>
        <v>241.73</v>
      </c>
      <c r="AN62" s="55">
        <f t="shared" si="126"/>
        <v>237.34</v>
      </c>
      <c r="AO62" s="48"/>
      <c r="AP62" s="56"/>
      <c r="AQ62" s="48"/>
      <c r="AR62" s="56"/>
      <c r="AS62" s="40"/>
      <c r="AT62" s="40"/>
      <c r="AU62" s="51"/>
      <c r="AV62" s="52"/>
      <c r="AW62" s="51"/>
      <c r="AX62" s="52"/>
      <c r="AY62" s="40"/>
      <c r="AZ62" s="55"/>
      <c r="BA62" s="63"/>
      <c r="BB62" s="48"/>
      <c r="BC62" s="56"/>
      <c r="BD62" s="48"/>
      <c r="BE62" s="56"/>
      <c r="BF62" s="64"/>
      <c r="BG62" s="48"/>
      <c r="BH62" s="51"/>
      <c r="BI62" s="52"/>
      <c r="BJ62" s="51"/>
      <c r="BK62" s="52"/>
      <c r="BL62" s="40"/>
      <c r="BM62" s="55"/>
      <c r="BN62" s="63"/>
      <c r="BO62" s="48"/>
      <c r="BP62" s="56"/>
      <c r="BQ62" s="48"/>
      <c r="BR62" s="56"/>
      <c r="BS62" s="40"/>
      <c r="BT62" s="40"/>
      <c r="BU62" s="51"/>
      <c r="BV62" s="52"/>
      <c r="BW62" s="51"/>
      <c r="BX62" s="52"/>
      <c r="BY62" s="40"/>
      <c r="BZ62" s="55"/>
    </row>
    <row r="63" ht="13.5" customHeight="1" spans="1:78">
      <c r="A63" s="26" t="s">
        <v>226</v>
      </c>
      <c r="B63" s="5" t="s">
        <v>81</v>
      </c>
      <c r="C63" s="12">
        <v>45429</v>
      </c>
      <c r="D63" s="7">
        <v>45461</v>
      </c>
      <c r="E63" s="38" t="str">
        <f t="shared" si="118"/>
        <v>0</v>
      </c>
      <c r="F63" s="30">
        <f t="shared" si="0"/>
        <v>22</v>
      </c>
      <c r="G63" s="12"/>
      <c r="H63" s="31"/>
      <c r="I63" s="38"/>
      <c r="J63" s="30" t="str">
        <f t="shared" si="1"/>
        <v/>
      </c>
      <c r="K63" s="33">
        <v>45636</v>
      </c>
      <c r="L63" s="31">
        <v>45645</v>
      </c>
      <c r="M63" s="38" t="str">
        <f t="shared" si="152"/>
        <v>0</v>
      </c>
      <c r="N63" s="30">
        <f t="shared" si="2"/>
        <v>8</v>
      </c>
      <c r="O63" s="12"/>
      <c r="P63" s="31"/>
      <c r="Q63" s="38"/>
      <c r="R63" s="30" t="str">
        <f t="shared" si="3"/>
        <v/>
      </c>
      <c r="S63" s="12"/>
      <c r="T63" s="31"/>
      <c r="U63" s="40"/>
      <c r="V63" s="30" t="str">
        <f t="shared" si="4"/>
        <v/>
      </c>
      <c r="W63" s="12"/>
      <c r="X63" s="31"/>
      <c r="Y63" s="38"/>
      <c r="Z63" s="30" t="str">
        <f t="shared" si="5"/>
        <v/>
      </c>
      <c r="AA63" s="12"/>
      <c r="AB63" s="31"/>
      <c r="AC63" s="40"/>
      <c r="AD63" s="30" t="str">
        <f t="shared" si="6"/>
        <v/>
      </c>
      <c r="AE63" s="46" t="s">
        <v>86</v>
      </c>
      <c r="AF63" s="47" t="s">
        <v>86</v>
      </c>
      <c r="AG63" s="50" t="s">
        <v>83</v>
      </c>
      <c r="AH63" s="51">
        <v>12309.46</v>
      </c>
      <c r="AI63" s="52">
        <v>11487.93</v>
      </c>
      <c r="AJ63" s="51">
        <v>12098.43</v>
      </c>
      <c r="AK63" s="52">
        <v>11291.06</v>
      </c>
      <c r="AL63" s="55" t="str">
        <f t="shared" si="124"/>
        <v>核减</v>
      </c>
      <c r="AM63" s="55">
        <f t="shared" si="125"/>
        <v>821.529999999999</v>
      </c>
      <c r="AN63" s="55">
        <f t="shared" si="126"/>
        <v>807.370000000001</v>
      </c>
      <c r="AO63" s="51"/>
      <c r="AP63" s="52"/>
      <c r="AQ63" s="51"/>
      <c r="AR63" s="52"/>
      <c r="AS63" s="55"/>
      <c r="AT63" s="55"/>
      <c r="AU63" s="51">
        <v>11090.75</v>
      </c>
      <c r="AV63" s="52">
        <v>10850.82</v>
      </c>
      <c r="AW63" s="51">
        <v>10931.56</v>
      </c>
      <c r="AX63" s="52">
        <v>10695.12</v>
      </c>
      <c r="AY63" s="55" t="str">
        <f t="shared" ref="AY63:AY64" si="153">IF(AND(AX63&lt;&gt;"",AW63&lt;&gt;""),IF(AX63&gt;AW63,"核增",IF(AX63&lt;AW63,"核减","不变")),"")</f>
        <v>核减</v>
      </c>
      <c r="AZ63" s="55">
        <f t="shared" ref="AZ63:AZ64" si="154">IF(AND(AX63&lt;&gt;"",AW63&lt;&gt;""),MAX(ABS(AX63),ABS(AW63))-MIN(ABS(AX63),ABS(AW63)),"")</f>
        <v>236.439999999999</v>
      </c>
      <c r="BA63" s="63" t="str">
        <f t="shared" ref="BA63:BA64" si="155">IF(AND(AV63&lt;&gt;"",AI63&lt;&gt;""),IF(AV63&gt;AI63,"核增",IF(AV63&lt;AI63,"核减","不变")),"")&amp;TEXT(IF(AND(AV63&lt;&gt;"",AI63&lt;&gt;""),MAX(ABS(AV63),ABS(AI63))-MIN(ABS(AV63),ABS(AI63)),""),"0.00")</f>
        <v>核减637.11</v>
      </c>
      <c r="BB63" s="48"/>
      <c r="BC63" s="56"/>
      <c r="BD63" s="48"/>
      <c r="BE63" s="56"/>
      <c r="BF63" s="64"/>
      <c r="BG63" s="48"/>
      <c r="BH63" s="51"/>
      <c r="BI63" s="52"/>
      <c r="BJ63" s="51"/>
      <c r="BK63" s="52"/>
      <c r="BL63" s="40"/>
      <c r="BM63" s="55"/>
      <c r="BN63" s="63"/>
      <c r="BO63" s="48"/>
      <c r="BP63" s="56"/>
      <c r="BQ63" s="48"/>
      <c r="BR63" s="56"/>
      <c r="BS63" s="40"/>
      <c r="BT63" s="40"/>
      <c r="BU63" s="51"/>
      <c r="BV63" s="52"/>
      <c r="BW63" s="51"/>
      <c r="BX63" s="52"/>
      <c r="BY63" s="40"/>
      <c r="BZ63" s="55"/>
    </row>
    <row r="64" ht="13.5" customHeight="1" spans="1:78">
      <c r="A64" s="25" t="s">
        <v>458</v>
      </c>
      <c r="B64" s="5" t="s">
        <v>81</v>
      </c>
      <c r="C64" s="6">
        <v>45439</v>
      </c>
      <c r="D64" s="7">
        <v>45461</v>
      </c>
      <c r="E64" s="32" t="str">
        <f t="shared" si="118"/>
        <v>0</v>
      </c>
      <c r="F64" s="30">
        <f t="shared" si="0"/>
        <v>16</v>
      </c>
      <c r="G64" s="12"/>
      <c r="H64" s="31"/>
      <c r="I64" s="38"/>
      <c r="J64" s="30" t="str">
        <f t="shared" si="1"/>
        <v/>
      </c>
      <c r="K64" s="12">
        <v>45562</v>
      </c>
      <c r="L64" s="31">
        <v>45577</v>
      </c>
      <c r="M64" s="38" t="str">
        <f t="shared" si="152"/>
        <v>0</v>
      </c>
      <c r="N64" s="30">
        <f t="shared" si="2"/>
        <v>6</v>
      </c>
      <c r="O64" s="12"/>
      <c r="P64" s="31"/>
      <c r="Q64" s="38" t="str">
        <f>IF(O64&lt;&gt;0,IF(P64&lt;&gt;0,"0","1"),"")</f>
        <v/>
      </c>
      <c r="R64" s="30" t="str">
        <f t="shared" si="3"/>
        <v/>
      </c>
      <c r="S64" s="12"/>
      <c r="T64" s="31"/>
      <c r="U64" s="38"/>
      <c r="V64" s="30" t="str">
        <f t="shared" si="4"/>
        <v/>
      </c>
      <c r="W64" s="12"/>
      <c r="X64" s="31"/>
      <c r="Y64" s="38"/>
      <c r="Z64" s="30" t="str">
        <f t="shared" si="5"/>
        <v/>
      </c>
      <c r="AA64" s="12"/>
      <c r="AB64" s="31"/>
      <c r="AC64" s="40"/>
      <c r="AD64" s="30" t="str">
        <f t="shared" si="6"/>
        <v/>
      </c>
      <c r="AE64" s="46" t="s">
        <v>86</v>
      </c>
      <c r="AF64" s="47" t="s">
        <v>86</v>
      </c>
      <c r="AG64" s="53" t="s">
        <v>91</v>
      </c>
      <c r="AH64" s="51">
        <v>5205.72</v>
      </c>
      <c r="AI64" s="52">
        <v>4880.82</v>
      </c>
      <c r="AJ64" s="51">
        <v>5116.36</v>
      </c>
      <c r="AK64" s="52">
        <v>4797.04</v>
      </c>
      <c r="AL64" s="55" t="str">
        <f t="shared" si="124"/>
        <v>核减</v>
      </c>
      <c r="AM64" s="55">
        <f t="shared" si="125"/>
        <v>324.900000000001</v>
      </c>
      <c r="AN64" s="55">
        <f t="shared" si="126"/>
        <v>319.32</v>
      </c>
      <c r="AO64" s="51"/>
      <c r="AP64" s="52"/>
      <c r="AQ64" s="51"/>
      <c r="AR64" s="52"/>
      <c r="AS64" s="55" t="str">
        <f>IF(AND(AR64&lt;&gt;"",AQ64&lt;&gt;""),IF(AR64&gt;AQ64,"核增",IF(AR64&lt;AQ64,"核减","不变")),"")</f>
        <v/>
      </c>
      <c r="AT64" s="55" t="str">
        <f>IF(AND(AR64&lt;&gt;"",AQ64&lt;&gt;""),MAX(ABS(AR64),ABS(AQ64))-MIN(ABS(AR64),ABS(AQ64)),"")</f>
        <v/>
      </c>
      <c r="AU64" s="51">
        <v>5150.14</v>
      </c>
      <c r="AV64" s="52">
        <v>4716.95</v>
      </c>
      <c r="AW64" s="51">
        <v>5070.44</v>
      </c>
      <c r="AX64" s="52">
        <v>4643.95</v>
      </c>
      <c r="AY64" s="55" t="str">
        <f t="shared" si="153"/>
        <v>核减</v>
      </c>
      <c r="AZ64" s="55">
        <f t="shared" si="154"/>
        <v>426.49</v>
      </c>
      <c r="BA64" s="63" t="str">
        <f t="shared" si="155"/>
        <v>核减163.87</v>
      </c>
      <c r="BB64" s="51"/>
      <c r="BC64" s="52"/>
      <c r="BD64" s="51"/>
      <c r="BE64" s="52"/>
      <c r="BF64" s="64" t="str">
        <f>IF(AND(BE64&lt;&gt;"",BD64&lt;&gt;""),IF(BE64&gt;BD64,"核增",IF(BE64&lt;BD64,"核减","不变")),"")</f>
        <v/>
      </c>
      <c r="BG64" s="52" t="str">
        <f>IF(AND(BE64&lt;&gt;"",BD64&lt;&gt;""),MAX(ABS(BE64),ABS(BD64))-MIN(ABS(BE64),ABS(BD64)),"")</f>
        <v/>
      </c>
      <c r="BH64" s="51"/>
      <c r="BI64" s="52"/>
      <c r="BJ64" s="51"/>
      <c r="BK64" s="52"/>
      <c r="BL64" s="40"/>
      <c r="BM64" s="55"/>
      <c r="BN64" s="63"/>
      <c r="BO64" s="48"/>
      <c r="BP64" s="56"/>
      <c r="BQ64" s="48"/>
      <c r="BR64" s="56"/>
      <c r="BS64" s="40"/>
      <c r="BT64" s="40"/>
      <c r="BU64" s="51"/>
      <c r="BV64" s="52"/>
      <c r="BW64" s="51"/>
      <c r="BX64" s="52"/>
      <c r="BY64" s="40"/>
      <c r="BZ64" s="55"/>
    </row>
    <row r="65" ht="13.5" customHeight="1" spans="1:78">
      <c r="A65" s="25" t="s">
        <v>210</v>
      </c>
      <c r="B65" s="5" t="s">
        <v>93</v>
      </c>
      <c r="C65" s="6">
        <v>45457</v>
      </c>
      <c r="D65" s="7">
        <v>45484</v>
      </c>
      <c r="E65" s="32" t="str">
        <f t="shared" si="118"/>
        <v>0</v>
      </c>
      <c r="F65" s="30">
        <f t="shared" si="0"/>
        <v>20</v>
      </c>
      <c r="G65" s="12"/>
      <c r="H65" s="31"/>
      <c r="I65" s="38"/>
      <c r="J65" s="30" t="str">
        <f t="shared" si="1"/>
        <v/>
      </c>
      <c r="K65" s="12"/>
      <c r="L65" s="31"/>
      <c r="M65" s="40"/>
      <c r="N65" s="30" t="str">
        <f t="shared" si="2"/>
        <v/>
      </c>
      <c r="O65" s="12"/>
      <c r="P65" s="31"/>
      <c r="Q65" s="38"/>
      <c r="R65" s="30" t="str">
        <f t="shared" si="3"/>
        <v/>
      </c>
      <c r="S65" s="12"/>
      <c r="T65" s="31"/>
      <c r="U65" s="40"/>
      <c r="V65" s="30" t="str">
        <f t="shared" si="4"/>
        <v/>
      </c>
      <c r="W65" s="12"/>
      <c r="X65" s="31"/>
      <c r="Y65" s="38"/>
      <c r="Z65" s="30" t="str">
        <f t="shared" si="5"/>
        <v/>
      </c>
      <c r="AA65" s="12"/>
      <c r="AB65" s="31"/>
      <c r="AC65" s="40"/>
      <c r="AD65" s="30" t="str">
        <f t="shared" si="6"/>
        <v/>
      </c>
      <c r="AE65" s="46" t="s">
        <v>86</v>
      </c>
      <c r="AF65" s="47" t="s">
        <v>86</v>
      </c>
      <c r="AG65" s="50" t="s">
        <v>83</v>
      </c>
      <c r="AH65" s="51">
        <v>7319.74</v>
      </c>
      <c r="AI65" s="52">
        <v>7346.75</v>
      </c>
      <c r="AJ65" s="51">
        <v>7194.02</v>
      </c>
      <c r="AK65" s="52">
        <v>7220.64</v>
      </c>
      <c r="AL65" s="55" t="str">
        <f t="shared" si="124"/>
        <v>核增</v>
      </c>
      <c r="AM65" s="55">
        <f t="shared" si="125"/>
        <v>27.0100000000002</v>
      </c>
      <c r="AN65" s="55">
        <f t="shared" si="126"/>
        <v>26.6199999999999</v>
      </c>
      <c r="AO65" s="48"/>
      <c r="AP65" s="56"/>
      <c r="AQ65" s="48"/>
      <c r="AR65" s="56"/>
      <c r="AS65" s="40"/>
      <c r="AT65" s="40"/>
      <c r="AU65" s="51"/>
      <c r="AV65" s="52"/>
      <c r="AW65" s="51"/>
      <c r="AX65" s="52"/>
      <c r="AY65" s="40"/>
      <c r="AZ65" s="55"/>
      <c r="BA65" s="63"/>
      <c r="BB65" s="48"/>
      <c r="BC65" s="56"/>
      <c r="BD65" s="48"/>
      <c r="BE65" s="56"/>
      <c r="BF65" s="64"/>
      <c r="BG65" s="48"/>
      <c r="BH65" s="51"/>
      <c r="BI65" s="52"/>
      <c r="BJ65" s="51"/>
      <c r="BK65" s="52"/>
      <c r="BL65" s="40"/>
      <c r="BM65" s="55"/>
      <c r="BN65" s="63"/>
      <c r="BO65" s="48"/>
      <c r="BP65" s="56"/>
      <c r="BQ65" s="48"/>
      <c r="BR65" s="56"/>
      <c r="BS65" s="40"/>
      <c r="BT65" s="40"/>
      <c r="BU65" s="51"/>
      <c r="BV65" s="52"/>
      <c r="BW65" s="51"/>
      <c r="BX65" s="52"/>
      <c r="BY65" s="40"/>
      <c r="BZ65" s="55"/>
    </row>
    <row r="66" ht="13.5" customHeight="1" spans="1:78">
      <c r="A66" s="25" t="s">
        <v>156</v>
      </c>
      <c r="B66" s="5" t="s">
        <v>85</v>
      </c>
      <c r="C66" s="6">
        <v>45464</v>
      </c>
      <c r="D66" s="7">
        <v>45498</v>
      </c>
      <c r="E66" s="32" t="str">
        <f t="shared" si="118"/>
        <v>0</v>
      </c>
      <c r="F66" s="30">
        <f t="shared" si="0"/>
        <v>25</v>
      </c>
      <c r="G66" s="12"/>
      <c r="H66" s="31"/>
      <c r="I66" s="37"/>
      <c r="J66" s="30" t="str">
        <f t="shared" si="1"/>
        <v/>
      </c>
      <c r="K66" s="12"/>
      <c r="L66" s="31"/>
      <c r="M66" s="40"/>
      <c r="N66" s="30" t="str">
        <f t="shared" si="2"/>
        <v/>
      </c>
      <c r="O66" s="12"/>
      <c r="P66" s="31"/>
      <c r="Q66" s="38"/>
      <c r="R66" s="30" t="str">
        <f t="shared" si="3"/>
        <v/>
      </c>
      <c r="S66" s="12"/>
      <c r="T66" s="31"/>
      <c r="U66" s="40"/>
      <c r="V66" s="30" t="str">
        <f t="shared" si="4"/>
        <v/>
      </c>
      <c r="W66" s="12"/>
      <c r="X66" s="31"/>
      <c r="Y66" s="38"/>
      <c r="Z66" s="30" t="str">
        <f t="shared" si="5"/>
        <v/>
      </c>
      <c r="AA66" s="12"/>
      <c r="AB66" s="31"/>
      <c r="AC66" s="40"/>
      <c r="AD66" s="30" t="str">
        <f t="shared" si="6"/>
        <v/>
      </c>
      <c r="AE66" s="48" t="s">
        <v>406</v>
      </c>
      <c r="AF66" s="47" t="s">
        <v>406</v>
      </c>
      <c r="AG66" s="50" t="s">
        <v>87</v>
      </c>
      <c r="AH66" s="51">
        <v>6497.9</v>
      </c>
      <c r="AI66" s="52">
        <v>6695.6</v>
      </c>
      <c r="AJ66" s="51">
        <v>6404.07</v>
      </c>
      <c r="AK66" s="52">
        <v>6598.55</v>
      </c>
      <c r="AL66" s="55" t="str">
        <f t="shared" si="124"/>
        <v>核增</v>
      </c>
      <c r="AM66" s="55">
        <f t="shared" si="125"/>
        <v>197.700000000001</v>
      </c>
      <c r="AN66" s="55">
        <f t="shared" si="126"/>
        <v>194.48</v>
      </c>
      <c r="AO66" s="48"/>
      <c r="AP66" s="56"/>
      <c r="AQ66" s="48"/>
      <c r="AR66" s="56"/>
      <c r="AS66" s="40"/>
      <c r="AT66" s="40"/>
      <c r="AU66" s="51"/>
      <c r="AV66" s="52"/>
      <c r="AW66" s="51"/>
      <c r="AX66" s="52"/>
      <c r="AY66" s="40"/>
      <c r="AZ66" s="55"/>
      <c r="BA66" s="63"/>
      <c r="BB66" s="48"/>
      <c r="BC66" s="56"/>
      <c r="BD66" s="48"/>
      <c r="BE66" s="56"/>
      <c r="BF66" s="64"/>
      <c r="BG66" s="48"/>
      <c r="BH66" s="51"/>
      <c r="BI66" s="52"/>
      <c r="BJ66" s="51"/>
      <c r="BK66" s="52"/>
      <c r="BL66" s="40"/>
      <c r="BM66" s="55"/>
      <c r="BN66" s="63"/>
      <c r="BO66" s="48"/>
      <c r="BP66" s="56"/>
      <c r="BQ66" s="48"/>
      <c r="BR66" s="56"/>
      <c r="BS66" s="40"/>
      <c r="BT66" s="40"/>
      <c r="BU66" s="51"/>
      <c r="BV66" s="52"/>
      <c r="BW66" s="51"/>
      <c r="BX66" s="52"/>
      <c r="BY66" s="40"/>
      <c r="BZ66" s="55"/>
    </row>
    <row r="67" ht="13.5" customHeight="1" spans="1:78">
      <c r="A67" s="25" t="s">
        <v>459</v>
      </c>
      <c r="B67" s="5" t="s">
        <v>93</v>
      </c>
      <c r="C67" s="6">
        <v>45469</v>
      </c>
      <c r="D67" s="7">
        <v>45477</v>
      </c>
      <c r="E67" s="32" t="str">
        <f t="shared" si="118"/>
        <v>0</v>
      </c>
      <c r="F67" s="30">
        <f t="shared" si="0"/>
        <v>7</v>
      </c>
      <c r="G67" s="12"/>
      <c r="H67" s="31"/>
      <c r="I67" s="37"/>
      <c r="J67" s="30" t="str">
        <f t="shared" si="1"/>
        <v/>
      </c>
      <c r="K67" s="12"/>
      <c r="L67" s="31"/>
      <c r="M67" s="40"/>
      <c r="N67" s="30" t="str">
        <f t="shared" si="2"/>
        <v/>
      </c>
      <c r="O67" s="12"/>
      <c r="P67" s="31"/>
      <c r="Q67" s="38"/>
      <c r="R67" s="30" t="str">
        <f t="shared" si="3"/>
        <v/>
      </c>
      <c r="S67" s="12"/>
      <c r="T67" s="31"/>
      <c r="U67" s="40"/>
      <c r="V67" s="30" t="str">
        <f t="shared" si="4"/>
        <v/>
      </c>
      <c r="W67" s="12"/>
      <c r="X67" s="31"/>
      <c r="Y67" s="38"/>
      <c r="Z67" s="30" t="str">
        <f t="shared" si="5"/>
        <v/>
      </c>
      <c r="AA67" s="12"/>
      <c r="AB67" s="31"/>
      <c r="AC67" s="40"/>
      <c r="AD67" s="30" t="str">
        <f t="shared" si="6"/>
        <v/>
      </c>
      <c r="AE67" s="48" t="s">
        <v>406</v>
      </c>
      <c r="AF67" s="47" t="s">
        <v>406</v>
      </c>
      <c r="AG67" s="53" t="s">
        <v>91</v>
      </c>
      <c r="AH67" s="51">
        <v>9318.16</v>
      </c>
      <c r="AI67" s="52">
        <v>9180.29</v>
      </c>
      <c r="AJ67" s="51">
        <v>9147</v>
      </c>
      <c r="AK67" s="52">
        <v>9011.66</v>
      </c>
      <c r="AL67" s="55" t="str">
        <f t="shared" si="124"/>
        <v>核减</v>
      </c>
      <c r="AM67" s="55">
        <f t="shared" si="125"/>
        <v>137.869999999999</v>
      </c>
      <c r="AN67" s="55">
        <f t="shared" si="126"/>
        <v>135.34</v>
      </c>
      <c r="AO67" s="48"/>
      <c r="AP67" s="56"/>
      <c r="AQ67" s="48"/>
      <c r="AR67" s="56"/>
      <c r="AS67" s="40"/>
      <c r="AT67" s="40"/>
      <c r="AU67" s="51"/>
      <c r="AV67" s="52"/>
      <c r="AW67" s="51"/>
      <c r="AX67" s="52"/>
      <c r="AY67" s="40"/>
      <c r="AZ67" s="55"/>
      <c r="BA67" s="63"/>
      <c r="BB67" s="48"/>
      <c r="BC67" s="56"/>
      <c r="BD67" s="48"/>
      <c r="BE67" s="56"/>
      <c r="BF67" s="64"/>
      <c r="BG67" s="48"/>
      <c r="BH67" s="51"/>
      <c r="BI67" s="52"/>
      <c r="BJ67" s="51"/>
      <c r="BK67" s="52"/>
      <c r="BL67" s="40"/>
      <c r="BM67" s="55"/>
      <c r="BN67" s="63"/>
      <c r="BO67" s="48"/>
      <c r="BP67" s="56"/>
      <c r="BQ67" s="48"/>
      <c r="BR67" s="56"/>
      <c r="BS67" s="40"/>
      <c r="BT67" s="40"/>
      <c r="BU67" s="51"/>
      <c r="BV67" s="52"/>
      <c r="BW67" s="51"/>
      <c r="BX67" s="52"/>
      <c r="BY67" s="40"/>
      <c r="BZ67" s="55"/>
    </row>
    <row r="68" ht="13.5" customHeight="1" spans="1:78">
      <c r="A68" s="25" t="s">
        <v>144</v>
      </c>
      <c r="B68" s="5" t="s">
        <v>93</v>
      </c>
      <c r="C68" s="6">
        <v>45476</v>
      </c>
      <c r="D68" s="7">
        <v>45510</v>
      </c>
      <c r="E68" s="32" t="str">
        <f t="shared" si="118"/>
        <v>0</v>
      </c>
      <c r="F68" s="30">
        <f t="shared" si="0"/>
        <v>25</v>
      </c>
      <c r="G68" s="12"/>
      <c r="H68" s="31"/>
      <c r="I68" s="37"/>
      <c r="J68" s="30" t="str">
        <f t="shared" si="1"/>
        <v/>
      </c>
      <c r="K68" s="12">
        <v>45603</v>
      </c>
      <c r="L68" s="31">
        <v>45622</v>
      </c>
      <c r="M68" s="38" t="str">
        <f>IF(K68&lt;&gt;0,IF(L68&lt;&gt;0,"0","1"),"")</f>
        <v>0</v>
      </c>
      <c r="N68" s="30">
        <f t="shared" si="2"/>
        <v>14</v>
      </c>
      <c r="O68" s="12"/>
      <c r="P68" s="31"/>
      <c r="Q68" s="38"/>
      <c r="R68" s="30" t="str">
        <f t="shared" si="3"/>
        <v/>
      </c>
      <c r="S68" s="12"/>
      <c r="T68" s="31"/>
      <c r="U68" s="40"/>
      <c r="V68" s="30" t="str">
        <f t="shared" si="4"/>
        <v/>
      </c>
      <c r="W68" s="12"/>
      <c r="X68" s="31"/>
      <c r="Y68" s="38"/>
      <c r="Z68" s="30" t="str">
        <f t="shared" si="5"/>
        <v/>
      </c>
      <c r="AA68" s="12"/>
      <c r="AB68" s="31"/>
      <c r="AC68" s="40"/>
      <c r="AD68" s="30" t="str">
        <f t="shared" si="6"/>
        <v/>
      </c>
      <c r="AE68" s="48" t="s">
        <v>406</v>
      </c>
      <c r="AF68" s="47" t="s">
        <v>406</v>
      </c>
      <c r="AG68" s="53" t="s">
        <v>97</v>
      </c>
      <c r="AH68" s="51">
        <v>25520.46</v>
      </c>
      <c r="AI68" s="52">
        <v>26444.98</v>
      </c>
      <c r="AJ68" s="51">
        <v>25052.04</v>
      </c>
      <c r="AK68" s="52">
        <v>25959.5</v>
      </c>
      <c r="AL68" s="55" t="str">
        <f t="shared" si="124"/>
        <v>核增</v>
      </c>
      <c r="AM68" s="55">
        <f t="shared" si="125"/>
        <v>924.52</v>
      </c>
      <c r="AN68" s="55">
        <f t="shared" si="126"/>
        <v>907.459999999999</v>
      </c>
      <c r="AO68" s="48"/>
      <c r="AP68" s="56"/>
      <c r="AQ68" s="48"/>
      <c r="AR68" s="56"/>
      <c r="AS68" s="40"/>
      <c r="AT68" s="40"/>
      <c r="AU68" s="51">
        <v>28941.47</v>
      </c>
      <c r="AV68" s="52">
        <v>29060.8</v>
      </c>
      <c r="AW68" s="51">
        <v>28410.35</v>
      </c>
      <c r="AX68" s="52">
        <v>28527.49</v>
      </c>
      <c r="AY68" s="55" t="str">
        <f>IF(AND(AX68&lt;&gt;"",AW68&lt;&gt;""),IF(AX68&gt;AW68,"核增",IF(AX68&lt;AW68,"核减","不变")),"")</f>
        <v>核增</v>
      </c>
      <c r="AZ68" s="55">
        <f>IF(AND(AX68&lt;&gt;"",AW68&lt;&gt;""),MAX(ABS(AX68),ABS(AW68))-MIN(ABS(AX68),ABS(AW68)),"")</f>
        <v>117.140000000003</v>
      </c>
      <c r="BA68" s="63" t="str">
        <f>IF(AND(AV68&lt;&gt;"",AI68&lt;&gt;""),IF(AV68&gt;AI68,"核增",IF(AV68&lt;AI68,"核减","不变")),"")&amp;TEXT(IF(AND(AV68&lt;&gt;"",AI68&lt;&gt;""),MAX(ABS(AV68),ABS(AI68))-MIN(ABS(AV68),ABS(AI68)),""),"0.00")</f>
        <v>核增2615.82</v>
      </c>
      <c r="BB68" s="48"/>
      <c r="BC68" s="56"/>
      <c r="BD68" s="48"/>
      <c r="BE68" s="56"/>
      <c r="BF68" s="64"/>
      <c r="BG68" s="48"/>
      <c r="BH68" s="51"/>
      <c r="BI68" s="52"/>
      <c r="BJ68" s="51"/>
      <c r="BK68" s="52"/>
      <c r="BL68" s="40"/>
      <c r="BM68" s="55"/>
      <c r="BN68" s="63"/>
      <c r="BO68" s="48"/>
      <c r="BP68" s="56"/>
      <c r="BQ68" s="48"/>
      <c r="BR68" s="56"/>
      <c r="BS68" s="40"/>
      <c r="BT68" s="40"/>
      <c r="BU68" s="51"/>
      <c r="BV68" s="52"/>
      <c r="BW68" s="51"/>
      <c r="BX68" s="52"/>
      <c r="BY68" s="40"/>
      <c r="BZ68" s="55"/>
    </row>
    <row r="69" ht="13.5" customHeight="1" spans="1:78">
      <c r="A69" s="77" t="s">
        <v>460</v>
      </c>
      <c r="B69" s="5" t="s">
        <v>93</v>
      </c>
      <c r="C69" s="6">
        <v>45478</v>
      </c>
      <c r="D69" s="7">
        <v>45497</v>
      </c>
      <c r="E69" s="32" t="str">
        <f t="shared" si="118"/>
        <v>0</v>
      </c>
      <c r="F69" s="30">
        <f t="shared" si="0"/>
        <v>14</v>
      </c>
      <c r="G69" s="12"/>
      <c r="H69" s="31"/>
      <c r="I69" s="37"/>
      <c r="J69" s="30" t="str">
        <f t="shared" si="1"/>
        <v/>
      </c>
      <c r="K69" s="12"/>
      <c r="L69" s="31"/>
      <c r="M69" s="40"/>
      <c r="N69" s="30" t="str">
        <f t="shared" si="2"/>
        <v/>
      </c>
      <c r="O69" s="12"/>
      <c r="P69" s="31"/>
      <c r="Q69" s="38"/>
      <c r="R69" s="30" t="str">
        <f t="shared" si="3"/>
        <v/>
      </c>
      <c r="S69" s="12"/>
      <c r="T69" s="31"/>
      <c r="U69" s="40"/>
      <c r="V69" s="30" t="str">
        <f t="shared" si="4"/>
        <v/>
      </c>
      <c r="W69" s="12"/>
      <c r="X69" s="44"/>
      <c r="Y69" s="38"/>
      <c r="Z69" s="30" t="str">
        <f t="shared" si="5"/>
        <v/>
      </c>
      <c r="AA69" s="12"/>
      <c r="AB69" s="31"/>
      <c r="AC69" s="40"/>
      <c r="AD69" s="30" t="str">
        <f t="shared" si="6"/>
        <v/>
      </c>
      <c r="AE69" s="48" t="s">
        <v>406</v>
      </c>
      <c r="AF69" s="47" t="s">
        <v>406</v>
      </c>
      <c r="AG69" s="53" t="s">
        <v>97</v>
      </c>
      <c r="AH69" s="51">
        <v>12334.31</v>
      </c>
      <c r="AI69" s="52">
        <v>11428.04</v>
      </c>
      <c r="AJ69" s="51">
        <v>12122.59</v>
      </c>
      <c r="AK69" s="52">
        <v>11231.87</v>
      </c>
      <c r="AL69" s="55" t="str">
        <f t="shared" si="124"/>
        <v>核减</v>
      </c>
      <c r="AM69" s="55">
        <f t="shared" si="125"/>
        <v>906.269999999999</v>
      </c>
      <c r="AN69" s="55">
        <f t="shared" si="126"/>
        <v>890.719999999999</v>
      </c>
      <c r="AO69" s="48"/>
      <c r="AP69" s="56"/>
      <c r="AQ69" s="48"/>
      <c r="AR69" s="56"/>
      <c r="AS69" s="40"/>
      <c r="AT69" s="40"/>
      <c r="AU69" s="51"/>
      <c r="AV69" s="52"/>
      <c r="AW69" s="51"/>
      <c r="AX69" s="52"/>
      <c r="AY69" s="40"/>
      <c r="AZ69" s="55"/>
      <c r="BA69" s="63"/>
      <c r="BB69" s="48"/>
      <c r="BC69" s="56"/>
      <c r="BD69" s="48"/>
      <c r="BE69" s="56"/>
      <c r="BF69" s="64"/>
      <c r="BG69" s="52"/>
      <c r="BH69" s="51"/>
      <c r="BI69" s="52"/>
      <c r="BJ69" s="51"/>
      <c r="BK69" s="52"/>
      <c r="BL69" s="40"/>
      <c r="BM69" s="55"/>
      <c r="BN69" s="63"/>
      <c r="BO69" s="48"/>
      <c r="BP69" s="56"/>
      <c r="BQ69" s="48"/>
      <c r="BR69" s="56"/>
      <c r="BS69" s="40"/>
      <c r="BT69" s="40"/>
      <c r="BU69" s="51"/>
      <c r="BV69" s="52"/>
      <c r="BW69" s="51"/>
      <c r="BX69" s="52"/>
      <c r="BY69" s="40"/>
      <c r="BZ69" s="55"/>
    </row>
    <row r="70" ht="13.5" customHeight="1" spans="1:78">
      <c r="A70" s="25" t="s">
        <v>188</v>
      </c>
      <c r="B70" s="5" t="s">
        <v>93</v>
      </c>
      <c r="C70" s="6">
        <v>45489</v>
      </c>
      <c r="D70" s="7">
        <v>45524</v>
      </c>
      <c r="E70" s="32" t="str">
        <f t="shared" si="118"/>
        <v>0</v>
      </c>
      <c r="F70" s="30">
        <f t="shared" si="0"/>
        <v>26</v>
      </c>
      <c r="G70" s="12"/>
      <c r="H70" s="31"/>
      <c r="I70" s="37"/>
      <c r="J70" s="30" t="str">
        <f t="shared" si="1"/>
        <v/>
      </c>
      <c r="K70" s="12"/>
      <c r="L70" s="31"/>
      <c r="M70" s="40"/>
      <c r="N70" s="30" t="str">
        <f t="shared" si="2"/>
        <v/>
      </c>
      <c r="O70" s="12"/>
      <c r="P70" s="31"/>
      <c r="Q70" s="38"/>
      <c r="R70" s="30" t="str">
        <f t="shared" si="3"/>
        <v/>
      </c>
      <c r="S70" s="12"/>
      <c r="T70" s="31"/>
      <c r="U70" s="40"/>
      <c r="V70" s="30" t="str">
        <f t="shared" si="4"/>
        <v/>
      </c>
      <c r="W70" s="12"/>
      <c r="X70" s="31"/>
      <c r="Y70" s="38"/>
      <c r="Z70" s="30" t="str">
        <f t="shared" si="5"/>
        <v/>
      </c>
      <c r="AA70" s="12"/>
      <c r="AB70" s="31"/>
      <c r="AC70" s="40"/>
      <c r="AD70" s="30" t="str">
        <f t="shared" si="6"/>
        <v/>
      </c>
      <c r="AE70" s="46" t="s">
        <v>97</v>
      </c>
      <c r="AF70" s="47" t="s">
        <v>82</v>
      </c>
      <c r="AG70" s="50" t="s">
        <v>97</v>
      </c>
      <c r="AH70" s="51">
        <v>7539.79</v>
      </c>
      <c r="AI70" s="52">
        <v>6558.56</v>
      </c>
      <c r="AJ70" s="51">
        <v>7418.11</v>
      </c>
      <c r="AK70" s="52">
        <v>6454.3</v>
      </c>
      <c r="AL70" s="55" t="str">
        <f t="shared" si="124"/>
        <v>核减</v>
      </c>
      <c r="AM70" s="55">
        <f t="shared" si="125"/>
        <v>981.23</v>
      </c>
      <c r="AN70" s="55">
        <f t="shared" si="126"/>
        <v>963.809999999999</v>
      </c>
      <c r="AO70" s="48"/>
      <c r="AP70" s="56"/>
      <c r="AQ70" s="48"/>
      <c r="AR70" s="56"/>
      <c r="AS70" s="40"/>
      <c r="AT70" s="40"/>
      <c r="AU70" s="51"/>
      <c r="AV70" s="52"/>
      <c r="AW70" s="51"/>
      <c r="AX70" s="52"/>
      <c r="AY70" s="40"/>
      <c r="AZ70" s="55"/>
      <c r="BA70" s="63"/>
      <c r="BB70" s="48"/>
      <c r="BC70" s="56"/>
      <c r="BD70" s="48"/>
      <c r="BE70" s="56"/>
      <c r="BF70" s="64"/>
      <c r="BG70" s="48"/>
      <c r="BH70" s="51"/>
      <c r="BI70" s="52"/>
      <c r="BJ70" s="51"/>
      <c r="BK70" s="52"/>
      <c r="BL70" s="40"/>
      <c r="BM70" s="55"/>
      <c r="BN70" s="63"/>
      <c r="BO70" s="48"/>
      <c r="BP70" s="56"/>
      <c r="BQ70" s="48"/>
      <c r="BR70" s="56"/>
      <c r="BS70" s="40"/>
      <c r="BT70" s="40"/>
      <c r="BU70" s="51"/>
      <c r="BV70" s="52"/>
      <c r="BW70" s="51"/>
      <c r="BX70" s="52"/>
      <c r="BY70" s="40"/>
      <c r="BZ70" s="55"/>
    </row>
    <row r="71" ht="13.5" customHeight="1" spans="1:78">
      <c r="A71" s="25" t="s">
        <v>114</v>
      </c>
      <c r="B71" s="70" t="s">
        <v>85</v>
      </c>
      <c r="C71" s="16">
        <v>45495</v>
      </c>
      <c r="D71" s="7">
        <v>45518</v>
      </c>
      <c r="E71" s="32" t="str">
        <f t="shared" si="118"/>
        <v>0</v>
      </c>
      <c r="F71" s="30">
        <f t="shared" si="0"/>
        <v>18</v>
      </c>
      <c r="G71" s="12"/>
      <c r="H71" s="31"/>
      <c r="I71" s="37"/>
      <c r="J71" s="30" t="str">
        <f t="shared" si="1"/>
        <v/>
      </c>
      <c r="K71" s="12"/>
      <c r="L71" s="31"/>
      <c r="M71" s="38" t="str">
        <f t="shared" ref="M71:M73" si="156">IF(K71&lt;&gt;0,IF(L71&lt;&gt;0,"0","1"),"")</f>
        <v/>
      </c>
      <c r="N71" s="30" t="str">
        <f t="shared" si="2"/>
        <v/>
      </c>
      <c r="O71" s="12"/>
      <c r="P71" s="31"/>
      <c r="Q71" s="38"/>
      <c r="R71" s="30" t="str">
        <f t="shared" si="3"/>
        <v/>
      </c>
      <c r="S71" s="12"/>
      <c r="T71" s="31"/>
      <c r="U71" s="40"/>
      <c r="V71" s="30" t="str">
        <f t="shared" si="4"/>
        <v/>
      </c>
      <c r="W71" s="12"/>
      <c r="X71" s="31"/>
      <c r="Y71" s="38"/>
      <c r="Z71" s="30" t="str">
        <f t="shared" si="5"/>
        <v/>
      </c>
      <c r="AA71" s="12"/>
      <c r="AB71" s="31"/>
      <c r="AC71" s="40"/>
      <c r="AD71" s="30" t="str">
        <f t="shared" si="6"/>
        <v/>
      </c>
      <c r="AE71" s="46" t="s">
        <v>86</v>
      </c>
      <c r="AF71" s="47" t="s">
        <v>86</v>
      </c>
      <c r="AG71" s="53" t="s">
        <v>91</v>
      </c>
      <c r="AH71" s="51">
        <v>4291.83</v>
      </c>
      <c r="AI71" s="52">
        <v>4150.12</v>
      </c>
      <c r="AJ71" s="51">
        <v>4218.16</v>
      </c>
      <c r="AK71" s="52">
        <v>4078.88</v>
      </c>
      <c r="AL71" s="55" t="str">
        <f t="shared" si="124"/>
        <v>核减</v>
      </c>
      <c r="AM71" s="55">
        <f t="shared" si="125"/>
        <v>141.71</v>
      </c>
      <c r="AN71" s="55">
        <f t="shared" si="126"/>
        <v>139.28</v>
      </c>
      <c r="AO71" s="48"/>
      <c r="AP71" s="56"/>
      <c r="AQ71" s="48"/>
      <c r="AR71" s="56"/>
      <c r="AS71" s="40"/>
      <c r="AT71" s="40"/>
      <c r="AU71" s="51"/>
      <c r="AV71" s="52"/>
      <c r="AW71" s="51"/>
      <c r="AX71" s="52"/>
      <c r="AY71" s="40"/>
      <c r="AZ71" s="55"/>
      <c r="BA71" s="63"/>
      <c r="BB71" s="48"/>
      <c r="BC71" s="56"/>
      <c r="BD71" s="48"/>
      <c r="BE71" s="56"/>
      <c r="BF71" s="64"/>
      <c r="BG71" s="48"/>
      <c r="BH71" s="51"/>
      <c r="BI71" s="52"/>
      <c r="BJ71" s="51"/>
      <c r="BK71" s="52"/>
      <c r="BL71" s="40"/>
      <c r="BM71" s="55"/>
      <c r="BN71" s="63"/>
      <c r="BO71" s="48"/>
      <c r="BP71" s="56"/>
      <c r="BQ71" s="48"/>
      <c r="BR71" s="56"/>
      <c r="BS71" s="40"/>
      <c r="BT71" s="40"/>
      <c r="BU71" s="51"/>
      <c r="BV71" s="52"/>
      <c r="BW71" s="51"/>
      <c r="BX71" s="52"/>
      <c r="BY71" s="40"/>
      <c r="BZ71" s="55"/>
    </row>
    <row r="72" ht="13.5" customHeight="1" spans="1:78">
      <c r="A72" s="25" t="s">
        <v>211</v>
      </c>
      <c r="B72" s="5" t="s">
        <v>81</v>
      </c>
      <c r="C72" s="6">
        <v>45509</v>
      </c>
      <c r="D72" s="7">
        <v>45516</v>
      </c>
      <c r="E72" s="32" t="str">
        <f t="shared" si="118"/>
        <v>0</v>
      </c>
      <c r="F72" s="30">
        <f t="shared" si="0"/>
        <v>6</v>
      </c>
      <c r="G72" s="12"/>
      <c r="H72" s="31"/>
      <c r="I72" s="37"/>
      <c r="J72" s="30" t="str">
        <f t="shared" si="1"/>
        <v/>
      </c>
      <c r="K72" s="33">
        <v>45629</v>
      </c>
      <c r="L72" s="31">
        <v>45642</v>
      </c>
      <c r="M72" s="38" t="str">
        <f t="shared" si="156"/>
        <v>0</v>
      </c>
      <c r="N72" s="30">
        <f t="shared" si="2"/>
        <v>10</v>
      </c>
      <c r="O72" s="12"/>
      <c r="P72" s="31"/>
      <c r="Q72" s="38"/>
      <c r="R72" s="30" t="str">
        <f t="shared" si="3"/>
        <v/>
      </c>
      <c r="S72" s="12"/>
      <c r="T72" s="31"/>
      <c r="U72" s="40"/>
      <c r="V72" s="30" t="str">
        <f t="shared" si="4"/>
        <v/>
      </c>
      <c r="W72" s="12"/>
      <c r="X72" s="31"/>
      <c r="Y72" s="38"/>
      <c r="Z72" s="30" t="str">
        <f t="shared" si="5"/>
        <v/>
      </c>
      <c r="AA72" s="12"/>
      <c r="AB72" s="31"/>
      <c r="AC72" s="40"/>
      <c r="AD72" s="30" t="str">
        <f t="shared" si="6"/>
        <v/>
      </c>
      <c r="AE72" s="48" t="s">
        <v>82</v>
      </c>
      <c r="AF72" s="47" t="s">
        <v>82</v>
      </c>
      <c r="AG72" s="53" t="s">
        <v>97</v>
      </c>
      <c r="AH72" s="51">
        <v>10242.08</v>
      </c>
      <c r="AI72" s="52">
        <v>10873.92</v>
      </c>
      <c r="AJ72" s="51">
        <v>10066.81</v>
      </c>
      <c r="AK72" s="52">
        <v>10687.61</v>
      </c>
      <c r="AL72" s="55" t="str">
        <f t="shared" si="124"/>
        <v>核增</v>
      </c>
      <c r="AM72" s="55">
        <f t="shared" si="125"/>
        <v>631.84</v>
      </c>
      <c r="AN72" s="55">
        <f t="shared" si="126"/>
        <v>620.800000000001</v>
      </c>
      <c r="AO72" s="48"/>
      <c r="AP72" s="56"/>
      <c r="AQ72" s="48"/>
      <c r="AR72" s="56"/>
      <c r="AS72" s="40"/>
      <c r="AT72" s="40"/>
      <c r="AU72" s="51">
        <v>10678.77</v>
      </c>
      <c r="AV72" s="52">
        <v>10632.94</v>
      </c>
      <c r="AW72" s="51">
        <v>10513.7</v>
      </c>
      <c r="AX72" s="52">
        <v>10468.57</v>
      </c>
      <c r="AY72" s="55" t="str">
        <f t="shared" ref="AY72:AY73" si="157">IF(AND(AX72&lt;&gt;"",AW72&lt;&gt;""),IF(AX72&gt;AW72,"核增",IF(AX72&lt;AW72,"核减","不变")),"")</f>
        <v>核减</v>
      </c>
      <c r="AZ72" s="55">
        <f t="shared" ref="AZ72:AZ73" si="158">IF(AND(AX72&lt;&gt;"",AW72&lt;&gt;""),MAX(ABS(AX72),ABS(AW72))-MIN(ABS(AX72),ABS(AW72)),"")</f>
        <v>45.130000000001</v>
      </c>
      <c r="BA72" s="63" t="str">
        <f t="shared" ref="BA72:BA73" si="159">IF(AND(AV72&lt;&gt;"",AI72&lt;&gt;""),IF(AV72&gt;AI72,"核增",IF(AV72&lt;AI72,"核减","不变")),"")&amp;TEXT(IF(AND(AV72&lt;&gt;"",AI72&lt;&gt;""),MAX(ABS(AV72),ABS(AI72))-MIN(ABS(AV72),ABS(AI72)),""),"0.00")</f>
        <v>核减240.98</v>
      </c>
      <c r="BB72" s="48"/>
      <c r="BC72" s="56"/>
      <c r="BD72" s="48"/>
      <c r="BE72" s="56"/>
      <c r="BF72" s="64"/>
      <c r="BG72" s="48"/>
      <c r="BH72" s="51"/>
      <c r="BI72" s="52"/>
      <c r="BJ72" s="51"/>
      <c r="BK72" s="52"/>
      <c r="BL72" s="40"/>
      <c r="BM72" s="55"/>
      <c r="BN72" s="63"/>
      <c r="BO72" s="48"/>
      <c r="BP72" s="56"/>
      <c r="BQ72" s="48"/>
      <c r="BR72" s="56"/>
      <c r="BS72" s="40"/>
      <c r="BT72" s="40"/>
      <c r="BU72" s="51"/>
      <c r="BV72" s="52"/>
      <c r="BW72" s="51"/>
      <c r="BX72" s="52"/>
      <c r="BY72" s="40"/>
      <c r="BZ72" s="55"/>
    </row>
    <row r="73" ht="13.5" customHeight="1" spans="1:78">
      <c r="A73" s="25" t="s">
        <v>221</v>
      </c>
      <c r="B73" s="5" t="s">
        <v>93</v>
      </c>
      <c r="C73" s="6">
        <v>45510</v>
      </c>
      <c r="D73" s="7">
        <v>45534</v>
      </c>
      <c r="E73" s="32" t="str">
        <f t="shared" si="118"/>
        <v>0</v>
      </c>
      <c r="F73" s="30">
        <f t="shared" si="0"/>
        <v>19</v>
      </c>
      <c r="G73" s="12"/>
      <c r="H73" s="31"/>
      <c r="I73" s="37"/>
      <c r="J73" s="30" t="str">
        <f t="shared" si="1"/>
        <v/>
      </c>
      <c r="K73" s="12">
        <v>45615</v>
      </c>
      <c r="L73" s="31">
        <v>45629</v>
      </c>
      <c r="M73" s="38" t="str">
        <f t="shared" si="156"/>
        <v>0</v>
      </c>
      <c r="N73" s="30">
        <f t="shared" si="2"/>
        <v>11</v>
      </c>
      <c r="O73" s="12"/>
      <c r="P73" s="31"/>
      <c r="Q73" s="38"/>
      <c r="R73" s="30" t="str">
        <f t="shared" si="3"/>
        <v/>
      </c>
      <c r="S73" s="12"/>
      <c r="T73" s="31"/>
      <c r="U73" s="40"/>
      <c r="V73" s="30" t="str">
        <f t="shared" si="4"/>
        <v/>
      </c>
      <c r="W73" s="12"/>
      <c r="X73" s="31"/>
      <c r="Y73" s="38"/>
      <c r="Z73" s="30" t="str">
        <f t="shared" si="5"/>
        <v/>
      </c>
      <c r="AA73" s="12"/>
      <c r="AB73" s="31"/>
      <c r="AC73" s="40"/>
      <c r="AD73" s="30" t="str">
        <f t="shared" si="6"/>
        <v/>
      </c>
      <c r="AE73" s="48" t="s">
        <v>406</v>
      </c>
      <c r="AF73" s="47" t="s">
        <v>406</v>
      </c>
      <c r="AG73" s="50" t="s">
        <v>87</v>
      </c>
      <c r="AH73" s="51">
        <v>3057.19</v>
      </c>
      <c r="AI73" s="52">
        <v>3061.67</v>
      </c>
      <c r="AJ73" s="51">
        <v>3015.55</v>
      </c>
      <c r="AK73" s="52">
        <v>3019.98</v>
      </c>
      <c r="AL73" s="55" t="str">
        <f t="shared" si="124"/>
        <v>核增</v>
      </c>
      <c r="AM73" s="55">
        <f t="shared" si="125"/>
        <v>4.48000000000002</v>
      </c>
      <c r="AN73" s="55">
        <f t="shared" si="126"/>
        <v>4.42999999999984</v>
      </c>
      <c r="AO73" s="48"/>
      <c r="AP73" s="56"/>
      <c r="AQ73" s="48"/>
      <c r="AR73" s="56"/>
      <c r="AS73" s="40"/>
      <c r="AT73" s="40"/>
      <c r="AU73" s="51">
        <v>3107.38</v>
      </c>
      <c r="AV73" s="52">
        <v>2916.46</v>
      </c>
      <c r="AW73" s="51">
        <v>3066.48</v>
      </c>
      <c r="AX73" s="52">
        <v>2878.45</v>
      </c>
      <c r="AY73" s="55" t="str">
        <f t="shared" si="157"/>
        <v>核减</v>
      </c>
      <c r="AZ73" s="55">
        <f t="shared" si="158"/>
        <v>188.03</v>
      </c>
      <c r="BA73" s="63" t="str">
        <f t="shared" si="159"/>
        <v>核减145.21</v>
      </c>
      <c r="BB73" s="48"/>
      <c r="BC73" s="56"/>
      <c r="BD73" s="48"/>
      <c r="BE73" s="56"/>
      <c r="BF73" s="64"/>
      <c r="BG73" s="48"/>
      <c r="BH73" s="51"/>
      <c r="BI73" s="52"/>
      <c r="BJ73" s="51"/>
      <c r="BK73" s="52"/>
      <c r="BL73" s="40"/>
      <c r="BM73" s="55"/>
      <c r="BN73" s="63"/>
      <c r="BO73" s="48"/>
      <c r="BP73" s="56"/>
      <c r="BQ73" s="48"/>
      <c r="BR73" s="56"/>
      <c r="BS73" s="40"/>
      <c r="BT73" s="40"/>
      <c r="BU73" s="51"/>
      <c r="BV73" s="52"/>
      <c r="BW73" s="51"/>
      <c r="BX73" s="52"/>
      <c r="BY73" s="40"/>
      <c r="BZ73" s="55"/>
    </row>
    <row r="74" ht="13.5" customHeight="1" spans="1:78">
      <c r="A74" s="25" t="s">
        <v>140</v>
      </c>
      <c r="B74" s="5" t="s">
        <v>93</v>
      </c>
      <c r="C74" s="6">
        <v>45511</v>
      </c>
      <c r="D74" s="7">
        <v>45537</v>
      </c>
      <c r="E74" s="32" t="str">
        <f t="shared" si="118"/>
        <v>0</v>
      </c>
      <c r="F74" s="30">
        <f t="shared" si="0"/>
        <v>19</v>
      </c>
      <c r="G74" s="12"/>
      <c r="H74" s="31"/>
      <c r="I74" s="37"/>
      <c r="J74" s="30" t="str">
        <f t="shared" si="1"/>
        <v/>
      </c>
      <c r="K74" s="12"/>
      <c r="L74" s="31"/>
      <c r="M74" s="40"/>
      <c r="N74" s="30" t="str">
        <f t="shared" si="2"/>
        <v/>
      </c>
      <c r="O74" s="12"/>
      <c r="P74" s="31"/>
      <c r="Q74" s="38"/>
      <c r="R74" s="30" t="str">
        <f t="shared" si="3"/>
        <v/>
      </c>
      <c r="S74" s="12"/>
      <c r="T74" s="31"/>
      <c r="U74" s="40"/>
      <c r="V74" s="30" t="str">
        <f t="shared" si="4"/>
        <v/>
      </c>
      <c r="W74" s="12"/>
      <c r="X74" s="31"/>
      <c r="Y74" s="38"/>
      <c r="Z74" s="30" t="str">
        <f t="shared" si="5"/>
        <v/>
      </c>
      <c r="AA74" s="12"/>
      <c r="AB74" s="31"/>
      <c r="AC74" s="40"/>
      <c r="AD74" s="30" t="str">
        <f t="shared" si="6"/>
        <v/>
      </c>
      <c r="AE74" s="46" t="s">
        <v>82</v>
      </c>
      <c r="AF74" s="47" t="s">
        <v>82</v>
      </c>
      <c r="AG74" s="53" t="s">
        <v>91</v>
      </c>
      <c r="AH74" s="51">
        <v>3444.11</v>
      </c>
      <c r="AI74" s="52">
        <v>3067.29</v>
      </c>
      <c r="AJ74" s="51">
        <v>3412.18</v>
      </c>
      <c r="AK74" s="52">
        <v>3038.86</v>
      </c>
      <c r="AL74" s="55" t="str">
        <f t="shared" si="124"/>
        <v>核减</v>
      </c>
      <c r="AM74" s="55">
        <f t="shared" si="125"/>
        <v>376.82</v>
      </c>
      <c r="AN74" s="55">
        <f t="shared" si="126"/>
        <v>373.32</v>
      </c>
      <c r="AO74" s="48"/>
      <c r="AP74" s="56"/>
      <c r="AQ74" s="48"/>
      <c r="AR74" s="56"/>
      <c r="AS74" s="40"/>
      <c r="AT74" s="40"/>
      <c r="AU74" s="51"/>
      <c r="AV74" s="52"/>
      <c r="AW74" s="51"/>
      <c r="AX74" s="52"/>
      <c r="AY74" s="40"/>
      <c r="AZ74" s="55"/>
      <c r="BA74" s="63"/>
      <c r="BB74" s="48"/>
      <c r="BC74" s="56"/>
      <c r="BD74" s="48"/>
      <c r="BE74" s="56"/>
      <c r="BF74" s="64"/>
      <c r="BG74" s="48"/>
      <c r="BH74" s="51"/>
      <c r="BI74" s="52"/>
      <c r="BJ74" s="51"/>
      <c r="BK74" s="52"/>
      <c r="BL74" s="40"/>
      <c r="BM74" s="55"/>
      <c r="BN74" s="63"/>
      <c r="BO74" s="48"/>
      <c r="BP74" s="56"/>
      <c r="BQ74" s="48"/>
      <c r="BR74" s="56"/>
      <c r="BS74" s="40"/>
      <c r="BT74" s="40"/>
      <c r="BU74" s="51"/>
      <c r="BV74" s="52"/>
      <c r="BW74" s="51"/>
      <c r="BX74" s="52"/>
      <c r="BY74" s="40"/>
      <c r="BZ74" s="55"/>
    </row>
    <row r="75" ht="13.5" customHeight="1" spans="1:78">
      <c r="A75" s="25" t="s">
        <v>461</v>
      </c>
      <c r="B75" s="5" t="s">
        <v>85</v>
      </c>
      <c r="C75" s="6">
        <v>45513</v>
      </c>
      <c r="D75" s="7"/>
      <c r="E75" s="32" t="str">
        <f t="shared" si="118"/>
        <v>1</v>
      </c>
      <c r="F75" s="30" t="str">
        <f t="shared" si="0"/>
        <v/>
      </c>
      <c r="G75" s="12"/>
      <c r="H75" s="31"/>
      <c r="I75" s="37"/>
      <c r="J75" s="30" t="str">
        <f t="shared" si="1"/>
        <v/>
      </c>
      <c r="K75" s="12"/>
      <c r="L75" s="31"/>
      <c r="M75" s="40"/>
      <c r="N75" s="30" t="str">
        <f t="shared" si="2"/>
        <v/>
      </c>
      <c r="O75" s="12"/>
      <c r="P75" s="31"/>
      <c r="Q75" s="38"/>
      <c r="R75" s="30" t="str">
        <f t="shared" si="3"/>
        <v/>
      </c>
      <c r="S75" s="12"/>
      <c r="T75" s="31"/>
      <c r="U75" s="40"/>
      <c r="V75" s="30" t="str">
        <f t="shared" si="4"/>
        <v/>
      </c>
      <c r="W75" s="12"/>
      <c r="X75" s="31"/>
      <c r="Y75" s="38"/>
      <c r="Z75" s="30" t="str">
        <f t="shared" si="5"/>
        <v/>
      </c>
      <c r="AA75" s="12"/>
      <c r="AB75" s="31"/>
      <c r="AC75" s="40"/>
      <c r="AD75" s="30" t="str">
        <f t="shared" si="6"/>
        <v/>
      </c>
      <c r="AE75" s="48" t="s">
        <v>87</v>
      </c>
      <c r="AF75" s="47" t="s">
        <v>91</v>
      </c>
      <c r="AG75" s="50" t="s">
        <v>87</v>
      </c>
      <c r="AH75" s="51"/>
      <c r="AI75" s="52"/>
      <c r="AJ75" s="51"/>
      <c r="AK75" s="52"/>
      <c r="AL75" s="40"/>
      <c r="AM75" s="40"/>
      <c r="AN75" s="40"/>
      <c r="AO75" s="48"/>
      <c r="AP75" s="56"/>
      <c r="AQ75" s="48"/>
      <c r="AR75" s="56"/>
      <c r="AS75" s="40"/>
      <c r="AT75" s="40"/>
      <c r="AU75" s="51"/>
      <c r="AV75" s="52"/>
      <c r="AW75" s="51"/>
      <c r="AX75" s="52"/>
      <c r="AY75" s="40"/>
      <c r="AZ75" s="55"/>
      <c r="BA75" s="63"/>
      <c r="BB75" s="48"/>
      <c r="BC75" s="56"/>
      <c r="BD75" s="48"/>
      <c r="BE75" s="56"/>
      <c r="BF75" s="64"/>
      <c r="BG75" s="48"/>
      <c r="BH75" s="51"/>
      <c r="BI75" s="52"/>
      <c r="BJ75" s="51"/>
      <c r="BK75" s="52"/>
      <c r="BL75" s="40"/>
      <c r="BM75" s="55"/>
      <c r="BN75" s="63"/>
      <c r="BO75" s="48"/>
      <c r="BP75" s="56"/>
      <c r="BQ75" s="48"/>
      <c r="BR75" s="56"/>
      <c r="BS75" s="40"/>
      <c r="BT75" s="40"/>
      <c r="BU75" s="51"/>
      <c r="BV75" s="52"/>
      <c r="BW75" s="51"/>
      <c r="BX75" s="52"/>
      <c r="BY75" s="40"/>
      <c r="BZ75" s="55"/>
    </row>
    <row r="76" ht="13.5" customHeight="1" spans="1:78">
      <c r="A76" s="25" t="s">
        <v>462</v>
      </c>
      <c r="B76" s="5" t="s">
        <v>85</v>
      </c>
      <c r="C76" s="6">
        <v>45518</v>
      </c>
      <c r="D76" s="7">
        <v>45541</v>
      </c>
      <c r="E76" s="32" t="str">
        <f t="shared" si="118"/>
        <v>0</v>
      </c>
      <c r="F76" s="30">
        <f t="shared" si="0"/>
        <v>18</v>
      </c>
      <c r="G76" s="12"/>
      <c r="H76" s="31"/>
      <c r="I76" s="37"/>
      <c r="J76" s="30" t="str">
        <f t="shared" si="1"/>
        <v/>
      </c>
      <c r="K76" s="12"/>
      <c r="L76" s="31"/>
      <c r="M76" s="40"/>
      <c r="N76" s="30" t="str">
        <f t="shared" si="2"/>
        <v/>
      </c>
      <c r="O76" s="12"/>
      <c r="P76" s="31"/>
      <c r="Q76" s="38"/>
      <c r="R76" s="30" t="str">
        <f t="shared" si="3"/>
        <v/>
      </c>
      <c r="S76" s="12"/>
      <c r="T76" s="31"/>
      <c r="U76" s="40"/>
      <c r="V76" s="30" t="str">
        <f t="shared" si="4"/>
        <v/>
      </c>
      <c r="W76" s="12"/>
      <c r="X76" s="31"/>
      <c r="Y76" s="38"/>
      <c r="Z76" s="30" t="str">
        <f t="shared" si="5"/>
        <v/>
      </c>
      <c r="AA76" s="12"/>
      <c r="AB76" s="31"/>
      <c r="AC76" s="40"/>
      <c r="AD76" s="30" t="str">
        <f t="shared" si="6"/>
        <v/>
      </c>
      <c r="AE76" s="48" t="s">
        <v>86</v>
      </c>
      <c r="AF76" s="46" t="s">
        <v>86</v>
      </c>
      <c r="AG76" s="50" t="s">
        <v>87</v>
      </c>
      <c r="AH76" s="82">
        <v>1369.98</v>
      </c>
      <c r="AI76" s="83">
        <v>1467.13</v>
      </c>
      <c r="AJ76" s="51">
        <v>1369.98</v>
      </c>
      <c r="AK76" s="52">
        <v>1467.13</v>
      </c>
      <c r="AL76" s="55" t="str">
        <f t="shared" ref="AL76:AL102" si="160">IF(AND(AK76&lt;&gt;"",AJ76&lt;&gt;""),IF(AK76&gt;AJ76,"核增",IF(AK76&lt;AJ76,"核减","不变")),"")</f>
        <v>核增</v>
      </c>
      <c r="AM76" s="55">
        <f t="shared" ref="AM76:AM102" si="161">IF(AND(AI76&lt;&gt;"",AH76&lt;&gt;""),MAX(ABS(AI76),ABS(AH76))-MIN(ABS(AI76),ABS(AH76)),"")</f>
        <v>97.1500000000001</v>
      </c>
      <c r="AN76" s="55">
        <f t="shared" ref="AN76:AN102" si="162">IF(AND(AK76&lt;&gt;"",AJ76&lt;&gt;""),MAX(ABS(AK76),ABS(AJ76))-MIN(ABS(AK76),ABS(AJ76)),"")</f>
        <v>97.1500000000001</v>
      </c>
      <c r="AO76" s="48"/>
      <c r="AP76" s="56"/>
      <c r="AQ76" s="48"/>
      <c r="AR76" s="56"/>
      <c r="AS76" s="40"/>
      <c r="AT76" s="40"/>
      <c r="AU76" s="51"/>
      <c r="AV76" s="52"/>
      <c r="AW76" s="51"/>
      <c r="AX76" s="52"/>
      <c r="AY76" s="40"/>
      <c r="AZ76" s="55"/>
      <c r="BA76" s="63"/>
      <c r="BB76" s="48"/>
      <c r="BC76" s="56"/>
      <c r="BD76" s="48"/>
      <c r="BE76" s="56"/>
      <c r="BF76" s="64"/>
      <c r="BG76" s="48"/>
      <c r="BH76" s="51"/>
      <c r="BI76" s="52"/>
      <c r="BJ76" s="51"/>
      <c r="BK76" s="52"/>
      <c r="BL76" s="40"/>
      <c r="BM76" s="55"/>
      <c r="BN76" s="63"/>
      <c r="BO76" s="48"/>
      <c r="BP76" s="56"/>
      <c r="BQ76" s="48"/>
      <c r="BR76" s="56"/>
      <c r="BS76" s="40"/>
      <c r="BT76" s="40"/>
      <c r="BU76" s="51"/>
      <c r="BV76" s="52"/>
      <c r="BW76" s="51"/>
      <c r="BX76" s="52"/>
      <c r="BY76" s="40"/>
      <c r="BZ76" s="55"/>
    </row>
    <row r="77" ht="13.5" customHeight="1" spans="1:78">
      <c r="A77" s="25" t="s">
        <v>463</v>
      </c>
      <c r="B77" s="5" t="s">
        <v>81</v>
      </c>
      <c r="C77" s="6">
        <v>45538</v>
      </c>
      <c r="D77" s="7">
        <v>45549</v>
      </c>
      <c r="E77" s="32" t="str">
        <f t="shared" si="118"/>
        <v>0</v>
      </c>
      <c r="F77" s="30">
        <f t="shared" si="0"/>
        <v>9</v>
      </c>
      <c r="G77" s="12"/>
      <c r="H77" s="31"/>
      <c r="I77" s="38"/>
      <c r="J77" s="30" t="str">
        <f t="shared" si="1"/>
        <v/>
      </c>
      <c r="K77" s="12"/>
      <c r="L77" s="31"/>
      <c r="M77" s="40"/>
      <c r="N77" s="30" t="str">
        <f t="shared" si="2"/>
        <v/>
      </c>
      <c r="O77" s="12"/>
      <c r="P77" s="31"/>
      <c r="Q77" s="38"/>
      <c r="R77" s="30" t="str">
        <f t="shared" si="3"/>
        <v/>
      </c>
      <c r="S77" s="12"/>
      <c r="T77" s="31"/>
      <c r="U77" s="38"/>
      <c r="V77" s="30" t="str">
        <f t="shared" si="4"/>
        <v/>
      </c>
      <c r="W77" s="12"/>
      <c r="X77" s="31"/>
      <c r="Y77" s="38"/>
      <c r="Z77" s="30" t="str">
        <f t="shared" si="5"/>
        <v/>
      </c>
      <c r="AA77" s="12"/>
      <c r="AB77" s="31"/>
      <c r="AC77" s="40"/>
      <c r="AD77" s="30" t="str">
        <f t="shared" si="6"/>
        <v/>
      </c>
      <c r="AE77" s="48" t="s">
        <v>82</v>
      </c>
      <c r="AF77" s="47" t="s">
        <v>82</v>
      </c>
      <c r="AG77" s="50" t="s">
        <v>87</v>
      </c>
      <c r="AH77" s="51">
        <v>7853.62</v>
      </c>
      <c r="AI77" s="52">
        <v>7982.35</v>
      </c>
      <c r="AJ77" s="51">
        <v>7728.93</v>
      </c>
      <c r="AK77" s="52">
        <v>7855.49</v>
      </c>
      <c r="AL77" s="55" t="str">
        <f t="shared" si="160"/>
        <v>核增</v>
      </c>
      <c r="AM77" s="55">
        <f t="shared" si="161"/>
        <v>128.73</v>
      </c>
      <c r="AN77" s="55">
        <f t="shared" si="162"/>
        <v>126.559999999999</v>
      </c>
      <c r="AO77" s="48"/>
      <c r="AP77" s="56"/>
      <c r="AQ77" s="48"/>
      <c r="AR77" s="56"/>
      <c r="AS77" s="40"/>
      <c r="AT77" s="40"/>
      <c r="AU77" s="51"/>
      <c r="AV77" s="52"/>
      <c r="AW77" s="51"/>
      <c r="AX77" s="52"/>
      <c r="AY77" s="40"/>
      <c r="AZ77" s="55"/>
      <c r="BA77" s="63"/>
      <c r="BB77" s="48"/>
      <c r="BC77" s="56"/>
      <c r="BD77" s="48"/>
      <c r="BE77" s="56"/>
      <c r="BF77" s="64"/>
      <c r="BG77" s="48"/>
      <c r="BH77" s="51"/>
      <c r="BI77" s="52"/>
      <c r="BJ77" s="51"/>
      <c r="BK77" s="52"/>
      <c r="BL77" s="40"/>
      <c r="BM77" s="55"/>
      <c r="BN77" s="63"/>
      <c r="BO77" s="48"/>
      <c r="BP77" s="56"/>
      <c r="BQ77" s="48"/>
      <c r="BR77" s="56"/>
      <c r="BS77" s="40"/>
      <c r="BT77" s="40"/>
      <c r="BU77" s="51"/>
      <c r="BV77" s="52"/>
      <c r="BW77" s="51"/>
      <c r="BX77" s="52"/>
      <c r="BY77" s="40"/>
      <c r="BZ77" s="55"/>
    </row>
    <row r="78" ht="13.5" customHeight="1" spans="1:78">
      <c r="A78" s="25" t="s">
        <v>464</v>
      </c>
      <c r="B78" s="5" t="s">
        <v>85</v>
      </c>
      <c r="C78" s="12">
        <v>45545</v>
      </c>
      <c r="D78" s="7">
        <v>45559</v>
      </c>
      <c r="E78" s="32" t="str">
        <f t="shared" si="118"/>
        <v>0</v>
      </c>
      <c r="F78" s="30">
        <f t="shared" si="0"/>
        <v>9</v>
      </c>
      <c r="G78" s="12"/>
      <c r="H78" s="31"/>
      <c r="I78" s="37"/>
      <c r="J78" s="30" t="str">
        <f t="shared" si="1"/>
        <v/>
      </c>
      <c r="K78" s="12">
        <v>45631</v>
      </c>
      <c r="L78" s="31">
        <v>45642</v>
      </c>
      <c r="M78" s="40" t="str">
        <f t="shared" ref="M78:M79" si="163">IF(K78&lt;&gt;0,IF(L78&lt;&gt;0,"0","1"),"")</f>
        <v>0</v>
      </c>
      <c r="N78" s="30">
        <f t="shared" si="2"/>
        <v>8</v>
      </c>
      <c r="O78" s="12"/>
      <c r="P78" s="31"/>
      <c r="Q78" s="38"/>
      <c r="R78" s="30" t="str">
        <f t="shared" si="3"/>
        <v/>
      </c>
      <c r="S78" s="12"/>
      <c r="T78" s="31"/>
      <c r="U78" s="38" t="str">
        <f t="shared" ref="U78:U79" si="164">IF(S78&lt;&gt;0,IF(T78&lt;&gt;0,"0","1"),"")</f>
        <v/>
      </c>
      <c r="V78" s="30" t="str">
        <f t="shared" si="4"/>
        <v/>
      </c>
      <c r="W78" s="12"/>
      <c r="X78" s="31"/>
      <c r="Y78" s="38"/>
      <c r="Z78" s="30" t="str">
        <f t="shared" si="5"/>
        <v/>
      </c>
      <c r="AA78" s="12"/>
      <c r="AB78" s="31"/>
      <c r="AC78" s="40"/>
      <c r="AD78" s="30" t="str">
        <f t="shared" si="6"/>
        <v/>
      </c>
      <c r="AE78" s="48" t="s">
        <v>87</v>
      </c>
      <c r="AF78" s="47" t="s">
        <v>406</v>
      </c>
      <c r="AG78" s="50" t="s">
        <v>87</v>
      </c>
      <c r="AH78" s="51">
        <v>1260.06</v>
      </c>
      <c r="AI78" s="52">
        <v>1281.51</v>
      </c>
      <c r="AJ78" s="51">
        <v>1260.06</v>
      </c>
      <c r="AK78" s="52">
        <v>1281.51</v>
      </c>
      <c r="AL78" s="55" t="str">
        <f t="shared" si="160"/>
        <v>核增</v>
      </c>
      <c r="AM78" s="55">
        <f t="shared" si="161"/>
        <v>21.45</v>
      </c>
      <c r="AN78" s="55">
        <f t="shared" si="162"/>
        <v>21.45</v>
      </c>
      <c r="AO78" s="48"/>
      <c r="AP78" s="56"/>
      <c r="AQ78" s="48"/>
      <c r="AR78" s="56"/>
      <c r="AS78" s="40"/>
      <c r="AT78" s="40"/>
      <c r="AU78" s="51">
        <v>1227.02</v>
      </c>
      <c r="AV78" s="52">
        <v>1216.07</v>
      </c>
      <c r="AW78" s="51">
        <v>1227.02</v>
      </c>
      <c r="AX78" s="52">
        <v>1216.07</v>
      </c>
      <c r="AY78" s="55" t="str">
        <f t="shared" ref="AY78:AY79" si="165">IF(AND(AX78&lt;&gt;"",AW78&lt;&gt;""),IF(AX78&gt;AW78,"核增",IF(AX78&lt;AW78,"核减","不变")),"")</f>
        <v>核减</v>
      </c>
      <c r="AZ78" s="55">
        <f t="shared" ref="AZ78:AZ79" si="166">IF(AND(AX78&lt;&gt;"",AW78&lt;&gt;""),MAX(ABS(AX78),ABS(AW78))-MIN(ABS(AX78),ABS(AW78)),"")</f>
        <v>10.95</v>
      </c>
      <c r="BA78" s="63" t="str">
        <f t="shared" ref="BA78:BA79" si="167">IF(AND(AV78&lt;&gt;"",AI78&lt;&gt;""),IF(AV78&gt;AI78,"核增",IF(AV78&lt;AI78,"核减","不变")),"")&amp;TEXT(IF(AND(AV78&lt;&gt;"",AI78&lt;&gt;""),MAX(ABS(AV78),ABS(AI78))-MIN(ABS(AV78),ABS(AI78)),""),"0.00")</f>
        <v>核减65.44</v>
      </c>
      <c r="BB78" s="48"/>
      <c r="BC78" s="56"/>
      <c r="BD78" s="48"/>
      <c r="BE78" s="56"/>
      <c r="BF78" s="64"/>
      <c r="BG78" s="48"/>
      <c r="BH78" s="51"/>
      <c r="BI78" s="52"/>
      <c r="BJ78" s="51"/>
      <c r="BK78" s="52"/>
      <c r="BL78" s="40"/>
      <c r="BM78" s="55"/>
      <c r="BN78" s="63"/>
      <c r="BO78" s="84"/>
      <c r="BP78" s="85"/>
      <c r="BQ78" s="84"/>
      <c r="BR78" s="85"/>
      <c r="BS78" s="40"/>
      <c r="BT78" s="40"/>
      <c r="BU78" s="51"/>
      <c r="BV78" s="52"/>
      <c r="BW78" s="51"/>
      <c r="BX78" s="52"/>
      <c r="BY78" s="40"/>
      <c r="BZ78" s="55"/>
    </row>
    <row r="79" ht="13.5" customHeight="1" spans="1:78">
      <c r="A79" s="25" t="s">
        <v>465</v>
      </c>
      <c r="B79" s="5" t="s">
        <v>85</v>
      </c>
      <c r="C79" s="12">
        <v>45545</v>
      </c>
      <c r="D79" s="7">
        <v>45554</v>
      </c>
      <c r="E79" s="32" t="str">
        <f t="shared" si="118"/>
        <v>0</v>
      </c>
      <c r="F79" s="30">
        <f t="shared" si="0"/>
        <v>6</v>
      </c>
      <c r="G79" s="12"/>
      <c r="H79" s="31"/>
      <c r="I79" s="37"/>
      <c r="J79" s="30" t="str">
        <f t="shared" si="1"/>
        <v/>
      </c>
      <c r="K79" s="12">
        <v>45607</v>
      </c>
      <c r="L79" s="31">
        <v>45617</v>
      </c>
      <c r="M79" s="40" t="str">
        <f t="shared" si="163"/>
        <v>0</v>
      </c>
      <c r="N79" s="30">
        <f t="shared" si="2"/>
        <v>9</v>
      </c>
      <c r="O79" s="12"/>
      <c r="P79" s="31"/>
      <c r="Q79" s="38"/>
      <c r="R79" s="30" t="str">
        <f t="shared" si="3"/>
        <v/>
      </c>
      <c r="S79" s="12">
        <v>45625</v>
      </c>
      <c r="T79" s="31">
        <v>45628</v>
      </c>
      <c r="U79" s="38" t="str">
        <f t="shared" si="164"/>
        <v>0</v>
      </c>
      <c r="V79" s="30">
        <f t="shared" si="4"/>
        <v>2</v>
      </c>
      <c r="W79" s="12"/>
      <c r="X79" s="31"/>
      <c r="Y79" s="38"/>
      <c r="Z79" s="30" t="str">
        <f t="shared" si="5"/>
        <v/>
      </c>
      <c r="AA79" s="12"/>
      <c r="AB79" s="31"/>
      <c r="AC79" s="40"/>
      <c r="AD79" s="30" t="str">
        <f t="shared" si="6"/>
        <v/>
      </c>
      <c r="AE79" s="48" t="s">
        <v>87</v>
      </c>
      <c r="AF79" s="47" t="s">
        <v>406</v>
      </c>
      <c r="AG79" s="50" t="s">
        <v>87</v>
      </c>
      <c r="AH79" s="51">
        <v>203.94</v>
      </c>
      <c r="AI79" s="52">
        <v>168.08</v>
      </c>
      <c r="AJ79" s="51">
        <v>203.94</v>
      </c>
      <c r="AK79" s="52">
        <v>168.08</v>
      </c>
      <c r="AL79" s="55" t="str">
        <f t="shared" si="160"/>
        <v>核减</v>
      </c>
      <c r="AM79" s="55">
        <f t="shared" si="161"/>
        <v>35.86</v>
      </c>
      <c r="AN79" s="55">
        <f t="shared" si="162"/>
        <v>35.86</v>
      </c>
      <c r="AO79" s="48"/>
      <c r="AP79" s="56"/>
      <c r="AQ79" s="48"/>
      <c r="AR79" s="56"/>
      <c r="AS79" s="40"/>
      <c r="AT79" s="40"/>
      <c r="AU79" s="51">
        <v>175.02</v>
      </c>
      <c r="AV79" s="52">
        <v>154.75</v>
      </c>
      <c r="AW79" s="51">
        <v>175.02</v>
      </c>
      <c r="AX79" s="52">
        <v>154.75</v>
      </c>
      <c r="AY79" s="55" t="str">
        <f t="shared" si="165"/>
        <v>核减</v>
      </c>
      <c r="AZ79" s="55">
        <f t="shared" si="166"/>
        <v>20.27</v>
      </c>
      <c r="BA79" s="63" t="str">
        <f t="shared" si="167"/>
        <v>核减13.33</v>
      </c>
      <c r="BB79" s="48"/>
      <c r="BC79" s="56"/>
      <c r="BD79" s="48"/>
      <c r="BE79" s="56"/>
      <c r="BF79" s="64"/>
      <c r="BG79" s="48"/>
      <c r="BH79" s="51">
        <v>159.23</v>
      </c>
      <c r="BI79" s="52">
        <v>143.2</v>
      </c>
      <c r="BJ79" s="51">
        <v>159.23</v>
      </c>
      <c r="BK79" s="52">
        <v>143.2</v>
      </c>
      <c r="BL79" s="55" t="str">
        <f t="shared" ref="BL79:BL81" si="168">IF(AND(BK79&lt;&gt;"",BJ79&lt;&gt;""),IF(BK79&gt;BJ79,"核增",IF(BK79&lt;BJ79,"核减","不变")),"")</f>
        <v>核减</v>
      </c>
      <c r="BM79" s="55">
        <f t="shared" ref="BM79:BM81" si="169">IF(AND(BK79&lt;&gt;"",BJ79&lt;&gt;""),MAX(ABS(BK79),ABS(BJ79))-MIN(ABS(BK79),ABS(BJ79)),"")</f>
        <v>16.03</v>
      </c>
      <c r="BN79" s="63" t="str">
        <f t="shared" ref="BN79:BN81" si="170">IF(AND(BI79&lt;&gt;"",AV79&lt;&gt;""),IF(BI79&gt;AV79,"核增",IF(BI79&lt;AV79,"核减","不变")),"")&amp;TEXT(IF(AND(BI79&lt;&gt;"",AV79&lt;&gt;""),MAX(ABS(BI79),ABS(AV79))-MIN(ABS(BI79),ABS(AV79)),""),"0.00")</f>
        <v>核减11.55</v>
      </c>
      <c r="BO79" s="48"/>
      <c r="BP79" s="56"/>
      <c r="BQ79" s="48"/>
      <c r="BR79" s="56"/>
      <c r="BS79" s="40"/>
      <c r="BT79" s="40"/>
      <c r="BU79" s="51"/>
      <c r="BV79" s="52"/>
      <c r="BW79" s="51"/>
      <c r="BX79" s="52"/>
      <c r="BY79" s="40"/>
      <c r="BZ79" s="55"/>
    </row>
    <row r="80" ht="13.5" customHeight="1" spans="1:78">
      <c r="A80" s="25" t="s">
        <v>199</v>
      </c>
      <c r="B80" s="5" t="s">
        <v>81</v>
      </c>
      <c r="C80" s="6">
        <v>45561</v>
      </c>
      <c r="D80" s="7">
        <v>45579</v>
      </c>
      <c r="E80" s="32" t="str">
        <f t="shared" si="118"/>
        <v>0</v>
      </c>
      <c r="F80" s="30">
        <f t="shared" si="0"/>
        <v>8</v>
      </c>
      <c r="G80" s="12"/>
      <c r="H80" s="31"/>
      <c r="I80" s="37"/>
      <c r="J80" s="30" t="str">
        <f t="shared" si="1"/>
        <v/>
      </c>
      <c r="K80" s="12"/>
      <c r="L80" s="31"/>
      <c r="M80" s="40"/>
      <c r="N80" s="30" t="str">
        <f t="shared" si="2"/>
        <v/>
      </c>
      <c r="O80" s="12"/>
      <c r="P80" s="31"/>
      <c r="Q80" s="38"/>
      <c r="R80" s="30" t="str">
        <f t="shared" si="3"/>
        <v/>
      </c>
      <c r="S80" s="12"/>
      <c r="T80" s="31"/>
      <c r="U80" s="40"/>
      <c r="V80" s="30" t="str">
        <f t="shared" si="4"/>
        <v/>
      </c>
      <c r="W80" s="12"/>
      <c r="X80" s="31"/>
      <c r="Y80" s="38"/>
      <c r="Z80" s="30" t="str">
        <f t="shared" si="5"/>
        <v/>
      </c>
      <c r="AA80" s="12"/>
      <c r="AB80" s="31"/>
      <c r="AC80" s="40"/>
      <c r="AD80" s="30" t="str">
        <f t="shared" si="6"/>
        <v/>
      </c>
      <c r="AE80" s="48" t="s">
        <v>82</v>
      </c>
      <c r="AF80" s="47" t="s">
        <v>82</v>
      </c>
      <c r="AG80" s="50" t="s">
        <v>87</v>
      </c>
      <c r="AH80" s="51">
        <v>4511.32</v>
      </c>
      <c r="AI80" s="52">
        <v>4140.83</v>
      </c>
      <c r="AJ80" s="51">
        <v>4433.89</v>
      </c>
      <c r="AK80" s="52">
        <v>4069.75</v>
      </c>
      <c r="AL80" s="55" t="str">
        <f t="shared" si="160"/>
        <v>核减</v>
      </c>
      <c r="AM80" s="55">
        <f t="shared" si="161"/>
        <v>370.49</v>
      </c>
      <c r="AN80" s="55">
        <f t="shared" si="162"/>
        <v>364.14</v>
      </c>
      <c r="AO80" s="48"/>
      <c r="AP80" s="56"/>
      <c r="AQ80" s="48"/>
      <c r="AR80" s="56"/>
      <c r="AS80" s="40"/>
      <c r="AT80" s="40"/>
      <c r="AU80" s="51"/>
      <c r="AV80" s="52"/>
      <c r="AW80" s="51"/>
      <c r="AX80" s="52"/>
      <c r="AY80" s="40"/>
      <c r="AZ80" s="55"/>
      <c r="BA80" s="63"/>
      <c r="BB80" s="48"/>
      <c r="BC80" s="56"/>
      <c r="BD80" s="48"/>
      <c r="BE80" s="56"/>
      <c r="BF80" s="64"/>
      <c r="BG80" s="48"/>
      <c r="BH80" s="51"/>
      <c r="BI80" s="52"/>
      <c r="BJ80" s="51"/>
      <c r="BK80" s="52"/>
      <c r="BL80" s="55" t="str">
        <f t="shared" si="168"/>
        <v/>
      </c>
      <c r="BM80" s="55" t="str">
        <f t="shared" si="169"/>
        <v/>
      </c>
      <c r="BN80" s="63" t="str">
        <f t="shared" si="170"/>
        <v/>
      </c>
      <c r="BO80" s="48"/>
      <c r="BP80" s="56"/>
      <c r="BQ80" s="48"/>
      <c r="BR80" s="56"/>
      <c r="BS80" s="40"/>
      <c r="BT80" s="40"/>
      <c r="BU80" s="51"/>
      <c r="BV80" s="52"/>
      <c r="BW80" s="51"/>
      <c r="BX80" s="52"/>
      <c r="BY80" s="40"/>
      <c r="BZ80" s="55"/>
    </row>
    <row r="81" ht="13.5" customHeight="1" spans="1:78">
      <c r="A81" s="25" t="s">
        <v>466</v>
      </c>
      <c r="B81" s="5" t="s">
        <v>85</v>
      </c>
      <c r="C81" s="6">
        <v>45561</v>
      </c>
      <c r="D81" s="15">
        <v>45576</v>
      </c>
      <c r="E81" s="32" t="str">
        <f t="shared" si="118"/>
        <v>0</v>
      </c>
      <c r="F81" s="30">
        <f t="shared" si="0"/>
        <v>7</v>
      </c>
      <c r="G81" s="12"/>
      <c r="H81" s="31"/>
      <c r="I81" s="37"/>
      <c r="J81" s="30" t="str">
        <f t="shared" si="1"/>
        <v/>
      </c>
      <c r="K81" s="12">
        <v>45580</v>
      </c>
      <c r="L81" s="31">
        <v>45596</v>
      </c>
      <c r="M81" s="38" t="str">
        <f>IF(K81&lt;&gt;0,IF(L81&lt;&gt;0,"0","1"),"")</f>
        <v>0</v>
      </c>
      <c r="N81" s="30">
        <f t="shared" si="2"/>
        <v>13</v>
      </c>
      <c r="O81" s="12"/>
      <c r="P81" s="31"/>
      <c r="Q81" s="38"/>
      <c r="R81" s="30" t="str">
        <f t="shared" si="3"/>
        <v/>
      </c>
      <c r="S81" s="12">
        <v>45580</v>
      </c>
      <c r="T81" s="31">
        <v>45609</v>
      </c>
      <c r="U81" s="38" t="str">
        <f>IF(S81&lt;&gt;0,IF(T81&lt;&gt;0,"0","1"),"")</f>
        <v>0</v>
      </c>
      <c r="V81" s="30">
        <f t="shared" si="4"/>
        <v>22</v>
      </c>
      <c r="W81" s="12"/>
      <c r="X81" s="31"/>
      <c r="Y81" s="38"/>
      <c r="Z81" s="30" t="str">
        <f t="shared" si="5"/>
        <v/>
      </c>
      <c r="AA81" s="12"/>
      <c r="AB81" s="31"/>
      <c r="AC81" s="40"/>
      <c r="AD81" s="30" t="str">
        <f t="shared" si="6"/>
        <v/>
      </c>
      <c r="AE81" s="46" t="s">
        <v>97</v>
      </c>
      <c r="AF81" s="47" t="s">
        <v>91</v>
      </c>
      <c r="AG81" s="50" t="s">
        <v>97</v>
      </c>
      <c r="AH81" s="51">
        <v>986.06</v>
      </c>
      <c r="AI81" s="52">
        <v>817.75</v>
      </c>
      <c r="AJ81" s="51">
        <v>986.06</v>
      </c>
      <c r="AK81" s="52">
        <v>817.75</v>
      </c>
      <c r="AL81" s="55" t="str">
        <f t="shared" si="160"/>
        <v>核减</v>
      </c>
      <c r="AM81" s="55">
        <f t="shared" si="161"/>
        <v>168.31</v>
      </c>
      <c r="AN81" s="55">
        <f t="shared" si="162"/>
        <v>168.31</v>
      </c>
      <c r="AO81" s="48"/>
      <c r="AP81" s="56"/>
      <c r="AQ81" s="48"/>
      <c r="AR81" s="56"/>
      <c r="AS81" s="40"/>
      <c r="AT81" s="40"/>
      <c r="AU81" s="51">
        <v>810.44</v>
      </c>
      <c r="AV81" s="52">
        <v>897.61</v>
      </c>
      <c r="AW81" s="51">
        <v>810.44</v>
      </c>
      <c r="AX81" s="52">
        <v>897.61</v>
      </c>
      <c r="AY81" s="55" t="str">
        <f>IF(AND(AX81&lt;&gt;"",AW81&lt;&gt;""),IF(AX81&gt;AW81,"核增",IF(AX81&lt;AW81,"核减","不变")),"")</f>
        <v>核增</v>
      </c>
      <c r="AZ81" s="55">
        <f>IF(AND(AX81&lt;&gt;"",AW81&lt;&gt;""),MAX(ABS(AX81),ABS(AW81))-MIN(ABS(AX81),ABS(AW81)),"")</f>
        <v>87.17</v>
      </c>
      <c r="BA81" s="63" t="str">
        <f>IF(AND(AV81&lt;&gt;"",AI81&lt;&gt;""),IF(AV81&gt;AI81,"核增",IF(AV81&lt;AI81,"核减","不变")),"")&amp;TEXT(IF(AND(AV81&lt;&gt;"",AI81&lt;&gt;""),MAX(ABS(AV81),ABS(AI81))-MIN(ABS(AV81),ABS(AI81)),""),"0.00")</f>
        <v>核增79.86</v>
      </c>
      <c r="BB81" s="48"/>
      <c r="BC81" s="56"/>
      <c r="BD81" s="48"/>
      <c r="BE81" s="56"/>
      <c r="BF81" s="64"/>
      <c r="BG81" s="48"/>
      <c r="BH81" s="51">
        <v>897.61</v>
      </c>
      <c r="BI81" s="52">
        <v>861.18</v>
      </c>
      <c r="BJ81" s="51">
        <v>897.61</v>
      </c>
      <c r="BK81" s="52">
        <v>861.18</v>
      </c>
      <c r="BL81" s="55" t="str">
        <f t="shared" si="168"/>
        <v>核减</v>
      </c>
      <c r="BM81" s="55">
        <f t="shared" si="169"/>
        <v>36.4300000000001</v>
      </c>
      <c r="BN81" s="63" t="str">
        <f t="shared" si="170"/>
        <v>核减36.43</v>
      </c>
      <c r="BO81" s="48"/>
      <c r="BP81" s="56"/>
      <c r="BQ81" s="48"/>
      <c r="BR81" s="56"/>
      <c r="BS81" s="40"/>
      <c r="BT81" s="40"/>
      <c r="BU81" s="51"/>
      <c r="BV81" s="52"/>
      <c r="BW81" s="51"/>
      <c r="BX81" s="52"/>
      <c r="BY81" s="40"/>
      <c r="BZ81" s="55"/>
    </row>
    <row r="82" ht="13.5" customHeight="1" spans="1:78">
      <c r="A82" s="25" t="s">
        <v>162</v>
      </c>
      <c r="B82" s="5" t="s">
        <v>93</v>
      </c>
      <c r="C82" s="6">
        <v>45597</v>
      </c>
      <c r="D82" s="7">
        <v>45621</v>
      </c>
      <c r="E82" s="32" t="str">
        <f t="shared" si="118"/>
        <v>0</v>
      </c>
      <c r="F82" s="30">
        <f t="shared" si="0"/>
        <v>17</v>
      </c>
      <c r="G82" s="12"/>
      <c r="H82" s="31"/>
      <c r="I82" s="37"/>
      <c r="J82" s="30" t="str">
        <f t="shared" si="1"/>
        <v/>
      </c>
      <c r="K82" s="12"/>
      <c r="L82" s="31"/>
      <c r="M82" s="40"/>
      <c r="N82" s="30" t="str">
        <f t="shared" si="2"/>
        <v/>
      </c>
      <c r="O82" s="12"/>
      <c r="P82" s="31"/>
      <c r="Q82" s="38"/>
      <c r="R82" s="30" t="str">
        <f t="shared" si="3"/>
        <v/>
      </c>
      <c r="S82" s="12"/>
      <c r="T82" s="31"/>
      <c r="U82" s="40"/>
      <c r="V82" s="30" t="str">
        <f t="shared" si="4"/>
        <v/>
      </c>
      <c r="W82" s="12"/>
      <c r="X82" s="31"/>
      <c r="Y82" s="38"/>
      <c r="Z82" s="30" t="str">
        <f t="shared" si="5"/>
        <v/>
      </c>
      <c r="AA82" s="12"/>
      <c r="AB82" s="31"/>
      <c r="AC82" s="40"/>
      <c r="AD82" s="30" t="str">
        <f t="shared" si="6"/>
        <v/>
      </c>
      <c r="AE82" s="48" t="s">
        <v>406</v>
      </c>
      <c r="AF82" s="47" t="s">
        <v>406</v>
      </c>
      <c r="AG82" s="50" t="s">
        <v>83</v>
      </c>
      <c r="AH82" s="51">
        <v>15803.8</v>
      </c>
      <c r="AI82" s="52">
        <v>15452.35</v>
      </c>
      <c r="AJ82" s="51">
        <v>15533.59</v>
      </c>
      <c r="AK82" s="52">
        <v>15187.51</v>
      </c>
      <c r="AL82" s="55" t="str">
        <f t="shared" si="160"/>
        <v>核减</v>
      </c>
      <c r="AM82" s="55">
        <f t="shared" si="161"/>
        <v>351.449999999999</v>
      </c>
      <c r="AN82" s="55">
        <f t="shared" si="162"/>
        <v>346.08</v>
      </c>
      <c r="AO82" s="48"/>
      <c r="AP82" s="56"/>
      <c r="AQ82" s="48"/>
      <c r="AR82" s="56"/>
      <c r="AS82" s="40"/>
      <c r="AT82" s="40"/>
      <c r="AU82" s="51"/>
      <c r="AV82" s="52"/>
      <c r="AW82" s="51"/>
      <c r="AX82" s="52"/>
      <c r="AY82" s="40"/>
      <c r="AZ82" s="55"/>
      <c r="BA82" s="63"/>
      <c r="BB82" s="48"/>
      <c r="BC82" s="56"/>
      <c r="BD82" s="48"/>
      <c r="BE82" s="56"/>
      <c r="BF82" s="64"/>
      <c r="BG82" s="48"/>
      <c r="BH82" s="51"/>
      <c r="BI82" s="52"/>
      <c r="BJ82" s="51"/>
      <c r="BK82" s="52"/>
      <c r="BL82" s="40"/>
      <c r="BM82" s="55"/>
      <c r="BN82" s="63"/>
      <c r="BO82" s="48"/>
      <c r="BP82" s="56"/>
      <c r="BQ82" s="48"/>
      <c r="BR82" s="56"/>
      <c r="BS82" s="40"/>
      <c r="BT82" s="40"/>
      <c r="BU82" s="51"/>
      <c r="BV82" s="52"/>
      <c r="BW82" s="51"/>
      <c r="BX82" s="52"/>
      <c r="BY82" s="40"/>
      <c r="BZ82" s="55"/>
    </row>
    <row r="83" ht="13.5" customHeight="1" spans="1:78">
      <c r="A83" s="25" t="s">
        <v>467</v>
      </c>
      <c r="B83" s="5" t="s">
        <v>85</v>
      </c>
      <c r="C83" s="12"/>
      <c r="D83" s="7"/>
      <c r="E83" s="32" t="str">
        <f t="shared" si="118"/>
        <v/>
      </c>
      <c r="F83" s="30" t="str">
        <f t="shared" si="0"/>
        <v/>
      </c>
      <c r="G83" s="80"/>
      <c r="H83" s="81"/>
      <c r="I83" s="38" t="str">
        <f t="shared" ref="I83:I89" si="171">IF(G83&lt;&gt;0,IF(H83&lt;&gt;0,"0","1"),"")</f>
        <v/>
      </c>
      <c r="J83" s="30" t="str">
        <f t="shared" si="1"/>
        <v/>
      </c>
      <c r="K83" s="12"/>
      <c r="L83" s="31"/>
      <c r="M83" s="38" t="str">
        <f t="shared" ref="M83:M86" si="172">IF(K83&lt;&gt;0,IF(L83&lt;&gt;0,"0","1"),"")</f>
        <v/>
      </c>
      <c r="N83" s="30" t="str">
        <f t="shared" si="2"/>
        <v/>
      </c>
      <c r="O83" s="12"/>
      <c r="P83" s="31"/>
      <c r="Q83" s="38" t="str">
        <f t="shared" ref="Q83:Q89" si="173">IF(O83&lt;&gt;0,IF(P83&lt;&gt;0,"0","1"),"")</f>
        <v/>
      </c>
      <c r="R83" s="30" t="str">
        <f t="shared" si="3"/>
        <v/>
      </c>
      <c r="S83" s="12"/>
      <c r="T83" s="31"/>
      <c r="U83" s="38" t="str">
        <f t="shared" ref="U83:U90" si="174">IF(S83&lt;&gt;0,IF(T83&lt;&gt;0,"0","1"),"")</f>
        <v/>
      </c>
      <c r="V83" s="30" t="str">
        <f t="shared" si="4"/>
        <v/>
      </c>
      <c r="W83" s="12"/>
      <c r="X83" s="44"/>
      <c r="Y83" s="38" t="str">
        <f t="shared" ref="Y83:Y89" si="175">IF(W83&lt;&gt;0,IF(X83&lt;&gt;0,"0","1"),"")</f>
        <v/>
      </c>
      <c r="Z83" s="30" t="str">
        <f t="shared" si="5"/>
        <v/>
      </c>
      <c r="AA83" s="12"/>
      <c r="AB83" s="31"/>
      <c r="AC83" s="38" t="str">
        <f t="shared" ref="AC83:AC89" si="176">IF(AA83&lt;&gt;0,IF(AB83&lt;&gt;0,"0","1"),"")</f>
        <v/>
      </c>
      <c r="AD83" s="30" t="str">
        <f t="shared" si="6"/>
        <v/>
      </c>
      <c r="AE83" s="48" t="s">
        <v>87</v>
      </c>
      <c r="AF83" s="47" t="s">
        <v>91</v>
      </c>
      <c r="AG83" s="53" t="s">
        <v>87</v>
      </c>
      <c r="AH83" s="51"/>
      <c r="AI83" s="52"/>
      <c r="AJ83" s="51"/>
      <c r="AK83" s="52"/>
      <c r="AL83" s="55" t="str">
        <f t="shared" si="160"/>
        <v/>
      </c>
      <c r="AM83" s="55" t="str">
        <f t="shared" si="161"/>
        <v/>
      </c>
      <c r="AN83" s="55" t="str">
        <f t="shared" si="162"/>
        <v/>
      </c>
      <c r="AO83" s="51"/>
      <c r="AP83" s="52"/>
      <c r="AQ83" s="51"/>
      <c r="AR83" s="52"/>
      <c r="AS83" s="55" t="str">
        <f t="shared" ref="AS83:AS102" si="177">IF(AND(AR83&lt;&gt;"",AQ83&lt;&gt;""),IF(AR83&gt;AQ83,"核增",IF(AR83&lt;AQ83,"核减","不变")),"")</f>
        <v/>
      </c>
      <c r="AT83" s="55" t="str">
        <f t="shared" ref="AT83:AT102" si="178">IF(AND(AR83&lt;&gt;"",AQ83&lt;&gt;""),MAX(ABS(AR83),ABS(AQ83))-MIN(ABS(AR83),ABS(AQ83)),"")</f>
        <v/>
      </c>
      <c r="AU83" s="51"/>
      <c r="AV83" s="52"/>
      <c r="AW83" s="51"/>
      <c r="AX83" s="52"/>
      <c r="AY83" s="55" t="str">
        <f t="shared" ref="AY83:AY86" si="179">IF(AND(AX83&lt;&gt;"",AW83&lt;&gt;""),IF(AX83&gt;AW83,"核增",IF(AX83&lt;AW83,"核减","不变")),"")</f>
        <v/>
      </c>
      <c r="AZ83" s="55" t="str">
        <f t="shared" ref="AZ83:AZ86" si="180">IF(AND(AX83&lt;&gt;"",AW83&lt;&gt;""),MAX(ABS(AX83),ABS(AW83))-MIN(ABS(AX83),ABS(AW83)),"")</f>
        <v/>
      </c>
      <c r="BA83" s="63" t="str">
        <f t="shared" ref="BA83:BA86" si="181">IF(AND(AV83&lt;&gt;"",AI83&lt;&gt;""),IF(AV83&gt;AI83,"核增",IF(AV83&lt;AI83,"核减","不变")),"")&amp;TEXT(IF(AND(AV83&lt;&gt;"",AI83&lt;&gt;""),MAX(ABS(AV83),ABS(AI83))-MIN(ABS(AV83),ABS(AI83)),""),"0.00")</f>
        <v/>
      </c>
      <c r="BB83" s="51"/>
      <c r="BC83" s="52"/>
      <c r="BD83" s="51"/>
      <c r="BE83" s="52"/>
      <c r="BF83" s="64" t="str">
        <f t="shared" ref="BF83:BF102" si="182">IF(AND(BE83&lt;&gt;"",BD83&lt;&gt;""),IF(BE83&gt;BD83,"核增",IF(BE83&lt;BD83,"核减","不变")),"")</f>
        <v/>
      </c>
      <c r="BG83" s="52"/>
      <c r="BH83" s="51"/>
      <c r="BI83" s="52"/>
      <c r="BJ83" s="51"/>
      <c r="BK83" s="52"/>
      <c r="BL83" s="55" t="str">
        <f t="shared" ref="BL83:BL103" si="183">IF(AND(BK83&lt;&gt;"",BJ83&lt;&gt;""),IF(BK83&gt;BJ83,"核增",IF(BK83&lt;BJ83,"核减","不变")),"")</f>
        <v/>
      </c>
      <c r="BM83" s="55" t="str">
        <f t="shared" ref="BM83:BM103" si="184">IF(AND(BK83&lt;&gt;"",BJ83&lt;&gt;""),MAX(ABS(BK83),ABS(BJ83))-MIN(ABS(BK83),ABS(BJ83)),"")</f>
        <v/>
      </c>
      <c r="BN83" s="63" t="str">
        <f t="shared" ref="BN83:BN86" si="185">IF(AND(BI83&lt;&gt;"",AV83&lt;&gt;""),IF(BI83&gt;AV83,"核增",IF(BI83&lt;AV83,"核减","不变")),"")&amp;TEXT(IF(AND(BI83&lt;&gt;"",AV83&lt;&gt;""),MAX(ABS(BI83),ABS(AV83))-MIN(ABS(BI83),ABS(AV83)),""),"0.00")</f>
        <v/>
      </c>
      <c r="BO83" s="51"/>
      <c r="BP83" s="52"/>
      <c r="BQ83" s="51"/>
      <c r="BR83" s="52"/>
      <c r="BS83" s="55" t="str">
        <f t="shared" ref="BS83:BS102" si="186">IF(AND(BR83&lt;&gt;"",BQ83&lt;&gt;""),IF(BR83&gt;BQ83,"核增",IF(BR83&lt;BQ83,"核减","不变")),"")</f>
        <v/>
      </c>
      <c r="BT83" s="55" t="str">
        <f t="shared" ref="BT83:BT102" si="187">IF(AND(BR83&lt;&gt;"",BQ83&lt;&gt;""),MAX(ABS(BR83),ABS(BQ83))-MIN(ABS(BR83),ABS(BQ83)),"")</f>
        <v/>
      </c>
      <c r="BU83" s="51"/>
      <c r="BV83" s="52"/>
      <c r="BW83" s="51"/>
      <c r="BX83" s="52"/>
      <c r="BY83" s="55" t="str">
        <f t="shared" ref="BY83:BY85" si="188">IF(AND(BX83&lt;&gt;"",BW83&lt;&gt;""),IF(BX83&gt;BW83,"核增",IF(BX83&lt;BW83,"核减","不变")),"")</f>
        <v/>
      </c>
      <c r="BZ83" s="55" t="str">
        <f t="shared" ref="BZ83:BZ102" si="189">IF(AND(BX83&lt;&gt;"",BW83&lt;&gt;""),MAX(ABS(BX83),ABS(BW83))-MIN(ABS(BX83),ABS(BW83)),"")</f>
        <v/>
      </c>
    </row>
    <row r="84" ht="13.5" customHeight="1" spans="1:78">
      <c r="A84" s="18" t="s">
        <v>468</v>
      </c>
      <c r="B84" s="11" t="s">
        <v>85</v>
      </c>
      <c r="C84" s="12"/>
      <c r="D84" s="7"/>
      <c r="E84" s="32" t="str">
        <f t="shared" si="118"/>
        <v/>
      </c>
      <c r="F84" s="30" t="str">
        <f t="shared" si="0"/>
        <v/>
      </c>
      <c r="G84" s="12"/>
      <c r="H84" s="31"/>
      <c r="I84" s="38" t="str">
        <f t="shared" si="171"/>
        <v/>
      </c>
      <c r="J84" s="30" t="str">
        <f t="shared" si="1"/>
        <v/>
      </c>
      <c r="K84" s="12"/>
      <c r="L84" s="31"/>
      <c r="M84" s="38" t="str">
        <f t="shared" si="172"/>
        <v/>
      </c>
      <c r="N84" s="30" t="str">
        <f t="shared" si="2"/>
        <v/>
      </c>
      <c r="O84" s="12"/>
      <c r="P84" s="31"/>
      <c r="Q84" s="38" t="str">
        <f t="shared" si="173"/>
        <v/>
      </c>
      <c r="R84" s="30" t="str">
        <f t="shared" si="3"/>
        <v/>
      </c>
      <c r="S84" s="12"/>
      <c r="T84" s="31"/>
      <c r="U84" s="38" t="str">
        <f t="shared" si="174"/>
        <v/>
      </c>
      <c r="V84" s="30" t="str">
        <f t="shared" si="4"/>
        <v/>
      </c>
      <c r="W84" s="12"/>
      <c r="X84" s="44"/>
      <c r="Y84" s="38" t="str">
        <f t="shared" si="175"/>
        <v/>
      </c>
      <c r="Z84" s="30" t="str">
        <f t="shared" si="5"/>
        <v/>
      </c>
      <c r="AA84" s="12">
        <v>45295</v>
      </c>
      <c r="AB84" s="31">
        <v>45301</v>
      </c>
      <c r="AC84" s="38" t="str">
        <f t="shared" si="176"/>
        <v>0</v>
      </c>
      <c r="AD84" s="30">
        <f t="shared" si="6"/>
        <v>5</v>
      </c>
      <c r="AE84" s="48" t="s">
        <v>82</v>
      </c>
      <c r="AF84" s="47" t="s">
        <v>82</v>
      </c>
      <c r="AG84" s="53" t="s">
        <v>91</v>
      </c>
      <c r="AH84" s="51"/>
      <c r="AI84" s="52"/>
      <c r="AJ84" s="51"/>
      <c r="AK84" s="52"/>
      <c r="AL84" s="55" t="str">
        <f t="shared" si="160"/>
        <v/>
      </c>
      <c r="AM84" s="55" t="str">
        <f t="shared" si="161"/>
        <v/>
      </c>
      <c r="AN84" s="55" t="str">
        <f t="shared" si="162"/>
        <v/>
      </c>
      <c r="AO84" s="51"/>
      <c r="AP84" s="52"/>
      <c r="AQ84" s="51"/>
      <c r="AR84" s="52"/>
      <c r="AS84" s="55" t="str">
        <f t="shared" si="177"/>
        <v/>
      </c>
      <c r="AT84" s="55" t="str">
        <f t="shared" si="178"/>
        <v/>
      </c>
      <c r="AU84" s="51"/>
      <c r="AV84" s="52"/>
      <c r="AW84" s="51"/>
      <c r="AX84" s="52"/>
      <c r="AY84" s="55" t="str">
        <f t="shared" si="179"/>
        <v/>
      </c>
      <c r="AZ84" s="55" t="str">
        <f t="shared" si="180"/>
        <v/>
      </c>
      <c r="BA84" s="63" t="str">
        <f t="shared" si="181"/>
        <v/>
      </c>
      <c r="BB84" s="51"/>
      <c r="BC84" s="52"/>
      <c r="BD84" s="51"/>
      <c r="BE84" s="52"/>
      <c r="BF84" s="64" t="str">
        <f t="shared" si="182"/>
        <v/>
      </c>
      <c r="BG84" s="52"/>
      <c r="BH84" s="51"/>
      <c r="BI84" s="52"/>
      <c r="BJ84" s="51"/>
      <c r="BK84" s="52"/>
      <c r="BL84" s="55" t="str">
        <f t="shared" si="183"/>
        <v/>
      </c>
      <c r="BM84" s="55" t="str">
        <f t="shared" si="184"/>
        <v/>
      </c>
      <c r="BN84" s="63" t="str">
        <f t="shared" si="185"/>
        <v/>
      </c>
      <c r="BO84" s="51"/>
      <c r="BP84" s="52"/>
      <c r="BQ84" s="51"/>
      <c r="BR84" s="52"/>
      <c r="BS84" s="55" t="str">
        <f t="shared" si="186"/>
        <v/>
      </c>
      <c r="BT84" s="55" t="str">
        <f t="shared" si="187"/>
        <v/>
      </c>
      <c r="BU84" s="51">
        <v>488.7</v>
      </c>
      <c r="BV84" s="52">
        <v>303.02</v>
      </c>
      <c r="BW84" s="51">
        <v>488.7</v>
      </c>
      <c r="BX84" s="52">
        <v>303.02</v>
      </c>
      <c r="BY84" s="55" t="str">
        <f t="shared" si="188"/>
        <v>核减</v>
      </c>
      <c r="BZ84" s="55">
        <f t="shared" si="189"/>
        <v>185.68</v>
      </c>
    </row>
    <row r="85" ht="13.5" customHeight="1" spans="1:78">
      <c r="A85" s="18" t="s">
        <v>148</v>
      </c>
      <c r="B85" s="11" t="s">
        <v>93</v>
      </c>
      <c r="C85" s="12"/>
      <c r="D85" s="7"/>
      <c r="E85" s="32" t="str">
        <f t="shared" si="118"/>
        <v/>
      </c>
      <c r="F85" s="30" t="str">
        <f t="shared" si="0"/>
        <v/>
      </c>
      <c r="G85" s="12"/>
      <c r="H85" s="31"/>
      <c r="I85" s="38" t="str">
        <f t="shared" si="171"/>
        <v/>
      </c>
      <c r="J85" s="30" t="str">
        <f t="shared" si="1"/>
        <v/>
      </c>
      <c r="K85" s="12"/>
      <c r="L85" s="31"/>
      <c r="M85" s="38" t="str">
        <f t="shared" si="172"/>
        <v/>
      </c>
      <c r="N85" s="30" t="str">
        <f t="shared" si="2"/>
        <v/>
      </c>
      <c r="O85" s="12"/>
      <c r="P85" s="31"/>
      <c r="Q85" s="38" t="str">
        <f t="shared" si="173"/>
        <v/>
      </c>
      <c r="R85" s="30" t="str">
        <f t="shared" si="3"/>
        <v/>
      </c>
      <c r="S85" s="12"/>
      <c r="T85" s="31"/>
      <c r="U85" s="38" t="str">
        <f t="shared" si="174"/>
        <v/>
      </c>
      <c r="V85" s="30" t="str">
        <f t="shared" si="4"/>
        <v/>
      </c>
      <c r="W85" s="12"/>
      <c r="X85" s="44"/>
      <c r="Y85" s="38" t="str">
        <f t="shared" si="175"/>
        <v/>
      </c>
      <c r="Z85" s="30" t="str">
        <f t="shared" si="5"/>
        <v/>
      </c>
      <c r="AA85" s="12">
        <v>45295</v>
      </c>
      <c r="AB85" s="31">
        <v>45301</v>
      </c>
      <c r="AC85" s="38" t="str">
        <f t="shared" si="176"/>
        <v>0</v>
      </c>
      <c r="AD85" s="30">
        <f t="shared" si="6"/>
        <v>5</v>
      </c>
      <c r="AE85" s="48" t="s">
        <v>82</v>
      </c>
      <c r="AF85" s="47" t="s">
        <v>82</v>
      </c>
      <c r="AG85" s="53" t="s">
        <v>91</v>
      </c>
      <c r="AH85" s="51"/>
      <c r="AI85" s="52"/>
      <c r="AJ85" s="51"/>
      <c r="AK85" s="52"/>
      <c r="AL85" s="55" t="str">
        <f t="shared" si="160"/>
        <v/>
      </c>
      <c r="AM85" s="55" t="str">
        <f t="shared" si="161"/>
        <v/>
      </c>
      <c r="AN85" s="55" t="str">
        <f t="shared" si="162"/>
        <v/>
      </c>
      <c r="AO85" s="51"/>
      <c r="AP85" s="52"/>
      <c r="AQ85" s="51"/>
      <c r="AR85" s="52"/>
      <c r="AS85" s="55" t="str">
        <f t="shared" si="177"/>
        <v/>
      </c>
      <c r="AT85" s="55" t="str">
        <f t="shared" si="178"/>
        <v/>
      </c>
      <c r="AU85" s="51"/>
      <c r="AV85" s="52"/>
      <c r="AW85" s="51"/>
      <c r="AX85" s="52"/>
      <c r="AY85" s="55" t="str">
        <f t="shared" si="179"/>
        <v/>
      </c>
      <c r="AZ85" s="55" t="str">
        <f t="shared" si="180"/>
        <v/>
      </c>
      <c r="BA85" s="63" t="str">
        <f t="shared" si="181"/>
        <v/>
      </c>
      <c r="BB85" s="51"/>
      <c r="BC85" s="52"/>
      <c r="BD85" s="51"/>
      <c r="BE85" s="52"/>
      <c r="BF85" s="64" t="str">
        <f t="shared" si="182"/>
        <v/>
      </c>
      <c r="BG85" s="52"/>
      <c r="BH85" s="51"/>
      <c r="BI85" s="52"/>
      <c r="BJ85" s="51"/>
      <c r="BK85" s="52"/>
      <c r="BL85" s="55" t="str">
        <f t="shared" si="183"/>
        <v/>
      </c>
      <c r="BM85" s="55" t="str">
        <f t="shared" si="184"/>
        <v/>
      </c>
      <c r="BN85" s="63" t="str">
        <f t="shared" si="185"/>
        <v/>
      </c>
      <c r="BO85" s="51"/>
      <c r="BP85" s="52"/>
      <c r="BQ85" s="51"/>
      <c r="BR85" s="52"/>
      <c r="BS85" s="55" t="str">
        <f t="shared" si="186"/>
        <v/>
      </c>
      <c r="BT85" s="55" t="str">
        <f t="shared" si="187"/>
        <v/>
      </c>
      <c r="BU85" s="51">
        <v>263.31</v>
      </c>
      <c r="BV85" s="52">
        <v>298.54</v>
      </c>
      <c r="BW85" s="51">
        <v>263.31</v>
      </c>
      <c r="BX85" s="52">
        <v>298.54</v>
      </c>
      <c r="BY85" s="55" t="str">
        <f t="shared" si="188"/>
        <v>核增</v>
      </c>
      <c r="BZ85" s="55">
        <f t="shared" si="189"/>
        <v>35.23</v>
      </c>
    </row>
    <row r="86" ht="13.5" customHeight="1" spans="1:78">
      <c r="A86" s="21" t="s">
        <v>469</v>
      </c>
      <c r="B86" s="23" t="s">
        <v>85</v>
      </c>
      <c r="C86" s="12"/>
      <c r="D86" s="7"/>
      <c r="E86" s="32" t="str">
        <f t="shared" si="118"/>
        <v/>
      </c>
      <c r="F86" s="30" t="str">
        <f t="shared" si="0"/>
        <v/>
      </c>
      <c r="G86" s="12"/>
      <c r="H86" s="31"/>
      <c r="I86" s="38" t="str">
        <f t="shared" si="171"/>
        <v/>
      </c>
      <c r="J86" s="30" t="str">
        <f t="shared" si="1"/>
        <v/>
      </c>
      <c r="K86" s="12"/>
      <c r="L86" s="31"/>
      <c r="M86" s="38" t="str">
        <f t="shared" si="172"/>
        <v/>
      </c>
      <c r="N86" s="30" t="str">
        <f t="shared" si="2"/>
        <v/>
      </c>
      <c r="O86" s="12"/>
      <c r="P86" s="31"/>
      <c r="Q86" s="38" t="str">
        <f t="shared" si="173"/>
        <v/>
      </c>
      <c r="R86" s="30" t="str">
        <f t="shared" si="3"/>
        <v/>
      </c>
      <c r="S86" s="12"/>
      <c r="T86" s="31"/>
      <c r="U86" s="38" t="str">
        <f t="shared" si="174"/>
        <v/>
      </c>
      <c r="V86" s="30" t="str">
        <f t="shared" si="4"/>
        <v/>
      </c>
      <c r="W86" s="12"/>
      <c r="X86" s="44"/>
      <c r="Y86" s="38" t="str">
        <f t="shared" si="175"/>
        <v/>
      </c>
      <c r="Z86" s="30" t="str">
        <f t="shared" si="5"/>
        <v/>
      </c>
      <c r="AA86" s="12">
        <v>45295</v>
      </c>
      <c r="AB86" s="31">
        <v>45343</v>
      </c>
      <c r="AC86" s="38" t="str">
        <f t="shared" si="176"/>
        <v>0</v>
      </c>
      <c r="AD86" s="30">
        <f t="shared" si="6"/>
        <v>30</v>
      </c>
      <c r="AE86" s="48" t="s">
        <v>87</v>
      </c>
      <c r="AF86" s="47" t="s">
        <v>91</v>
      </c>
      <c r="AG86" s="53" t="s">
        <v>87</v>
      </c>
      <c r="AH86" s="51"/>
      <c r="AI86" s="52"/>
      <c r="AJ86" s="51"/>
      <c r="AK86" s="52"/>
      <c r="AL86" s="55" t="str">
        <f t="shared" si="160"/>
        <v/>
      </c>
      <c r="AM86" s="55" t="str">
        <f t="shared" si="161"/>
        <v/>
      </c>
      <c r="AN86" s="55" t="str">
        <f t="shared" si="162"/>
        <v/>
      </c>
      <c r="AO86" s="51"/>
      <c r="AP86" s="52"/>
      <c r="AQ86" s="51"/>
      <c r="AR86" s="52"/>
      <c r="AS86" s="55" t="str">
        <f t="shared" si="177"/>
        <v/>
      </c>
      <c r="AT86" s="55" t="str">
        <f t="shared" si="178"/>
        <v/>
      </c>
      <c r="AU86" s="51"/>
      <c r="AV86" s="52"/>
      <c r="AW86" s="51"/>
      <c r="AX86" s="52"/>
      <c r="AY86" s="55" t="str">
        <f t="shared" si="179"/>
        <v/>
      </c>
      <c r="AZ86" s="55" t="str">
        <f t="shared" si="180"/>
        <v/>
      </c>
      <c r="BA86" s="63" t="str">
        <f t="shared" si="181"/>
        <v/>
      </c>
      <c r="BB86" s="51"/>
      <c r="BC86" s="52"/>
      <c r="BD86" s="51"/>
      <c r="BE86" s="52"/>
      <c r="BF86" s="64" t="str">
        <f t="shared" si="182"/>
        <v/>
      </c>
      <c r="BG86" s="52"/>
      <c r="BH86" s="51"/>
      <c r="BI86" s="52"/>
      <c r="BJ86" s="51"/>
      <c r="BK86" s="52"/>
      <c r="BL86" s="55" t="str">
        <f t="shared" si="183"/>
        <v/>
      </c>
      <c r="BM86" s="55" t="str">
        <f t="shared" si="184"/>
        <v/>
      </c>
      <c r="BN86" s="63" t="str">
        <f t="shared" si="185"/>
        <v/>
      </c>
      <c r="BO86" s="51"/>
      <c r="BP86" s="52"/>
      <c r="BQ86" s="51"/>
      <c r="BR86" s="52"/>
      <c r="BS86" s="55" t="str">
        <f t="shared" si="186"/>
        <v/>
      </c>
      <c r="BT86" s="55" t="str">
        <f t="shared" si="187"/>
        <v/>
      </c>
      <c r="BU86" s="82">
        <f>ABS(-1608.08)</f>
        <v>1608.08</v>
      </c>
      <c r="BV86" s="83">
        <f>ABS(-1140.26)</f>
        <v>1140.26</v>
      </c>
      <c r="BW86" s="82">
        <f>ABS(-1608.08)</f>
        <v>1608.08</v>
      </c>
      <c r="BX86" s="83">
        <f>ABS(-1140.26)</f>
        <v>1140.26</v>
      </c>
      <c r="BY86" s="63" t="str">
        <f>IF(AND(BX86&lt;&gt;"",BW86&lt;&gt;""),IF((-BX86)&gt;(-BW86),"核增",IF((-BX86)&lt;(-BW86),"核减","不变")),"")</f>
        <v>核增</v>
      </c>
      <c r="BZ86" s="63">
        <f t="shared" si="189"/>
        <v>467.82</v>
      </c>
    </row>
    <row r="87" ht="13.5" customHeight="1" spans="1:78">
      <c r="A87" s="18" t="s">
        <v>470</v>
      </c>
      <c r="B87" s="11" t="s">
        <v>81</v>
      </c>
      <c r="C87" s="12"/>
      <c r="D87" s="7"/>
      <c r="E87" s="32" t="str">
        <f t="shared" si="118"/>
        <v/>
      </c>
      <c r="F87" s="30" t="str">
        <f t="shared" si="0"/>
        <v/>
      </c>
      <c r="G87" s="12">
        <v>45261</v>
      </c>
      <c r="H87" s="31">
        <v>45292</v>
      </c>
      <c r="I87" s="38" t="str">
        <f t="shared" si="171"/>
        <v>0</v>
      </c>
      <c r="J87" s="30">
        <f t="shared" si="1"/>
        <v>21</v>
      </c>
      <c r="K87" s="12"/>
      <c r="L87" s="31"/>
      <c r="M87" s="38"/>
      <c r="N87" s="30" t="str">
        <f t="shared" si="2"/>
        <v/>
      </c>
      <c r="O87" s="41">
        <v>45359</v>
      </c>
      <c r="P87" s="31">
        <v>45385</v>
      </c>
      <c r="Q87" s="38" t="str">
        <f t="shared" si="173"/>
        <v>0</v>
      </c>
      <c r="R87" s="30">
        <f t="shared" si="3"/>
        <v>19</v>
      </c>
      <c r="S87" s="12">
        <v>45454</v>
      </c>
      <c r="T87" s="31">
        <v>45469</v>
      </c>
      <c r="U87" s="38" t="str">
        <f t="shared" si="174"/>
        <v>0</v>
      </c>
      <c r="V87" s="30">
        <f t="shared" si="4"/>
        <v>12</v>
      </c>
      <c r="W87" s="12"/>
      <c r="X87" s="44"/>
      <c r="Y87" s="38" t="str">
        <f t="shared" si="175"/>
        <v/>
      </c>
      <c r="Z87" s="30" t="str">
        <f t="shared" si="5"/>
        <v/>
      </c>
      <c r="AA87" s="12"/>
      <c r="AB87" s="31"/>
      <c r="AC87" s="38" t="str">
        <f t="shared" si="176"/>
        <v/>
      </c>
      <c r="AD87" s="30" t="str">
        <f t="shared" si="6"/>
        <v/>
      </c>
      <c r="AE87" s="48" t="s">
        <v>406</v>
      </c>
      <c r="AF87" s="47" t="s">
        <v>406</v>
      </c>
      <c r="AG87" s="53" t="s">
        <v>97</v>
      </c>
      <c r="AH87" s="51"/>
      <c r="AI87" s="52">
        <v>11612.56</v>
      </c>
      <c r="AJ87" s="51"/>
      <c r="AK87" s="52"/>
      <c r="AL87" s="55" t="str">
        <f t="shared" si="160"/>
        <v/>
      </c>
      <c r="AM87" s="55" t="str">
        <f t="shared" si="161"/>
        <v/>
      </c>
      <c r="AN87" s="55" t="str">
        <f t="shared" si="162"/>
        <v/>
      </c>
      <c r="AO87" s="51">
        <v>9125.79</v>
      </c>
      <c r="AP87" s="52">
        <v>8778.46</v>
      </c>
      <c r="AQ87" s="51">
        <v>8969.15</v>
      </c>
      <c r="AR87" s="52">
        <v>8627.77</v>
      </c>
      <c r="AS87" s="55" t="str">
        <f t="shared" si="177"/>
        <v>核减</v>
      </c>
      <c r="AT87" s="55">
        <f t="shared" si="178"/>
        <v>341.379999999999</v>
      </c>
      <c r="AU87" s="51"/>
      <c r="AV87" s="52"/>
      <c r="AW87" s="51"/>
      <c r="AX87" s="52"/>
      <c r="AY87" s="55"/>
      <c r="AZ87" s="55"/>
      <c r="BA87" s="63"/>
      <c r="BB87" s="51">
        <v>8675.82</v>
      </c>
      <c r="BC87" s="52">
        <v>8535.43</v>
      </c>
      <c r="BD87" s="51">
        <v>8541.26</v>
      </c>
      <c r="BE87" s="52">
        <v>8403.05</v>
      </c>
      <c r="BF87" s="64" t="str">
        <f t="shared" si="182"/>
        <v>核减</v>
      </c>
      <c r="BG87" s="52">
        <f>IF(AND(BE87&lt;&gt;"",BD87&lt;&gt;""),MAX(ABS(BE87),ABS(BD87))-MIN(ABS(BE87),ABS(BD87)),"")</f>
        <v>138.210000000001</v>
      </c>
      <c r="BH87" s="51">
        <v>8212.08</v>
      </c>
      <c r="BI87" s="52">
        <v>8290.28</v>
      </c>
      <c r="BJ87" s="51">
        <v>8084.99</v>
      </c>
      <c r="BK87" s="52">
        <v>8162</v>
      </c>
      <c r="BL87" s="55" t="str">
        <f t="shared" si="183"/>
        <v>核增</v>
      </c>
      <c r="BM87" s="55">
        <f t="shared" si="184"/>
        <v>77.0100000000002</v>
      </c>
      <c r="BN87" s="63" t="str">
        <f>IF(AND(BI87&lt;&gt;"",BC87&lt;&gt;""),IF(BI87&gt;BC87,"核增",IF(BI87&lt;BC87,"核减","不变")),"")&amp;TEXT(IF(AND(BI87&lt;&gt;"",BC87&lt;&gt;""),MAX(ABS(BI87),ABS(BC87))-MIN(ABS(BI87),ABS(BC87)),""),"0.00")</f>
        <v>核减245.15</v>
      </c>
      <c r="BO87" s="51"/>
      <c r="BP87" s="52"/>
      <c r="BQ87" s="51"/>
      <c r="BR87" s="52"/>
      <c r="BS87" s="55" t="str">
        <f t="shared" si="186"/>
        <v/>
      </c>
      <c r="BT87" s="55" t="str">
        <f t="shared" si="187"/>
        <v/>
      </c>
      <c r="BU87" s="51"/>
      <c r="BV87" s="52"/>
      <c r="BW87" s="51"/>
      <c r="BX87" s="52"/>
      <c r="BY87" s="55" t="str">
        <f t="shared" ref="BY87:BY102" si="190">IF(AND(BX87&lt;&gt;"",BW87&lt;&gt;""),IF(BX87&gt;BW87,"核增",IF(BX87&lt;BW87,"核减","不变")),"")</f>
        <v/>
      </c>
      <c r="BZ87" s="55" t="str">
        <f t="shared" si="189"/>
        <v/>
      </c>
    </row>
    <row r="88" ht="13.5" customHeight="1" spans="1:78">
      <c r="A88" s="18" t="s">
        <v>471</v>
      </c>
      <c r="B88" s="11" t="s">
        <v>85</v>
      </c>
      <c r="C88" s="12"/>
      <c r="D88" s="7"/>
      <c r="E88" s="32" t="str">
        <f t="shared" si="118"/>
        <v/>
      </c>
      <c r="F88" s="30" t="str">
        <f t="shared" si="0"/>
        <v/>
      </c>
      <c r="G88" s="12"/>
      <c r="H88" s="31"/>
      <c r="I88" s="38" t="str">
        <f t="shared" si="171"/>
        <v/>
      </c>
      <c r="J88" s="30" t="str">
        <f t="shared" si="1"/>
        <v/>
      </c>
      <c r="K88" s="12"/>
      <c r="L88" s="31"/>
      <c r="M88" s="38" t="str">
        <f t="shared" ref="M88:M89" si="191">IF(K88&lt;&gt;0,IF(L88&lt;&gt;0,"0","1"),"")</f>
        <v/>
      </c>
      <c r="N88" s="30" t="str">
        <f t="shared" si="2"/>
        <v/>
      </c>
      <c r="O88" s="12"/>
      <c r="P88" s="31"/>
      <c r="Q88" s="38" t="str">
        <f t="shared" si="173"/>
        <v/>
      </c>
      <c r="R88" s="30" t="str">
        <f t="shared" si="3"/>
        <v/>
      </c>
      <c r="S88" s="12">
        <v>45261</v>
      </c>
      <c r="T88" s="31">
        <v>45292</v>
      </c>
      <c r="U88" s="38" t="str">
        <f t="shared" si="174"/>
        <v>0</v>
      </c>
      <c r="V88" s="30">
        <f t="shared" si="4"/>
        <v>21</v>
      </c>
      <c r="W88" s="12"/>
      <c r="X88" s="44"/>
      <c r="Y88" s="38" t="str">
        <f t="shared" si="175"/>
        <v/>
      </c>
      <c r="Z88" s="30" t="str">
        <f t="shared" si="5"/>
        <v/>
      </c>
      <c r="AA88" s="12"/>
      <c r="AB88" s="31"/>
      <c r="AC88" s="38" t="str">
        <f t="shared" si="176"/>
        <v/>
      </c>
      <c r="AD88" s="30" t="str">
        <f t="shared" si="6"/>
        <v/>
      </c>
      <c r="AE88" s="48" t="s">
        <v>82</v>
      </c>
      <c r="AF88" s="47" t="s">
        <v>82</v>
      </c>
      <c r="AG88" s="53" t="s">
        <v>87</v>
      </c>
      <c r="AH88" s="51"/>
      <c r="AI88" s="52">
        <v>3627.56</v>
      </c>
      <c r="AJ88" s="51"/>
      <c r="AK88" s="52">
        <v>3596.07</v>
      </c>
      <c r="AL88" s="55" t="str">
        <f t="shared" si="160"/>
        <v/>
      </c>
      <c r="AM88" s="55" t="str">
        <f t="shared" si="161"/>
        <v/>
      </c>
      <c r="AN88" s="55" t="str">
        <f t="shared" si="162"/>
        <v/>
      </c>
      <c r="AO88" s="51"/>
      <c r="AP88" s="52"/>
      <c r="AQ88" s="51"/>
      <c r="AR88" s="52"/>
      <c r="AS88" s="55" t="str">
        <f t="shared" si="177"/>
        <v/>
      </c>
      <c r="AT88" s="55" t="str">
        <f t="shared" si="178"/>
        <v/>
      </c>
      <c r="AU88" s="51"/>
      <c r="AV88" s="52">
        <v>3613.14</v>
      </c>
      <c r="AW88" s="51"/>
      <c r="AX88" s="52">
        <v>3584.88</v>
      </c>
      <c r="AY88" s="55" t="str">
        <f t="shared" ref="AY88:AY102" si="192">IF(AND(AX88&lt;&gt;"",AW88&lt;&gt;""),IF(AX88&gt;AW88,"核增",IF(AX88&lt;AW88,"核减","不变")),"")</f>
        <v/>
      </c>
      <c r="AZ88" s="55" t="str">
        <f t="shared" ref="AZ88:AZ102" si="193">IF(AND(AX88&lt;&gt;"",AW88&lt;&gt;""),MAX(ABS(AX88),ABS(AW88))-MIN(ABS(AX88),ABS(AW88)),"")</f>
        <v/>
      </c>
      <c r="BA88" s="63"/>
      <c r="BB88" s="51"/>
      <c r="BC88" s="52"/>
      <c r="BD88" s="51"/>
      <c r="BE88" s="52"/>
      <c r="BF88" s="64" t="str">
        <f t="shared" si="182"/>
        <v/>
      </c>
      <c r="BG88" s="52"/>
      <c r="BH88" s="51">
        <v>3428.87</v>
      </c>
      <c r="BI88" s="52">
        <v>3408.62</v>
      </c>
      <c r="BJ88" s="51">
        <v>3402.12</v>
      </c>
      <c r="BK88" s="52">
        <v>3382.04</v>
      </c>
      <c r="BL88" s="55" t="str">
        <f t="shared" si="183"/>
        <v>核减</v>
      </c>
      <c r="BM88" s="55">
        <f t="shared" si="184"/>
        <v>20.0799999999999</v>
      </c>
      <c r="BN88" s="63" t="str">
        <f>IF(AND(BI88&lt;&gt;"",AV88&lt;&gt;""),IF(BI88&gt;AV88,"核增",IF(BI88&lt;AV88,"核减","不变")),"")&amp;TEXT(IF(AND(BI88&lt;&gt;"",AV88&lt;&gt;""),MAX(ABS(BI88),ABS(AV88))-MIN(ABS(BI88),ABS(AV88)),""),"0.00")</f>
        <v>核减204.52</v>
      </c>
      <c r="BO88" s="51"/>
      <c r="BP88" s="52"/>
      <c r="BQ88" s="51"/>
      <c r="BR88" s="52"/>
      <c r="BS88" s="55" t="str">
        <f t="shared" si="186"/>
        <v/>
      </c>
      <c r="BT88" s="55" t="str">
        <f t="shared" si="187"/>
        <v/>
      </c>
      <c r="BU88" s="51"/>
      <c r="BV88" s="52"/>
      <c r="BW88" s="51"/>
      <c r="BX88" s="52"/>
      <c r="BY88" s="55" t="str">
        <f t="shared" si="190"/>
        <v/>
      </c>
      <c r="BZ88" s="55" t="str">
        <f t="shared" si="189"/>
        <v/>
      </c>
    </row>
    <row r="89" ht="13.5" customHeight="1" spans="1:78">
      <c r="A89" s="18" t="s">
        <v>472</v>
      </c>
      <c r="B89" s="11" t="s">
        <v>93</v>
      </c>
      <c r="C89" s="12"/>
      <c r="D89" s="7"/>
      <c r="E89" s="32" t="str">
        <f t="shared" si="118"/>
        <v/>
      </c>
      <c r="F89" s="30" t="str">
        <f t="shared" si="0"/>
        <v/>
      </c>
      <c r="G89" s="12"/>
      <c r="H89" s="31"/>
      <c r="I89" s="38" t="str">
        <f t="shared" si="171"/>
        <v/>
      </c>
      <c r="J89" s="30" t="str">
        <f t="shared" si="1"/>
        <v/>
      </c>
      <c r="K89" s="12"/>
      <c r="L89" s="31"/>
      <c r="M89" s="38" t="str">
        <f t="shared" si="191"/>
        <v/>
      </c>
      <c r="N89" s="30" t="str">
        <f t="shared" si="2"/>
        <v/>
      </c>
      <c r="O89" s="12"/>
      <c r="P89" s="31"/>
      <c r="Q89" s="38" t="str">
        <f t="shared" si="173"/>
        <v/>
      </c>
      <c r="R89" s="30" t="str">
        <f t="shared" si="3"/>
        <v/>
      </c>
      <c r="S89" s="12"/>
      <c r="T89" s="31"/>
      <c r="U89" s="38" t="str">
        <f t="shared" si="174"/>
        <v/>
      </c>
      <c r="V89" s="30" t="str">
        <f t="shared" si="4"/>
        <v/>
      </c>
      <c r="W89" s="12">
        <v>45282</v>
      </c>
      <c r="X89" s="44">
        <v>45295</v>
      </c>
      <c r="Y89" s="38" t="str">
        <f t="shared" si="175"/>
        <v>0</v>
      </c>
      <c r="Z89" s="30">
        <f t="shared" si="5"/>
        <v>8</v>
      </c>
      <c r="AA89" s="12"/>
      <c r="AB89" s="31"/>
      <c r="AC89" s="38" t="str">
        <f t="shared" si="176"/>
        <v/>
      </c>
      <c r="AD89" s="30" t="str">
        <f t="shared" si="6"/>
        <v/>
      </c>
      <c r="AE89" s="48" t="s">
        <v>87</v>
      </c>
      <c r="AF89" s="47" t="s">
        <v>91</v>
      </c>
      <c r="AG89" s="53" t="s">
        <v>87</v>
      </c>
      <c r="AH89" s="51"/>
      <c r="AI89" s="52"/>
      <c r="AJ89" s="51"/>
      <c r="AK89" s="52"/>
      <c r="AL89" s="55" t="str">
        <f t="shared" si="160"/>
        <v/>
      </c>
      <c r="AM89" s="55" t="str">
        <f t="shared" si="161"/>
        <v/>
      </c>
      <c r="AN89" s="55" t="str">
        <f t="shared" si="162"/>
        <v/>
      </c>
      <c r="AO89" s="51"/>
      <c r="AP89" s="52"/>
      <c r="AQ89" s="51"/>
      <c r="AR89" s="52"/>
      <c r="AS89" s="55" t="str">
        <f t="shared" si="177"/>
        <v/>
      </c>
      <c r="AT89" s="55" t="str">
        <f t="shared" si="178"/>
        <v/>
      </c>
      <c r="AU89" s="51"/>
      <c r="AV89" s="52"/>
      <c r="AW89" s="51"/>
      <c r="AX89" s="52"/>
      <c r="AY89" s="55" t="str">
        <f t="shared" si="192"/>
        <v/>
      </c>
      <c r="AZ89" s="55" t="str">
        <f t="shared" si="193"/>
        <v/>
      </c>
      <c r="BA89" s="63" t="str">
        <f t="shared" ref="BA89:BA91" si="194">IF(AND(AV89&lt;&gt;"",AI89&lt;&gt;""),IF(AV89&gt;AI89,"核增",IF(AV89&lt;AI89,"核减","不变")),"")&amp;TEXT(IF(AND(AV89&lt;&gt;"",AI89&lt;&gt;""),MAX(ABS(AV89),ABS(AI89))-MIN(ABS(AV89),ABS(AI89)),""),"0.00")</f>
        <v/>
      </c>
      <c r="BB89" s="51"/>
      <c r="BC89" s="52"/>
      <c r="BD89" s="51"/>
      <c r="BE89" s="52"/>
      <c r="BF89" s="64" t="str">
        <f t="shared" si="182"/>
        <v/>
      </c>
      <c r="BG89" s="52"/>
      <c r="BH89" s="51"/>
      <c r="BI89" s="52">
        <v>2633</v>
      </c>
      <c r="BJ89" s="51"/>
      <c r="BK89" s="52">
        <v>2584</v>
      </c>
      <c r="BL89" s="55" t="str">
        <f t="shared" si="183"/>
        <v/>
      </c>
      <c r="BM89" s="55" t="str">
        <f t="shared" si="184"/>
        <v/>
      </c>
      <c r="BN89" s="63"/>
      <c r="BO89" s="51">
        <v>3237</v>
      </c>
      <c r="BP89" s="52">
        <v>3324</v>
      </c>
      <c r="BQ89" s="51">
        <v>3177</v>
      </c>
      <c r="BR89" s="52">
        <v>3262</v>
      </c>
      <c r="BS89" s="55" t="str">
        <f t="shared" si="186"/>
        <v>核增</v>
      </c>
      <c r="BT89" s="55">
        <f t="shared" si="187"/>
        <v>85</v>
      </c>
      <c r="BU89" s="51"/>
      <c r="BV89" s="52"/>
      <c r="BW89" s="51"/>
      <c r="BX89" s="52"/>
      <c r="BY89" s="55" t="str">
        <f t="shared" si="190"/>
        <v/>
      </c>
      <c r="BZ89" s="55" t="str">
        <f t="shared" si="189"/>
        <v/>
      </c>
    </row>
    <row r="90" ht="13.5" customHeight="1" spans="1:78">
      <c r="A90" s="78" t="s">
        <v>473</v>
      </c>
      <c r="B90" s="5" t="s">
        <v>81</v>
      </c>
      <c r="C90" s="12"/>
      <c r="D90" s="7"/>
      <c r="E90" s="32"/>
      <c r="F90" s="30" t="str">
        <f t="shared" si="0"/>
        <v/>
      </c>
      <c r="G90" s="12"/>
      <c r="H90" s="31"/>
      <c r="I90" s="38"/>
      <c r="J90" s="30" t="str">
        <f t="shared" si="1"/>
        <v/>
      </c>
      <c r="K90" s="12"/>
      <c r="L90" s="31"/>
      <c r="M90" s="38"/>
      <c r="N90" s="30" t="str">
        <f t="shared" si="2"/>
        <v/>
      </c>
      <c r="O90" s="12"/>
      <c r="P90" s="31"/>
      <c r="Q90" s="38"/>
      <c r="R90" s="30" t="str">
        <f t="shared" si="3"/>
        <v/>
      </c>
      <c r="S90" s="12">
        <v>45321</v>
      </c>
      <c r="T90" s="31">
        <v>45427</v>
      </c>
      <c r="U90" s="38" t="str">
        <f t="shared" si="174"/>
        <v>0</v>
      </c>
      <c r="V90" s="30">
        <f t="shared" si="4"/>
        <v>67</v>
      </c>
      <c r="W90" s="12"/>
      <c r="X90" s="44"/>
      <c r="Y90" s="38"/>
      <c r="Z90" s="30" t="str">
        <f t="shared" si="5"/>
        <v/>
      </c>
      <c r="AA90" s="12"/>
      <c r="AB90" s="31"/>
      <c r="AC90" s="38"/>
      <c r="AD90" s="30" t="str">
        <f t="shared" si="6"/>
        <v/>
      </c>
      <c r="AE90" s="48" t="s">
        <v>406</v>
      </c>
      <c r="AF90" s="47" t="s">
        <v>406</v>
      </c>
      <c r="AG90" s="53" t="s">
        <v>97</v>
      </c>
      <c r="AH90" s="51"/>
      <c r="AI90" s="52"/>
      <c r="AJ90" s="51"/>
      <c r="AK90" s="52"/>
      <c r="AL90" s="55" t="str">
        <f t="shared" si="160"/>
        <v/>
      </c>
      <c r="AM90" s="55" t="str">
        <f t="shared" si="161"/>
        <v/>
      </c>
      <c r="AN90" s="55" t="str">
        <f t="shared" si="162"/>
        <v/>
      </c>
      <c r="AO90" s="51"/>
      <c r="AP90" s="52"/>
      <c r="AQ90" s="51"/>
      <c r="AR90" s="52"/>
      <c r="AS90" s="55" t="str">
        <f t="shared" si="177"/>
        <v/>
      </c>
      <c r="AT90" s="55" t="str">
        <f t="shared" si="178"/>
        <v/>
      </c>
      <c r="AU90" s="51"/>
      <c r="AV90" s="52">
        <v>9776.86</v>
      </c>
      <c r="AW90" s="51"/>
      <c r="AX90" s="52">
        <v>9625.56</v>
      </c>
      <c r="AY90" s="55" t="str">
        <f t="shared" si="192"/>
        <v/>
      </c>
      <c r="AZ90" s="55" t="str">
        <f t="shared" si="193"/>
        <v/>
      </c>
      <c r="BA90" s="63" t="str">
        <f t="shared" si="194"/>
        <v/>
      </c>
      <c r="BB90" s="51"/>
      <c r="BC90" s="52"/>
      <c r="BD90" s="51"/>
      <c r="BE90" s="52"/>
      <c r="BF90" s="64" t="str">
        <f t="shared" si="182"/>
        <v/>
      </c>
      <c r="BG90" s="52"/>
      <c r="BH90" s="51">
        <v>9391.36</v>
      </c>
      <c r="BI90" s="52">
        <v>9408.44</v>
      </c>
      <c r="BJ90" s="51">
        <v>9246.03</v>
      </c>
      <c r="BK90" s="52">
        <v>9262.84</v>
      </c>
      <c r="BL90" s="55" t="str">
        <f t="shared" si="183"/>
        <v>核增</v>
      </c>
      <c r="BM90" s="55">
        <f t="shared" si="184"/>
        <v>16.8099999999995</v>
      </c>
      <c r="BN90" s="63" t="str">
        <f t="shared" ref="BN90:BN103" si="195">IF(AND(BI90&lt;&gt;"",AV90&lt;&gt;""),IF(BI90&gt;AV90,"核增",IF(BI90&lt;AV90,"核减","不变")),"")&amp;TEXT(IF(AND(BI90&lt;&gt;"",AV90&lt;&gt;""),MAX(ABS(BI90),ABS(AV90))-MIN(ABS(BI90),ABS(AV90)),""),"0.00")</f>
        <v>核减368.42</v>
      </c>
      <c r="BO90" s="51"/>
      <c r="BP90" s="52"/>
      <c r="BQ90" s="51"/>
      <c r="BR90" s="52"/>
      <c r="BS90" s="55" t="str">
        <f t="shared" si="186"/>
        <v/>
      </c>
      <c r="BT90" s="55" t="str">
        <f t="shared" si="187"/>
        <v/>
      </c>
      <c r="BU90" s="51"/>
      <c r="BV90" s="52"/>
      <c r="BW90" s="51"/>
      <c r="BX90" s="52"/>
      <c r="BY90" s="55" t="str">
        <f t="shared" si="190"/>
        <v/>
      </c>
      <c r="BZ90" s="55" t="str">
        <f t="shared" si="189"/>
        <v/>
      </c>
    </row>
    <row r="91" ht="13.5" customHeight="1" spans="1:78">
      <c r="A91" s="18" t="s">
        <v>474</v>
      </c>
      <c r="B91" s="11" t="s">
        <v>93</v>
      </c>
      <c r="C91" s="12"/>
      <c r="D91" s="7"/>
      <c r="E91" s="32"/>
      <c r="F91" s="30" t="str">
        <f t="shared" si="0"/>
        <v/>
      </c>
      <c r="G91" s="12"/>
      <c r="H91" s="31"/>
      <c r="I91" s="38"/>
      <c r="J91" s="30" t="str">
        <f t="shared" si="1"/>
        <v/>
      </c>
      <c r="K91" s="12"/>
      <c r="L91" s="31"/>
      <c r="M91" s="38"/>
      <c r="N91" s="30" t="str">
        <f t="shared" si="2"/>
        <v/>
      </c>
      <c r="O91" s="12"/>
      <c r="P91" s="31"/>
      <c r="Q91" s="38"/>
      <c r="R91" s="30" t="str">
        <f t="shared" si="3"/>
        <v/>
      </c>
      <c r="S91" s="12"/>
      <c r="T91" s="31"/>
      <c r="U91" s="38"/>
      <c r="V91" s="30" t="str">
        <f t="shared" si="4"/>
        <v/>
      </c>
      <c r="W91" s="12">
        <v>45261</v>
      </c>
      <c r="X91" s="44">
        <v>45295</v>
      </c>
      <c r="Y91" s="38" t="str">
        <f>IF(W91&lt;&gt;0,IF(X91&lt;&gt;0,"0","1"),"")</f>
        <v>0</v>
      </c>
      <c r="Z91" s="30">
        <f t="shared" si="5"/>
        <v>23</v>
      </c>
      <c r="AA91" s="12"/>
      <c r="AB91" s="31"/>
      <c r="AC91" s="38"/>
      <c r="AD91" s="30" t="str">
        <f t="shared" si="6"/>
        <v/>
      </c>
      <c r="AE91" s="48" t="s">
        <v>87</v>
      </c>
      <c r="AF91" s="47" t="s">
        <v>91</v>
      </c>
      <c r="AG91" s="53" t="s">
        <v>87</v>
      </c>
      <c r="AH91" s="51"/>
      <c r="AI91" s="52"/>
      <c r="AJ91" s="51"/>
      <c r="AK91" s="52"/>
      <c r="AL91" s="55" t="str">
        <f t="shared" si="160"/>
        <v/>
      </c>
      <c r="AM91" s="55" t="str">
        <f t="shared" si="161"/>
        <v/>
      </c>
      <c r="AN91" s="55" t="str">
        <f t="shared" si="162"/>
        <v/>
      </c>
      <c r="AO91" s="51"/>
      <c r="AP91" s="52"/>
      <c r="AQ91" s="51"/>
      <c r="AR91" s="52"/>
      <c r="AS91" s="55" t="str">
        <f t="shared" si="177"/>
        <v/>
      </c>
      <c r="AT91" s="55" t="str">
        <f t="shared" si="178"/>
        <v/>
      </c>
      <c r="AU91" s="51"/>
      <c r="AV91" s="52"/>
      <c r="AW91" s="51"/>
      <c r="AX91" s="52"/>
      <c r="AY91" s="55" t="str">
        <f t="shared" si="192"/>
        <v/>
      </c>
      <c r="AZ91" s="55" t="str">
        <f t="shared" si="193"/>
        <v/>
      </c>
      <c r="BA91" s="63" t="str">
        <f t="shared" si="194"/>
        <v/>
      </c>
      <c r="BB91" s="51"/>
      <c r="BC91" s="52"/>
      <c r="BD91" s="51"/>
      <c r="BE91" s="52"/>
      <c r="BF91" s="64" t="str">
        <f t="shared" si="182"/>
        <v/>
      </c>
      <c r="BG91" s="52"/>
      <c r="BH91" s="51"/>
      <c r="BI91" s="52">
        <v>5404</v>
      </c>
      <c r="BJ91" s="51"/>
      <c r="BK91" s="52">
        <v>5319</v>
      </c>
      <c r="BL91" s="55" t="str">
        <f t="shared" si="183"/>
        <v/>
      </c>
      <c r="BM91" s="55" t="str">
        <f t="shared" si="184"/>
        <v/>
      </c>
      <c r="BN91" s="63" t="str">
        <f t="shared" si="195"/>
        <v/>
      </c>
      <c r="BO91" s="51">
        <v>6306</v>
      </c>
      <c r="BP91" s="52">
        <v>6081</v>
      </c>
      <c r="BQ91" s="51">
        <v>6242</v>
      </c>
      <c r="BR91" s="52">
        <v>5985</v>
      </c>
      <c r="BS91" s="55" t="str">
        <f t="shared" si="186"/>
        <v>核减</v>
      </c>
      <c r="BT91" s="55">
        <f t="shared" si="187"/>
        <v>257</v>
      </c>
      <c r="BU91" s="51"/>
      <c r="BV91" s="52"/>
      <c r="BW91" s="51"/>
      <c r="BX91" s="52"/>
      <c r="BY91" s="55" t="str">
        <f t="shared" si="190"/>
        <v/>
      </c>
      <c r="BZ91" s="55" t="str">
        <f t="shared" si="189"/>
        <v/>
      </c>
    </row>
    <row r="92" ht="13.5" customHeight="1" spans="1:78">
      <c r="A92" s="18" t="s">
        <v>475</v>
      </c>
      <c r="B92" s="11" t="s">
        <v>93</v>
      </c>
      <c r="C92" s="12"/>
      <c r="D92" s="7"/>
      <c r="E92" s="32"/>
      <c r="F92" s="30" t="str">
        <f t="shared" si="0"/>
        <v/>
      </c>
      <c r="G92" s="12"/>
      <c r="H92" s="31"/>
      <c r="I92" s="38"/>
      <c r="J92" s="30" t="str">
        <f t="shared" si="1"/>
        <v/>
      </c>
      <c r="K92" s="12"/>
      <c r="L92" s="31"/>
      <c r="M92" s="38"/>
      <c r="N92" s="30" t="str">
        <f t="shared" si="2"/>
        <v/>
      </c>
      <c r="O92" s="12"/>
      <c r="P92" s="31"/>
      <c r="Q92" s="38"/>
      <c r="R92" s="30" t="str">
        <f t="shared" si="3"/>
        <v/>
      </c>
      <c r="S92" s="12">
        <v>45231</v>
      </c>
      <c r="T92" s="31">
        <v>45292</v>
      </c>
      <c r="U92" s="38" t="str">
        <f t="shared" ref="U92:U93" si="196">IF(S92&lt;&gt;0,IF(T92&lt;&gt;0,"0","1"),"")</f>
        <v>0</v>
      </c>
      <c r="V92" s="30">
        <f t="shared" si="4"/>
        <v>43</v>
      </c>
      <c r="W92" s="12"/>
      <c r="X92" s="44"/>
      <c r="Y92" s="38"/>
      <c r="Z92" s="30" t="str">
        <f t="shared" si="5"/>
        <v/>
      </c>
      <c r="AA92" s="12"/>
      <c r="AB92" s="31"/>
      <c r="AC92" s="38"/>
      <c r="AD92" s="30" t="str">
        <f t="shared" si="6"/>
        <v/>
      </c>
      <c r="AE92" s="48" t="s">
        <v>97</v>
      </c>
      <c r="AF92" s="47" t="s">
        <v>91</v>
      </c>
      <c r="AG92" s="53" t="s">
        <v>97</v>
      </c>
      <c r="AH92" s="51"/>
      <c r="AI92" s="52">
        <v>24493.24</v>
      </c>
      <c r="AJ92" s="51"/>
      <c r="AK92" s="52">
        <v>24044.03</v>
      </c>
      <c r="AL92" s="55" t="str">
        <f t="shared" si="160"/>
        <v/>
      </c>
      <c r="AM92" s="55" t="str">
        <f t="shared" si="161"/>
        <v/>
      </c>
      <c r="AN92" s="55" t="str">
        <f t="shared" si="162"/>
        <v/>
      </c>
      <c r="AO92" s="51"/>
      <c r="AP92" s="52"/>
      <c r="AQ92" s="51"/>
      <c r="AR92" s="52"/>
      <c r="AS92" s="55" t="str">
        <f t="shared" si="177"/>
        <v/>
      </c>
      <c r="AT92" s="55" t="str">
        <f t="shared" si="178"/>
        <v/>
      </c>
      <c r="AU92" s="51"/>
      <c r="AV92" s="52">
        <v>22172.78</v>
      </c>
      <c r="AW92" s="51"/>
      <c r="AX92" s="52">
        <v>21805.63</v>
      </c>
      <c r="AY92" s="55" t="str">
        <f t="shared" si="192"/>
        <v/>
      </c>
      <c r="AZ92" s="55" t="str">
        <f t="shared" si="193"/>
        <v/>
      </c>
      <c r="BA92" s="63"/>
      <c r="BB92" s="51"/>
      <c r="BC92" s="52"/>
      <c r="BD92" s="51"/>
      <c r="BE92" s="52"/>
      <c r="BF92" s="64" t="str">
        <f t="shared" si="182"/>
        <v/>
      </c>
      <c r="BG92" s="52"/>
      <c r="BH92" s="51">
        <v>20877.68</v>
      </c>
      <c r="BI92" s="52">
        <v>20564.45</v>
      </c>
      <c r="BJ92" s="51">
        <v>20532.3</v>
      </c>
      <c r="BK92" s="52">
        <v>20224.34</v>
      </c>
      <c r="BL92" s="55" t="str">
        <f t="shared" si="183"/>
        <v>核减</v>
      </c>
      <c r="BM92" s="55">
        <f t="shared" si="184"/>
        <v>307.959999999999</v>
      </c>
      <c r="BN92" s="63" t="str">
        <f t="shared" si="195"/>
        <v>核减1608.33</v>
      </c>
      <c r="BO92" s="51"/>
      <c r="BP92" s="52"/>
      <c r="BQ92" s="51"/>
      <c r="BR92" s="52"/>
      <c r="BS92" s="55" t="str">
        <f t="shared" si="186"/>
        <v/>
      </c>
      <c r="BT92" s="55" t="str">
        <f t="shared" si="187"/>
        <v/>
      </c>
      <c r="BU92" s="51"/>
      <c r="BV92" s="52"/>
      <c r="BW92" s="51"/>
      <c r="BX92" s="52"/>
      <c r="BY92" s="55" t="str">
        <f t="shared" si="190"/>
        <v/>
      </c>
      <c r="BZ92" s="55" t="str">
        <f t="shared" si="189"/>
        <v/>
      </c>
    </row>
    <row r="93" ht="13.5" customHeight="1" spans="1:78">
      <c r="A93" s="26" t="s">
        <v>476</v>
      </c>
      <c r="B93" s="5" t="s">
        <v>96</v>
      </c>
      <c r="C93" s="12"/>
      <c r="D93" s="7"/>
      <c r="E93" s="32"/>
      <c r="F93" s="30" t="str">
        <f t="shared" si="0"/>
        <v/>
      </c>
      <c r="G93" s="12"/>
      <c r="H93" s="31"/>
      <c r="I93" s="38"/>
      <c r="J93" s="30" t="str">
        <f t="shared" si="1"/>
        <v/>
      </c>
      <c r="K93" s="12"/>
      <c r="L93" s="31"/>
      <c r="M93" s="38"/>
      <c r="N93" s="30" t="str">
        <f t="shared" si="2"/>
        <v/>
      </c>
      <c r="O93" s="12"/>
      <c r="P93" s="31"/>
      <c r="Q93" s="38"/>
      <c r="R93" s="30" t="str">
        <f t="shared" si="3"/>
        <v/>
      </c>
      <c r="S93" s="12">
        <v>45352</v>
      </c>
      <c r="T93" s="31">
        <v>45385</v>
      </c>
      <c r="U93" s="38" t="str">
        <f t="shared" si="196"/>
        <v>0</v>
      </c>
      <c r="V93" s="30">
        <f t="shared" si="4"/>
        <v>24</v>
      </c>
      <c r="W93" s="12"/>
      <c r="X93" s="44"/>
      <c r="Y93" s="38"/>
      <c r="Z93" s="30" t="str">
        <f t="shared" si="5"/>
        <v/>
      </c>
      <c r="AA93" s="12"/>
      <c r="AB93" s="31"/>
      <c r="AC93" s="38"/>
      <c r="AD93" s="30" t="str">
        <f t="shared" si="6"/>
        <v/>
      </c>
      <c r="AE93" s="48" t="s">
        <v>86</v>
      </c>
      <c r="AF93" s="47" t="s">
        <v>86</v>
      </c>
      <c r="AG93" s="53" t="s">
        <v>91</v>
      </c>
      <c r="AH93" s="51"/>
      <c r="AI93" s="52">
        <v>9263.45</v>
      </c>
      <c r="AJ93" s="51"/>
      <c r="AK93" s="52">
        <v>9104.31</v>
      </c>
      <c r="AL93" s="55" t="str">
        <f t="shared" si="160"/>
        <v/>
      </c>
      <c r="AM93" s="55" t="str">
        <f t="shared" si="161"/>
        <v/>
      </c>
      <c r="AN93" s="55" t="str">
        <f t="shared" si="162"/>
        <v/>
      </c>
      <c r="AO93" s="51"/>
      <c r="AP93" s="52"/>
      <c r="AQ93" s="51"/>
      <c r="AR93" s="52"/>
      <c r="AS93" s="55" t="str">
        <f t="shared" si="177"/>
        <v/>
      </c>
      <c r="AT93" s="55" t="str">
        <f t="shared" si="178"/>
        <v/>
      </c>
      <c r="AU93" s="60"/>
      <c r="AV93" s="61">
        <v>6678.35</v>
      </c>
      <c r="AW93" s="60"/>
      <c r="AX93" s="61">
        <v>6567.74</v>
      </c>
      <c r="AY93" s="55" t="str">
        <f t="shared" si="192"/>
        <v/>
      </c>
      <c r="AZ93" s="55" t="str">
        <f t="shared" si="193"/>
        <v/>
      </c>
      <c r="BA93" s="63"/>
      <c r="BB93" s="51"/>
      <c r="BC93" s="52"/>
      <c r="BD93" s="51"/>
      <c r="BE93" s="52"/>
      <c r="BF93" s="64" t="str">
        <f t="shared" si="182"/>
        <v/>
      </c>
      <c r="BG93" s="52"/>
      <c r="BH93" s="51">
        <v>6593.32</v>
      </c>
      <c r="BI93" s="52">
        <v>6516.87</v>
      </c>
      <c r="BJ93" s="51">
        <v>6484.12</v>
      </c>
      <c r="BK93" s="52">
        <v>6408.94</v>
      </c>
      <c r="BL93" s="55" t="str">
        <f t="shared" si="183"/>
        <v>核减</v>
      </c>
      <c r="BM93" s="55">
        <f t="shared" si="184"/>
        <v>75.1800000000003</v>
      </c>
      <c r="BN93" s="63" t="str">
        <f t="shared" si="195"/>
        <v>核减161.48</v>
      </c>
      <c r="BO93" s="51"/>
      <c r="BP93" s="52"/>
      <c r="BQ93" s="51"/>
      <c r="BR93" s="52"/>
      <c r="BS93" s="55" t="str">
        <f t="shared" si="186"/>
        <v/>
      </c>
      <c r="BT93" s="55" t="str">
        <f t="shared" si="187"/>
        <v/>
      </c>
      <c r="BU93" s="51"/>
      <c r="BV93" s="52"/>
      <c r="BW93" s="51"/>
      <c r="BX93" s="52"/>
      <c r="BY93" s="55" t="str">
        <f t="shared" si="190"/>
        <v/>
      </c>
      <c r="BZ93" s="55" t="str">
        <f t="shared" si="189"/>
        <v/>
      </c>
    </row>
    <row r="94" ht="13.5" customHeight="1" spans="1:78">
      <c r="A94" s="26" t="s">
        <v>265</v>
      </c>
      <c r="B94" s="5" t="s">
        <v>93</v>
      </c>
      <c r="C94" s="12">
        <v>45604</v>
      </c>
      <c r="D94" s="31">
        <v>45636</v>
      </c>
      <c r="E94" s="32" t="str">
        <f>IF(C94&lt;&gt;0,IF(D94&lt;&gt;0,"0","1"),"")</f>
        <v>0</v>
      </c>
      <c r="F94" s="30">
        <f t="shared" si="0"/>
        <v>23</v>
      </c>
      <c r="G94" s="12"/>
      <c r="H94" s="31"/>
      <c r="I94" s="38" t="str">
        <f>IF(G94&lt;&gt;0,IF(H94&lt;&gt;0,"0","1"),"")</f>
        <v/>
      </c>
      <c r="J94" s="30" t="str">
        <f t="shared" si="1"/>
        <v/>
      </c>
      <c r="K94" s="12"/>
      <c r="L94" s="31"/>
      <c r="M94" s="38"/>
      <c r="N94" s="30" t="str">
        <f t="shared" si="2"/>
        <v/>
      </c>
      <c r="O94" s="12"/>
      <c r="P94" s="31"/>
      <c r="Q94" s="38"/>
      <c r="R94" s="30" t="str">
        <f t="shared" si="3"/>
        <v/>
      </c>
      <c r="S94" s="12"/>
      <c r="T94" s="31"/>
      <c r="U94" s="38"/>
      <c r="V94" s="30" t="str">
        <f t="shared" si="4"/>
        <v/>
      </c>
      <c r="W94" s="12"/>
      <c r="X94" s="44"/>
      <c r="Y94" s="38"/>
      <c r="Z94" s="30" t="str">
        <f t="shared" si="5"/>
        <v/>
      </c>
      <c r="AA94" s="12">
        <v>45356</v>
      </c>
      <c r="AB94" s="31">
        <v>45419</v>
      </c>
      <c r="AC94" s="38" t="str">
        <f>IF(AA94&lt;&gt;0,IF(AB94&lt;&gt;0,"0","1"),"")</f>
        <v>0</v>
      </c>
      <c r="AD94" s="30">
        <f t="shared" si="6"/>
        <v>41</v>
      </c>
      <c r="AE94" s="48" t="s">
        <v>82</v>
      </c>
      <c r="AF94" s="47" t="s">
        <v>82</v>
      </c>
      <c r="AG94" s="50" t="s">
        <v>97</v>
      </c>
      <c r="AH94" s="51">
        <v>26893.32</v>
      </c>
      <c r="AI94" s="52">
        <v>27513.74</v>
      </c>
      <c r="AJ94" s="51">
        <v>26399.32</v>
      </c>
      <c r="AK94" s="52">
        <v>27008.35</v>
      </c>
      <c r="AL94" s="55" t="str">
        <f t="shared" si="160"/>
        <v>核增</v>
      </c>
      <c r="AM94" s="55">
        <f t="shared" si="161"/>
        <v>620.420000000002</v>
      </c>
      <c r="AN94" s="55">
        <f t="shared" si="162"/>
        <v>609.029999999999</v>
      </c>
      <c r="AO94" s="51"/>
      <c r="AP94" s="52"/>
      <c r="AQ94" s="51"/>
      <c r="AR94" s="52"/>
      <c r="AS94" s="55" t="str">
        <f t="shared" si="177"/>
        <v/>
      </c>
      <c r="AT94" s="55" t="str">
        <f t="shared" si="178"/>
        <v/>
      </c>
      <c r="AU94" s="51"/>
      <c r="AV94" s="52"/>
      <c r="AW94" s="51"/>
      <c r="AX94" s="52"/>
      <c r="AY94" s="55" t="str">
        <f t="shared" si="192"/>
        <v/>
      </c>
      <c r="AZ94" s="55" t="str">
        <f t="shared" si="193"/>
        <v/>
      </c>
      <c r="BA94" s="63" t="str">
        <f>IF(AND(AV94&lt;&gt;"",AI94&lt;&gt;""),IF(AV94&gt;AI94,"核增",IF(AV94&lt;AI94,"核减","不变")),"")&amp;TEXT(IF(AND(AV94&lt;&gt;"",AI94&lt;&gt;""),MAX(ABS(AV94),ABS(AI94))-MIN(ABS(AV94),ABS(AI94)),""),"0.00")</f>
        <v/>
      </c>
      <c r="BB94" s="51"/>
      <c r="BC94" s="52"/>
      <c r="BD94" s="51"/>
      <c r="BE94" s="52"/>
      <c r="BF94" s="64" t="str">
        <f t="shared" si="182"/>
        <v/>
      </c>
      <c r="BG94" s="52"/>
      <c r="BH94" s="51"/>
      <c r="BI94" s="52"/>
      <c r="BJ94" s="51"/>
      <c r="BK94" s="52"/>
      <c r="BL94" s="55" t="str">
        <f t="shared" si="183"/>
        <v/>
      </c>
      <c r="BM94" s="55" t="str">
        <f t="shared" si="184"/>
        <v/>
      </c>
      <c r="BN94" s="63" t="str">
        <f t="shared" si="195"/>
        <v/>
      </c>
      <c r="BO94" s="51"/>
      <c r="BP94" s="52"/>
      <c r="BQ94" s="51"/>
      <c r="BR94" s="52"/>
      <c r="BS94" s="55" t="str">
        <f t="shared" si="186"/>
        <v/>
      </c>
      <c r="BT94" s="55" t="str">
        <f t="shared" si="187"/>
        <v/>
      </c>
      <c r="BU94" s="51">
        <v>301.39</v>
      </c>
      <c r="BV94" s="52">
        <v>629.92</v>
      </c>
      <c r="BW94" s="51">
        <v>301.39</v>
      </c>
      <c r="BX94" s="52">
        <v>629.92</v>
      </c>
      <c r="BY94" s="55" t="str">
        <f t="shared" si="190"/>
        <v>核增</v>
      </c>
      <c r="BZ94" s="55">
        <f t="shared" si="189"/>
        <v>328.53</v>
      </c>
    </row>
    <row r="95" ht="13.5" customHeight="1" spans="1:78">
      <c r="A95" s="24" t="s">
        <v>477</v>
      </c>
      <c r="B95" s="79" t="s">
        <v>96</v>
      </c>
      <c r="C95" s="33"/>
      <c r="D95" s="7"/>
      <c r="E95" s="32"/>
      <c r="F95" s="30" t="str">
        <f t="shared" si="0"/>
        <v/>
      </c>
      <c r="G95" s="12"/>
      <c r="H95" s="31"/>
      <c r="I95" s="38"/>
      <c r="J95" s="30" t="str">
        <f t="shared" si="1"/>
        <v/>
      </c>
      <c r="K95" s="12"/>
      <c r="L95" s="31"/>
      <c r="M95" s="38"/>
      <c r="N95" s="30" t="str">
        <f t="shared" si="2"/>
        <v/>
      </c>
      <c r="O95" s="12"/>
      <c r="P95" s="31"/>
      <c r="Q95" s="38"/>
      <c r="R95" s="30" t="str">
        <f t="shared" si="3"/>
        <v/>
      </c>
      <c r="S95" s="12">
        <v>45352</v>
      </c>
      <c r="T95" s="31">
        <v>45352</v>
      </c>
      <c r="U95" s="38" t="str">
        <f>IF(S95&lt;&gt;0,IF(T95&lt;&gt;0,"0","1"),"")</f>
        <v>0</v>
      </c>
      <c r="V95" s="30">
        <f t="shared" si="4"/>
        <v>1</v>
      </c>
      <c r="W95" s="12"/>
      <c r="X95" s="44"/>
      <c r="Y95" s="38"/>
      <c r="Z95" s="30" t="str">
        <f t="shared" si="5"/>
        <v/>
      </c>
      <c r="AA95" s="12"/>
      <c r="AB95" s="31"/>
      <c r="AC95" s="38"/>
      <c r="AD95" s="30" t="str">
        <f t="shared" si="6"/>
        <v/>
      </c>
      <c r="AE95" s="48" t="s">
        <v>86</v>
      </c>
      <c r="AF95" s="47" t="s">
        <v>86</v>
      </c>
      <c r="AG95" s="53" t="s">
        <v>91</v>
      </c>
      <c r="AH95" s="51"/>
      <c r="AI95" s="52">
        <v>9263.45</v>
      </c>
      <c r="AJ95" s="51"/>
      <c r="AK95" s="52">
        <v>9104.31</v>
      </c>
      <c r="AL95" s="55" t="str">
        <f t="shared" si="160"/>
        <v/>
      </c>
      <c r="AM95" s="55" t="str">
        <f t="shared" si="161"/>
        <v/>
      </c>
      <c r="AN95" s="55" t="str">
        <f t="shared" si="162"/>
        <v/>
      </c>
      <c r="AO95" s="51"/>
      <c r="AP95" s="52"/>
      <c r="AQ95" s="51"/>
      <c r="AR95" s="52"/>
      <c r="AS95" s="55" t="str">
        <f t="shared" si="177"/>
        <v/>
      </c>
      <c r="AT95" s="55" t="str">
        <f t="shared" si="178"/>
        <v/>
      </c>
      <c r="AU95" s="51"/>
      <c r="AV95" s="52">
        <v>9233.49</v>
      </c>
      <c r="AW95" s="51"/>
      <c r="AX95" s="52">
        <v>9078.43</v>
      </c>
      <c r="AY95" s="55" t="str">
        <f t="shared" si="192"/>
        <v/>
      </c>
      <c r="AZ95" s="55" t="str">
        <f t="shared" si="193"/>
        <v/>
      </c>
      <c r="BA95" s="63"/>
      <c r="BB95" s="51"/>
      <c r="BC95" s="52"/>
      <c r="BD95" s="51"/>
      <c r="BE95" s="52"/>
      <c r="BF95" s="64" t="str">
        <f t="shared" si="182"/>
        <v/>
      </c>
      <c r="BG95" s="52"/>
      <c r="BH95" s="51">
        <v>8790.75</v>
      </c>
      <c r="BI95" s="52">
        <v>8650.33</v>
      </c>
      <c r="BJ95" s="51">
        <v>8643.13</v>
      </c>
      <c r="BK95" s="52">
        <v>8513.77</v>
      </c>
      <c r="BL95" s="55" t="str">
        <f t="shared" si="183"/>
        <v>核减</v>
      </c>
      <c r="BM95" s="55">
        <f t="shared" si="184"/>
        <v>129.359999999999</v>
      </c>
      <c r="BN95" s="63" t="str">
        <f t="shared" si="195"/>
        <v>核减583.16</v>
      </c>
      <c r="BO95" s="51"/>
      <c r="BP95" s="52"/>
      <c r="BQ95" s="51"/>
      <c r="BR95" s="52"/>
      <c r="BS95" s="55" t="str">
        <f t="shared" si="186"/>
        <v/>
      </c>
      <c r="BT95" s="55" t="str">
        <f t="shared" si="187"/>
        <v/>
      </c>
      <c r="BU95" s="51"/>
      <c r="BV95" s="52"/>
      <c r="BW95" s="51"/>
      <c r="BX95" s="52"/>
      <c r="BY95" s="55" t="str">
        <f t="shared" si="190"/>
        <v/>
      </c>
      <c r="BZ95" s="55" t="str">
        <f t="shared" si="189"/>
        <v/>
      </c>
    </row>
    <row r="96" ht="13.5" customHeight="1" spans="1:78">
      <c r="A96" s="24" t="s">
        <v>478</v>
      </c>
      <c r="B96" s="20" t="s">
        <v>93</v>
      </c>
      <c r="C96" s="12"/>
      <c r="D96" s="7"/>
      <c r="E96" s="32"/>
      <c r="F96" s="30" t="str">
        <f t="shared" si="0"/>
        <v/>
      </c>
      <c r="G96" s="12"/>
      <c r="H96" s="31"/>
      <c r="I96" s="38"/>
      <c r="J96" s="30" t="str">
        <f t="shared" si="1"/>
        <v/>
      </c>
      <c r="K96" s="12"/>
      <c r="L96" s="31"/>
      <c r="M96" s="38"/>
      <c r="N96" s="30" t="str">
        <f t="shared" si="2"/>
        <v/>
      </c>
      <c r="O96" s="12"/>
      <c r="P96" s="31"/>
      <c r="Q96" s="38"/>
      <c r="R96" s="30" t="str">
        <f t="shared" si="3"/>
        <v/>
      </c>
      <c r="S96" s="12"/>
      <c r="T96" s="31"/>
      <c r="U96" s="38"/>
      <c r="V96" s="30" t="str">
        <f t="shared" si="4"/>
        <v/>
      </c>
      <c r="W96" s="12"/>
      <c r="X96" s="44"/>
      <c r="Y96" s="38"/>
      <c r="Z96" s="30" t="str">
        <f t="shared" si="5"/>
        <v/>
      </c>
      <c r="AA96" s="12">
        <v>45350</v>
      </c>
      <c r="AB96" s="31">
        <v>45357</v>
      </c>
      <c r="AC96" s="38" t="str">
        <f t="shared" ref="AC96:AC97" si="197">IF(AA96&lt;&gt;0,IF(AB96&lt;&gt;0,"0","1"),"")</f>
        <v>0</v>
      </c>
      <c r="AD96" s="30">
        <f t="shared" si="6"/>
        <v>6</v>
      </c>
      <c r="AE96" s="48" t="s">
        <v>86</v>
      </c>
      <c r="AF96" s="47" t="s">
        <v>86</v>
      </c>
      <c r="AG96" s="53" t="s">
        <v>91</v>
      </c>
      <c r="AH96" s="51"/>
      <c r="AI96" s="52"/>
      <c r="AJ96" s="51"/>
      <c r="AK96" s="52"/>
      <c r="AL96" s="55" t="str">
        <f t="shared" si="160"/>
        <v/>
      </c>
      <c r="AM96" s="55" t="str">
        <f t="shared" si="161"/>
        <v/>
      </c>
      <c r="AN96" s="55" t="str">
        <f t="shared" si="162"/>
        <v/>
      </c>
      <c r="AO96" s="51"/>
      <c r="AP96" s="52"/>
      <c r="AQ96" s="51"/>
      <c r="AR96" s="52"/>
      <c r="AS96" s="55" t="str">
        <f t="shared" si="177"/>
        <v/>
      </c>
      <c r="AT96" s="55" t="str">
        <f t="shared" si="178"/>
        <v/>
      </c>
      <c r="AU96" s="51"/>
      <c r="AV96" s="52"/>
      <c r="AW96" s="51"/>
      <c r="AX96" s="52"/>
      <c r="AY96" s="55" t="str">
        <f t="shared" si="192"/>
        <v/>
      </c>
      <c r="AZ96" s="55" t="str">
        <f t="shared" si="193"/>
        <v/>
      </c>
      <c r="BA96" s="63" t="str">
        <f t="shared" ref="BA96:BA102" si="198">IF(AND(AV96&lt;&gt;"",AI96&lt;&gt;""),IF(AV96&gt;AI96,"核增",IF(AV96&lt;AI96,"核减","不变")),"")&amp;TEXT(IF(AND(AV96&lt;&gt;"",AI96&lt;&gt;""),MAX(ABS(AV96),ABS(AI96))-MIN(ABS(AV96),ABS(AI96)),""),"0.00")</f>
        <v/>
      </c>
      <c r="BB96" s="51"/>
      <c r="BC96" s="52"/>
      <c r="BD96" s="51"/>
      <c r="BE96" s="52"/>
      <c r="BF96" s="64" t="str">
        <f t="shared" si="182"/>
        <v/>
      </c>
      <c r="BG96" s="52"/>
      <c r="BH96" s="51"/>
      <c r="BI96" s="52"/>
      <c r="BJ96" s="51"/>
      <c r="BK96" s="52"/>
      <c r="BL96" s="55" t="str">
        <f t="shared" si="183"/>
        <v/>
      </c>
      <c r="BM96" s="55" t="str">
        <f t="shared" si="184"/>
        <v/>
      </c>
      <c r="BN96" s="63" t="str">
        <f t="shared" si="195"/>
        <v/>
      </c>
      <c r="BO96" s="51"/>
      <c r="BP96" s="52"/>
      <c r="BQ96" s="51"/>
      <c r="BR96" s="52"/>
      <c r="BS96" s="55" t="str">
        <f t="shared" si="186"/>
        <v/>
      </c>
      <c r="BT96" s="55" t="str">
        <f t="shared" si="187"/>
        <v/>
      </c>
      <c r="BU96" s="82">
        <v>410.82</v>
      </c>
      <c r="BV96" s="83">
        <v>356.92</v>
      </c>
      <c r="BW96" s="51">
        <v>410.82</v>
      </c>
      <c r="BX96" s="52">
        <v>356.92</v>
      </c>
      <c r="BY96" s="55" t="str">
        <f t="shared" si="190"/>
        <v>核减</v>
      </c>
      <c r="BZ96" s="55">
        <f t="shared" si="189"/>
        <v>53.9</v>
      </c>
    </row>
    <row r="97" ht="13.5" customHeight="1" spans="1:78">
      <c r="A97" s="24" t="s">
        <v>479</v>
      </c>
      <c r="B97" s="20" t="s">
        <v>93</v>
      </c>
      <c r="C97" s="12"/>
      <c r="D97" s="7"/>
      <c r="E97" s="32"/>
      <c r="F97" s="30" t="str">
        <f t="shared" si="0"/>
        <v/>
      </c>
      <c r="G97" s="12"/>
      <c r="H97" s="31"/>
      <c r="I97" s="38"/>
      <c r="J97" s="30" t="str">
        <f t="shared" si="1"/>
        <v/>
      </c>
      <c r="K97" s="12"/>
      <c r="L97" s="31"/>
      <c r="M97" s="38"/>
      <c r="N97" s="30" t="str">
        <f t="shared" si="2"/>
        <v/>
      </c>
      <c r="O97" s="12"/>
      <c r="P97" s="31"/>
      <c r="Q97" s="38"/>
      <c r="R97" s="30" t="str">
        <f t="shared" si="3"/>
        <v/>
      </c>
      <c r="S97" s="12"/>
      <c r="T97" s="31"/>
      <c r="U97" s="38"/>
      <c r="V97" s="30" t="str">
        <f t="shared" si="4"/>
        <v/>
      </c>
      <c r="W97" s="12"/>
      <c r="X97" s="44"/>
      <c r="Y97" s="38"/>
      <c r="Z97" s="30" t="str">
        <f t="shared" si="5"/>
        <v/>
      </c>
      <c r="AA97" s="12">
        <v>45348</v>
      </c>
      <c r="AB97" s="31">
        <v>45357</v>
      </c>
      <c r="AC97" s="38" t="str">
        <f t="shared" si="197"/>
        <v>0</v>
      </c>
      <c r="AD97" s="30">
        <f t="shared" si="6"/>
        <v>8</v>
      </c>
      <c r="AE97" s="48" t="s">
        <v>406</v>
      </c>
      <c r="AF97" s="47" t="s">
        <v>406</v>
      </c>
      <c r="AG97" s="53" t="s">
        <v>91</v>
      </c>
      <c r="AH97" s="51"/>
      <c r="AI97" s="52"/>
      <c r="AJ97" s="51"/>
      <c r="AK97" s="52"/>
      <c r="AL97" s="55" t="str">
        <f t="shared" si="160"/>
        <v/>
      </c>
      <c r="AM97" s="55" t="str">
        <f t="shared" si="161"/>
        <v/>
      </c>
      <c r="AN97" s="55" t="str">
        <f t="shared" si="162"/>
        <v/>
      </c>
      <c r="AO97" s="51"/>
      <c r="AP97" s="52"/>
      <c r="AQ97" s="51"/>
      <c r="AR97" s="52"/>
      <c r="AS97" s="55" t="str">
        <f t="shared" si="177"/>
        <v/>
      </c>
      <c r="AT97" s="55" t="str">
        <f t="shared" si="178"/>
        <v/>
      </c>
      <c r="AU97" s="51"/>
      <c r="AV97" s="52"/>
      <c r="AW97" s="51"/>
      <c r="AX97" s="52"/>
      <c r="AY97" s="55" t="str">
        <f t="shared" si="192"/>
        <v/>
      </c>
      <c r="AZ97" s="55" t="str">
        <f t="shared" si="193"/>
        <v/>
      </c>
      <c r="BA97" s="63" t="str">
        <f t="shared" si="198"/>
        <v/>
      </c>
      <c r="BB97" s="51"/>
      <c r="BC97" s="52"/>
      <c r="BD97" s="51"/>
      <c r="BE97" s="52"/>
      <c r="BF97" s="64" t="str">
        <f t="shared" si="182"/>
        <v/>
      </c>
      <c r="BG97" s="52"/>
      <c r="BH97" s="51"/>
      <c r="BI97" s="52"/>
      <c r="BJ97" s="51"/>
      <c r="BK97" s="52"/>
      <c r="BL97" s="55" t="str">
        <f t="shared" si="183"/>
        <v/>
      </c>
      <c r="BM97" s="55" t="str">
        <f t="shared" si="184"/>
        <v/>
      </c>
      <c r="BN97" s="63" t="str">
        <f t="shared" si="195"/>
        <v/>
      </c>
      <c r="BO97" s="51"/>
      <c r="BP97" s="52"/>
      <c r="BQ97" s="51"/>
      <c r="BR97" s="52"/>
      <c r="BS97" s="55" t="str">
        <f t="shared" si="186"/>
        <v/>
      </c>
      <c r="BT97" s="55" t="str">
        <f t="shared" si="187"/>
        <v/>
      </c>
      <c r="BU97" s="82">
        <v>1381.26</v>
      </c>
      <c r="BV97" s="83">
        <v>1164.67</v>
      </c>
      <c r="BW97" s="51">
        <v>1381.26</v>
      </c>
      <c r="BX97" s="52">
        <v>1164.67</v>
      </c>
      <c r="BY97" s="55" t="str">
        <f t="shared" si="190"/>
        <v>核减</v>
      </c>
      <c r="BZ97" s="55">
        <f t="shared" si="189"/>
        <v>216.59</v>
      </c>
    </row>
    <row r="98" ht="13.5" customHeight="1" spans="1:78">
      <c r="A98" s="25" t="s">
        <v>480</v>
      </c>
      <c r="B98" s="5" t="s">
        <v>85</v>
      </c>
      <c r="C98" s="12"/>
      <c r="D98" s="7"/>
      <c r="E98" s="32" t="str">
        <f t="shared" ref="E98:E103" si="199">IF(C98&lt;&gt;0,IF(D98&lt;&gt;0,"0","1"),"")</f>
        <v/>
      </c>
      <c r="F98" s="30" t="str">
        <f t="shared" si="0"/>
        <v/>
      </c>
      <c r="G98" s="12"/>
      <c r="H98" s="31"/>
      <c r="I98" s="38"/>
      <c r="J98" s="30" t="str">
        <f t="shared" si="1"/>
        <v/>
      </c>
      <c r="K98" s="12"/>
      <c r="L98" s="31"/>
      <c r="M98" s="38"/>
      <c r="N98" s="30" t="str">
        <f t="shared" si="2"/>
        <v/>
      </c>
      <c r="O98" s="12"/>
      <c r="P98" s="31"/>
      <c r="Q98" s="38"/>
      <c r="R98" s="30" t="str">
        <f t="shared" si="3"/>
        <v/>
      </c>
      <c r="S98" s="12">
        <v>45345</v>
      </c>
      <c r="T98" s="31">
        <v>45383</v>
      </c>
      <c r="U98" s="38" t="str">
        <f t="shared" ref="U98:U108" si="200">IF(S98&lt;&gt;0,IF(T98&lt;&gt;0,"0","1"),"")</f>
        <v>0</v>
      </c>
      <c r="V98" s="30">
        <f t="shared" si="4"/>
        <v>27</v>
      </c>
      <c r="W98" s="12"/>
      <c r="X98" s="44"/>
      <c r="Y98" s="38"/>
      <c r="Z98" s="30" t="str">
        <f t="shared" si="5"/>
        <v/>
      </c>
      <c r="AA98" s="12"/>
      <c r="AB98" s="31"/>
      <c r="AC98" s="38"/>
      <c r="AD98" s="30" t="str">
        <f t="shared" si="6"/>
        <v/>
      </c>
      <c r="AE98" s="48" t="s">
        <v>406</v>
      </c>
      <c r="AF98" s="47" t="s">
        <v>406</v>
      </c>
      <c r="AG98" s="53" t="s">
        <v>87</v>
      </c>
      <c r="AH98" s="51"/>
      <c r="AI98" s="52"/>
      <c r="AJ98" s="51"/>
      <c r="AK98" s="52"/>
      <c r="AL98" s="55" t="str">
        <f t="shared" si="160"/>
        <v/>
      </c>
      <c r="AM98" s="55" t="str">
        <f t="shared" si="161"/>
        <v/>
      </c>
      <c r="AN98" s="55" t="str">
        <f t="shared" si="162"/>
        <v/>
      </c>
      <c r="AO98" s="51"/>
      <c r="AP98" s="52"/>
      <c r="AQ98" s="51"/>
      <c r="AR98" s="52"/>
      <c r="AS98" s="55" t="str">
        <f t="shared" si="177"/>
        <v/>
      </c>
      <c r="AT98" s="55" t="str">
        <f t="shared" si="178"/>
        <v/>
      </c>
      <c r="AU98" s="51"/>
      <c r="AV98" s="52">
        <v>10000.12</v>
      </c>
      <c r="AW98" s="51"/>
      <c r="AX98" s="52">
        <v>9847.72</v>
      </c>
      <c r="AY98" s="55" t="str">
        <f t="shared" si="192"/>
        <v/>
      </c>
      <c r="AZ98" s="55" t="str">
        <f t="shared" si="193"/>
        <v/>
      </c>
      <c r="BA98" s="63" t="str">
        <f t="shared" si="198"/>
        <v/>
      </c>
      <c r="BB98" s="51"/>
      <c r="BC98" s="52"/>
      <c r="BD98" s="51"/>
      <c r="BE98" s="52"/>
      <c r="BF98" s="64" t="str">
        <f t="shared" si="182"/>
        <v/>
      </c>
      <c r="BG98" s="52"/>
      <c r="BH98" s="51">
        <v>10057.98</v>
      </c>
      <c r="BI98" s="52">
        <v>9917.55</v>
      </c>
      <c r="BJ98" s="51">
        <v>9904.71</v>
      </c>
      <c r="BK98" s="52">
        <v>9766.69</v>
      </c>
      <c r="BL98" s="55" t="str">
        <f t="shared" si="183"/>
        <v>核减</v>
      </c>
      <c r="BM98" s="55">
        <f t="shared" si="184"/>
        <v>138.019999999999</v>
      </c>
      <c r="BN98" s="63" t="str">
        <f t="shared" si="195"/>
        <v>核减82.57</v>
      </c>
      <c r="BO98" s="51"/>
      <c r="BP98" s="52"/>
      <c r="BQ98" s="51"/>
      <c r="BR98" s="52"/>
      <c r="BS98" s="55" t="str">
        <f t="shared" si="186"/>
        <v/>
      </c>
      <c r="BT98" s="55" t="str">
        <f t="shared" si="187"/>
        <v/>
      </c>
      <c r="BU98" s="51"/>
      <c r="BV98" s="52"/>
      <c r="BW98" s="51"/>
      <c r="BX98" s="52"/>
      <c r="BY98" s="55" t="str">
        <f t="shared" si="190"/>
        <v/>
      </c>
      <c r="BZ98" s="55" t="str">
        <f t="shared" si="189"/>
        <v/>
      </c>
    </row>
    <row r="99" ht="13.5" customHeight="1" spans="1:78">
      <c r="A99" s="24" t="s">
        <v>481</v>
      </c>
      <c r="B99" s="20" t="s">
        <v>85</v>
      </c>
      <c r="C99" s="12"/>
      <c r="D99" s="7"/>
      <c r="E99" s="32" t="str">
        <f t="shared" si="199"/>
        <v/>
      </c>
      <c r="F99" s="30" t="str">
        <f t="shared" si="0"/>
        <v/>
      </c>
      <c r="G99" s="12"/>
      <c r="H99" s="31"/>
      <c r="I99" s="38"/>
      <c r="J99" s="30" t="str">
        <f t="shared" si="1"/>
        <v/>
      </c>
      <c r="K99" s="12"/>
      <c r="L99" s="31"/>
      <c r="M99" s="38"/>
      <c r="N99" s="30" t="str">
        <f t="shared" si="2"/>
        <v/>
      </c>
      <c r="O99" s="12"/>
      <c r="P99" s="31"/>
      <c r="Q99" s="38"/>
      <c r="R99" s="30" t="str">
        <f t="shared" si="3"/>
        <v/>
      </c>
      <c r="S99" s="12">
        <v>45343</v>
      </c>
      <c r="T99" s="31">
        <v>45364</v>
      </c>
      <c r="U99" s="38" t="str">
        <f t="shared" si="200"/>
        <v>0</v>
      </c>
      <c r="V99" s="30">
        <f t="shared" si="4"/>
        <v>16</v>
      </c>
      <c r="W99" s="12"/>
      <c r="X99" s="44"/>
      <c r="Y99" s="38"/>
      <c r="Z99" s="30" t="str">
        <f t="shared" si="5"/>
        <v/>
      </c>
      <c r="AA99" s="12"/>
      <c r="AB99" s="31"/>
      <c r="AC99" s="38"/>
      <c r="AD99" s="30" t="str">
        <f t="shared" si="6"/>
        <v/>
      </c>
      <c r="AE99" s="46" t="s">
        <v>82</v>
      </c>
      <c r="AF99" s="49" t="s">
        <v>82</v>
      </c>
      <c r="AG99" s="53" t="s">
        <v>91</v>
      </c>
      <c r="AH99" s="51"/>
      <c r="AI99" s="52"/>
      <c r="AJ99" s="51"/>
      <c r="AK99" s="52"/>
      <c r="AL99" s="55" t="str">
        <f t="shared" si="160"/>
        <v/>
      </c>
      <c r="AM99" s="55" t="str">
        <f t="shared" si="161"/>
        <v/>
      </c>
      <c r="AN99" s="55" t="str">
        <f t="shared" si="162"/>
        <v/>
      </c>
      <c r="AO99" s="51"/>
      <c r="AP99" s="52"/>
      <c r="AQ99" s="51"/>
      <c r="AR99" s="52"/>
      <c r="AS99" s="55" t="str">
        <f t="shared" si="177"/>
        <v/>
      </c>
      <c r="AT99" s="55" t="str">
        <f t="shared" si="178"/>
        <v/>
      </c>
      <c r="AU99" s="51"/>
      <c r="AV99" s="52">
        <v>1740.49</v>
      </c>
      <c r="AW99" s="51"/>
      <c r="AX99" s="52">
        <v>1726.23</v>
      </c>
      <c r="AY99" s="55" t="str">
        <f t="shared" si="192"/>
        <v/>
      </c>
      <c r="AZ99" s="55" t="str">
        <f t="shared" si="193"/>
        <v/>
      </c>
      <c r="BA99" s="63" t="str">
        <f t="shared" si="198"/>
        <v/>
      </c>
      <c r="BB99" s="51"/>
      <c r="BC99" s="52"/>
      <c r="BD99" s="51"/>
      <c r="BE99" s="52"/>
      <c r="BF99" s="64" t="str">
        <f t="shared" si="182"/>
        <v/>
      </c>
      <c r="BG99" s="52"/>
      <c r="BH99" s="51">
        <v>1682.36</v>
      </c>
      <c r="BI99" s="52">
        <v>1655.27</v>
      </c>
      <c r="BJ99" s="51">
        <v>1668.57</v>
      </c>
      <c r="BK99" s="52">
        <v>1641.7</v>
      </c>
      <c r="BL99" s="55" t="str">
        <f t="shared" si="183"/>
        <v>核减</v>
      </c>
      <c r="BM99" s="55">
        <f t="shared" si="184"/>
        <v>26.8699999999999</v>
      </c>
      <c r="BN99" s="63" t="str">
        <f t="shared" si="195"/>
        <v>核减85.22</v>
      </c>
      <c r="BO99" s="51"/>
      <c r="BP99" s="52"/>
      <c r="BQ99" s="51"/>
      <c r="BR99" s="52"/>
      <c r="BS99" s="55" t="str">
        <f t="shared" si="186"/>
        <v/>
      </c>
      <c r="BT99" s="55" t="str">
        <f t="shared" si="187"/>
        <v/>
      </c>
      <c r="BU99" s="51"/>
      <c r="BV99" s="52"/>
      <c r="BW99" s="51"/>
      <c r="BX99" s="52"/>
      <c r="BY99" s="55" t="str">
        <f t="shared" si="190"/>
        <v/>
      </c>
      <c r="BZ99" s="55" t="str">
        <f t="shared" si="189"/>
        <v/>
      </c>
    </row>
    <row r="100" ht="13.5" customHeight="1" spans="1:78">
      <c r="A100" s="24" t="s">
        <v>152</v>
      </c>
      <c r="B100" s="20" t="s">
        <v>85</v>
      </c>
      <c r="C100" s="12"/>
      <c r="D100" s="7"/>
      <c r="E100" s="32" t="str">
        <f t="shared" si="199"/>
        <v/>
      </c>
      <c r="F100" s="30" t="str">
        <f t="shared" si="0"/>
        <v/>
      </c>
      <c r="G100" s="12"/>
      <c r="H100" s="31"/>
      <c r="I100" s="38"/>
      <c r="J100" s="30" t="str">
        <f t="shared" si="1"/>
        <v/>
      </c>
      <c r="K100" s="12"/>
      <c r="L100" s="31"/>
      <c r="M100" s="38"/>
      <c r="N100" s="30" t="str">
        <f t="shared" si="2"/>
        <v/>
      </c>
      <c r="O100" s="12"/>
      <c r="P100" s="31"/>
      <c r="Q100" s="38"/>
      <c r="R100" s="30" t="str">
        <f t="shared" si="3"/>
        <v/>
      </c>
      <c r="S100" s="12">
        <v>45357</v>
      </c>
      <c r="T100" s="31">
        <v>45377</v>
      </c>
      <c r="U100" s="38" t="str">
        <f t="shared" si="200"/>
        <v>0</v>
      </c>
      <c r="V100" s="30">
        <f t="shared" si="4"/>
        <v>15</v>
      </c>
      <c r="W100" s="12"/>
      <c r="X100" s="44"/>
      <c r="Y100" s="38"/>
      <c r="Z100" s="30" t="str">
        <f t="shared" si="5"/>
        <v/>
      </c>
      <c r="AA100" s="12"/>
      <c r="AB100" s="31"/>
      <c r="AC100" s="38"/>
      <c r="AD100" s="30" t="str">
        <f t="shared" si="6"/>
        <v/>
      </c>
      <c r="AE100" s="48" t="s">
        <v>406</v>
      </c>
      <c r="AF100" s="47" t="s">
        <v>406</v>
      </c>
      <c r="AG100" s="53" t="s">
        <v>97</v>
      </c>
      <c r="AH100" s="51"/>
      <c r="AI100" s="52"/>
      <c r="AJ100" s="51"/>
      <c r="AK100" s="52"/>
      <c r="AL100" s="55" t="str">
        <f t="shared" si="160"/>
        <v/>
      </c>
      <c r="AM100" s="55" t="str">
        <f t="shared" si="161"/>
        <v/>
      </c>
      <c r="AN100" s="55" t="str">
        <f t="shared" si="162"/>
        <v/>
      </c>
      <c r="AO100" s="51"/>
      <c r="AP100" s="52"/>
      <c r="AQ100" s="51"/>
      <c r="AR100" s="52"/>
      <c r="AS100" s="55" t="str">
        <f t="shared" si="177"/>
        <v/>
      </c>
      <c r="AT100" s="55" t="str">
        <f t="shared" si="178"/>
        <v/>
      </c>
      <c r="AU100" s="51"/>
      <c r="AV100" s="52">
        <v>30086.89</v>
      </c>
      <c r="AW100" s="51"/>
      <c r="AX100" s="52">
        <v>29594.15</v>
      </c>
      <c r="AY100" s="55" t="str">
        <f t="shared" si="192"/>
        <v/>
      </c>
      <c r="AZ100" s="55" t="str">
        <f t="shared" si="193"/>
        <v/>
      </c>
      <c r="BA100" s="63" t="str">
        <f t="shared" si="198"/>
        <v/>
      </c>
      <c r="BB100" s="51"/>
      <c r="BC100" s="52"/>
      <c r="BD100" s="51"/>
      <c r="BE100" s="52"/>
      <c r="BF100" s="64" t="str">
        <f t="shared" si="182"/>
        <v/>
      </c>
      <c r="BG100" s="52"/>
      <c r="BH100" s="51">
        <v>30025.89</v>
      </c>
      <c r="BI100" s="52">
        <v>29807.43</v>
      </c>
      <c r="BJ100" s="51">
        <v>29534.13</v>
      </c>
      <c r="BK100" s="52">
        <v>29319.26</v>
      </c>
      <c r="BL100" s="55" t="str">
        <f t="shared" si="183"/>
        <v>核减</v>
      </c>
      <c r="BM100" s="55">
        <f t="shared" si="184"/>
        <v>214.870000000003</v>
      </c>
      <c r="BN100" s="63" t="str">
        <f t="shared" si="195"/>
        <v>核减279.46</v>
      </c>
      <c r="BO100" s="51"/>
      <c r="BP100" s="52"/>
      <c r="BQ100" s="51"/>
      <c r="BR100" s="52"/>
      <c r="BS100" s="55" t="str">
        <f t="shared" si="186"/>
        <v/>
      </c>
      <c r="BT100" s="55" t="str">
        <f t="shared" si="187"/>
        <v/>
      </c>
      <c r="BU100" s="51"/>
      <c r="BV100" s="52"/>
      <c r="BW100" s="51"/>
      <c r="BX100" s="52"/>
      <c r="BY100" s="55" t="str">
        <f t="shared" si="190"/>
        <v/>
      </c>
      <c r="BZ100" s="55" t="str">
        <f t="shared" si="189"/>
        <v/>
      </c>
    </row>
    <row r="101" ht="13.5" customHeight="1" spans="1:78">
      <c r="A101" s="19" t="s">
        <v>482</v>
      </c>
      <c r="B101" s="20" t="s">
        <v>93</v>
      </c>
      <c r="C101" s="12"/>
      <c r="D101" s="7"/>
      <c r="E101" s="32" t="str">
        <f t="shared" si="199"/>
        <v/>
      </c>
      <c r="F101" s="30" t="str">
        <f t="shared" si="0"/>
        <v/>
      </c>
      <c r="G101" s="12"/>
      <c r="H101" s="31"/>
      <c r="I101" s="38"/>
      <c r="J101" s="30" t="str">
        <f t="shared" si="1"/>
        <v/>
      </c>
      <c r="K101" s="12"/>
      <c r="L101" s="31"/>
      <c r="M101" s="38"/>
      <c r="N101" s="30" t="str">
        <f t="shared" si="2"/>
        <v/>
      </c>
      <c r="O101" s="12"/>
      <c r="P101" s="31"/>
      <c r="Q101" s="38"/>
      <c r="R101" s="30" t="str">
        <f t="shared" si="3"/>
        <v/>
      </c>
      <c r="S101" s="12">
        <v>45358</v>
      </c>
      <c r="T101" s="31">
        <v>45380</v>
      </c>
      <c r="U101" s="38" t="str">
        <f t="shared" si="200"/>
        <v>0</v>
      </c>
      <c r="V101" s="30">
        <f t="shared" si="4"/>
        <v>17</v>
      </c>
      <c r="W101" s="12"/>
      <c r="X101" s="44"/>
      <c r="Y101" s="38"/>
      <c r="Z101" s="30" t="str">
        <f t="shared" si="5"/>
        <v/>
      </c>
      <c r="AA101" s="12"/>
      <c r="AB101" s="31"/>
      <c r="AC101" s="38"/>
      <c r="AD101" s="30" t="str">
        <f t="shared" si="6"/>
        <v/>
      </c>
      <c r="AE101" s="48" t="s">
        <v>406</v>
      </c>
      <c r="AF101" s="47" t="s">
        <v>406</v>
      </c>
      <c r="AG101" s="53" t="s">
        <v>91</v>
      </c>
      <c r="AH101" s="51"/>
      <c r="AI101" s="52"/>
      <c r="AJ101" s="51"/>
      <c r="AK101" s="52"/>
      <c r="AL101" s="55" t="str">
        <f t="shared" si="160"/>
        <v/>
      </c>
      <c r="AM101" s="55" t="str">
        <f t="shared" si="161"/>
        <v/>
      </c>
      <c r="AN101" s="55" t="str">
        <f t="shared" si="162"/>
        <v/>
      </c>
      <c r="AO101" s="51"/>
      <c r="AP101" s="52"/>
      <c r="AQ101" s="51"/>
      <c r="AR101" s="52"/>
      <c r="AS101" s="55" t="str">
        <f t="shared" si="177"/>
        <v/>
      </c>
      <c r="AT101" s="55" t="str">
        <f t="shared" si="178"/>
        <v/>
      </c>
      <c r="AU101" s="51"/>
      <c r="AV101" s="52">
        <v>5352.18</v>
      </c>
      <c r="AW101" s="51"/>
      <c r="AX101" s="52">
        <v>5269.35</v>
      </c>
      <c r="AY101" s="55" t="str">
        <f t="shared" si="192"/>
        <v/>
      </c>
      <c r="AZ101" s="55" t="str">
        <f t="shared" si="193"/>
        <v/>
      </c>
      <c r="BA101" s="63" t="str">
        <f t="shared" si="198"/>
        <v/>
      </c>
      <c r="BB101" s="51"/>
      <c r="BC101" s="52"/>
      <c r="BD101" s="51"/>
      <c r="BE101" s="52"/>
      <c r="BF101" s="64" t="str">
        <f t="shared" si="182"/>
        <v/>
      </c>
      <c r="BG101" s="52"/>
      <c r="BH101" s="51">
        <v>5737.19</v>
      </c>
      <c r="BI101" s="52">
        <v>5226.23</v>
      </c>
      <c r="BJ101" s="51">
        <v>5648.41</v>
      </c>
      <c r="BK101" s="52">
        <v>5145.35</v>
      </c>
      <c r="BL101" s="55" t="str">
        <f t="shared" si="183"/>
        <v>核减</v>
      </c>
      <c r="BM101" s="55">
        <f t="shared" si="184"/>
        <v>503.059999999999</v>
      </c>
      <c r="BN101" s="63" t="str">
        <f t="shared" si="195"/>
        <v>核减125.95</v>
      </c>
      <c r="BO101" s="51"/>
      <c r="BP101" s="52"/>
      <c r="BQ101" s="51"/>
      <c r="BR101" s="52"/>
      <c r="BS101" s="55" t="str">
        <f t="shared" si="186"/>
        <v/>
      </c>
      <c r="BT101" s="55" t="str">
        <f t="shared" si="187"/>
        <v/>
      </c>
      <c r="BU101" s="51"/>
      <c r="BV101" s="52"/>
      <c r="BW101" s="51"/>
      <c r="BX101" s="52"/>
      <c r="BY101" s="55" t="str">
        <f t="shared" si="190"/>
        <v/>
      </c>
      <c r="BZ101" s="55" t="str">
        <f t="shared" si="189"/>
        <v/>
      </c>
    </row>
    <row r="102" ht="13.5" customHeight="1" spans="1:78">
      <c r="A102" s="25" t="s">
        <v>483</v>
      </c>
      <c r="B102" s="5" t="s">
        <v>81</v>
      </c>
      <c r="C102" s="12"/>
      <c r="D102" s="7"/>
      <c r="E102" s="32" t="str">
        <f t="shared" si="199"/>
        <v/>
      </c>
      <c r="F102" s="30" t="str">
        <f t="shared" si="0"/>
        <v/>
      </c>
      <c r="G102" s="12"/>
      <c r="H102" s="31"/>
      <c r="I102" s="38"/>
      <c r="J102" s="30" t="str">
        <f t="shared" si="1"/>
        <v/>
      </c>
      <c r="K102" s="12"/>
      <c r="L102" s="31"/>
      <c r="M102" s="38"/>
      <c r="N102" s="30" t="str">
        <f t="shared" si="2"/>
        <v/>
      </c>
      <c r="O102" s="12"/>
      <c r="P102" s="31"/>
      <c r="Q102" s="38"/>
      <c r="R102" s="30" t="str">
        <f t="shared" si="3"/>
        <v/>
      </c>
      <c r="S102" s="12">
        <v>45362</v>
      </c>
      <c r="T102" s="31">
        <v>45389</v>
      </c>
      <c r="U102" s="38" t="str">
        <f t="shared" si="200"/>
        <v>0</v>
      </c>
      <c r="V102" s="30">
        <f t="shared" si="4"/>
        <v>18</v>
      </c>
      <c r="W102" s="12"/>
      <c r="X102" s="44"/>
      <c r="Y102" s="38"/>
      <c r="Z102" s="30" t="str">
        <f t="shared" si="5"/>
        <v/>
      </c>
      <c r="AA102" s="12"/>
      <c r="AB102" s="31"/>
      <c r="AC102" s="38"/>
      <c r="AD102" s="30" t="str">
        <f t="shared" si="6"/>
        <v/>
      </c>
      <c r="AE102" s="48" t="s">
        <v>406</v>
      </c>
      <c r="AF102" s="47" t="s">
        <v>406</v>
      </c>
      <c r="AG102" s="53" t="s">
        <v>87</v>
      </c>
      <c r="AH102" s="51"/>
      <c r="AI102" s="52"/>
      <c r="AJ102" s="51"/>
      <c r="AK102" s="52"/>
      <c r="AL102" s="55" t="str">
        <f t="shared" si="160"/>
        <v/>
      </c>
      <c r="AM102" s="55" t="str">
        <f t="shared" si="161"/>
        <v/>
      </c>
      <c r="AN102" s="55" t="str">
        <f t="shared" si="162"/>
        <v/>
      </c>
      <c r="AO102" s="51"/>
      <c r="AP102" s="52"/>
      <c r="AQ102" s="51"/>
      <c r="AR102" s="52"/>
      <c r="AS102" s="55" t="str">
        <f t="shared" si="177"/>
        <v/>
      </c>
      <c r="AT102" s="55" t="str">
        <f t="shared" si="178"/>
        <v/>
      </c>
      <c r="AU102" s="51"/>
      <c r="AV102" s="52">
        <v>3567.12</v>
      </c>
      <c r="AW102" s="51"/>
      <c r="AX102" s="52">
        <v>3509.8</v>
      </c>
      <c r="AY102" s="55" t="str">
        <f t="shared" si="192"/>
        <v/>
      </c>
      <c r="AZ102" s="55" t="str">
        <f t="shared" si="193"/>
        <v/>
      </c>
      <c r="BA102" s="63" t="str">
        <f t="shared" si="198"/>
        <v/>
      </c>
      <c r="BB102" s="51"/>
      <c r="BC102" s="52"/>
      <c r="BD102" s="51"/>
      <c r="BE102" s="52"/>
      <c r="BF102" s="64" t="str">
        <f t="shared" si="182"/>
        <v/>
      </c>
      <c r="BG102" s="52"/>
      <c r="BH102" s="51">
        <v>3129.59</v>
      </c>
      <c r="BI102" s="52">
        <v>3233.99</v>
      </c>
      <c r="BJ102" s="51">
        <v>3081.16</v>
      </c>
      <c r="BK102" s="52">
        <v>3183.94</v>
      </c>
      <c r="BL102" s="55" t="str">
        <f t="shared" si="183"/>
        <v>核增</v>
      </c>
      <c r="BM102" s="55">
        <f t="shared" si="184"/>
        <v>102.78</v>
      </c>
      <c r="BN102" s="63" t="str">
        <f t="shared" si="195"/>
        <v>核减333.13</v>
      </c>
      <c r="BO102" s="51"/>
      <c r="BP102" s="52"/>
      <c r="BQ102" s="51"/>
      <c r="BR102" s="52"/>
      <c r="BS102" s="55" t="str">
        <f t="shared" si="186"/>
        <v/>
      </c>
      <c r="BT102" s="55" t="str">
        <f t="shared" si="187"/>
        <v/>
      </c>
      <c r="BU102" s="51"/>
      <c r="BV102" s="52"/>
      <c r="BW102" s="51"/>
      <c r="BX102" s="52"/>
      <c r="BY102" s="55" t="str">
        <f t="shared" si="190"/>
        <v/>
      </c>
      <c r="BZ102" s="55" t="str">
        <f t="shared" si="189"/>
        <v/>
      </c>
    </row>
    <row r="103" ht="13.5" customHeight="1" spans="1:78">
      <c r="A103" s="25" t="s">
        <v>484</v>
      </c>
      <c r="B103" s="5" t="s">
        <v>93</v>
      </c>
      <c r="C103" s="6"/>
      <c r="D103" s="7"/>
      <c r="E103" s="32" t="str">
        <f t="shared" si="199"/>
        <v/>
      </c>
      <c r="F103" s="30" t="str">
        <f t="shared" si="0"/>
        <v/>
      </c>
      <c r="G103" s="12"/>
      <c r="H103" s="31"/>
      <c r="I103" s="38" t="str">
        <f t="shared" ref="I103:I108" si="201">IF(G103&lt;&gt;0,IF(H103&lt;&gt;0,"0","1"),"")</f>
        <v/>
      </c>
      <c r="J103" s="30" t="str">
        <f t="shared" si="1"/>
        <v/>
      </c>
      <c r="K103" s="12"/>
      <c r="L103" s="31"/>
      <c r="M103" s="40" t="str">
        <f t="shared" ref="M103:M108" si="202">IF(K103&lt;&gt;0,IF(L103&lt;&gt;0,"0","1"),"")</f>
        <v/>
      </c>
      <c r="N103" s="30" t="str">
        <f t="shared" si="2"/>
        <v/>
      </c>
      <c r="O103" s="12"/>
      <c r="P103" s="31"/>
      <c r="Q103" s="38"/>
      <c r="R103" s="30" t="str">
        <f t="shared" si="3"/>
        <v/>
      </c>
      <c r="S103" s="12">
        <v>45369</v>
      </c>
      <c r="T103" s="31">
        <v>45391</v>
      </c>
      <c r="U103" s="38" t="str">
        <f t="shared" si="200"/>
        <v>0</v>
      </c>
      <c r="V103" s="30">
        <f t="shared" si="4"/>
        <v>15</v>
      </c>
      <c r="W103" s="12"/>
      <c r="X103" s="44"/>
      <c r="Y103" s="38"/>
      <c r="Z103" s="30" t="str">
        <f t="shared" si="5"/>
        <v/>
      </c>
      <c r="AA103" s="12"/>
      <c r="AB103" s="31"/>
      <c r="AC103" s="40" t="str">
        <f t="shared" ref="AC103:AC109" si="203">IF(AA103&lt;&gt;0,IF(AB103&lt;&gt;0,"0","1"),"")</f>
        <v/>
      </c>
      <c r="AD103" s="30" t="str">
        <f t="shared" si="6"/>
        <v/>
      </c>
      <c r="AE103" s="48" t="s">
        <v>82</v>
      </c>
      <c r="AF103" s="47" t="s">
        <v>82</v>
      </c>
      <c r="AG103" s="53" t="s">
        <v>91</v>
      </c>
      <c r="AH103" s="51"/>
      <c r="AI103" s="52">
        <v>4499.88</v>
      </c>
      <c r="AJ103" s="51"/>
      <c r="AK103" s="52">
        <v>4422.62</v>
      </c>
      <c r="AL103" s="40"/>
      <c r="AM103" s="40"/>
      <c r="AN103" s="40"/>
      <c r="AO103" s="48"/>
      <c r="AP103" s="56"/>
      <c r="AQ103" s="48"/>
      <c r="AR103" s="56"/>
      <c r="AS103" s="40"/>
      <c r="AT103" s="40"/>
      <c r="AU103" s="51"/>
      <c r="AV103" s="52">
        <v>4349.51</v>
      </c>
      <c r="AW103" s="51"/>
      <c r="AX103" s="52">
        <v>4282.19</v>
      </c>
      <c r="AY103" s="40"/>
      <c r="AZ103" s="55"/>
      <c r="BA103" s="63"/>
      <c r="BB103" s="48"/>
      <c r="BC103" s="56"/>
      <c r="BD103" s="48"/>
      <c r="BE103" s="56"/>
      <c r="BF103" s="64"/>
      <c r="BG103" s="52"/>
      <c r="BH103" s="51">
        <v>4059.47</v>
      </c>
      <c r="BI103" s="52">
        <v>4064.32</v>
      </c>
      <c r="BJ103" s="51">
        <v>3996.65</v>
      </c>
      <c r="BK103" s="52">
        <v>4001.42</v>
      </c>
      <c r="BL103" s="55" t="str">
        <f t="shared" si="183"/>
        <v>核增</v>
      </c>
      <c r="BM103" s="55">
        <f t="shared" si="184"/>
        <v>4.76999999999998</v>
      </c>
      <c r="BN103" s="63" t="str">
        <f t="shared" si="195"/>
        <v>核减285.19</v>
      </c>
      <c r="BO103" s="48"/>
      <c r="BP103" s="56"/>
      <c r="BQ103" s="48"/>
      <c r="BR103" s="56"/>
      <c r="BS103" s="40"/>
      <c r="BT103" s="40"/>
      <c r="BU103" s="51"/>
      <c r="BV103" s="52"/>
      <c r="BW103" s="51"/>
      <c r="BX103" s="52"/>
      <c r="BY103" s="40"/>
      <c r="BZ103" s="55"/>
    </row>
    <row r="104" ht="13.5" customHeight="1" spans="1:78">
      <c r="A104" s="26" t="s">
        <v>159</v>
      </c>
      <c r="B104" s="86" t="s">
        <v>160</v>
      </c>
      <c r="C104" s="6"/>
      <c r="D104" s="7"/>
      <c r="E104" s="32"/>
      <c r="F104" s="30" t="str">
        <f t="shared" si="0"/>
        <v/>
      </c>
      <c r="G104" s="6">
        <v>45362</v>
      </c>
      <c r="H104" s="31">
        <v>45383</v>
      </c>
      <c r="I104" s="32" t="str">
        <f t="shared" si="201"/>
        <v>0</v>
      </c>
      <c r="J104" s="30">
        <f t="shared" si="1"/>
        <v>16</v>
      </c>
      <c r="K104" s="12"/>
      <c r="L104" s="31"/>
      <c r="M104" s="40" t="str">
        <f t="shared" si="202"/>
        <v/>
      </c>
      <c r="N104" s="30" t="str">
        <f t="shared" si="2"/>
        <v/>
      </c>
      <c r="O104" s="12"/>
      <c r="P104" s="31"/>
      <c r="Q104" s="38"/>
      <c r="R104" s="30" t="str">
        <f t="shared" si="3"/>
        <v/>
      </c>
      <c r="S104" s="12"/>
      <c r="T104" s="31"/>
      <c r="U104" s="38" t="str">
        <f t="shared" si="200"/>
        <v/>
      </c>
      <c r="V104" s="30" t="str">
        <f t="shared" si="4"/>
        <v/>
      </c>
      <c r="W104" s="12"/>
      <c r="X104" s="44"/>
      <c r="Y104" s="38"/>
      <c r="Z104" s="30" t="str">
        <f t="shared" si="5"/>
        <v/>
      </c>
      <c r="AA104" s="12"/>
      <c r="AB104" s="31"/>
      <c r="AC104" s="40" t="str">
        <f t="shared" si="203"/>
        <v/>
      </c>
      <c r="AD104" s="30" t="str">
        <f t="shared" si="6"/>
        <v/>
      </c>
      <c r="AE104" s="46" t="s">
        <v>83</v>
      </c>
      <c r="AF104" s="47" t="s">
        <v>91</v>
      </c>
      <c r="AG104" s="50" t="s">
        <v>83</v>
      </c>
      <c r="AH104" s="51"/>
      <c r="AI104" s="52"/>
      <c r="AJ104" s="51"/>
      <c r="AK104" s="52"/>
      <c r="AL104" s="55" t="str">
        <f>IF(AND(AK104&lt;&gt;"",AJ104&lt;&gt;""),IF(AK104&gt;AJ104,"核增",IF(AK104&lt;AJ104,"核减","不变")),"")</f>
        <v/>
      </c>
      <c r="AM104" s="55" t="str">
        <f>IF(AND(AI104&lt;&gt;"",AH104&lt;&gt;""),MAX(ABS(AI104),ABS(AH104))-MIN(ABS(AI104),ABS(AH104)),"")</f>
        <v/>
      </c>
      <c r="AN104" s="55" t="str">
        <f>IF(AND(AK104&lt;&gt;"",AJ104&lt;&gt;""),MAX(ABS(AK104),ABS(AJ104))-MIN(ABS(AK104),ABS(AJ104)),"")</f>
        <v/>
      </c>
      <c r="AO104" s="51">
        <v>6518.04</v>
      </c>
      <c r="AP104" s="52">
        <v>6370.32</v>
      </c>
      <c r="AQ104" s="51">
        <v>6385.05</v>
      </c>
      <c r="AR104" s="52">
        <v>6240.34</v>
      </c>
      <c r="AS104" s="55" t="str">
        <f t="shared" ref="AS104:AS106" si="204">IF(AND(AR104&lt;&gt;"",AQ104&lt;&gt;""),IF(AR104&gt;AQ104,"核增",IF(AR104&lt;AQ104,"核减","不变")),"")</f>
        <v>核减</v>
      </c>
      <c r="AT104" s="55">
        <f t="shared" ref="AT104:AT106" si="205">IF(AND(AR104&lt;&gt;"",AQ104&lt;&gt;""),MAX(ABS(AR104),ABS(AQ104))-MIN(ABS(AR104),ABS(AQ104)),"")</f>
        <v>144.71</v>
      </c>
      <c r="AU104" s="51"/>
      <c r="AV104" s="52"/>
      <c r="AW104" s="51"/>
      <c r="AX104" s="52"/>
      <c r="AY104" s="40"/>
      <c r="AZ104" s="55"/>
      <c r="BA104" s="63"/>
      <c r="BB104" s="48"/>
      <c r="BC104" s="56"/>
      <c r="BD104" s="48"/>
      <c r="BE104" s="56"/>
      <c r="BF104" s="64"/>
      <c r="BG104" s="52"/>
      <c r="BH104" s="51"/>
      <c r="BI104" s="52"/>
      <c r="BJ104" s="51"/>
      <c r="BK104" s="52"/>
      <c r="BL104" s="40"/>
      <c r="BM104" s="55"/>
      <c r="BN104" s="63"/>
      <c r="BO104" s="48"/>
      <c r="BP104" s="56"/>
      <c r="BQ104" s="48"/>
      <c r="BR104" s="56"/>
      <c r="BS104" s="40"/>
      <c r="BT104" s="40"/>
      <c r="BU104" s="51"/>
      <c r="BV104" s="52"/>
      <c r="BW104" s="51"/>
      <c r="BX104" s="52"/>
      <c r="BY104" s="40"/>
      <c r="BZ104" s="55"/>
    </row>
    <row r="105" ht="13.5" customHeight="1" spans="1:78">
      <c r="A105" s="25" t="s">
        <v>135</v>
      </c>
      <c r="B105" s="5" t="s">
        <v>93</v>
      </c>
      <c r="C105" s="6"/>
      <c r="D105" s="7"/>
      <c r="E105" s="32"/>
      <c r="F105" s="30" t="str">
        <f t="shared" si="0"/>
        <v/>
      </c>
      <c r="G105" s="12">
        <v>45530</v>
      </c>
      <c r="H105" s="31">
        <v>45579</v>
      </c>
      <c r="I105" s="38" t="str">
        <f t="shared" si="201"/>
        <v>0</v>
      </c>
      <c r="J105" s="30">
        <f t="shared" si="1"/>
        <v>29</v>
      </c>
      <c r="K105" s="12"/>
      <c r="L105" s="31"/>
      <c r="M105" s="40" t="str">
        <f t="shared" si="202"/>
        <v/>
      </c>
      <c r="N105" s="30" t="str">
        <f t="shared" si="2"/>
        <v/>
      </c>
      <c r="O105" s="12"/>
      <c r="P105" s="31"/>
      <c r="Q105" s="38"/>
      <c r="R105" s="30" t="str">
        <f t="shared" si="3"/>
        <v/>
      </c>
      <c r="S105" s="12"/>
      <c r="T105" s="31"/>
      <c r="U105" s="38" t="str">
        <f t="shared" si="200"/>
        <v/>
      </c>
      <c r="V105" s="30" t="str">
        <f t="shared" si="4"/>
        <v/>
      </c>
      <c r="W105" s="12"/>
      <c r="X105" s="44"/>
      <c r="Y105" s="38"/>
      <c r="Z105" s="30" t="str">
        <f t="shared" si="5"/>
        <v/>
      </c>
      <c r="AA105" s="12"/>
      <c r="AB105" s="31"/>
      <c r="AC105" s="40" t="str">
        <f t="shared" si="203"/>
        <v/>
      </c>
      <c r="AD105" s="30" t="str">
        <f t="shared" si="6"/>
        <v/>
      </c>
      <c r="AE105" s="48" t="s">
        <v>82</v>
      </c>
      <c r="AF105" s="47" t="s">
        <v>82</v>
      </c>
      <c r="AG105" s="50" t="s">
        <v>87</v>
      </c>
      <c r="AH105" s="51"/>
      <c r="AI105" s="52">
        <v>65912.83</v>
      </c>
      <c r="AJ105" s="51"/>
      <c r="AK105" s="52"/>
      <c r="AL105" s="40"/>
      <c r="AM105" s="40"/>
      <c r="AN105" s="40"/>
      <c r="AO105" s="48">
        <v>79093.65</v>
      </c>
      <c r="AP105" s="56">
        <v>80099.63</v>
      </c>
      <c r="AQ105" s="48">
        <v>77721.16</v>
      </c>
      <c r="AR105" s="56">
        <v>78704.85</v>
      </c>
      <c r="AS105" s="55" t="str">
        <f t="shared" si="204"/>
        <v>核增</v>
      </c>
      <c r="AT105" s="55">
        <f t="shared" si="205"/>
        <v>983.690000000002</v>
      </c>
      <c r="AU105" s="51"/>
      <c r="AV105" s="52"/>
      <c r="AW105" s="51"/>
      <c r="AX105" s="52"/>
      <c r="AY105" s="40"/>
      <c r="AZ105" s="55"/>
      <c r="BA105" s="63"/>
      <c r="BB105" s="48"/>
      <c r="BC105" s="56"/>
      <c r="BD105" s="48"/>
      <c r="BE105" s="56"/>
      <c r="BF105" s="64"/>
      <c r="BG105" s="52"/>
      <c r="BH105" s="51"/>
      <c r="BI105" s="52"/>
      <c r="BJ105" s="51"/>
      <c r="BK105" s="52"/>
      <c r="BL105" s="40"/>
      <c r="BM105" s="55"/>
      <c r="BN105" s="63"/>
      <c r="BO105" s="48"/>
      <c r="BP105" s="56"/>
      <c r="BQ105" s="48"/>
      <c r="BR105" s="56"/>
      <c r="BS105" s="40"/>
      <c r="BT105" s="40"/>
      <c r="BU105" s="51"/>
      <c r="BV105" s="52"/>
      <c r="BW105" s="51"/>
      <c r="BX105" s="52"/>
      <c r="BY105" s="40"/>
      <c r="BZ105" s="55"/>
    </row>
    <row r="106" ht="13.5" customHeight="1" spans="1:78">
      <c r="A106" s="26" t="s">
        <v>485</v>
      </c>
      <c r="B106" s="5" t="s">
        <v>85</v>
      </c>
      <c r="C106" s="6"/>
      <c r="D106" s="7"/>
      <c r="E106" s="32"/>
      <c r="F106" s="30" t="str">
        <f t="shared" si="0"/>
        <v/>
      </c>
      <c r="G106" s="12">
        <v>45389</v>
      </c>
      <c r="H106" s="35">
        <v>45423</v>
      </c>
      <c r="I106" s="38" t="str">
        <f t="shared" si="201"/>
        <v>0</v>
      </c>
      <c r="J106" s="30">
        <f t="shared" si="1"/>
        <v>22</v>
      </c>
      <c r="K106" s="12"/>
      <c r="L106" s="31"/>
      <c r="M106" s="40" t="str">
        <f t="shared" si="202"/>
        <v/>
      </c>
      <c r="N106" s="30" t="str">
        <f t="shared" si="2"/>
        <v/>
      </c>
      <c r="O106" s="12"/>
      <c r="P106" s="31"/>
      <c r="Q106" s="38"/>
      <c r="R106" s="30" t="str">
        <f t="shared" si="3"/>
        <v/>
      </c>
      <c r="S106" s="12"/>
      <c r="T106" s="31"/>
      <c r="U106" s="38" t="str">
        <f t="shared" si="200"/>
        <v/>
      </c>
      <c r="V106" s="30" t="str">
        <f t="shared" si="4"/>
        <v/>
      </c>
      <c r="W106" s="12"/>
      <c r="X106" s="44"/>
      <c r="Y106" s="38"/>
      <c r="Z106" s="30" t="str">
        <f t="shared" si="5"/>
        <v/>
      </c>
      <c r="AA106" s="12">
        <v>45373</v>
      </c>
      <c r="AB106" s="31">
        <v>45419</v>
      </c>
      <c r="AC106" s="40" t="str">
        <f t="shared" si="203"/>
        <v>0</v>
      </c>
      <c r="AD106" s="30">
        <f t="shared" si="6"/>
        <v>28</v>
      </c>
      <c r="AE106" s="48" t="s">
        <v>406</v>
      </c>
      <c r="AF106" s="47" t="s">
        <v>406</v>
      </c>
      <c r="AG106" s="53" t="s">
        <v>97</v>
      </c>
      <c r="AH106" s="51"/>
      <c r="AI106" s="52">
        <v>18677.75</v>
      </c>
      <c r="AJ106" s="51"/>
      <c r="AK106" s="52"/>
      <c r="AL106" s="40"/>
      <c r="AM106" s="40"/>
      <c r="AN106" s="40"/>
      <c r="AO106" s="48">
        <v>17924</v>
      </c>
      <c r="AP106" s="56">
        <v>17883.71</v>
      </c>
      <c r="AQ106" s="48">
        <v>17542.9</v>
      </c>
      <c r="AR106" s="56">
        <v>17503.38</v>
      </c>
      <c r="AS106" s="55" t="str">
        <f t="shared" si="204"/>
        <v>核减</v>
      </c>
      <c r="AT106" s="55">
        <f t="shared" si="205"/>
        <v>39.5200000000004</v>
      </c>
      <c r="AU106" s="51"/>
      <c r="AV106" s="52"/>
      <c r="AW106" s="51"/>
      <c r="AX106" s="52"/>
      <c r="AY106" s="40"/>
      <c r="AZ106" s="55"/>
      <c r="BA106" s="63"/>
      <c r="BB106" s="48"/>
      <c r="BC106" s="56"/>
      <c r="BD106" s="48"/>
      <c r="BE106" s="56"/>
      <c r="BF106" s="64"/>
      <c r="BG106" s="52"/>
      <c r="BH106" s="51"/>
      <c r="BI106" s="52"/>
      <c r="BJ106" s="51"/>
      <c r="BK106" s="52"/>
      <c r="BL106" s="40"/>
      <c r="BM106" s="55"/>
      <c r="BN106" s="63"/>
      <c r="BO106" s="48"/>
      <c r="BP106" s="56"/>
      <c r="BQ106" s="48"/>
      <c r="BR106" s="56"/>
      <c r="BS106" s="40"/>
      <c r="BT106" s="40"/>
      <c r="BU106" s="51">
        <f t="shared" ref="BU106:BX106" si="206">157.49</f>
        <v>157.49</v>
      </c>
      <c r="BV106" s="52">
        <f t="shared" si="206"/>
        <v>157.49</v>
      </c>
      <c r="BW106" s="51">
        <f t="shared" si="206"/>
        <v>157.49</v>
      </c>
      <c r="BX106" s="52">
        <f t="shared" si="206"/>
        <v>157.49</v>
      </c>
      <c r="BY106" s="55" t="str">
        <f>IF(AND(BX106&lt;&gt;"",BW106&lt;&gt;""),IF(BX106&gt;BW106,"核增",IF(BX106&lt;BW106,"核减","不变")),"")</f>
        <v>不变</v>
      </c>
      <c r="BZ106" s="55">
        <f>IF(AND(BX106&lt;&gt;"",BW106&lt;&gt;""),MAX(ABS(BX106),ABS(BW106))-MIN(ABS(BX106),ABS(BW106)),"")</f>
        <v>0</v>
      </c>
    </row>
    <row r="107" ht="13.5" customHeight="1" spans="1:78">
      <c r="A107" s="25" t="s">
        <v>172</v>
      </c>
      <c r="B107" s="5" t="s">
        <v>81</v>
      </c>
      <c r="C107" s="6"/>
      <c r="D107" s="7"/>
      <c r="E107" s="32"/>
      <c r="F107" s="30" t="str">
        <f t="shared" si="0"/>
        <v/>
      </c>
      <c r="G107" s="12"/>
      <c r="H107" s="31"/>
      <c r="I107" s="38" t="str">
        <f t="shared" si="201"/>
        <v/>
      </c>
      <c r="J107" s="30" t="str">
        <f t="shared" si="1"/>
        <v/>
      </c>
      <c r="K107" s="12"/>
      <c r="L107" s="31"/>
      <c r="M107" s="40" t="str">
        <f t="shared" si="202"/>
        <v/>
      </c>
      <c r="N107" s="30" t="str">
        <f t="shared" si="2"/>
        <v/>
      </c>
      <c r="O107" s="12"/>
      <c r="P107" s="31"/>
      <c r="Q107" s="38"/>
      <c r="R107" s="30" t="str">
        <f t="shared" si="3"/>
        <v/>
      </c>
      <c r="S107" s="12">
        <v>45377</v>
      </c>
      <c r="T107" s="31">
        <v>45425</v>
      </c>
      <c r="U107" s="38" t="str">
        <f t="shared" si="200"/>
        <v>0</v>
      </c>
      <c r="V107" s="30">
        <f t="shared" si="4"/>
        <v>30</v>
      </c>
      <c r="W107" s="12"/>
      <c r="X107" s="44"/>
      <c r="Y107" s="38"/>
      <c r="Z107" s="30" t="str">
        <f t="shared" si="5"/>
        <v/>
      </c>
      <c r="AA107" s="12"/>
      <c r="AB107" s="31"/>
      <c r="AC107" s="40" t="str">
        <f t="shared" si="203"/>
        <v/>
      </c>
      <c r="AD107" s="30" t="str">
        <f t="shared" si="6"/>
        <v/>
      </c>
      <c r="AE107" s="48" t="s">
        <v>82</v>
      </c>
      <c r="AF107" s="47" t="s">
        <v>82</v>
      </c>
      <c r="AG107" s="50" t="s">
        <v>87</v>
      </c>
      <c r="AH107" s="51"/>
      <c r="AI107" s="52">
        <v>24584.22</v>
      </c>
      <c r="AJ107" s="51"/>
      <c r="AK107" s="52">
        <v>24162.23</v>
      </c>
      <c r="AL107" s="40"/>
      <c r="AM107" s="40"/>
      <c r="AN107" s="40"/>
      <c r="AO107" s="48"/>
      <c r="AP107" s="56"/>
      <c r="AQ107" s="48"/>
      <c r="AR107" s="56"/>
      <c r="AS107" s="40"/>
      <c r="AT107" s="40"/>
      <c r="AU107" s="51"/>
      <c r="AV107" s="52">
        <v>22482.83</v>
      </c>
      <c r="AW107" s="51"/>
      <c r="AX107" s="52">
        <v>22134.9</v>
      </c>
      <c r="AY107" s="55" t="str">
        <f>IF(AND(AX107&lt;&gt;"",AW107&lt;&gt;""),IF(AX107&gt;AW107,"核增",IF(AX107&lt;AW107,"核减","不变")),"")</f>
        <v/>
      </c>
      <c r="AZ107" s="55" t="str">
        <f>IF(AND(AX107&lt;&gt;"",AW107&lt;&gt;""),MAX(ABS(AX107),ABS(AW107))-MIN(ABS(AX107),ABS(AW107)),"")</f>
        <v/>
      </c>
      <c r="BA107" s="63"/>
      <c r="BB107" s="48"/>
      <c r="BC107" s="56"/>
      <c r="BD107" s="48"/>
      <c r="BE107" s="56"/>
      <c r="BF107" s="64"/>
      <c r="BG107" s="52"/>
      <c r="BH107" s="51">
        <v>22867.28</v>
      </c>
      <c r="BI107" s="52">
        <v>23393.46</v>
      </c>
      <c r="BJ107" s="51">
        <v>22513.41</v>
      </c>
      <c r="BK107" s="52">
        <v>23031.45</v>
      </c>
      <c r="BL107" s="55" t="str">
        <f t="shared" ref="BL107:BL108" si="207">IF(AND(BK107&lt;&gt;"",BJ107&lt;&gt;""),IF(BK107&gt;BJ107,"核增",IF(BK107&lt;BJ107,"核减","不变")),"")</f>
        <v>核增</v>
      </c>
      <c r="BM107" s="55">
        <f t="shared" ref="BM107:BM108" si="208">IF(AND(BK107&lt;&gt;"",BJ107&lt;&gt;""),MAX(ABS(BK107),ABS(BJ107))-MIN(ABS(BK107),ABS(BJ107)),"")</f>
        <v>518.040000000001</v>
      </c>
      <c r="BN107" s="63" t="str">
        <f t="shared" ref="BN107:BN108" si="209">IF(AND(BI107&lt;&gt;"",AV107&lt;&gt;""),IF(BI107&gt;AV107,"核增",IF(BI107&lt;AV107,"核减","不变")),"")&amp;TEXT(IF(AND(BI107&lt;&gt;"",AV107&lt;&gt;""),MAX(ABS(BI107),ABS(AV107))-MIN(ABS(BI107),ABS(AV107)),""),"0.00")</f>
        <v>核增910.63</v>
      </c>
      <c r="BO107" s="48"/>
      <c r="BP107" s="56"/>
      <c r="BQ107" s="48"/>
      <c r="BR107" s="56"/>
      <c r="BS107" s="40"/>
      <c r="BT107" s="40"/>
      <c r="BU107" s="51"/>
      <c r="BV107" s="52"/>
      <c r="BW107" s="51"/>
      <c r="BX107" s="52"/>
      <c r="BY107" s="40"/>
      <c r="BZ107" s="55"/>
    </row>
    <row r="108" ht="13.5" customHeight="1" spans="1:78">
      <c r="A108" s="25" t="s">
        <v>486</v>
      </c>
      <c r="B108" s="5" t="s">
        <v>93</v>
      </c>
      <c r="C108" s="6"/>
      <c r="D108" s="7"/>
      <c r="E108" s="32"/>
      <c r="F108" s="30" t="str">
        <f t="shared" si="0"/>
        <v/>
      </c>
      <c r="G108" s="12"/>
      <c r="H108" s="31"/>
      <c r="I108" s="38" t="str">
        <f t="shared" si="201"/>
        <v/>
      </c>
      <c r="J108" s="30" t="str">
        <f t="shared" si="1"/>
        <v/>
      </c>
      <c r="K108" s="12"/>
      <c r="L108" s="31"/>
      <c r="M108" s="40" t="str">
        <f t="shared" si="202"/>
        <v/>
      </c>
      <c r="N108" s="30" t="str">
        <f t="shared" si="2"/>
        <v/>
      </c>
      <c r="O108" s="12"/>
      <c r="P108" s="31"/>
      <c r="Q108" s="38"/>
      <c r="R108" s="30" t="str">
        <f t="shared" si="3"/>
        <v/>
      </c>
      <c r="S108" s="12">
        <v>45373</v>
      </c>
      <c r="T108" s="44">
        <v>45404</v>
      </c>
      <c r="U108" s="38" t="str">
        <f t="shared" si="200"/>
        <v>0</v>
      </c>
      <c r="V108" s="30">
        <f t="shared" si="4"/>
        <v>20</v>
      </c>
      <c r="W108" s="12"/>
      <c r="X108" s="44"/>
      <c r="Y108" s="38"/>
      <c r="Z108" s="30" t="str">
        <f t="shared" si="5"/>
        <v/>
      </c>
      <c r="AA108" s="12"/>
      <c r="AB108" s="31"/>
      <c r="AC108" s="40" t="str">
        <f t="shared" si="203"/>
        <v/>
      </c>
      <c r="AD108" s="30" t="str">
        <f t="shared" si="6"/>
        <v/>
      </c>
      <c r="AE108" s="48" t="s">
        <v>87</v>
      </c>
      <c r="AF108" s="47" t="s">
        <v>91</v>
      </c>
      <c r="AG108" s="50" t="s">
        <v>87</v>
      </c>
      <c r="AH108" s="51"/>
      <c r="AI108" s="52"/>
      <c r="AJ108" s="51"/>
      <c r="AK108" s="52"/>
      <c r="AL108" s="40"/>
      <c r="AM108" s="40"/>
      <c r="AN108" s="40"/>
      <c r="AO108" s="48"/>
      <c r="AP108" s="56"/>
      <c r="AQ108" s="48"/>
      <c r="AR108" s="56"/>
      <c r="AS108" s="40"/>
      <c r="AT108" s="40"/>
      <c r="AU108" s="51"/>
      <c r="AV108" s="52">
        <v>50520.06</v>
      </c>
      <c r="AW108" s="51"/>
      <c r="AX108" s="52">
        <v>49652.74</v>
      </c>
      <c r="AY108" s="40"/>
      <c r="AZ108" s="55"/>
      <c r="BA108" s="63"/>
      <c r="BB108" s="48"/>
      <c r="BC108" s="56"/>
      <c r="BD108" s="48"/>
      <c r="BE108" s="56"/>
      <c r="BF108" s="64"/>
      <c r="BG108" s="52"/>
      <c r="BH108" s="51">
        <v>47068.28</v>
      </c>
      <c r="BI108" s="52">
        <v>45522.01</v>
      </c>
      <c r="BJ108" s="51">
        <v>46260.22</v>
      </c>
      <c r="BK108" s="52">
        <v>44740.49</v>
      </c>
      <c r="BL108" s="55" t="str">
        <f t="shared" si="207"/>
        <v>核减</v>
      </c>
      <c r="BM108" s="55">
        <f t="shared" si="208"/>
        <v>1519.73</v>
      </c>
      <c r="BN108" s="63" t="str">
        <f t="shared" si="209"/>
        <v>核减4998.05</v>
      </c>
      <c r="BO108" s="48"/>
      <c r="BP108" s="56"/>
      <c r="BQ108" s="48"/>
      <c r="BR108" s="56"/>
      <c r="BS108" s="40"/>
      <c r="BT108" s="40"/>
      <c r="BU108" s="51"/>
      <c r="BV108" s="52"/>
      <c r="BW108" s="51"/>
      <c r="BX108" s="52"/>
      <c r="BY108" s="40"/>
      <c r="BZ108" s="55"/>
    </row>
    <row r="109" ht="13.5" customHeight="1" spans="1:78">
      <c r="A109" s="25" t="s">
        <v>487</v>
      </c>
      <c r="B109" s="5" t="s">
        <v>93</v>
      </c>
      <c r="C109" s="6"/>
      <c r="D109" s="7"/>
      <c r="E109" s="29"/>
      <c r="F109" s="30" t="str">
        <f t="shared" si="0"/>
        <v/>
      </c>
      <c r="G109" s="12"/>
      <c r="H109" s="31"/>
      <c r="I109" s="38"/>
      <c r="J109" s="30" t="str">
        <f t="shared" si="1"/>
        <v/>
      </c>
      <c r="K109" s="12"/>
      <c r="L109" s="31"/>
      <c r="M109" s="40"/>
      <c r="N109" s="30" t="str">
        <f t="shared" si="2"/>
        <v/>
      </c>
      <c r="O109" s="12"/>
      <c r="P109" s="31"/>
      <c r="Q109" s="38"/>
      <c r="R109" s="30" t="str">
        <f t="shared" si="3"/>
        <v/>
      </c>
      <c r="S109" s="12"/>
      <c r="T109" s="31"/>
      <c r="U109" s="40"/>
      <c r="V109" s="30" t="str">
        <f t="shared" si="4"/>
        <v/>
      </c>
      <c r="W109" s="12"/>
      <c r="X109" s="44"/>
      <c r="Y109" s="38"/>
      <c r="Z109" s="30" t="str">
        <f t="shared" si="5"/>
        <v/>
      </c>
      <c r="AA109" s="12">
        <v>45407</v>
      </c>
      <c r="AB109" s="31">
        <v>45467</v>
      </c>
      <c r="AC109" s="40" t="str">
        <f t="shared" si="203"/>
        <v>0</v>
      </c>
      <c r="AD109" s="30">
        <f t="shared" si="6"/>
        <v>39</v>
      </c>
      <c r="AE109" s="48" t="s">
        <v>87</v>
      </c>
      <c r="AF109" s="47" t="s">
        <v>91</v>
      </c>
      <c r="AG109" s="50" t="s">
        <v>87</v>
      </c>
      <c r="AH109" s="51"/>
      <c r="AI109" s="52"/>
      <c r="AJ109" s="51"/>
      <c r="AK109" s="52"/>
      <c r="AL109" s="40"/>
      <c r="AM109" s="40"/>
      <c r="AN109" s="40"/>
      <c r="AO109" s="48"/>
      <c r="AP109" s="56"/>
      <c r="AQ109" s="48"/>
      <c r="AR109" s="56"/>
      <c r="AS109" s="40"/>
      <c r="AT109" s="40"/>
      <c r="AU109" s="51"/>
      <c r="AV109" s="52"/>
      <c r="AW109" s="51"/>
      <c r="AX109" s="52"/>
      <c r="AY109" s="40"/>
      <c r="AZ109" s="55"/>
      <c r="BA109" s="63"/>
      <c r="BB109" s="48"/>
      <c r="BC109" s="56"/>
      <c r="BD109" s="48"/>
      <c r="BE109" s="56"/>
      <c r="BF109" s="64"/>
      <c r="BG109" s="52"/>
      <c r="BH109" s="51"/>
      <c r="BI109" s="52"/>
      <c r="BJ109" s="51"/>
      <c r="BK109" s="52"/>
      <c r="BL109" s="40"/>
      <c r="BM109" s="55"/>
      <c r="BN109" s="63"/>
      <c r="BO109" s="48"/>
      <c r="BP109" s="56"/>
      <c r="BQ109" s="48"/>
      <c r="BR109" s="56"/>
      <c r="BS109" s="40"/>
      <c r="BT109" s="40"/>
      <c r="BU109" s="51">
        <v>214.21</v>
      </c>
      <c r="BV109" s="52">
        <v>266.88</v>
      </c>
      <c r="BW109" s="51">
        <v>214.21</v>
      </c>
      <c r="BX109" s="52">
        <v>266.88</v>
      </c>
      <c r="BY109" s="55" t="str">
        <f>IF(AND(BX109&lt;&gt;"",BW109&lt;&gt;""),IF(BX109&gt;BW109,"核增",IF(BX109&lt;BW109,"核减","不变")),"")</f>
        <v>核增</v>
      </c>
      <c r="BZ109" s="55">
        <f>IF(AND(BX109&lt;&gt;"",BW109&lt;&gt;""),MAX(ABS(BX109),ABS(BW109))-MIN(ABS(BX109),ABS(BW109)),"")</f>
        <v>52.67</v>
      </c>
    </row>
    <row r="110" ht="13.5" customHeight="1" spans="1:78">
      <c r="A110" s="22" t="s">
        <v>488</v>
      </c>
      <c r="B110" s="11" t="s">
        <v>85</v>
      </c>
      <c r="C110" s="6"/>
      <c r="D110" s="7"/>
      <c r="E110" s="29"/>
      <c r="F110" s="30" t="str">
        <f t="shared" si="0"/>
        <v/>
      </c>
      <c r="G110" s="12"/>
      <c r="H110" s="31"/>
      <c r="I110" s="37"/>
      <c r="J110" s="30" t="str">
        <f t="shared" si="1"/>
        <v/>
      </c>
      <c r="K110" s="12"/>
      <c r="L110" s="31"/>
      <c r="M110" s="40"/>
      <c r="N110" s="30" t="str">
        <f t="shared" si="2"/>
        <v/>
      </c>
      <c r="O110" s="12"/>
      <c r="P110" s="31"/>
      <c r="Q110" s="38"/>
      <c r="R110" s="30" t="str">
        <f t="shared" si="3"/>
        <v/>
      </c>
      <c r="S110" s="12">
        <v>45378</v>
      </c>
      <c r="T110" s="31">
        <v>45398</v>
      </c>
      <c r="U110" s="38" t="str">
        <f>IF(S110&lt;&gt;0,IF(T110&lt;&gt;0,"0","1"),"")</f>
        <v>0</v>
      </c>
      <c r="V110" s="30">
        <f t="shared" si="4"/>
        <v>13</v>
      </c>
      <c r="W110" s="12"/>
      <c r="X110" s="44"/>
      <c r="Y110" s="38"/>
      <c r="Z110" s="30" t="str">
        <f t="shared" si="5"/>
        <v/>
      </c>
      <c r="AA110" s="12"/>
      <c r="AB110" s="31"/>
      <c r="AC110" s="40"/>
      <c r="AD110" s="30" t="str">
        <f t="shared" si="6"/>
        <v/>
      </c>
      <c r="AE110" s="48" t="s">
        <v>97</v>
      </c>
      <c r="AF110" s="47" t="s">
        <v>91</v>
      </c>
      <c r="AG110" s="53" t="s">
        <v>97</v>
      </c>
      <c r="AH110" s="51"/>
      <c r="AI110" s="52"/>
      <c r="AJ110" s="51"/>
      <c r="AK110" s="52"/>
      <c r="AL110" s="40"/>
      <c r="AM110" s="40"/>
      <c r="AN110" s="40"/>
      <c r="AO110" s="48"/>
      <c r="AP110" s="56"/>
      <c r="AQ110" s="48"/>
      <c r="AR110" s="56"/>
      <c r="AS110" s="40"/>
      <c r="AT110" s="40"/>
      <c r="AU110" s="51"/>
      <c r="AV110" s="52">
        <v>2854.35</v>
      </c>
      <c r="AW110" s="51"/>
      <c r="AX110" s="52">
        <v>2854.35</v>
      </c>
      <c r="AY110" s="40"/>
      <c r="AZ110" s="55"/>
      <c r="BA110" s="63"/>
      <c r="BB110" s="48"/>
      <c r="BC110" s="56"/>
      <c r="BD110" s="48"/>
      <c r="BE110" s="56"/>
      <c r="BF110" s="64"/>
      <c r="BG110" s="52"/>
      <c r="BH110" s="57">
        <v>2745.53</v>
      </c>
      <c r="BI110" s="58">
        <v>2534.57</v>
      </c>
      <c r="BJ110" s="57">
        <v>2745.53</v>
      </c>
      <c r="BK110" s="58">
        <v>2534.57</v>
      </c>
      <c r="BL110" s="55" t="str">
        <f>IF(AND(BK110&lt;&gt;"",BJ110&lt;&gt;""),IF(BK110&gt;BJ110,"核增",IF(BK110&lt;BJ110,"核减","不变")),"")</f>
        <v>核减</v>
      </c>
      <c r="BM110" s="55">
        <f>IF(AND(BK110&lt;&gt;"",BJ110&lt;&gt;""),MAX(ABS(BK110),ABS(BJ110))-MIN(ABS(BK110),ABS(BJ110)),"")</f>
        <v>210.96</v>
      </c>
      <c r="BN110" s="63" t="str">
        <f>IF(AND(BI110&lt;&gt;"",AV110&lt;&gt;""),IF(BI110&gt;AV110,"核增",IF(BI110&lt;AV110,"核减","不变")),"")&amp;TEXT(IF(AND(BI110&lt;&gt;"",AV110&lt;&gt;""),MAX(ABS(BI110),ABS(AV110))-MIN(ABS(BI110),ABS(AV110)),""),"0.00")</f>
        <v>核减319.78</v>
      </c>
      <c r="BO110" s="84"/>
      <c r="BP110" s="85"/>
      <c r="BQ110" s="84"/>
      <c r="BR110" s="85"/>
      <c r="BS110" s="40"/>
      <c r="BT110" s="40"/>
      <c r="BU110" s="51"/>
      <c r="BV110" s="52"/>
      <c r="BW110" s="51"/>
      <c r="BX110" s="52"/>
      <c r="BY110" s="40"/>
      <c r="BZ110" s="55"/>
    </row>
    <row r="111" ht="13.5" customHeight="1" spans="1:78">
      <c r="A111" s="25" t="s">
        <v>489</v>
      </c>
      <c r="B111" s="5" t="s">
        <v>93</v>
      </c>
      <c r="C111" s="6"/>
      <c r="D111" s="7"/>
      <c r="E111" s="29"/>
      <c r="F111" s="30" t="str">
        <f t="shared" si="0"/>
        <v/>
      </c>
      <c r="G111" s="12"/>
      <c r="H111" s="31"/>
      <c r="I111" s="37"/>
      <c r="J111" s="30" t="str">
        <f t="shared" si="1"/>
        <v/>
      </c>
      <c r="K111" s="12"/>
      <c r="L111" s="31"/>
      <c r="M111" s="40"/>
      <c r="N111" s="30" t="str">
        <f t="shared" si="2"/>
        <v/>
      </c>
      <c r="O111" s="12"/>
      <c r="P111" s="31"/>
      <c r="Q111" s="38"/>
      <c r="R111" s="30" t="str">
        <f t="shared" si="3"/>
        <v/>
      </c>
      <c r="S111" s="12"/>
      <c r="T111" s="31"/>
      <c r="U111" s="40"/>
      <c r="V111" s="30" t="str">
        <f t="shared" si="4"/>
        <v/>
      </c>
      <c r="W111" s="12"/>
      <c r="X111" s="44"/>
      <c r="Y111" s="38"/>
      <c r="Z111" s="30" t="str">
        <f t="shared" si="5"/>
        <v/>
      </c>
      <c r="AA111" s="12">
        <v>45406</v>
      </c>
      <c r="AB111" s="31">
        <v>45420</v>
      </c>
      <c r="AC111" s="40" t="str">
        <f t="shared" ref="AC111:AC112" si="210">IF(AA111&lt;&gt;0,IF(AB111&lt;&gt;0,"0","1"),"")</f>
        <v>0</v>
      </c>
      <c r="AD111" s="30">
        <f t="shared" si="6"/>
        <v>8</v>
      </c>
      <c r="AE111" s="48" t="s">
        <v>406</v>
      </c>
      <c r="AF111" s="47" t="s">
        <v>406</v>
      </c>
      <c r="AG111" s="50" t="s">
        <v>87</v>
      </c>
      <c r="AH111" s="51"/>
      <c r="AI111" s="52"/>
      <c r="AJ111" s="51"/>
      <c r="AK111" s="52"/>
      <c r="AL111" s="40"/>
      <c r="AM111" s="40"/>
      <c r="AN111" s="40"/>
      <c r="AO111" s="48"/>
      <c r="AP111" s="56"/>
      <c r="AQ111" s="48"/>
      <c r="AR111" s="56"/>
      <c r="AS111" s="40"/>
      <c r="AT111" s="40"/>
      <c r="AU111" s="51"/>
      <c r="AV111" s="52"/>
      <c r="AW111" s="51"/>
      <c r="AX111" s="52"/>
      <c r="AY111" s="40"/>
      <c r="AZ111" s="55"/>
      <c r="BA111" s="63"/>
      <c r="BB111" s="48"/>
      <c r="BC111" s="56"/>
      <c r="BD111" s="48"/>
      <c r="BE111" s="56"/>
      <c r="BF111" s="64"/>
      <c r="BG111" s="52"/>
      <c r="BH111" s="57"/>
      <c r="BI111" s="58"/>
      <c r="BJ111" s="57"/>
      <c r="BK111" s="58"/>
      <c r="BL111" s="40"/>
      <c r="BM111" s="55"/>
      <c r="BN111" s="63"/>
      <c r="BO111" s="84"/>
      <c r="BP111" s="85"/>
      <c r="BQ111" s="84"/>
      <c r="BR111" s="85"/>
      <c r="BS111" s="40"/>
      <c r="BT111" s="40"/>
      <c r="BU111" s="51">
        <v>177.79</v>
      </c>
      <c r="BV111" s="52">
        <v>153.88</v>
      </c>
      <c r="BW111" s="51">
        <v>177.79</v>
      </c>
      <c r="BX111" s="52">
        <v>153.88</v>
      </c>
      <c r="BY111" s="55" t="str">
        <f>IF(AND(BX111&lt;&gt;"",BW111&lt;&gt;""),IF(BX111&gt;BW111,"核增",IF(BX111&lt;BW111,"核减","不变")),"")</f>
        <v>核减</v>
      </c>
      <c r="BZ111" s="55">
        <f t="shared" ref="BZ111:BZ112" si="211">IF(AND(BX111&lt;&gt;"",BW111&lt;&gt;""),MAX(ABS(BX111),ABS(BW111))-MIN(ABS(BX111),ABS(BW111)),"")</f>
        <v>23.91</v>
      </c>
    </row>
    <row r="112" ht="13.5" customHeight="1" spans="1:78">
      <c r="A112" s="25" t="s">
        <v>490</v>
      </c>
      <c r="B112" s="5" t="s">
        <v>85</v>
      </c>
      <c r="C112" s="6"/>
      <c r="D112" s="7"/>
      <c r="E112" s="29"/>
      <c r="F112" s="30" t="str">
        <f t="shared" si="0"/>
        <v/>
      </c>
      <c r="G112" s="12"/>
      <c r="H112" s="31"/>
      <c r="I112" s="37"/>
      <c r="J112" s="30" t="str">
        <f t="shared" si="1"/>
        <v/>
      </c>
      <c r="K112" s="12"/>
      <c r="L112" s="31"/>
      <c r="M112" s="40"/>
      <c r="N112" s="30" t="str">
        <f t="shared" si="2"/>
        <v/>
      </c>
      <c r="O112" s="12"/>
      <c r="P112" s="31"/>
      <c r="Q112" s="38"/>
      <c r="R112" s="30" t="str">
        <f t="shared" si="3"/>
        <v/>
      </c>
      <c r="S112" s="12"/>
      <c r="T112" s="31"/>
      <c r="U112" s="40"/>
      <c r="V112" s="30" t="str">
        <f t="shared" si="4"/>
        <v/>
      </c>
      <c r="W112" s="12"/>
      <c r="X112" s="44"/>
      <c r="Y112" s="38"/>
      <c r="Z112" s="30" t="str">
        <f t="shared" si="5"/>
        <v/>
      </c>
      <c r="AA112" s="12">
        <v>45434</v>
      </c>
      <c r="AB112" s="31">
        <v>45447</v>
      </c>
      <c r="AC112" s="40" t="str">
        <f t="shared" si="210"/>
        <v>0</v>
      </c>
      <c r="AD112" s="30">
        <f t="shared" si="6"/>
        <v>10</v>
      </c>
      <c r="AE112" s="46" t="s">
        <v>97</v>
      </c>
      <c r="AF112" s="47" t="s">
        <v>91</v>
      </c>
      <c r="AG112" s="50" t="s">
        <v>97</v>
      </c>
      <c r="AH112" s="51"/>
      <c r="AI112" s="52"/>
      <c r="AJ112" s="51"/>
      <c r="AK112" s="52"/>
      <c r="AL112" s="40"/>
      <c r="AM112" s="40"/>
      <c r="AN112" s="40"/>
      <c r="AO112" s="48"/>
      <c r="AP112" s="56"/>
      <c r="AQ112" s="48"/>
      <c r="AR112" s="56"/>
      <c r="AS112" s="40"/>
      <c r="AT112" s="40"/>
      <c r="AU112" s="51"/>
      <c r="AV112" s="52"/>
      <c r="AW112" s="51"/>
      <c r="AX112" s="52"/>
      <c r="AY112" s="40"/>
      <c r="AZ112" s="55"/>
      <c r="BA112" s="63"/>
      <c r="BB112" s="48"/>
      <c r="BC112" s="56"/>
      <c r="BD112" s="48"/>
      <c r="BE112" s="56"/>
      <c r="BF112" s="64"/>
      <c r="BG112" s="52"/>
      <c r="BH112" s="51"/>
      <c r="BI112" s="52"/>
      <c r="BJ112" s="51"/>
      <c r="BK112" s="52"/>
      <c r="BL112" s="40"/>
      <c r="BM112" s="55"/>
      <c r="BN112" s="63"/>
      <c r="BO112" s="48"/>
      <c r="BP112" s="56"/>
      <c r="BQ112" s="48"/>
      <c r="BR112" s="56"/>
      <c r="BS112" s="40"/>
      <c r="BT112" s="40"/>
      <c r="BU112" s="82">
        <f t="shared" ref="BU112:BX112" si="212">ABS(-2981.72)</f>
        <v>2981.72</v>
      </c>
      <c r="BV112" s="83">
        <f t="shared" si="212"/>
        <v>2981.72</v>
      </c>
      <c r="BW112" s="82">
        <f t="shared" si="212"/>
        <v>2981.72</v>
      </c>
      <c r="BX112" s="83">
        <f t="shared" si="212"/>
        <v>2981.72</v>
      </c>
      <c r="BY112" s="63" t="str">
        <f>IF(AND(BX112&lt;&gt;"",BW112&lt;&gt;""),IF((-BX112)&gt;(-BW112),"核增",IF((-BX112)&lt;(-BW112),"核减","不变")),"")</f>
        <v>不变</v>
      </c>
      <c r="BZ112" s="63">
        <f t="shared" si="211"/>
        <v>0</v>
      </c>
    </row>
    <row r="113" ht="13.5" customHeight="1" spans="1:78">
      <c r="A113" s="25" t="s">
        <v>491</v>
      </c>
      <c r="B113" s="5" t="s">
        <v>81</v>
      </c>
      <c r="C113" s="6"/>
      <c r="D113" s="7"/>
      <c r="E113" s="29"/>
      <c r="F113" s="30" t="str">
        <f t="shared" si="0"/>
        <v/>
      </c>
      <c r="G113" s="12">
        <v>45411</v>
      </c>
      <c r="H113" s="31"/>
      <c r="I113" s="38" t="str">
        <f>IF(G113&lt;&gt;0,IF(H113&lt;&gt;0,"0","1"),"")</f>
        <v>1</v>
      </c>
      <c r="J113" s="30" t="str">
        <f t="shared" si="1"/>
        <v/>
      </c>
      <c r="K113" s="12"/>
      <c r="L113" s="31"/>
      <c r="M113" s="40"/>
      <c r="N113" s="30" t="str">
        <f t="shared" si="2"/>
        <v/>
      </c>
      <c r="O113" s="12"/>
      <c r="P113" s="31"/>
      <c r="Q113" s="38"/>
      <c r="R113" s="30" t="str">
        <f t="shared" si="3"/>
        <v/>
      </c>
      <c r="S113" s="12"/>
      <c r="T113" s="31"/>
      <c r="U113" s="40"/>
      <c r="V113" s="30" t="str">
        <f t="shared" si="4"/>
        <v/>
      </c>
      <c r="W113" s="12"/>
      <c r="X113" s="44"/>
      <c r="Y113" s="38"/>
      <c r="Z113" s="30" t="str">
        <f t="shared" si="5"/>
        <v/>
      </c>
      <c r="AA113" s="12"/>
      <c r="AB113" s="31"/>
      <c r="AC113" s="40"/>
      <c r="AD113" s="30" t="str">
        <f t="shared" si="6"/>
        <v/>
      </c>
      <c r="AE113" s="46" t="s">
        <v>86</v>
      </c>
      <c r="AF113" s="47" t="s">
        <v>86</v>
      </c>
      <c r="AG113" s="50" t="s">
        <v>83</v>
      </c>
      <c r="AH113" s="51"/>
      <c r="AI113" s="52"/>
      <c r="AJ113" s="51"/>
      <c r="AK113" s="52"/>
      <c r="AL113" s="40"/>
      <c r="AM113" s="40"/>
      <c r="AN113" s="40"/>
      <c r="AO113" s="48"/>
      <c r="AP113" s="56"/>
      <c r="AQ113" s="48"/>
      <c r="AR113" s="56"/>
      <c r="AS113" s="40"/>
      <c r="AT113" s="40"/>
      <c r="AU113" s="51"/>
      <c r="AV113" s="52"/>
      <c r="AW113" s="51"/>
      <c r="AX113" s="52"/>
      <c r="AY113" s="40"/>
      <c r="AZ113" s="55"/>
      <c r="BA113" s="63"/>
      <c r="BB113" s="48"/>
      <c r="BC113" s="56"/>
      <c r="BD113" s="48"/>
      <c r="BE113" s="56"/>
      <c r="BF113" s="64"/>
      <c r="BG113" s="52"/>
      <c r="BH113" s="51"/>
      <c r="BI113" s="52"/>
      <c r="BJ113" s="51"/>
      <c r="BK113" s="52"/>
      <c r="BL113" s="40"/>
      <c r="BM113" s="55"/>
      <c r="BN113" s="63"/>
      <c r="BO113" s="48"/>
      <c r="BP113" s="56"/>
      <c r="BQ113" s="48"/>
      <c r="BR113" s="56"/>
      <c r="BS113" s="40"/>
      <c r="BT113" s="40"/>
      <c r="BU113" s="51"/>
      <c r="BV113" s="52"/>
      <c r="BW113" s="51"/>
      <c r="BX113" s="52"/>
      <c r="BY113" s="40"/>
      <c r="BZ113" s="55"/>
    </row>
    <row r="114" ht="13.5" customHeight="1" spans="1:78">
      <c r="A114" s="25" t="s">
        <v>492</v>
      </c>
      <c r="B114" s="5" t="s">
        <v>93</v>
      </c>
      <c r="C114" s="6"/>
      <c r="D114" s="7"/>
      <c r="E114" s="29"/>
      <c r="F114" s="30" t="str">
        <f t="shared" si="0"/>
        <v/>
      </c>
      <c r="G114" s="12"/>
      <c r="H114" s="31"/>
      <c r="I114" s="37"/>
      <c r="J114" s="30" t="str">
        <f t="shared" si="1"/>
        <v/>
      </c>
      <c r="K114" s="12"/>
      <c r="L114" s="31"/>
      <c r="M114" s="40"/>
      <c r="N114" s="30" t="str">
        <f t="shared" si="2"/>
        <v/>
      </c>
      <c r="O114" s="12"/>
      <c r="P114" s="31"/>
      <c r="Q114" s="38"/>
      <c r="R114" s="30" t="str">
        <f t="shared" si="3"/>
        <v/>
      </c>
      <c r="S114" s="12"/>
      <c r="T114" s="31"/>
      <c r="U114" s="40"/>
      <c r="V114" s="30" t="str">
        <f t="shared" si="4"/>
        <v/>
      </c>
      <c r="W114" s="12">
        <v>45282</v>
      </c>
      <c r="X114" s="44">
        <v>45418</v>
      </c>
      <c r="Y114" s="38" t="str">
        <f>IF(W114&lt;&gt;0,IF(X114&lt;&gt;0,"0","1"),"")</f>
        <v>0</v>
      </c>
      <c r="Z114" s="30">
        <f t="shared" si="5"/>
        <v>85</v>
      </c>
      <c r="AA114" s="12"/>
      <c r="AB114" s="31"/>
      <c r="AC114" s="40"/>
      <c r="AD114" s="30" t="str">
        <f t="shared" si="6"/>
        <v/>
      </c>
      <c r="AE114" s="48" t="s">
        <v>87</v>
      </c>
      <c r="AF114" s="47" t="s">
        <v>91</v>
      </c>
      <c r="AG114" s="50" t="s">
        <v>87</v>
      </c>
      <c r="AH114" s="51"/>
      <c r="AI114" s="52"/>
      <c r="AJ114" s="51"/>
      <c r="AK114" s="52"/>
      <c r="AL114" s="40"/>
      <c r="AM114" s="40"/>
      <c r="AN114" s="40"/>
      <c r="AO114" s="48"/>
      <c r="AP114" s="56"/>
      <c r="AQ114" s="48"/>
      <c r="AR114" s="56"/>
      <c r="AS114" s="40"/>
      <c r="AT114" s="40"/>
      <c r="AU114" s="51"/>
      <c r="AV114" s="52"/>
      <c r="AW114" s="51"/>
      <c r="AX114" s="52"/>
      <c r="AY114" s="40"/>
      <c r="AZ114" s="55"/>
      <c r="BA114" s="63"/>
      <c r="BB114" s="48"/>
      <c r="BC114" s="56"/>
      <c r="BD114" s="48"/>
      <c r="BE114" s="56"/>
      <c r="BF114" s="64"/>
      <c r="BG114" s="48"/>
      <c r="BH114" s="51"/>
      <c r="BI114" s="52">
        <v>15026</v>
      </c>
      <c r="BJ114" s="51"/>
      <c r="BK114" s="52">
        <v>14751</v>
      </c>
      <c r="BL114" s="40"/>
      <c r="BM114" s="55"/>
      <c r="BN114" s="63"/>
      <c r="BO114" s="60">
        <v>18357</v>
      </c>
      <c r="BP114" s="61">
        <v>19446</v>
      </c>
      <c r="BQ114" s="60">
        <v>18021</v>
      </c>
      <c r="BR114" s="61">
        <v>19090</v>
      </c>
      <c r="BS114" s="55" t="str">
        <f>IF(AND(BR114&lt;&gt;"",BQ114&lt;&gt;""),IF(BR114&gt;BQ114,"核增",IF(BR114&lt;BQ114,"核减","不变")),"")</f>
        <v>核增</v>
      </c>
      <c r="BT114" s="55">
        <f>IF(AND(BR114&lt;&gt;"",BQ114&lt;&gt;""),MAX(ABS(BR114),ABS(BQ114))-MIN(ABS(BR114),ABS(BQ114)),"")</f>
        <v>1069</v>
      </c>
      <c r="BU114" s="51"/>
      <c r="BV114" s="52"/>
      <c r="BW114" s="51"/>
      <c r="BX114" s="52"/>
      <c r="BY114" s="40"/>
      <c r="BZ114" s="55"/>
    </row>
    <row r="115" ht="13.5" customHeight="1" spans="1:78">
      <c r="A115" s="26" t="s">
        <v>257</v>
      </c>
      <c r="B115" s="5" t="s">
        <v>93</v>
      </c>
      <c r="C115" s="6"/>
      <c r="D115" s="7"/>
      <c r="E115" s="29"/>
      <c r="F115" s="30" t="str">
        <f t="shared" si="0"/>
        <v/>
      </c>
      <c r="G115" s="12"/>
      <c r="H115" s="31"/>
      <c r="I115" s="37"/>
      <c r="J115" s="30" t="str">
        <f t="shared" si="1"/>
        <v/>
      </c>
      <c r="K115" s="12"/>
      <c r="L115" s="31"/>
      <c r="M115" s="40"/>
      <c r="N115" s="30" t="str">
        <f t="shared" si="2"/>
        <v/>
      </c>
      <c r="O115" s="12"/>
      <c r="P115" s="31"/>
      <c r="Q115" s="38"/>
      <c r="R115" s="30" t="str">
        <f t="shared" si="3"/>
        <v/>
      </c>
      <c r="S115" s="12">
        <v>45426</v>
      </c>
      <c r="T115" s="31">
        <v>45449</v>
      </c>
      <c r="U115" s="38" t="str">
        <f t="shared" ref="U115:U116" si="213">IF(S115&lt;&gt;0,IF(T115&lt;&gt;0,"0","1"),"")</f>
        <v>0</v>
      </c>
      <c r="V115" s="30">
        <f t="shared" si="4"/>
        <v>18</v>
      </c>
      <c r="W115" s="12"/>
      <c r="X115" s="31"/>
      <c r="Y115" s="38"/>
      <c r="Z115" s="30" t="str">
        <f t="shared" si="5"/>
        <v/>
      </c>
      <c r="AA115" s="12"/>
      <c r="AB115" s="31"/>
      <c r="AC115" s="40"/>
      <c r="AD115" s="30" t="str">
        <f t="shared" si="6"/>
        <v/>
      </c>
      <c r="AE115" s="46" t="s">
        <v>97</v>
      </c>
      <c r="AF115" s="47" t="s">
        <v>91</v>
      </c>
      <c r="AG115" s="50" t="s">
        <v>97</v>
      </c>
      <c r="AH115" s="51"/>
      <c r="AI115" s="52"/>
      <c r="AJ115" s="51"/>
      <c r="AK115" s="52"/>
      <c r="AL115" s="40"/>
      <c r="AM115" s="40"/>
      <c r="AN115" s="40"/>
      <c r="AO115" s="48"/>
      <c r="AP115" s="56"/>
      <c r="AQ115" s="48"/>
      <c r="AR115" s="56"/>
      <c r="AS115" s="40"/>
      <c r="AT115" s="40"/>
      <c r="AU115" s="51"/>
      <c r="AV115" s="52">
        <v>11907.86</v>
      </c>
      <c r="AW115" s="51"/>
      <c r="AX115" s="52">
        <v>11722.48</v>
      </c>
      <c r="AY115" s="40"/>
      <c r="AZ115" s="55"/>
      <c r="BA115" s="63"/>
      <c r="BB115" s="48"/>
      <c r="BC115" s="56"/>
      <c r="BD115" s="48"/>
      <c r="BE115" s="56"/>
      <c r="BF115" s="64"/>
      <c r="BG115" s="48"/>
      <c r="BH115" s="51">
        <v>13668.74</v>
      </c>
      <c r="BI115" s="52">
        <v>13478.58</v>
      </c>
      <c r="BJ115" s="51">
        <v>13453.17</v>
      </c>
      <c r="BK115" s="52">
        <v>13265.7</v>
      </c>
      <c r="BL115" s="55" t="str">
        <f t="shared" ref="BL115:BL118" si="214">IF(AND(BK115&lt;&gt;"",BJ115&lt;&gt;""),IF(BK115&gt;BJ115,"核增",IF(BK115&lt;BJ115,"核减","不变")),"")</f>
        <v>核减</v>
      </c>
      <c r="BM115" s="55">
        <f t="shared" ref="BM115:BM118" si="215">IF(AND(BK115&lt;&gt;"",BJ115&lt;&gt;""),MAX(ABS(BK115),ABS(BJ115))-MIN(ABS(BK115),ABS(BJ115)),"")</f>
        <v>187.469999999999</v>
      </c>
      <c r="BN115" s="63" t="str">
        <f t="shared" ref="BN115:BN118" si="216">IF(AND(BI115&lt;&gt;"",AV115&lt;&gt;""),IF(BI115&gt;AV115,"核增",IF(BI115&lt;AV115,"核减","不变")),"")&amp;TEXT(IF(AND(BI115&lt;&gt;"",AV115&lt;&gt;""),MAX(ABS(BI115),ABS(AV115))-MIN(ABS(BI115),ABS(AV115)),""),"0.00")</f>
        <v>核增1570.72</v>
      </c>
      <c r="BO115" s="48"/>
      <c r="BP115" s="56"/>
      <c r="BQ115" s="48"/>
      <c r="BR115" s="56"/>
      <c r="BS115" s="40"/>
      <c r="BT115" s="40"/>
      <c r="BU115" s="51"/>
      <c r="BV115" s="52"/>
      <c r="BW115" s="51"/>
      <c r="BX115" s="52"/>
      <c r="BY115" s="40"/>
      <c r="BZ115" s="55"/>
    </row>
    <row r="116" ht="13.5" customHeight="1" spans="1:78">
      <c r="A116" s="26" t="s">
        <v>493</v>
      </c>
      <c r="B116" s="5" t="s">
        <v>85</v>
      </c>
      <c r="C116" s="6"/>
      <c r="D116" s="7"/>
      <c r="E116" s="29"/>
      <c r="F116" s="30" t="str">
        <f t="shared" si="0"/>
        <v/>
      </c>
      <c r="G116" s="12"/>
      <c r="H116" s="31"/>
      <c r="I116" s="37"/>
      <c r="J116" s="30" t="str">
        <f t="shared" si="1"/>
        <v/>
      </c>
      <c r="K116" s="12"/>
      <c r="L116" s="31"/>
      <c r="M116" s="40"/>
      <c r="N116" s="30" t="str">
        <f t="shared" si="2"/>
        <v/>
      </c>
      <c r="O116" s="12"/>
      <c r="P116" s="31"/>
      <c r="Q116" s="38"/>
      <c r="R116" s="30" t="str">
        <f t="shared" si="3"/>
        <v/>
      </c>
      <c r="S116" s="12">
        <v>45429</v>
      </c>
      <c r="T116" s="31">
        <v>45446</v>
      </c>
      <c r="U116" s="38" t="str">
        <f t="shared" si="213"/>
        <v>0</v>
      </c>
      <c r="V116" s="30">
        <f t="shared" si="4"/>
        <v>12</v>
      </c>
      <c r="W116" s="12"/>
      <c r="X116" s="31"/>
      <c r="Y116" s="38"/>
      <c r="Z116" s="30" t="str">
        <f t="shared" si="5"/>
        <v/>
      </c>
      <c r="AA116" s="12"/>
      <c r="AB116" s="31"/>
      <c r="AC116" s="40"/>
      <c r="AD116" s="30" t="str">
        <f t="shared" si="6"/>
        <v/>
      </c>
      <c r="AE116" s="46" t="s">
        <v>86</v>
      </c>
      <c r="AF116" s="47" t="s">
        <v>86</v>
      </c>
      <c r="AG116" s="53" t="s">
        <v>91</v>
      </c>
      <c r="AH116" s="51"/>
      <c r="AI116" s="52"/>
      <c r="AJ116" s="51"/>
      <c r="AK116" s="52"/>
      <c r="AL116" s="40"/>
      <c r="AM116" s="40"/>
      <c r="AN116" s="40"/>
      <c r="AO116" s="48"/>
      <c r="AP116" s="56"/>
      <c r="AQ116" s="48"/>
      <c r="AR116" s="56"/>
      <c r="AS116" s="40"/>
      <c r="AT116" s="40"/>
      <c r="AU116" s="51"/>
      <c r="AV116" s="52">
        <v>4219.65</v>
      </c>
      <c r="AW116" s="51"/>
      <c r="AX116" s="52">
        <v>4147</v>
      </c>
      <c r="AY116" s="40"/>
      <c r="AZ116" s="55"/>
      <c r="BA116" s="63"/>
      <c r="BB116" s="48"/>
      <c r="BC116" s="56"/>
      <c r="BD116" s="48"/>
      <c r="BE116" s="56"/>
      <c r="BF116" s="64"/>
      <c r="BG116" s="48"/>
      <c r="BH116" s="51">
        <v>3823.18</v>
      </c>
      <c r="BI116" s="52">
        <v>3591.3</v>
      </c>
      <c r="BJ116" s="51">
        <v>3764.02</v>
      </c>
      <c r="BK116" s="52">
        <v>3535.72</v>
      </c>
      <c r="BL116" s="55" t="str">
        <f t="shared" si="214"/>
        <v>核减</v>
      </c>
      <c r="BM116" s="55">
        <f t="shared" si="215"/>
        <v>228.3</v>
      </c>
      <c r="BN116" s="63" t="str">
        <f t="shared" si="216"/>
        <v>核减628.35</v>
      </c>
      <c r="BO116" s="48"/>
      <c r="BP116" s="56"/>
      <c r="BQ116" s="48"/>
      <c r="BR116" s="56"/>
      <c r="BS116" s="40"/>
      <c r="BT116" s="40"/>
      <c r="BU116" s="51"/>
      <c r="BV116" s="52"/>
      <c r="BW116" s="51"/>
      <c r="BX116" s="52"/>
      <c r="BY116" s="40"/>
      <c r="BZ116" s="55"/>
    </row>
    <row r="117" ht="13.5" customHeight="1" spans="1:78">
      <c r="A117" s="25" t="s">
        <v>128</v>
      </c>
      <c r="B117" s="5" t="s">
        <v>96</v>
      </c>
      <c r="C117" s="6"/>
      <c r="D117" s="7"/>
      <c r="E117" s="32" t="str">
        <f t="shared" ref="E117:E118" si="217">IF(C117&lt;&gt;0,IF(D117&lt;&gt;0,"0","1"),"")</f>
        <v/>
      </c>
      <c r="F117" s="30" t="str">
        <f t="shared" si="0"/>
        <v/>
      </c>
      <c r="G117" s="12">
        <v>45485</v>
      </c>
      <c r="H117" s="31">
        <v>45492</v>
      </c>
      <c r="I117" s="38" t="str">
        <f>IF(G117&lt;&gt;0,IF(H117&lt;&gt;0,"0","1"),"")</f>
        <v>0</v>
      </c>
      <c r="J117" s="30">
        <f t="shared" si="1"/>
        <v>6</v>
      </c>
      <c r="K117" s="12">
        <v>45562</v>
      </c>
      <c r="L117" s="31">
        <v>45562</v>
      </c>
      <c r="M117" s="38" t="str">
        <f>IF(K117&lt;&gt;0,IF(L117&lt;&gt;0,"0","1"),"")</f>
        <v>0</v>
      </c>
      <c r="N117" s="30">
        <f t="shared" si="2"/>
        <v>1</v>
      </c>
      <c r="O117" s="12"/>
      <c r="P117" s="31"/>
      <c r="Q117" s="38" t="str">
        <f>IF(O117&lt;&gt;0,IF(P117&lt;&gt;0,"0","1"),"")</f>
        <v/>
      </c>
      <c r="R117" s="30" t="str">
        <f t="shared" si="3"/>
        <v/>
      </c>
      <c r="S117" s="41">
        <v>45688</v>
      </c>
      <c r="T117" s="31"/>
      <c r="U117" s="38"/>
      <c r="V117" s="30" t="str">
        <f t="shared" si="4"/>
        <v/>
      </c>
      <c r="W117" s="12"/>
      <c r="X117" s="31"/>
      <c r="Y117" s="38" t="str">
        <f>IF(W117&lt;&gt;0,IF(X117&lt;&gt;0,"0","1"),"")</f>
        <v/>
      </c>
      <c r="Z117" s="30" t="str">
        <f t="shared" si="5"/>
        <v/>
      </c>
      <c r="AA117" s="12"/>
      <c r="AB117" s="31"/>
      <c r="AC117" s="40"/>
      <c r="AD117" s="30" t="str">
        <f t="shared" si="6"/>
        <v/>
      </c>
      <c r="AE117" s="48" t="s">
        <v>406</v>
      </c>
      <c r="AF117" s="47" t="s">
        <v>406</v>
      </c>
      <c r="AG117" s="53" t="s">
        <v>91</v>
      </c>
      <c r="AH117" s="51"/>
      <c r="AI117" s="52">
        <v>14502</v>
      </c>
      <c r="AJ117" s="51"/>
      <c r="AK117" s="52">
        <v>14253</v>
      </c>
      <c r="AL117" s="40"/>
      <c r="AM117" s="40"/>
      <c r="AN117" s="40"/>
      <c r="AO117" s="87">
        <v>20391</v>
      </c>
      <c r="AP117" s="56">
        <v>19059.14</v>
      </c>
      <c r="AQ117" s="87">
        <v>19895</v>
      </c>
      <c r="AR117" s="56">
        <v>18922.56</v>
      </c>
      <c r="AS117" s="55" t="str">
        <f>IF(AND(AR117&lt;&gt;"",AQ117&lt;&gt;""),IF(AR117&gt;AQ117,"核增",IF(AR117&lt;AQ117,"核减","不变")),"")</f>
        <v>核减</v>
      </c>
      <c r="AT117" s="55">
        <f>IF(AND(AR117&lt;&gt;"",AQ117&lt;&gt;""),MAX(ABS(AR117),ABS(AQ117))-MIN(ABS(AR117),ABS(AQ117)),"")</f>
        <v>972.439999999999</v>
      </c>
      <c r="AU117" s="51">
        <v>18632.46</v>
      </c>
      <c r="AV117" s="52">
        <v>18632.46</v>
      </c>
      <c r="AW117" s="51">
        <v>18586.77</v>
      </c>
      <c r="AX117" s="52">
        <v>18586.77</v>
      </c>
      <c r="AY117" s="55" t="str">
        <f>IF(AND(AX117&lt;&gt;"",AW117&lt;&gt;""),IF(AX117&gt;AW117,"核增",IF(AX117&lt;AW117,"核减","不变")),"")</f>
        <v>不变</v>
      </c>
      <c r="AZ117" s="55">
        <f>IF(AND(AX117&lt;&gt;"",AW117&lt;&gt;""),MAX(ABS(AX117),ABS(AW117))-MIN(ABS(AX117),ABS(AW117)),"")</f>
        <v>0</v>
      </c>
      <c r="BA117" s="63" t="str">
        <f>IF(AND(AV117&lt;&gt;"",AI117&lt;&gt;""),IF(AV117&gt;AI117,"核增",IF(AV117&lt;AI117,"核减","不变")),"")&amp;TEXT(IF(AND(AV117&lt;&gt;"",AI117&lt;&gt;""),MAX(ABS(AV117),ABS(AI117))-MIN(ABS(AV117),ABS(AI117)),""),"0.00")</f>
        <v>核增4130.46</v>
      </c>
      <c r="BB117" s="51"/>
      <c r="BC117" s="52"/>
      <c r="BD117" s="51"/>
      <c r="BE117" s="52"/>
      <c r="BF117" s="64" t="str">
        <f>IF(AND(BE117&lt;&gt;"",BD117&lt;&gt;""),IF(BE117&gt;BD117,"核增",IF(BE117&lt;BD117,"核减","不变")),"")</f>
        <v/>
      </c>
      <c r="BG117" s="52" t="str">
        <f>IF(AND(BE117&lt;&gt;"",BD117&lt;&gt;""),MAX(ABS(BE117),ABS(BD117))-MIN(ABS(BE117),ABS(BD117)),"")</f>
        <v/>
      </c>
      <c r="BH117" s="51"/>
      <c r="BI117" s="52"/>
      <c r="BJ117" s="51"/>
      <c r="BK117" s="52"/>
      <c r="BL117" s="55" t="str">
        <f t="shared" si="214"/>
        <v/>
      </c>
      <c r="BM117" s="55" t="str">
        <f t="shared" si="215"/>
        <v/>
      </c>
      <c r="BN117" s="63" t="str">
        <f t="shared" si="216"/>
        <v/>
      </c>
      <c r="BO117" s="48"/>
      <c r="BP117" s="56"/>
      <c r="BQ117" s="48"/>
      <c r="BR117" s="56"/>
      <c r="BS117" s="40"/>
      <c r="BT117" s="40"/>
      <c r="BU117" s="51"/>
      <c r="BV117" s="52"/>
      <c r="BW117" s="51"/>
      <c r="BX117" s="52"/>
      <c r="BY117" s="40"/>
      <c r="BZ117" s="55"/>
    </row>
    <row r="118" ht="13.5" customHeight="1" spans="1:78">
      <c r="A118" s="26" t="s">
        <v>494</v>
      </c>
      <c r="B118" s="5" t="s">
        <v>96</v>
      </c>
      <c r="C118" s="6"/>
      <c r="D118" s="7"/>
      <c r="E118" s="32" t="str">
        <f t="shared" si="217"/>
        <v/>
      </c>
      <c r="F118" s="30" t="str">
        <f t="shared" si="0"/>
        <v/>
      </c>
      <c r="G118" s="12"/>
      <c r="H118" s="31"/>
      <c r="I118" s="38"/>
      <c r="J118" s="30" t="str">
        <f t="shared" si="1"/>
        <v/>
      </c>
      <c r="K118" s="12"/>
      <c r="L118" s="31"/>
      <c r="M118" s="40"/>
      <c r="N118" s="30" t="str">
        <f t="shared" si="2"/>
        <v/>
      </c>
      <c r="O118" s="12"/>
      <c r="P118" s="31"/>
      <c r="Q118" s="38"/>
      <c r="R118" s="30" t="str">
        <f t="shared" si="3"/>
        <v/>
      </c>
      <c r="S118" s="12">
        <v>45447</v>
      </c>
      <c r="T118" s="31">
        <v>45471</v>
      </c>
      <c r="U118" s="38" t="str">
        <f>IF(S118&lt;&gt;0,IF(T118&lt;&gt;0,"0","1"),"")</f>
        <v>0</v>
      </c>
      <c r="V118" s="30">
        <f t="shared" si="4"/>
        <v>18</v>
      </c>
      <c r="W118" s="12"/>
      <c r="X118" s="31"/>
      <c r="Y118" s="38"/>
      <c r="Z118" s="30" t="str">
        <f t="shared" si="5"/>
        <v/>
      </c>
      <c r="AA118" s="12"/>
      <c r="AB118" s="31"/>
      <c r="AC118" s="40"/>
      <c r="AD118" s="30" t="str">
        <f t="shared" si="6"/>
        <v/>
      </c>
      <c r="AE118" s="48" t="s">
        <v>406</v>
      </c>
      <c r="AF118" s="47" t="s">
        <v>406</v>
      </c>
      <c r="AG118" s="53" t="s">
        <v>97</v>
      </c>
      <c r="AH118" s="51"/>
      <c r="AI118" s="52">
        <v>99858.16</v>
      </c>
      <c r="AJ118" s="51"/>
      <c r="AK118" s="52">
        <v>98287.1</v>
      </c>
      <c r="AL118" s="40"/>
      <c r="AM118" s="40"/>
      <c r="AN118" s="40"/>
      <c r="AO118" s="48"/>
      <c r="AP118" s="56"/>
      <c r="AQ118" s="48"/>
      <c r="AR118" s="56"/>
      <c r="AS118" s="40"/>
      <c r="AT118" s="40"/>
      <c r="AU118" s="51"/>
      <c r="AV118" s="52">
        <v>96043.26</v>
      </c>
      <c r="AW118" s="51"/>
      <c r="AX118" s="52">
        <v>94665.77</v>
      </c>
      <c r="AY118" s="40"/>
      <c r="AZ118" s="55"/>
      <c r="BA118" s="63"/>
      <c r="BB118" s="48"/>
      <c r="BC118" s="56"/>
      <c r="BD118" s="48"/>
      <c r="BE118" s="56"/>
      <c r="BF118" s="64"/>
      <c r="BG118" s="48"/>
      <c r="BH118" s="51">
        <v>91581.72</v>
      </c>
      <c r="BI118" s="52">
        <v>90062.84</v>
      </c>
      <c r="BJ118" s="51">
        <v>90341.9</v>
      </c>
      <c r="BK118" s="52">
        <v>88841.45</v>
      </c>
      <c r="BL118" s="55" t="str">
        <f t="shared" si="214"/>
        <v>核减</v>
      </c>
      <c r="BM118" s="55">
        <f t="shared" si="215"/>
        <v>1500.45</v>
      </c>
      <c r="BN118" s="63" t="str">
        <f t="shared" si="216"/>
        <v>核减5980.42</v>
      </c>
      <c r="BO118" s="48"/>
      <c r="BP118" s="56"/>
      <c r="BQ118" s="48"/>
      <c r="BR118" s="56"/>
      <c r="BS118" s="40"/>
      <c r="BT118" s="40"/>
      <c r="BU118" s="51"/>
      <c r="BV118" s="52"/>
      <c r="BW118" s="51"/>
      <c r="BX118" s="52"/>
      <c r="BY118" s="40"/>
      <c r="BZ118" s="55"/>
    </row>
    <row r="119" ht="13.5" customHeight="1" spans="1:78">
      <c r="A119" s="25" t="s">
        <v>495</v>
      </c>
      <c r="B119" s="5" t="s">
        <v>85</v>
      </c>
      <c r="C119" s="6"/>
      <c r="D119" s="7"/>
      <c r="E119" s="29"/>
      <c r="F119" s="30" t="str">
        <f t="shared" si="0"/>
        <v/>
      </c>
      <c r="G119" s="12"/>
      <c r="H119" s="31"/>
      <c r="I119" s="38"/>
      <c r="J119" s="30" t="str">
        <f t="shared" si="1"/>
        <v/>
      </c>
      <c r="K119" s="12"/>
      <c r="L119" s="31"/>
      <c r="M119" s="40"/>
      <c r="N119" s="30" t="str">
        <f t="shared" si="2"/>
        <v/>
      </c>
      <c r="O119" s="12"/>
      <c r="P119" s="31"/>
      <c r="Q119" s="38"/>
      <c r="R119" s="30" t="str">
        <f t="shared" si="3"/>
        <v/>
      </c>
      <c r="S119" s="12"/>
      <c r="T119" s="31"/>
      <c r="U119" s="38"/>
      <c r="V119" s="30" t="str">
        <f t="shared" si="4"/>
        <v/>
      </c>
      <c r="W119" s="12"/>
      <c r="X119" s="31"/>
      <c r="Y119" s="38"/>
      <c r="Z119" s="30" t="str">
        <f t="shared" si="5"/>
        <v/>
      </c>
      <c r="AA119" s="12">
        <v>45389</v>
      </c>
      <c r="AB119" s="31">
        <v>45419</v>
      </c>
      <c r="AC119" s="40" t="str">
        <f>IF(AA119&lt;&gt;0,IF(AB119&lt;&gt;0,"0","1"),"")</f>
        <v>0</v>
      </c>
      <c r="AD119" s="30">
        <f t="shared" si="6"/>
        <v>19</v>
      </c>
      <c r="AE119" s="46" t="s">
        <v>97</v>
      </c>
      <c r="AF119" s="47" t="s">
        <v>91</v>
      </c>
      <c r="AG119" s="53" t="s">
        <v>97</v>
      </c>
      <c r="AH119" s="51"/>
      <c r="AI119" s="52"/>
      <c r="AJ119" s="51"/>
      <c r="AK119" s="52"/>
      <c r="AL119" s="40"/>
      <c r="AM119" s="40"/>
      <c r="AN119" s="40"/>
      <c r="AO119" s="48"/>
      <c r="AP119" s="56"/>
      <c r="AQ119" s="48"/>
      <c r="AR119" s="56"/>
      <c r="AS119" s="40"/>
      <c r="AT119" s="40"/>
      <c r="AU119" s="51"/>
      <c r="AV119" s="52"/>
      <c r="AW119" s="51"/>
      <c r="AX119" s="52"/>
      <c r="AY119" s="40"/>
      <c r="AZ119" s="55"/>
      <c r="BA119" s="63"/>
      <c r="BB119" s="48"/>
      <c r="BC119" s="56"/>
      <c r="BD119" s="48"/>
      <c r="BE119" s="56"/>
      <c r="BF119" s="64"/>
      <c r="BG119" s="48"/>
      <c r="BH119" s="51"/>
      <c r="BI119" s="52"/>
      <c r="BJ119" s="51"/>
      <c r="BK119" s="52"/>
      <c r="BL119" s="40"/>
      <c r="BM119" s="55"/>
      <c r="BN119" s="63"/>
      <c r="BO119" s="48"/>
      <c r="BP119" s="56"/>
      <c r="BQ119" s="48"/>
      <c r="BR119" s="56"/>
      <c r="BS119" s="40"/>
      <c r="BT119" s="40"/>
      <c r="BU119" s="51">
        <f>229.6</f>
        <v>229.6</v>
      </c>
      <c r="BV119" s="52">
        <f>172.9</f>
        <v>172.9</v>
      </c>
      <c r="BW119" s="51">
        <f>229.6</f>
        <v>229.6</v>
      </c>
      <c r="BX119" s="52">
        <f>172.9</f>
        <v>172.9</v>
      </c>
      <c r="BY119" s="55" t="str">
        <f>IF(AND(BX119&lt;&gt;"",BW119&lt;&gt;""),IF(BX119&gt;BW119,"核增",IF(BX119&lt;BW119,"核减","不变")),"")</f>
        <v>核减</v>
      </c>
      <c r="BZ119" s="55">
        <f>IF(AND(BX119&lt;&gt;"",BW119&lt;&gt;""),MAX(ABS(BX119),ABS(BW119))-MIN(ABS(BX119),ABS(BW119)),"")</f>
        <v>56.7</v>
      </c>
    </row>
    <row r="120" ht="13.5" customHeight="1" spans="1:78">
      <c r="A120" s="25" t="s">
        <v>496</v>
      </c>
      <c r="B120" s="5" t="s">
        <v>96</v>
      </c>
      <c r="C120" s="6"/>
      <c r="D120" s="7"/>
      <c r="E120" s="29"/>
      <c r="F120" s="30" t="str">
        <f t="shared" si="0"/>
        <v/>
      </c>
      <c r="G120" s="12">
        <v>45433</v>
      </c>
      <c r="H120" s="31">
        <v>45439</v>
      </c>
      <c r="I120" s="38" t="str">
        <f>IF(G120&lt;&gt;0,IF(H120&lt;&gt;0,"0","1"),"")</f>
        <v>0</v>
      </c>
      <c r="J120" s="30">
        <f t="shared" si="1"/>
        <v>5</v>
      </c>
      <c r="K120" s="12"/>
      <c r="L120" s="31"/>
      <c r="M120" s="40"/>
      <c r="N120" s="30" t="str">
        <f t="shared" si="2"/>
        <v/>
      </c>
      <c r="O120" s="12">
        <v>45476</v>
      </c>
      <c r="P120" s="31">
        <v>45483</v>
      </c>
      <c r="Q120" s="38" t="str">
        <f>IF(O120&lt;&gt;0,IF(P120&lt;&gt;0,"0","1"),"")</f>
        <v>0</v>
      </c>
      <c r="R120" s="30">
        <f t="shared" si="3"/>
        <v>6</v>
      </c>
      <c r="S120" s="12"/>
      <c r="T120" s="31"/>
      <c r="U120" s="38"/>
      <c r="V120" s="30" t="str">
        <f t="shared" si="4"/>
        <v/>
      </c>
      <c r="W120" s="12"/>
      <c r="X120" s="31"/>
      <c r="Y120" s="38"/>
      <c r="Z120" s="30" t="str">
        <f t="shared" si="5"/>
        <v/>
      </c>
      <c r="AA120" s="12"/>
      <c r="AB120" s="31"/>
      <c r="AC120" s="40"/>
      <c r="AD120" s="30" t="str">
        <f t="shared" si="6"/>
        <v/>
      </c>
      <c r="AE120" s="48" t="s">
        <v>87</v>
      </c>
      <c r="AF120" s="47" t="s">
        <v>91</v>
      </c>
      <c r="AG120" s="50" t="s">
        <v>87</v>
      </c>
      <c r="AH120" s="51"/>
      <c r="AI120" s="52">
        <v>27573.08</v>
      </c>
      <c r="AJ120" s="51"/>
      <c r="AK120" s="52">
        <v>27066.78</v>
      </c>
      <c r="AL120" s="40"/>
      <c r="AM120" s="40"/>
      <c r="AN120" s="40"/>
      <c r="AO120" s="51">
        <v>27494.24</v>
      </c>
      <c r="AP120" s="52">
        <v>27573.08</v>
      </c>
      <c r="AQ120" s="51">
        <v>26989.38</v>
      </c>
      <c r="AR120" s="52">
        <v>27066.78</v>
      </c>
      <c r="AS120" s="55" t="str">
        <f>IF(AND(AR120&lt;&gt;"",AQ120&lt;&gt;""),IF(AR120&gt;AQ120,"核增",IF(AR120&lt;AQ120,"核减","不变")),"")</f>
        <v>核增</v>
      </c>
      <c r="AT120" s="55">
        <f>IF(AND(AR120&lt;&gt;"",AQ120&lt;&gt;""),MAX(ABS(AR120),ABS(AQ120))-MIN(ABS(AR120),ABS(AQ120)),"")</f>
        <v>77.3999999999978</v>
      </c>
      <c r="AU120" s="51"/>
      <c r="AV120" s="75"/>
      <c r="AW120" s="51"/>
      <c r="AX120" s="52"/>
      <c r="AY120" s="55" t="str">
        <f>IF(AND(AX120&lt;&gt;"",AW120&lt;&gt;""),IF(AX120&gt;AW120,"核增",IF(AX120&lt;AW120,"核减","不变")),"")</f>
        <v/>
      </c>
      <c r="AZ120" s="55" t="str">
        <f>IF(AND(AX120&lt;&gt;"",AW120&lt;&gt;""),MAX(ABS(AX120),ABS(AW120))-MIN(ABS(AX120),ABS(AW120)),"")</f>
        <v/>
      </c>
      <c r="BA120" s="63" t="str">
        <f>IF(AND(AV120&lt;&gt;"",AI120&lt;&gt;""),IF(AV120&gt;AI120,"核增",IF(AV120&lt;AI120,"核减","不变")),"")&amp;TEXT(IF(AND(AV120&lt;&gt;"",AI120&lt;&gt;""),MAX(ABS(AV120),ABS(AI120))-MIN(ABS(AV120),ABS(AI120)),""),"0.00")</f>
        <v/>
      </c>
      <c r="BB120" s="51">
        <v>27620.6</v>
      </c>
      <c r="BC120" s="75">
        <v>27571.63</v>
      </c>
      <c r="BD120" s="51">
        <v>27119.48</v>
      </c>
      <c r="BE120" s="52">
        <v>27071.41</v>
      </c>
      <c r="BF120" s="64" t="str">
        <f>IF(AND(BE120&lt;&gt;"",BD120&lt;&gt;""),IF(BE120&gt;BD120,"核增",IF(BE120&lt;BD120,"核减","不变")),"")</f>
        <v>核减</v>
      </c>
      <c r="BG120" s="52">
        <f>IF(AND(BE120&lt;&gt;"",BD120&lt;&gt;""),MAX(ABS(BE120),ABS(BD120))-MIN(ABS(BE120),ABS(BD120)),"")</f>
        <v>48.0699999999997</v>
      </c>
      <c r="BH120" s="51"/>
      <c r="BI120" s="52"/>
      <c r="BJ120" s="51"/>
      <c r="BK120" s="52"/>
      <c r="BL120" s="40"/>
      <c r="BM120" s="55"/>
      <c r="BN120" s="63"/>
      <c r="BO120" s="48"/>
      <c r="BP120" s="56"/>
      <c r="BQ120" s="48"/>
      <c r="BR120" s="56"/>
      <c r="BS120" s="40"/>
      <c r="BT120" s="40"/>
      <c r="BU120" s="51"/>
      <c r="BV120" s="52"/>
      <c r="BW120" s="51"/>
      <c r="BX120" s="52"/>
      <c r="BY120" s="40"/>
      <c r="BZ120" s="55"/>
    </row>
    <row r="121" ht="13.5" customHeight="1" spans="1:78">
      <c r="A121" s="25" t="s">
        <v>497</v>
      </c>
      <c r="B121" s="5" t="s">
        <v>93</v>
      </c>
      <c r="C121" s="6"/>
      <c r="D121" s="7"/>
      <c r="E121" s="29"/>
      <c r="F121" s="30" t="str">
        <f t="shared" si="0"/>
        <v/>
      </c>
      <c r="G121" s="12"/>
      <c r="H121" s="31"/>
      <c r="I121" s="38"/>
      <c r="J121" s="30" t="str">
        <f t="shared" si="1"/>
        <v/>
      </c>
      <c r="K121" s="12"/>
      <c r="L121" s="31"/>
      <c r="M121" s="40"/>
      <c r="N121" s="30" t="str">
        <f t="shared" si="2"/>
        <v/>
      </c>
      <c r="O121" s="12"/>
      <c r="P121" s="31"/>
      <c r="Q121" s="38"/>
      <c r="R121" s="30" t="str">
        <f t="shared" si="3"/>
        <v/>
      </c>
      <c r="S121" s="12">
        <v>45449</v>
      </c>
      <c r="T121" s="31">
        <v>45465</v>
      </c>
      <c r="U121" s="38" t="str">
        <f>IF(S121&lt;&gt;0,IF(T121&lt;&gt;0,"0","1"),"")</f>
        <v>0</v>
      </c>
      <c r="V121" s="30">
        <f t="shared" si="4"/>
        <v>11</v>
      </c>
      <c r="W121" s="12"/>
      <c r="X121" s="31"/>
      <c r="Y121" s="38"/>
      <c r="Z121" s="30" t="str">
        <f t="shared" si="5"/>
        <v/>
      </c>
      <c r="AA121" s="12"/>
      <c r="AB121" s="31"/>
      <c r="AC121" s="40"/>
      <c r="AD121" s="30" t="str">
        <f t="shared" si="6"/>
        <v/>
      </c>
      <c r="AE121" s="48" t="s">
        <v>406</v>
      </c>
      <c r="AF121" s="47" t="s">
        <v>406</v>
      </c>
      <c r="AG121" s="53" t="s">
        <v>91</v>
      </c>
      <c r="AH121" s="51"/>
      <c r="AI121" s="52"/>
      <c r="AJ121" s="51"/>
      <c r="AK121" s="52"/>
      <c r="AL121" s="40"/>
      <c r="AM121" s="40"/>
      <c r="AN121" s="40"/>
      <c r="AO121" s="48"/>
      <c r="AP121" s="56"/>
      <c r="AQ121" s="48"/>
      <c r="AR121" s="56"/>
      <c r="AS121" s="40"/>
      <c r="AT121" s="40"/>
      <c r="AU121" s="51"/>
      <c r="AV121" s="52">
        <v>3788.09</v>
      </c>
      <c r="AW121" s="51"/>
      <c r="AX121" s="52">
        <v>3729.47</v>
      </c>
      <c r="AY121" s="40"/>
      <c r="AZ121" s="55"/>
      <c r="BA121" s="63"/>
      <c r="BB121" s="48"/>
      <c r="BC121" s="56"/>
      <c r="BD121" s="48"/>
      <c r="BE121" s="56"/>
      <c r="BF121" s="64"/>
      <c r="BG121" s="48"/>
      <c r="BH121" s="51">
        <v>3586.53</v>
      </c>
      <c r="BI121" s="52">
        <v>3564.14</v>
      </c>
      <c r="BJ121" s="51">
        <v>3531.03</v>
      </c>
      <c r="BK121" s="52">
        <v>3508.98</v>
      </c>
      <c r="BL121" s="55" t="str">
        <f>IF(AND(BK121&lt;&gt;"",BJ121&lt;&gt;""),IF(BK121&gt;BJ121,"核增",IF(BK121&lt;BJ121,"核减","不变")),"")</f>
        <v>核减</v>
      </c>
      <c r="BM121" s="55">
        <f>IF(AND(BK121&lt;&gt;"",BJ121&lt;&gt;""),MAX(ABS(BK121),ABS(BJ121))-MIN(ABS(BK121),ABS(BJ121)),"")</f>
        <v>22.0500000000002</v>
      </c>
      <c r="BN121" s="63" t="str">
        <f>IF(AND(BI121&lt;&gt;"",AV121&lt;&gt;""),IF(BI121&gt;AV121,"核增",IF(BI121&lt;AV121,"核减","不变")),"")&amp;TEXT(IF(AND(BI121&lt;&gt;"",AV121&lt;&gt;""),MAX(ABS(BI121),ABS(AV121))-MIN(ABS(BI121),ABS(AV121)),""),"0.00")</f>
        <v>核减223.95</v>
      </c>
      <c r="BO121" s="48"/>
      <c r="BP121" s="56"/>
      <c r="BQ121" s="48"/>
      <c r="BR121" s="56"/>
      <c r="BS121" s="40"/>
      <c r="BT121" s="40"/>
      <c r="BU121" s="51"/>
      <c r="BV121" s="52"/>
      <c r="BW121" s="51"/>
      <c r="BX121" s="52"/>
      <c r="BY121" s="40"/>
      <c r="BZ121" s="55"/>
    </row>
    <row r="122" ht="13.5" customHeight="1" spans="1:78">
      <c r="A122" s="26" t="s">
        <v>498</v>
      </c>
      <c r="B122" s="5" t="s">
        <v>85</v>
      </c>
      <c r="C122" s="6"/>
      <c r="D122" s="7"/>
      <c r="E122" s="32" t="str">
        <f>IF(C122&lt;&gt;0,IF(D122&lt;&gt;0,"0","1"),"")</f>
        <v/>
      </c>
      <c r="F122" s="30" t="str">
        <f t="shared" si="0"/>
        <v/>
      </c>
      <c r="G122" s="12"/>
      <c r="H122" s="31"/>
      <c r="I122" s="37"/>
      <c r="J122" s="30" t="str">
        <f t="shared" si="1"/>
        <v/>
      </c>
      <c r="K122" s="12"/>
      <c r="L122" s="31"/>
      <c r="M122" s="40"/>
      <c r="N122" s="30" t="str">
        <f t="shared" si="2"/>
        <v/>
      </c>
      <c r="O122" s="12"/>
      <c r="P122" s="31"/>
      <c r="Q122" s="38"/>
      <c r="R122" s="30" t="str">
        <f t="shared" si="3"/>
        <v/>
      </c>
      <c r="S122" s="12"/>
      <c r="T122" s="31"/>
      <c r="U122" s="40"/>
      <c r="V122" s="30" t="str">
        <f t="shared" si="4"/>
        <v/>
      </c>
      <c r="W122" s="12"/>
      <c r="X122" s="31"/>
      <c r="Y122" s="38"/>
      <c r="Z122" s="30" t="str">
        <f t="shared" si="5"/>
        <v/>
      </c>
      <c r="AA122" s="12"/>
      <c r="AB122" s="31"/>
      <c r="AC122" s="40"/>
      <c r="AD122" s="30" t="str">
        <f t="shared" si="6"/>
        <v/>
      </c>
      <c r="AE122" s="46" t="s">
        <v>86</v>
      </c>
      <c r="AF122" s="47" t="s">
        <v>86</v>
      </c>
      <c r="AG122" s="53" t="s">
        <v>91</v>
      </c>
      <c r="AH122" s="51"/>
      <c r="AI122" s="52">
        <v>4799.79</v>
      </c>
      <c r="AJ122" s="51"/>
      <c r="AK122" s="52">
        <v>4717.4</v>
      </c>
      <c r="AL122" s="55" t="str">
        <f>IF(AND(AK122&lt;&gt;"",AJ122&lt;&gt;""),IF(AK122&gt;AJ122,"核增",IF(AK122&lt;AJ122,"核减","不变")),"")</f>
        <v/>
      </c>
      <c r="AM122" s="55" t="str">
        <f>IF(AND(AI122&lt;&gt;"",AH122&lt;&gt;""),MAX(ABS(AI122),ABS(AH122))-MIN(ABS(AI122),ABS(AH122)),"")</f>
        <v/>
      </c>
      <c r="AN122" s="55" t="str">
        <f>IF(AND(AK122&lt;&gt;"",AJ122&lt;&gt;""),MAX(ABS(AK122),ABS(AJ122))-MIN(ABS(AK122),ABS(AJ122)),"")</f>
        <v/>
      </c>
      <c r="AO122" s="48"/>
      <c r="AP122" s="56"/>
      <c r="AQ122" s="48"/>
      <c r="AR122" s="56"/>
      <c r="AS122" s="40"/>
      <c r="AT122" s="40"/>
      <c r="AU122" s="51"/>
      <c r="AV122" s="52"/>
      <c r="AW122" s="51"/>
      <c r="AX122" s="52"/>
      <c r="AY122" s="40"/>
      <c r="AZ122" s="55"/>
      <c r="BA122" s="63"/>
      <c r="BB122" s="48"/>
      <c r="BC122" s="56"/>
      <c r="BD122" s="48"/>
      <c r="BE122" s="56"/>
      <c r="BF122" s="64"/>
      <c r="BG122" s="48"/>
      <c r="BH122" s="51"/>
      <c r="BI122" s="52"/>
      <c r="BJ122" s="51"/>
      <c r="BK122" s="52"/>
      <c r="BL122" s="40"/>
      <c r="BM122" s="55"/>
      <c r="BN122" s="63"/>
      <c r="BO122" s="48"/>
      <c r="BP122" s="56"/>
      <c r="BQ122" s="48"/>
      <c r="BR122" s="56"/>
      <c r="BS122" s="40"/>
      <c r="BT122" s="40"/>
      <c r="BU122" s="51"/>
      <c r="BV122" s="52"/>
      <c r="BW122" s="51"/>
      <c r="BX122" s="52"/>
      <c r="BY122" s="40"/>
      <c r="BZ122" s="55"/>
    </row>
    <row r="123" ht="13.5" customHeight="1" spans="1:78">
      <c r="A123" s="25" t="s">
        <v>499</v>
      </c>
      <c r="B123" s="5" t="s">
        <v>93</v>
      </c>
      <c r="C123" s="6"/>
      <c r="D123" s="7"/>
      <c r="E123" s="32"/>
      <c r="F123" s="30" t="str">
        <f t="shared" si="0"/>
        <v/>
      </c>
      <c r="G123" s="12"/>
      <c r="H123" s="31"/>
      <c r="I123" s="37"/>
      <c r="J123" s="30" t="str">
        <f t="shared" si="1"/>
        <v/>
      </c>
      <c r="K123" s="12"/>
      <c r="L123" s="31"/>
      <c r="M123" s="40"/>
      <c r="N123" s="30" t="str">
        <f t="shared" si="2"/>
        <v/>
      </c>
      <c r="O123" s="12"/>
      <c r="P123" s="31"/>
      <c r="Q123" s="38"/>
      <c r="R123" s="30" t="str">
        <f t="shared" si="3"/>
        <v/>
      </c>
      <c r="S123" s="12"/>
      <c r="T123" s="31"/>
      <c r="U123" s="40"/>
      <c r="V123" s="30" t="str">
        <f t="shared" si="4"/>
        <v/>
      </c>
      <c r="W123" s="12"/>
      <c r="X123" s="31"/>
      <c r="Y123" s="38"/>
      <c r="Z123" s="30" t="str">
        <f t="shared" si="5"/>
        <v/>
      </c>
      <c r="AA123" s="12">
        <v>45516</v>
      </c>
      <c r="AB123" s="31">
        <v>45545</v>
      </c>
      <c r="AC123" s="40" t="str">
        <f t="shared" ref="AC123:AC124" si="218">IF(AA123&lt;&gt;0,IF(AB123&lt;&gt;0,"0","1"),"")</f>
        <v>0</v>
      </c>
      <c r="AD123" s="30">
        <f t="shared" si="6"/>
        <v>22</v>
      </c>
      <c r="AE123" s="48" t="s">
        <v>82</v>
      </c>
      <c r="AF123" s="47" t="s">
        <v>82</v>
      </c>
      <c r="AG123" s="53" t="s">
        <v>91</v>
      </c>
      <c r="AH123" s="51"/>
      <c r="AI123" s="52"/>
      <c r="AJ123" s="51"/>
      <c r="AK123" s="52"/>
      <c r="AL123" s="55"/>
      <c r="AM123" s="55"/>
      <c r="AN123" s="55"/>
      <c r="AO123" s="48"/>
      <c r="AP123" s="56"/>
      <c r="AQ123" s="48"/>
      <c r="AR123" s="56"/>
      <c r="AS123" s="40"/>
      <c r="AT123" s="40"/>
      <c r="AU123" s="51"/>
      <c r="AV123" s="52"/>
      <c r="AW123" s="51"/>
      <c r="AX123" s="52"/>
      <c r="AY123" s="40"/>
      <c r="AZ123" s="55"/>
      <c r="BA123" s="63"/>
      <c r="BB123" s="48"/>
      <c r="BC123" s="56"/>
      <c r="BD123" s="48"/>
      <c r="BE123" s="56"/>
      <c r="BF123" s="64"/>
      <c r="BG123" s="48"/>
      <c r="BH123" s="51"/>
      <c r="BI123" s="52"/>
      <c r="BJ123" s="51"/>
      <c r="BK123" s="52"/>
      <c r="BL123" s="40"/>
      <c r="BM123" s="55"/>
      <c r="BN123" s="63"/>
      <c r="BO123" s="48"/>
      <c r="BP123" s="56"/>
      <c r="BQ123" s="48"/>
      <c r="BR123" s="56"/>
      <c r="BS123" s="40"/>
      <c r="BT123" s="40"/>
      <c r="BU123" s="51">
        <v>629.96</v>
      </c>
      <c r="BV123" s="52">
        <v>955.48</v>
      </c>
      <c r="BW123" s="51">
        <v>629.96</v>
      </c>
      <c r="BX123" s="52">
        <v>955.48</v>
      </c>
      <c r="BY123" s="55" t="str">
        <f t="shared" ref="BY123:BY124" si="219">IF(AND(BX123&lt;&gt;"",BW123&lt;&gt;""),IF(BX123&gt;BW123,"核增",IF(BX123&lt;BW123,"核减","不变")),"")</f>
        <v>核增</v>
      </c>
      <c r="BZ123" s="55">
        <f t="shared" ref="BZ123:BZ124" si="220">IF(AND(BX123&lt;&gt;"",BW123&lt;&gt;""),MAX(ABS(BX123),ABS(BW123))-MIN(ABS(BX123),ABS(BW123)),"")</f>
        <v>325.52</v>
      </c>
    </row>
    <row r="124" ht="13.5" customHeight="1" spans="1:78">
      <c r="A124" s="25" t="s">
        <v>500</v>
      </c>
      <c r="B124" s="5" t="s">
        <v>93</v>
      </c>
      <c r="C124" s="6"/>
      <c r="D124" s="7"/>
      <c r="E124" s="29"/>
      <c r="F124" s="30" t="str">
        <f t="shared" si="0"/>
        <v/>
      </c>
      <c r="G124" s="12"/>
      <c r="H124" s="31"/>
      <c r="I124" s="37"/>
      <c r="J124" s="30" t="str">
        <f t="shared" si="1"/>
        <v/>
      </c>
      <c r="K124" s="12"/>
      <c r="L124" s="31"/>
      <c r="M124" s="40"/>
      <c r="N124" s="30" t="str">
        <f t="shared" si="2"/>
        <v/>
      </c>
      <c r="O124" s="12"/>
      <c r="P124" s="31"/>
      <c r="Q124" s="38"/>
      <c r="R124" s="30" t="str">
        <f t="shared" si="3"/>
        <v/>
      </c>
      <c r="S124" s="12"/>
      <c r="T124" s="31"/>
      <c r="U124" s="40"/>
      <c r="V124" s="30" t="str">
        <f t="shared" si="4"/>
        <v/>
      </c>
      <c r="W124" s="12"/>
      <c r="X124" s="31"/>
      <c r="Y124" s="38"/>
      <c r="Z124" s="30" t="str">
        <f t="shared" si="5"/>
        <v/>
      </c>
      <c r="AA124" s="12">
        <v>45488</v>
      </c>
      <c r="AB124" s="31">
        <v>45505</v>
      </c>
      <c r="AC124" s="40" t="str">
        <f t="shared" si="218"/>
        <v>0</v>
      </c>
      <c r="AD124" s="30">
        <f t="shared" si="6"/>
        <v>14</v>
      </c>
      <c r="AE124" s="46" t="s">
        <v>97</v>
      </c>
      <c r="AF124" s="47" t="s">
        <v>91</v>
      </c>
      <c r="AG124" s="50" t="s">
        <v>97</v>
      </c>
      <c r="AH124" s="51"/>
      <c r="AI124" s="52"/>
      <c r="AJ124" s="51"/>
      <c r="AK124" s="52"/>
      <c r="AL124" s="40"/>
      <c r="AM124" s="40"/>
      <c r="AN124" s="40"/>
      <c r="AO124" s="48"/>
      <c r="AP124" s="56"/>
      <c r="AQ124" s="48"/>
      <c r="AR124" s="56"/>
      <c r="AS124" s="40"/>
      <c r="AT124" s="40"/>
      <c r="AU124" s="51"/>
      <c r="AV124" s="52"/>
      <c r="AW124" s="51"/>
      <c r="AX124" s="52"/>
      <c r="AY124" s="40"/>
      <c r="AZ124" s="55"/>
      <c r="BA124" s="63"/>
      <c r="BB124" s="48"/>
      <c r="BC124" s="56"/>
      <c r="BD124" s="48"/>
      <c r="BE124" s="56"/>
      <c r="BF124" s="64"/>
      <c r="BG124" s="48"/>
      <c r="BH124" s="51"/>
      <c r="BI124" s="52"/>
      <c r="BJ124" s="51"/>
      <c r="BK124" s="52"/>
      <c r="BL124" s="40"/>
      <c r="BM124" s="55"/>
      <c r="BN124" s="63"/>
      <c r="BO124" s="48"/>
      <c r="BP124" s="56"/>
      <c r="BQ124" s="48"/>
      <c r="BR124" s="56"/>
      <c r="BS124" s="40"/>
      <c r="BT124" s="40"/>
      <c r="BU124" s="51">
        <v>173.62</v>
      </c>
      <c r="BV124" s="52">
        <v>173.62</v>
      </c>
      <c r="BW124" s="51">
        <v>173.62</v>
      </c>
      <c r="BX124" s="52">
        <v>173.62</v>
      </c>
      <c r="BY124" s="55" t="str">
        <f t="shared" si="219"/>
        <v>不变</v>
      </c>
      <c r="BZ124" s="55">
        <f t="shared" si="220"/>
        <v>0</v>
      </c>
    </row>
    <row r="125" ht="13.5" customHeight="1" spans="1:78">
      <c r="A125" s="25" t="s">
        <v>501</v>
      </c>
      <c r="B125" s="5" t="s">
        <v>81</v>
      </c>
      <c r="C125" s="6"/>
      <c r="D125" s="7"/>
      <c r="E125" s="29"/>
      <c r="F125" s="30" t="str">
        <f t="shared" si="0"/>
        <v/>
      </c>
      <c r="G125" s="12"/>
      <c r="H125" s="31"/>
      <c r="I125" s="37"/>
      <c r="J125" s="30" t="str">
        <f t="shared" si="1"/>
        <v/>
      </c>
      <c r="K125" s="12"/>
      <c r="L125" s="31"/>
      <c r="M125" s="40"/>
      <c r="N125" s="30" t="str">
        <f t="shared" si="2"/>
        <v/>
      </c>
      <c r="O125" s="12"/>
      <c r="P125" s="31"/>
      <c r="Q125" s="38"/>
      <c r="R125" s="30" t="str">
        <f t="shared" si="3"/>
        <v/>
      </c>
      <c r="S125" s="12"/>
      <c r="T125" s="31"/>
      <c r="U125" s="40"/>
      <c r="V125" s="30" t="str">
        <f t="shared" si="4"/>
        <v/>
      </c>
      <c r="W125" s="12">
        <v>45489</v>
      </c>
      <c r="X125" s="31">
        <v>45492</v>
      </c>
      <c r="Y125" s="38" t="str">
        <f t="shared" ref="Y125:Y126" si="221">IF(W125&lt;&gt;0,IF(X125&lt;&gt;0,"0","1"),"")</f>
        <v>0</v>
      </c>
      <c r="Z125" s="30">
        <f t="shared" si="5"/>
        <v>4</v>
      </c>
      <c r="AA125" s="12"/>
      <c r="AB125" s="31"/>
      <c r="AC125" s="40"/>
      <c r="AD125" s="30" t="str">
        <f t="shared" si="6"/>
        <v/>
      </c>
      <c r="AE125" s="48" t="s">
        <v>87</v>
      </c>
      <c r="AF125" s="47" t="s">
        <v>91</v>
      </c>
      <c r="AG125" s="50" t="s">
        <v>87</v>
      </c>
      <c r="AH125" s="51"/>
      <c r="AI125" s="52"/>
      <c r="AJ125" s="51"/>
      <c r="AK125" s="52"/>
      <c r="AL125" s="40"/>
      <c r="AM125" s="40"/>
      <c r="AN125" s="40"/>
      <c r="AO125" s="48"/>
      <c r="AP125" s="56"/>
      <c r="AQ125" s="48"/>
      <c r="AR125" s="56"/>
      <c r="AS125" s="40"/>
      <c r="AT125" s="40"/>
      <c r="AU125" s="51"/>
      <c r="AV125" s="52"/>
      <c r="AW125" s="51"/>
      <c r="AX125" s="52"/>
      <c r="AY125" s="40"/>
      <c r="AZ125" s="55"/>
      <c r="BA125" s="63"/>
      <c r="BB125" s="48"/>
      <c r="BC125" s="56"/>
      <c r="BD125" s="48"/>
      <c r="BE125" s="56"/>
      <c r="BF125" s="64"/>
      <c r="BG125" s="48"/>
      <c r="BH125" s="60"/>
      <c r="BI125" s="61">
        <v>19449</v>
      </c>
      <c r="BJ125" s="60"/>
      <c r="BK125" s="61">
        <v>19118</v>
      </c>
      <c r="BL125" s="40"/>
      <c r="BM125" s="55"/>
      <c r="BN125" s="63"/>
      <c r="BO125" s="46">
        <v>20213</v>
      </c>
      <c r="BP125" s="88">
        <v>20213</v>
      </c>
      <c r="BQ125" s="46">
        <v>19869</v>
      </c>
      <c r="BR125" s="88">
        <v>19869</v>
      </c>
      <c r="BS125" s="55" t="str">
        <f t="shared" ref="BS125:BS126" si="222">IF(AND(BR125&lt;&gt;"",BQ125&lt;&gt;""),IF(BR125&gt;BQ125,"核增",IF(BR125&lt;BQ125,"核减","不变")),"")</f>
        <v>不变</v>
      </c>
      <c r="BT125" s="55">
        <f t="shared" ref="BT125:BT126" si="223">IF(AND(BR125&lt;&gt;"",BQ125&lt;&gt;""),MAX(ABS(BR125),ABS(BQ125))-MIN(ABS(BR125),ABS(BQ125)),"")</f>
        <v>0</v>
      </c>
      <c r="BU125" s="51"/>
      <c r="BV125" s="52"/>
      <c r="BW125" s="51"/>
      <c r="BX125" s="52"/>
      <c r="BY125" s="40"/>
      <c r="BZ125" s="55"/>
    </row>
    <row r="126" ht="13.5" customHeight="1" spans="1:78">
      <c r="A126" s="25" t="s">
        <v>502</v>
      </c>
      <c r="B126" s="5" t="s">
        <v>81</v>
      </c>
      <c r="C126" s="6"/>
      <c r="D126" s="7"/>
      <c r="E126" s="29"/>
      <c r="F126" s="30" t="str">
        <f t="shared" si="0"/>
        <v/>
      </c>
      <c r="G126" s="12"/>
      <c r="H126" s="31"/>
      <c r="I126" s="37"/>
      <c r="J126" s="30" t="str">
        <f t="shared" si="1"/>
        <v/>
      </c>
      <c r="K126" s="12"/>
      <c r="L126" s="31"/>
      <c r="M126" s="40"/>
      <c r="N126" s="30" t="str">
        <f t="shared" si="2"/>
        <v/>
      </c>
      <c r="O126" s="12"/>
      <c r="P126" s="31"/>
      <c r="Q126" s="38"/>
      <c r="R126" s="30" t="str">
        <f t="shared" si="3"/>
        <v/>
      </c>
      <c r="S126" s="12"/>
      <c r="T126" s="31"/>
      <c r="U126" s="40"/>
      <c r="V126" s="30" t="str">
        <f t="shared" si="4"/>
        <v/>
      </c>
      <c r="W126" s="12">
        <v>45489</v>
      </c>
      <c r="X126" s="31">
        <v>45492</v>
      </c>
      <c r="Y126" s="38" t="str">
        <f t="shared" si="221"/>
        <v>0</v>
      </c>
      <c r="Z126" s="30">
        <f t="shared" si="5"/>
        <v>4</v>
      </c>
      <c r="AA126" s="12"/>
      <c r="AB126" s="31"/>
      <c r="AC126" s="40"/>
      <c r="AD126" s="30" t="str">
        <f t="shared" si="6"/>
        <v/>
      </c>
      <c r="AE126" s="48" t="s">
        <v>87</v>
      </c>
      <c r="AF126" s="47" t="s">
        <v>91</v>
      </c>
      <c r="AG126" s="50" t="s">
        <v>87</v>
      </c>
      <c r="AH126" s="51"/>
      <c r="AI126" s="52"/>
      <c r="AJ126" s="51"/>
      <c r="AK126" s="52"/>
      <c r="AL126" s="40"/>
      <c r="AM126" s="40"/>
      <c r="AN126" s="40"/>
      <c r="AO126" s="48"/>
      <c r="AP126" s="56"/>
      <c r="AQ126" s="48"/>
      <c r="AR126" s="56"/>
      <c r="AS126" s="40"/>
      <c r="AT126" s="40"/>
      <c r="AU126" s="51"/>
      <c r="AV126" s="52"/>
      <c r="AW126" s="51"/>
      <c r="AX126" s="52"/>
      <c r="AY126" s="40"/>
      <c r="AZ126" s="55"/>
      <c r="BA126" s="63"/>
      <c r="BB126" s="48"/>
      <c r="BC126" s="56"/>
      <c r="BD126" s="48"/>
      <c r="BE126" s="56"/>
      <c r="BF126" s="64"/>
      <c r="BG126" s="48"/>
      <c r="BH126" s="60"/>
      <c r="BI126" s="61">
        <v>10979</v>
      </c>
      <c r="BJ126" s="60"/>
      <c r="BK126" s="61">
        <v>10795</v>
      </c>
      <c r="BL126" s="40"/>
      <c r="BM126" s="55"/>
      <c r="BN126" s="63"/>
      <c r="BO126" s="46">
        <v>11457</v>
      </c>
      <c r="BP126" s="88">
        <v>11457</v>
      </c>
      <c r="BQ126" s="46">
        <v>11265</v>
      </c>
      <c r="BR126" s="88">
        <v>11265</v>
      </c>
      <c r="BS126" s="55" t="str">
        <f t="shared" si="222"/>
        <v>不变</v>
      </c>
      <c r="BT126" s="55">
        <f t="shared" si="223"/>
        <v>0</v>
      </c>
      <c r="BU126" s="51"/>
      <c r="BV126" s="52"/>
      <c r="BW126" s="51"/>
      <c r="BX126" s="52"/>
      <c r="BY126" s="40"/>
      <c r="BZ126" s="55"/>
    </row>
    <row r="127" ht="13.5" customHeight="1" spans="1:78">
      <c r="A127" s="25" t="s">
        <v>503</v>
      </c>
      <c r="B127" s="5" t="s">
        <v>81</v>
      </c>
      <c r="C127" s="6"/>
      <c r="D127" s="7"/>
      <c r="E127" s="29"/>
      <c r="F127" s="30" t="str">
        <f t="shared" si="0"/>
        <v/>
      </c>
      <c r="G127" s="31">
        <v>45497</v>
      </c>
      <c r="H127" s="31">
        <v>45506</v>
      </c>
      <c r="I127" s="38" t="str">
        <f>IF(G127&lt;&gt;0,IF(H127&lt;&gt;0,"0","1"),"")</f>
        <v>0</v>
      </c>
      <c r="J127" s="30">
        <f t="shared" si="1"/>
        <v>8</v>
      </c>
      <c r="K127" s="12">
        <v>45575</v>
      </c>
      <c r="L127" s="31">
        <v>45589</v>
      </c>
      <c r="M127" s="38" t="str">
        <f>IF(K127&lt;&gt;0,IF(L127&lt;&gt;0,"0","1"),"")</f>
        <v>0</v>
      </c>
      <c r="N127" s="30">
        <f t="shared" si="2"/>
        <v>11</v>
      </c>
      <c r="O127" s="12"/>
      <c r="P127" s="31"/>
      <c r="Q127" s="38"/>
      <c r="R127" s="30" t="str">
        <f t="shared" si="3"/>
        <v/>
      </c>
      <c r="S127" s="12"/>
      <c r="T127" s="31"/>
      <c r="U127" s="38" t="str">
        <f>IF(S127&lt;&gt;0,IF(T127&lt;&gt;0,"0","1"),"")</f>
        <v/>
      </c>
      <c r="V127" s="30" t="str">
        <f t="shared" si="4"/>
        <v/>
      </c>
      <c r="W127" s="12"/>
      <c r="X127" s="31"/>
      <c r="Y127" s="38"/>
      <c r="Z127" s="30" t="str">
        <f t="shared" si="5"/>
        <v/>
      </c>
      <c r="AA127" s="12"/>
      <c r="AB127" s="31"/>
      <c r="AC127" s="40"/>
      <c r="AD127" s="30" t="str">
        <f t="shared" si="6"/>
        <v/>
      </c>
      <c r="AE127" s="48" t="s">
        <v>406</v>
      </c>
      <c r="AF127" s="47" t="s">
        <v>406</v>
      </c>
      <c r="AG127" s="53" t="s">
        <v>97</v>
      </c>
      <c r="AH127" s="51"/>
      <c r="AI127" s="52">
        <v>12366</v>
      </c>
      <c r="AJ127" s="51"/>
      <c r="AK127" s="52">
        <v>12146</v>
      </c>
      <c r="AL127" s="40"/>
      <c r="AM127" s="40"/>
      <c r="AN127" s="40"/>
      <c r="AO127" s="48">
        <v>19869.19</v>
      </c>
      <c r="AP127" s="56">
        <v>19777.1</v>
      </c>
      <c r="AQ127" s="48">
        <v>19528.28</v>
      </c>
      <c r="AR127" s="56">
        <v>19438.26</v>
      </c>
      <c r="AS127" s="55" t="str">
        <f>IF(AND(AR127&lt;&gt;"",AQ127&lt;&gt;""),IF(AR127&gt;AQ127,"核增",IF(AR127&lt;AQ127,"核减","不变")),"")</f>
        <v>核减</v>
      </c>
      <c r="AT127" s="55">
        <f>IF(AND(AR127&lt;&gt;"",AQ127&lt;&gt;""),MAX(ABS(AR127),ABS(AQ127))-MIN(ABS(AR127),ABS(AQ127)),"")</f>
        <v>90.0200000000004</v>
      </c>
      <c r="AU127" s="51">
        <v>19713.95</v>
      </c>
      <c r="AV127" s="52">
        <v>19534.61</v>
      </c>
      <c r="AW127" s="51">
        <v>19409.42</v>
      </c>
      <c r="AX127" s="52">
        <v>19232.85</v>
      </c>
      <c r="AY127" s="55" t="str">
        <f>IF(AND(AX127&lt;&gt;"",AW127&lt;&gt;""),IF(AX127&gt;AW127,"核增",IF(AX127&lt;AW127,"核减","不变")),"")</f>
        <v>核减</v>
      </c>
      <c r="AZ127" s="55">
        <f>IF(AND(AX127&lt;&gt;"",AW127&lt;&gt;""),MAX(ABS(AX127),ABS(AW127))-MIN(ABS(AX127),ABS(AW127)),"")</f>
        <v>176.57</v>
      </c>
      <c r="BA127" s="63" t="str">
        <f>IF(AND(AV127&lt;&gt;"",AP127&lt;&gt;""),IF(AV127&gt;AP127,"核增",IF(AV127&lt;AP127,"核减","不变")),"")&amp;TEXT(IF(AND(AV127&lt;&gt;"",AP127&lt;&gt;""),MAX(ABS(AV127),ABS(AP127))-MIN(ABS(AV127),ABS(AP127)),""),"0.00")</f>
        <v>核减242.49</v>
      </c>
      <c r="BB127" s="48"/>
      <c r="BC127" s="56"/>
      <c r="BD127" s="48"/>
      <c r="BE127" s="56"/>
      <c r="BF127" s="64"/>
      <c r="BG127" s="48"/>
      <c r="BH127" s="51"/>
      <c r="BI127" s="52"/>
      <c r="BJ127" s="51"/>
      <c r="BK127" s="52"/>
      <c r="BL127" s="40"/>
      <c r="BM127" s="55"/>
      <c r="BN127" s="63"/>
      <c r="BO127" s="48"/>
      <c r="BP127" s="56"/>
      <c r="BQ127" s="48"/>
      <c r="BR127" s="56"/>
      <c r="BS127" s="40"/>
      <c r="BT127" s="40"/>
      <c r="BU127" s="51"/>
      <c r="BV127" s="52"/>
      <c r="BW127" s="51"/>
      <c r="BX127" s="52"/>
      <c r="BY127" s="40"/>
      <c r="BZ127" s="55"/>
    </row>
    <row r="128" ht="13.5" customHeight="1" spans="1:78">
      <c r="A128" s="25" t="s">
        <v>504</v>
      </c>
      <c r="B128" s="5" t="s">
        <v>93</v>
      </c>
      <c r="C128" s="6"/>
      <c r="D128" s="7"/>
      <c r="E128" s="29"/>
      <c r="F128" s="30" t="str">
        <f t="shared" si="0"/>
        <v/>
      </c>
      <c r="G128" s="12"/>
      <c r="H128" s="31"/>
      <c r="I128" s="37"/>
      <c r="J128" s="30" t="str">
        <f t="shared" si="1"/>
        <v/>
      </c>
      <c r="K128" s="12"/>
      <c r="L128" s="31"/>
      <c r="M128" s="40"/>
      <c r="N128" s="30" t="str">
        <f t="shared" si="2"/>
        <v/>
      </c>
      <c r="O128" s="12"/>
      <c r="P128" s="31"/>
      <c r="Q128" s="38"/>
      <c r="R128" s="30" t="str">
        <f t="shared" si="3"/>
        <v/>
      </c>
      <c r="S128" s="12"/>
      <c r="T128" s="31"/>
      <c r="U128" s="40"/>
      <c r="V128" s="30" t="str">
        <f t="shared" si="4"/>
        <v/>
      </c>
      <c r="W128" s="12"/>
      <c r="X128" s="31"/>
      <c r="Y128" s="38"/>
      <c r="Z128" s="30" t="str">
        <f t="shared" si="5"/>
        <v/>
      </c>
      <c r="AA128" s="33">
        <v>45593</v>
      </c>
      <c r="AB128" s="31">
        <v>45601</v>
      </c>
      <c r="AC128" s="40" t="str">
        <f t="shared" ref="AC128:AC134" si="224">IF(AA128&lt;&gt;0,IF(AB128&lt;&gt;0,"0","1"),"")</f>
        <v>0</v>
      </c>
      <c r="AD128" s="30">
        <f t="shared" si="6"/>
        <v>7</v>
      </c>
      <c r="AE128" s="48" t="s">
        <v>406</v>
      </c>
      <c r="AF128" s="47" t="s">
        <v>406</v>
      </c>
      <c r="AG128" s="53" t="s">
        <v>97</v>
      </c>
      <c r="AH128" s="51"/>
      <c r="AI128" s="52"/>
      <c r="AJ128" s="51"/>
      <c r="AK128" s="52"/>
      <c r="AL128" s="40"/>
      <c r="AM128" s="40"/>
      <c r="AN128" s="40"/>
      <c r="AO128" s="48"/>
      <c r="AP128" s="56"/>
      <c r="AQ128" s="48"/>
      <c r="AR128" s="56"/>
      <c r="AS128" s="40"/>
      <c r="AT128" s="40"/>
      <c r="AU128" s="51"/>
      <c r="AV128" s="52"/>
      <c r="AW128" s="51"/>
      <c r="AX128" s="52"/>
      <c r="AY128" s="40"/>
      <c r="AZ128" s="55"/>
      <c r="BA128" s="63"/>
      <c r="BB128" s="48"/>
      <c r="BC128" s="56"/>
      <c r="BD128" s="48"/>
      <c r="BE128" s="56"/>
      <c r="BF128" s="64"/>
      <c r="BG128" s="48"/>
      <c r="BH128" s="51"/>
      <c r="BI128" s="52"/>
      <c r="BJ128" s="51"/>
      <c r="BK128" s="52"/>
      <c r="BL128" s="40"/>
      <c r="BM128" s="55"/>
      <c r="BN128" s="63"/>
      <c r="BO128" s="48"/>
      <c r="BP128" s="56"/>
      <c r="BQ128" s="48"/>
      <c r="BR128" s="56"/>
      <c r="BS128" s="40"/>
      <c r="BT128" s="40"/>
      <c r="BU128" s="51">
        <v>152.99</v>
      </c>
      <c r="BV128" s="52">
        <v>263.88</v>
      </c>
      <c r="BW128" s="51">
        <v>152.99</v>
      </c>
      <c r="BX128" s="52">
        <v>263.88</v>
      </c>
      <c r="BY128" s="55" t="str">
        <f t="shared" ref="BY128:BY130" si="225">IF(AND(BX128&lt;&gt;"",BW128&lt;&gt;""),IF(BX128&gt;BW128,"核增",IF(BX128&lt;BW128,"核减","不变")),"")</f>
        <v>核增</v>
      </c>
      <c r="BZ128" s="55">
        <f t="shared" ref="BZ128:BZ134" si="226">IF(AND(BX128&lt;&gt;"",BW128&lt;&gt;""),MAX(ABS(BX128),ABS(BW128))-MIN(ABS(BX128),ABS(BW128)),"")</f>
        <v>110.89</v>
      </c>
    </row>
    <row r="129" ht="13.5" customHeight="1" spans="1:78">
      <c r="A129" s="25" t="s">
        <v>505</v>
      </c>
      <c r="B129" s="5" t="s">
        <v>85</v>
      </c>
      <c r="C129" s="6"/>
      <c r="D129" s="7"/>
      <c r="E129" s="29"/>
      <c r="F129" s="30" t="str">
        <f t="shared" si="0"/>
        <v/>
      </c>
      <c r="G129" s="12"/>
      <c r="H129" s="31"/>
      <c r="I129" s="37"/>
      <c r="J129" s="30" t="str">
        <f t="shared" si="1"/>
        <v/>
      </c>
      <c r="K129" s="12"/>
      <c r="L129" s="31"/>
      <c r="M129" s="40"/>
      <c r="N129" s="30" t="str">
        <f t="shared" si="2"/>
        <v/>
      </c>
      <c r="O129" s="12"/>
      <c r="P129" s="31"/>
      <c r="Q129" s="38"/>
      <c r="R129" s="30" t="str">
        <f t="shared" si="3"/>
        <v/>
      </c>
      <c r="S129" s="12"/>
      <c r="T129" s="31"/>
      <c r="U129" s="40"/>
      <c r="V129" s="30" t="str">
        <f t="shared" si="4"/>
        <v/>
      </c>
      <c r="W129" s="12"/>
      <c r="X129" s="31"/>
      <c r="Y129" s="38"/>
      <c r="Z129" s="30" t="str">
        <f t="shared" si="5"/>
        <v/>
      </c>
      <c r="AA129" s="12">
        <v>45525</v>
      </c>
      <c r="AB129" s="31">
        <v>45536</v>
      </c>
      <c r="AC129" s="40" t="str">
        <f t="shared" si="224"/>
        <v>0</v>
      </c>
      <c r="AD129" s="30">
        <f t="shared" si="6"/>
        <v>8</v>
      </c>
      <c r="AE129" s="48" t="s">
        <v>406</v>
      </c>
      <c r="AF129" s="47" t="s">
        <v>406</v>
      </c>
      <c r="AG129" s="53" t="s">
        <v>91</v>
      </c>
      <c r="AH129" s="51"/>
      <c r="AI129" s="52"/>
      <c r="AJ129" s="51"/>
      <c r="AK129" s="52"/>
      <c r="AL129" s="40"/>
      <c r="AM129" s="40"/>
      <c r="AN129" s="40"/>
      <c r="AO129" s="48"/>
      <c r="AP129" s="56"/>
      <c r="AQ129" s="48"/>
      <c r="AR129" s="56"/>
      <c r="AS129" s="40"/>
      <c r="AT129" s="40"/>
      <c r="AU129" s="51"/>
      <c r="AV129" s="52"/>
      <c r="AW129" s="51"/>
      <c r="AX129" s="52"/>
      <c r="AY129" s="40"/>
      <c r="AZ129" s="55"/>
      <c r="BA129" s="63"/>
      <c r="BB129" s="48"/>
      <c r="BC129" s="56"/>
      <c r="BD129" s="48"/>
      <c r="BE129" s="56"/>
      <c r="BF129" s="64"/>
      <c r="BG129" s="48"/>
      <c r="BH129" s="51"/>
      <c r="BI129" s="52"/>
      <c r="BJ129" s="51"/>
      <c r="BK129" s="52"/>
      <c r="BL129" s="40"/>
      <c r="BM129" s="55"/>
      <c r="BN129" s="63"/>
      <c r="BO129" s="48"/>
      <c r="BP129" s="56"/>
      <c r="BQ129" s="48"/>
      <c r="BR129" s="56"/>
      <c r="BS129" s="40"/>
      <c r="BT129" s="40"/>
      <c r="BU129" s="51">
        <v>281.24</v>
      </c>
      <c r="BV129" s="52">
        <v>257.4</v>
      </c>
      <c r="BW129" s="51">
        <v>281.24</v>
      </c>
      <c r="BX129" s="52">
        <v>257.4</v>
      </c>
      <c r="BY129" s="55" t="str">
        <f t="shared" si="225"/>
        <v>核减</v>
      </c>
      <c r="BZ129" s="55">
        <f t="shared" si="226"/>
        <v>23.84</v>
      </c>
    </row>
    <row r="130" ht="13.5" customHeight="1" spans="1:78">
      <c r="A130" s="25" t="s">
        <v>506</v>
      </c>
      <c r="B130" s="5" t="s">
        <v>85</v>
      </c>
      <c r="C130" s="6"/>
      <c r="D130" s="7"/>
      <c r="E130" s="29"/>
      <c r="F130" s="30" t="str">
        <f t="shared" si="0"/>
        <v/>
      </c>
      <c r="G130" s="12"/>
      <c r="H130" s="31"/>
      <c r="I130" s="37"/>
      <c r="J130" s="30" t="str">
        <f t="shared" si="1"/>
        <v/>
      </c>
      <c r="K130" s="12"/>
      <c r="L130" s="31"/>
      <c r="M130" s="40"/>
      <c r="N130" s="30" t="str">
        <f t="shared" si="2"/>
        <v/>
      </c>
      <c r="O130" s="12"/>
      <c r="P130" s="31"/>
      <c r="Q130" s="38"/>
      <c r="R130" s="30" t="str">
        <f t="shared" si="3"/>
        <v/>
      </c>
      <c r="S130" s="12"/>
      <c r="T130" s="31"/>
      <c r="U130" s="40"/>
      <c r="V130" s="30" t="str">
        <f t="shared" si="4"/>
        <v/>
      </c>
      <c r="W130" s="12"/>
      <c r="X130" s="31"/>
      <c r="Y130" s="38"/>
      <c r="Z130" s="30" t="str">
        <f t="shared" si="5"/>
        <v/>
      </c>
      <c r="AA130" s="12">
        <v>45539</v>
      </c>
      <c r="AB130" s="31">
        <v>45555</v>
      </c>
      <c r="AC130" s="40" t="str">
        <f t="shared" si="224"/>
        <v>0</v>
      </c>
      <c r="AD130" s="30">
        <f t="shared" si="6"/>
        <v>11</v>
      </c>
      <c r="AE130" s="48" t="s">
        <v>82</v>
      </c>
      <c r="AF130" s="47" t="s">
        <v>82</v>
      </c>
      <c r="AG130" s="53" t="s">
        <v>91</v>
      </c>
      <c r="AH130" s="51"/>
      <c r="AI130" s="52"/>
      <c r="AJ130" s="51"/>
      <c r="AK130" s="52"/>
      <c r="AL130" s="40"/>
      <c r="AM130" s="40"/>
      <c r="AN130" s="40"/>
      <c r="AO130" s="48"/>
      <c r="AP130" s="56"/>
      <c r="AQ130" s="48"/>
      <c r="AR130" s="56"/>
      <c r="AS130" s="40"/>
      <c r="AT130" s="40"/>
      <c r="AU130" s="51"/>
      <c r="AV130" s="52"/>
      <c r="AW130" s="51"/>
      <c r="AX130" s="52"/>
      <c r="AY130" s="40"/>
      <c r="AZ130" s="55"/>
      <c r="BA130" s="63"/>
      <c r="BB130" s="48"/>
      <c r="BC130" s="56"/>
      <c r="BD130" s="48"/>
      <c r="BE130" s="56"/>
      <c r="BF130" s="64"/>
      <c r="BG130" s="48"/>
      <c r="BH130" s="51"/>
      <c r="BI130" s="52"/>
      <c r="BJ130" s="51"/>
      <c r="BK130" s="52"/>
      <c r="BL130" s="40"/>
      <c r="BM130" s="55"/>
      <c r="BN130" s="63"/>
      <c r="BO130" s="48"/>
      <c r="BP130" s="56"/>
      <c r="BQ130" s="48"/>
      <c r="BR130" s="56"/>
      <c r="BS130" s="40"/>
      <c r="BT130" s="40"/>
      <c r="BU130" s="51">
        <v>590.69</v>
      </c>
      <c r="BV130" s="52">
        <v>441.96</v>
      </c>
      <c r="BW130" s="51">
        <v>590.69</v>
      </c>
      <c r="BX130" s="52">
        <v>441.96</v>
      </c>
      <c r="BY130" s="55" t="str">
        <f t="shared" si="225"/>
        <v>核减</v>
      </c>
      <c r="BZ130" s="55">
        <f t="shared" si="226"/>
        <v>148.73</v>
      </c>
    </row>
    <row r="131" ht="13.5" customHeight="1" spans="1:78">
      <c r="A131" s="25" t="s">
        <v>507</v>
      </c>
      <c r="B131" s="5" t="s">
        <v>93</v>
      </c>
      <c r="C131" s="6"/>
      <c r="D131" s="7"/>
      <c r="E131" s="29"/>
      <c r="F131" s="30" t="str">
        <f t="shared" si="0"/>
        <v/>
      </c>
      <c r="G131" s="12"/>
      <c r="H131" s="31"/>
      <c r="I131" s="37"/>
      <c r="J131" s="30" t="str">
        <f t="shared" si="1"/>
        <v/>
      </c>
      <c r="K131" s="12"/>
      <c r="L131" s="31"/>
      <c r="M131" s="40"/>
      <c r="N131" s="30" t="str">
        <f t="shared" si="2"/>
        <v/>
      </c>
      <c r="O131" s="12"/>
      <c r="P131" s="31"/>
      <c r="Q131" s="38"/>
      <c r="R131" s="30" t="str">
        <f t="shared" si="3"/>
        <v/>
      </c>
      <c r="S131" s="12"/>
      <c r="T131" s="31"/>
      <c r="U131" s="40"/>
      <c r="V131" s="30" t="str">
        <f t="shared" si="4"/>
        <v/>
      </c>
      <c r="W131" s="12"/>
      <c r="X131" s="31"/>
      <c r="Y131" s="38"/>
      <c r="Z131" s="30" t="str">
        <f t="shared" si="5"/>
        <v/>
      </c>
      <c r="AA131" s="12">
        <v>45524</v>
      </c>
      <c r="AB131" s="31">
        <v>45549</v>
      </c>
      <c r="AC131" s="40" t="str">
        <f t="shared" si="224"/>
        <v>0</v>
      </c>
      <c r="AD131" s="30">
        <f t="shared" si="6"/>
        <v>19</v>
      </c>
      <c r="AE131" s="48" t="s">
        <v>87</v>
      </c>
      <c r="AF131" s="47" t="s">
        <v>91</v>
      </c>
      <c r="AG131" s="50" t="s">
        <v>87</v>
      </c>
      <c r="AH131" s="51"/>
      <c r="AI131" s="52"/>
      <c r="AJ131" s="51"/>
      <c r="AK131" s="52"/>
      <c r="AL131" s="40"/>
      <c r="AM131" s="40"/>
      <c r="AN131" s="40"/>
      <c r="AO131" s="48"/>
      <c r="AP131" s="56"/>
      <c r="AQ131" s="48"/>
      <c r="AR131" s="56"/>
      <c r="AS131" s="40"/>
      <c r="AT131" s="40"/>
      <c r="AU131" s="51"/>
      <c r="AV131" s="52"/>
      <c r="AW131" s="51"/>
      <c r="AX131" s="52"/>
      <c r="AY131" s="40"/>
      <c r="AZ131" s="55"/>
      <c r="BA131" s="63"/>
      <c r="BB131" s="48"/>
      <c r="BC131" s="56"/>
      <c r="BD131" s="48"/>
      <c r="BE131" s="56"/>
      <c r="BF131" s="64"/>
      <c r="BG131" s="48"/>
      <c r="BH131" s="51"/>
      <c r="BI131" s="52"/>
      <c r="BJ131" s="51"/>
      <c r="BK131" s="52"/>
      <c r="BL131" s="40"/>
      <c r="BM131" s="55"/>
      <c r="BN131" s="63"/>
      <c r="BO131" s="48"/>
      <c r="BP131" s="56"/>
      <c r="BQ131" s="48"/>
      <c r="BR131" s="56"/>
      <c r="BS131" s="40"/>
      <c r="BT131" s="40"/>
      <c r="BU131" s="94">
        <f t="shared" ref="BU131:BX131" si="227">ABS(-995.88)</f>
        <v>995.88</v>
      </c>
      <c r="BV131" s="95">
        <f t="shared" si="227"/>
        <v>995.88</v>
      </c>
      <c r="BW131" s="94">
        <f t="shared" si="227"/>
        <v>995.88</v>
      </c>
      <c r="BX131" s="95">
        <f t="shared" si="227"/>
        <v>995.88</v>
      </c>
      <c r="BY131" s="63" t="str">
        <f>IF(AND(BX131&lt;&gt;"",BW131&lt;&gt;""),IF((-BX131)&gt;(-BW131),"核增",IF((-BX131)&lt;(-BW131),"核减","不变")),"")</f>
        <v>不变</v>
      </c>
      <c r="BZ131" s="63">
        <f t="shared" si="226"/>
        <v>0</v>
      </c>
    </row>
    <row r="132" ht="13.5" customHeight="1" spans="1:78">
      <c r="A132" s="25" t="s">
        <v>154</v>
      </c>
      <c r="B132" s="5" t="s">
        <v>96</v>
      </c>
      <c r="C132" s="6"/>
      <c r="D132" s="7"/>
      <c r="E132" s="29"/>
      <c r="F132" s="30" t="str">
        <f t="shared" si="0"/>
        <v/>
      </c>
      <c r="G132" s="12"/>
      <c r="H132" s="31"/>
      <c r="I132" s="37"/>
      <c r="J132" s="30" t="str">
        <f t="shared" si="1"/>
        <v/>
      </c>
      <c r="K132" s="12"/>
      <c r="L132" s="31"/>
      <c r="M132" s="40"/>
      <c r="N132" s="30" t="str">
        <f t="shared" si="2"/>
        <v/>
      </c>
      <c r="O132" s="12"/>
      <c r="P132" s="31"/>
      <c r="Q132" s="38"/>
      <c r="R132" s="30" t="str">
        <f t="shared" si="3"/>
        <v/>
      </c>
      <c r="S132" s="12"/>
      <c r="T132" s="31"/>
      <c r="U132" s="40"/>
      <c r="V132" s="30" t="str">
        <f t="shared" si="4"/>
        <v/>
      </c>
      <c r="W132" s="12"/>
      <c r="X132" s="31"/>
      <c r="Y132" s="38"/>
      <c r="Z132" s="30" t="str">
        <f t="shared" si="5"/>
        <v/>
      </c>
      <c r="AA132" s="12">
        <v>45520</v>
      </c>
      <c r="AB132" s="31">
        <v>45565</v>
      </c>
      <c r="AC132" s="40" t="str">
        <f t="shared" si="224"/>
        <v>0</v>
      </c>
      <c r="AD132" s="30">
        <f t="shared" si="6"/>
        <v>30</v>
      </c>
      <c r="AE132" s="46" t="s">
        <v>97</v>
      </c>
      <c r="AF132" s="47" t="s">
        <v>91</v>
      </c>
      <c r="AG132" s="50" t="s">
        <v>97</v>
      </c>
      <c r="AH132" s="51"/>
      <c r="AI132" s="52"/>
      <c r="AJ132" s="51"/>
      <c r="AK132" s="52"/>
      <c r="AL132" s="40"/>
      <c r="AM132" s="40"/>
      <c r="AN132" s="40"/>
      <c r="AO132" s="48"/>
      <c r="AP132" s="56"/>
      <c r="AQ132" s="48"/>
      <c r="AR132" s="56"/>
      <c r="AS132" s="40"/>
      <c r="AT132" s="40"/>
      <c r="AU132" s="51"/>
      <c r="AV132" s="52"/>
      <c r="AW132" s="51"/>
      <c r="AX132" s="52"/>
      <c r="AY132" s="40"/>
      <c r="AZ132" s="55"/>
      <c r="BA132" s="63"/>
      <c r="BB132" s="48"/>
      <c r="BC132" s="56"/>
      <c r="BD132" s="48"/>
      <c r="BE132" s="56"/>
      <c r="BF132" s="64"/>
      <c r="BG132" s="48"/>
      <c r="BH132" s="51"/>
      <c r="BI132" s="52"/>
      <c r="BJ132" s="51"/>
      <c r="BK132" s="52"/>
      <c r="BL132" s="40"/>
      <c r="BM132" s="55"/>
      <c r="BN132" s="63"/>
      <c r="BO132" s="48"/>
      <c r="BP132" s="56"/>
      <c r="BQ132" s="48"/>
      <c r="BR132" s="56"/>
      <c r="BS132" s="40"/>
      <c r="BT132" s="40"/>
      <c r="BU132" s="51">
        <v>2505.06</v>
      </c>
      <c r="BV132" s="52">
        <v>2280.93</v>
      </c>
      <c r="BW132" s="51">
        <v>2505.06</v>
      </c>
      <c r="BX132" s="52">
        <v>2280.93</v>
      </c>
      <c r="BY132" s="55" t="str">
        <f t="shared" ref="BY132:BY133" si="228">IF(AND(BX132&lt;&gt;"",BW132&lt;&gt;""),IF(BX132&gt;BW132,"核增",IF(BX132&lt;BW132,"核减","不变")),"")</f>
        <v>核减</v>
      </c>
      <c r="BZ132" s="55">
        <f t="shared" si="226"/>
        <v>224.13</v>
      </c>
    </row>
    <row r="133" ht="13.5" customHeight="1" spans="1:78">
      <c r="A133" s="25" t="s">
        <v>225</v>
      </c>
      <c r="B133" s="5" t="s">
        <v>85</v>
      </c>
      <c r="C133" s="6"/>
      <c r="D133" s="7"/>
      <c r="E133" s="29"/>
      <c r="F133" s="30" t="str">
        <f t="shared" si="0"/>
        <v/>
      </c>
      <c r="G133" s="12"/>
      <c r="H133" s="31"/>
      <c r="I133" s="37"/>
      <c r="J133" s="30" t="str">
        <f t="shared" si="1"/>
        <v/>
      </c>
      <c r="K133" s="12"/>
      <c r="L133" s="31"/>
      <c r="M133" s="40"/>
      <c r="N133" s="30" t="str">
        <f t="shared" si="2"/>
        <v/>
      </c>
      <c r="O133" s="12"/>
      <c r="P133" s="31"/>
      <c r="Q133" s="38"/>
      <c r="R133" s="30" t="str">
        <f t="shared" si="3"/>
        <v/>
      </c>
      <c r="S133" s="12"/>
      <c r="T133" s="31"/>
      <c r="U133" s="40"/>
      <c r="V133" s="30" t="str">
        <f t="shared" si="4"/>
        <v/>
      </c>
      <c r="W133" s="12"/>
      <c r="X133" s="31"/>
      <c r="Y133" s="38"/>
      <c r="Z133" s="30" t="str">
        <f t="shared" si="5"/>
        <v/>
      </c>
      <c r="AA133" s="12">
        <v>45555</v>
      </c>
      <c r="AB133" s="31">
        <v>45562</v>
      </c>
      <c r="AC133" s="40" t="str">
        <f t="shared" si="224"/>
        <v>0</v>
      </c>
      <c r="AD133" s="30">
        <f t="shared" si="6"/>
        <v>6</v>
      </c>
      <c r="AE133" s="46" t="s">
        <v>97</v>
      </c>
      <c r="AF133" s="47" t="s">
        <v>91</v>
      </c>
      <c r="AG133" s="50" t="s">
        <v>97</v>
      </c>
      <c r="AH133" s="51"/>
      <c r="AI133" s="52"/>
      <c r="AJ133" s="51"/>
      <c r="AK133" s="52"/>
      <c r="AL133" s="40"/>
      <c r="AM133" s="40"/>
      <c r="AN133" s="40"/>
      <c r="AO133" s="48"/>
      <c r="AP133" s="56"/>
      <c r="AQ133" s="48"/>
      <c r="AR133" s="56"/>
      <c r="AS133" s="40"/>
      <c r="AT133" s="40"/>
      <c r="AU133" s="51"/>
      <c r="AV133" s="52"/>
      <c r="AW133" s="51"/>
      <c r="AX133" s="52"/>
      <c r="AY133" s="40"/>
      <c r="AZ133" s="55"/>
      <c r="BA133" s="63"/>
      <c r="BB133" s="48"/>
      <c r="BC133" s="56"/>
      <c r="BD133" s="48"/>
      <c r="BE133" s="56"/>
      <c r="BF133" s="64"/>
      <c r="BG133" s="48"/>
      <c r="BH133" s="51"/>
      <c r="BI133" s="52"/>
      <c r="BJ133" s="51"/>
      <c r="BK133" s="52"/>
      <c r="BL133" s="40"/>
      <c r="BM133" s="55"/>
      <c r="BN133" s="63"/>
      <c r="BO133" s="48"/>
      <c r="BP133" s="56"/>
      <c r="BQ133" s="48"/>
      <c r="BR133" s="56"/>
      <c r="BS133" s="40"/>
      <c r="BT133" s="40"/>
      <c r="BU133" s="51">
        <v>445.72</v>
      </c>
      <c r="BV133" s="52">
        <v>415.95</v>
      </c>
      <c r="BW133" s="51">
        <v>445.72</v>
      </c>
      <c r="BX133" s="52">
        <v>415.95</v>
      </c>
      <c r="BY133" s="55" t="str">
        <f t="shared" si="228"/>
        <v>核减</v>
      </c>
      <c r="BZ133" s="55">
        <f t="shared" si="226"/>
        <v>29.77</v>
      </c>
    </row>
    <row r="134" ht="13.5" customHeight="1" spans="1:78">
      <c r="A134" s="25" t="s">
        <v>508</v>
      </c>
      <c r="B134" s="5" t="s">
        <v>85</v>
      </c>
      <c r="C134" s="6"/>
      <c r="D134" s="15"/>
      <c r="E134" s="29"/>
      <c r="F134" s="30" t="str">
        <f t="shared" si="0"/>
        <v/>
      </c>
      <c r="G134" s="12"/>
      <c r="H134" s="31"/>
      <c r="I134" s="37"/>
      <c r="J134" s="30" t="str">
        <f t="shared" si="1"/>
        <v/>
      </c>
      <c r="K134" s="12"/>
      <c r="L134" s="31"/>
      <c r="M134" s="40"/>
      <c r="N134" s="30" t="str">
        <f t="shared" si="2"/>
        <v/>
      </c>
      <c r="O134" s="12"/>
      <c r="P134" s="31"/>
      <c r="Q134" s="38"/>
      <c r="R134" s="30" t="str">
        <f t="shared" si="3"/>
        <v/>
      </c>
      <c r="S134" s="12"/>
      <c r="T134" s="31"/>
      <c r="U134" s="40"/>
      <c r="V134" s="30" t="str">
        <f t="shared" si="4"/>
        <v/>
      </c>
      <c r="W134" s="12"/>
      <c r="X134" s="31"/>
      <c r="Y134" s="38"/>
      <c r="Z134" s="30" t="str">
        <f t="shared" si="5"/>
        <v/>
      </c>
      <c r="AA134" s="12">
        <v>45589</v>
      </c>
      <c r="AB134" s="31">
        <v>45596</v>
      </c>
      <c r="AC134" s="40" t="str">
        <f t="shared" si="224"/>
        <v>0</v>
      </c>
      <c r="AD134" s="30">
        <f t="shared" si="6"/>
        <v>6</v>
      </c>
      <c r="AE134" s="46" t="s">
        <v>87</v>
      </c>
      <c r="AF134" s="47" t="s">
        <v>91</v>
      </c>
      <c r="AG134" s="50" t="s">
        <v>87</v>
      </c>
      <c r="AH134" s="51"/>
      <c r="AI134" s="52"/>
      <c r="AJ134" s="51"/>
      <c r="AK134" s="52"/>
      <c r="AL134" s="40"/>
      <c r="AM134" s="40"/>
      <c r="AN134" s="40"/>
      <c r="AO134" s="48"/>
      <c r="AP134" s="56"/>
      <c r="AQ134" s="48"/>
      <c r="AR134" s="56"/>
      <c r="AS134" s="40"/>
      <c r="AT134" s="40"/>
      <c r="AU134" s="51"/>
      <c r="AV134" s="52"/>
      <c r="AW134" s="51"/>
      <c r="AX134" s="52"/>
      <c r="AY134" s="40"/>
      <c r="AZ134" s="55"/>
      <c r="BA134" s="63"/>
      <c r="BB134" s="48"/>
      <c r="BC134" s="56"/>
      <c r="BD134" s="48"/>
      <c r="BE134" s="56"/>
      <c r="BF134" s="64"/>
      <c r="BG134" s="48"/>
      <c r="BH134" s="51"/>
      <c r="BI134" s="52"/>
      <c r="BJ134" s="51"/>
      <c r="BK134" s="52"/>
      <c r="BL134" s="40"/>
      <c r="BM134" s="55"/>
      <c r="BN134" s="63"/>
      <c r="BO134" s="48"/>
      <c r="BP134" s="56"/>
      <c r="BQ134" s="48"/>
      <c r="BR134" s="56"/>
      <c r="BS134" s="40"/>
      <c r="BT134" s="40"/>
      <c r="BU134" s="51">
        <v>377.06</v>
      </c>
      <c r="BV134" s="52">
        <v>434.81</v>
      </c>
      <c r="BW134" s="51">
        <v>377.06</v>
      </c>
      <c r="BX134" s="52">
        <v>434.81</v>
      </c>
      <c r="BY134" s="63" t="str">
        <f>IF(AND(BX134&lt;&gt;"",BW134&lt;&gt;""),IF((-BX134)&gt;(-BW134),"核增",IF((-BX134)&lt;(-BW134),"核减","不变")),"")</f>
        <v>核减</v>
      </c>
      <c r="BZ134" s="63">
        <f t="shared" si="226"/>
        <v>57.75</v>
      </c>
    </row>
    <row r="135" ht="13.5" customHeight="1" spans="1:78">
      <c r="A135" s="25" t="s">
        <v>179</v>
      </c>
      <c r="B135" s="5" t="s">
        <v>81</v>
      </c>
      <c r="C135" s="6"/>
      <c r="D135" s="15"/>
      <c r="E135" s="29"/>
      <c r="F135" s="30" t="str">
        <f t="shared" si="0"/>
        <v/>
      </c>
      <c r="G135" s="12">
        <v>45587</v>
      </c>
      <c r="H135" s="31">
        <v>45601</v>
      </c>
      <c r="I135" s="38" t="str">
        <f>IF(G135&lt;&gt;0,IF(H135&lt;&gt;0,"0","1"),"")</f>
        <v>0</v>
      </c>
      <c r="J135" s="30">
        <f t="shared" si="1"/>
        <v>11</v>
      </c>
      <c r="K135" s="12"/>
      <c r="L135" s="31"/>
      <c r="M135" s="40"/>
      <c r="N135" s="30" t="str">
        <f t="shared" si="2"/>
        <v/>
      </c>
      <c r="O135" s="12"/>
      <c r="P135" s="31"/>
      <c r="Q135" s="38"/>
      <c r="R135" s="30" t="str">
        <f t="shared" si="3"/>
        <v/>
      </c>
      <c r="S135" s="12"/>
      <c r="T135" s="31"/>
      <c r="U135" s="40"/>
      <c r="V135" s="30" t="str">
        <f t="shared" si="4"/>
        <v/>
      </c>
      <c r="W135" s="12"/>
      <c r="X135" s="31"/>
      <c r="Y135" s="38"/>
      <c r="Z135" s="30" t="str">
        <f t="shared" si="5"/>
        <v/>
      </c>
      <c r="AA135" s="12"/>
      <c r="AB135" s="31"/>
      <c r="AC135" s="40"/>
      <c r="AD135" s="30" t="str">
        <f t="shared" si="6"/>
        <v/>
      </c>
      <c r="AE135" s="46" t="s">
        <v>97</v>
      </c>
      <c r="AF135" s="47" t="s">
        <v>91</v>
      </c>
      <c r="AG135" s="53" t="s">
        <v>97</v>
      </c>
      <c r="AH135" s="51"/>
      <c r="AI135" s="52">
        <v>1011.83</v>
      </c>
      <c r="AJ135" s="51"/>
      <c r="AK135" s="52"/>
      <c r="AL135" s="40"/>
      <c r="AM135" s="40"/>
      <c r="AN135" s="40"/>
      <c r="AO135" s="48">
        <v>1466.94</v>
      </c>
      <c r="AP135" s="56">
        <v>1466.94</v>
      </c>
      <c r="AQ135" s="48">
        <v>1463.27</v>
      </c>
      <c r="AR135" s="56">
        <v>1463.27</v>
      </c>
      <c r="AS135" s="55" t="str">
        <f>IF(AND(AR135&lt;&gt;"",AQ135&lt;&gt;""),IF(AR135&gt;AQ135,"核增",IF(AR135&lt;AQ135,"核减","不变")),"")</f>
        <v>不变</v>
      </c>
      <c r="AT135" s="55">
        <f>IF(AND(AR135&lt;&gt;"",AQ135&lt;&gt;""),MAX(ABS(AR135),ABS(AQ135))-MIN(ABS(AR135),ABS(AQ135)),"")</f>
        <v>0</v>
      </c>
      <c r="AU135" s="51"/>
      <c r="AV135" s="52"/>
      <c r="AW135" s="51"/>
      <c r="AX135" s="52"/>
      <c r="AY135" s="40"/>
      <c r="AZ135" s="55"/>
      <c r="BA135" s="63"/>
      <c r="BB135" s="48"/>
      <c r="BC135" s="56"/>
      <c r="BD135" s="48"/>
      <c r="BE135" s="56"/>
      <c r="BF135" s="64"/>
      <c r="BG135" s="48"/>
      <c r="BH135" s="51"/>
      <c r="BI135" s="52"/>
      <c r="BJ135" s="51"/>
      <c r="BK135" s="52"/>
      <c r="BL135" s="40"/>
      <c r="BM135" s="55"/>
      <c r="BN135" s="63"/>
      <c r="BO135" s="48"/>
      <c r="BP135" s="56"/>
      <c r="BQ135" s="48"/>
      <c r="BR135" s="56"/>
      <c r="BS135" s="40"/>
      <c r="BT135" s="40"/>
      <c r="BU135" s="51"/>
      <c r="BV135" s="52"/>
      <c r="BW135" s="51"/>
      <c r="BX135" s="52"/>
      <c r="BY135" s="40"/>
      <c r="BZ135" s="55"/>
    </row>
    <row r="136" ht="13.5" customHeight="1" spans="1:78">
      <c r="A136" s="25" t="s">
        <v>509</v>
      </c>
      <c r="B136" s="5" t="s">
        <v>93</v>
      </c>
      <c r="C136" s="6"/>
      <c r="D136" s="15"/>
      <c r="E136" s="29"/>
      <c r="F136" s="30" t="str">
        <f t="shared" si="0"/>
        <v/>
      </c>
      <c r="G136" s="12"/>
      <c r="H136" s="31"/>
      <c r="I136" s="37"/>
      <c r="J136" s="30" t="str">
        <f t="shared" si="1"/>
        <v/>
      </c>
      <c r="K136" s="12"/>
      <c r="L136" s="31"/>
      <c r="M136" s="40"/>
      <c r="N136" s="30" t="str">
        <f t="shared" si="2"/>
        <v/>
      </c>
      <c r="O136" s="12"/>
      <c r="P136" s="31"/>
      <c r="Q136" s="38"/>
      <c r="R136" s="30" t="str">
        <f t="shared" si="3"/>
        <v/>
      </c>
      <c r="S136" s="12"/>
      <c r="T136" s="31"/>
      <c r="U136" s="40"/>
      <c r="V136" s="30" t="str">
        <f t="shared" si="4"/>
        <v/>
      </c>
      <c r="W136" s="12"/>
      <c r="X136" s="31"/>
      <c r="Y136" s="38"/>
      <c r="Z136" s="30" t="str">
        <f t="shared" si="5"/>
        <v/>
      </c>
      <c r="AA136" s="12">
        <v>45607</v>
      </c>
      <c r="AB136" s="31">
        <v>45614</v>
      </c>
      <c r="AC136" s="40" t="str">
        <f t="shared" ref="AC136:AC137" si="229">IF(AA136&lt;&gt;0,IF(AB136&lt;&gt;0,"0","1"),"")</f>
        <v>0</v>
      </c>
      <c r="AD136" s="30">
        <f t="shared" si="6"/>
        <v>6</v>
      </c>
      <c r="AE136" s="46" t="s">
        <v>97</v>
      </c>
      <c r="AF136" s="47" t="s">
        <v>91</v>
      </c>
      <c r="AG136" s="53" t="s">
        <v>97</v>
      </c>
      <c r="AH136" s="51"/>
      <c r="AI136" s="52"/>
      <c r="AJ136" s="51"/>
      <c r="AK136" s="52"/>
      <c r="AL136" s="40"/>
      <c r="AM136" s="40"/>
      <c r="AN136" s="40"/>
      <c r="AO136" s="48"/>
      <c r="AP136" s="56"/>
      <c r="AQ136" s="48"/>
      <c r="AR136" s="56"/>
      <c r="AS136" s="40"/>
      <c r="AT136" s="40"/>
      <c r="AU136" s="51"/>
      <c r="AV136" s="52"/>
      <c r="AW136" s="51"/>
      <c r="AX136" s="52"/>
      <c r="AY136" s="40"/>
      <c r="AZ136" s="55"/>
      <c r="BA136" s="63"/>
      <c r="BB136" s="48"/>
      <c r="BC136" s="56"/>
      <c r="BD136" s="48"/>
      <c r="BE136" s="56"/>
      <c r="BF136" s="64"/>
      <c r="BG136" s="48"/>
      <c r="BH136" s="51"/>
      <c r="BI136" s="52"/>
      <c r="BJ136" s="51"/>
      <c r="BK136" s="52"/>
      <c r="BL136" s="40"/>
      <c r="BM136" s="55"/>
      <c r="BN136" s="63"/>
      <c r="BO136" s="48"/>
      <c r="BP136" s="56"/>
      <c r="BQ136" s="48"/>
      <c r="BR136" s="56"/>
      <c r="BS136" s="40"/>
      <c r="BT136" s="40"/>
      <c r="BU136" s="82">
        <f>ABS(-241.3)</f>
        <v>241.3</v>
      </c>
      <c r="BV136" s="83">
        <f>ABS(-220.27)</f>
        <v>220.27</v>
      </c>
      <c r="BW136" s="82">
        <f>ABS(-241.3)</f>
        <v>241.3</v>
      </c>
      <c r="BX136" s="83">
        <f>ABS(-220.27)</f>
        <v>220.27</v>
      </c>
      <c r="BY136" s="63" t="str">
        <f t="shared" ref="BY136:BY137" si="230">IF(AND(BX136&lt;&gt;"",BW136&lt;&gt;""),IF((-BX136)&gt;(-BW136),"核增",IF((-BX136)&lt;(-BW136),"核减","不变")),"")</f>
        <v>核增</v>
      </c>
      <c r="BZ136" s="63">
        <f t="shared" ref="BZ136:BZ137" si="231">IF(AND(BX136&lt;&gt;"",BW136&lt;&gt;""),MAX(ABS(BX136),ABS(BW136))-MIN(ABS(BX136),ABS(BW136)),"")</f>
        <v>21.03</v>
      </c>
    </row>
    <row r="137" ht="13.5" customHeight="1" spans="1:78">
      <c r="A137" s="25" t="s">
        <v>510</v>
      </c>
      <c r="B137" s="5" t="s">
        <v>93</v>
      </c>
      <c r="C137" s="6"/>
      <c r="D137" s="15"/>
      <c r="E137" s="29"/>
      <c r="F137" s="30" t="str">
        <f t="shared" si="0"/>
        <v/>
      </c>
      <c r="G137" s="12"/>
      <c r="H137" s="31"/>
      <c r="I137" s="37"/>
      <c r="J137" s="30" t="str">
        <f t="shared" si="1"/>
        <v/>
      </c>
      <c r="K137" s="12"/>
      <c r="L137" s="31"/>
      <c r="M137" s="40"/>
      <c r="N137" s="30" t="str">
        <f t="shared" si="2"/>
        <v/>
      </c>
      <c r="O137" s="12"/>
      <c r="P137" s="31"/>
      <c r="Q137" s="38"/>
      <c r="R137" s="30" t="str">
        <f t="shared" si="3"/>
        <v/>
      </c>
      <c r="S137" s="12"/>
      <c r="T137" s="31"/>
      <c r="U137" s="40"/>
      <c r="V137" s="30" t="str">
        <f t="shared" si="4"/>
        <v/>
      </c>
      <c r="W137" s="12"/>
      <c r="X137" s="31"/>
      <c r="Y137" s="38"/>
      <c r="Z137" s="30" t="str">
        <f t="shared" si="5"/>
        <v/>
      </c>
      <c r="AA137" s="12">
        <v>45602</v>
      </c>
      <c r="AB137" s="31">
        <v>45604</v>
      </c>
      <c r="AC137" s="40" t="str">
        <f t="shared" si="229"/>
        <v>0</v>
      </c>
      <c r="AD137" s="30">
        <f t="shared" si="6"/>
        <v>3</v>
      </c>
      <c r="AE137" s="48" t="s">
        <v>406</v>
      </c>
      <c r="AF137" s="47" t="s">
        <v>406</v>
      </c>
      <c r="AG137" s="50" t="s">
        <v>87</v>
      </c>
      <c r="AH137" s="51"/>
      <c r="AI137" s="52"/>
      <c r="AJ137" s="51"/>
      <c r="AK137" s="52"/>
      <c r="AL137" s="40"/>
      <c r="AM137" s="40"/>
      <c r="AN137" s="40"/>
      <c r="AO137" s="48"/>
      <c r="AP137" s="56"/>
      <c r="AQ137" s="48"/>
      <c r="AR137" s="56"/>
      <c r="AS137" s="40"/>
      <c r="AT137" s="40"/>
      <c r="AU137" s="51"/>
      <c r="AV137" s="52"/>
      <c r="AW137" s="51"/>
      <c r="AX137" s="52"/>
      <c r="AY137" s="40"/>
      <c r="AZ137" s="55"/>
      <c r="BA137" s="63"/>
      <c r="BB137" s="48"/>
      <c r="BC137" s="56"/>
      <c r="BD137" s="48"/>
      <c r="BE137" s="56"/>
      <c r="BF137" s="64"/>
      <c r="BG137" s="48"/>
      <c r="BH137" s="51"/>
      <c r="BI137" s="52"/>
      <c r="BJ137" s="51"/>
      <c r="BK137" s="52"/>
      <c r="BL137" s="40"/>
      <c r="BM137" s="55"/>
      <c r="BN137" s="63"/>
      <c r="BO137" s="48"/>
      <c r="BP137" s="56"/>
      <c r="BQ137" s="48"/>
      <c r="BR137" s="56"/>
      <c r="BS137" s="40"/>
      <c r="BT137" s="40"/>
      <c r="BU137" s="82">
        <f t="shared" ref="BU137:BX137" si="232">ABS(-164.65)</f>
        <v>164.65</v>
      </c>
      <c r="BV137" s="83">
        <f t="shared" si="232"/>
        <v>164.65</v>
      </c>
      <c r="BW137" s="82">
        <f t="shared" si="232"/>
        <v>164.65</v>
      </c>
      <c r="BX137" s="83">
        <f t="shared" si="232"/>
        <v>164.65</v>
      </c>
      <c r="BY137" s="63" t="str">
        <f t="shared" si="230"/>
        <v>不变</v>
      </c>
      <c r="BZ137" s="63">
        <f t="shared" si="231"/>
        <v>0</v>
      </c>
    </row>
    <row r="138" ht="13.5" customHeight="1" spans="1:78">
      <c r="A138" s="25" t="s">
        <v>511</v>
      </c>
      <c r="B138" s="5" t="s">
        <v>85</v>
      </c>
      <c r="C138" s="16">
        <v>45644</v>
      </c>
      <c r="D138" s="15">
        <v>45649</v>
      </c>
      <c r="E138" s="32" t="str">
        <f>IF(C138&lt;&gt;0,IF(D138&lt;&gt;0,"0","1"),"")</f>
        <v>0</v>
      </c>
      <c r="F138" s="30">
        <f t="shared" si="0"/>
        <v>4</v>
      </c>
      <c r="G138" s="12"/>
      <c r="H138" s="31"/>
      <c r="I138" s="37"/>
      <c r="J138" s="30" t="str">
        <f t="shared" si="1"/>
        <v/>
      </c>
      <c r="K138" s="12"/>
      <c r="L138" s="31"/>
      <c r="M138" s="40"/>
      <c r="N138" s="30" t="str">
        <f t="shared" si="2"/>
        <v/>
      </c>
      <c r="O138" s="12"/>
      <c r="P138" s="31"/>
      <c r="Q138" s="38"/>
      <c r="R138" s="30" t="str">
        <f t="shared" si="3"/>
        <v/>
      </c>
      <c r="S138" s="12"/>
      <c r="T138" s="31"/>
      <c r="U138" s="40"/>
      <c r="V138" s="30" t="str">
        <f t="shared" si="4"/>
        <v/>
      </c>
      <c r="W138" s="12"/>
      <c r="X138" s="31"/>
      <c r="Y138" s="38"/>
      <c r="Z138" s="30" t="str">
        <f t="shared" si="5"/>
        <v/>
      </c>
      <c r="AA138" s="12"/>
      <c r="AB138" s="31"/>
      <c r="AC138" s="40"/>
      <c r="AD138" s="30" t="str">
        <f t="shared" si="6"/>
        <v/>
      </c>
      <c r="AE138" s="46" t="s">
        <v>83</v>
      </c>
      <c r="AF138" s="47" t="s">
        <v>406</v>
      </c>
      <c r="AG138" s="50" t="s">
        <v>83</v>
      </c>
      <c r="AH138" s="48">
        <v>11584.19</v>
      </c>
      <c r="AI138" s="56">
        <v>9414.08</v>
      </c>
      <c r="AJ138" s="48">
        <v>11385.38</v>
      </c>
      <c r="AK138" s="56">
        <v>9252.52</v>
      </c>
      <c r="AL138" s="55" t="str">
        <f>IF(AND(AK138&lt;&gt;"",AJ138&lt;&gt;""),IF(AK138&gt;AJ138,"核增",IF(AK138&lt;AJ138,"核减","不变")),"")</f>
        <v>核减</v>
      </c>
      <c r="AM138" s="55">
        <f>IF(AND(AI138&lt;&gt;"",AH138&lt;&gt;""),MAX(ABS(AI138),ABS(AH138))-MIN(ABS(AI138),ABS(AH138)),"")</f>
        <v>2170.11</v>
      </c>
      <c r="AN138" s="55">
        <f>IF(AND(AK138&lt;&gt;"",AJ138&lt;&gt;""),MAX(ABS(AK138),ABS(AJ138))-MIN(ABS(AK138),ABS(AJ138)),"")</f>
        <v>2132.86</v>
      </c>
      <c r="AO138" s="48"/>
      <c r="AP138" s="56"/>
      <c r="AQ138" s="48"/>
      <c r="AR138" s="56"/>
      <c r="AS138" s="55" t="str">
        <f t="shared" ref="AS138:AS139" si="233">IF(AND(AR138&lt;&gt;"",AQ138&lt;&gt;""),IF(AR138&gt;AQ138,"核增",IF(AR138&lt;AQ138,"核减","不变")),"")</f>
        <v/>
      </c>
      <c r="AT138" s="55" t="str">
        <f t="shared" ref="AT138:AT139" si="234">IF(AND(AR138&lt;&gt;"",AQ138&lt;&gt;""),MAX(ABS(AR138),ABS(AQ138))-MIN(ABS(AR138),ABS(AQ138)),"")</f>
        <v/>
      </c>
      <c r="AU138" s="51"/>
      <c r="AV138" s="52"/>
      <c r="AW138" s="51"/>
      <c r="AX138" s="52"/>
      <c r="AY138" s="40"/>
      <c r="AZ138" s="55"/>
      <c r="BA138" s="63"/>
      <c r="BB138" s="48"/>
      <c r="BC138" s="56"/>
      <c r="BD138" s="48"/>
      <c r="BE138" s="56"/>
      <c r="BF138" s="64"/>
      <c r="BG138" s="48"/>
      <c r="BH138" s="51"/>
      <c r="BI138" s="52"/>
      <c r="BJ138" s="51"/>
      <c r="BK138" s="52"/>
      <c r="BL138" s="40"/>
      <c r="BM138" s="55"/>
      <c r="BN138" s="63"/>
      <c r="BO138" s="48"/>
      <c r="BP138" s="56"/>
      <c r="BQ138" s="48"/>
      <c r="BR138" s="56"/>
      <c r="BS138" s="40"/>
      <c r="BT138" s="40"/>
      <c r="BU138" s="51"/>
      <c r="BV138" s="52"/>
      <c r="BW138" s="51"/>
      <c r="BX138" s="52"/>
      <c r="BY138" s="40"/>
      <c r="BZ138" s="55"/>
    </row>
    <row r="139" ht="13.5" customHeight="1" spans="1:78">
      <c r="A139" s="25" t="s">
        <v>512</v>
      </c>
      <c r="B139" s="5" t="s">
        <v>93</v>
      </c>
      <c r="C139" s="6"/>
      <c r="D139" s="15"/>
      <c r="E139" s="29"/>
      <c r="F139" s="30" t="str">
        <f t="shared" si="0"/>
        <v/>
      </c>
      <c r="G139" s="6">
        <v>45618</v>
      </c>
      <c r="H139" s="31">
        <v>45646</v>
      </c>
      <c r="I139" s="38" t="str">
        <f>IF(G139&lt;&gt;0,IF(H139&lt;&gt;0,"0","1"),"")</f>
        <v>0</v>
      </c>
      <c r="J139" s="30">
        <f t="shared" si="1"/>
        <v>21</v>
      </c>
      <c r="K139" s="12"/>
      <c r="L139" s="31"/>
      <c r="M139" s="40"/>
      <c r="N139" s="30" t="str">
        <f t="shared" si="2"/>
        <v/>
      </c>
      <c r="O139" s="12"/>
      <c r="P139" s="31"/>
      <c r="Q139" s="38"/>
      <c r="R139" s="30" t="str">
        <f t="shared" si="3"/>
        <v/>
      </c>
      <c r="S139" s="12"/>
      <c r="T139" s="31"/>
      <c r="U139" s="40"/>
      <c r="V139" s="30" t="str">
        <f t="shared" si="4"/>
        <v/>
      </c>
      <c r="W139" s="12"/>
      <c r="X139" s="31"/>
      <c r="Y139" s="38"/>
      <c r="Z139" s="30" t="str">
        <f t="shared" si="5"/>
        <v/>
      </c>
      <c r="AA139" s="12"/>
      <c r="AB139" s="31"/>
      <c r="AC139" s="40"/>
      <c r="AD139" s="30" t="str">
        <f t="shared" si="6"/>
        <v/>
      </c>
      <c r="AE139" s="48" t="s">
        <v>97</v>
      </c>
      <c r="AF139" s="47" t="s">
        <v>82</v>
      </c>
      <c r="AG139" s="53" t="s">
        <v>97</v>
      </c>
      <c r="AH139" s="51"/>
      <c r="AI139" s="52"/>
      <c r="AJ139" s="51"/>
      <c r="AK139" s="52"/>
      <c r="AL139" s="40"/>
      <c r="AM139" s="40"/>
      <c r="AN139" s="40"/>
      <c r="AO139" s="48">
        <v>41392.09</v>
      </c>
      <c r="AP139" s="56">
        <v>41635.86</v>
      </c>
      <c r="AQ139" s="48">
        <v>40662.28</v>
      </c>
      <c r="AR139" s="56">
        <v>40903</v>
      </c>
      <c r="AS139" s="55" t="str">
        <f t="shared" si="233"/>
        <v>核增</v>
      </c>
      <c r="AT139" s="55">
        <f t="shared" si="234"/>
        <v>240.720000000001</v>
      </c>
      <c r="AU139" s="51"/>
      <c r="AV139" s="52"/>
      <c r="AW139" s="51"/>
      <c r="AX139" s="52"/>
      <c r="AY139" s="40"/>
      <c r="AZ139" s="55"/>
      <c r="BA139" s="63"/>
      <c r="BB139" s="48"/>
      <c r="BC139" s="56"/>
      <c r="BD139" s="48"/>
      <c r="BE139" s="56"/>
      <c r="BF139" s="64"/>
      <c r="BG139" s="48"/>
      <c r="BH139" s="51"/>
      <c r="BI139" s="52"/>
      <c r="BJ139" s="51"/>
      <c r="BK139" s="52"/>
      <c r="BL139" s="40"/>
      <c r="BM139" s="55"/>
      <c r="BN139" s="63"/>
      <c r="BO139" s="48"/>
      <c r="BP139" s="56"/>
      <c r="BQ139" s="48"/>
      <c r="BR139" s="56"/>
      <c r="BS139" s="40"/>
      <c r="BT139" s="40"/>
      <c r="BU139" s="51"/>
      <c r="BV139" s="52"/>
      <c r="BW139" s="51"/>
      <c r="BX139" s="52"/>
      <c r="BY139" s="40"/>
      <c r="BZ139" s="55"/>
    </row>
    <row r="140" ht="13.5" customHeight="1" spans="1:78">
      <c r="A140" s="25" t="s">
        <v>513</v>
      </c>
      <c r="B140" s="5" t="s">
        <v>85</v>
      </c>
      <c r="C140" s="6"/>
      <c r="D140" s="15"/>
      <c r="E140" s="29"/>
      <c r="F140" s="30" t="str">
        <f t="shared" si="0"/>
        <v/>
      </c>
      <c r="G140" s="12"/>
      <c r="H140" s="31"/>
      <c r="I140" s="37"/>
      <c r="J140" s="30" t="str">
        <f t="shared" si="1"/>
        <v/>
      </c>
      <c r="K140" s="12">
        <v>45594</v>
      </c>
      <c r="L140" s="31">
        <v>45604</v>
      </c>
      <c r="M140" s="38" t="str">
        <f>IF(K140&lt;&gt;0,IF(L140&lt;&gt;0,"0","1"),"")</f>
        <v>0</v>
      </c>
      <c r="N140" s="30">
        <f t="shared" si="2"/>
        <v>9</v>
      </c>
      <c r="O140" s="12"/>
      <c r="P140" s="31"/>
      <c r="Q140" s="38"/>
      <c r="R140" s="30" t="str">
        <f t="shared" si="3"/>
        <v/>
      </c>
      <c r="S140" s="12"/>
      <c r="T140" s="31"/>
      <c r="U140" s="40"/>
      <c r="V140" s="30" t="str">
        <f t="shared" si="4"/>
        <v/>
      </c>
      <c r="W140" s="12"/>
      <c r="X140" s="31"/>
      <c r="Y140" s="38"/>
      <c r="Z140" s="30" t="str">
        <f t="shared" si="5"/>
        <v/>
      </c>
      <c r="AA140" s="12"/>
      <c r="AB140" s="31"/>
      <c r="AC140" s="40"/>
      <c r="AD140" s="30" t="str">
        <f t="shared" si="6"/>
        <v/>
      </c>
      <c r="AE140" s="46" t="s">
        <v>86</v>
      </c>
      <c r="AF140" s="47" t="s">
        <v>86</v>
      </c>
      <c r="AG140" s="53" t="s">
        <v>91</v>
      </c>
      <c r="AH140" s="51"/>
      <c r="AI140" s="52">
        <v>3822.38</v>
      </c>
      <c r="AJ140" s="51"/>
      <c r="AK140" s="52">
        <v>3756.77</v>
      </c>
      <c r="AL140" s="40"/>
      <c r="AM140" s="40"/>
      <c r="AN140" s="40"/>
      <c r="AO140" s="48"/>
      <c r="AP140" s="56"/>
      <c r="AQ140" s="48"/>
      <c r="AR140" s="56"/>
      <c r="AS140" s="40"/>
      <c r="AT140" s="40"/>
      <c r="AU140" s="51">
        <v>3887.1</v>
      </c>
      <c r="AV140" s="52">
        <v>3727.74</v>
      </c>
      <c r="AW140" s="51">
        <v>3821.04</v>
      </c>
      <c r="AX140" s="52">
        <v>3670.55</v>
      </c>
      <c r="AY140" s="55" t="str">
        <f>IF(AND(AX140&lt;&gt;"",AW140&lt;&gt;""),IF(AX140&gt;AW140,"核增",IF(AX140&lt;AW140,"核减","不变")),"")</f>
        <v>核减</v>
      </c>
      <c r="AZ140" s="55">
        <f>IF(AND(AX140&lt;&gt;"",AW140&lt;&gt;""),MAX(ABS(AX140),ABS(AW140))-MIN(ABS(AX140),ABS(AW140)),"")</f>
        <v>150.49</v>
      </c>
      <c r="BA140" s="63" t="str">
        <f>IF(AND(AV140&lt;&gt;"",AI140&lt;&gt;""),IF(AV140&gt;AI140,"核增",IF(AV140&lt;AI140,"核减","不变")),"")&amp;TEXT(IF(AND(AV140&lt;&gt;"",AI140&lt;&gt;""),MAX(ABS(AV140),ABS(AI140))-MIN(ABS(AV140),ABS(AI140)),""),"0.00")</f>
        <v>核减94.64</v>
      </c>
      <c r="BB140" s="48"/>
      <c r="BC140" s="56"/>
      <c r="BD140" s="48"/>
      <c r="BE140" s="56"/>
      <c r="BF140" s="64"/>
      <c r="BG140" s="48"/>
      <c r="BH140" s="51"/>
      <c r="BI140" s="52"/>
      <c r="BJ140" s="51"/>
      <c r="BK140" s="52"/>
      <c r="BL140" s="40"/>
      <c r="BM140" s="55"/>
      <c r="BN140" s="63"/>
      <c r="BO140" s="48"/>
      <c r="BP140" s="56"/>
      <c r="BQ140" s="48"/>
      <c r="BR140" s="56"/>
      <c r="BS140" s="40"/>
      <c r="BT140" s="40"/>
      <c r="BU140" s="51"/>
      <c r="BV140" s="52"/>
      <c r="BW140" s="51"/>
      <c r="BX140" s="52"/>
      <c r="BY140" s="40"/>
      <c r="BZ140" s="55"/>
    </row>
    <row r="141" ht="13.5" customHeight="1" spans="1:78">
      <c r="A141" s="25" t="s">
        <v>514</v>
      </c>
      <c r="B141" s="5" t="s">
        <v>93</v>
      </c>
      <c r="C141" s="6"/>
      <c r="D141" s="15"/>
      <c r="E141" s="29"/>
      <c r="F141" s="30" t="str">
        <f t="shared" si="0"/>
        <v/>
      </c>
      <c r="G141" s="12"/>
      <c r="H141" s="31"/>
      <c r="I141" s="37"/>
      <c r="J141" s="30" t="str">
        <f t="shared" si="1"/>
        <v/>
      </c>
      <c r="K141" s="12"/>
      <c r="L141" s="31"/>
      <c r="M141" s="40"/>
      <c r="N141" s="30" t="str">
        <f t="shared" si="2"/>
        <v/>
      </c>
      <c r="O141" s="33">
        <v>45601</v>
      </c>
      <c r="P141" s="31">
        <v>45604</v>
      </c>
      <c r="Q141" s="38" t="str">
        <f>IF(O141&lt;&gt;0,IF(P141&lt;&gt;0,"0","1"),"")</f>
        <v>0</v>
      </c>
      <c r="R141" s="30">
        <f t="shared" si="3"/>
        <v>4</v>
      </c>
      <c r="S141" s="12"/>
      <c r="T141" s="31"/>
      <c r="U141" s="40"/>
      <c r="V141" s="30" t="str">
        <f t="shared" si="4"/>
        <v/>
      </c>
      <c r="W141" s="12"/>
      <c r="X141" s="31"/>
      <c r="Y141" s="38"/>
      <c r="Z141" s="30" t="str">
        <f t="shared" si="5"/>
        <v/>
      </c>
      <c r="AA141" s="12"/>
      <c r="AB141" s="31"/>
      <c r="AC141" s="40"/>
      <c r="AD141" s="30" t="str">
        <f t="shared" si="6"/>
        <v/>
      </c>
      <c r="AE141" s="46" t="s">
        <v>87</v>
      </c>
      <c r="AF141" s="49" t="s">
        <v>406</v>
      </c>
      <c r="AG141" s="50" t="s">
        <v>87</v>
      </c>
      <c r="AH141" s="51"/>
      <c r="AI141" s="52"/>
      <c r="AJ141" s="51"/>
      <c r="AK141" s="52"/>
      <c r="AL141" s="40"/>
      <c r="AM141" s="40"/>
      <c r="AN141" s="40"/>
      <c r="AO141" s="48"/>
      <c r="AP141" s="56"/>
      <c r="AQ141" s="48"/>
      <c r="AR141" s="56"/>
      <c r="AS141" s="40"/>
      <c r="AT141" s="40"/>
      <c r="AU141" s="51"/>
      <c r="AV141" s="52"/>
      <c r="AW141" s="51"/>
      <c r="AX141" s="52"/>
      <c r="AY141" s="40"/>
      <c r="AZ141" s="55"/>
      <c r="BA141" s="63"/>
      <c r="BB141" s="48">
        <v>17707.74</v>
      </c>
      <c r="BC141" s="56">
        <v>17707.74</v>
      </c>
      <c r="BD141" s="48">
        <v>17382.47</v>
      </c>
      <c r="BE141" s="56">
        <v>17382.47</v>
      </c>
      <c r="BF141" s="64" t="str">
        <f t="shared" ref="BF141:BF142" si="235">IF(AND(BE141&lt;&gt;"",BD141&lt;&gt;""),IF(BE141&gt;BD141,"核增",IF(BE141&lt;BD141,"核减","不变")),"")</f>
        <v>不变</v>
      </c>
      <c r="BG141" s="52">
        <f t="shared" ref="BG141:BG142" si="236">IF(AND(BE141&lt;&gt;"",BD141&lt;&gt;""),MAX(ABS(BE141),ABS(BD141))-MIN(ABS(BE141),ABS(BD141)),"")</f>
        <v>0</v>
      </c>
      <c r="BH141" s="51"/>
      <c r="BI141" s="52"/>
      <c r="BJ141" s="51"/>
      <c r="BK141" s="52"/>
      <c r="BL141" s="40"/>
      <c r="BM141" s="55"/>
      <c r="BN141" s="63"/>
      <c r="BO141" s="48"/>
      <c r="BP141" s="56"/>
      <c r="BQ141" s="48"/>
      <c r="BR141" s="56"/>
      <c r="BS141" s="40"/>
      <c r="BT141" s="40"/>
      <c r="BU141" s="51"/>
      <c r="BV141" s="52"/>
      <c r="BW141" s="51"/>
      <c r="BX141" s="52"/>
      <c r="BY141" s="40"/>
      <c r="BZ141" s="55"/>
    </row>
    <row r="142" ht="13.5" customHeight="1" spans="1:78">
      <c r="A142" s="25" t="s">
        <v>180</v>
      </c>
      <c r="B142" s="5" t="s">
        <v>85</v>
      </c>
      <c r="C142" s="6"/>
      <c r="D142" s="15"/>
      <c r="E142" s="29"/>
      <c r="F142" s="30" t="str">
        <f t="shared" si="0"/>
        <v/>
      </c>
      <c r="G142" s="12"/>
      <c r="H142" s="31"/>
      <c r="I142" s="37"/>
      <c r="J142" s="30" t="str">
        <f t="shared" si="1"/>
        <v/>
      </c>
      <c r="K142" s="12"/>
      <c r="L142" s="31"/>
      <c r="M142" s="40"/>
      <c r="N142" s="30" t="str">
        <f t="shared" si="2"/>
        <v/>
      </c>
      <c r="O142" s="12"/>
      <c r="P142" s="31"/>
      <c r="Q142" s="38"/>
      <c r="R142" s="30" t="str">
        <f t="shared" si="3"/>
        <v/>
      </c>
      <c r="S142" s="12">
        <v>45616</v>
      </c>
      <c r="T142" s="31">
        <v>45636</v>
      </c>
      <c r="U142" s="38" t="str">
        <f>IF(S142&lt;&gt;0,IF(T142&lt;&gt;0,"0","1"),"")</f>
        <v>0</v>
      </c>
      <c r="V142" s="30">
        <f t="shared" si="4"/>
        <v>15</v>
      </c>
      <c r="W142" s="12"/>
      <c r="X142" s="31"/>
      <c r="Y142" s="38"/>
      <c r="Z142" s="30" t="str">
        <f t="shared" si="5"/>
        <v/>
      </c>
      <c r="AA142" s="12"/>
      <c r="AB142" s="31"/>
      <c r="AC142" s="40"/>
      <c r="AD142" s="30" t="str">
        <f t="shared" si="6"/>
        <v/>
      </c>
      <c r="AE142" s="46" t="s">
        <v>83</v>
      </c>
      <c r="AF142" s="49" t="s">
        <v>82</v>
      </c>
      <c r="AG142" s="50" t="s">
        <v>83</v>
      </c>
      <c r="AH142" s="51"/>
      <c r="AI142" s="52"/>
      <c r="AJ142" s="51"/>
      <c r="AK142" s="52"/>
      <c r="AL142" s="40"/>
      <c r="AM142" s="40"/>
      <c r="AN142" s="40"/>
      <c r="AO142" s="48"/>
      <c r="AP142" s="56"/>
      <c r="AQ142" s="48"/>
      <c r="AR142" s="56"/>
      <c r="AS142" s="40"/>
      <c r="AT142" s="40"/>
      <c r="AU142" s="51"/>
      <c r="AV142" s="52"/>
      <c r="AW142" s="51"/>
      <c r="AX142" s="52"/>
      <c r="AY142" s="40"/>
      <c r="AZ142" s="55"/>
      <c r="BA142" s="63"/>
      <c r="BB142" s="48"/>
      <c r="BC142" s="56">
        <v>13349.13</v>
      </c>
      <c r="BD142" s="48"/>
      <c r="BE142" s="56">
        <v>13115.65</v>
      </c>
      <c r="BF142" s="64" t="str">
        <f t="shared" si="235"/>
        <v/>
      </c>
      <c r="BG142" s="52" t="str">
        <f t="shared" si="236"/>
        <v/>
      </c>
      <c r="BH142" s="48">
        <v>13302.38</v>
      </c>
      <c r="BI142" s="52">
        <v>13461.15</v>
      </c>
      <c r="BJ142" s="48">
        <v>13092.37</v>
      </c>
      <c r="BK142" s="52">
        <v>13250.05</v>
      </c>
      <c r="BL142" s="55" t="str">
        <f>IF(AND(BK142&lt;&gt;"",BJ142&lt;&gt;""),IF(BK142&gt;BJ142,"核增",IF(BK142&lt;BJ142,"核减","不变")),"")</f>
        <v>核增</v>
      </c>
      <c r="BM142" s="55">
        <f>IF(AND(BK142&lt;&gt;"",BJ142&lt;&gt;""),MAX(ABS(BK142),ABS(BJ142))-MIN(ABS(BK142),ABS(BJ142)),"")</f>
        <v>157.679999999998</v>
      </c>
      <c r="BN142" s="63" t="str">
        <f>IF(AND(BI142&lt;&gt;"",BC142&lt;&gt;""),IF(BI142&gt;BC142,"核增",IF(BI142&lt;BC142,"核减","不变")),"")&amp;TEXT(IF(AND(BI142&lt;&gt;"",BC142&lt;&gt;""),MAX(ABS(BI142),ABS(BC142))-MIN(ABS(BI142),ABS(BC142)),""),"0.00")</f>
        <v>核增112.02</v>
      </c>
      <c r="BO142" s="48"/>
      <c r="BP142" s="56"/>
      <c r="BQ142" s="48"/>
      <c r="BR142" s="56"/>
      <c r="BS142" s="40"/>
      <c r="BT142" s="40"/>
      <c r="BU142" s="51"/>
      <c r="BV142" s="52"/>
      <c r="BW142" s="51"/>
      <c r="BX142" s="52"/>
      <c r="BY142" s="40"/>
      <c r="BZ142" s="55"/>
    </row>
    <row r="143" ht="13.5" customHeight="1" spans="1:78">
      <c r="A143" s="25" t="s">
        <v>170</v>
      </c>
      <c r="B143" s="5" t="s">
        <v>93</v>
      </c>
      <c r="C143" s="6"/>
      <c r="D143" s="15"/>
      <c r="E143" s="29"/>
      <c r="F143" s="30" t="str">
        <f t="shared" si="0"/>
        <v/>
      </c>
      <c r="G143" s="12"/>
      <c r="H143" s="31"/>
      <c r="I143" s="37"/>
      <c r="J143" s="30" t="str">
        <f t="shared" si="1"/>
        <v/>
      </c>
      <c r="K143" s="33">
        <v>45579</v>
      </c>
      <c r="L143" s="31">
        <v>45600</v>
      </c>
      <c r="M143" s="38" t="str">
        <f>IF(K143&lt;&gt;0,IF(L143&lt;&gt;0,"0","1"),"")</f>
        <v>0</v>
      </c>
      <c r="N143" s="30">
        <f t="shared" si="2"/>
        <v>16</v>
      </c>
      <c r="O143" s="12"/>
      <c r="P143" s="31"/>
      <c r="Q143" s="38"/>
      <c r="R143" s="30" t="str">
        <f t="shared" si="3"/>
        <v/>
      </c>
      <c r="S143" s="12"/>
      <c r="T143" s="31"/>
      <c r="U143" s="40"/>
      <c r="V143" s="30" t="str">
        <f t="shared" si="4"/>
        <v/>
      </c>
      <c r="W143" s="12"/>
      <c r="X143" s="31"/>
      <c r="Y143" s="38"/>
      <c r="Z143" s="30" t="str">
        <f t="shared" si="5"/>
        <v/>
      </c>
      <c r="AA143" s="12"/>
      <c r="AB143" s="31"/>
      <c r="AC143" s="40"/>
      <c r="AD143" s="30" t="str">
        <f t="shared" si="6"/>
        <v/>
      </c>
      <c r="AE143" s="48" t="s">
        <v>86</v>
      </c>
      <c r="AF143" s="47" t="s">
        <v>86</v>
      </c>
      <c r="AG143" s="53" t="s">
        <v>97</v>
      </c>
      <c r="AH143" s="51"/>
      <c r="AI143" s="52">
        <v>8348.29</v>
      </c>
      <c r="AJ143" s="51"/>
      <c r="AK143" s="52">
        <v>8197.6</v>
      </c>
      <c r="AL143" s="40"/>
      <c r="AM143" s="40"/>
      <c r="AN143" s="40"/>
      <c r="AO143" s="48"/>
      <c r="AP143" s="56"/>
      <c r="AQ143" s="48"/>
      <c r="AR143" s="56"/>
      <c r="AS143" s="40"/>
      <c r="AT143" s="40"/>
      <c r="AU143" s="51">
        <v>8211.45</v>
      </c>
      <c r="AV143" s="52">
        <v>8160.46</v>
      </c>
      <c r="AW143" s="51">
        <v>8070.79</v>
      </c>
      <c r="AX143" s="52">
        <v>8022.52</v>
      </c>
      <c r="AY143" s="55" t="str">
        <f>IF(AND(AX143&lt;&gt;"",AW143&lt;&gt;""),IF(AX143&gt;AW143,"核增",IF(AX143&lt;AW143,"核减","不变")),"")</f>
        <v>核减</v>
      </c>
      <c r="AZ143" s="55">
        <f>IF(AND(AX143&lt;&gt;"",AW143&lt;&gt;""),MAX(ABS(AX143),ABS(AW143))-MIN(ABS(AX143),ABS(AW143)),"")</f>
        <v>48.2699999999995</v>
      </c>
      <c r="BA143" s="63" t="str">
        <f>IF(AND(AV143&lt;&gt;"",AI143&lt;&gt;""),IF(AV143&gt;AI143,"核增",IF(AV143&lt;AI143,"核减","不变")),"")&amp;TEXT(IF(AND(AV143&lt;&gt;"",AI143&lt;&gt;""),MAX(ABS(AV143),ABS(AI143))-MIN(ABS(AV143),ABS(AI143)),""),"0.00")</f>
        <v>核减187.83</v>
      </c>
      <c r="BB143" s="48"/>
      <c r="BC143" s="56"/>
      <c r="BD143" s="48"/>
      <c r="BE143" s="56"/>
      <c r="BF143" s="64"/>
      <c r="BG143" s="48"/>
      <c r="BH143" s="51"/>
      <c r="BI143" s="52"/>
      <c r="BJ143" s="51"/>
      <c r="BK143" s="52"/>
      <c r="BL143" s="40"/>
      <c r="BM143" s="55"/>
      <c r="BN143" s="63"/>
      <c r="BO143" s="48"/>
      <c r="BP143" s="56"/>
      <c r="BQ143" s="48"/>
      <c r="BR143" s="56"/>
      <c r="BS143" s="40"/>
      <c r="BT143" s="40"/>
      <c r="BU143" s="51"/>
      <c r="BV143" s="52"/>
      <c r="BW143" s="51"/>
      <c r="BX143" s="52"/>
      <c r="BY143" s="40"/>
      <c r="BZ143" s="55"/>
    </row>
    <row r="144" ht="13.5" customHeight="1" spans="1:78">
      <c r="A144" s="25" t="s">
        <v>181</v>
      </c>
      <c r="B144" s="5" t="s">
        <v>96</v>
      </c>
      <c r="C144" s="6">
        <v>45603</v>
      </c>
      <c r="D144" s="15">
        <v>45604</v>
      </c>
      <c r="E144" s="32" t="str">
        <f t="shared" ref="E144:E145" si="237">IF(C144&lt;&gt;0,IF(D144&lt;&gt;0,"0","1"),"")</f>
        <v>0</v>
      </c>
      <c r="F144" s="30">
        <f t="shared" si="0"/>
        <v>2</v>
      </c>
      <c r="G144" s="12"/>
      <c r="H144" s="31"/>
      <c r="I144" s="37"/>
      <c r="J144" s="30" t="str">
        <f t="shared" si="1"/>
        <v/>
      </c>
      <c r="K144" s="12"/>
      <c r="L144" s="31"/>
      <c r="M144" s="40"/>
      <c r="N144" s="30" t="str">
        <f t="shared" si="2"/>
        <v/>
      </c>
      <c r="O144" s="12"/>
      <c r="P144" s="31"/>
      <c r="Q144" s="38"/>
      <c r="R144" s="30" t="str">
        <f t="shared" si="3"/>
        <v/>
      </c>
      <c r="S144" s="12"/>
      <c r="T144" s="31"/>
      <c r="U144" s="40"/>
      <c r="V144" s="30" t="str">
        <f t="shared" si="4"/>
        <v/>
      </c>
      <c r="W144" s="12"/>
      <c r="X144" s="31"/>
      <c r="Y144" s="38"/>
      <c r="Z144" s="30" t="str">
        <f t="shared" si="5"/>
        <v/>
      </c>
      <c r="AA144" s="12"/>
      <c r="AB144" s="31"/>
      <c r="AC144" s="40"/>
      <c r="AD144" s="30" t="str">
        <f t="shared" si="6"/>
        <v/>
      </c>
      <c r="AE144" s="46" t="s">
        <v>97</v>
      </c>
      <c r="AF144" s="47" t="s">
        <v>91</v>
      </c>
      <c r="AG144" s="53" t="s">
        <v>97</v>
      </c>
      <c r="AH144" s="51">
        <v>3377.73</v>
      </c>
      <c r="AI144" s="52">
        <v>2999.98</v>
      </c>
      <c r="AJ144" s="51">
        <v>3377.73</v>
      </c>
      <c r="AK144" s="52">
        <v>2999.98</v>
      </c>
      <c r="AL144" s="55" t="str">
        <f t="shared" ref="AL144:AL145" si="238">IF(AND(AK144&lt;&gt;"",AJ144&lt;&gt;""),IF(AK144&gt;AJ144,"核增",IF(AK144&lt;AJ144,"核减","不变")),"")</f>
        <v>核减</v>
      </c>
      <c r="AM144" s="55">
        <f t="shared" ref="AM144:AM145" si="239">IF(AND(AI144&lt;&gt;"",AH144&lt;&gt;""),MAX(ABS(AI144),ABS(AH144))-MIN(ABS(AI144),ABS(AH144)),"")</f>
        <v>377.75</v>
      </c>
      <c r="AN144" s="55">
        <f t="shared" ref="AN144:AN145" si="240">IF(AND(AK144&lt;&gt;"",AJ144&lt;&gt;""),MAX(ABS(AK144),ABS(AJ144))-MIN(ABS(AK144),ABS(AJ144)),"")</f>
        <v>377.75</v>
      </c>
      <c r="AO144" s="48"/>
      <c r="AP144" s="56"/>
      <c r="AQ144" s="48"/>
      <c r="AR144" s="56"/>
      <c r="AS144" s="40"/>
      <c r="AT144" s="40"/>
      <c r="AU144" s="51"/>
      <c r="AV144" s="52"/>
      <c r="AW144" s="51"/>
      <c r="AX144" s="52"/>
      <c r="AY144" s="40"/>
      <c r="AZ144" s="55"/>
      <c r="BA144" s="63"/>
      <c r="BB144" s="48"/>
      <c r="BC144" s="56"/>
      <c r="BD144" s="48"/>
      <c r="BE144" s="56"/>
      <c r="BF144" s="64"/>
      <c r="BG144" s="48"/>
      <c r="BH144" s="51"/>
      <c r="BI144" s="52"/>
      <c r="BJ144" s="51"/>
      <c r="BK144" s="52"/>
      <c r="BL144" s="40"/>
      <c r="BM144" s="55"/>
      <c r="BN144" s="63"/>
      <c r="BO144" s="48"/>
      <c r="BP144" s="56"/>
      <c r="BQ144" s="48"/>
      <c r="BR144" s="56"/>
      <c r="BS144" s="40"/>
      <c r="BT144" s="40"/>
      <c r="BU144" s="51"/>
      <c r="BV144" s="52"/>
      <c r="BW144" s="51"/>
      <c r="BX144" s="52"/>
      <c r="BY144" s="40"/>
      <c r="BZ144" s="55"/>
    </row>
    <row r="145" ht="13.5" customHeight="1" spans="1:78">
      <c r="A145" s="25" t="s">
        <v>164</v>
      </c>
      <c r="B145" s="5" t="s">
        <v>85</v>
      </c>
      <c r="C145" s="6">
        <v>45617</v>
      </c>
      <c r="D145" s="15">
        <v>45639</v>
      </c>
      <c r="E145" s="32" t="str">
        <f t="shared" si="237"/>
        <v>0</v>
      </c>
      <c r="F145" s="30">
        <f t="shared" si="0"/>
        <v>17</v>
      </c>
      <c r="G145" s="12"/>
      <c r="H145" s="31"/>
      <c r="I145" s="37"/>
      <c r="J145" s="30" t="str">
        <f t="shared" si="1"/>
        <v/>
      </c>
      <c r="K145" s="12"/>
      <c r="L145" s="31"/>
      <c r="M145" s="40"/>
      <c r="N145" s="30" t="str">
        <f t="shared" si="2"/>
        <v/>
      </c>
      <c r="O145" s="12"/>
      <c r="P145" s="31"/>
      <c r="Q145" s="38"/>
      <c r="R145" s="30" t="str">
        <f t="shared" si="3"/>
        <v/>
      </c>
      <c r="S145" s="12"/>
      <c r="T145" s="31"/>
      <c r="U145" s="40"/>
      <c r="V145" s="30" t="str">
        <f t="shared" si="4"/>
        <v/>
      </c>
      <c r="W145" s="12"/>
      <c r="X145" s="31"/>
      <c r="Y145" s="38"/>
      <c r="Z145" s="30" t="str">
        <f t="shared" si="5"/>
        <v/>
      </c>
      <c r="AA145" s="12"/>
      <c r="AB145" s="31"/>
      <c r="AC145" s="40"/>
      <c r="AD145" s="30" t="str">
        <f t="shared" si="6"/>
        <v/>
      </c>
      <c r="AE145" s="46" t="s">
        <v>406</v>
      </c>
      <c r="AF145" s="46" t="s">
        <v>406</v>
      </c>
      <c r="AG145" s="50" t="s">
        <v>87</v>
      </c>
      <c r="AH145" s="51">
        <v>7704.17</v>
      </c>
      <c r="AI145" s="52">
        <v>7779.04</v>
      </c>
      <c r="AJ145" s="51">
        <v>7575.02</v>
      </c>
      <c r="AK145" s="52">
        <v>7648.51</v>
      </c>
      <c r="AL145" s="55" t="str">
        <f t="shared" si="238"/>
        <v>核增</v>
      </c>
      <c r="AM145" s="55">
        <f t="shared" si="239"/>
        <v>74.8699999999999</v>
      </c>
      <c r="AN145" s="55">
        <f t="shared" si="240"/>
        <v>73.4899999999998</v>
      </c>
      <c r="AO145" s="48"/>
      <c r="AP145" s="56"/>
      <c r="AQ145" s="48"/>
      <c r="AR145" s="56"/>
      <c r="AS145" s="40"/>
      <c r="AT145" s="40"/>
      <c r="AU145" s="51"/>
      <c r="AV145" s="52"/>
      <c r="AW145" s="51"/>
      <c r="AX145" s="52"/>
      <c r="AY145" s="40"/>
      <c r="AZ145" s="55"/>
      <c r="BA145" s="63"/>
      <c r="BB145" s="48"/>
      <c r="BC145" s="56"/>
      <c r="BD145" s="48"/>
      <c r="BE145" s="56"/>
      <c r="BF145" s="64"/>
      <c r="BG145" s="48"/>
      <c r="BH145" s="51"/>
      <c r="BI145" s="52"/>
      <c r="BJ145" s="51"/>
      <c r="BK145" s="52"/>
      <c r="BL145" s="40"/>
      <c r="BM145" s="55"/>
      <c r="BN145" s="63"/>
      <c r="BO145" s="48"/>
      <c r="BP145" s="56"/>
      <c r="BQ145" s="48"/>
      <c r="BR145" s="56"/>
      <c r="BS145" s="40"/>
      <c r="BT145" s="40"/>
      <c r="BU145" s="51"/>
      <c r="BV145" s="52"/>
      <c r="BW145" s="51"/>
      <c r="BX145" s="52"/>
      <c r="BY145" s="40"/>
      <c r="BZ145" s="55"/>
    </row>
    <row r="146" ht="13.5" customHeight="1" spans="1:78">
      <c r="A146" s="26" t="s">
        <v>515</v>
      </c>
      <c r="B146" s="5" t="s">
        <v>93</v>
      </c>
      <c r="C146" s="6"/>
      <c r="D146" s="15"/>
      <c r="E146" s="29"/>
      <c r="F146" s="30" t="str">
        <f t="shared" si="0"/>
        <v/>
      </c>
      <c r="G146" s="12"/>
      <c r="H146" s="31"/>
      <c r="I146" s="37"/>
      <c r="J146" s="30" t="str">
        <f t="shared" si="1"/>
        <v/>
      </c>
      <c r="K146" s="12"/>
      <c r="L146" s="31"/>
      <c r="M146" s="40"/>
      <c r="N146" s="30" t="str">
        <f t="shared" si="2"/>
        <v/>
      </c>
      <c r="O146" s="12"/>
      <c r="P146" s="31"/>
      <c r="Q146" s="38"/>
      <c r="R146" s="30" t="str">
        <f t="shared" si="3"/>
        <v/>
      </c>
      <c r="S146" s="12"/>
      <c r="T146" s="31"/>
      <c r="U146" s="40"/>
      <c r="V146" s="30" t="str">
        <f t="shared" si="4"/>
        <v/>
      </c>
      <c r="W146" s="12"/>
      <c r="X146" s="31"/>
      <c r="Y146" s="38"/>
      <c r="Z146" s="30" t="str">
        <f t="shared" si="5"/>
        <v/>
      </c>
      <c r="AA146" s="12">
        <v>45607</v>
      </c>
      <c r="AB146" s="31">
        <v>45614</v>
      </c>
      <c r="AC146" s="40" t="str">
        <f>IF(AA146&lt;&gt;0,IF(AB146&lt;&gt;0,"0","1"),"")</f>
        <v>0</v>
      </c>
      <c r="AD146" s="30">
        <f t="shared" si="6"/>
        <v>6</v>
      </c>
      <c r="AE146" s="46" t="s">
        <v>97</v>
      </c>
      <c r="AF146" s="47" t="s">
        <v>91</v>
      </c>
      <c r="AG146" s="53" t="s">
        <v>97</v>
      </c>
      <c r="AH146" s="51"/>
      <c r="AI146" s="52"/>
      <c r="AJ146" s="51"/>
      <c r="AK146" s="52"/>
      <c r="AL146" s="40"/>
      <c r="AM146" s="40"/>
      <c r="AN146" s="40"/>
      <c r="AO146" s="48"/>
      <c r="AP146" s="56"/>
      <c r="AQ146" s="48"/>
      <c r="AR146" s="56"/>
      <c r="AS146" s="40"/>
      <c r="AT146" s="40"/>
      <c r="AU146" s="51"/>
      <c r="AV146" s="52"/>
      <c r="AW146" s="51"/>
      <c r="AX146" s="52"/>
      <c r="AY146" s="40"/>
      <c r="AZ146" s="55"/>
      <c r="BA146" s="63"/>
      <c r="BB146" s="48"/>
      <c r="BC146" s="56"/>
      <c r="BD146" s="48"/>
      <c r="BE146" s="56"/>
      <c r="BF146" s="64"/>
      <c r="BG146" s="48"/>
      <c r="BH146" s="51"/>
      <c r="BI146" s="52"/>
      <c r="BJ146" s="51"/>
      <c r="BK146" s="52"/>
      <c r="BL146" s="40"/>
      <c r="BM146" s="55"/>
      <c r="BN146" s="63"/>
      <c r="BO146" s="48"/>
      <c r="BP146" s="56"/>
      <c r="BQ146" s="48"/>
      <c r="BR146" s="56"/>
      <c r="BS146" s="40"/>
      <c r="BT146" s="40"/>
      <c r="BU146" s="82">
        <f>ABS(-458.94)</f>
        <v>458.94</v>
      </c>
      <c r="BV146" s="83">
        <f>ABS(-423.99)</f>
        <v>423.99</v>
      </c>
      <c r="BW146" s="82">
        <f>ABS(-458.94)</f>
        <v>458.94</v>
      </c>
      <c r="BX146" s="83">
        <f>ABS(-423.99)</f>
        <v>423.99</v>
      </c>
      <c r="BY146" s="63" t="str">
        <f>IF(AND(BX146&lt;&gt;"",BW146&lt;&gt;""),IF((-BX146)&gt;(-BW146),"核增",IF((-BX146)&lt;(-BW146),"核减","不变")),"")</f>
        <v>核增</v>
      </c>
      <c r="BZ146" s="63">
        <f>IF(AND(BX146&lt;&gt;"",BW146&lt;&gt;""),MAX(ABS(BX146),ABS(BW146))-MIN(ABS(BX146),ABS(BW146)),"")</f>
        <v>34.95</v>
      </c>
    </row>
    <row r="147" ht="13.5" customHeight="1" spans="1:78">
      <c r="A147" s="25" t="s">
        <v>516</v>
      </c>
      <c r="B147" s="5" t="s">
        <v>93</v>
      </c>
      <c r="C147" s="6"/>
      <c r="D147" s="15"/>
      <c r="E147" s="29"/>
      <c r="F147" s="30" t="str">
        <f t="shared" si="0"/>
        <v/>
      </c>
      <c r="G147" s="12"/>
      <c r="H147" s="31"/>
      <c r="I147" s="37"/>
      <c r="J147" s="30" t="str">
        <f t="shared" si="1"/>
        <v/>
      </c>
      <c r="K147" s="12">
        <v>45625</v>
      </c>
      <c r="L147" s="31">
        <v>45637</v>
      </c>
      <c r="M147" s="38" t="str">
        <f>IF(K147&lt;&gt;0,IF(L147&lt;&gt;0,"0","1"),"")</f>
        <v>0</v>
      </c>
      <c r="N147" s="30">
        <f t="shared" si="2"/>
        <v>9</v>
      </c>
      <c r="O147" s="12"/>
      <c r="P147" s="31"/>
      <c r="Q147" s="38"/>
      <c r="R147" s="30" t="str">
        <f t="shared" si="3"/>
        <v/>
      </c>
      <c r="S147" s="12"/>
      <c r="T147" s="31"/>
      <c r="U147" s="40"/>
      <c r="V147" s="30" t="str">
        <f t="shared" si="4"/>
        <v/>
      </c>
      <c r="W147" s="12"/>
      <c r="X147" s="31"/>
      <c r="Y147" s="38"/>
      <c r="Z147" s="30" t="str">
        <f t="shared" si="5"/>
        <v/>
      </c>
      <c r="AA147" s="12"/>
      <c r="AB147" s="31"/>
      <c r="AC147" s="40"/>
      <c r="AD147" s="30" t="str">
        <f t="shared" si="6"/>
        <v/>
      </c>
      <c r="AE147" s="48" t="s">
        <v>86</v>
      </c>
      <c r="AF147" s="47" t="s">
        <v>86</v>
      </c>
      <c r="AG147" s="53" t="s">
        <v>91</v>
      </c>
      <c r="AH147" s="51"/>
      <c r="AI147" s="52">
        <v>4656.14</v>
      </c>
      <c r="AJ147" s="51"/>
      <c r="AK147" s="52">
        <v>4576.21</v>
      </c>
      <c r="AL147" s="40"/>
      <c r="AM147" s="40"/>
      <c r="AN147" s="40"/>
      <c r="AO147" s="48"/>
      <c r="AP147" s="56"/>
      <c r="AQ147" s="48"/>
      <c r="AR147" s="56"/>
      <c r="AS147" s="40"/>
      <c r="AT147" s="40"/>
      <c r="AU147" s="51">
        <v>4379.99</v>
      </c>
      <c r="AV147" s="52">
        <v>4061.51</v>
      </c>
      <c r="AW147" s="51">
        <v>4312.21</v>
      </c>
      <c r="AX147" s="52">
        <v>3998.66</v>
      </c>
      <c r="AY147" s="55" t="str">
        <f>IF(AND(AX147&lt;&gt;"",AW147&lt;&gt;""),IF(AX147&gt;AW147,"核增",IF(AX147&lt;AW147,"核减","不变")),"")</f>
        <v>核减</v>
      </c>
      <c r="AZ147" s="55">
        <f>IF(AND(AX147&lt;&gt;"",AW147&lt;&gt;""),MAX(ABS(AX147),ABS(AW147))-MIN(ABS(AX147),ABS(AW147)),"")</f>
        <v>313.55</v>
      </c>
      <c r="BA147" s="63" t="str">
        <f>IF(AND(AV147&lt;&gt;"",AI147&lt;&gt;""),IF(AV147&gt;AI147,"核增",IF(AV147&lt;AI147,"核减","不变")),"")&amp;TEXT(IF(AND(AV147&lt;&gt;"",AI147&lt;&gt;""),MAX(ABS(AV147),ABS(AI147))-MIN(ABS(AV147),ABS(AI147)),""),"0.00")</f>
        <v>核减594.63</v>
      </c>
      <c r="BB147" s="48"/>
      <c r="BC147" s="56"/>
      <c r="BD147" s="48"/>
      <c r="BE147" s="56"/>
      <c r="BF147" s="64"/>
      <c r="BG147" s="48"/>
      <c r="BH147" s="51"/>
      <c r="BI147" s="52"/>
      <c r="BJ147" s="51"/>
      <c r="BK147" s="52"/>
      <c r="BL147" s="40"/>
      <c r="BM147" s="55"/>
      <c r="BN147" s="63"/>
      <c r="BO147" s="48"/>
      <c r="BP147" s="56"/>
      <c r="BQ147" s="48"/>
      <c r="BR147" s="56"/>
      <c r="BS147" s="40"/>
      <c r="BT147" s="40"/>
      <c r="BU147" s="51"/>
      <c r="BV147" s="52"/>
      <c r="BW147" s="51"/>
      <c r="BX147" s="52"/>
      <c r="BY147" s="40"/>
      <c r="BZ147" s="55"/>
    </row>
    <row r="148" ht="13.5" customHeight="1" spans="1:78">
      <c r="A148" s="26" t="s">
        <v>517</v>
      </c>
      <c r="B148" s="5" t="s">
        <v>81</v>
      </c>
      <c r="C148" s="6"/>
      <c r="D148" s="15"/>
      <c r="E148" s="29"/>
      <c r="F148" s="30" t="str">
        <f t="shared" si="0"/>
        <v/>
      </c>
      <c r="G148" s="12"/>
      <c r="H148" s="31"/>
      <c r="I148" s="37"/>
      <c r="J148" s="30" t="str">
        <f t="shared" si="1"/>
        <v/>
      </c>
      <c r="K148" s="12"/>
      <c r="L148" s="31"/>
      <c r="M148" s="40"/>
      <c r="N148" s="30" t="str">
        <f t="shared" si="2"/>
        <v/>
      </c>
      <c r="O148" s="12"/>
      <c r="P148" s="31"/>
      <c r="Q148" s="38"/>
      <c r="R148" s="30" t="str">
        <f t="shared" si="3"/>
        <v/>
      </c>
      <c r="S148" s="12"/>
      <c r="T148" s="31"/>
      <c r="U148" s="40"/>
      <c r="V148" s="30" t="str">
        <f t="shared" si="4"/>
        <v/>
      </c>
      <c r="W148" s="12"/>
      <c r="X148" s="31"/>
      <c r="Y148" s="38"/>
      <c r="Z148" s="30" t="str">
        <f t="shared" si="5"/>
        <v/>
      </c>
      <c r="AA148" s="12">
        <v>45635</v>
      </c>
      <c r="AB148" s="31">
        <v>45645</v>
      </c>
      <c r="AC148" s="40" t="str">
        <f>IF(AA148&lt;&gt;0,IF(AB148&lt;&gt;0,"0","1"),"")</f>
        <v>0</v>
      </c>
      <c r="AD148" s="30">
        <f t="shared" si="6"/>
        <v>9</v>
      </c>
      <c r="AE148" s="46" t="s">
        <v>87</v>
      </c>
      <c r="AF148" s="47" t="s">
        <v>406</v>
      </c>
      <c r="AG148" s="50" t="s">
        <v>87</v>
      </c>
      <c r="AH148" s="51"/>
      <c r="AI148" s="52"/>
      <c r="AJ148" s="51"/>
      <c r="AK148" s="52"/>
      <c r="AL148" s="40"/>
      <c r="AM148" s="40"/>
      <c r="AN148" s="40"/>
      <c r="AO148" s="48"/>
      <c r="AP148" s="56"/>
      <c r="AQ148" s="48"/>
      <c r="AR148" s="56"/>
      <c r="AS148" s="40"/>
      <c r="AT148" s="40"/>
      <c r="AU148" s="51"/>
      <c r="AV148" s="52"/>
      <c r="AW148" s="51"/>
      <c r="AX148" s="52"/>
      <c r="AY148" s="40"/>
      <c r="AZ148" s="55"/>
      <c r="BA148" s="63"/>
      <c r="BB148" s="48"/>
      <c r="BC148" s="56"/>
      <c r="BD148" s="48"/>
      <c r="BE148" s="56"/>
      <c r="BF148" s="64"/>
      <c r="BG148" s="48"/>
      <c r="BH148" s="51"/>
      <c r="BI148" s="52"/>
      <c r="BJ148" s="51"/>
      <c r="BK148" s="52"/>
      <c r="BL148" s="40"/>
      <c r="BM148" s="55"/>
      <c r="BN148" s="63"/>
      <c r="BO148" s="48"/>
      <c r="BP148" s="56"/>
      <c r="BQ148" s="48"/>
      <c r="BR148" s="56"/>
      <c r="BS148" s="40"/>
      <c r="BT148" s="40"/>
      <c r="BU148" s="51">
        <v>-221.86</v>
      </c>
      <c r="BV148" s="52">
        <v>-486.48</v>
      </c>
      <c r="BW148" s="51">
        <v>-221.86</v>
      </c>
      <c r="BX148" s="52">
        <v>-486.48</v>
      </c>
      <c r="BY148" s="63" t="str">
        <f>IF(AND(BX148&lt;&gt;"",BW148&lt;&gt;""),IF((-BX148)&gt;(-BW148),"核增",IF((-BX148)&lt;(-BW148),"核减","不变")),"")</f>
        <v>核增</v>
      </c>
      <c r="BZ148" s="63">
        <f>IF(AND(BX148&lt;&gt;"",BW148&lt;&gt;""),MAX(ABS(BX148),ABS(BW148))-MIN(ABS(BX148),ABS(BW148)),"")</f>
        <v>264.62</v>
      </c>
    </row>
    <row r="149" ht="13.5" customHeight="1" spans="1:78">
      <c r="A149" s="25" t="s">
        <v>518</v>
      </c>
      <c r="B149" s="5" t="s">
        <v>96</v>
      </c>
      <c r="C149" s="6"/>
      <c r="D149" s="15"/>
      <c r="E149" s="29"/>
      <c r="F149" s="30" t="str">
        <f t="shared" si="0"/>
        <v/>
      </c>
      <c r="G149" s="12"/>
      <c r="H149" s="31"/>
      <c r="I149" s="37"/>
      <c r="J149" s="30" t="str">
        <f t="shared" si="1"/>
        <v/>
      </c>
      <c r="K149" s="12"/>
      <c r="L149" s="31"/>
      <c r="M149" s="40"/>
      <c r="N149" s="30" t="str">
        <f t="shared" si="2"/>
        <v/>
      </c>
      <c r="O149" s="12"/>
      <c r="P149" s="31"/>
      <c r="Q149" s="38"/>
      <c r="R149" s="30" t="str">
        <f t="shared" si="3"/>
        <v/>
      </c>
      <c r="S149" s="12">
        <v>45624</v>
      </c>
      <c r="T149" s="31">
        <v>45628</v>
      </c>
      <c r="U149" s="38" t="str">
        <f>IF(S149&lt;&gt;0,IF(T149&lt;&gt;0,"0","1"),"")</f>
        <v>0</v>
      </c>
      <c r="V149" s="30">
        <f t="shared" si="4"/>
        <v>3</v>
      </c>
      <c r="W149" s="12"/>
      <c r="X149" s="31"/>
      <c r="Y149" s="38"/>
      <c r="Z149" s="30" t="str">
        <f t="shared" si="5"/>
        <v/>
      </c>
      <c r="AA149" s="12"/>
      <c r="AB149" s="31"/>
      <c r="AC149" s="40"/>
      <c r="AD149" s="30" t="str">
        <f t="shared" si="6"/>
        <v/>
      </c>
      <c r="AE149" s="48" t="s">
        <v>406</v>
      </c>
      <c r="AF149" s="47" t="s">
        <v>406</v>
      </c>
      <c r="AG149" s="53" t="s">
        <v>91</v>
      </c>
      <c r="AH149" s="51"/>
      <c r="AI149" s="52"/>
      <c r="AJ149" s="51"/>
      <c r="AK149" s="52"/>
      <c r="AL149" s="40"/>
      <c r="AM149" s="40"/>
      <c r="AN149" s="40"/>
      <c r="AO149" s="48"/>
      <c r="AP149" s="56"/>
      <c r="AQ149" s="48"/>
      <c r="AR149" s="56"/>
      <c r="AS149" s="40"/>
      <c r="AT149" s="40"/>
      <c r="AU149" s="51"/>
      <c r="AV149" s="52"/>
      <c r="AW149" s="51"/>
      <c r="AX149" s="52"/>
      <c r="AY149" s="40"/>
      <c r="AZ149" s="55"/>
      <c r="BA149" s="63"/>
      <c r="BB149" s="48"/>
      <c r="BC149" s="56">
        <v>10166.03</v>
      </c>
      <c r="BD149" s="48"/>
      <c r="BE149" s="56">
        <v>9916.54</v>
      </c>
      <c r="BF149" s="64"/>
      <c r="BG149" s="48"/>
      <c r="BH149" s="51">
        <v>10138.45</v>
      </c>
      <c r="BI149" s="52">
        <v>10138.45</v>
      </c>
      <c r="BJ149" s="51">
        <v>9889.52</v>
      </c>
      <c r="BK149" s="52">
        <v>9889.52</v>
      </c>
      <c r="BL149" s="55" t="str">
        <f>IF(AND(BK149&lt;&gt;"",BJ149&lt;&gt;""),IF(BK149&gt;BJ149,"核增",IF(BK149&lt;BJ149,"核减","不变")),"")</f>
        <v>不变</v>
      </c>
      <c r="BM149" s="55">
        <f>IF(AND(BK149&lt;&gt;"",BJ149&lt;&gt;""),MAX(ABS(BK149),ABS(BJ149))-MIN(ABS(BK149),ABS(BJ149)),"")</f>
        <v>0</v>
      </c>
      <c r="BN149" s="63" t="str">
        <f>IF(AND(BI149&lt;&gt;"",BC149&lt;&gt;""),IF(BI149&gt;BC149,"核增",IF(BI149&lt;BC149,"核减","不变")),"")&amp;TEXT(IF(AND(BI149&lt;&gt;"",BC149&lt;&gt;""),MAX(ABS(BI149),ABS(BC149))-MIN(ABS(BI149),ABS(BC149)),""),"0.00")</f>
        <v>核减27.58</v>
      </c>
      <c r="BO149" s="48"/>
      <c r="BP149" s="56"/>
      <c r="BQ149" s="48"/>
      <c r="BR149" s="56"/>
      <c r="BS149" s="40"/>
      <c r="BT149" s="40"/>
      <c r="BU149" s="51"/>
      <c r="BV149" s="52"/>
      <c r="BW149" s="51"/>
      <c r="BX149" s="52"/>
      <c r="BY149" s="40"/>
      <c r="BZ149" s="55"/>
    </row>
    <row r="150" ht="13.5" customHeight="1" spans="1:78">
      <c r="A150" s="89" t="s">
        <v>519</v>
      </c>
      <c r="B150" s="5" t="s">
        <v>81</v>
      </c>
      <c r="C150" s="6"/>
      <c r="D150" s="15"/>
      <c r="E150" s="29"/>
      <c r="F150" s="90"/>
      <c r="G150" s="12"/>
      <c r="H150" s="31"/>
      <c r="I150" s="37"/>
      <c r="J150" s="91"/>
      <c r="K150" s="12"/>
      <c r="L150" s="31"/>
      <c r="M150" s="40"/>
      <c r="N150" s="56"/>
      <c r="O150" s="12"/>
      <c r="P150" s="31"/>
      <c r="Q150" s="56"/>
      <c r="R150" s="56"/>
      <c r="S150" s="12"/>
      <c r="T150" s="31"/>
      <c r="U150" s="40"/>
      <c r="V150" s="56"/>
      <c r="W150" s="12"/>
      <c r="X150" s="31"/>
      <c r="Y150" s="38"/>
      <c r="Z150" s="30"/>
      <c r="AA150" s="12">
        <v>45652</v>
      </c>
      <c r="AB150" s="31">
        <v>45652</v>
      </c>
      <c r="AC150" s="40" t="str">
        <f>IF(AA150&lt;&gt;0,IF(AB150&lt;&gt;0,"0","1"),"")</f>
        <v>0</v>
      </c>
      <c r="AD150" s="30">
        <f t="shared" si="6"/>
        <v>1</v>
      </c>
      <c r="AE150" s="46" t="s">
        <v>87</v>
      </c>
      <c r="AF150" s="47" t="s">
        <v>406</v>
      </c>
      <c r="AG150" s="50" t="s">
        <v>87</v>
      </c>
      <c r="AH150" s="51"/>
      <c r="AI150" s="52"/>
      <c r="AJ150" s="51"/>
      <c r="AK150" s="52"/>
      <c r="AL150" s="40"/>
      <c r="AM150" s="40"/>
      <c r="AN150" s="40"/>
      <c r="AO150" s="48"/>
      <c r="AP150" s="56"/>
      <c r="AQ150" s="48"/>
      <c r="AR150" s="56"/>
      <c r="AS150" s="40"/>
      <c r="AT150" s="40"/>
      <c r="AU150" s="51"/>
      <c r="AV150" s="52"/>
      <c r="AW150" s="51"/>
      <c r="AX150" s="52"/>
      <c r="AY150" s="40"/>
      <c r="AZ150" s="55"/>
      <c r="BA150" s="63"/>
      <c r="BB150" s="48"/>
      <c r="BC150" s="56"/>
      <c r="BD150" s="48"/>
      <c r="BE150" s="56"/>
      <c r="BF150" s="48"/>
      <c r="BG150" s="48"/>
      <c r="BH150" s="51"/>
      <c r="BI150" s="52"/>
      <c r="BJ150" s="51"/>
      <c r="BK150" s="52"/>
      <c r="BL150" s="40"/>
      <c r="BM150" s="55"/>
      <c r="BN150" s="63"/>
      <c r="BO150" s="48"/>
      <c r="BP150" s="56"/>
      <c r="BQ150" s="48"/>
      <c r="BR150" s="56"/>
      <c r="BS150" s="40"/>
      <c r="BT150" s="40"/>
      <c r="BU150" s="51">
        <v>264.62</v>
      </c>
      <c r="BV150" s="52">
        <v>264.62</v>
      </c>
      <c r="BW150" s="51">
        <v>264.62</v>
      </c>
      <c r="BX150" s="52">
        <v>264.62</v>
      </c>
      <c r="BY150" s="63" t="str">
        <f>IF(AND(BX150&lt;&gt;"",BW150&lt;&gt;""),IF((-BX150)&gt;(-BW150),"核增",IF((-BX150)&lt;(-BW150),"核减","不变")),"")</f>
        <v>不变</v>
      </c>
      <c r="BZ150" s="55">
        <f>IF(AND(BX150&lt;&gt;"",BW150&lt;&gt;""),MAX(ABS(BX150),ABS(BW150))-MIN(ABS(BX150),ABS(BW150)),"")</f>
        <v>0</v>
      </c>
    </row>
    <row r="151" ht="13.5" customHeight="1" spans="1:78">
      <c r="A151" s="89" t="s">
        <v>520</v>
      </c>
      <c r="B151" s="5" t="s">
        <v>81</v>
      </c>
      <c r="C151" s="6"/>
      <c r="D151" s="15"/>
      <c r="E151" s="29"/>
      <c r="F151" s="90"/>
      <c r="G151" s="12"/>
      <c r="H151" s="31"/>
      <c r="I151" s="37"/>
      <c r="J151" s="91"/>
      <c r="K151" s="12"/>
      <c r="L151" s="31"/>
      <c r="M151" s="40"/>
      <c r="N151" s="56"/>
      <c r="O151" s="12"/>
      <c r="P151" s="31"/>
      <c r="Q151" s="56"/>
      <c r="R151" s="56"/>
      <c r="S151" s="12"/>
      <c r="T151" s="31"/>
      <c r="U151" s="40"/>
      <c r="V151" s="56"/>
      <c r="W151" s="12">
        <v>45642</v>
      </c>
      <c r="X151" s="31">
        <v>45643</v>
      </c>
      <c r="Y151" s="38" t="str">
        <f t="shared" ref="Y151:Y152" si="241">IF(W151&lt;&gt;0,IF(X151&lt;&gt;0,"0","1"),"")</f>
        <v>0</v>
      </c>
      <c r="Z151" s="30">
        <f t="shared" ref="Z151:Z152" si="242">IF(Y151="0",NETWORKDAYS(W151,X151,$EO$3:$EO$42),"")</f>
        <v>2</v>
      </c>
      <c r="AA151" s="12"/>
      <c r="AB151" s="31"/>
      <c r="AC151" s="40"/>
      <c r="AD151" s="56"/>
      <c r="AE151" s="46" t="s">
        <v>87</v>
      </c>
      <c r="AF151" s="47" t="s">
        <v>91</v>
      </c>
      <c r="AG151" s="50" t="s">
        <v>87</v>
      </c>
      <c r="AH151" s="51"/>
      <c r="AI151" s="52"/>
      <c r="AJ151" s="51"/>
      <c r="AK151" s="52"/>
      <c r="AL151" s="40"/>
      <c r="AM151" s="40"/>
      <c r="AN151" s="40"/>
      <c r="AO151" s="48"/>
      <c r="AP151" s="56"/>
      <c r="AQ151" s="48"/>
      <c r="AR151" s="56"/>
      <c r="AS151" s="40"/>
      <c r="AT151" s="40"/>
      <c r="AU151" s="51"/>
      <c r="AV151" s="52"/>
      <c r="AW151" s="51"/>
      <c r="AX151" s="52"/>
      <c r="AY151" s="40"/>
      <c r="AZ151" s="55"/>
      <c r="BA151" s="63"/>
      <c r="BB151" s="48"/>
      <c r="BC151" s="56"/>
      <c r="BD151" s="48"/>
      <c r="BE151" s="56"/>
      <c r="BF151" s="48"/>
      <c r="BG151" s="48"/>
      <c r="BH151" s="51"/>
      <c r="BI151" s="52">
        <v>11731</v>
      </c>
      <c r="BJ151" s="51"/>
      <c r="BK151" s="52">
        <v>11530</v>
      </c>
      <c r="BL151" s="40"/>
      <c r="BM151" s="55"/>
      <c r="BN151" s="63"/>
      <c r="BO151" s="92">
        <v>11969</v>
      </c>
      <c r="BP151" s="93">
        <v>11838</v>
      </c>
      <c r="BQ151" s="92">
        <v>11764</v>
      </c>
      <c r="BR151" s="93">
        <v>11635</v>
      </c>
      <c r="BS151" s="55" t="str">
        <f t="shared" ref="BS151:BS152" si="243">IF(AND(BR151&lt;&gt;"",BQ151&lt;&gt;""),IF(BR151&gt;BQ151,"核增",IF(BR151&lt;BQ151,"核减","不变")),"")</f>
        <v>核减</v>
      </c>
      <c r="BT151" s="55">
        <f t="shared" ref="BT151:BT152" si="244">IF(AND(BR151&lt;&gt;"",BQ151&lt;&gt;""),MAX(ABS(BR151),ABS(BQ151))-MIN(ABS(BR151),ABS(BQ151)),"")</f>
        <v>129</v>
      </c>
      <c r="BU151" s="51"/>
      <c r="BV151" s="52"/>
      <c r="BW151" s="51"/>
      <c r="BX151" s="52"/>
      <c r="BY151" s="40"/>
      <c r="BZ151" s="55"/>
    </row>
    <row r="152" ht="13.5" customHeight="1" spans="1:78">
      <c r="A152" s="89" t="s">
        <v>521</v>
      </c>
      <c r="B152" s="5" t="s">
        <v>81</v>
      </c>
      <c r="C152" s="6"/>
      <c r="D152" s="15"/>
      <c r="E152" s="29"/>
      <c r="F152" s="90"/>
      <c r="G152" s="12"/>
      <c r="H152" s="31"/>
      <c r="I152" s="37"/>
      <c r="J152" s="91"/>
      <c r="K152" s="12"/>
      <c r="L152" s="31"/>
      <c r="M152" s="40"/>
      <c r="N152" s="56"/>
      <c r="O152" s="12"/>
      <c r="P152" s="31"/>
      <c r="Q152" s="56"/>
      <c r="R152" s="56"/>
      <c r="S152" s="12"/>
      <c r="T152" s="31"/>
      <c r="U152" s="40"/>
      <c r="V152" s="56"/>
      <c r="W152" s="12">
        <v>45642</v>
      </c>
      <c r="X152" s="31">
        <v>45643</v>
      </c>
      <c r="Y152" s="38" t="str">
        <f t="shared" si="241"/>
        <v>0</v>
      </c>
      <c r="Z152" s="30">
        <f t="shared" si="242"/>
        <v>2</v>
      </c>
      <c r="AA152" s="12"/>
      <c r="AB152" s="31"/>
      <c r="AC152" s="40"/>
      <c r="AD152" s="56"/>
      <c r="AE152" s="46" t="s">
        <v>87</v>
      </c>
      <c r="AF152" s="47" t="s">
        <v>91</v>
      </c>
      <c r="AG152" s="50" t="s">
        <v>87</v>
      </c>
      <c r="AH152" s="51"/>
      <c r="AI152" s="52"/>
      <c r="AJ152" s="51"/>
      <c r="AK152" s="52"/>
      <c r="AL152" s="40"/>
      <c r="AM152" s="40"/>
      <c r="AN152" s="40"/>
      <c r="AO152" s="48"/>
      <c r="AP152" s="56"/>
      <c r="AQ152" s="48"/>
      <c r="AR152" s="56"/>
      <c r="AS152" s="40"/>
      <c r="AT152" s="40"/>
      <c r="AU152" s="51"/>
      <c r="AV152" s="52"/>
      <c r="AW152" s="51"/>
      <c r="AX152" s="52"/>
      <c r="AY152" s="40"/>
      <c r="AZ152" s="55"/>
      <c r="BA152" s="63"/>
      <c r="BB152" s="48"/>
      <c r="BC152" s="56"/>
      <c r="BD152" s="48"/>
      <c r="BE152" s="56"/>
      <c r="BF152" s="48"/>
      <c r="BG152" s="48"/>
      <c r="BH152" s="51"/>
      <c r="BI152" s="52">
        <v>5281</v>
      </c>
      <c r="BJ152" s="51"/>
      <c r="BK152" s="52">
        <v>5190</v>
      </c>
      <c r="BL152" s="40"/>
      <c r="BM152" s="55"/>
      <c r="BN152" s="63"/>
      <c r="BO152" s="48">
        <v>5854</v>
      </c>
      <c r="BP152" s="56">
        <v>5854</v>
      </c>
      <c r="BQ152" s="48">
        <v>5753</v>
      </c>
      <c r="BR152" s="56">
        <v>5753</v>
      </c>
      <c r="BS152" s="55" t="str">
        <f t="shared" si="243"/>
        <v>不变</v>
      </c>
      <c r="BT152" s="55">
        <f t="shared" si="244"/>
        <v>0</v>
      </c>
      <c r="BU152" s="51"/>
      <c r="BV152" s="52"/>
      <c r="BW152" s="51"/>
      <c r="BX152" s="52"/>
      <c r="BY152" s="40"/>
      <c r="BZ152" s="55"/>
    </row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sheetProtection formatCells="0" formatColumns="0" formatRows="0" insertRows="0" insertColumns="0" insertHyperlinks="0" deleteColumns="0" deleteRows="0" sort="0" autoFilter="0" pivotTables="0"/>
  <conditionalFormatting sqref="F3:F152">
    <cfRule type="cellIs" dxfId="78" priority="1" operator="greaterThan">
      <formula>30</formula>
    </cfRule>
  </conditionalFormatting>
  <conditionalFormatting sqref="J3:J152">
    <cfRule type="cellIs" dxfId="78" priority="2" operator="greaterThan">
      <formula>30</formula>
    </cfRule>
  </conditionalFormatting>
  <conditionalFormatting sqref="N3:N152">
    <cfRule type="cellIs" dxfId="78" priority="3" operator="greaterThan">
      <formula>15</formula>
    </cfRule>
  </conditionalFormatting>
  <conditionalFormatting sqref="R3:R152">
    <cfRule type="cellIs" dxfId="78" priority="4" operator="greaterThan">
      <formula>15</formula>
    </cfRule>
  </conditionalFormatting>
  <conditionalFormatting sqref="V3:V152">
    <cfRule type="cellIs" dxfId="78" priority="5" operator="greaterThan">
      <formula>15</formula>
    </cfRule>
  </conditionalFormatting>
  <conditionalFormatting sqref="Z3:Z152">
    <cfRule type="cellIs" dxfId="78" priority="6" operator="greaterThan">
      <formula>15</formula>
    </cfRule>
  </conditionalFormatting>
  <conditionalFormatting sqref="AD3:AD152">
    <cfRule type="cellIs" dxfId="78" priority="7" operator="greaterThan">
      <formula>15</formula>
    </cfRule>
  </conditionalFormatting>
  <pageMargins left="0.75" right="0.75" top="1" bottom="1" header="0" footer="0"/>
  <pageSetup paperSize="1" orientation="landscape"/>
  <headerFooter/>
  <legacyDrawing r:id="rId2"/>
  <tableParts count="2">
    <tablePart r:id="rId3"/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omments xmlns="https://web.wps.cn/et/2018/main" xmlns:s="http://schemas.openxmlformats.org/spreadsheetml/2006/main" xmlns:r="http://schemas.openxmlformats.org/officeDocument/2006/relationships">
  <commentList sheetStid="1">
    <commentChains s:ref="AG4" rgbClr="FF0000">
      <unresolved>
        <commentChain chainId="0ba63ea1b80c8f2247abfb9a3388e0495d91681e">
          <item id="cfffb47db81b91e604ffcb94371fb2146e4c3420" isNormal="1">
            <s:text>
              <s:r>
                <s:t xml:space="preserve">======
ID#AAABwZ_v59o
陆汉东    (2025-12-28 13:27:34)
衡佳灵</s:t>
              </s:r>
            </s:text>
          </item>
        </commentChain>
      </unresolved>
      <resolved/>
    </commentChains>
    <commentChains s:ref="L5" rgbClr="FF0000">
      <unresolved>
        <commentChain chainId="1aeafaee9dd9704f481d7777e20b94054bac9f6f">
          <item id="2f8215da660909ca43177214ec99513dbf55ac5d" isNormal="1">
            <s:text>
              <s:r>
                <s:t xml:space="preserve">======
ID#AAABwZ_v54Q
陆汉东    (2025-12-28 13:27:34)
2025年11月7日批复</s:t>
              </s:r>
            </s:text>
          </item>
        </commentChain>
      </unresolved>
      <resolved/>
    </commentChains>
    <commentChains s:ref="D8" rgbClr="FF0000">
      <unresolved>
        <commentChain chainId="bbfcceff0aa358b1b4ee353bfdd0e69b97895b57">
          <item id="ed350180fac90a64da420913956982e2b431da38" isNormal="1">
            <s:text>
              <s:r>
                <s:t xml:space="preserve">======
ID#AAABwZ_v53w
陆汉东    (2025-12-28 13:27:34)
2025年9月10日批复</s:t>
              </s:r>
            </s:text>
          </item>
        </commentChain>
      </unresolved>
      <resolved/>
    </commentChains>
    <commentChains s:ref="AG8" rgbClr="FF0000">
      <unresolved>
        <commentChain chainId="4e2dd50282cd7d05e91dbd94bcea38fb5a14a85a">
          <item id="58e50908568696b9c3ea2b8c9bbb4e651bc944b5" isNormal="1">
            <s:text>
              <s:r>
                <s:t xml:space="preserve">======
ID#AAABwZ_v53s
陆汉东    (2025-12-28 13:27:34)
衡佳灵</s:t>
              </s:r>
            </s:text>
          </item>
        </commentChain>
      </unresolved>
      <resolved/>
    </commentChains>
    <commentChains s:ref="B9" rgbClr="FF0000">
      <unresolved>
        <commentChain chainId="491c64892ff157763a1c61380266d61195483de2">
          <item id="e3009dd674b3857fd8ac0eb5fe14aef929e99104" isNormal="1">
            <s:text>
              <s:r>
                <s:t xml:space="preserve">======
ID#AAABwZ_v5zs
陆汉东    (2025-12-28 13:27:34)
广州院线路部分</s:t>
              </s:r>
            </s:text>
          </item>
        </commentChain>
      </unresolved>
      <resolved/>
    </commentChains>
    <commentChains s:ref="D9" rgbClr="FF0000">
      <unresolved>
        <commentChain chainId="01cd88b3b9efa695e57002dfd9cb02abd15f7525">
          <item id="08e08905ce3eaa3da3aa2cda6dd18863a038ace5" isNormal="1">
            <s:text>
              <s:r>
                <s:t xml:space="preserve">======
ID#AAABwZ_v50E
陆汉东    (2025-12-28 13:27:34)
2025年3月3日批复</s:t>
              </s:r>
            </s:text>
          </item>
        </commentChain>
      </unresolved>
      <resolved/>
    </commentChains>
    <commentChains s:ref="A10" rgbClr="FF0000">
      <unresolved>
        <commentChain chainId="fdaf28acc8c78461cb9929a59ffe7cd0a1139d43">
          <item id="929f4b3c894e1f38c39d2bb1ceae708e02fcfc80" isNormal="1">
            <s:text>
              <s:r>
                <s:t xml:space="preserve">======
ID#AAABwZ_v6DY
陆汉东    (2025-12-28 13:27:34)
业绩考核责任书8.30</s:t>
              </s:r>
            </s:text>
          </item>
        </commentChain>
      </unresolved>
      <resolved/>
    </commentChains>
    <commentChains s:ref="D11" rgbClr="FF0000">
      <unresolved>
        <commentChain chainId="e50d528e7513a7d401a7e7a878fc89187712ba28">
          <item id="19f2fa5df31d7917a3b58d08783992295426f22a" isNormal="1">
            <s:text>
              <s:r>
                <s:t xml:space="preserve">======
ID#AAABwZ_v6Dc
陆汉东    (2025-12-28 13:27:34)
2025年2月13日批复</s:t>
              </s:r>
            </s:text>
          </item>
        </commentChain>
      </unresolved>
      <resolved/>
    </commentChains>
    <commentChains s:ref="L11" rgbClr="FF0000">
      <unresolved>
        <commentChain chainId="793bc5d03ce1a750f4e0c0e6f55d9406ff67db3f">
          <item id="69ca77a89bad6ca280bd1de180f2b4554cc2bc03" isNormal="1">
            <s:text>
              <s:r>
                <s:t xml:space="preserve">======
ID#AAABwZ_v5yE
陆汉东    (2025-12-28 13:27:34)
2025年6月23日批复</s:t>
              </s:r>
            </s:text>
          </item>
        </commentChain>
      </unresolved>
      <resolved/>
    </commentChains>
    <commentChains s:ref="D12" rgbClr="FF0000">
      <unresolved>
        <commentChain chainId="32a9ff82f369e2ceb53607dfcc95f031a2e8c4af">
          <item id="81d0a83469951dacb1fee3ebd2036ce2bb8a97dd" isNormal="1">
            <s:text>
              <s:r>
                <s:t xml:space="preserve">======
ID#AAABwZ_v55o
陆汉东    (2025-12-28 13:27:34)
2025年1月22日批复</s:t>
              </s:r>
            </s:text>
          </item>
        </commentChain>
      </unresolved>
      <resolved/>
    </commentChains>
    <commentChains s:ref="L12" rgbClr="FF0000">
      <unresolved>
        <commentChain chainId="7780a226a9144c5c9802c9d7f4baae61c931aa64">
          <item id="4402d2e1032f5b48a442571bbfe509a2f5b5e91b" isNormal="1">
            <s:text>
              <s:r>
                <s:t xml:space="preserve">======
ID#AAABwZ_v52w
陆汉东    (2025-12-28 13:27:34)
2025年2月14日批复</s:t>
              </s:r>
            </s:text>
          </item>
        </commentChain>
      </unresolved>
      <resolved/>
    </commentChains>
    <commentChains s:ref="T12" rgbClr="FF0000">
      <unresolved>
        <commentChain chainId="166918ebea92359fc132231decb7eec60e0b7f75">
          <item id="0aa1e321f962d73d448811b6cd2f40a769a099ef" isNormal="1">
            <s:text>
              <s:r>
                <s:t xml:space="preserve">======
ID#AAABwZ_v6Bo
陆汉东    (2025-12-28 13:27:34)
2025年4月7日批复</s:t>
              </s:r>
            </s:text>
          </item>
        </commentChain>
      </unresolved>
      <resolved/>
    </commentChains>
    <commentChains s:ref="D13" rgbClr="FF0000">
      <unresolved>
        <commentChain chainId="182691f8167d494b5c95b6e1e59215d8f0ec88f0">
          <item id="15655cc98bfe7c6f487e74c9c643069c5ab7fbbb" isNormal="1">
            <s:text>
              <s:r>
                <s:t xml:space="preserve">======
ID#AAABwZ_v5-8
陆汉东    (2025-12-28 13:27:34)
2025年8月14日批复</s:t>
              </s:r>
            </s:text>
          </item>
        </commentChain>
      </unresolved>
      <resolved/>
    </commentChains>
    <commentChains s:ref="AG13" rgbClr="FF0000">
      <unresolved>
        <commentChain chainId="efd4583aa2c6a0418aefec687994778123840aa2">
          <item id="4e7a0b67fd292d42824deaa29b3064094b18f394" isNormal="1">
            <s:text>
              <s:r>
                <s:t xml:space="preserve">======
ID#AAABwZ_v5zw
陆汉东    (2025-12-28 13:27:34)
衡佳灵</s:t>
              </s:r>
            </s:text>
          </item>
        </commentChain>
      </unresolved>
      <resolved/>
    </commentChains>
    <commentChains s:ref="D14" rgbClr="FF0000">
      <unresolved>
        <commentChain chainId="85e8ce30e54b2dd08062a6f3da58238091726362">
          <item id="959d99e6805bf31067f40c2e7f2d107ac22cb458" isNormal="1">
            <s:text>
              <s:r>
                <s:t xml:space="preserve">======
ID#AAABwZ_v5-I
陆汉东    (2025-12-28 13:27:34)
2025年3月18日批复</s:t>
              </s:r>
            </s:text>
          </item>
        </commentChain>
      </unresolved>
      <resolved/>
    </commentChains>
    <commentChains s:ref="L14" rgbClr="FF0000">
      <unresolved>
        <commentChain chainId="904775cddf5e464dffbaafba1bab1235824e50ca">
          <item id="37f4c182c16bf78edbbc0f2b3ea0e2a71c117341" isNormal="1">
            <s:text>
              <s:r>
                <s:t xml:space="preserve">======
ID#AAABwZ_v590
陆汉东    (2025-12-28 13:27:34)
2025年8月25日批复</s:t>
              </s:r>
            </s:text>
          </item>
        </commentChain>
      </unresolved>
      <resolved/>
    </commentChains>
    <commentChains s:ref="T14" rgbClr="FF0000">
      <unresolved>
        <commentChain chainId="6262ea40cfede6319163097c35211df4a9764d18">
          <item id="738081452c1f4bc3cc50376e649b14c167baae34" isNormal="1">
            <s:text>
              <s:r>
                <s:t xml:space="preserve">======
ID#AAABwZ_v6Bg
陆汉东    (2025-12-28 13:27:34)
2025年11月4日批复</s:t>
              </s:r>
            </s:text>
          </item>
        </commentChain>
      </unresolved>
      <resolved/>
    </commentChains>
    <commentChains s:ref="AG14" rgbClr="FF0000">
      <unresolved>
        <commentChain chainId="c4c072d15a354e0362684c9bec572c2c4630da48">
          <item id="a4cc8f3eb69fbb4adc60846901354755f79cbcc3" isNormal="1">
            <s:text>
              <s:r>
                <s:t xml:space="preserve">======
ID#AAABwZ_v5zk
陆汉东    (2025-12-28 13:27:34)
衡佳灵</s:t>
              </s:r>
            </s:text>
          </item>
        </commentChain>
      </unresolved>
      <resolved/>
    </commentChains>
    <commentChains s:ref="D15" rgbClr="FF0000">
      <unresolved>
        <commentChain chainId="aa7cf74800a4b498e04681fbd5e08842faa86881">
          <item id="ea293f9c808a98a553190ab66e9627cca3687b73" isNormal="1">
            <s:text>
              <s:r>
                <s:t xml:space="preserve">======
ID#AAABwZ_v530
陆汉东    (2025-12-28 13:27:34)
2025年2月17日批复</s:t>
              </s:r>
            </s:text>
          </item>
        </commentChain>
      </unresolved>
      <resolved/>
    </commentChains>
    <commentChains s:ref="L15" rgbClr="FF0000">
      <unresolved>
        <commentChain chainId="84f8409732cbb08a23a785e085f26efa24ba6a36">
          <item id="2fc0f7d4f181fff488ab72aa51cd466bbe4f5b73" isNormal="1">
            <s:text>
              <s:r>
                <s:t xml:space="preserve">======
ID#AAABwZ_v5xE
陆汉东    (2025-12-28 13:27:34)
2025年7月7日批复</s:t>
              </s:r>
            </s:text>
          </item>
        </commentChain>
      </unresolved>
      <resolved/>
    </commentChains>
    <commentChains s:ref="T15" rgbClr="FF0000">
      <unresolved>
        <commentChain chainId="cc5ba73086ae6827ddbbc85d7d68452faf209fec">
          <item id="5e85e0c63dbcb7eacff24960c4e7fac726bda9a5" isNormal="1">
            <s:text>
              <s:r>
                <s:t xml:space="preserve">======
ID#AAABwZ_v56M
陆汉东    (2025-12-28 13:27:34)
2025年10月10日批复</s:t>
              </s:r>
            </s:text>
          </item>
        </commentChain>
      </unresolved>
      <resolved/>
    </commentChains>
    <commentChains s:ref="D16" rgbClr="FF0000">
      <unresolved>
        <commentChain chainId="59567cd5ce11f0eb41a59a0af44ddeccf2e273fb">
          <item id="582f7d489813f6fa3990a96014dc778444d548cf" isNormal="1">
            <s:text>
              <s:r>
                <s:t xml:space="preserve">======
ID#AAABwZ_v5wA
陆汉东    (2025-12-28 13:27:34)
2025年2月11日批复</s:t>
              </s:r>
            </s:text>
          </item>
        </commentChain>
      </unresolved>
      <resolved/>
    </commentChains>
    <commentChains s:ref="L16" rgbClr="FF0000">
      <unresolved>
        <commentChain chainId="36e53261b797b99a1d154b544cb9ffab4d95e259">
          <item id="4a8f2830b8005011ecd1a45c7e38236fe7fb3526" isNormal="1">
            <s:text>
              <s:r>
                <s:t xml:space="preserve">======
ID#AAABwZ_v51Y
陆汉东    (2025-12-28 13:27:34)
9月19日设计未确定怎么修改，导致技经未收口，9月22日技经收口
陆汉东:
2025年10月22日批复</s:t>
              </s:r>
            </s:text>
          </item>
        </commentChain>
      </unresolved>
      <resolved/>
    </commentChains>
    <commentChains s:ref="AE16" rgbClr="FF0000">
      <unresolved>
        <commentChain chainId="62ffb6115c25f78731c1642325e26cb431d09d68">
          <item id="8258781f67ce64bdfea495a2a078671fcf00b31d" isNormal="1">
            <s:text>
              <s:r>
                <s:t xml:space="preserve">======
ID#AAABwZ_v57k
陆汉东    (2025-12-28 13:27:34)
衡佳灵</s:t>
              </s:r>
            </s:text>
          </item>
        </commentChain>
      </unresolved>
      <resolved/>
    </commentChains>
    <commentChains s:ref="AG16" rgbClr="FF0000">
      <unresolved>
        <commentChain chainId="523a7926e07f0018c174dc50b8a70b0801b6baf9">
          <item id="2d7045ccbc247241aa44d66cdb8ada52b96a2b6b" isNormal="1">
            <s:text>
              <s:r>
                <s:t xml:space="preserve">======
ID#AAABwZ_v6Ao
陆汉东    (2025-12-28 13:27:34)
衡佳灵</s:t>
              </s:r>
            </s:text>
          </item>
        </commentChain>
      </unresolved>
      <resolved/>
    </commentChains>
    <commentChains s:ref="D17" rgbClr="FF0000">
      <unresolved>
        <commentChain chainId="5be6ad788a9a401a2f72c52a1307f583240c4200">
          <item id="40b620631d6217e2fac610159f39ba6ef1f4e55d" isNormal="1">
            <s:text>
              <s:r>
                <s:t xml:space="preserve">======
ID#AAABwZ_v6Bs
陆汉东    (2025-12-28 13:27:34)
2025年6月4日批复</s:t>
              </s:r>
            </s:text>
          </item>
        </commentChain>
      </unresolved>
      <resolved/>
    </commentChains>
    <commentChains s:ref="L17" rgbClr="FF0000">
      <unresolved>
        <commentChain chainId="e151e72cbf8bd6404e7c4c5a00ac7eef8913fd94">
          <item id="89f50d24d40aff211701aa70c9fdd041f53240a5" isNormal="1">
            <s:text>
              <s:r>
                <s:t xml:space="preserve">======
ID#AAABwZ_v6EQ
陆汉东    (2025-12-28 13:27:34)
2025年10月21日批复</s:t>
              </s:r>
            </s:text>
          </item>
        </commentChain>
      </unresolved>
      <resolved/>
    </commentChains>
    <commentChains s:ref="AG17" rgbClr="FF0000">
      <unresolved>
        <commentChain chainId="0bf03bfc766018283bbc16de6e9f9a8ee6fabdba">
          <item id="6e20e791a72e5e665e8df39f5e07e09eb426dcb8" isNormal="1">
            <s:text>
              <s:r>
                <s:t xml:space="preserve">======
ID#AAABwZ_v5_A
陆汉东    (2025-12-28 13:27:34)
衡佳灵</s:t>
              </s:r>
            </s:text>
          </item>
        </commentChain>
      </unresolved>
      <resolved/>
    </commentChains>
    <commentChains s:ref="D18" rgbClr="FF0000">
      <unresolved>
        <commentChain chainId="8f2d4b49bda345fb9a14605c5637eca2c1d8a9cc">
          <item id="bb569ba73bff7a77fe6031c49362441d1fb2591c" isNormal="1">
            <s:text>
              <s:r>
                <s:t xml:space="preserve">======
ID#AAABwZ_v52g
陆汉东    (2025-12-28 13:27:34)
2025年11月19日批复</s:t>
              </s:r>
            </s:text>
          </item>
        </commentChain>
      </unresolved>
      <resolved/>
    </commentChains>
    <commentChains s:ref="AG18" rgbClr="FF0000">
      <unresolved>
        <commentChain chainId="5a7b821323e40ca935dc9dceab488e895b1a5625">
          <item id="2464dcc15902e4379cf182098b8b508702193c5a" isNormal="1">
            <s:text>
              <s:r>
                <s:t xml:space="preserve">======
ID#AAABwZ_v5zc
陆汉东    (2025-12-28 13:27:34)
衡佳灵</s:t>
              </s:r>
            </s:text>
          </item>
        </commentChain>
      </unresolved>
      <resolved/>
    </commentChains>
    <commentChains s:ref="A19" rgbClr="FF0000">
      <unresolved>
        <commentChain chainId="b3c5e66eb10002541d9bd0959e031612be6abdf0">
          <item id="0af76138ecba5a49a9b7bfde655e8d8df3b2149b" isNormal="1">
            <s:text>
              <s:r>
                <s:t xml:space="preserve">======
ID#AAABwZ_v6CE
陆汉东    (2025-12-28 13:27:34)
业绩考核责任书9.30</s:t>
              </s:r>
            </s:text>
          </item>
        </commentChain>
      </unresolved>
      <resolved/>
    </commentChains>
    <commentChains s:ref="D19" rgbClr="FF0000">
      <unresolved>
        <commentChain chainId="b40f0e930a77432b830f003ffb46744af92e3723">
          <item id="ad837fbaf8f1b1bc8504b261151f7b570d529441" isNormal="1">
            <s:text>
              <s:r>
                <s:t xml:space="preserve">======
ID#AAABwZ_v6Ds
陆汉东    (2025-12-28 13:27:34)
2025年8月1日批复</s:t>
              </s:r>
            </s:text>
          </item>
        </commentChain>
      </unresolved>
      <resolved/>
    </commentChains>
    <commentChains s:ref="L19" rgbClr="FF0000">
      <unresolved>
        <commentChain chainId="be184040f5efc8f59bcc2137ae2d989d6e8ce283">
          <item id="689258b0b462c9d6dc1521943a86488b62f41c5a" isNormal="1">
            <s:text>
              <s:r>
                <s:t xml:space="preserve">======
ID#AAABwZ_v5yY
陆汉东    (2025-12-28 13:27:34)
2025年9月26日批复</s:t>
              </s:r>
            </s:text>
          </item>
        </commentChain>
      </unresolved>
      <resolved/>
    </commentChains>
    <commentChains s:ref="T19" rgbClr="FF0000">
      <unresolved>
        <commentChain chainId="f37f84b484d229928613b0dde6aa998dc79e89bd">
          <item id="3490b1c2b6976534043654db09073dbfb041f173" isNormal="1">
            <s:text>
              <s:r>
                <s:t xml:space="preserve">======
ID#AAABwZ_v59g
陆汉东    (2025-12-28 13:27:34)
2025年11月24日批复</s:t>
              </s:r>
            </s:text>
          </item>
        </commentChain>
      </unresolved>
      <resolved/>
    </commentChains>
    <commentChains s:ref="AG19" rgbClr="FF0000">
      <unresolved>
        <commentChain chainId="1a88439858cbee783d028e51e6282c0dd577ebfc">
          <item id="585b330dfb7b14c07a894127f465307ab6fe8724" isNormal="1">
            <s:text>
              <s:r>
                <s:t xml:space="preserve">======
ID#AAABwZ_v6EI
陆汉东    (2025-12-28 13:27:34)
衡佳灵</s:t>
              </s:r>
            </s:text>
          </item>
        </commentChain>
      </unresolved>
      <resolved/>
    </commentChains>
    <commentChains s:ref="D20" rgbClr="FF0000">
      <unresolved>
        <commentChain chainId="cff2cbc8e832b0b1b5ea9ce550944f42ef3feb5c">
          <item id="149791e0aa7bccffd59642721a6e68115d78a60d" isNormal="1">
            <s:text>
              <s:r>
                <s:t xml:space="preserve">======
ID#AAABwZ_v5_8
陆汉东    (2025-12-28 13:27:34)
2025年7月4日批复</s:t>
              </s:r>
            </s:text>
          </item>
        </commentChain>
      </unresolved>
      <resolved/>
    </commentChains>
    <commentChains s:ref="AG20" rgbClr="FF0000">
      <unresolved>
        <commentChain chainId="4ee6bdba052ab811dcf17a4f50fe5554288d3b57">
          <item id="a2d19e10c9bf67e3a3024cbdb5c06f71d9cdab20" isNormal="1">
            <s:text>
              <s:r>
                <s:t xml:space="preserve">======
ID#AAABwZ_v5zM
陆汉东    (2025-12-28 13:27:34)
衡佳灵</s:t>
              </s:r>
            </s:text>
          </item>
        </commentChain>
      </unresolved>
      <resolved/>
    </commentChains>
    <commentChains s:ref="A21" rgbClr="FF0000">
      <unresolved>
        <commentChain chainId="d2d07dc93b92dc5e69c81467a3753425a2486638">
          <item id="36682a2d874fd2f89d4da6ba638eb3c74b673a49" isNormal="1">
            <s:text>
              <s:r>
                <s:t xml:space="preserve">======
ID#AAABwZ_v58Y
陆汉东    (2025-12-28 13:27:34)
业绩考核责任书8.30</s:t>
              </s:r>
            </s:text>
          </item>
        </commentChain>
      </unresolved>
      <resolved/>
    </commentChains>
    <commentChains s:ref="D21" rgbClr="FF0000">
      <unresolved>
        <commentChain chainId="8e51a92479c782d89e9aa29db300d05eb06f286a">
          <item id="cef8a0bf433adce259196b9600c5f8651129138d" isNormal="1">
            <s:text>
              <s:r>
                <s:t xml:space="preserve">======
ID#AAABwZ_v5w8
陆汉东    (2025-12-28 13:27:34)
2025年10月17日批复</s:t>
              </s:r>
            </s:text>
          </item>
        </commentChain>
      </unresolved>
      <resolved/>
    </commentChains>
    <commentChains s:ref="L21" rgbClr="FF0000">
      <unresolved>
        <commentChain chainId="3124b1115cbb443816708746a622e042a07501de">
          <item id="9d06b6f973d13004fb2a618c84d2af39b00ce3da" isNormal="1">
            <s:text>
              <s:r>
                <s:t xml:space="preserve">======
ID#AAABwZ_v53g
陆汉东    (2025-12-28 13:27:34)
2025年11月20日批复</s:t>
              </s:r>
            </s:text>
          </item>
        </commentChain>
      </unresolved>
      <resolved/>
    </commentChains>
    <commentChains s:ref="L22" rgbClr="FF0000">
      <unresolved>
        <commentChain chainId="7c7f93a95eaa7924734ebca9a584d9a5eb1c0539">
          <item id="6de821b9eddad73f16dad3aff2804380f4393b3a" isNormal="1">
            <s:text>
              <s:r>
                <s:t xml:space="preserve">======
ID#AAABwZ_v5-o
陆汉东    (2025-12-28 13:27:34)
2025年4月18日批复</s:t>
              </s:r>
            </s:text>
          </item>
        </commentChain>
      </unresolved>
      <resolved/>
    </commentChains>
    <commentChains s:ref="T22" rgbClr="FF0000">
      <unresolved>
        <commentChain chainId="3be81eeac06de89eb618c48a6e5bf6d4a53286e0">
          <item id="dca1206b38e1b30c1971c9df8dbb03a80eac711c" isNormal="1">
            <s:text>
              <s:r>
                <s:t xml:space="preserve">======
ID#AAABwZ_v5xM
陆汉东    (2025-12-28 13:27:34)
2025年12月16日批复</s:t>
              </s:r>
            </s:text>
          </item>
        </commentChain>
      </unresolved>
      <resolved/>
    </commentChains>
    <commentChains s:ref="L23" rgbClr="FF0000">
      <unresolved>
        <commentChain chainId="9470e87d19f5930d9a71dca64ea4b3f825567685">
          <item id="3a896882cba688c19ad1e20d0b5fe7ffcfd8ada2" isNormal="1">
            <s:text>
              <s:r>
                <s:t xml:space="preserve">======
ID#AAABwZ_v53k
陆汉东    (2025-12-28 13:27:34)
2025年10月10日批复</s:t>
              </s:r>
            </s:text>
          </item>
        </commentChain>
      </unresolved>
      <resolved/>
    </commentChains>
    <commentChains s:ref="AG23" rgbClr="FF0000">
      <unresolved>
        <commentChain chainId="766b411916d916ef0c1668cc12a18e2db1b57ebf">
          <item id="f8cb5d8aa915230ef742bf542a252a657c321bb3" isNormal="1">
            <s:text>
              <s:r>
                <s:t xml:space="preserve">======
ID#AAABwZ_v6DA
陆汉东    (2025-12-28 13:27:34)
衡佳灵</s:t>
              </s:r>
            </s:text>
          </item>
        </commentChain>
      </unresolved>
      <resolved/>
    </commentChains>
    <commentChains s:ref="L25" rgbClr="FF0000">
      <unresolved>
        <commentChain chainId="3355de0c7a0d5825a9f67d5de1530c1a1b9250c3">
          <item id="f669e47d66012527021930026000bc5f1a7ed03f" isNormal="1">
            <s:text>
              <s:r>
                <s:t xml:space="preserve">======
ID#AAABwZ_v5w0
陆汉东    (2025-12-28 13:27:34)
2025年2月26日批复</s:t>
              </s:r>
            </s:text>
          </item>
        </commentChain>
      </unresolved>
      <resolved/>
    </commentChains>
    <commentChains s:ref="T25" rgbClr="FF0000">
      <unresolved>
        <commentChain chainId="e534e0c41dde0110aa09946c981e1804131d4038">
          <item id="a14adf19dd84e2a026d5cb5b9d507da60d71b079" isNormal="1">
            <s:text>
              <s:r>
                <s:t xml:space="preserve">======
ID#AAABwZ_v54o
陆汉东    (2025-12-28 13:27:34)
2025年9月12日批复</s:t>
              </s:r>
            </s:text>
          </item>
        </commentChain>
      </unresolved>
      <resolved/>
    </commentChains>
    <commentChains s:ref="L26" rgbClr="FF0000">
      <unresolved>
        <commentChain chainId="8d4b3de95228220687c8d12ff2d7148886195c0e">
          <item id="acf6e89f3afe0861a066764b10bcdc0eb3cf9a54" isNormal="1">
            <s:text>
              <s:r>
                <s:t xml:space="preserve">======
ID#AAABwZ_v500
陆汉东    (2025-12-28 13:27:34)
2025年2月14日批复</s:t>
              </s:r>
            </s:text>
          </item>
        </commentChain>
      </unresolved>
      <resolved/>
    </commentChains>
    <commentChains s:ref="T26" rgbClr="FF0000">
      <unresolved>
        <commentChain chainId="15750323b9752743bbaed4309ef6d3135ba6e79e">
          <item id="efbc9b7d40939a369ef19f2042914fcad4024761" isNormal="1">
            <s:text>
              <s:r>
                <s:t xml:space="preserve">======
ID#AAABwZ_v6E0
陆汉东    (2025-12-28 13:27:34)
2025年7月7日批复</s:t>
              </s:r>
            </s:text>
          </item>
        </commentChain>
      </unresolved>
      <resolved/>
    </commentChains>
    <commentChains s:ref="L27" rgbClr="FF0000">
      <unresolved>
        <commentChain chainId="83ecf21b50ad613dd6a3746b72f1910df614e43f">
          <item id="698bcbfc68f451115a78f517aed950e58f4b33ef" isNormal="1">
            <s:text>
              <s:r>
                <s:t xml:space="preserve">======
ID#AAABwZ_v56Q
陆汉东    (2025-12-28 13:27:34)
2025年2月11日批复</s:t>
              </s:r>
            </s:text>
          </item>
        </commentChain>
      </unresolved>
      <resolved/>
    </commentChains>
    <commentChains s:ref="T27" rgbClr="FF0000">
      <unresolved>
        <commentChain chainId="76ec8e233429e63bda8ae4fba22a85e365c12db0">
          <item id="6fc4c340df035cee64e803fba9781a659f9c9bbb" isNormal="1">
            <s:text>
              <s:r>
                <s:t xml:space="preserve">======
ID#AAABwZ_v58c
陆汉东    (2025-12-28 13:27:34)
2025年10月10日批复</s:t>
              </s:r>
            </s:text>
          </item>
        </commentChain>
      </unresolved>
      <resolved/>
    </commentChains>
    <commentChains s:ref="L28" rgbClr="FF0000">
      <unresolved>
        <commentChain chainId="fa4717bb70676d1ff7208e63df1e9cae15b55293">
          <item id="c710d348f0a571c73445a7994281b492f04ee395" isNormal="1">
            <s:text>
              <s:r>
                <s:t xml:space="preserve">======
ID#AAABwZ_v52Q
陆汉东    (2025-12-28 13:27:34)
2025年3月3日批复</s:t>
              </s:r>
            </s:text>
          </item>
        </commentChain>
      </unresolved>
      <resolved/>
    </commentChains>
    <commentChains s:ref="T28" rgbClr="FF0000">
      <unresolved>
        <commentChain chainId="d8b6bc7830c8417567823ca035ae695a758c9e47">
          <item id="551c454f8733762b6b7d0e18c697d69938934cc0" isNormal="1">
            <s:text>
              <s:r>
                <s:t xml:space="preserve">======
ID#AAABwZ_v6AQ
陆汉东    (2025-12-28 13:27:34)
2025年8月15日批复</s:t>
              </s:r>
            </s:text>
          </item>
        </commentChain>
      </unresolved>
      <resolved/>
    </commentChains>
    <commentChains s:ref="AE28" rgbClr="FF0000">
      <unresolved>
        <commentChain chainId="e3536495c833ea42d06d959d6e0a35d0509179bb">
          <item id="15de9ebaa5cbd3aa45bc7db80075542d0f12685c" isNormal="1">
            <s:text>
              <s:r>
                <s:t xml:space="preserve">======
ID#AAABwZ_v5zE
陆汉东    (2025-12-28 13:27:34)
衡佳灵</s:t>
              </s:r>
            </s:text>
          </item>
        </commentChain>
      </unresolved>
      <resolved/>
    </commentChains>
    <commentChains s:ref="AG28" rgbClr="FF0000">
      <unresolved>
        <commentChain chainId="742aecb6ef0a1ac378fc80bfac55f0397a85a0ac">
          <item id="6653f3b3e0883a6c50991515490bc9cca12cad6c" isNormal="1">
            <s:text>
              <s:r>
                <s:t xml:space="preserve">======
ID#AAABwZ_v5wM
陆汉东    (2025-12-28 13:27:34)
衡佳灵</s:t>
              </s:r>
            </s:text>
          </item>
        </commentChain>
      </unresolved>
      <resolved/>
    </commentChains>
    <commentChains s:ref="L29" rgbClr="FF0000">
      <unresolved>
        <commentChain chainId="1c6ec56c112f0a27302f50ba4ee4da4792aa6c19">
          <item id="0d66d828e934a878196b345038a454de5f7ad52a" isNormal="1">
            <s:text>
              <s:r>
                <s:t xml:space="preserve">======
ID#AAABwZ_v56U
陆汉东    (2025-12-28 13:27:34)
2025年3月25日批复</s:t>
              </s:r>
            </s:text>
          </item>
        </commentChain>
      </unresolved>
      <resolved/>
    </commentChains>
    <commentChains s:ref="T29" rgbClr="FF0000">
      <unresolved>
        <commentChain chainId="8ffbc5e68d36478c2e7a2d4c1c4b2d8632001f7f">
          <item id="7f11d9a7302946f8a35c60f18145b35d9c66821f" isNormal="1">
            <s:text>
              <s:r>
                <s:t xml:space="preserve">======
ID#AAABwZ_v6Co
陆汉东    (2025-12-28 13:27:34)
2025年9月26日批复</s:t>
              </s:r>
            </s:text>
          </item>
        </commentChain>
      </unresolved>
      <resolved/>
    </commentChains>
    <commentChains s:ref="L30" rgbClr="FF0000">
      <unresolved>
        <commentChain chainId="a79eeb312a2c804831f7b0bd7781a90959a47f5c">
          <item id="9c76df3a19f6b27b49ca152acf510ac0de9fb225" isNormal="1">
            <s:text>
              <s:r>
                <s:t xml:space="preserve">======
ID#AAABwZ_v6DU
陆汉东    (2025-12-28 13:27:34)
2025年5月9日批复</s:t>
              </s:r>
            </s:text>
          </item>
        </commentChain>
      </unresolved>
      <resolved/>
    </commentChains>
    <commentChains s:ref="AG30" rgbClr="FF0000">
      <unresolved>
        <commentChain chainId="581cf3efc4ae2c3b671de0ab8dee02a572c67a99">
          <item id="8775c0c6f48cf631d23f0636d634fb59a2831e04" isNormal="1">
            <s:text>
              <s:r>
                <s:t xml:space="preserve">======
ID#AAABwZ_v6EA
陆汉东    (2025-12-28 13:27:34)
衡佳灵</s:t>
              </s:r>
            </s:text>
          </item>
        </commentChain>
      </unresolved>
      <resolved/>
    </commentChains>
    <commentChains s:ref="D31" rgbClr="FF0000">
      <unresolved>
        <commentChain chainId="fe3c3f10dca3d878e26a5325927f31072ee84f57">
          <item id="23f068988c9abb5815e5fd56b788d7da36136fd2" isNormal="1">
            <s:text>
              <s:r>
                <s:t xml:space="preserve">======
ID#AAABwZ_v578
陆汉东    (2025-12-28 13:27:34)
2025年10月13日批复</s:t>
              </s:r>
            </s:text>
          </item>
        </commentChain>
      </unresolved>
      <resolved/>
    </commentChains>
    <commentChains s:ref="AG31" rgbClr="FF0000">
      <unresolved>
        <commentChain chainId="982c2bd40fcf17d2a32f2e9357b7cbadc44ea3ac">
          <item id="ef3326a71eacc8467b1c65efa60d82639246ce8d" isNormal="1">
            <s:text>
              <s:r>
                <s:t xml:space="preserve">======
ID#AAABwZ_v52k
陆汉东    (2025-12-28 13:27:34)
衡佳灵</s:t>
              </s:r>
            </s:text>
          </item>
        </commentChain>
      </unresolved>
      <resolved/>
    </commentChains>
    <commentChains s:ref="S33" rgbClr="FF0000">
      <unresolved>
        <commentChain chainId="2f3b0cb4fc1bea191721cd144958b27fb2a15c29">
          <item id="580304668e3c9feb321c9f63db0d40a4079c682b" isNormal="1">
            <s:text>
              <s:r>
                <s:t xml:space="preserve">======
ID#AAABwZ_v59A
陆汉东    (2025-12-28 13:27:34)
第二次审查</s:t>
              </s:r>
            </s:text>
          </item>
        </commentChain>
      </unresolved>
      <resolved/>
    </commentChains>
    <commentChains s:ref="T33" rgbClr="FF0000">
      <unresolved>
        <commentChain chainId="e3f33117337a306991c71a5fb26e577003b03be2">
          <item id="5d153ca3baa8eda047a6adfbc546e565027e4c2a" isNormal="1">
            <s:text>
              <s:r>
                <s:t xml:space="preserve">======
ID#AAABwZ_v57E
陆汉东    (2025-12-28 13:27:34)
2025年7月7日批复</s:t>
              </s:r>
            </s:text>
          </item>
        </commentChain>
      </unresolved>
      <resolved/>
    </commentChains>
    <commentChains s:ref="T34" rgbClr="FF0000">
      <unresolved>
        <commentChain chainId="5b644a87d4df195778d072ecebe63bdd539c18ca">
          <item id="a065dfde22bc5e379af333f9cbe298dd66daa68a" isNormal="1">
            <s:text>
              <s:r>
                <s:t xml:space="preserve">======
ID#AAABwZ_v5ws
陆汉东    (2025-12-28 13:27:34)
2025年3月4日批复</s:t>
              </s:r>
            </s:text>
          </item>
        </commentChain>
      </unresolved>
      <resolved/>
    </commentChains>
    <commentChains s:ref="T35" rgbClr="FF0000">
      <unresolved>
        <commentChain chainId="2e6dd36fe8a0705a9dcb2dfcab9dce2fbb56e730">
          <item id="b95a7c4023b4fbbb9e94be7dd032b779428021c4" isNormal="1">
            <s:text>
              <s:r>
                <s:t xml:space="preserve">======
ID#AAABwZ_v6AY
陆汉东    (2025-12-28 13:27:34)
2025年3月25日批复</s:t>
              </s:r>
            </s:text>
          </item>
        </commentChain>
      </unresolved>
      <resolved/>
    </commentChains>
    <commentChains s:ref="T36" rgbClr="FF0000">
      <unresolved>
        <commentChain chainId="7e911bd7f2ce0617045246437db5b189826a3883">
          <item id="b1fde87277d3dabef53e50692e5f1bb950eddc7c" isNormal="1">
            <s:text>
              <s:r>
                <s:t xml:space="preserve">======
ID#AAABwZ_v5xU
陆汉东    (2025-12-28 13:27:34)
2025年2月19日批复</s:t>
              </s:r>
            </s:text>
          </item>
        </commentChain>
      </unresolved>
      <resolved/>
    </commentChains>
    <commentChains s:ref="D37" rgbClr="FF0000">
      <unresolved>
        <commentChain chainId="fa4e0fe0a63e97f515a2249651e199fdbdf6ab6e">
          <item id="049f6ed7ee33d4577d0dee84133da0a8e3f45f96" isNormal="1">
            <s:text>
              <s:r>
                <s:t xml:space="preserve">======
ID#AAABwZ_v554
陆汉东    (2025-12-28 13:27:34)
2024年7月3日批复</s:t>
              </s:r>
            </s:text>
          </item>
        </commentChain>
      </unresolved>
      <resolved/>
    </commentChains>
    <commentChains s:ref="P37" rgbClr="FF0000">
      <unresolved>
        <commentChain chainId="84a25a134d096249c1c992259f64d803ccefaebd">
          <item id="e25a7c5e2c559faed0d963cfc6781fa892504d89" isNormal="1">
            <s:text>
              <s:r>
                <s:t xml:space="preserve">======
ID#AAABwZ_v520
陆汉东    (2025-12-28 13:27:34)
2024年11月14日批复</s:t>
              </s:r>
            </s:text>
          </item>
        </commentChain>
      </unresolved>
      <resolved/>
    </commentChains>
    <commentChains s:ref="T37" rgbClr="FF0000">
      <unresolved>
        <commentChain chainId="4122b04e65bf8b4b562ce28b3a76c88b1e5c9e85">
          <item id="2e19613efb07459d6f0c7ff4c11bf858f3a41f42" isNormal="1">
            <s:text>
              <s:r>
                <s:t xml:space="preserve">======
ID#AAABwZ_v6DI
陆汉东    (2025-12-28 13:27:34)
2025年2月19日批复</s:t>
              </s:r>
            </s:text>
          </item>
        </commentChain>
      </unresolved>
      <resolved/>
    </commentChains>
    <commentChains s:ref="T38" rgbClr="FF0000">
      <unresolved>
        <commentChain chainId="420a83f2062f27674d3819d72f3a28a221565e33">
          <item id="48616fed93e218897bb2f205af47fb4cad39337d" isNormal="1">
            <s:text>
              <s:r>
                <s:t xml:space="preserve">======
ID#AAABwZ_v56s
陆汉东    (2025-12-28 13:27:34)
2025年3月17日批复</s:t>
              </s:r>
            </s:text>
          </item>
        </commentChain>
      </unresolved>
      <resolved/>
    </commentChains>
    <commentChains s:ref="T39" rgbClr="FF0000">
      <unresolved>
        <commentChain chainId="306e0a3a95501d0e8a72a83e1db0b150b345fd13">
          <item id="2b09488030e66562dc97b3977e60c1747974d810" isNormal="1">
            <s:text>
              <s:r>
                <s:t xml:space="preserve">======
ID#AAABwZ_v6Ck
陆汉东    (2025-12-28 13:27:34)
2025年2月19日批复</s:t>
              </s:r>
            </s:text>
          </item>
        </commentChain>
      </unresolved>
      <resolved/>
    </commentChains>
    <commentChains s:ref="T40" rgbClr="FF0000">
      <unresolved>
        <commentChain chainId="2dbfde681581bf8b35312e493f6153e8296fb4d5">
          <item id="d5e8e9fed196b3ee4de58f61f557961a547477e9" isNormal="1">
            <s:text>
              <s:r>
                <s:t xml:space="preserve">======
ID#AAABwZ_v524
陆汉东    (2025-12-28 13:27:34)
2025年8月21日批复</s:t>
              </s:r>
            </s:text>
          </item>
        </commentChain>
      </unresolved>
      <resolved/>
    </commentChains>
    <commentChains s:ref="AV40" rgbClr="FF0000">
      <unresolved>
        <commentChain chainId="bde013554b71872095ab3b026342fc4c374a578c">
          <item id="6269883c9e699fbdac0883a000d758725950887d" isNormal="1">
            <s:text>
              <s:r>
                <s:t xml:space="preserve">======
ID#AAABwZ_v5zU
陆汉东    (2025-12-28 13:27:34)
对应展厅施工图评审部分</s:t>
              </s:r>
            </s:text>
          </item>
        </commentChain>
      </unresolved>
      <resolved/>
    </commentChains>
    <commentChains s:ref="O41" rgbClr="FF0000">
      <unresolved>
        <commentChain chainId="619aad2ce7e1745d100e177c3139c56c5e201099">
          <item id="b9c877c6a8f1cc5913d80f9de23b0a9618ac3586" isNormal="1">
            <s:text>
              <s:r>
                <s:t xml:space="preserve">======
ID#AAABwZ_v5-4
陆汉东    (2025-12-28 13:27:34)
第二次初设调整</s:t>
              </s:r>
            </s:text>
          </item>
        </commentChain>
      </unresolved>
      <resolved/>
    </commentChains>
    <commentChains s:ref="P41" rgbClr="FF0000">
      <unresolved>
        <commentChain chainId="1a84be44586d3db4ec2456a4ed29ef44e86e2e5c">
          <item id="9b7189c5ff8adc46952705f0c740d6f23e6b4b17" isNormal="1">
            <s:text>
              <s:r>
                <s:t xml:space="preserve">======
ID#AAABwZ_v5wo
陆汉东    (2025-12-28 13:27:34)
2025年10月13日批复</s:t>
              </s:r>
            </s:text>
          </item>
        </commentChain>
      </unresolved>
      <resolved/>
    </commentChains>
    <commentChains s:ref="AE44" rgbClr="FF0000">
      <unresolved>
        <commentChain chainId="eb0b1eb89d04f4d5cd76494a7285b8faddd4b05b">
          <item id="854317ca30b0ab7d14e189920351cf00a155b17e" isNormal="1">
            <s:text>
              <s:r>
                <s:t xml:space="preserve">======
ID#AAABwZ_v53E
陆汉东    (2025-12-28 13:27:34)
衡佳灵</s:t>
              </s:r>
            </s:text>
          </item>
        </commentChain>
      </unresolved>
      <resolved/>
    </commentChains>
    <commentChains s:ref="AG44" rgbClr="FF0000">
      <unresolved>
        <commentChain chainId="0857ecac4d2e61a6d982fd458aba458007095298">
          <item id="5d9d9c752b159a7966ea904b20c8f883309ddf21" isNormal="1">
            <s:text>
              <s:r>
                <s:t xml:space="preserve">======
ID#AAABwZ_v55U
陆汉东    (2025-12-28 13:27:34)
衡佳灵</s:t>
              </s:r>
            </s:text>
          </item>
        </commentChain>
      </unresolved>
      <resolved/>
    </commentChains>
    <commentChains s:ref="AA45" rgbClr="FF0000">
      <unresolved>
        <commentChain chainId="a7cd090a4b17505d5c70a8a220d56566bd35d8f0">
          <item id="20022dda7f6d51aee8ba17db4aa50a6c9c29589c" isNormal="1">
            <s:text>
              <s:r>
                <s:t xml:space="preserve">======
ID#AAABwZ_v6BE
陆汉东    (2025-12-28 13:27:34)
挂绿至荔城重大变更</s:t>
              </s:r>
            </s:text>
          </item>
        </commentChain>
      </unresolved>
      <resolved/>
    </commentChains>
    <commentChains s:ref="AG45" rgbClr="FF0000">
      <unresolved>
        <commentChain chainId="17cc3e34715e5ec3c8fb38c5e2420ceb3831189e">
          <item id="ae34a52bd4bf035054cb740f7acc4d28a3e7dad6" isNormal="1">
            <s:text>
              <s:r>
                <s:t xml:space="preserve">======
ID#AAABwZ_v594
陆汉东    (2025-12-28 13:27:34)
衡佳灵</s:t>
              </s:r>
            </s:text>
          </item>
        </commentChain>
      </unresolved>
      <resolved/>
    </commentChains>
    <commentChains s:ref="AE46" rgbClr="FF0000">
      <unresolved>
        <commentChain chainId="c53971f17f7dc6e79c1ba424e015e16e70425944">
          <item id="ff9e22c0fba47f6bb6bae6ea2672e3adbd7e53e4" isNormal="1">
            <s:text>
              <s:r>
                <s:t xml:space="preserve">======
ID#AAABwZ_v52Y
陆汉东    (2025-12-28 13:27:34)
衡佳灵</s:t>
              </s:r>
            </s:text>
          </item>
        </commentChain>
      </unresolved>
      <resolved/>
    </commentChains>
    <commentChains s:ref="AG46" rgbClr="FF0000">
      <unresolved>
        <commentChain chainId="ec1ce23ec63ccf98bbfa130fffbb585743c24d95">
          <item id="f62975ae11a440a13b337b48331f858a661a3dac" isNormal="1">
            <s:text>
              <s:r>
                <s:t xml:space="preserve">======
ID#AAABwZ_v5yc
陆汉东    (2025-12-28 13:27:34)
衡佳灵</s:t>
              </s:r>
            </s:text>
          </item>
        </commentChain>
      </unresolved>
      <resolved/>
    </commentChains>
    <commentChains s:ref="P47" rgbClr="FF0000">
      <unresolved>
        <commentChain chainId="c110dceeb526a8ca50ce6e671e856db7f829ee4b">
          <item id="b60aa135d6e2ff6083a9bf0d4fe6a9bfff3d0c3c" isNormal="1">
            <s:text>
              <s:r>
                <s:t xml:space="preserve">======
ID#AAABwZ_v6Fg
陆汉东    (2025-12-28 13:27:34)
2025年2月21日批复</s:t>
              </s:r>
            </s:text>
          </item>
        </commentChain>
      </unresolved>
      <resolved/>
    </commentChains>
    <commentChains s:ref="T47" rgbClr="FF0000">
      <unresolved>
        <commentChain chainId="efd9f4fc3b3acb7808061159e1796c9fa9476df3">
          <item id="30bc777041e150632f80770de1cf4d2bf2e29b5b" isNormal="1">
            <s:text>
              <s:r>
                <s:t xml:space="preserve">======
ID#AAABwZ_v5-Y
陆汉东    (2025-12-28 13:27:34)
2025年6月9日批复</s:t>
              </s:r>
            </s:text>
          </item>
        </commentChain>
      </unresolved>
      <resolved/>
    </commentChains>
    <commentChains s:ref="BI47" rgbClr="FF0000">
      <unresolved>
        <commentChain chainId="f8cfd258e4b2c4f512d64dc0b117bcc2340273b1">
          <item id="0fd28b47029887ec8bc08fe991ccdd63fbcb1ce6" isNormal="1">
            <s:text>
              <s:r>
                <s:t xml:space="preserve">======
ID#AAABwZ_v588
陆汉东    (2025-12-28 13:27:34)
对应初设动态投资25908.26 万元</s:t>
              </s:r>
            </s:text>
          </item>
        </commentChain>
      </unresolved>
      <resolved/>
    </commentChains>
    <commentChains s:ref="BK47" rgbClr="FF0000">
      <unresolved>
        <commentChain chainId="b28c9810c5725d89f73d22837878fa12838a48d3">
          <item id="fa8f33a47489a19cb8bcca5e9cbd846a32382a88" isNormal="1">
            <s:text>
              <s:r>
                <s:t xml:space="preserve">======
ID#AAABwZ_v5y0
陆汉东    (2025-12-28 13:27:34)
对应初设静态投资25490.89 万元</s:t>
              </s:r>
            </s:text>
          </item>
        </commentChain>
      </unresolved>
      <resolved/>
    </commentChains>
    <commentChains s:ref="D49" rgbClr="FF0000">
      <unresolved>
        <commentChain chainId="6cf81f72f4495bb032a18ab704f8a56655cc2d1b">
          <item id="fec3a0547cceb923d6cf33bcba29c6f28d8a8c52" isNormal="1">
            <s:text>
              <s:r>
                <s:t xml:space="preserve">======
ID#AAABwZ_v53o
陆汉东    (2025-12-28 13:27:34)
2025年4月28日批复</s:t>
              </s:r>
            </s:text>
          </item>
        </commentChain>
      </unresolved>
      <resolved/>
    </commentChains>
    <commentChains s:ref="L49" rgbClr="FF0000">
      <unresolved>
        <commentChain chainId="f5b071f3f6f84da3ca0e8627843c2a51ef1a1ef2">
          <item id="6cdaa9dce421303c0c3eb93961b92f9440a51277" isNormal="1">
            <s:text>
              <s:r>
                <s:t xml:space="preserve">======
ID#AAABwZ_v51M
陆汉东    (2025-12-28 13:27:34)
2025年9月20日批复</s:t>
              </s:r>
            </s:text>
          </item>
        </commentChain>
      </unresolved>
      <resolved/>
    </commentChains>
    <commentChains s:ref="AG49" rgbClr="FF0000">
      <unresolved>
        <commentChain chainId="acaa32bf3e428eaea7042a9585c39c24fc4b4402">
          <item id="15b12d003086b30eed38e8fc3bf7ec2a1d43a22c" isNormal="1">
            <s:text>
              <s:r>
                <s:t xml:space="preserve">======
ID#AAABwZ_v58s
陆汉东    (2025-12-28 13:27:34)
衡佳灵</s:t>
              </s:r>
            </s:text>
          </item>
        </commentChain>
      </unresolved>
      <resolved/>
    </commentChains>
    <commentChains s:ref="H50" rgbClr="FF0000">
      <unresolved>
        <commentChain chainId="68401d682b892551f944d0b78d356a092b0be061">
          <item id="1e7e84ab2f023c295c657acd6a01dc5124004033" isNormal="1">
            <s:text>
              <s:r>
                <s:t xml:space="preserve">======
ID#AAABwZ_v6Cs
陆汉东    (2025-12-28 13:27:34)
2025年3月11日批复</s:t>
              </s:r>
            </s:text>
          </item>
        </commentChain>
      </unresolved>
      <resolved/>
    </commentChains>
    <commentChains s:ref="P50" rgbClr="FF0000">
      <unresolved>
        <commentChain chainId="c0894b5c396b1f7ab9a531d3500828b4c8c01211">
          <item id="24d688907cec9e96e07bd2a478da54afa374db52" isNormal="1">
            <s:text>
              <s:r>
                <s:t xml:space="preserve">======
ID#AAABwZ_v6DM
陆汉东    (2025-12-28 13:27:34)
5月23日技术收口，5月23日技经反馈图纸未按调整后规模描述，期间厚德、界观二分册两项紧急项目审查，6月4日出技经收口意见，6月9日发文
陆汉东:
2025年7月4日批复</s:t>
              </s:r>
            </s:text>
          </item>
        </commentChain>
      </unresolved>
      <resolved/>
    </commentChains>
    <commentChains s:ref="L52" rgbClr="FF0000">
      <unresolved>
        <commentChain chainId="7c6b206837a60ae7699fc380ef2c0d518affc1d2">
          <item id="ca807c7a8b09ec42f3e2f31d18b54d3a72333247" isNormal="1">
            <s:text>
              <s:r>
                <s:t xml:space="preserve">======
ID#AAABwZ_v59s
陆汉东    (2025-12-28 13:27:34)
2025年2月14日批复</s:t>
              </s:r>
            </s:text>
          </item>
        </commentChain>
      </unresolved>
      <resolved/>
    </commentChains>
    <commentChains s:ref="T52" rgbClr="FF0000">
      <unresolved>
        <commentChain chainId="fa4aa757a6f8d21194a86888f408ee255c674b12">
          <item id="363f682c3095f093daf6289f993fe8e58c98e4ed" isNormal="1">
            <s:text>
              <s:r>
                <s:t xml:space="preserve">======
ID#AAABwZ_v57M
Aiolos Luk    (2025-12-28 13:27:34)
5月30日技术收口，提交资料给技经。
6月17日技经收口，问题：设计造价外委，评审意见发出后修改周期长，首次形成清单审核报告，需要与省规划中心、局基建部沟通。
陆汉东:
2025年7月7日批复</s:t>
              </s:r>
            </s:text>
          </item>
        </commentChain>
      </unresolved>
      <resolved/>
    </commentChains>
    <commentChains s:ref="H53" rgbClr="FF0000">
      <unresolved>
        <commentChain chainId="e145953c19d2c9bc719e7ee9cf5144c66f2fd5c5">
          <item id="31becb0a8fa3a8b3595810521c7ff43d959bf50c" isNormal="1">
            <s:text>
              <s:r>
                <s:t xml:space="preserve">======
ID#AAABwZ_v6Cc
陆汉东    (2025-12-28 13:27:34)
2025年11月7日批复</s:t>
              </s:r>
            </s:text>
          </item>
        </commentChain>
      </unresolved>
      <resolved/>
    </commentChains>
    <commentChains s:ref="D54" rgbClr="FF0000">
      <unresolved>
        <commentChain chainId="0effb44bd7de37b630c1113e34d8f1748b566afa">
          <item id="b80625ee6355dd39f748ecfd5ca8c9e678012f59" isNormal="1">
            <s:text>
              <s:r>
                <s:t xml:space="preserve">======
ID#AAABwZ_v5xw
陆汉东    (2025-12-28 13:27:34)
4月29日组长确认收口，4月30日技经群里发收口评审意见，5月8日组长提出修改，5月9日提出第一版修改稿，5月13日定稿，5月13日评审意见发文</s:t>
              </s:r>
            </s:text>
          </item>
        </commentChain>
      </unresolved>
      <resolved/>
    </commentChains>
    <commentChains s:ref="T55" rgbClr="FF0000">
      <unresolved>
        <commentChain chainId="52c2efb53912ed1752bd029fab319e50f777d1e9">
          <item id="66b96fa13ca3c4a3e245e05b7f4850fb67a34259" isNormal="1">
            <s:text>
              <s:r>
                <s:t xml:space="preserve">======
ID#AAABwZ_v54Y
陆汉东    (2025-12-28 13:27:34)
2025年3月17日批复</s:t>
              </s:r>
            </s:text>
          </item>
        </commentChain>
      </unresolved>
      <resolved/>
    </commentChains>
    <commentChains s:ref="BY57" rgbClr="FF0000">
      <unresolved>
        <commentChain chainId="1b9e3b505497a297192d7d324ad2e64e789b13a5">
          <item id="fe73b91cef114ccd555e52cadb343141e378e943" isNormal="1">
            <s:text>
              <s:r>
                <s:t xml:space="preserve">======
ID#AAABwZ_v6Aw
陆汉东    (2025-12-28 13:27:34)
核减费用的变更</s:t>
              </s:r>
            </s:text>
          </item>
        </commentChain>
      </unresolved>
      <resolved/>
    </commentChains>
    <commentChains s:ref="D58" rgbClr="FF0000">
      <unresolved>
        <commentChain chainId="184bf38ab1200c611c54f4f0c877e847aeac4423">
          <item id="8b3a7fcc746c1f1aa3b73207e5d9d8487c5e1acb" isNormal="1">
            <s:text>
              <s:r>
                <s:t xml:space="preserve">======
ID#AAABwZ_v59Q
陆汉东    (2025-12-28 13:27:34)
2025年2月19日批复
陆汉东:
2025年3月25日批复</s:t>
              </s:r>
            </s:text>
          </item>
        </commentChain>
      </unresolved>
      <resolved/>
    </commentChains>
    <commentChains s:ref="D59" rgbClr="FF0000">
      <unresolved>
        <commentChain chainId="a20fcc3433fad21ed1a0fc881d9b3f69f835f65c">
          <item id="208c3a1ae42f94f57d44d40f23fce14a2f8d7312" isNormal="1">
            <s:text>
              <s:r>
                <s:t xml:space="preserve">======
ID#AAABwZ_v52E
陆汉东    (2025-12-28 13:27:34)
2025年6月16日批复</s:t>
              </s:r>
            </s:text>
          </item>
        </commentChain>
      </unresolved>
      <resolved/>
    </commentChains>
    <commentChains s:ref="AG59" rgbClr="FF0000">
      <unresolved>
        <commentChain chainId="155cc135d32dc7881f0978db8dffd7a733732d7e">
          <item id="4334b2081c98fc9840ad62c6d8782487f36a7257" isNormal="1">
            <s:text>
              <s:r>
                <s:t xml:space="preserve">======
ID#AAABwZ_v5-w
陆汉东    (2025-12-28 13:27:34)
衡佳灵</s:t>
              </s:r>
            </s:text>
          </item>
        </commentChain>
      </unresolved>
      <resolved/>
    </commentChains>
    <commentChains s:ref="T61" rgbClr="FF0000">
      <unresolved>
        <commentChain chainId="9393b3a8dd73efdba232bd4bb88dd29a90682176">
          <item id="771e28d4f9ebec1099a861aa3861a4909558ba31" isNormal="1">
            <s:text>
              <s:r>
                <s:t xml:space="preserve">======
ID#AAABwZ_v5_M
Aiolos Luk    (2025-12-28 13:27:34)
2025年7月18日批复</s:t>
              </s:r>
            </s:text>
          </item>
        </commentChain>
      </unresolved>
      <resolved/>
    </commentChains>
    <commentChains s:ref="AE63" rgbClr="FF0000">
      <unresolved>
        <commentChain chainId="af28c850b70547acf803a8d0328c4caf89c7f6b8">
          <item id="ce7afcd7c8e17202a90a1645e05bcddc2eb79b88" isNormal="1">
            <s:text>
              <s:r>
                <s:t xml:space="preserve">======
ID#AAABwZ_v6D4
陆汉东    (2025-12-28 13:27:34)
衡佳灵</s:t>
              </s:r>
            </s:text>
          </item>
        </commentChain>
      </unresolved>
      <resolved/>
    </commentChains>
    <commentChains s:ref="AG63" rgbClr="FF0000">
      <unresolved>
        <commentChain chainId="4a3c01b3620a1da4bc8a6fc716e3e81068044158">
          <item id="b4dedb97cabe8fa0d1514ee41a35906acdb4434a" isNormal="1">
            <s:text>
              <s:r>
                <s:t xml:space="preserve">======
ID#AAABwZ_v53A
陆汉东    (2025-12-28 13:27:34)
衡佳灵</s:t>
              </s:r>
            </s:text>
          </item>
        </commentChain>
      </unresolved>
      <resolved/>
    </commentChains>
    <commentChains s:ref="BU63" rgbClr="FF0000">
      <unresolved>
        <commentChain chainId="bb9011039df91cc6cb65b9be01b9c1162f5d7b50">
          <item id="1436972cd2cce0af97782c9f3945335806261f43" isNormal="1">
            <s:text>
              <s:r>
                <s:t xml:space="preserve">======
ID#AAABwZ_v6CQ
陆汉东    (2025-12-28 13:27:34)
调减</s:t>
              </s:r>
            </s:text>
          </item>
        </commentChain>
      </unresolved>
      <resolved/>
    </commentChains>
    <commentChains s:ref="BV63" rgbClr="FF0000">
      <unresolved>
        <commentChain chainId="39174447e2dede5b808dc84885f53d85aaa5a6b9">
          <item id="3fc7ba55e77f1a04e529ecdb2aa75268285e9db8" isNormal="1">
            <s:text>
              <s:r>
                <s:t xml:space="preserve">======
ID#AAABwZ_v6D8
陆汉东    (2025-12-28 13:27:34)
调减</s:t>
              </s:r>
            </s:text>
          </item>
        </commentChain>
      </unresolved>
      <resolved/>
    </commentChains>
    <commentChains s:ref="BY64" rgbClr="FF0000">
      <unresolved>
        <commentChain chainId="a59e8139dda66acd1f97546059378aa908d1a4ab">
          <item id="268f5b7bb6fdbf71a55aee4143e8497720c1a421" isNormal="1">
            <s:text>
              <s:r>
                <s:t xml:space="preserve">======
ID#AAABwZ_v6FA
陆汉东    (2025-12-28 13:27:34)
核减费用的变更</s:t>
              </s:r>
            </s:text>
          </item>
        </commentChain>
      </unresolved>
      <resolved/>
    </commentChains>
    <commentChains s:ref="L65" rgbClr="FF0000">
      <unresolved>
        <commentChain chainId="0744b8ffc5e2b497f7b3002cf748120bd27bcb8b">
          <item id="fea015f3728daabcc02038dfb489aea33c9b5f0c" isNormal="1">
            <s:text>
              <s:r>
                <s:t xml:space="preserve">======
ID#AAABwZ_v58A
陆汉东    (2025-12-28 13:27:34)
2025年9月12日批复</s:t>
              </s:r>
            </s:text>
          </item>
        </commentChain>
      </unresolved>
      <resolved/>
    </commentChains>
    <commentChains s:ref="L66" rgbClr="FF0000">
      <unresolved>
        <commentChain chainId="2b9258e186a34fafc5c2495d143c1a9036f4eda6">
          <item id="49b54083ddd302f7e86cc22908e255569500b821" isNormal="1">
            <s:text>
              <s:r>
                <s:t xml:space="preserve">======
ID#AAABwZ_v6FI
陆汉东    (2025-12-28 13:27:34)
2025年4月27日批复</s:t>
              </s:r>
            </s:text>
          </item>
        </commentChain>
      </unresolved>
      <resolved/>
    </commentChains>
    <commentChains s:ref="S66" rgbClr="FF0000">
      <unresolved>
        <commentChain chainId="23eb721d091497b2556e27532f4a89ba7ec0bb57">
          <item id="22dfdf65354340132efb8c9b39b7b071e0311a43" isNormal="1">
            <s:text>
              <s:r>
                <s:t xml:space="preserve">======
ID#AAABwZ_v55c
陆汉东    (2025-12-28 13:27:34)
9月28日收口，10月16日提出补充技术方面费用</s:t>
              </s:r>
            </s:text>
          </item>
        </commentChain>
      </unresolved>
      <resolved/>
    </commentChains>
    <commentChains s:ref="T66" rgbClr="FF0000">
      <unresolved>
        <commentChain chainId="a0ae6614a6ec5c289c865c613540e7f9afd7bf8c">
          <item id="b0feae6d01701dbf5149d82680f0fa8dcad449f2" isNormal="1">
            <s:text>
              <s:r>
                <s:t xml:space="preserve">======
ID#AAABwZ_v58M
陆汉东    (2025-12-28 13:27:34)
2025年11月4日批复</s:t>
              </s:r>
            </s:text>
          </item>
        </commentChain>
      </unresolved>
      <resolved/>
    </commentChains>
    <commentChains s:ref="AG66" rgbClr="FF0000">
      <unresolved>
        <commentChain chainId="a64091dfb049ad8ad4cad2563c2155b5c90e67e9">
          <item id="08cc6a46f039023803d4c26f7f7d7869e205e2b8" isNormal="1">
            <s:text>
              <s:r>
                <s:t xml:space="preserve">======
ID#AAABwZ_v5wI
陆汉东    (2025-12-28 13:27:34)
衡佳灵</s:t>
              </s:r>
            </s:text>
          </item>
        </commentChain>
      </unresolved>
      <resolved/>
    </commentChains>
    <commentChains s:ref="P68" rgbClr="FF0000">
      <unresolved>
        <commentChain chainId="ba59add8e6625fc72f8abf73188f56dc98f670af">
          <item id="b4118951e187ad7613242e6ed8589a0b9987f61a" isNormal="1">
            <s:text>
              <s:r>
                <s:t xml:space="preserve">======
ID#AAABwZ_v51Q
陆汉东    (2025-12-28 13:27:34)
2025年8月11日批复</s:t>
              </s:r>
            </s:text>
          </item>
        </commentChain>
      </unresolved>
      <resolved/>
    </commentChains>
    <commentChains s:ref="B69" rgbClr="FF0000">
      <unresolved>
        <commentChain chainId="d885d37bcda6888dcfad3d84ef18f2acde54ea2f">
          <item id="42099e8b4b734a84af0019092021c4ddcfb8aefc" isNormal="1">
            <s:text>
              <s:r>
                <s:t xml:space="preserve">======
ID#AAABwZ_v6Ag
Aiolos Luk    (2025-12-28 13:27:34)
广东寰球广业工程有限公司</s:t>
              </s:r>
            </s:text>
          </item>
        </commentChain>
      </unresolved>
      <resolved/>
    </commentChains>
    <commentChains s:ref="L69" rgbClr="FF0000">
      <unresolved>
        <commentChain chainId="deb84f08e9aeb443b512deff715fa71c842fe8fb">
          <item id="ba9620bdfa183a2577960d4a7fd74fcaa0709955" isNormal="1">
            <s:text>
              <s:r>
                <s:t xml:space="preserve">======
ID#AAABwZ_v5yI
陆汉东    (2025-12-28 13:27:34)
2025年5月23日批复</s:t>
              </s:r>
            </s:text>
          </item>
        </commentChain>
      </unresolved>
      <resolved/>
    </commentChains>
    <commentChains s:ref="T69" rgbClr="FF0000">
      <unresolved>
        <commentChain chainId="db32e0ed2c97d6ef84be713062c673e6c6a9937e">
          <item id="0f953c4381df9f516ecb2e7a78b6e86125387a2e" isNormal="1">
            <s:text>
              <s:r>
                <s:t xml:space="preserve">======
ID#AAABwZ_v5vw
陆汉东    (2025-12-28 13:27:34)
2025年9月15日批复</s:t>
              </s:r>
            </s:text>
          </item>
        </commentChain>
      </unresolved>
      <resolved/>
    </commentChains>
    <commentChains s:ref="T70" rgbClr="FF0000">
      <unresolved>
        <commentChain chainId="18f033f8bdbd9f504971014b37687bd07f8af952">
          <item id="b03e6f215a55ee9dd3b72114e3c214cfbaff84c3" isNormal="1">
            <s:text>
              <s:r>
                <s:t xml:space="preserve">======
ID#AAABwZ_v580
陆汉东    (2025-12-28 13:27:34)
2025年5月23日批复</s:t>
              </s:r>
            </s:text>
          </item>
        </commentChain>
      </unresolved>
      <resolved/>
    </commentChains>
    <commentChains s:ref="L71" rgbClr="FF0000">
      <unresolved>
        <commentChain chainId="b9ca7ce500e3a3c7f24db8ea38e2278b83790d94">
          <item id="b781b346589a9b257581df0efca90f3c9cb3d47f" isNormal="1">
            <s:text>
              <s:r>
                <s:t xml:space="preserve">======
ID#AAABwZ_v57I
陆汉东    (2025-12-28 13:27:34)
2025年4月29日批复</s:t>
              </s:r>
            </s:text>
          </item>
        </commentChain>
      </unresolved>
      <resolved/>
    </commentChains>
    <commentChains s:ref="S71" rgbClr="FF0000">
      <unresolved>
        <commentChain chainId="50b383363c7db94e965ae0945467936f38a3a533">
          <item id="b0529cd97ca659ea8afd3ef02c31e65bd3e4cbdd" isNormal="1">
            <s:text>
              <s:r>
                <s:t xml:space="preserve">======
ID#AAABwZ_v5yw
陆汉东    (2025-12-28 13:27:34)
原计划2025/8/14</s:t>
              </s:r>
            </s:text>
          </item>
        </commentChain>
      </unresolved>
      <resolved/>
    </commentChains>
    <commentChains s:ref="L72" rgbClr="FF0000">
      <unresolved>
        <commentChain chainId="64aa9a7686bb20ea53fc8f119ceb1581132264d1">
          <item id="d9a7ae6f94ebb24dea0e9a5a56978c8fb266700a" isNormal="1">
            <s:text>
              <s:r>
                <s:t xml:space="preserve">======
ID#AAABwZ_v54s
陆汉东    (2025-12-28 13:27:34)
4月17日群里通知技术已收口，4月28日消防水池修改，5月6日高压水雾消防系统修改，5月9日补围墙图纸，5月12日技经收口，5月13日发评审意见文。
陆汉东:
2025年5月28日批复</s:t>
              </s:r>
            </s:text>
          </item>
        </commentChain>
      </unresolved>
      <resolved/>
    </commentChains>
    <commentChains s:ref="T72" rgbClr="FF0000">
      <unresolved>
        <commentChain chainId="78ec1de6840dd6652f14310bf68530989226186e">
          <item id="84ae27e3ceed722f2c90480ec33f32af4e841c70" isNormal="1">
            <s:text>
              <s:r>
                <s:t xml:space="preserve">======
ID#AAABwZ_v50w
陆汉东    (2025-12-28 13:27:34)
2025年10月27日批复</s:t>
              </s:r>
            </s:text>
          </item>
        </commentChain>
      </unresolved>
      <resolved/>
    </commentChains>
    <commentChains s:ref="L73" rgbClr="FF0000">
      <unresolved>
        <commentChain chainId="4f8399e44d03b01e64724a46751a60b3cca6250e">
          <item id="f527c9253e806fd7ff8234b7ef81f8d2415a3553" isNormal="1">
            <s:text>
              <s:r>
                <s:t xml:space="preserve">======
ID#AAABwZ_v50g
陆汉东    (2025-12-28 13:27:34)
2025年7月21日批复</s:t>
              </s:r>
            </s:text>
          </item>
        </commentChain>
      </unresolved>
      <resolved/>
    </commentChains>
    <commentChains s:ref="T73" rgbClr="FF0000">
      <unresolved>
        <commentChain chainId="67517601cdef9d34afb981f5049fdcea4cf21f33">
          <item id="2ccfb93734158d540fd95e2a8192eaaf3fdeb9c9" isNormal="1">
            <s:text>
              <s:r>
                <s:t xml:space="preserve">======
ID#AAABwZ_v50Q
陆汉东    (2025-12-28 13:27:34)
2025年10月21日批复</s:t>
              </s:r>
            </s:text>
          </item>
        </commentChain>
      </unresolved>
      <resolved/>
    </commentChains>
    <commentChains s:ref="AG73" rgbClr="FF0000">
      <unresolved>
        <commentChain chainId="e575e3102d9a6750ed3142fb365a142a69d66824">
          <item id="b15fe18de9c751073ccfdc1079641987f5ae8c1d" isNormal="1">
            <s:text>
              <s:r>
                <s:t xml:space="preserve">======
ID#AAABwZ_v53M
陆汉东    (2025-12-28 13:27:34)
衡佳灵</s:t>
              </s:r>
            </s:text>
          </item>
        </commentChain>
      </unresolved>
      <resolved/>
    </commentChains>
    <commentChains s:ref="A75" rgbClr="FF0000">
      <unresolved>
        <commentChain chainId="7db73321ac49eb771c3d686681c93d1296a6de1f">
          <item id="c51694cf2777c8acd97cd239861aab6e07cf3389" isNormal="1">
            <s:text>
              <s:r>
                <s:t xml:space="preserve">======
ID#AAABwZ_v564
Aiolos Luk    (2025-12-28 13:27:34)
含储能
陆汉东:
业绩考核责任书6.30</s:t>
              </s:r>
            </s:text>
          </item>
        </commentChain>
      </unresolved>
      <resolved/>
    </commentChains>
    <commentChains s:ref="C75" rgbClr="FF0000">
      <unresolved>
        <commentChain chainId="665bc9f212ac7bab0b55285d92d1e3b1b385477f">
          <item id="e61a78e98c3be3eef81f2f929b28774188c9fd81" isNormal="1">
            <s:text>
              <s:r>
                <s:t xml:space="preserve">======
ID#AAABwZ_v5y8
陆汉东    (2025-12-28 13:27:34)
原计划2025/7/3</s:t>
              </s:r>
            </s:text>
          </item>
        </commentChain>
      </unresolved>
      <resolved/>
    </commentChains>
    <commentChains s:ref="P76" rgbClr="FF0000">
      <unresolved>
        <commentChain chainId="bc8d67efb330c2e11aff19961f622b7e95a2a488">
          <item id="4dce78a67efa140e398b59b474a8d17cbffc9ec5" isNormal="1">
            <s:text>
              <s:r>
                <s:t xml:space="preserve">======
ID#AAABwZ_v544
陆汉东    (2025-12-28 13:27:34)
2025年8月15日批复</s:t>
              </s:r>
            </s:text>
          </item>
        </commentChain>
      </unresolved>
      <resolved/>
    </commentChains>
    <commentChains s:ref="A78" rgbClr="FF0000">
      <unresolved>
        <commentChain chainId="833278411aabf401a464aac7f8f30fc736ec73e5">
          <item id="517064bbffa01d5ea90d653081bb78439a8fcecd" isNormal="1">
            <s:text>
              <s:r>
                <s:t xml:space="preserve">======
ID#AAABwZ_v54M
陆汉东    (2025-12-28 13:27:34)
初设完成一期工程评审</s:t>
              </s:r>
            </s:text>
          </item>
        </commentChain>
      </unresolved>
      <resolved/>
    </commentChains>
    <commentChains s:ref="L78" rgbClr="FF0000">
      <unresolved>
        <commentChain chainId="b7834bd3d55ffd9404d122abd5218ba19612ba1f">
          <item id="a24ec2afe79efdddfb2086ed2bdfff0b2bb91b2c" isNormal="1">
            <s:text>
              <s:r>
                <s:t xml:space="preserve">======
ID#AAABwZ_v57Q
陆汉东    (2025-12-28 13:27:34)
2025年5月23日批复</s:t>
              </s:r>
            </s:text>
          </item>
        </commentChain>
      </unresolved>
      <resolved/>
    </commentChains>
    <commentChains s:ref="AI78" rgbClr="FF0000">
      <unresolved>
        <commentChain chainId="8f10a37c9b272b2ebcf9e28ac3b24680f6c865a1">
          <item id="0cb23320a2e7c427a2876e1686ecf920e9611192" isNormal="1">
            <s:text>
              <s:r>
                <s:t xml:space="preserve">======
ID#AAABwZ_v58U
陆汉东    (2025-12-28 13:27:34)
减去一期动态投资数</s:t>
              </s:r>
            </s:text>
          </item>
        </commentChain>
      </unresolved>
      <resolved/>
    </commentChains>
    <commentChains s:ref="AK78" rgbClr="FF0000">
      <unresolved>
        <commentChain chainId="51f910e85d1000b24126bae55e1a5ef2bab286dd">
          <item id="6ee01a5eed21d68c427bd760d58b7261b07bf3c6" isNormal="1">
            <s:text>
              <s:r>
                <s:t xml:space="preserve">======
ID#AAABwZ_v6Dg
陆汉东    (2025-12-28 13:27:34)
暂无一期静态投资数据，按动态平移</s:t>
              </s:r>
            </s:text>
          </item>
        </commentChain>
      </unresolved>
      <resolved/>
    </commentChains>
    <commentChains s:ref="T79" rgbClr="FF0000">
      <unresolved>
        <commentChain chainId="8b6c95cd8076066dfa3aee593272ce0624b32e20">
          <item id="077f34e307ddd693ade8bc367cd994b21354b9bf" isNormal="1">
            <s:text>
              <s:r>
                <s:t xml:space="preserve">======
ID#AAABwZ_v5yQ
陆汉东    (2025-12-28 13:27:34)
2025年10月21日批复</s:t>
              </s:r>
            </s:text>
          </item>
        </commentChain>
      </unresolved>
      <resolved/>
    </commentChains>
    <commentChains s:ref="D80" rgbClr="FF0000">
      <unresolved>
        <commentChain chainId="677b23f01d204ef0b68c9c06289432258e2eb7e2">
          <item id="ced20958de4a9fc799b7b097b201d4d2b0958c54" isNormal="1">
            <s:text>
              <s:r>
                <s:t xml:space="preserve">======
ID#AAABwZ_v6C0
陆汉东    (2025-12-28 13:27:34)
2025年4月28日批复</s:t>
              </s:r>
            </s:text>
          </item>
        </commentChain>
      </unresolved>
      <resolved/>
    </commentChains>
    <commentChains s:ref="L80" rgbClr="FF0000">
      <unresolved>
        <commentChain chainId="2052361749a9d71e112247f392471b4c30245015">
          <item id="282e3100b81482355d10b7b29ba7a6b2ccd45593" isNormal="1">
            <s:text>
              <s:r>
                <s:t xml:space="preserve">======
ID#AAABwZ_v6Dw
陆汉东    (2025-12-28 13:27:34)
2025年10月27日批复</s:t>
              </s:r>
            </s:text>
          </item>
        </commentChain>
      </unresolved>
      <resolved/>
    </commentChains>
    <commentChains s:ref="AG81" rgbClr="FF0000">
      <unresolved>
        <commentChain chainId="624ef58469c444ae5a87dd0f655cc062ec431378">
          <item id="ec042fbf9bd8bff4952c1ccb7067ed14d53a0178" isNormal="1">
            <s:text>
              <s:r>
                <s:t xml:space="preserve">======
ID#AAABwZ_v51c
陆汉东    (2025-12-28 13:27:34)
衡佳灵</s:t>
              </s:r>
            </s:text>
          </item>
        </commentChain>
      </unresolved>
      <resolved/>
    </commentChains>
    <commentChains s:ref="AG82" rgbClr="FF0000">
      <unresolved>
        <commentChain chainId="3c76a3a4bf1f4faeac9a7d6e528965c85cf08543">
          <item id="15ec047a3940f8dabf3e28c4f0d80cb0e808c65d" isNormal="1">
            <s:text>
              <s:r>
                <s:t xml:space="preserve">======
ID#AAABwZ_v6D0
陆汉东    (2025-12-28 13:27:34)
衡佳灵</s:t>
              </s:r>
            </s:text>
          </item>
        </commentChain>
      </unresolved>
      <resolved/>
    </commentChains>
    <commentChains s:ref="T83" rgbClr="FF0000">
      <unresolved>
        <commentChain chainId="cbcc1c85bcbf356184de10fe744bffcac5872d04">
          <item id="92136615e259fac4e2207d5fc9973c927eba6325" isNormal="1">
            <s:text>
              <s:r>
                <s:t xml:space="preserve">======
ID#AAABwZ_v550
陆汉东    (2025-12-28 13:27:34)
2025年7月7日批复</s:t>
              </s:r>
            </s:text>
          </item>
        </commentChain>
      </unresolved>
      <resolved/>
    </commentChains>
    <commentChains s:ref="D84" rgbClr="FF0000">
      <unresolved>
        <commentChain chainId="9d7a5c2c57df868b743425ffef40d5f1f595b75e">
          <item id="2a5089cc40f6400146a8b46b36023f6082daa998" isNormal="1">
            <s:text>
              <s:r>
                <s:t xml:space="preserve">======
ID#AAABwZ_v5_c
陆汉东    (2025-12-28 13:27:34)
2025年5月28日批复</s:t>
              </s:r>
            </s:text>
          </item>
        </commentChain>
      </unresolved>
      <resolved/>
    </commentChains>
    <commentChains s:ref="L84" rgbClr="FF0000">
      <unresolved>
        <commentChain chainId="6adc3d08c0f306801928864e647d096a6b8bd8cb">
          <item id="e11f11a69d48d1a3ee122a0d794a71b8e65d83cb" isNormal="1">
            <s:text>
              <s:r>
                <s:t xml:space="preserve">======
ID#AAABwZ_v50o
陆汉东    (2025-12-28 13:27:34)
2025年11月4日批复</s:t>
              </s:r>
            </s:text>
          </item>
        </commentChain>
      </unresolved>
      <resolved/>
    </commentChains>
    <commentChains s:ref="AG84" rgbClr="FF0000">
      <unresolved>
        <commentChain chainId="ca9d263956a7ce6c7e5979fef22a418fee7005b3">
          <item id="59f947f85c7f478de5534711ffb566651bb88638" isNormal="1">
            <s:text>
              <s:r>
                <s:t xml:space="preserve">======
ID#AAABwZ_v59I
陆汉东    (2025-12-28 13:27:34)
衡佳灵</s:t>
              </s:r>
            </s:text>
          </item>
        </commentChain>
      </unresolved>
      <resolved/>
    </commentChains>
    <commentChains s:ref="D85" rgbClr="FF0000">
      <unresolved>
        <commentChain chainId="1d6c0e0f9152de0107401b56585b23561a9866fa">
          <item id="60ccf097189562e9dd4b6f748096ed2fceffc4e0" isNormal="1">
            <s:text>
              <s:r>
                <s:t xml:space="preserve">======
ID#AAABwZ_v56E
陆汉东    (2025-12-28 13:27:34)
2025年5月9日批复</s:t>
              </s:r>
            </s:text>
          </item>
        </commentChain>
      </unresolved>
      <resolved/>
    </commentChains>
    <commentChains s:ref="L85" rgbClr="FF0000">
      <unresolved>
        <commentChain chainId="b17090390258e16b71e7a1be6651c2ec3270a5c1">
          <item id="bb7d198d66c4971ac8c210b4c976fa50b28e9413" isNormal="1">
            <s:text>
              <s:r>
                <s:t xml:space="preserve">======
ID#AAABwZ_v59U
陆汉东    (2025-12-28 13:27:34)
2025年9月23日批复</s:t>
              </s:r>
            </s:text>
          </item>
        </commentChain>
      </unresolved>
      <resolved/>
    </commentChains>
    <commentChains s:ref="S86" rgbClr="FF0000">
      <unresolved>
        <commentChain chainId="5269425e0160a4e4c7e8c7b0e8b6ace9fd5f8471">
          <item id="2fe5d1c8285db48ea8d4a5bd5fa00c6015962cf9" isNormal="1">
            <s:text>
              <s:r>
                <s:t xml:space="preserve">======
ID#AAABwZ_v58g
陆汉东    (2025-12-28 13:27:34)
5月12日群里报技术收口</s:t>
              </s:r>
            </s:text>
          </item>
        </commentChain>
      </unresolved>
      <resolved/>
    </commentChains>
    <commentChains s:ref="T86" rgbClr="FF0000">
      <unresolved>
        <commentChain chainId="34b987a3dcb624f182ea3467d270489819fab802">
          <item id="1f27512866073d355cf0a46b540c0a69fe8e649f" isNormal="1">
            <s:text>
              <s:r>
                <s:t xml:space="preserve">======
ID#AAABwZ_v510
陆汉东    (2025-12-28 13:27:34)
2025年4月23日反馈缺少交通疏解设计图，5月12日群里反馈技术已收口，土建、通信、二次专业出意见，5月13日设计技经收口，5月14日建筑设备专业出意见，5月14日技经收口出意见，同日发文。
陆汉东:
2025年6月4日批复</s:t>
              </s:r>
            </s:text>
          </item>
        </commentChain>
      </unresolved>
      <resolved/>
    </commentChains>
    <commentChains s:ref="AG86" rgbClr="FF0000">
      <unresolved>
        <commentChain chainId="58ca50b6addabe3d1f61d899cf5b40029a9c051b">
          <item id="b468407ecdd687a7638439a51c1f0437bb45d46e" isNormal="1">
            <s:text>
              <s:r>
                <s:t xml:space="preserve">======
ID#AAABwZ_v52A
陆汉东    (2025-12-28 13:27:34)
衡佳灵</s:t>
              </s:r>
            </s:text>
          </item>
        </commentChain>
      </unresolved>
      <resolved/>
    </commentChains>
    <commentChains s:ref="P88" rgbClr="FF0000">
      <unresolved>
        <commentChain chainId="b6fc4925204b9ecf5d08666474cffdf56775091b">
          <item id="b156277443d95dae55f68b70767b58ee511e39c3" isNormal="1">
            <s:text>
              <s:r>
                <s:t xml:space="preserve">======
ID#AAABwZ_v5yA
陆汉东    (2025-12-28 13:27:34)
2025年5月9日批复</s:t>
              </s:r>
            </s:text>
          </item>
        </commentChain>
      </unresolved>
      <resolved/>
    </commentChains>
    <commentChains s:ref="L90" rgbClr="FF0000">
      <unresolved>
        <commentChain chainId="b5b46b22e98085fb77ef73d64b10e6bdcaf85edc">
          <item id="8ad92c7f31e5cb9687a0d899b5417d4ae08fffd3" isNormal="1">
            <s:text>
              <s:r>
                <s:t xml:space="preserve">======
ID#AAABwZ_v6DE
陆汉东    (2025-12-28 13:27:34)
2025年4月15日批复</s:t>
              </s:r>
            </s:text>
          </item>
        </commentChain>
      </unresolved>
      <resolved/>
    </commentChains>
    <commentChains s:ref="T90" rgbClr="FF0000">
      <unresolved>
        <commentChain chainId="e05bdc29cb3926c8aaa84818d2a42c5f506c3bbe">
          <item id="895a6fadc71eb7991cb5e6c4af3d56ad8bb2cfd6" isNormal="1">
            <s:text>
              <s:r>
                <s:t xml:space="preserve">======
ID#AAABwZ_v5_E
陆汉东    (2025-12-28 13:27:34)
2025年4月27日批复</s:t>
              </s:r>
            </s:text>
          </item>
        </commentChain>
      </unresolved>
      <resolved/>
    </commentChains>
    <commentChains s:ref="T91" rgbClr="FF0000">
      <unresolved>
        <commentChain chainId="0588b855281a750883d4d7fccb5cf920aacba0f6">
          <item id="fc1754f96fe12728390c94a353b5912ab79ca2ae" isNormal="1">
            <s:text>
              <s:r>
                <s:t xml:space="preserve">======
ID#AAABwZ_v514
陆汉东    (2025-12-28 13:27:34)
2025年6月4日批复
陆汉东:
5月13日技术收口，5月16日技经收口，5月21日根据技术修改后技经出意见</s:t>
              </s:r>
            </s:text>
          </item>
        </commentChain>
      </unresolved>
      <resolved/>
    </commentChains>
    <commentChains s:ref="B92" rgbClr="FF0000">
      <unresolved>
        <commentChain chainId="eedfd5cbde316f748c9282ae30d4e4ea36a2f562">
          <item id="6337461a0e69a47feb242d65d42377955861a205" isNormal="1">
            <s:text>
              <s:r>
                <s:t xml:space="preserve">======
ID#AAABwZ_v6Ec
陆汉东    (2025-12-28 13:27:34)
中铁第一勘察设计院</s:t>
              </s:r>
            </s:text>
          </item>
        </commentChain>
      </unresolved>
      <resolved/>
    </commentChains>
    <commentChains s:ref="L93" rgbClr="FF0000">
      <unresolved>
        <commentChain chainId="a927cae227732768b8ffdf02cbe2d52eedd43846">
          <item id="211a9057fa739c66f7354be39a9bcee0ea9f44a8" isNormal="1">
            <s:text>
              <s:r>
                <s:t xml:space="preserve">======
ID#AAABwZ_v5y4
陆汉东    (2025-12-28 13:27:34)
4月29日设计单位反馈已按意见修改，5月8日一次群里反馈评审意见，5与9日二次群里反馈评审意见，5月12日土建群里反馈意见，5月13日建筑设备群里反馈意见，5月13日下午评审意见发文。
陆汉东:
2025年6月4日批复</s:t>
              </s:r>
            </s:text>
          </item>
        </commentChain>
      </unresolved>
      <resolved/>
    </commentChains>
    <commentChains s:ref="T93" rgbClr="FF0000">
      <unresolved>
        <commentChain chainId="0092807aafdf85abaa1091eb468b882712d7e1b6">
          <item id="9c3ca3ab47baf6bf521ee6b43b83bb5214dcbe21" isNormal="1">
            <s:text>
              <s:r>
                <s:t xml:space="preserve">======
ID#AAABwZ_v6CY
陆汉东    (2025-12-28 13:27:34)
2025年9月12日批复</s:t>
              </s:r>
            </s:text>
          </item>
        </commentChain>
      </unresolved>
      <resolved/>
    </commentChains>
    <commentChains s:ref="T96" rgbClr="FF0000">
      <unresolved>
        <commentChain chainId="6a60a6d8f69f9c16075e300274fb2bb0d8ff4605">
          <item id="8bf589fc712407b742831b8cd8f2a91c39ef5f89" isNormal="1">
            <s:text>
              <s:r>
                <s:t xml:space="preserve">======
ID#AAABwZ_v51A
陆汉东    (2025-12-28 13:27:34)
2025年4月21日批复</s:t>
              </s:r>
            </s:text>
          </item>
        </commentChain>
      </unresolved>
      <resolved/>
    </commentChains>
    <commentChains s:ref="D97" rgbClr="FF0000">
      <unresolved>
        <commentChain chainId="601f90a8201de06cfb59508b7e1409ed7b080ed2">
          <item id="c7fa488549be7761ae13ae9c34ba314d90c8f127" isNormal="1">
            <s:text>
              <s:r>
                <s:t xml:space="preserve">======
ID#AAABwZ_v5-s
陆汉东    (2025-12-28 13:27:34)
4月22日变电技经反馈意见，4月23日线路技经、土建、系统、线路反馈意见，4月27日群里发技术收口资料，4月29日通信收口，4月30日系统专业表示还在核对，5月6日技经反馈意见给设计单位修改，5月8日组长收集各专业收口意见，5月9日，线路、一次反馈收口意见，5月11日土建、系统、二次反馈收口意见，5月12日完成收口意见收集后技经填写前期数据收集表，5月13日修改了收口意见内容，5月14日发文。
陆汉东:
2025年6月6日批复</s:t>
              </s:r>
            </s:text>
          </item>
        </commentChain>
      </unresolved>
      <resolved/>
    </commentChains>
    <commentChains s:ref="AG97" rgbClr="FF0000">
      <unresolved>
        <commentChain chainId="1da81ffcd93a4505c725d841041705965f6fe64d">
          <item id="b1f1a8e0f5415df6675638ee714bf44dc6a31c82" isNormal="1">
            <s:text>
              <s:r>
                <s:t xml:space="preserve">======
ID#AAABwZ_v6EE
陆汉东    (2025-12-28 13:27:34)
衡佳灵</s:t>
              </s:r>
            </s:text>
          </item>
        </commentChain>
      </unresolved>
      <resolved/>
    </commentChains>
    <commentChains s:ref="L98" rgbClr="FF0000">
      <unresolved>
        <commentChain chainId="9ad63c777a93ad67ce551ee996eaab779d0e3669">
          <item id="7c33540ba676e5d3566dc068cb5450385e94cada" isNormal="1">
            <s:text>
              <s:r>
                <s:t xml:space="preserve">======
ID#AAABwZ_v51s
陆汉东    (2025-12-28 13:27:34)
2025年8月6日批复</s:t>
              </s:r>
            </s:text>
          </item>
        </commentChain>
      </unresolved>
      <resolved/>
    </commentChains>
    <commentChains s:ref="D99" rgbClr="FF0000">
      <unresolved>
        <commentChain chainId="ebb6967835bcf7c313b306153a0353f64c6b3cca">
          <item id="d8445934a8eca33b08f70ae658ba57f28c08fbc9" isNormal="1">
            <s:text>
              <s:r>
                <s:t xml:space="preserve">======
ID#AAABwZ_v52M
陆汉东    (2025-12-28 13:27:34)
5月12日设计单位反馈技术与技经完成收口，5月13日系统出评审意见，5月14日二次出意见，群里通知技术收口
陆汉东:
2025年6月6日批复</s:t>
              </s:r>
            </s:text>
          </item>
        </commentChain>
      </unresolved>
      <resolved/>
    </commentChains>
    <commentChains s:ref="AG101" rgbClr="FF0000">
      <unresolved>
        <commentChain chainId="d685aa807d0438362614f3af241dabfd3e68bdf3">
          <item id="cc3c094f2901b91949e3658e3f1bbacaade336da" isNormal="1">
            <s:text>
              <s:r>
                <s:t xml:space="preserve">======
ID#AAABwZ_v5x4
陆汉东    (2025-12-28 13:27:34)
衡佳灵</s:t>
              </s:r>
            </s:text>
          </item>
        </commentChain>
      </unresolved>
      <resolved/>
    </commentChains>
    <commentChains s:ref="T103" rgbClr="FF0000">
      <unresolved>
        <commentChain chainId="052d6314fd72bb47d2970e26a60e79264d656812">
          <item id="16f09bfb0396fe87af0d05e1365e4c7710f0c83f" isNormal="1">
            <s:text>
              <s:r>
                <s:t xml:space="preserve">======
ID#AAABwZ_v5wY
陆汉东    (2025-12-28 13:27:34)
2025年10月10日批复</s:t>
              </s:r>
            </s:text>
          </item>
        </commentChain>
      </unresolved>
      <resolved/>
    </commentChains>
    <commentChains s:ref="T104" rgbClr="FF0000">
      <unresolved>
        <commentChain chainId="4cea3caed89bd0615f8a99f14a178f5866440028">
          <item id="f406f749f15c01e1d7d75e35261d2ccf9c77b43b" isNormal="1">
            <s:text>
              <s:r>
                <s:t xml:space="preserve">======
ID#AAABwZ_v5z4
陆汉东    (2025-12-28 13:27:34)
2025年9月26日批复</s:t>
              </s:r>
            </s:text>
          </item>
        </commentChain>
      </unresolved>
      <resolved/>
    </commentChains>
    <commentChains s:ref="AG104" rgbClr="FF0000">
      <unresolved>
        <commentChain chainId="dcaa57b2add94aa5e2ba0e45d7b22402ebc3aa15">
          <item id="94c179f153edebb77b16244af4c444a5b5b3b948" isNormal="1">
            <s:text>
              <s:r>
                <s:t xml:space="preserve">======
ID#AAABwZ_v6CU
陆汉东    (2025-12-28 13:27:34)
衡佳灵</s:t>
              </s:r>
            </s:text>
          </item>
        </commentChain>
      </unresolved>
      <resolved/>
    </commentChains>
    <commentChains s:ref="C105" rgbClr="FF0000">
      <unresolved>
        <commentChain chainId="7e03c4a5e720abf63e1897a464aa212a400f1cdc">
          <item id="49755c49efc948fe0e51c92215e6159a0d0fe42e" isNormal="1">
            <s:text>
              <s:r>
                <s:t xml:space="preserve">======
ID#AAABwZ_v53I
陆汉东    (2025-12-28 13:27:34)
会议要求8.21技术收口，8.25整体收口
陆汉东:
2025/7/25评审会</s:t>
              </s:r>
            </s:text>
          </item>
        </commentChain>
      </unresolved>
      <resolved/>
    </commentChains>
    <commentChains s:ref="AG106" rgbClr="FF0000">
      <unresolved>
        <commentChain chainId="90fdc708815c3781fe511744fe3d4e4033f9fd78">
          <item id="14a903e9080b3ee3eedeea1774dca5feba22c989" isNormal="1">
            <s:text>
              <s:r>
                <s:t xml:space="preserve">======
ID#AAABwZ_v6EU
陆汉东    (2025-12-28 13:27:34)
衡佳灵</s:t>
              </s:r>
            </s:text>
          </item>
        </commentChain>
      </unresolved>
      <resolved/>
    </commentChains>
    <commentChains s:ref="BY106" rgbClr="FF0000">
      <unresolved>
        <commentChain chainId="8c31b417fbc94e98e8ee919d60b2509b9e313808">
          <item id="07157ca8c9bbf7bf10df537dade72cfca14524bc" isNormal="1">
            <s:text>
              <s:r>
                <s:t xml:space="preserve">======
ID#AAABwZ_v6BY
陆汉东    (2025-12-28 13:27:34)
核减费用的变更</s:t>
              </s:r>
            </s:text>
          </item>
        </commentChain>
      </unresolved>
      <resolved/>
    </commentChains>
    <commentChains s:ref="D107" rgbClr="FF0000">
      <unresolved>
        <commentChain chainId="f7d1be41ee1032fe468dc61e9f93c3ec6ca27f11">
          <item id="5ed19cf79e97e0759bbdcd927b44b700bb2097ff" isNormal="1">
            <s:text>
              <s:r>
                <s:t xml:space="preserve">======
ID#AAABwZ_v59Y
陆汉东    (2025-12-28 13:27:34)
2025年6月12日批复</s:t>
              </s:r>
            </s:text>
          </item>
        </commentChain>
      </unresolved>
      <resolved/>
    </commentChains>
    <commentChains s:ref="L107" rgbClr="FF0000">
      <unresolved>
        <commentChain chainId="b4794af452045741879d3b83e5174a1ee9184abb">
          <item id="db775f06e04d8670440aeb97b5bd7a8f8bac3b54" isNormal="1">
            <s:text>
              <s:r>
                <s:t xml:space="preserve">======
ID#AAABwZ_v6EY
陆汉东    (2025-12-28 13:27:34)
2025年11月7日批复</s:t>
              </s:r>
            </s:text>
          </item>
        </commentChain>
      </unresolved>
      <resolved/>
    </commentChains>
    <commentChains s:ref="H108" rgbClr="FF0000">
      <unresolved>
        <commentChain chainId="b6b40578068c91dde2d234b0a55a00b652b985bc">
          <item id="21ec31c0e19d58d0915c86bf981ec51f8f4a9c60" isNormal="1">
            <s:text>
              <s:r>
                <s:t xml:space="preserve">======
ID#AAABwZ_v55s
陆汉东    (2025-12-28 13:27:34)
2025年10月13日批复</s:t>
              </s:r>
            </s:text>
          </item>
        </commentChain>
      </unresolved>
      <resolved/>
    </commentChains>
    <commentChains s:ref="P108" rgbClr="FF0000">
      <unresolved>
        <commentChain chainId="3a6f26e728be27e9ae451bf840dcffd1773087ce">
          <item id="1e1738de57df0e647ff5cb6ce479e0feb960b639" isNormal="1">
            <s:text>
              <s:r>
                <s:t xml:space="preserve">======
ID#AAABwZ_v58I
陆汉东    (2025-12-28 13:27:34)
2025年11月26日批复</s:t>
              </s:r>
            </s:text>
          </item>
        </commentChain>
      </unresolved>
      <resolved/>
    </commentChains>
    <commentChains s:ref="L109" rgbClr="FF0000">
      <unresolved>
        <commentChain chainId="f25f3ddd0ed3279822b5c2aa674cbc820109c8d7">
          <item id="34de0f171a6ba74a3f407a46f7fb7f826442d183" isNormal="1">
            <s:text>
              <s:r>
                <s:t xml:space="preserve">======
ID#AAABwZ_v5xg
陆汉东    (2025-12-28 13:27:34)
2025年6月30日批复</s:t>
              </s:r>
            </s:text>
          </item>
        </commentChain>
      </unresolved>
      <resolved/>
    </commentChains>
    <commentChains s:ref="T109" rgbClr="FF0000">
      <unresolved>
        <commentChain chainId="2ca2fc16e16c6750b9a1c295169356691f941242">
          <item id="85bee35c9df8cdc0f13bfc7d5fd0064746513a42" isNormal="1">
            <s:text>
              <s:r>
                <s:t xml:space="preserve">======
ID#AAABwZ_v5_s
陆汉东    (2025-12-28 13:27:34)
10.17土方量需要设计核实修改
陆汉东:
2025年11月12日批复</s:t>
              </s:r>
            </s:text>
          </item>
        </commentChain>
      </unresolved>
      <resolved/>
    </commentChains>
    <commentChains s:ref="AE111" rgbClr="FF0000">
      <unresolved>
        <commentChain chainId="5b81354700b3bc3aec03b219fd27973d6761f9c5">
          <item id="c63d2dbb50da78f364c309b70cd1249fee0df8a3" isNormal="1">
            <s:text>
              <s:r>
                <s:t xml:space="preserve">======
ID#AAABwZ_v6Ew
陆汉东    (2025-12-28 13:27:34)
衡佳灵</s:t>
              </s:r>
            </s:text>
          </item>
        </commentChain>
      </unresolved>
      <resolved/>
    </commentChains>
    <commentChains s:ref="AG111" rgbClr="FF0000">
      <unresolved>
        <commentChain chainId="add81a4dfecba2c0bf9ad901e50e07d001ce746d">
          <item id="dd82774456ef846e39f17c23ce3e1c5c57860593" isNormal="1">
            <s:text>
              <s:r>
                <s:t xml:space="preserve">======
ID#AAABwZ_v6Do
陆汉东    (2025-12-28 13:27:34)
衡佳灵</s:t>
              </s:r>
            </s:text>
          </item>
        </commentChain>
      </unresolved>
      <resolved/>
    </commentChains>
    <commentChains s:ref="D114" rgbClr="FF0000">
      <unresolved>
        <commentChain chainId="536e3a43e045024b2a5c759cffa06e640d3e591e">
          <item id="3ab14be5e3a155c945d8c78851182fb659f7fbab" isNormal="1">
            <s:text>
              <s:r>
                <s:t xml:space="preserve">======
ID#AAABwZ_v558
陆汉东    (2025-12-28 13:27:34)
2025年12月2日批复</s:t>
              </s:r>
            </s:text>
          </item>
        </commentChain>
      </unresolved>
      <resolved/>
    </commentChains>
    <commentChains s:ref="AG114" rgbClr="FF0000">
      <unresolved>
        <commentChain chainId="428a018d938cae55bd889bbdeea332bd84dafe29">
          <item id="889cd14add3c2f09c009e27768e8283c0985c660" isNormal="1">
            <s:text>
              <s:r>
                <s:t xml:space="preserve">======
ID#AAABwZ_v57o
陆汉东    (2025-12-28 13:27:34)
衡佳灵</s:t>
              </s:r>
            </s:text>
          </item>
        </commentChain>
      </unresolved>
      <resolved/>
    </commentChains>
    <commentChains s:ref="T115" rgbClr="FF0000">
      <unresolved>
        <commentChain chainId="708b5df07e55746b7059081381608aaea999c057">
          <item id="6c2e3c5fa4e6d1c3ad2faeb530537acd32e2c3f8" isNormal="1">
            <s:text>
              <s:r>
                <s:t xml:space="preserve">======
ID#AAABwZ_v5zg
陆汉东    (2025-12-28 13:27:34)
2025年6月13日批复</s:t>
              </s:r>
            </s:text>
          </item>
        </commentChain>
      </unresolved>
      <resolved/>
    </commentChains>
    <commentChains s:ref="L116" rgbClr="FF0000">
      <unresolved>
        <commentChain chainId="9a188e2b659dc2d205c2e7207cc4c09902eb6c64">
          <item id="0519c6c82f6b4ef1444a954ce2b091577a7bfd0d" isNormal="1">
            <s:text>
              <s:r>
                <s:t xml:space="preserve">======
ID#AAABwZ_v56w
陆汉东    (2025-12-28 13:27:34)
2025年7月17日批复</s:t>
              </s:r>
            </s:text>
          </item>
        </commentChain>
      </unresolved>
      <resolved/>
    </commentChains>
    <commentChains s:ref="P117" rgbClr="FF0000">
      <unresolved>
        <commentChain chainId="c98b5bcf6cac84fe5d21541e134df0a4aaef5046">
          <item id="75658ab111c2b95a7b4702ae78c6b4369f334e14" isNormal="1">
            <s:text>
              <s:r>
                <s:t xml:space="preserve">======
ID#AAABwZ_v58k
陆汉东    (2025-12-28 13:27:34)
2025年7月7日批复</s:t>
              </s:r>
            </s:text>
          </item>
        </commentChain>
      </unresolved>
      <resolved/>
    </commentChains>
    <commentChains s:ref="D118" rgbClr="FF0000">
      <unresolved>
        <commentChain chainId="981204198e915ab17f493a2c38e60b919abbf9c2">
          <item id="c669a1152830dcbef51c43a2eecc2a783438aa73" isNormal="1">
            <s:text>
              <s:r>
                <s:t xml:space="preserve">======
ID#AAABwZ_v51E
陆汉东    (2025-12-28 13:27:34)
2025年8月7日批复</s:t>
              </s:r>
            </s:text>
          </item>
        </commentChain>
      </unresolved>
      <resolved/>
    </commentChains>
    <commentChains s:ref="A119" rgbClr="FF0000">
      <unresolved>
        <commentChain chainId="677d144756c3ed61f411614d09d430e98adff1e9">
          <item id="6e900918d4eb9c513ff94759acfef480aae6ea29" isNormal="1">
            <s:text>
              <s:r>
                <s:t xml:space="preserve">======
ID#AAABwZ_v55g
陆汉东    (2025-12-28 13:27:34)
业绩考核责任书10.30</s:t>
              </s:r>
            </s:text>
          </item>
        </commentChain>
      </unresolved>
      <resolved/>
    </commentChains>
    <commentChains s:ref="L120" rgbClr="FF0000">
      <unresolved>
        <commentChain chainId="a43de2cdde6dbf4ea34679354765f3e0f2dffa67">
          <item id="ba478295ea17712f88b3a89fd5b7d376a78f40ef" isNormal="1">
            <s:text>
              <s:r>
                <s:t xml:space="preserve">======
ID#AAABwZ_v57A
陆汉东    (2025-12-28 13:27:34)
2025年11月4日批复</s:t>
              </s:r>
            </s:text>
          </item>
        </commentChain>
      </unresolved>
      <resolved/>
    </commentChains>
    <commentChains s:ref="T121" rgbClr="FF0000">
      <unresolved>
        <commentChain chainId="bc2db015e12c913a4dc42075d50d205c900e503c">
          <item id="2fce8c22210213e60604799044ef92097dc723df" isNormal="1">
            <s:text>
              <s:r>
                <s:t xml:space="preserve">======
ID#AAABwZ_v55w
陆汉东    (2025-12-28 13:27:34)
2025年7月25日批复</s:t>
              </s:r>
            </s:text>
          </item>
        </commentChain>
      </unresolved>
      <resolved/>
    </commentChains>
    <commentChains s:ref="T122" rgbClr="FF0000">
      <unresolved>
        <commentChain chainId="defa15c4218670986d4ba2c6cfbd12409c958e02">
          <item id="0771ed1d75b5cac0d80fd0962b1f754cb710e6d3" isNormal="1">
            <s:text>
              <s:r>
                <s:t xml:space="preserve">======
ID#AAABwZ_v57c
陆汉东    (2025-12-28 13:27:34)
2025年8月19日批复</s:t>
              </s:r>
            </s:text>
          </item>
        </commentChain>
      </unresolved>
      <resolved/>
    </commentChains>
    <commentChains s:ref="AG122" rgbClr="FF0000">
      <unresolved>
        <commentChain chainId="6f72fd3c005e12c866c142171752009cac41626e">
          <item id="3ecdc31c856e7b41e099586a5e8d4cccc0fa9d87" isNormal="1">
            <s:text>
              <s:r>
                <s:t xml:space="preserve">======
ID#AAABwZ_v57g
陆汉东    (2025-12-28 13:27:34)
衡佳灵</s:t>
              </s:r>
            </s:text>
          </item>
        </commentChain>
      </unresolved>
      <resolved/>
    </commentChains>
    <commentChains s:ref="C124" rgbClr="FF0000">
      <unresolved>
        <commentChain chainId="6032861d4973025a6d61208404b7f9ff9941c4d0">
          <item id="4c2d58abc15081d403de8865e1bbffefd23616b0" isNormal="1">
            <s:text>
              <s:r>
                <s:t xml:space="preserve">======
ID#AAABwZ_v5yo
陆汉东    (2025-12-28 13:27:34)
7月1日审查后中止</s:t>
              </s:r>
            </s:text>
          </item>
        </commentChain>
      </unresolved>
      <resolved/>
    </commentChains>
    <commentChains s:ref="D124" rgbClr="FF0000">
      <unresolved>
        <commentChain chainId="ed9ed55e57d85b07c609fa3b3b2e9eceafb3b40b">
          <item id="cebe6144e8710273dc6bf2bedf81bebda498776b" isNormal="1">
            <s:text>
              <s:r>
                <s:t xml:space="preserve">======
ID#AAABwZ_v5-A
陆汉东    (2025-12-28 13:27:34)
2025年10月9日批复</s:t>
              </s:r>
            </s:text>
          </item>
        </commentChain>
      </unresolved>
      <resolved/>
    </commentChains>
    <commentChains s:ref="AG124" rgbClr="FF0000">
      <unresolved>
        <commentChain chainId="88eafbe40ebdc169219ac514e8df1575c9d73a9d">
          <item id="9926b07d1cf1dcf8a5f8c00e0bb8ee989ee694e9" isNormal="1">
            <s:text>
              <s:r>
                <s:t xml:space="preserve">======
ID#AAABwZ_v53Y
陆汉东    (2025-12-28 13:27:34)
衡佳灵</s:t>
              </s:r>
            </s:text>
          </item>
        </commentChain>
      </unresolved>
      <resolved/>
    </commentChains>
    <commentChains s:ref="D125" rgbClr="FF0000">
      <unresolved>
        <commentChain chainId="1a88d76144085f46ae01dd2e69f30d678b859493">
          <item id="4f8122c936c7bc305cc7359a3ed96273a24dd9e4" isNormal="1">
            <s:text>
              <s:r>
                <s:t xml:space="preserve">======
ID#AAABwZ_v6AM
陆汉东    (2025-12-28 13:27:34)
2025年8月18日批复</s:t>
              </s:r>
            </s:text>
          </item>
        </commentChain>
      </unresolved>
      <resolved/>
    </commentChains>
    <commentChains s:ref="AG125" rgbClr="FF0000">
      <unresolved>
        <commentChain chainId="a99a44971a63c1af3cd1963a2766c11ca358d76e">
          <item id="5f78b47876e76892d60e2b2d8ec189ad46178274" isNormal="1">
            <s:text>
              <s:r>
                <s:t xml:space="preserve">======
ID#AAABwZ_v6Dk
陆汉东    (2025-12-28 13:27:34)
衡佳灵</s:t>
              </s:r>
            </s:text>
          </item>
        </commentChain>
      </unresolved>
      <resolved/>
    </commentChains>
    <commentChains s:ref="L126" rgbClr="FF0000">
      <unresolved>
        <commentChain chainId="2923cdcd315559f876d11477039f7677ec013e06">
          <item id="36d40ba02a67432eaa280e666caa032b99b88d22" isNormal="1">
            <s:text>
              <s:r>
                <s:t xml:space="preserve">======
ID#AAABwZ_v56I
陆汉东    (2025-12-28 13:27:34)
2025年8月11日批复</s:t>
              </s:r>
            </s:text>
          </item>
        </commentChain>
      </unresolved>
      <resolved/>
    </commentChains>
    <commentChains s:ref="C128" rgbClr="FF0000">
      <unresolved>
        <commentChain chainId="b89ca8b5e1d97652a28f96e45b03a837c0b3fe2e">
          <item id="eda015ffd5b52419e4aae7e6588bbbefcabbe61c" isNormal="1">
            <s:text>
              <s:r>
                <s:t xml:space="preserve">======
ID#AAABwZ_v53c
陆汉东    (2025-12-28 13:27:34)
第一次会议2025/4/22</s:t>
              </s:r>
            </s:text>
          </item>
        </commentChain>
      </unresolved>
      <resolved/>
    </commentChains>
    <commentChains s:ref="D128" rgbClr="FF0000">
      <unresolved>
        <commentChain chainId="8fc181b2f312d09df2d4a5b81d7c6d1c9e3a69e5">
          <item id="a63e90f9869ab085fcd1f18c0650453a0edb763d" isNormal="1">
            <s:text>
              <s:r>
                <s:t xml:space="preserve">======
ID#AAABwZ_v5ww
陆汉东    (2025-12-28 13:27:34)
2025年7月23日批复</s:t>
              </s:r>
            </s:text>
          </item>
        </commentChain>
      </unresolved>
      <resolved/>
    </commentChains>
    <commentChains s:ref="D129" rgbClr="FF0000">
      <unresolved>
        <commentChain chainId="738ad969ac8922921ba46f10ae8956db00dc7056">
          <item id="bffe8977ad7193b70bf41df9492ee631b1458cb8" isNormal="1">
            <s:text>
              <s:r>
                <s:t xml:space="preserve">======
ID#AAABwZ_v5_0
陆汉东    (2025-12-28 13:27:34)
2025年8月19日批复</s:t>
              </s:r>
            </s:text>
          </item>
        </commentChain>
      </unresolved>
      <resolved/>
    </commentChains>
    <commentChains s:ref="L129" rgbClr="FF0000">
      <unresolved>
        <commentChain chainId="5032ec6258a8fc7e96115ad9ce15ed9e2611b60f">
          <item id="fa619a90cb32e3529963a8107c52cc6657e3d0c7" isNormal="1">
            <s:text>
              <s:r>
                <s:t xml:space="preserve">======
ID#AAABwZ_v5yU
陆汉东    (2025-12-28 13:27:34)
2025年12月19日批复</s:t>
              </s:r>
            </s:text>
          </item>
        </commentChain>
      </unresolved>
      <resolved/>
    </commentChains>
    <commentChains s:ref="AG129" rgbClr="FF0000">
      <unresolved>
        <commentChain chainId="b5fad70bb98f7b453fed6398bf8fe3a37fd1353a">
          <item id="07f97013c9792024b6d55fc1a7b5e2e1ce0fc37f" isNormal="1">
            <s:text>
              <s:r>
                <s:t xml:space="preserve">======
ID#AAABwZ_v5yg
陆汉东    (2025-12-28 13:27:34)
衡佳灵</s:t>
              </s:r>
            </s:text>
          </item>
        </commentChain>
      </unresolved>
      <resolved/>
    </commentChains>
    <commentChains s:ref="C130" rgbClr="FF0000">
      <unresolved>
        <commentChain chainId="344cc08e70ab951bd7753f1ef998c46db2eb4ee0">
          <item id="d70f013416db9a54fb778b6ff487ea545b13350e" isNormal="1">
            <s:text>
              <s:r>
                <s:t xml:space="preserve">======
ID#AAABwZ_v56g
陆汉东    (2025-12-28 13:27:34)
8.15 基建部反馈电缆线路暂不考虑光纤振动监测装置</s:t>
              </s:r>
            </s:text>
          </item>
        </commentChain>
      </unresolved>
      <resolved/>
    </commentChains>
    <commentChains s:ref="D130" rgbClr="FF0000">
      <unresolved>
        <commentChain chainId="2e0b90210b0d9bd30e3feae9cfe1a82b2912058a">
          <item id="ed090ba47c1615c8b3321bb864e6c4fac82fd5a3" isNormal="1">
            <s:text>
              <s:r>
                <s:t xml:space="preserve">======
ID#AAABwZ_v5yM
陆汉东    (2025-12-28 13:27:34)
2025年10月10日批复</s:t>
              </s:r>
            </s:text>
          </item>
        </commentChain>
      </unresolved>
      <resolved/>
    </commentChains>
    <commentChains s:ref="AG130" rgbClr="FF0000">
      <unresolved>
        <commentChain chainId="b31e68772292d72e729008216e9b87431fa3da69">
          <item id="91088a6c05c714b45409ba3bb6a35d8035e80843" isNormal="1">
            <s:text>
              <s:r>
                <s:t xml:space="preserve">======
ID#AAABwZ_v54g
陆汉东    (2025-12-28 13:27:34)
衡佳灵</s:t>
              </s:r>
            </s:text>
          </item>
        </commentChain>
      </unresolved>
      <resolved/>
    </commentChains>
    <commentChains s:ref="AG131" rgbClr="FF0000">
      <unresolved>
        <commentChain chainId="4cb88f7055a8a1c1cb43ad364a20e93ab5aa1da9">
          <item id="30f8d9d8e26d5c0f15e94874aa1d9149721cf15e" isNormal="1">
            <s:text>
              <s:r>
                <s:t xml:space="preserve">======
ID#AAABwZ_v5w4
陆汉东    (2025-12-28 13:27:34)
衡佳灵</s:t>
              </s:r>
            </s:text>
          </item>
        </commentChain>
      </unresolved>
      <resolved/>
    </commentChains>
    <commentChains s:ref="D132" rgbClr="FF0000">
      <unresolved>
        <commentChain chainId="52720374bca3182fc7bc6be74c274637a427bb25">
          <item id="e66e421d5f91b3cb50b384fd545fe5c7ffb9e5fc" isNormal="1">
            <s:text>
              <s:r>
                <s:t xml:space="preserve">======
ID#AAABwZ_v5xk
陆汉东    (2025-12-28 13:27:34)
2025年9月10日批复</s:t>
              </s:r>
            </s:text>
          </item>
        </commentChain>
      </unresolved>
      <resolved/>
    </commentChains>
    <commentChains s:ref="AG133" rgbClr="FF0000">
      <unresolved>
        <commentChain chainId="b79c2f0ff50bf34b19c369beaf61be4e02e90138">
          <item id="262aa4fc1868f21250149de78100a1313f302966" isNormal="1">
            <s:text>
              <s:r>
                <s:t xml:space="preserve">======
ID#AAABwZ_v54w
陆汉东    (2025-12-28 13:27:34)
衡佳灵</s:t>
              </s:r>
            </s:text>
          </item>
        </commentChain>
      </unresolved>
      <resolved/>
    </commentChains>
    <commentChains s:ref="L134" rgbClr="FF0000">
      <unresolved>
        <commentChain chainId="a72b742834ed9288f6548e488626fd869c8d6597">
          <item id="14b506b026a144a372802104eaf9d109957f1a54" isNormal="1">
            <s:text>
              <s:r>
                <s:t xml:space="preserve">======
ID#AAABwZ_v54A
陆汉东    (2025-12-28 13:27:34)
2025年9月15日批复</s:t>
              </s:r>
            </s:text>
          </item>
        </commentChain>
      </unresolved>
      <resolved/>
    </commentChains>
    <commentChains s:ref="AG134" rgbClr="FF0000">
      <unresolved>
        <commentChain chainId="a6bcc4c46eac1acc4acc2566d95f8bf62b957169">
          <item id="53e191b6dbf3335a4a2327c7ecb9ca7238d5280b" isNormal="1">
            <s:text>
              <s:r>
                <s:t xml:space="preserve">======
ID#AAABwZ_v52s
陆汉东    (2025-12-28 13:27:34)
衡佳灵</s:t>
              </s:r>
            </s:text>
          </item>
        </commentChain>
      </unresolved>
      <resolved/>
    </commentChains>
    <commentChains s:ref="AE135" rgbClr="FF0000">
      <unresolved>
        <commentChain chainId="b3a3496e89fb691b94f1df940487168215ecd1f4">
          <item id="461a4caa7b7e7c89bc3e08705048b60a05174ede" isNormal="1">
            <s:text>
              <s:r>
                <s:t xml:space="preserve">======
ID#AAABwZ_v6AU
陆汉东    (2025-12-28 13:27:34)
衡佳灵</s:t>
              </s:r>
            </s:text>
          </item>
        </commentChain>
      </unresolved>
      <resolved/>
    </commentChains>
    <commentChains s:ref="AG135" rgbClr="FF0000">
      <unresolved>
        <commentChain chainId="c7ff123fb4c5900ebab1e6af81e81d751d4fd752">
          <item id="fec2f657c6e17b811cac44619b6db5bab84c95c5" isNormal="1">
            <s:text>
              <s:r>
                <s:t xml:space="preserve">======
ID#AAABwZ_v51k
陆汉东    (2025-12-28 13:27:34)
衡佳灵</s:t>
              </s:r>
            </s:text>
          </item>
        </commentChain>
      </unresolved>
      <resolved/>
    </commentChains>
    <commentChains s:ref="T136" rgbClr="FF0000">
      <unresolved>
        <commentChain chainId="e46512c5bd110d667f2d791ca6a14c742cb85994">
          <item id="e3117112311ab1597afe5a1b5b6dc21a14fc8e89" isNormal="1">
            <s:text>
              <s:r>
                <s:t xml:space="preserve">======
ID#AAABwZ_v538
陆汉东    (2025-12-28 13:27:34)
2025年9月12日批复</s:t>
              </s:r>
            </s:text>
          </item>
        </commentChain>
      </unresolved>
      <resolved/>
    </commentChains>
    <commentChains s:ref="AE137" rgbClr="FF0000">
      <unresolved>
        <commentChain chainId="56168a814d0977629db0754621dba7fcbfaa6afd">
          <item id="ed0148f00bd91b795e5a8052c3d9e53f81bd0853" isNormal="1">
            <s:text>
              <s:r>
                <s:t xml:space="preserve">======
ID#AAABwZ_v58Q
陆汉东    (2025-12-28 13:27:34)
衡佳灵</s:t>
              </s:r>
            </s:text>
          </item>
        </commentChain>
      </unresolved>
      <resolved/>
    </commentChains>
    <commentChains s:ref="AG137" rgbClr="FF0000">
      <unresolved>
        <commentChain chainId="63392289435423c9e9649720bca38d263965823f">
          <item id="1af2601d8247655c59f224ee9ce07e153770e00c" isNormal="1">
            <s:text>
              <s:r>
                <s:t xml:space="preserve">======
ID#AAABwZ_v56k
陆汉东    (2025-12-28 13:27:34)
衡佳灵</s:t>
              </s:r>
            </s:text>
          </item>
        </commentChain>
      </unresolved>
      <resolved/>
    </commentChains>
    <commentChains s:ref="L139" rgbClr="FF0000">
      <unresolved>
        <commentChain chainId="750e468584e53ced3fd03237b292605b0be15916">
          <item id="b67d46d599c02382b128af8bd684bf6ee81b76db" isNormal="1">
            <s:text>
              <s:r>
                <s:t xml:space="preserve">======
ID#AAABwZ_v55A
陆汉东    (2025-12-28 13:27:34)
2025年7月29日批复</s:t>
              </s:r>
            </s:text>
          </item>
        </commentChain>
      </unresolved>
      <resolved/>
    </commentChains>
    <commentChains s:ref="T140" rgbClr="FF0000">
      <unresolved>
        <commentChain chainId="8085a95fdc63cc2bba4fe01bddaf0c701ac919aa">
          <item id="25e976285b9cb44ae100a1173ba9579d0df71b1d" isNormal="1">
            <s:text>
              <s:r>
                <s:t xml:space="preserve">======
ID#AAABwZ_v6FE
陆汉东    (2025-12-28 13:27:34)
2025年9月12日批复</s:t>
              </s:r>
            </s:text>
          </item>
        </commentChain>
      </unresolved>
      <resolved/>
    </commentChains>
    <commentChains s:ref="BY140" rgbClr="FF0000">
      <unresolved>
        <commentChain chainId="d457086df3cf1a5f09eb72ba26050c587b879b90">
          <item id="6f82504227e61559638d8f8b39460b3c890b0820" isNormal="1">
            <s:text>
              <s:r>
                <s:t xml:space="preserve">======
ID#AAABwZ_v5_4
陆汉东    (2025-12-28 13:27:34)
核减费用的变更</s:t>
              </s:r>
            </s:text>
          </item>
        </commentChain>
      </unresolved>
      <resolved/>
    </commentChains>
    <commentChains s:ref="BV141" rgbClr="FF0000">
      <unresolved>
        <commentChain chainId="8b48f80785bb8bc6b92c66854d614aad86a606e4">
          <item id="51770cbfe8cab08d92d71295ed09cf0192adb34d" isNormal="1">
            <s:text>
              <s:r>
                <s:t xml:space="preserve">======
ID#AAABwZ_v5ys
陆汉东    (2025-12-28 13:27:34)
取消 220kV 乌番甲乙线升高改造部分
架空线路，核减庆盛枢纽站 110kV 架空线路部分工程量</s:t>
              </s:r>
            </s:text>
          </item>
        </commentChain>
      </unresolved>
      <resolved/>
    </commentChains>
    <commentChains s:ref="D142" rgbClr="FF0000">
      <unresolved>
        <commentChain chainId="942d405161544bee76aafbe8446459478b3dc5e0">
          <item id="cc073a25082f11636fb7d2a8889056330bf39620" isNormal="1">
            <s:text>
              <s:r>
                <s:t xml:space="preserve">======
ID#AAABwZ_v6C4
陆汉东    (2025-12-28 13:27:34)
2025年10月13日批复</s:t>
              </s:r>
            </s:text>
          </item>
        </commentChain>
      </unresolved>
      <resolved/>
    </commentChains>
    <commentChains s:ref="AE142" rgbClr="FF0000">
      <unresolved>
        <commentChain chainId="051f92426cf8654438e75615a63023f6352228fe">
          <item id="d524a332c8e4b8392f46f1503dd5cdd0eadcac02" isNormal="1">
            <s:text>
              <s:r>
                <s:t xml:space="preserve">======
ID#AAABwZ_v6B8
陆汉东    (2025-12-28 13:27:34)
衡佳灵</s:t>
              </s:r>
            </s:text>
          </item>
        </commentChain>
      </unresolved>
      <resolved/>
    </commentChains>
    <commentChains s:ref="AG142" rgbClr="FF0000">
      <unresolved>
        <commentChain chainId="ac87d6acc8029b38413b910be5912d846afaca94">
          <item id="0194ed083ee1773663671a5249b15e8e16b3b530" isNormal="1">
            <s:text>
              <s:r>
                <s:t xml:space="preserve">======
ID#AAABwZ_v59k
陆汉东    (2025-12-28 13:27:34)
衡佳灵</s:t>
              </s:r>
            </s:text>
          </item>
        </commentChain>
      </unresolved>
      <resolved/>
    </commentChains>
    <commentChains s:ref="A144" rgbClr="FF0000">
      <unresolved>
        <commentChain chainId="747ab09b2819847ca57f0c2e56ab9451d80231d0">
          <item id="7963ee689f8bf52fe5fdd56f6d6628bb6bf05d99" isNormal="1">
            <s:text>
              <s:r>
                <s:t xml:space="preserve">======
ID#AAABwZ_v6AA
陆汉东    (2025-12-28 13:27:34)
业绩考核责任书9.30</s:t>
              </s:r>
            </s:text>
          </item>
        </commentChain>
      </unresolved>
      <resolved/>
    </commentChains>
    <commentChains s:ref="D144" rgbClr="FF0000">
      <unresolved>
        <commentChain chainId="b72dc0e69f015edf343b563a514e2ede6388bdbe">
          <item id="adb5e79e3889a577c4a63267e801ee1daf9f2290" isNormal="1">
            <s:text>
              <s:r>
                <s:t xml:space="preserve">======
ID#AAABwZ_v6A4
陆汉东    (2025-12-28 13:27:34)
2025/9/26批复</s:t>
              </s:r>
            </s:text>
          </item>
        </commentChain>
      </unresolved>
      <resolved/>
    </commentChains>
    <commentChains s:ref="L144" rgbClr="FF0000">
      <unresolved>
        <commentChain chainId="6e94e9b8a22ffa1fc683261655de65bbb212c8f6">
          <item id="2e0b5f44441ad0bdba7ce6a9cd221cee8e015c09" isNormal="1">
            <s:text>
              <s:r>
                <s:t xml:space="preserve">======
ID#AAABwZ_v5xY
陆汉东    (2025-12-28 13:27:34)
2025年11月18日批复</s:t>
              </s:r>
            </s:text>
          </item>
        </commentChain>
      </unresolved>
      <resolved/>
    </commentChains>
    <commentChains s:ref="AE145" rgbClr="FF0000">
      <unresolved>
        <commentChain chainId="92b539814febdc993d2f4806e1b812e5c7209fe8">
          <item id="dc6fe4c8a37a30b4c9a59844196746422b59eafe" isNormal="1">
            <s:text>
              <s:r>
                <s:t xml:space="preserve">======
ID#AAABwZ_v52c
陆汉东    (2025-12-28 13:27:34)
衡佳灵</s:t>
              </s:r>
            </s:text>
          </item>
        </commentChain>
      </unresolved>
      <resolved/>
    </commentChains>
    <commentChains s:ref="AG145" rgbClr="FF0000">
      <unresolved>
        <commentChain chainId="c6c42227f4d014f0f49b6813fa28efa562e1b3ca">
          <item id="e9a60c3480d4d5a0ae7e62e67837e41714c3da05" isNormal="1">
            <s:text>
              <s:r>
                <s:t xml:space="preserve">======
ID#AAABwZ_v5-g
陆汉东    (2025-12-28 13:27:34)
衡佳灵</s:t>
              </s:r>
            </s:text>
          </item>
        </commentChain>
      </unresolved>
      <resolved/>
    </commentChains>
    <commentChains s:ref="K146" rgbClr="FF0000">
      <unresolved>
        <commentChain chainId="a09ea285204e22558557454e955a062aa24d005f">
          <item id="4fbba85b90a1aacd527df6470c101f66bfdb6f53" isNormal="1">
            <s:text>
              <s:r>
                <s:t xml:space="preserve">======
ID#AAABwZ_v6B0
陆汉东    (2025-12-28 13:27:34)
原计划2025/8/14</s:t>
              </s:r>
            </s:text>
          </item>
        </commentChain>
      </unresolved>
      <resolved/>
    </commentChains>
    <commentChains s:ref="A147" rgbClr="FF0000">
      <unresolved>
        <commentChain chainId="eb22e1f97038b92f0a1c346aa1c9fdf55458fa96">
          <item id="6df76d073466edd54702d6187dc88411d51af310" isNormal="1">
            <s:text>
              <s:r>
                <s:t xml:space="preserve">======
ID#AAABwZ_v6CA
陆汉东    (2025-12-28 13:27:34)
业绩考核责任书7.30</s:t>
              </s:r>
            </s:text>
          </item>
        </commentChain>
      </unresolved>
      <resolved/>
    </commentChains>
    <commentChains s:ref="D147" rgbClr="FF0000">
      <unresolved>
        <commentChain chainId="3075d0c09fdfad3304a25523668ab5c357c30f5c">
          <item id="242ce866410da89fe7c88685f959441a47796e38" isNormal="1">
            <s:text>
              <s:r>
                <s:t xml:space="preserve">======
ID#AAABwZ_v6DQ
陆汉东    (2025-12-28 13:27:34)
2025年12月2日批复</s:t>
              </s:r>
            </s:text>
          </item>
        </commentChain>
      </unresolved>
      <resolved/>
    </commentChains>
    <commentChains s:ref="D148" rgbClr="FF0000">
      <unresolved>
        <commentChain chainId="816e0b86873f154d481ca1ddf33940cc08e3c8f4">
          <item id="1a16f110bb2b4cc4817ea881d5570077004f6e80" isNormal="1">
            <s:text>
              <s:r>
                <s:t xml:space="preserve">======
ID#AAABwZ_v51U
陆汉东    (2025-12-28 13:27:34)
2025年12月2日批复</s:t>
              </s:r>
            </s:text>
          </item>
        </commentChain>
      </unresolved>
      <resolved/>
    </commentChains>
    <commentChains s:ref="AG148" rgbClr="FF0000">
      <unresolved>
        <commentChain chainId="4c6acaa5a628adb3cc693d34d0e68ff153dfb55d">
          <item id="813c62318709f324819b88551daf1cc85f409638" isNormal="1">
            <s:text>
              <s:r>
                <s:t xml:space="preserve">======
ID#AAABwZ_v5x0
陆汉东    (2025-12-28 13:27:34)
衡佳灵</s:t>
              </s:r>
            </s:text>
          </item>
        </commentChain>
      </unresolved>
      <resolved/>
    </commentChains>
    <commentChains s:ref="A149" rgbClr="FF0000">
      <unresolved>
        <commentChain chainId="f2ed9667a8939867829b54b1f0605cab77710b36">
          <item id="a8fe11809d9b46caf6ce067ee8e8c84f3f6c18c8" isNormal="1">
            <s:text>
              <s:r>
                <s:t xml:space="preserve">======
ID#AAABwZ_v6BM
陆汉东    (2025-12-28 13:27:34)
业绩考核责任书12.30</s:t>
              </s:r>
            </s:text>
          </item>
        </commentChain>
      </unresolved>
      <resolved/>
    </commentChains>
    <commentChains s:ref="A150" rgbClr="FF0000">
      <unresolved>
        <commentChain chainId="49da4bae64b87155430e8a6e1825cf0ab5979bdc">
          <item id="2a724a69bf6625626653f327611cf1faf0b97d94" isNormal="1">
            <s:text>
              <s:r>
                <s:t xml:space="preserve">======
ID#AAABwZ_v5xc
陆汉东    (2025-12-28 13:27:34)
业绩考核责任书9.30</s:t>
              </s:r>
            </s:text>
          </item>
        </commentChain>
      </unresolved>
      <resolved/>
    </commentChains>
    <commentChains s:ref="AG150" rgbClr="FF0000">
      <unresolved>
        <commentChain chainId="dc780ba12778188ac2537346616652c6fc6a4189">
          <item id="dc7cda2b3d2244558a0029b65e209ac767803f5c" isNormal="1">
            <s:text>
              <s:r>
                <s:t xml:space="preserve">======
ID#AAABwZ_v6Cg
陆汉东    (2025-12-28 13:27:34)
衡佳灵</s:t>
              </s:r>
            </s:text>
          </item>
        </commentChain>
      </unresolved>
      <resolved/>
    </commentChains>
    <commentChains s:ref="A151" rgbClr="FF0000">
      <unresolved>
        <commentChain chainId="385df68631852cf944614cec0f43cb4144213e9d">
          <item id="479d8212542d3738fd2aa81506f4b7c2cc4602db" isNormal="1">
            <s:text>
              <s:r>
                <s:t xml:space="preserve">======
ID#AAABwZ_v5v4
陆汉东    (2025-12-28 13:27:34)
业绩考核责任书9.30</s:t>
              </s:r>
            </s:text>
          </item>
        </commentChain>
      </unresolved>
      <resolved/>
    </commentChains>
    <commentChains s:ref="A152" rgbClr="FF0000">
      <unresolved>
        <commentChain chainId="3f038b0c807539c47e9d410fafe01bf4a067b3dc">
          <item id="ce094e7f5ab16cb7fae81b77eb9fc92fd366e884" isNormal="1">
            <s:text>
              <s:r>
                <s:t xml:space="preserve">======
ID#AAABwZ_v6C8
陆汉东    (2025-12-28 13:27:34)
业绩考核责任书8.30</s:t>
              </s:r>
            </s:text>
          </item>
        </commentChain>
      </unresolved>
      <resolved/>
    </commentChains>
    <commentChains s:ref="A153" rgbClr="FF0000">
      <unresolved>
        <commentChain chainId="33e6e4c4efea0aecd75281b67da4b3262f4a4db8">
          <item id="5aeccd80f5ee185bcc01eab9ce4e15513f4ec1da" isNormal="1">
            <s:text>
              <s:r>
                <s:t xml:space="preserve">======
ID#AAABwZ_v51w
陆汉东    (2025-12-28 13:27:34)
业绩考核责任书8.30</s:t>
              </s:r>
            </s:text>
          </item>
        </commentChain>
      </unresolved>
      <resolved/>
    </commentChains>
    <commentChains s:ref="AG153" rgbClr="FF0000">
      <unresolved>
        <commentChain chainId="ae89f7453c143b0e1770166d1bb25a9427dfd83c">
          <item id="7d9c153439040a0c1820666b9d99d1fcd6f275b0" isNormal="1">
            <s:text>
              <s:r>
                <s:t xml:space="preserve">======
ID#AAABwZ_v518
陆汉东    (2025-12-28 13:27:34)
衡佳灵</s:t>
              </s:r>
            </s:text>
          </item>
        </commentChain>
      </unresolved>
      <resolved/>
    </commentChains>
    <commentChains s:ref="H162" rgbClr="FF0000">
      <unresolved>
        <commentChain chainId="aeb8b97cb16d682cafadc0419825b851f54a8dc8">
          <item id="e2a4eca98874fcc53032b9d5cabc5308d081b12d" isNormal="1">
            <s:text>
              <s:r>
                <s:t xml:space="preserve">======
ID#AAABwZ_v5xQ
陆汉东    (2025-12-28 13:27:34)
2025年11约12日批复</s:t>
              </s:r>
            </s:text>
          </item>
        </commentChain>
      </unresolved>
      <resolved/>
    </commentChains>
    <commentChains s:ref="AE166" rgbClr="FF0000">
      <unresolved>
        <commentChain chainId="c3d7fe2d3da36226526912e356fda690b628cff2">
          <item id="f36ca8343644aa49fce1906313c540ef8dd0871d" isNormal="1">
            <s:text>
              <s:r>
                <s:t xml:space="preserve">======
ID#AAABwZ_v6Eg
陆汉东    (2025-12-28 13:27:34)
衡佳灵</s:t>
              </s:r>
            </s:text>
          </item>
        </commentChain>
      </unresolved>
      <resolved/>
    </commentChains>
    <commentChains s:ref="AG166" rgbClr="FF0000">
      <unresolved>
        <commentChain chainId="520dd7af8bf8a531e9b296ed3b1d9216ccafbedc">
          <item id="a093a8b45295fc77120301a30b32f01ae704f19e" isNormal="1">
            <s:text>
              <s:r>
                <s:t xml:space="preserve">======
ID#AAABwZ_v6FY
陆汉东    (2025-12-28 13:27:34)
衡佳灵</s:t>
              </s:r>
            </s:text>
          </item>
        </commentChain>
      </unresolved>
      <resolved/>
    </commentChains>
    <commentChains s:ref="BY167" rgbClr="FF0000">
      <unresolved>
        <commentChain chainId="40264b62232cf7b8d64f299cbb4c2c98dc491fca">
          <item id="c8febdc48df51fdc466c7eb8b7bf13383c6fa06b" isNormal="1">
            <s:text>
              <s:r>
                <s:t xml:space="preserve">======
ID#AAABwZ_v5_Q
陆汉东    (2025-12-28 13:27:34)
核减费用的变更</s:t>
              </s:r>
            </s:text>
          </item>
        </commentChain>
      </unresolved>
      <resolved/>
    </commentChains>
    <commentChains s:ref="D168" rgbClr="FF0000">
      <unresolved>
        <commentChain chainId="332811178db73aa9ea188dc17afd73fde1d91a10">
          <item id="66023c6b2e0d2b72fd1c957c7557e979138b1269" isNormal="1">
            <s:text>
              <s:r>
                <s:t xml:space="preserve">======
ID#AAABwZ_v52U
陆汉东    (2025-12-28 13:27:34)
2025年12月19日批复</s:t>
              </s:r>
            </s:text>
          </item>
        </commentChain>
      </unresolved>
      <resolved/>
    </commentChains>
    <commentChains s:ref="BY170" rgbClr="FF0000">
      <unresolved>
        <commentChain chainId="457d6cf3a6dda0370c73ba37242f6b0b6468d345">
          <item id="628aa9e3c6fd24002df756218550aa7d7d66950a" isNormal="1">
            <s:text>
              <s:r>
                <s:t xml:space="preserve">======
ID#AAABwZ_v6Cw
陆汉东    (2025-12-28 13:27:34)
申报变更核减费用，审核后为核增费用</s:t>
              </s:r>
            </s:text>
          </item>
        </commentChain>
      </unresolved>
      <resolved/>
    </commentChains>
  </commentList>
  <commentList sheetStid="8">
    <commentChains s:ref="L3" rgbClr="FF0000">
      <unresolved>
        <commentChain chainId="bc543df2c76d6ecb89fb7407e30c2596ccdd8bf2">
          <item id="c60ec08fa5c6e15a229401a0ac7b142e72c45b26" isNormal="1">
            <s:text>
              <s:r>
                <s:t xml:space="preserve">======
ID#AAABwZ_v56Y
陆汉东    (2025-12-28 13:27:34)
9月6日批复</s:t>
              </s:r>
            </s:text>
          </item>
        </commentChain>
      </unresolved>
      <resolved/>
    </commentChains>
    <commentChains s:ref="AE5" rgbClr="FF0000">
      <unresolved>
        <commentChain chainId="30337bcc7ec0d834a6d91ad73ec9c89f06b9cb8e">
          <item id="0f99c75b3c760a46bf44fb70e7c00135bf408455" isNormal="1">
            <s:text>
              <s:r>
                <s:t xml:space="preserve">======
ID#AAABwZ_v528
陆汉东    (2025-12-28 13:27:34)
衡佳灵</s:t>
              </s:r>
            </s:text>
          </item>
        </commentChain>
      </unresolved>
      <resolved/>
    </commentChains>
    <commentChains s:ref="AG5" rgbClr="FF0000">
      <unresolved>
        <commentChain chainId="83ce43474e5893c696e8fb53cdabb63336365688">
          <item id="c0bdc6e4c38406d29c3551460cec32f2b2286702" isNormal="1">
            <s:text>
              <s:r>
                <s:t xml:space="preserve">======
ID#AAABwZ_v57w
陆汉东    (2025-12-28 13:27:34)
衡佳灵</s:t>
              </s:r>
            </s:text>
          </item>
        </commentChain>
      </unresolved>
      <resolved/>
    </commentChains>
    <commentChains s:ref="H6" rgbClr="FF0000">
      <unresolved>
        <commentChain chainId="dbfc0e51d1370d989f5f31b9e79f807d4c490453">
          <item id="bfeaf8a8110042d7dbedcec074b3e2d4828d74b2" isNormal="1">
            <s:text>
              <s:r>
                <s:t xml:space="preserve">======
ID#AAABwZ_v5_g
陆汉东    (2025-12-28 13:27:34)
2025/2/12批复</s:t>
              </s:r>
            </s:text>
          </item>
        </commentChain>
      </unresolved>
      <resolved/>
    </commentChains>
    <commentChains s:ref="T7" rgbClr="FF0000">
      <unresolved>
        <commentChain chainId="88282ea44d9dd8ad7756518e33712d5300b8275d">
          <item id="d65608d9ed4eaa5d86505d69041bcaf17918a7d2" isNormal="1">
            <s:text>
              <s:r>
                <s:t xml:space="preserve">======
ID#AAABwZ_v5v0
黄小珈    (2025-12-28 13:27:34)
7月29日批复</s:t>
              </s:r>
            </s:text>
          </item>
        </commentChain>
      </unresolved>
      <resolved/>
    </commentChains>
    <commentChains s:ref="AV7" rgbClr="FF0000">
      <unresolved>
        <commentChain chainId="042d5344ba22fffd165f77194e63cec91e23b6ff">
          <item id="d09f5cc5aa9b705c5e1d57f10731b9ff14e764de" isNormal="1">
            <s:text>
              <s:r>
                <s:t xml:space="preserve">======
ID#AAABwZ_v57U
陆汉东    (2025-12-28 13:27:34)
按调整后对应的单项计算</s:t>
              </s:r>
            </s:text>
          </item>
        </commentChain>
      </unresolved>
      <resolved/>
    </commentChains>
    <commentChains s:ref="AX7" rgbClr="FF0000">
      <unresolved>
        <commentChain chainId="7e15e73cae37b6bf2bb5c8382085bcf60feddea8">
          <item id="3440a4dc25e036d2bad9ebb8a2daefcf83e327d6" isNormal="1">
            <s:text>
              <s:r>
                <s:t xml:space="preserve">======
ID#AAABwZ_v6FQ
陆汉东    (2025-12-28 13:27:34)
按调整后对应的单项计算</s:t>
              </s:r>
            </s:text>
          </item>
        </commentChain>
      </unresolved>
      <resolved/>
    </commentChains>
    <commentChains s:ref="A8" rgbClr="FF0000">
      <unresolved>
        <commentChain chainId="40a73c9383602d347433675cc13e722f601645f8">
          <item id="077f9272b738491c9d8e073211e78e859c98190b" isNormal="1">
            <s:text>
              <s:r>
                <s:t xml:space="preserve">======
ID#AAABwZ_v6Ak
陆汉东    (2025-12-28 13:27:34)
地铁项目</s:t>
              </s:r>
            </s:text>
          </item>
        </commentChain>
      </unresolved>
      <resolved/>
    </commentChains>
    <commentChains s:ref="AG10" rgbClr="FF0000">
      <unresolved>
        <commentChain chainId="b3275d695ad8b8c79bc171156b24d6283687ddde">
          <item id="67e0003305bebae90d125c585780e776b2416545" isNormal="1">
            <s:text>
              <s:r>
                <s:t xml:space="preserve">======
ID#AAABwZ_v5xI
陆汉东    (2025-12-28 13:27:34)
衡佳灵</s:t>
              </s:r>
            </s:text>
          </item>
        </commentChain>
      </unresolved>
      <resolved/>
    </commentChains>
    <commentChains s:ref="L13" rgbClr="FF0000">
      <unresolved>
        <commentChain chainId="b2f8ddc18aeb1f405e763abc3eaaa53913515f21">
          <item id="b8677863494074b40ccc33b622f25a7c7fd9d2fe" isNormal="1">
            <s:text>
              <s:r>
                <s:t xml:space="preserve">======
ID#AAABwZ_v6BA
陆汉东    (2025-12-28 13:27:34)
2025年11月7日批复</s:t>
              </s:r>
            </s:text>
          </item>
        </commentChain>
      </unresolved>
      <resolved/>
    </commentChains>
    <commentChains s:ref="T15" rgbClr="FF0000">
      <unresolved>
        <commentChain chainId="8380feb5ba231999d7e16c024c79945f50258422">
          <item id="07687367e740462d60b86b49ded8a897c580496b" isNormal="1">
            <s:text>
              <s:r>
                <s:t xml:space="preserve">======
ID#AAABwZ_v55E
黄小珈    (2025-12-28 13:27:34)
7月29日批复</s:t>
              </s:r>
            </s:text>
          </item>
        </commentChain>
      </unresolved>
      <resolved/>
    </commentChains>
    <commentChains s:ref="T16" rgbClr="FF0000">
      <unresolved>
        <commentChain chainId="1c9ecad39c96d28dcf063155f877343c67012a69">
          <item id="4e92cfe4c083711d008325cd490061dc574ac9f9" isNormal="1">
            <s:text>
              <s:r>
                <s:t xml:space="preserve">======
ID#AAABwZ_v5zA
陆汉东    (2025-12-28 13:27:34)
8月28日批复</s:t>
              </s:r>
            </s:text>
          </item>
        </commentChain>
      </unresolved>
      <resolved/>
    </commentChains>
    <commentChains s:ref="T23" rgbClr="FF0000">
      <unresolved>
        <commentChain chainId="be73944885131ea48898f80df99201c133485ea7">
          <item id="771ed3d9c4dd10214863187302c49827749067c5" isNormal="1">
            <s:text>
              <s:r>
                <s:t xml:space="preserve">======
ID#AAABwZ_v5_I
陆汉东    (2025-12-28 13:27:34)
7月24日批复</s:t>
              </s:r>
            </s:text>
          </item>
        </commentChain>
      </unresolved>
      <resolved/>
    </commentChains>
    <commentChains s:ref="T24" rgbClr="FF0000">
      <unresolved>
        <commentChain chainId="d1406e05552ace13675d30c926c38c47b593327a">
          <item id="0490826ddecb66386d471489fbfe409d4c17e606" isNormal="1">
            <s:text>
              <s:r>
                <s:t xml:space="preserve">======
ID#AAABwZ_v5_k
陆汉东    (2025-12-28 13:27:34)
6月27日批复</s:t>
              </s:r>
            </s:text>
          </item>
        </commentChain>
      </unresolved>
      <resolved/>
    </commentChains>
    <commentChains s:ref="T27" rgbClr="FF0000">
      <unresolved>
        <commentChain chainId="9310c0f27f12cf666dd29eba3cbbfb5ef60010fe">
          <item id="3a772299c1b146482b0769c9af8a21695534e307" isNormal="1">
            <s:text>
              <s:r>
                <s:t xml:space="preserve">======
ID#AAABwZ_v55k
黄小珈    (2025-12-28 13:27:34)
8月15日批复。</s:t>
              </s:r>
            </s:text>
          </item>
        </commentChain>
      </unresolved>
      <resolved/>
    </commentChains>
    <commentChains s:ref="AH27" rgbClr="FF0000">
      <unresolved>
        <commentChain chainId="40a67c6152dd35cf5c1758c0056dd1a95b7222fe">
          <item id="e2b844ee5a204df55b27ff822fc86d359b121671" isNormal="1">
            <s:text>
              <s:r>
                <s:t xml:space="preserve">======
ID#AAABwZ_v5_w
陆汉东    (2025-12-28 13:27:34)
1700.53</s:t>
              </s:r>
            </s:text>
          </item>
        </commentChain>
      </unresolved>
      <resolved/>
    </commentChains>
    <commentChains s:ref="AJ27" rgbClr="FF0000">
      <unresolved>
        <commentChain chainId="30f8a91297a1f1d248d2dff58a41a7264ea3bb04">
          <item id="49159e85720dd3f19abaec6d3abb811cc16de0f1" isNormal="1">
            <s:text>
              <s:r>
                <s:t xml:space="preserve">======
ID#AAABwZ_v6E4
陆汉东    (2025-12-28 13:27:34)
1671.34</s:t>
              </s:r>
            </s:text>
          </item>
        </commentChain>
      </unresolved>
      <resolved/>
    </commentChains>
    <commentChains s:ref="T28" rgbClr="FF0000">
      <unresolved>
        <commentChain chainId="6d99d80718118f9585102848a512de858e44f22f">
          <item id="35ae53225c3ee0200410b9c0c94c118c7e301bfa" isNormal="1">
            <s:text>
              <s:r>
                <s:t xml:space="preserve">======
ID#AAABwZ_v50U
陆汉东    (2025-12-28 13:27:34)
10月28日批复</s:t>
              </s:r>
            </s:text>
          </item>
        </commentChain>
      </unresolved>
      <resolved/>
    </commentChains>
    <commentChains s:ref="H29" rgbClr="FF0000">
      <unresolved>
        <commentChain chainId="3021b3b2694ba846b0da2ecc0c1f2013f0c10792">
          <item id="ebcbf8f1e75c39f44c1a9c118ed9793238d0c06e" isNormal="1">
            <s:text>
              <s:r>
                <s:t xml:space="preserve">======
ID#AAABwZ_v6A0
陆汉东    (2025-12-28 13:27:34)
3月20日批复</s:t>
              </s:r>
            </s:text>
          </item>
        </commentChain>
      </unresolved>
      <resolved/>
    </commentChains>
    <commentChains s:ref="T29" rgbClr="FF0000">
      <unresolved>
        <commentChain chainId="f87dbd3469aa20b31482e668cae2cae89b52aa2b">
          <item id="9f0e7b5bee4a652d1de5fc72a357031254a8154e" isNormal="1">
            <s:text>
              <s:r>
                <s:t xml:space="preserve">======
ID#AAABwZ_v56o
陆汉东    (2025-12-28 13:27:34)
11月1日批复</s:t>
              </s:r>
            </s:text>
          </item>
        </commentChain>
      </unresolved>
      <resolved/>
    </commentChains>
    <commentChains s:ref="L31" rgbClr="FF0000">
      <unresolved>
        <commentChain chainId="d6c7b458c70967289882151300199aef66f4757a">
          <item id="0ee74b897f2f76b1d16f453274ec89418f73366e" isNormal="1">
            <s:text>
              <s:r>
                <s:t xml:space="preserve">======
ID#AAABwZ_v5zo
陆汉东    (2025-12-28 13:27:34)
6月27日批复</s:t>
              </s:r>
            </s:text>
          </item>
        </commentChain>
      </unresolved>
      <resolved/>
    </commentChains>
    <commentChains s:ref="D32" rgbClr="FF0000">
      <unresolved>
        <commentChain chainId="87c68ac58654d07e79b68f897879e383dc26750a">
          <item id="382a91a07d725d881c85a7aa8cc3e88fce2f5bb8" isNormal="1">
            <s:text>
              <s:r>
                <s:t xml:space="preserve">======
ID#AAABwZ_v6Ek
陆汉东    (2025-12-28 13:27:34)
4月12日批复</s:t>
              </s:r>
            </s:text>
          </item>
        </commentChain>
      </unresolved>
      <resolved/>
    </commentChains>
    <commentChains s:ref="T32" rgbClr="FF0000">
      <unresolved>
        <commentChain chainId="78f856632303bc5163af5f2d8b03d5b79b1c09de">
          <item id="51392aa6385d2ed31f6432cda5732a43f15e268a" isNormal="1">
            <s:text>
              <s:r>
                <s:t xml:space="preserve">======
ID#AAABwZ_v5-k
陆汉东    (2025-12-28 13:27:34)
11月21日批复
陆汉东:
11月29日批复</s:t>
              </s:r>
            </s:text>
          </item>
        </commentChain>
      </unresolved>
      <resolved/>
    </commentChains>
    <commentChains s:ref="D33" rgbClr="FF0000">
      <unresolved>
        <commentChain chainId="1af7b2869e12a99d19e6c0db22a8ef61c7f8dcd7">
          <item id="de7e09e43e6aba270e0de923a1e7deacb408280b" isNormal="1">
            <s:text>
              <s:r>
                <s:t xml:space="preserve">======
ID#AAABwZ_v574
陆汉东    (2025-12-28 13:27:34)
5月16日批复</s:t>
              </s:r>
            </s:text>
          </item>
        </commentChain>
      </unresolved>
      <resolved/>
    </commentChains>
    <commentChains s:ref="L33" rgbClr="FF0000">
      <unresolved>
        <commentChain chainId="0c7f539ffc0c3cd90d4561629b53e32302fa6fae">
          <item id="f7bc937b31b5afc7de18b12c10d264dca0b67872" isNormal="1">
            <s:text>
              <s:r>
                <s:t xml:space="preserve">======
ID#AAABwZ_v6FM
陆汉东    (2025-12-28 13:27:34)
8月26日批复</s:t>
              </s:r>
            </s:text>
          </item>
        </commentChain>
      </unresolved>
      <resolved/>
    </commentChains>
    <commentChains s:ref="AE34" rgbClr="FF0000">
      <unresolved>
        <commentChain chainId="1462b268b2c71772630f5f64d842b6840efd4eaf">
          <item id="0396462ab44dfd11e6c698017ec047f59b1b0cff" isNormal="1">
            <s:text>
              <s:r>
                <s:t xml:space="preserve">======
ID#AAABwZ_v55M
陆汉东    (2025-12-28 13:27:34)
衡佳灵</s:t>
              </s:r>
            </s:text>
          </item>
        </commentChain>
      </unresolved>
      <resolved/>
    </commentChains>
    <commentChains s:ref="AG34" rgbClr="FF0000">
      <unresolved>
        <commentChain chainId="a3ec270c6ad35f135fb34460fbf424ade34a3ccb">
          <item id="a8000f895bb813e8eff5a0fbe62d19724dc049cd" isNormal="1">
            <s:text>
              <s:r>
                <s:t xml:space="preserve">======
ID#AAABwZ_v57Y
陆汉东    (2025-12-28 13:27:34)
衡佳灵</s:t>
              </s:r>
            </s:text>
          </item>
        </commentChain>
      </unresolved>
      <resolved/>
    </commentChains>
    <commentChains s:ref="H35" rgbClr="FF0000">
      <unresolved>
        <commentChain chainId="6f7aaaecd28ad046d9cdce5c7cce76941065acb5">
          <item id="9896509bf6f4804b0abfdd20c9e6a09754ae23d7" isNormal="1">
            <s:text>
              <s:r>
                <s:t xml:space="preserve">======
ID#AAABwZ_v54U
陆汉东    (2025-12-28 13:27:34)
6月20日批复</s:t>
              </s:r>
            </s:text>
          </item>
        </commentChain>
      </unresolved>
      <resolved/>
    </commentChains>
    <commentChains s:ref="L35" rgbClr="FF0000">
      <unresolved>
        <commentChain chainId="e87ad44bf082d36c1f1fd019d267e8d2f82dcbe2">
          <item id="6448a9654ea0a8c3d16e791916375732d093a9ee" isNormal="1">
            <s:text>
              <s:r>
                <s:t xml:space="preserve">======
ID#AAABwZ_v6BU
黄小珈    (2025-12-28 13:27:34)
7月31日批复</s:t>
              </s:r>
            </s:text>
          </item>
        </commentChain>
      </unresolved>
      <resolved/>
    </commentChains>
    <commentChains s:ref="T35" rgbClr="FF0000">
      <unresolved>
        <commentChain chainId="c5202d889102f9e7d3ed2e804bc81e4bcf54e555">
          <item id="e80ea26a7f2e9e07c0721c379d82120847a21ad8" isNormal="1">
            <s:text>
              <s:r>
                <s:t xml:space="preserve">======
ID#AAABwZ_v5-c
陆汉东    (2025-12-28 13:27:34)
9月27日批复</s:t>
              </s:r>
            </s:text>
          </item>
        </commentChain>
      </unresolved>
      <resolved/>
    </commentChains>
    <commentChains s:ref="L36" rgbClr="FF0000">
      <unresolved>
        <commentChain chainId="f595b90cf40976832de32c1365335049424f8ad8">
          <item id="f5c059c51340c2168d91457e6e559712262e9d6e" isNormal="1">
            <s:text>
              <s:r>
                <s:t xml:space="preserve">======
ID#AAABwZ_v5vs
黄小珈    (2025-12-28 13:27:34)
8月12日批复</s:t>
              </s:r>
            </s:text>
          </item>
        </commentChain>
      </unresolved>
      <resolved/>
    </commentChains>
    <commentChains s:ref="T36" rgbClr="FF0000">
      <unresolved>
        <commentChain chainId="45cf3a066480cfb2b9aca6f4bb10d684ef25686c">
          <item id="122fb71bdde27c46a5ff8971a0c1640f9ccf6541" isNormal="1">
            <s:text>
              <s:r>
                <s:t xml:space="preserve">======
ID#AAABwZ_v5zY
陆汉东    (2025-12-28 13:27:34)
11月26日批复</s:t>
              </s:r>
            </s:text>
          </item>
        </commentChain>
      </unresolved>
      <resolved/>
    </commentChains>
    <commentChains s:ref="L37" rgbClr="FF0000">
      <unresolved>
        <commentChain chainId="ddb403701e2cafa8f4e0dbe9f6a922415f4a3733">
          <item id="232682642e83390acb71bf6af8e1d01e62c5ab53" isNormal="1">
            <s:text>
              <s:r>
                <s:t xml:space="preserve">======
ID#AAABwZ_v5_Y
陆汉东    (2025-12-28 13:27:34)
8月26日批复</s:t>
              </s:r>
            </s:text>
          </item>
        </commentChain>
      </unresolved>
      <resolved/>
    </commentChains>
    <commentChains s:ref="T37" rgbClr="FF0000">
      <unresolved>
        <commentChain chainId="54eca9a754447d88709def5bf0a5c9116a0a8643">
          <item id="e0bfdd3b9c3321b8483d68b498e4bad171961c9a" isNormal="1">
            <s:text>
              <s:r>
                <s:t xml:space="preserve">======
ID#AAABwZ_v54E
陆汉东    (2025-12-28 13:27:34)
12月10日批复</s:t>
              </s:r>
            </s:text>
          </item>
        </commentChain>
      </unresolved>
      <resolved/>
    </commentChains>
    <commentChains s:ref="L38" rgbClr="FF0000">
      <unresolved>
        <commentChain chainId="abdfffe2fd59bfe724d90098ae2f5a2976ce5f19">
          <item id="961b81e78a95e6ae85c0004027e35c9d0e59e3a8" isNormal="1">
            <s:text>
              <s:r>
                <s:t xml:space="preserve">======
ID#AAABwZ_v6B4
陆汉东    (2025-12-28 13:27:34)
8月30日批复</s:t>
              </s:r>
            </s:text>
          </item>
        </commentChain>
      </unresolved>
      <resolved/>
    </commentChains>
    <commentChains s:ref="AG39" rgbClr="FF0000">
      <unresolved>
        <commentChain chainId="c7220f5f38ec771ca08b5e2c6370d57b7173dab0">
          <item id="757c75a37beb5613b8c6f1614f3ad135f39fe4cd" isNormal="1">
            <s:text>
              <s:r>
                <s:t xml:space="preserve">======
ID#AAABwZ_v5-U
陆汉东    (2025-12-28 13:27:34)
衡佳灵</s:t>
              </s:r>
            </s:text>
          </item>
        </commentChain>
      </unresolved>
      <resolved/>
    </commentChains>
    <commentChains s:ref="D40" rgbClr="FF0000">
      <unresolved>
        <commentChain chainId="b2317fc57b8d3aedfe11d97709cc6c48084a90f2">
          <item id="6f2d4f02dbf5b2b1decdd25336afdb17cf1d698c" isNormal="1">
            <s:text>
              <s:r>
                <s:t xml:space="preserve">======
ID#AAABwZ_v50Y
陆汉东    (2025-12-28 13:27:34)
5月29日批复</s:t>
              </s:r>
            </s:text>
          </item>
        </commentChain>
      </unresolved>
      <resolved/>
    </commentChains>
    <commentChains s:ref="L40" rgbClr="FF0000">
      <unresolved>
        <commentChain chainId="04131bed9a6e9158c6ee16c805e9d11e2b023f7f">
          <item id="b4ab883022cb021c4b2b0f4e6083eb29eb5efaa1" isNormal="1">
            <s:text>
              <s:r>
                <s:t xml:space="preserve">======
ID#AAABwZ_v5wg
陆汉东    (2025-12-28 13:27:34)
9月27日批复</s:t>
              </s:r>
            </s:text>
          </item>
        </commentChain>
      </unresolved>
      <resolved/>
    </commentChains>
    <commentChains s:ref="D41" rgbClr="FF0000">
      <unresolved>
        <commentChain chainId="623e8a97ec21053abfda861a15374fce598988fe">
          <item id="191a012a116fdab0f85a04d9ed754ffc4098138b" isNormal="1">
            <s:text>
              <s:r>
                <s:t xml:space="preserve">======
ID#AAABwZ_v56c
陆汉东    (2025-12-28 13:27:34)
7月18日批复</s:t>
              </s:r>
            </s:text>
          </item>
        </commentChain>
      </unresolved>
      <resolved/>
    </commentChains>
    <commentChains s:ref="L41" rgbClr="FF0000">
      <unresolved>
        <commentChain chainId="efb469a6653f48cb072fa3fde7224f0660d451e3">
          <item id="1ff3db75733ebf8faf3e8ff0ab9b0183dbf665a9" isNormal="1">
            <s:text>
              <s:r>
                <s:t xml:space="preserve">======
ID#AAABwZ_v59M
陆汉东    (2025-12-28 13:27:34)
9月18日批复</s:t>
              </s:r>
            </s:text>
          </item>
        </commentChain>
      </unresolved>
      <resolved/>
    </commentChains>
    <commentChains s:ref="D43" rgbClr="FF0000">
      <unresolved>
        <commentChain chainId="87ae0cd56752d9952f860f2c91850d296f9abe2c">
          <item id="30195b2c4036c5bf07e6cd8257dd87d4b5f92382" isNormal="1">
            <s:text>
              <s:r>
                <s:t xml:space="preserve">======
ID#AAABwZ_v5z0
陆汉东    (2025-12-28 13:27:34)
5月7日批复</s:t>
              </s:r>
            </s:text>
          </item>
        </commentChain>
      </unresolved>
      <resolved/>
    </commentChains>
    <commentChains s:ref="L43" rgbClr="FF0000">
      <unresolved>
        <commentChain chainId="f2a7c67bbd51102ee6715f6271a43f3c52e500ce">
          <item id="b882bd9a524176497fe8e5e7f5e8f699bbef6ca3" isNormal="1">
            <s:text>
              <s:r>
                <s:t xml:space="preserve">======
ID#AAABwZ_v504
陆汉东    (2025-12-28 13:27:34)
10月8日批复</s:t>
              </s:r>
            </s:text>
          </item>
        </commentChain>
      </unresolved>
      <resolved/>
    </commentChains>
    <commentChains s:ref="D44" rgbClr="FF0000">
      <unresolved>
        <commentChain chainId="6e84319048e1831415a11b3644caa9702a44bc15">
          <item id="7ef9eb425649fe09fb5a55867725a5e0c1fdb226" isNormal="1">
            <s:text>
              <s:r>
                <s:t xml:space="preserve">======
ID#AAABwZ_v6AE
陆汉东    (2025-12-28 13:27:34)
5月6日批复</s:t>
              </s:r>
            </s:text>
          </item>
        </commentChain>
      </unresolved>
      <resolved/>
    </commentChains>
    <commentChains s:ref="L44" rgbClr="FF0000">
      <unresolved>
        <commentChain chainId="23bf1b3007f5c5b0af95e11f3553d560d85e0770">
          <item id="076234d712eb052bdb9f54ca1705e448f0117ebc" isNormal="1">
            <s:text>
              <s:r>
                <s:t xml:space="preserve">======
ID#AAABwZ_v5_U
陆汉东    (2025-12-28 13:27:34)
10月9日批复</s:t>
              </s:r>
            </s:text>
          </item>
        </commentChain>
      </unresolved>
      <resolved/>
    </commentChains>
    <commentChains s:ref="D45" rgbClr="FF0000">
      <unresolved>
        <commentChain chainId="94f23fd1c38d43f6332910c2b1dc4fd02b70fd33">
          <item id="811ef3ba0af4d614486a7d5cc2b4abf1454275f8" isNormal="1">
            <s:text>
              <s:r>
                <s:t xml:space="preserve">======
ID#AAABwZ_v52o
陆汉东    (2025-12-28 13:27:34)
5月27日批复</s:t>
              </s:r>
            </s:text>
          </item>
        </commentChain>
      </unresolved>
      <resolved/>
    </commentChains>
    <commentChains s:ref="L47" rgbClr="FF0000">
      <unresolved>
        <commentChain chainId="75937f274f37cc342fa98c634d39bb208e3c6a4a">
          <item id="7e39d23ca42f1bdc5c1392402325d6901c0230a0" isNormal="1">
            <s:text>
              <s:r>
                <s:t xml:space="preserve">======
ID#AAABwZ_v59c
陆汉东    (2025-12-28 13:27:34)
11月1日批复</s:t>
              </s:r>
            </s:text>
          </item>
        </commentChain>
      </unresolved>
      <resolved/>
    </commentChains>
    <commentChains s:ref="D48" rgbClr="FF0000">
      <unresolved>
        <commentChain chainId="528b0cffd298848f4f8436a7bd4e380af2753b89">
          <item id="5f6d889e22d3dab694c0e5212250b4695e69c521" isNormal="1">
            <s:text>
              <s:r>
                <s:t xml:space="preserve">======
ID#AAABwZ_v6Bk
陆汉东    (2025-12-28 13:27:34)
6月3日批复</s:t>
              </s:r>
            </s:text>
          </item>
        </commentChain>
      </unresolved>
      <resolved/>
    </commentChains>
    <commentChains s:ref="D49" rgbClr="FF0000">
      <unresolved>
        <commentChain chainId="0d6305fea32133687acca49a1f3a2364279b6995">
          <item id="d1dde3d4f7427e96cf6a109212e109a8048b58e2" isNormal="1">
            <s:text>
              <s:r>
                <s:t xml:space="preserve">======
ID#AAABwZ_v5x8
陆汉东    (2025-12-28 13:27:34)
6月27日批复</s:t>
              </s:r>
            </s:text>
          </item>
        </commentChain>
      </unresolved>
      <resolved/>
    </commentChains>
    <commentChains s:ref="L49" rgbClr="FF0000">
      <unresolved>
        <commentChain chainId="32ac70aa3cc2fdea91c302c4d1313b08f2180afa">
          <item id="20e4bb840b179a75288fc02e11719d5b5c0eb37f" isNormal="1">
            <s:text>
              <s:r>
                <s:t xml:space="preserve">======
ID#AAABwZ_v598
陆汉东    (2025-12-28 13:27:34)
11月25日批复</s:t>
              </s:r>
            </s:text>
          </item>
        </commentChain>
      </unresolved>
      <resolved/>
    </commentChains>
    <commentChains s:ref="L50" rgbClr="FF0000">
      <unresolved>
        <commentChain chainId="a3d1276916a888574f5b78b845f53ad2484b311d">
          <item id="29cd2a224045327c040806a26b33ae5250d59e18" isNormal="1">
            <s:text>
              <s:r>
                <s:t xml:space="preserve">======
ID#AAABwZ_v6E8
陆汉东    (2025-12-28 13:27:34)
10月16日批复</s:t>
              </s:r>
            </s:text>
          </item>
        </commentChain>
      </unresolved>
      <resolved/>
    </commentChains>
    <commentChains s:ref="A54" rgbClr="FF0000">
      <unresolved>
        <commentChain chainId="bcdf85d6cca90dfa746c596157799d139a438223">
          <item id="5e05782dfb7e23118bd56d92b470c989fca4a880" isNormal="1">
            <s:text>
              <s:r>
                <s:t xml:space="preserve">======
ID#AAABwZ_v5wc
陆汉东    (2025-12-28 13:27:34)
初设完成一期工程评审</s:t>
              </s:r>
            </s:text>
          </item>
        </commentChain>
      </unresolved>
      <resolved/>
    </commentChains>
    <commentChains s:ref="D54" rgbClr="FF0000">
      <unresolved>
        <commentChain chainId="84f41c6d4894729a0ca892959dc4009b03fae6e8">
          <item id="819ec55894921f1373b6cde8c3055cabf1080b04" isNormal="1">
            <s:text>
              <s:r>
                <s:t xml:space="preserve">======
ID#AAABwZ_v6A8
陆汉东    (2025-12-28 13:27:34)
6月27日批复</s:t>
              </s:r>
            </s:text>
          </item>
        </commentChain>
      </unresolved>
      <resolved/>
    </commentChains>
    <commentChains s:ref="D57" rgbClr="FF0000">
      <unresolved>
        <commentChain chainId="60bef84e60abfcdcbccc804c331e6d293be822ac">
          <item id="f29aea99e801c5a8e39fbd54b4e5862fcb124b11" isNormal="1">
            <s:text>
              <s:r>
                <s:t xml:space="preserve">======
ID#AAABwZ_v53Q
陆汉东    (2025-12-28 13:27:34)
7月19日批复</s:t>
              </s:r>
            </s:text>
          </item>
        </commentChain>
      </unresolved>
      <resolved/>
    </commentChains>
    <commentChains s:ref="L57" rgbClr="FF0000">
      <unresolved>
        <commentChain chainId="91b5e4d1c9f945e030536bfdfeb51ddf504b8cda">
          <item id="5a7bd665b1b90cfb688b198d3a977920d693a381" isNormal="1">
            <s:text>
              <s:r>
                <s:t xml:space="preserve">======
ID#AAABwZ_v51o
陆汉东    (2025-12-28 13:27:34)
11月12日批复</s:t>
              </s:r>
            </s:text>
          </item>
        </commentChain>
      </unresolved>
      <resolved/>
    </commentChains>
    <commentChains s:ref="D58" rgbClr="FF0000">
      <unresolved>
        <commentChain chainId="28464744d9a58e6dab87d023446cf30b7d86636e">
          <item id="25e6ca468fb70b09e9692deaabd93a9c0c9e15c2" isNormal="1">
            <s:text>
              <s:r>
                <s:t xml:space="preserve">======
ID#AAABwZ_v50M
陆汉东    (2025-12-28 13:27:34)
3月28日批复</s:t>
              </s:r>
            </s:text>
          </item>
        </commentChain>
      </unresolved>
      <resolved/>
    </commentChains>
    <commentChains s:ref="D59" rgbClr="FF0000">
      <unresolved>
        <commentChain chainId="5032400cebf66c89866bcb42334ff1b42c176a67">
          <item id="e63517bec6fbf61278d56e56865ed774add06387" isNormal="1">
            <s:text>
              <s:r>
                <s:t xml:space="preserve">======
ID#AAABwZ_v55Q
陆汉东    (2025-12-28 13:27:34)
6月5日批复</s:t>
              </s:r>
            </s:text>
          </item>
        </commentChain>
      </unresolved>
      <resolved/>
    </commentChains>
    <commentChains s:ref="D60" rgbClr="FF0000">
      <unresolved>
        <commentChain chainId="d186e64eab4068da528fa143dfacc850aa58ac2c">
          <item id="b915e36a7d8a32aa144bb8ca7ac41d69121359e8" isNormal="1">
            <s:text>
              <s:r>
                <s:t xml:space="preserve">======
ID#AAABwZ_v6BQ
陆汉东    (2025-12-28 13:27:34)
11月29日批复</s:t>
              </s:r>
            </s:text>
          </item>
        </commentChain>
      </unresolved>
      <resolved/>
    </commentChains>
    <commentChains s:ref="D61" rgbClr="FF0000">
      <unresolved>
        <commentChain chainId="efaff02ceb706da0aca7036aad0958263ca32878">
          <item id="93f9f8d73285c00d40bf18fe0106bddad508b5de" isNormal="1">
            <s:text>
              <s:r>
                <s:t xml:space="preserve">======
ID#AAABwZ_v5xs
陆汉东    (2025-12-28 13:27:34)
5月7日批复</s:t>
              </s:r>
            </s:text>
          </item>
        </commentChain>
      </unresolved>
      <resolved/>
    </commentChains>
    <commentChains s:ref="L61" rgbClr="FF0000">
      <unresolved>
        <commentChain chainId="4958693cbce36d841b9902d1582b70d0b792ccaa">
          <item id="6dd704817f7a8dc3bf18945e601bc4f08f30668c" isNormal="1">
            <s:text>
              <s:r>
                <s:t xml:space="preserve">======
ID#AAABwZ_v5-0
陆汉东    (2025-12-28 13:27:34)
11月14日批复</s:t>
              </s:r>
            </s:text>
          </item>
        </commentChain>
      </unresolved>
      <resolved/>
    </commentChains>
    <commentChains s:ref="AG62" rgbClr="FF0000">
      <unresolved>
        <commentChain chainId="a0882e2f414fa3575ed2dd68c8224a0d6f6e87c3">
          <item id="18260722d0744949bd68115f06553728146acf19" isNormal="1">
            <s:text>
              <s:r>
                <s:t xml:space="preserve">======
ID#AAABwZ_v50k
陆汉东    (2025-12-28 13:27:34)
衡佳灵</s:t>
              </s:r>
            </s:text>
          </item>
        </commentChain>
      </unresolved>
      <resolved/>
    </commentChains>
    <commentChains s:ref="D64" rgbClr="FF0000">
      <unresolved>
        <commentChain chainId="36f16aa0a1b8e3facb7886426ed930f1637aabcf">
          <item id="a288c985dfa3ec0d86fe14222c2347492ac802e3" isNormal="1">
            <s:text>
              <s:r>
                <s:t xml:space="preserve">======
ID#AAABwZ_v6AI
陆汉东    (2025-12-28 13:27:34)
7月3日批复</s:t>
              </s:r>
            </s:text>
          </item>
        </commentChain>
      </unresolved>
      <resolved/>
    </commentChains>
    <commentChains s:ref="L64" rgbClr="FF0000">
      <unresolved>
        <commentChain chainId="4b56635a785f8e940c29a61e2f612dd86b8746b4">
          <item id="e8e5e566cb5554b56df7ed992bbe14135b201fad" isNormal="1">
            <s:text>
              <s:r>
                <s:t xml:space="preserve">======
ID#AAABwZ_v6Fc
陆汉东    (2025-12-28 13:27:34)
11月14日批复</s:t>
              </s:r>
            </s:text>
          </item>
        </commentChain>
      </unresolved>
      <resolved/>
    </commentChains>
    <commentChains s:ref="P64" rgbClr="FF0000">
      <unresolved>
        <commentChain chainId="c988c153942916b71e94324deedc0664f45b7c1d">
          <item id="adee298e60b2b954590e616339eed1ed6b7cb07a" isNormal="1">
            <s:text>
              <s:r>
                <s:t xml:space="preserve">======
ID#AAABwZ_v6EM
陆汉东    (2025-12-28 13:27:34)
11月14日批复</s:t>
              </s:r>
            </s:text>
          </item>
        </commentChain>
      </unresolved>
      <resolved/>
    </commentChains>
    <commentChains s:ref="D65" rgbClr="FF0000">
      <unresolved>
        <commentChain chainId="9f4a60c5f0efb8a7476c1f46acb0ecdd40844af8">
          <item id="b09602a2639012565ecb38352fab3c44ef18a206" isNormal="1">
            <s:text>
              <s:r>
                <s:t xml:space="preserve">======
ID#AAABwZ_v51I
陆汉东    (2025-12-28 13:27:34)
7月23日批复</s:t>
              </s:r>
            </s:text>
          </item>
        </commentChain>
      </unresolved>
      <resolved/>
    </commentChains>
    <commentChains s:ref="D66" rgbClr="FF0000">
      <unresolved>
        <commentChain chainId="fda58fe9e9be565cee6aba1cb9defbd127ddfcd7">
          <item id="4739e6141d6609f5d0139b0f1600f8bf19bb87ef" isNormal="1">
            <s:text>
              <s:r>
                <s:t xml:space="preserve">======
ID#AAABwZ_v6Eo
陆汉东    (2025-12-28 13:27:34)
8月28日批复</s:t>
              </s:r>
            </s:text>
          </item>
        </commentChain>
      </unresolved>
      <resolved/>
    </commentChains>
    <commentChains s:ref="D67" rgbClr="FF0000">
      <unresolved>
        <commentChain chainId="762f7818e0b1b27c1d6a6f6b78cba87542fd7714">
          <item id="23f1ea1fdf0642b61063f1f2e24e235398d70596" isNormal="1">
            <s:text>
              <s:r>
                <s:t xml:space="preserve">======
ID#AAABwZ_v55Y
陆汉东    (2025-12-28 13:27:34)
8月28日批复</s:t>
              </s:r>
            </s:text>
          </item>
        </commentChain>
      </unresolved>
      <resolved/>
    </commentChains>
    <commentChains s:ref="D68" rgbClr="FF0000">
      <unresolved>
        <commentChain chainId="0063d143a5eb655caf9f5e7f4cd716fa675fcc15">
          <item id="58f03ac9592443b968b7e8fd4e4be29321b76d30" isNormal="1">
            <s:text>
              <s:r>
                <s:t xml:space="preserve">======
ID#AAABwZ_v54c
陆汉东    (2025-12-28 13:27:34)
9月19日批复</s:t>
              </s:r>
            </s:text>
          </item>
        </commentChain>
      </unresolved>
      <resolved/>
    </commentChains>
    <commentChains s:ref="D69" rgbClr="FF0000">
      <unresolved>
        <commentChain chainId="6f325af698f1a8fadbd1177988aeff19f64d3aae">
          <item id="1c8a1b7835021c2ece758d2a549345cb72c305fd" isNormal="1">
            <s:text>
              <s:r>
                <s:t xml:space="preserve">======
ID#AAABwZ_v584
陆汉东    (2025-12-28 13:27:34)
8月6日批复</s:t>
              </s:r>
            </s:text>
          </item>
        </commentChain>
      </unresolved>
      <resolved/>
    </commentChains>
    <commentChains s:ref="D70" rgbClr="FF0000">
      <unresolved>
        <commentChain chainId="5f2d341d7668379d3e60b25e2028b0c8540b6a31">
          <item id="584f39a734859159feefd685b968081b6b851eb1" isNormal="1">
            <s:text>
              <s:r>
                <s:t xml:space="preserve">======
ID#AAABwZ_v55I
陆汉东    (2025-12-28 13:27:34)
9月19日批复</s:t>
              </s:r>
            </s:text>
          </item>
        </commentChain>
      </unresolved>
      <resolved/>
    </commentChains>
    <commentChains s:ref="D71" rgbClr="FF0000">
      <unresolved>
        <commentChain chainId="1769877b54f53d5b72b3120032ba44096d46e9cd">
          <item id="616165943a55bf679e07bf862d6970f01c0c3c8d" isNormal="1">
            <s:text>
              <s:r>
                <s:t xml:space="preserve">======
ID#AAABwZ_v58w
陆汉东    (2025-12-28 13:27:34)
9月10日批复</s:t>
              </s:r>
            </s:text>
          </item>
        </commentChain>
      </unresolved>
      <resolved/>
    </commentChains>
    <commentChains s:ref="D72" rgbClr="FF0000">
      <unresolved>
        <commentChain chainId="5bb0ae3f8c094613b1c446d1a201ac3ce98f41a7">
          <item id="ceb7e9cd820f21706a4488119588c3c091f3192c" isNormal="1">
            <s:text>
              <s:r>
                <s:t xml:space="preserve">======
ID#AAABwZ_v5_o
陆汉东    (2025-12-28 13:27:34)
8月28日批复</s:t>
              </s:r>
            </s:text>
          </item>
        </commentChain>
      </unresolved>
      <resolved/>
    </commentChains>
    <commentChains s:ref="D73" rgbClr="FF0000">
      <unresolved>
        <commentChain chainId="8d37bb1a0d1a110ea989b9a0f7e90179c9a54d9f">
          <item id="31f8dfaf6eecb099e51aa9c1de2d903b5eae1d9f" isNormal="1">
            <s:text>
              <s:r>
                <s:t xml:space="preserve">======
ID#AAABwZ_v6FU
陆汉东    (2025-12-28 13:27:34)
9月18日批复</s:t>
              </s:r>
            </s:text>
          </item>
        </commentChain>
      </unresolved>
      <resolved/>
    </commentChains>
    <commentChains s:ref="L73" rgbClr="FF0000">
      <unresolved>
        <commentChain chainId="515dcf2cf623380bd7364f0f575fad4263fc6f35">
          <item id="7fd003dde928b2634da35b7dc19e32105a7f0e93" isNormal="1">
            <s:text>
              <s:r>
                <s:t xml:space="preserve">======
ID#AAABwZ_v5yk
陆汉东    (2025-12-28 13:27:34)
12月4日批复</s:t>
              </s:r>
            </s:text>
          </item>
        </commentChain>
      </unresolved>
      <resolved/>
    </commentChains>
    <commentChains s:ref="AG73" rgbClr="FF0000">
      <unresolved>
        <commentChain chainId="1913acec4d52857d8154415deaa0a9559cb82dae">
          <item id="6a68a649aef96c56b195c711b07a99d7836b05a6" isNormal="1">
            <s:text>
              <s:r>
                <s:t xml:space="preserve">======
ID#AAABwZ_v5wQ
陆汉东    (2025-12-28 13:27:34)
衡佳灵</s:t>
              </s:r>
            </s:text>
          </item>
        </commentChain>
      </unresolved>
      <resolved/>
    </commentChains>
    <commentChains s:ref="D74" rgbClr="FF0000">
      <unresolved>
        <commentChain chainId="3ec290b59e74a316b12fa7ee790013ff2758fefa">
          <item id="2a2d28097237c2e941674be7470c4ef742bc546c" isNormal="1">
            <s:text>
              <s:r>
                <s:t xml:space="preserve">======
ID#AAABwZ_v6BI
陆汉东    (2025-12-28 13:27:34)
9约19日批复</s:t>
              </s:r>
            </s:text>
          </item>
        </commentChain>
      </unresolved>
      <resolved/>
    </commentChains>
    <commentChains s:ref="AE75" rgbClr="FF0000">
      <unresolved>
        <commentChain chainId="b8f8968ea593770a33b63c7332f7cef0566cd277">
          <item id="e3a0d7e8f73965cbb2deb90926f2864fa358f9c9" isNormal="1">
            <s:text>
              <s:r>
                <s:t xml:space="preserve">======
ID#AAABwZ_v560
陆汉东    (2025-12-28 13:27:34)
衡佳灵</s:t>
              </s:r>
            </s:text>
          </item>
        </commentChain>
      </unresolved>
      <resolved/>
    </commentChains>
    <commentChains s:ref="AG75" rgbClr="FF0000">
      <unresolved>
        <commentChain chainId="e5d332ee297c14681795a4500f36cf2eeaf85e70">
          <item id="94fca07439b8a62310fd4cbc39ffb7d108923776" isNormal="1">
            <s:text>
              <s:r>
                <s:t xml:space="preserve">======
ID#AAABwZ_v56A
陆汉东    (2025-12-28 13:27:34)
衡佳灵</s:t>
              </s:r>
            </s:text>
          </item>
        </commentChain>
      </unresolved>
      <resolved/>
    </commentChains>
    <commentChains s:ref="D76" rgbClr="FF0000">
      <unresolved>
        <commentChain chainId="a2455af827ceab73994078954a5101104081fa2e">
          <item id="c48e08ae445b125f437bf2bb31240482a9a814fd" isNormal="1">
            <s:text>
              <s:r>
                <s:t xml:space="preserve">======
ID#AAABwZ_v548
陆汉东    (2025-12-28 13:27:34)
9月27日批复</s:t>
              </s:r>
            </s:text>
          </item>
        </commentChain>
      </unresolved>
      <resolved/>
    </commentChains>
    <commentChains s:ref="D77" rgbClr="FF0000">
      <unresolved>
        <commentChain chainId="dbc1fe9088ca1ba2a4ab661aed3282d992421482">
          <item id="916e033ed4ebf99d8a29bb71fa301c59ffcac4ea" isNormal="1">
            <s:text>
              <s:r>
                <s:t xml:space="preserve">======
ID#AAABwZ_v540
陆汉东    (2025-12-28 13:27:34)
9月27日批复</s:t>
              </s:r>
            </s:text>
          </item>
        </commentChain>
      </unresolved>
      <resolved/>
    </commentChains>
    <commentChains s:ref="A78" rgbClr="FF0000">
      <unresolved>
        <commentChain chainId="175c72837092023c420b588018fccd4b8f67ac20">
          <item id="d3649e2969725b99f74027c86ca4c770bca903c9" isNormal="1">
            <s:text>
              <s:r>
                <s:t xml:space="preserve">======
ID#AAABwZ_v6CI
陆汉东    (2025-12-28 13:27:34)
110千伏小派线高滩甲支线、正小派线高滩乙支线改造工程</s:t>
              </s:r>
            </s:text>
          </item>
        </commentChain>
      </unresolved>
      <resolved/>
    </commentChains>
    <commentChains s:ref="D78" rgbClr="FF0000">
      <unresolved>
        <commentChain chainId="ab67fd5c29962c2305a89d5986d0b6b852d2f3e6">
          <item id="49358995b385490852d1dccadbe738dbb59dd796" isNormal="1">
            <s:text>
              <s:r>
                <s:t xml:space="preserve">======
ID#AAABwZ_v5xA
陆汉东    (2025-12-28 13:27:34)
10月9日批复</s:t>
              </s:r>
            </s:text>
          </item>
        </commentChain>
      </unresolved>
      <resolved/>
    </commentChains>
    <commentChains s:ref="D79" rgbClr="FF0000">
      <unresolved>
        <commentChain chainId="fc194fa29a6310d11d147d5ccc06b3007f8602fe">
          <item id="f529ef05f777d0d1b3ab400b9902f7d942374409" isNormal="1">
            <s:text>
              <s:r>
                <s:t xml:space="preserve">======
ID#AAABwZ_v508
陆汉东    (2025-12-28 13:27:34)
10月9日批复</s:t>
              </s:r>
            </s:text>
          </item>
        </commentChain>
      </unresolved>
      <resolved/>
    </commentChains>
    <commentChains s:ref="L79" rgbClr="FF0000">
      <unresolved>
        <commentChain chainId="11ddf5dda2c07d5835c87609fcc6091b5cec71f3">
          <item id="d00885beac17a862cc99efee6e3f8c70b617ce34" isNormal="1">
            <s:text>
              <s:r>
                <s:t xml:space="preserve">======
ID#AAABwZ_v50c
陆汉东    (2025-12-28 13:27:34)
11月29日批复</s:t>
              </s:r>
            </s:text>
          </item>
        </commentChain>
      </unresolved>
      <resolved/>
    </commentChains>
    <commentChains s:ref="T79" rgbClr="FF0000">
      <unresolved>
        <commentChain chainId="a97c160bf4aae2d71354b7c4fc2f6db595ef9b11">
          <item id="db7c36ec16d1358c50ebe94735cbcf6ed796630a" isNormal="1">
            <s:text>
              <s:r>
                <s:t xml:space="preserve">======
ID#AAABwZ_v5xo
陆汉东    (2025-12-28 13:27:34)
12月20日批复</s:t>
              </s:r>
            </s:text>
          </item>
        </commentChain>
      </unresolved>
      <resolved/>
    </commentChains>
    <commentChains s:ref="D81" rgbClr="FF0000">
      <unresolved>
        <commentChain chainId="c8a25715138d9ea8f2512c6c503a7b7d6a9da08e">
          <item id="229e4cd3d4f158214418671d5eeb18ac0d203ed6" isNormal="1">
            <s:text>
              <s:r>
                <s:t xml:space="preserve">======
ID#AAABwZ_v59E
陆汉东    (2025-12-28 13:27:34)
10月22日批复</s:t>
              </s:r>
            </s:text>
          </item>
        </commentChain>
      </unresolved>
      <resolved/>
    </commentChains>
    <commentChains s:ref="L81" rgbClr="FF0000">
      <unresolved>
        <commentChain chainId="811ab5da9d855739c7e91eb919e19b68097a2128">
          <item id="c1b7b55c1301df77d99dd7c0df02fca4bde9557e" isNormal="1">
            <s:text>
              <s:r>
                <s:t xml:space="preserve">======
ID#AAABwZ_v5-M
陆汉东    (2025-12-28 13:27:34)
11月13日批复</s:t>
              </s:r>
            </s:text>
          </item>
        </commentChain>
      </unresolved>
      <resolved/>
    </commentChains>
    <commentChains s:ref="T81" rgbClr="FF0000">
      <unresolved>
        <commentChain chainId="2b6ba9b63320a4899865ba4d1a5a455d660c67f5">
          <item id="f02f78a57c069ceaaa1d23e0c282e06147834b25" isNormal="1">
            <s:text>
              <s:r>
                <s:t xml:space="preserve">======
ID#AAABwZ_v5-Q
陆汉东    (2025-12-28 13:27:34)
11月28日批复</s:t>
              </s:r>
            </s:text>
          </item>
        </commentChain>
      </unresolved>
      <resolved/>
    </commentChains>
    <commentChains s:ref="D82" rgbClr="FF0000">
      <unresolved>
        <commentChain chainId="293fbeb308f5ae4caed5b8097b1ff85f69b91893">
          <item id="37e133f012c5e464e6238edab0360b58839229d2" isNormal="1">
            <s:text>
              <s:r>
                <s:t xml:space="preserve">======
ID#AAABwZ_v52I
陆汉东    (2025-12-28 13:27:34)
12月12日批复</s:t>
              </s:r>
            </s:text>
          </item>
        </commentChain>
      </unresolved>
      <resolved/>
    </commentChains>
    <commentChains s:ref="T87" rgbClr="FF0000">
      <unresolved>
        <commentChain chainId="2385c5484600a28a44eab6c335b850dc48c4b09f">
          <item id="2493a6a98288cf1cc266e7c81fbec298aa4a34dc" isNormal="1">
            <s:text>
              <s:r>
                <s:t xml:space="preserve">======
ID#AAABwZ_v6Ac
陆汉东    (2025-12-28 13:27:34)
7月10日批复</s:t>
              </s:r>
            </s:text>
          </item>
        </commentChain>
      </unresolved>
      <resolved/>
    </commentChains>
    <commentChains s:ref="T90" rgbClr="FF0000">
      <unresolved>
        <commentChain chainId="9d5b4f18bba38ecacc36c43787372439f64133ea">
          <item id="8484c1a0d40089a1605770f759a74d9e3043a3d1" isNormal="1">
            <s:text>
              <s:r>
                <s:t xml:space="preserve">======
ID#AAABwZ_v568
陆汉东    (2025-12-28 13:27:34)
6月27日批复</s:t>
              </s:r>
            </s:text>
          </item>
        </commentChain>
      </unresolved>
      <resolved/>
    </commentChains>
    <commentChains s:ref="AA96" rgbClr="FF0000">
      <unresolved>
        <commentChain chainId="d497ac1792d66459c07b561da412bfbb57a45491">
          <item id="91be083f97734e5a1a1096159aeeaf6cb48c4ca7" isNormal="1">
            <s:text>
              <s:r>
                <s:t xml:space="preserve">======
ID#AAABwZ_v54I
陆汉东    (2025-12-28 13:27:34)
溶洞处理</s:t>
              </s:r>
            </s:text>
          </item>
        </commentChain>
      </unresolved>
      <resolved/>
    </commentChains>
    <commentChains s:ref="B104" rgbClr="FF0000">
      <unresolved>
        <commentChain chainId="5faa95c3c4b7b05b5d62752fce40b3d4dfc614e7">
          <item id="fa4b08105e7e78b248275f58b25cddcfe27bdd0d" isNormal="1">
            <s:text>
              <s:r>
                <s:t xml:space="preserve">======
ID#AAABwZ_v50s
Aiolos Luk    (2025-12-28 13:27:34)
广东寰球广业工程有限公司</s:t>
              </s:r>
            </s:text>
          </item>
        </commentChain>
      </unresolved>
      <resolved/>
    </commentChains>
    <commentChains s:ref="H104" rgbClr="FF0000">
      <unresolved>
        <commentChain chainId="4ea43bf10d5138686ac15cbbe3ed7d789009b003">
          <item id="9439d8fda2782cd89214bb78297d1479edad3c2e" isNormal="1">
            <s:text>
              <s:r>
                <s:t xml:space="preserve">======
ID#AAABwZ_v5vg
陆汉东    (2025-12-28 13:27:34)
4月27日批复</s:t>
              </s:r>
            </s:text>
          </item>
        </commentChain>
      </unresolved>
      <resolved/>
    </commentChains>
    <commentChains s:ref="H106" rgbClr="FF0000">
      <unresolved>
        <commentChain chainId="65253fa31c4cf0eef5666b52e241a091370b2c40">
          <item id="4590c42c0dbbfa19acfffef44008b2f69d16de3c" isNormal="1">
            <s:text>
              <s:r>
                <s:t xml:space="preserve">======
ID#AAABwZ_v5wk
陆汉东    (2025-12-28 13:27:34)
5月27日批复</s:t>
              </s:r>
            </s:text>
          </item>
        </commentChain>
      </unresolved>
      <resolved/>
    </commentChains>
    <commentChains s:ref="AG107" rgbClr="FF0000">
      <unresolved>
        <commentChain chainId="fdd46fee1731a26905f8586dbc8c524c2ede6be7">
          <item id="cd197123d4342a922537a96b36b6a63e1f3dba97" isNormal="1">
            <s:text>
              <s:r>
                <s:t xml:space="preserve">======
ID#AAABwZ_v6Bc
陆汉东    (2025-12-28 13:27:34)
衡佳灵</s:t>
              </s:r>
            </s:text>
          </item>
        </commentChain>
      </unresolved>
      <resolved/>
    </commentChains>
    <commentChains s:ref="AU107" rgbClr="FF0000">
      <unresolved>
        <commentChain chainId="63fe5204ae4b0db6abff101b0d6c07040da955db">
          <item id="91807d9245906963b939da72f0bfcae3f5665b15" isNormal="1">
            <s:text>
              <s:r>
                <s:t xml:space="preserve">======
ID#AAABwZ_v5wU
陆汉东    (2025-12-28 13:27:34)
25148</s:t>
              </s:r>
            </s:text>
          </item>
        </commentChain>
      </unresolved>
      <resolved/>
    </commentChains>
    <commentChains s:ref="AW107" rgbClr="FF0000">
      <unresolved>
        <commentChain chainId="8ff4dc3773bcfb2db050d6adbbe1e0624c06134a">
          <item id="c39b72728ac75ac6956cbb1d3ea26a41093adff5" isNormal="1">
            <s:text>
              <s:r>
                <s:t xml:space="preserve">======
ID#AAABwZ_v6CM
陆汉东    (2025-12-28 13:27:34)
24758.83</s:t>
              </s:r>
            </s:text>
          </item>
        </commentChain>
      </unresolved>
      <resolved/>
    </commentChains>
    <commentChains s:ref="AA108" rgbClr="FF0000">
      <unresolved>
        <commentChain chainId="3dac2f6af1d8034048697d76bf040db85de6446d">
          <item id="5f77a835d16ca78bd8cf5cbc658caab36944457e" isNormal="1">
            <s:text>
              <s:r>
                <s:t xml:space="preserve">======
ID#AAABwZ_v534
陆汉东    (2025-12-28 13:27:34)
衡佳灵负责</s:t>
              </s:r>
            </s:text>
          </item>
        </commentChain>
      </unresolved>
      <resolved/>
    </commentChains>
    <commentChains s:ref="H117" rgbClr="FF0000">
      <unresolved>
        <commentChain chainId="df853d966be91acc2802079d7823757363b19aa4">
          <item id="8ee7c9c3f932166b8dc8332eaf9738bb20d7dc48" isNormal="1">
            <s:text>
              <s:r>
                <s:t xml:space="preserve">======
ID#AAABwZ_v54k
黄小珈    (2025-12-28 13:27:34)
7月26日批复</s:t>
              </s:r>
            </s:text>
          </item>
        </commentChain>
      </unresolved>
      <resolved/>
    </commentChains>
    <commentChains s:ref="L117" rgbClr="FF0000">
      <unresolved>
        <commentChain chainId="818a0202d99684164ca5a41ceade9af9ac3592b6">
          <item id="f1d31eddc7ca6e5866833c1923f7a4f5a18123b1" isNormal="1">
            <s:text>
              <s:r>
                <s:t xml:space="preserve">======
ID#AAABwZ_v58o
陆汉东    (2025-12-28 13:27:34)
10月9日批复</s:t>
              </s:r>
            </s:text>
          </item>
        </commentChain>
      </unresolved>
      <resolved/>
    </commentChains>
    <commentChains s:ref="P117" rgbClr="FF0000">
      <unresolved>
        <commentChain chainId="b212485cd0738618b389e795a249c607d24cb709">
          <item id="4b570ab1ad6af89f2b813f8e11c2674b12845e53" isNormal="1">
            <s:text>
              <s:r>
                <s:t xml:space="preserve">======
ID#AAABwZ_v51g
陆汉东    (2025-12-28 13:27:34)
10月9日批复</s:t>
              </s:r>
            </s:text>
          </item>
        </commentChain>
      </unresolved>
      <resolved/>
    </commentChains>
    <commentChains s:ref="T118" rgbClr="FF0000">
      <unresolved>
        <commentChain chainId="bfa52afa9ccea1315bea7a1aba894dda1b492b4e">
          <item id="968849fbd26676784c7c22a5516bf72a41ae14e1" isNormal="1">
            <s:text>
              <s:r>
                <s:t xml:space="preserve">======
ID#AAABwZ_v5vk
陆汉东    (2025-12-28 13:27:34)
7月10日批复</s:t>
              </s:r>
            </s:text>
          </item>
        </commentChain>
      </unresolved>
      <resolved/>
    </commentChains>
    <commentChains s:ref="P120" rgbClr="FF0000">
      <unresolved>
        <commentChain chainId="9ab031f597bd30756dacfdd356f4e85c430ec6d4">
          <item id="ae747a1d1c87e7d6709251d4b6545a7a9e529a72" isNormal="1">
            <s:text>
              <s:r>
                <s:t xml:space="preserve">======
ID#AAABwZ_v50I
黄小珈    (2025-12-28 13:27:34)
7月29日批复</s:t>
              </s:r>
            </s:text>
          </item>
        </commentChain>
      </unresolved>
      <resolved/>
    </commentChains>
    <commentChains s:ref="T121" rgbClr="FF0000">
      <unresolved>
        <commentChain chainId="d96d463fe382907dffa9ae39b195b109c84a1936">
          <item id="a13d8e2d302b8e6fbf1a0161db03c8bbb497f7fc" isNormal="1">
            <s:text>
              <s:r>
                <s:t xml:space="preserve">======
ID#AAABwZ_v5v8
陆汉东    (2025-12-28 13:27:34)
7月10日批复</s:t>
              </s:r>
            </s:text>
          </item>
        </commentChain>
      </unresolved>
      <resolved/>
    </commentChains>
    <commentChains s:ref="L127" rgbClr="FF0000">
      <unresolved>
        <commentChain chainId="fb1163eb3d3ae432ae99ebf4ed5b664fd6f1a10b">
          <item id="9439dc4091f400fa48f577bad15c5d976b944c39" isNormal="1">
            <s:text>
              <s:r>
                <s:t xml:space="preserve">======
ID#AAABwZ_v6As
陆汉东    (2025-12-28 13:27:34)
11月14日批复</s:t>
              </s:r>
            </s:text>
          </item>
        </commentChain>
      </unresolved>
      <resolved/>
    </commentChains>
    <commentChains s:ref="H135" rgbClr="FF0000">
      <unresolved>
        <commentChain chainId="09eaa2984945fa2b1c470c45e20be05e4eb4583e">
          <item id="04c7fc27778ff168db9cba2434b90fafa824e67d" isNormal="1">
            <s:text>
              <s:r>
                <s:t xml:space="preserve">======
ID#AAABwZ_v5wE
陆汉东    (2025-12-28 13:27:34)
11月14日批复</s:t>
              </s:r>
            </s:text>
          </item>
        </commentChain>
      </unresolved>
      <resolved/>
    </commentChains>
    <commentChains s:ref="L140" rgbClr="FF0000">
      <unresolved>
        <commentChain chainId="6617ef2908230d6e0ca0ebe833215e286dc37b2a">
          <item id="233f732a19f3ed509107aa84f41e60dba843b9d9" isNormal="1">
            <s:text>
              <s:r>
                <s:t xml:space="preserve">======
ID#AAABwZ_v570
陆汉东    (2025-12-28 13:27:34)
12月12日批复</s:t>
              </s:r>
            </s:text>
          </item>
        </commentChain>
      </unresolved>
      <resolved/>
    </commentChains>
    <commentChains s:ref="P141" rgbClr="FF0000">
      <unresolved>
        <commentChain chainId="5f04bc789ef64b0d7429679a4e1eff8a85cf9a77">
          <item id="52c49162e96c1c0791c70551b223363a2e91bc12" isNormal="1">
            <s:text>
              <s:r>
                <s:t xml:space="preserve">======
ID#AAABwZ_v58E
陆汉东    (2025-12-28 13:27:34)
11月25日批复</s:t>
              </s:r>
            </s:text>
          </item>
        </commentChain>
      </unresolved>
      <resolved/>
    </commentChains>
    <commentChains s:ref="K143" rgbClr="FF0000">
      <unresolved>
        <commentChain chainId="69cfe31fd69eeef7e2162d1b691c1c25939f7714">
          <item id="f1689413ce5eed38ef11744d6a76d4c014fd096c" isNormal="1">
            <s:text>
              <s:r>
                <s:t xml:space="preserve">======
ID#AAABwZ_v5z8
陆汉东    (2025-12-28 13:27:34)
分期建设</s:t>
              </s:r>
            </s:text>
          </item>
        </commentChain>
      </unresolved>
      <resolved/>
    </commentChains>
    <commentChains s:ref="L143" rgbClr="FF0000">
      <unresolved>
        <commentChain chainId="38e4ee8fb6da9f0639495f0f6cf32a6bda709cc3">
          <item id="ef98a36115e624a84470dbcd6546cd85a82e5a1e" isNormal="1">
            <s:text>
              <s:r>
                <s:t xml:space="preserve">======
ID#AAABwZ_v57s
陆汉东    (2025-12-28 13:27:34)
11月26日批复</s:t>
              </s:r>
            </s:text>
          </item>
        </commentChain>
      </unresolved>
      <resolved/>
    </commentChains>
    <commentChains s:ref="AG145" rgbClr="FF0000">
      <unresolved>
        <commentChain chainId="99ef11c7bbe0d6543c62cf216725577d3636838d">
          <item id="09d0ea9e9af6767f0395dfcd7baa979c9c775ab4" isNormal="1">
            <s:text>
              <s:r>
                <s:t xml:space="preserve">======
ID#AAABwZ_v6Bw
陆汉东    (2025-12-28 13:27:34)
衡佳灵</s:t>
              </s:r>
            </s:text>
          </item>
        </commentChain>
      </unresolved>
      <resolved/>
    </commentChains>
    <commentChains s:ref="AE148" rgbClr="FF0000">
      <unresolved>
        <commentChain chainId="a32d90f71aba3775909aca44f82536466ab00f00">
          <item id="5bae2d121c9c3b3ecd0f67467051010594a1c2dd" isNormal="1">
            <s:text>
              <s:r>
                <s:t xml:space="preserve">======
ID#AAABwZ_v6Es
陆汉东    (2025-12-28 13:27:34)
衡佳灵</s:t>
              </s:r>
            </s:text>
          </item>
        </commentChain>
      </unresolved>
      <resolved/>
    </commentChains>
    <commentChains s:ref="AG148" rgbClr="FF0000">
      <unresolved>
        <commentChain chainId="f08d6d817053b14fc4cbdffca07a0abec19bcee6">
          <item id="f657937c74d3251897d9eb5c5299ac08979a9f3b" isNormal="1">
            <s:text>
              <s:r>
                <s:t xml:space="preserve">======
ID#AAABwZ_v5vo
陆汉东    (2025-12-28 13:27:34)
衡佳灵</s:t>
              </s:r>
            </s:text>
          </item>
        </commentChain>
      </unresolved>
      <resolved/>
    </commentChains>
    <commentChains s:ref="AE150" rgbClr="FF0000">
      <unresolved>
        <commentChain chainId="39752cd6e6d77b4d38709b583fddcbc07b8f5eb8">
          <item id="f9c8165bd4ee9d57a35ce85f700765bcbd6739e9" isNormal="1">
            <s:text>
              <s:r>
                <s:t xml:space="preserve">======
ID#AAABwZ_v50A
陆汉东    (2025-12-28 13:27:34)
衡佳灵</s:t>
              </s:r>
            </s:text>
          </item>
        </commentChain>
      </unresolved>
      <resolved/>
    </commentChains>
    <commentChains s:ref="AG150" rgbClr="FF0000">
      <unresolved>
        <commentChain chainId="4493e058357f79f94fc9860527bd4da5aa85a338">
          <item id="1cbad8cbbbd81303d9368646fbb2fce9dc94d883" isNormal="1">
            <s:text>
              <s:r>
                <s:t xml:space="preserve">======
ID#AAABwZ_v5zI
陆汉东    (2025-12-28 13:27:34)
衡佳灵</s:t>
              </s:r>
            </s:text>
          </item>
        </commentChain>
      </unresolved>
      <resolved/>
    </commentChains>
    <commentChains s:ref="AE151" rgbClr="FF0000">
      <unresolved>
        <commentChain chainId="66bbe20193a4684615c5286e9edf88c2d1bbf9ed">
          <item id="b9a71ba914d6717d88c0a97d2e37514b9d7046d6" isNormal="1">
            <s:text>
              <s:r>
                <s:t xml:space="preserve">======
ID#AAABwZ_v5zQ
陆汉东    (2025-12-28 13:27:34)
衡佳灵</s:t>
              </s:r>
            </s:text>
          </item>
        </commentChain>
      </unresolved>
      <resolved/>
    </commentChains>
    <commentChains s:ref="AG151" rgbClr="FF0000">
      <unresolved>
        <commentChain chainId="d1be76d1ba87f7c15351e4460e248f335c8b0872">
          <item id="9d4cbdb992ca87a61f95122a27ad342a9dc99fa9" isNormal="1">
            <s:text>
              <s:r>
                <s:t xml:space="preserve">======
ID#AAABwZ_v5-E
陆汉东    (2025-12-28 13:27:34)
衡佳灵</s:t>
              </s:r>
            </s:text>
          </item>
        </commentChain>
      </unresolved>
      <resolved/>
    </commentChains>
    <commentChains s:ref="AE152" rgbClr="FF0000">
      <unresolved>
        <commentChain chainId="b905e1711d2ee76b06fb330d634722399f44e768">
          <item id="601aed72d9f9b1e634e69a72b2525390c53a8be3" isNormal="1">
            <s:text>
              <s:r>
                <s:t xml:space="preserve">======
ID#AAABwZ_v53U
陆汉东    (2025-12-28 13:27:34)
衡佳灵</s:t>
              </s:r>
            </s:text>
          </item>
        </commentChain>
      </unresolved>
      <resolved/>
    </commentChains>
    <commentChains s:ref="AG152" rgbClr="FF0000">
      <unresolved>
        <commentChain chainId="f9e66f6460aa6444b9f4214e054a127bdf0f8a23">
          <item id="932673c2c82477e16316dd70b4d3672bdcfb412d" isNormal="1">
            <s:text>
              <s:r>
                <s:t xml:space="preserve">======
ID#AAABwZ_v59w
陆汉东    (2025-12-28 13:27:34)
衡佳灵</s:t>
              </s:r>
            </s:text>
          </item>
        </commentChain>
      </unresolved>
      <resolved/>
    </commentChains>
  </commentList>
</comments>
</file>

<file path=customXml/item2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  <woSheetProps sheetStid="2" interlineOnOff="0" interlineColor="0" isDbSheet="0" isDashBoardSheet="0" isDbDashBoardSheet="0" isFlexPaperSheet="0">
      <cellprotection/>
      <appEtDbRelations/>
    </woSheetProps>
    <woSheetProps sheetStid="3" interlineOnOff="0" interlineColor="0" isDbSheet="0" isDashBoardSheet="0" isDbDashBoardSheet="0" isFlexPaperSheet="0">
      <pivotTables>
        <pivotTable pivotTableName="2025统计" updateTime="-1" sourceDataDirty="1"/>
        <pivotTable pivotTableName="2025统计 2" updateTime="-1" sourceDataDirty="1"/>
        <pivotTable pivotTableName="2025统计 3" updateTime="-1" sourceDataDirty="1"/>
        <pivotTable pivotTableName="2025统计 4" updateTime="-1" sourceDataDirty="1"/>
        <pivotTable pivotTableName="2025统计 5" updateTime="-1" sourceDataDirty="1"/>
        <pivotTable pivotTableName="2025统计 6" updateTime="-1" sourceDataDirty="1"/>
      </pivotTables>
      <cellprotection/>
      <appEtDbRelations/>
    </woSheetProps>
    <woSheetProps sheetStid="4" interlineOnOff="0" interlineColor="0" isDbSheet="0" isDashBoardSheet="0" isDbDashBoardSheet="0" isFlexPaperSheet="0">
      <cellprotection/>
      <appEtDbRelations/>
    </woSheetProps>
    <woSheetProps sheetStid="5" interlineOnOff="0" interlineColor="0" isDbSheet="0" isDashBoardSheet="0" isDbDashBoardSheet="0" isFlexPaperSheet="0">
      <cellprotection/>
      <appEtDbRelations/>
    </woSheetProps>
    <woSheetProps sheetStid="6" interlineOnOff="0" interlineColor="0" isDbSheet="0" isDashBoardSheet="0" isDbDashBoardSheet="0" isFlexPaperSheet="0">
      <pivotTables>
        <pivotTable pivotTableName="2024统计" updateTime="-1" sourceDataDirty="0"/>
        <pivotTable pivotTableName="2024统计 2" updateTime="-1" sourceDataDirty="0"/>
        <pivotTable pivotTableName="2024统计 3" updateTime="-1" sourceDataDirty="0"/>
        <pivotTable pivotTableName="2024统计 4" updateTime="-1" sourceDataDirty="0"/>
        <pivotTable pivotTableName="2024统计 5" updateTime="-1" sourceDataDirty="0"/>
        <pivotTable pivotTableName="2024统计 6" updateTime="-1" sourceDataDirty="0"/>
      </pivotTables>
      <cellprotection/>
      <appEtDbRelations/>
    </woSheetProps>
    <woSheetProps sheetStid="7" interlineOnOff="0" interlineColor="0" isDbSheet="0" isDashBoardSheet="0" isDbDashBoardSheet="0" isFlexPaperSheet="0">
      <cellprotection/>
      <appEtDbRelations/>
    </woSheetProps>
    <woSheetProps sheetStid="8" interlineOnOff="0" interlineColor="0" isDbSheet="0" isDashBoardSheet="0" isDbDashBoardSheet="0" isFlexPaperSheet="0">
      <cellprotection/>
      <appEtDbRelations/>
    </woSheetProps>
  </woSheetsProps>
  <woBookProps>
    <bookSettings fileId="74694964" isFilterShared="1" woEtMtcEnabled="0" coreConquerUserId="" isAutoUpdatePaused="0" filterType="conn" isMergeTasksAutoUpdate="0" isInserPicAsAttachment="0" supportDbFmlaDisp="0"/>
  </woBookProps>
</woProps>
</file>

<file path=customXml/item3.xml><?xml version="1.0" encoding="utf-8"?>
<pixelators xmlns="https://web.wps.cn/et/2018/main" xmlns:s="http://schemas.openxmlformats.org/spreadsheetml/2006/main">
  <pixelatorList sheetStid="1"/>
  <pixelatorList sheetStid="2"/>
  <pixelatorList sheetStid="3"/>
  <pixelatorList sheetStid="4"/>
  <pixelatorList sheetStid="5"/>
  <pixelatorList sheetStid="6"/>
  <pixelatorList sheetStid="7"/>
  <pixelatorList sheetStid="8"/>
  <pixelatorList sheetStid="9"/>
</pixelators>
</file>

<file path=customXml/item4.xml><?xml version="1.0" encoding="utf-8"?>
<independentViews xmlns="https://web.wps.cn/et/2018/main"/>
</file>

<file path=customXml/itemProps1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customXml/itemProps4.xml><?xml version="1.0" encoding="utf-8"?>
<ds:datastoreItem xmlns:ds="http://schemas.openxmlformats.org/officeDocument/2006/customXml" ds:itemID="{A02B7E37-CEC0-4786-9FA4-411A3DC59612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WWO_wpscloud_20250922211643-7bdffb17ec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2025数据</vt:lpstr>
      <vt:lpstr>2025整理</vt:lpstr>
      <vt:lpstr>2025统计</vt:lpstr>
      <vt:lpstr>分析</vt:lpstr>
      <vt:lpstr>BI</vt:lpstr>
      <vt:lpstr>2024统计</vt:lpstr>
      <vt:lpstr>2024整理</vt:lpstr>
      <vt:lpstr>2024数据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gzj</dc:creator>
  <cp:lastModifiedBy>陆汉东</cp:lastModifiedBy>
  <dcterms:created xsi:type="dcterms:W3CDTF">2024-10-28T11:32:00Z</dcterms:created>
  <dcterms:modified xsi:type="dcterms:W3CDTF">2025-12-29T17:31:00Z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0E446F85BC7C40B980EE79D471EED80A</vt:lpwstr>
  </property>
  <property fmtid="{D5CDD505-2E9C-101B-9397-08002B2CF9AE}" pid="3" name="KSOProductBuildVer">
    <vt:lpwstr>2052-12.9.0.22665</vt:lpwstr>
  </property>
  <property fmtid="{D5CDD505-2E9C-101B-9397-08002B2CF9AE}" pid="4" name="KSOReadingLayout">
    <vt:bool>true</vt:bool>
  </property>
</Properties>
</file>